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trlProps/ctrlProp7.xml" ContentType="application/vnd.ms-excel.controlproperties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trlProps/ctrlProp8.xml" ContentType="application/vnd.ms-excel.controlproperties+xml"/>
  <Override PartName="/xl/comments8.xml" ContentType="application/vnd.openxmlformats-officedocument.spreadsheetml.comments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trlProps/ctrlProp9.xml" ContentType="application/vnd.ms-excel.controlproperties+xml"/>
  <Override PartName="/xl/comments9.xml" ContentType="application/vnd.openxmlformats-officedocument.spreadsheetml.comments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trlProps/ctrlProp10.xml" ContentType="application/vnd.ms-excel.controlproperties+xml"/>
  <Override PartName="/xl/comments10.xml" ContentType="application/vnd.openxmlformats-officedocument.spreadsheetml.comments+xml"/>
  <Override PartName="/xl/charts/chart10.xml" ContentType="application/vnd.openxmlformats-officedocument.drawingml.chart+xml"/>
  <Override PartName="/xl/drawings/drawing11.xml" ContentType="application/vnd.openxmlformats-officedocument.drawing+xml"/>
  <Override PartName="/xl/ctrlProps/ctrlProp11.xml" ContentType="application/vnd.ms-excel.controlproperties+xml"/>
  <Override PartName="/xl/comments11.xml" ContentType="application/vnd.openxmlformats-officedocument.spreadsheetml.comments+xml"/>
  <Override PartName="/xl/charts/chart11.xml" ContentType="application/vnd.openxmlformats-officedocument.drawingml.chart+xml"/>
  <Override PartName="/xl/drawings/drawing12.xml" ContentType="application/vnd.openxmlformats-officedocument.drawing+xml"/>
  <Override PartName="/xl/ctrlProps/ctrlProp12.xml" ContentType="application/vnd.ms-excel.controlproperties+xml"/>
  <Override PartName="/xl/comments12.xml" ContentType="application/vnd.openxmlformats-officedocument.spreadsheetml.comments+xml"/>
  <Override PartName="/xl/charts/chart12.xml" ContentType="application/vnd.openxmlformats-officedocument.drawingml.chart+xml"/>
  <Override PartName="/xl/drawings/drawing13.xml" ContentType="application/vnd.openxmlformats-officedocument.drawing+xml"/>
  <Override PartName="/xl/ctrlProps/ctrlProp13.xml" ContentType="application/vnd.ms-excel.controlproperties+xml"/>
  <Override PartName="/xl/comments13.xml" ContentType="application/vnd.openxmlformats-officedocument.spreadsheetml.comments+xml"/>
  <Override PartName="/xl/charts/chart13.xml" ContentType="application/vnd.openxmlformats-officedocument.drawingml.chart+xml"/>
  <Override PartName="/xl/drawings/drawing14.xml" ContentType="application/vnd.openxmlformats-officedocument.drawing+xml"/>
  <Override PartName="/xl/ctrlProps/ctrlProp14.xml" ContentType="application/vnd.ms-excel.controlproperties+xml"/>
  <Override PartName="/xl/comments14.xml" ContentType="application/vnd.openxmlformats-officedocument.spreadsheetml.comments+xml"/>
  <Override PartName="/xl/charts/chart14.xml" ContentType="application/vnd.openxmlformats-officedocument.drawingml.chart+xml"/>
  <Override PartName="/xl/drawings/drawing15.xml" ContentType="application/vnd.openxmlformats-officedocument.drawing+xml"/>
  <Override PartName="/xl/ctrlProps/ctrlProp15.xml" ContentType="application/vnd.ms-excel.controlproperties+xml"/>
  <Override PartName="/xl/comments15.xml" ContentType="application/vnd.openxmlformats-officedocument.spreadsheetml.comments+xml"/>
  <Override PartName="/xl/charts/chart15.xml" ContentType="application/vnd.openxmlformats-officedocument.drawingml.chart+xml"/>
  <Override PartName="/xl/drawings/drawing16.xml" ContentType="application/vnd.openxmlformats-officedocument.drawing+xml"/>
  <Override PartName="/xl/ctrlProps/ctrlProp16.xml" ContentType="application/vnd.ms-excel.controlproperties+xml"/>
  <Override PartName="/xl/comments16.xml" ContentType="application/vnd.openxmlformats-officedocument.spreadsheetml.comments+xml"/>
  <Override PartName="/xl/threadedComments/threadedComment1.xml" ContentType="application/vnd.ms-excel.threadedcomments+xml"/>
  <Override PartName="/xl/charts/chart16.xml" ContentType="application/vnd.openxmlformats-officedocument.drawingml.chart+xml"/>
  <Override PartName="/xl/drawings/drawing17.xml" ContentType="application/vnd.openxmlformats-officedocument.drawing+xml"/>
  <Override PartName="/xl/ctrlProps/ctrlProp17.xml" ContentType="application/vnd.ms-excel.controlproperties+xml"/>
  <Override PartName="/xl/comments17.xml" ContentType="application/vnd.openxmlformats-officedocument.spreadsheetml.comments+xml"/>
  <Override PartName="/xl/charts/chart17.xml" ContentType="application/vnd.openxmlformats-officedocument.drawingml.chart+xml"/>
  <Override PartName="/xl/drawings/drawing18.xml" ContentType="application/vnd.openxmlformats-officedocument.drawing+xml"/>
  <Override PartName="/xl/ctrlProps/ctrlProp18.xml" ContentType="application/vnd.ms-excel.controlproperties+xml"/>
  <Override PartName="/xl/comments18.xml" ContentType="application/vnd.openxmlformats-officedocument.spreadsheetml.comments+xml"/>
  <Override PartName="/xl/charts/chart18.xml" ContentType="application/vnd.openxmlformats-officedocument.drawingml.chart+xml"/>
  <Override PartName="/xl/drawings/drawing19.xml" ContentType="application/vnd.openxmlformats-officedocument.drawing+xml"/>
  <Override PartName="/xl/ctrlProps/ctrlProp19.xml" ContentType="application/vnd.ms-excel.controlproperties+xml"/>
  <Override PartName="/xl/comments19.xml" ContentType="application/vnd.openxmlformats-officedocument.spreadsheetml.comments+xml"/>
  <Override PartName="/xl/charts/chart19.xml" ContentType="application/vnd.openxmlformats-officedocument.drawingml.chart+xml"/>
  <Override PartName="/xl/drawings/drawing20.xml" ContentType="application/vnd.openxmlformats-officedocument.drawing+xml"/>
  <Override PartName="/xl/ctrlProps/ctrlProp20.xml" ContentType="application/vnd.ms-excel.controlproperties+xml"/>
  <Override PartName="/xl/comments20.xml" ContentType="application/vnd.openxmlformats-officedocument.spreadsheetml.comments+xml"/>
  <Override PartName="/xl/charts/chart20.xml" ContentType="application/vnd.openxmlformats-officedocument.drawingml.chart+xml"/>
  <Override PartName="/xl/drawings/drawing21.xml" ContentType="application/vnd.openxmlformats-officedocument.drawing+xml"/>
  <Override PartName="/xl/ctrlProps/ctrlProp21.xml" ContentType="application/vnd.ms-excel.controlproperties+xml"/>
  <Override PartName="/xl/comments21.xml" ContentType="application/vnd.openxmlformats-officedocument.spreadsheetml.comments+xml"/>
  <Override PartName="/xl/threadedComments/threadedComment2.xml" ContentType="application/vnd.ms-excel.threadedcomments+xml"/>
  <Override PartName="/xl/charts/chart21.xml" ContentType="application/vnd.openxmlformats-officedocument.drawingml.chart+xml"/>
  <Override PartName="/xl/drawings/drawing22.xml" ContentType="application/vnd.openxmlformats-officedocument.drawing+xml"/>
  <Override PartName="/xl/ctrlProps/ctrlProp22.xml" ContentType="application/vnd.ms-excel.controlproperties+xml"/>
  <Override PartName="/xl/comments22.xml" ContentType="application/vnd.openxmlformats-officedocument.spreadsheetml.comments+xml"/>
  <Override PartName="/xl/charts/chart22.xml" ContentType="application/vnd.openxmlformats-officedocument.drawingml.chart+xml"/>
  <Override PartName="/xl/drawings/drawing23.xml" ContentType="application/vnd.openxmlformats-officedocument.drawing+xml"/>
  <Override PartName="/xl/ctrlProps/ctrlProp23.xml" ContentType="application/vnd.ms-excel.controlproperties+xml"/>
  <Override PartName="/xl/comments23.xml" ContentType="application/vnd.openxmlformats-officedocument.spreadsheetml.comments+xml"/>
  <Override PartName="/xl/charts/chart23.xml" ContentType="application/vnd.openxmlformats-officedocument.drawingml.chart+xml"/>
  <Override PartName="/xl/drawings/drawing24.xml" ContentType="application/vnd.openxmlformats-officedocument.drawing+xml"/>
  <Override PartName="/xl/ctrlProps/ctrlProp24.xml" ContentType="application/vnd.ms-excel.controlproperties+xml"/>
  <Override PartName="/xl/comments24.xml" ContentType="application/vnd.openxmlformats-officedocument.spreadsheetml.comments+xml"/>
  <Override PartName="/xl/threadedComments/threadedComment3.xml" ContentType="application/vnd.ms-excel.threadedcomments+xml"/>
  <Override PartName="/xl/charts/chart24.xml" ContentType="application/vnd.openxmlformats-officedocument.drawingml.chart+xml"/>
  <Override PartName="/xl/drawings/drawing25.xml" ContentType="application/vnd.openxmlformats-officedocument.drawing+xml"/>
  <Override PartName="/xl/ctrlProps/ctrlProp25.xml" ContentType="application/vnd.ms-excel.controlproperties+xml"/>
  <Override PartName="/xl/comments25.xml" ContentType="application/vnd.openxmlformats-officedocument.spreadsheetml.comments+xml"/>
  <Override PartName="/xl/charts/chart25.xml" ContentType="application/vnd.openxmlformats-officedocument.drawingml.chart+xml"/>
  <Override PartName="/xl/drawings/drawing26.xml" ContentType="application/vnd.openxmlformats-officedocument.drawing+xml"/>
  <Override PartName="/xl/ctrlProps/ctrlProp26.xml" ContentType="application/vnd.ms-excel.controlproperties+xml"/>
  <Override PartName="/xl/comments26.xml" ContentType="application/vnd.openxmlformats-officedocument.spreadsheetml.comments+xml"/>
  <Override PartName="/xl/charts/chart26.xml" ContentType="application/vnd.openxmlformats-officedocument.drawingml.chart+xml"/>
  <Override PartName="/xl/drawings/drawing27.xml" ContentType="application/vnd.openxmlformats-officedocument.drawing+xml"/>
  <Override PartName="/xl/ctrlProps/ctrlProp27.xml" ContentType="application/vnd.ms-excel.controlproperties+xml"/>
  <Override PartName="/xl/comments27.xml" ContentType="application/vnd.openxmlformats-officedocument.spreadsheetml.comments+xml"/>
  <Override PartName="/xl/charts/chart27.xml" ContentType="application/vnd.openxmlformats-officedocument.drawingml.chart+xml"/>
  <Override PartName="/xl/drawings/drawing28.xml" ContentType="application/vnd.openxmlformats-officedocument.drawing+xml"/>
  <Override PartName="/xl/ctrlProps/ctrlProp28.xml" ContentType="application/vnd.ms-excel.controlproperties+xml"/>
  <Override PartName="/xl/comments28.xml" ContentType="application/vnd.openxmlformats-officedocument.spreadsheetml.comments+xml"/>
  <Override PartName="/xl/charts/chart28.xml" ContentType="application/vnd.openxmlformats-officedocument.drawingml.chart+xml"/>
  <Override PartName="/xl/drawings/drawing29.xml" ContentType="application/vnd.openxmlformats-officedocument.drawing+xml"/>
  <Override PartName="/xl/ctrlProps/ctrlProp29.xml" ContentType="application/vnd.ms-excel.controlproperties+xml"/>
  <Override PartName="/xl/comments29.xml" ContentType="application/vnd.openxmlformats-officedocument.spreadsheetml.comments+xml"/>
  <Override PartName="/xl/threadedComments/threadedComment4.xml" ContentType="application/vnd.ms-excel.threadedcomments+xml"/>
  <Override PartName="/xl/charts/chart29.xml" ContentType="application/vnd.openxmlformats-officedocument.drawingml.chart+xml"/>
  <Override PartName="/xl/drawings/drawing30.xml" ContentType="application/vnd.openxmlformats-officedocument.drawing+xml"/>
  <Override PartName="/xl/ctrlProps/ctrlProp30.xml" ContentType="application/vnd.ms-excel.controlproperties+xml"/>
  <Override PartName="/xl/comments30.xml" ContentType="application/vnd.openxmlformats-officedocument.spreadsheetml.comments+xml"/>
  <Override PartName="/xl/charts/chart30.xml" ContentType="application/vnd.openxmlformats-officedocument.drawingml.chart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drawings/drawing31.xml" ContentType="application/vnd.openxmlformats-officedocument.drawing+xml"/>
  <Override PartName="/xl/comments33.xml" ContentType="application/vnd.openxmlformats-officedocument.spreadsheetml.comments+xml"/>
  <Override PartName="/xl/drawings/drawing32.xml" ContentType="application/vnd.openxmlformats-officedocument.drawing+xml"/>
  <Override PartName="/xl/charts/chart3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34.xml" ContentType="application/vnd.openxmlformats-officedocument.spreadsheetml.comments+xml"/>
  <Override PartName="/xl/drawings/drawing33.xml" ContentType="application/vnd.openxmlformats-officedocument.drawing+xml"/>
  <Override PartName="/xl/charts/chart3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12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ranscogov.sharepoint.com/sites/IGSODPalawan/Operations/OPERATIONS FORMS/HOURLY GRID LOG/2025/"/>
    </mc:Choice>
  </mc:AlternateContent>
  <xr:revisionPtr revIDLastSave="38968" documentId="8_{0566F007-4F40-405E-9F0C-53FB5345956E}" xr6:coauthVersionLast="47" xr6:coauthVersionMax="47" xr10:uidLastSave="{3C2020B4-D926-4E1E-AD3F-C779A854B02F}"/>
  <bookViews>
    <workbookView xWindow="-108" yWindow="-108" windowWidth="23256" windowHeight="12456" xr2:uid="{00000000-000D-0000-FFFF-FFFF00000000}"/>
  </bookViews>
  <sheets>
    <sheet name="DEMAND FREQ SUMMARY" sheetId="177" r:id="rId1"/>
    <sheet name="1" sheetId="259" r:id="rId2"/>
    <sheet name="2" sheetId="261" r:id="rId3"/>
    <sheet name="3" sheetId="262" r:id="rId4"/>
    <sheet name="4" sheetId="263" r:id="rId5"/>
    <sheet name="5" sheetId="264" r:id="rId6"/>
    <sheet name="6" sheetId="265" r:id="rId7"/>
    <sheet name="7" sheetId="266" r:id="rId8"/>
    <sheet name="8" sheetId="267" r:id="rId9"/>
    <sheet name="9" sheetId="268" r:id="rId10"/>
    <sheet name="10" sheetId="269" r:id="rId11"/>
    <sheet name="11" sheetId="270" r:id="rId12"/>
    <sheet name="12" sheetId="271" r:id="rId13"/>
    <sheet name="13" sheetId="272" r:id="rId14"/>
    <sheet name="14" sheetId="273" r:id="rId15"/>
    <sheet name="15" sheetId="275" r:id="rId16"/>
    <sheet name="16" sheetId="276" r:id="rId17"/>
    <sheet name="17" sheetId="277" r:id="rId18"/>
    <sheet name="18" sheetId="278" r:id="rId19"/>
    <sheet name="19" sheetId="279" r:id="rId20"/>
    <sheet name="20" sheetId="280" r:id="rId21"/>
    <sheet name="21" sheetId="281" r:id="rId22"/>
    <sheet name="22" sheetId="282" r:id="rId23"/>
    <sheet name="23" sheetId="283" r:id="rId24"/>
    <sheet name="24" sheetId="284" r:id="rId25"/>
    <sheet name="25" sheetId="285" r:id="rId26"/>
    <sheet name="26" sheetId="286" r:id="rId27"/>
    <sheet name="27" sheetId="287" r:id="rId28"/>
    <sheet name="28" sheetId="288" r:id="rId29"/>
    <sheet name="29" sheetId="289" r:id="rId30"/>
    <sheet name="30" sheetId="292" r:id="rId31"/>
    <sheet name="PARAMETERS" sheetId="260" r:id="rId32"/>
    <sheet name="GEN SWITCHING LOGS" sheetId="88" r:id="rId33"/>
    <sheet name="ACTION LOGS" sheetId="89" r:id="rId34"/>
    <sheet name="BILLING" sheetId="79" r:id="rId35"/>
    <sheet name="EOD REPORT" sheetId="253" r:id="rId36"/>
    <sheet name="DPI 4th Unit (March25-April25)" sheetId="254" r:id="rId37"/>
    <sheet name="DPI 4th Unit (Feb25-March25)" sheetId="226" state="hidden" r:id="rId38"/>
    <sheet name="EOD REPORT_v1" sheetId="102" state="hidden" r:id="rId39"/>
    <sheet name="PEAK" sheetId="127" state="hidden" r:id="rId40"/>
    <sheet name="AGG DEMAND" sheetId="112" state="hidden" r:id="rId41"/>
    <sheet name="DPI 4th" sheetId="137" state="hidden" r:id="rId42"/>
    <sheet name="EOD REPORT_v2" sheetId="251" state="hidden" r:id="rId43"/>
    <sheet name="RunDown Time" sheetId="105" r:id="rId44"/>
    <sheet name="Chart2" sheetId="211" state="hidden" r:id="rId45"/>
    <sheet name="Sheet7" sheetId="156" state="hidden" r:id="rId46"/>
  </sheets>
  <externalReferences>
    <externalReference r:id="rId47"/>
  </externalReferences>
  <definedNames>
    <definedName name="_9_2" localSheetId="31">PARAMETERS!#REF!</definedName>
    <definedName name="_9_2">#REF!</definedName>
    <definedName name="_xlnm._FilterDatabase" localSheetId="1" hidden="1">'1'!$A$11:$A$83</definedName>
    <definedName name="_xlnm._FilterDatabase" localSheetId="10" hidden="1">'10'!$A$11:$A$83</definedName>
    <definedName name="_xlnm._FilterDatabase" localSheetId="11" hidden="1">'11'!$A$11:$A$83</definedName>
    <definedName name="_xlnm._FilterDatabase" localSheetId="12" hidden="1">'12'!$A$11:$A$83</definedName>
    <definedName name="_xlnm._FilterDatabase" localSheetId="13" hidden="1">'13'!$A$11:$A$83</definedName>
    <definedName name="_xlnm._FilterDatabase" localSheetId="14" hidden="1">'14'!$A$11:$A$83</definedName>
    <definedName name="_xlnm._FilterDatabase" localSheetId="15" hidden="1">'15'!$A$11:$A$83</definedName>
    <definedName name="_xlnm._FilterDatabase" localSheetId="16" hidden="1">'16'!$A$11:$A$83</definedName>
    <definedName name="_xlnm._FilterDatabase" localSheetId="17" hidden="1">'17'!$A$11:$A$83</definedName>
    <definedName name="_xlnm._FilterDatabase" localSheetId="18" hidden="1">'18'!$A$11:$A$83</definedName>
    <definedName name="_xlnm._FilterDatabase" localSheetId="19" hidden="1">'19'!$A$11:$A$83</definedName>
    <definedName name="_xlnm._FilterDatabase" localSheetId="2" hidden="1">'2'!$A$11:$A$83</definedName>
    <definedName name="_xlnm._FilterDatabase" localSheetId="20" hidden="1">'20'!$A$11:$A$83</definedName>
    <definedName name="_xlnm._FilterDatabase" localSheetId="21" hidden="1">'21'!$A$11:$A$83</definedName>
    <definedName name="_xlnm._FilterDatabase" localSheetId="22" hidden="1">'22'!$A$11:$A$83</definedName>
    <definedName name="_xlnm._FilterDatabase" localSheetId="23" hidden="1">'23'!$A$11:$A$83</definedName>
    <definedName name="_xlnm._FilterDatabase" localSheetId="24" hidden="1">'24'!$A$11:$A$83</definedName>
    <definedName name="_xlnm._FilterDatabase" localSheetId="25" hidden="1">'25'!$A$11:$A$83</definedName>
    <definedName name="_xlnm._FilterDatabase" localSheetId="26" hidden="1">'26'!$A$11:$A$83</definedName>
    <definedName name="_xlnm._FilterDatabase" localSheetId="27" hidden="1">'27'!$A$11:$A$83</definedName>
    <definedName name="_xlnm._FilterDatabase" localSheetId="28" hidden="1">'28'!$A$11:$A$83</definedName>
    <definedName name="_xlnm._FilterDatabase" localSheetId="29" hidden="1">'29'!$A$11:$A$83</definedName>
    <definedName name="_xlnm._FilterDatabase" localSheetId="3" hidden="1">'3'!$A$11:$A$83</definedName>
    <definedName name="_xlnm._FilterDatabase" localSheetId="30" hidden="1">'30'!$A$11:$A$83</definedName>
    <definedName name="_xlnm._FilterDatabase" localSheetId="4" hidden="1">'4'!$A$11:$A$83</definedName>
    <definedName name="_xlnm._FilterDatabase" localSheetId="5" hidden="1">'5'!$A$11:$A$83</definedName>
    <definedName name="_xlnm._FilterDatabase" localSheetId="6" hidden="1">'6'!$A$11:$A$83</definedName>
    <definedName name="_xlnm._FilterDatabase" localSheetId="7" hidden="1">'7'!$A$11:$A$83</definedName>
    <definedName name="_xlnm._FilterDatabase" localSheetId="8" hidden="1">'8'!$A$11:$A$83</definedName>
    <definedName name="_xlnm._FilterDatabase" localSheetId="9" hidden="1">'9'!$A$11:$A$83</definedName>
    <definedName name="_xlnm._FilterDatabase" localSheetId="33" hidden="1">'ACTION LOGS'!$A$1:$I$2495</definedName>
    <definedName name="_xlnm._FilterDatabase" localSheetId="32" hidden="1">'GEN SWITCHING LOGS'!$A$1:$L$1280</definedName>
    <definedName name="_xlnm._FilterDatabase" localSheetId="31" hidden="1">PARAMETERS!$A$1:$BR$29</definedName>
    <definedName name="_xlnm._FilterDatabase" localSheetId="43" hidden="1">'RunDown Time'!$A$1:$H$50</definedName>
    <definedName name="_xlnm.Print_Area" localSheetId="1">'1'!$A$1:$AN$158</definedName>
    <definedName name="_xlnm.Print_Area" localSheetId="10">'10'!$A$1:$AN$159</definedName>
    <definedName name="_xlnm.Print_Area" localSheetId="11">'11'!$A$1:$AN$159</definedName>
    <definedName name="_xlnm.Print_Area" localSheetId="12">'12'!$A$1:$AN$159</definedName>
    <definedName name="_xlnm.Print_Area" localSheetId="13">'13'!$A$1:$AN$159</definedName>
    <definedName name="_xlnm.Print_Area" localSheetId="14">'14'!$A$1:$AN$159</definedName>
    <definedName name="_xlnm.Print_Area" localSheetId="15">'15'!$A$1:$AN$159</definedName>
    <definedName name="_xlnm.Print_Area" localSheetId="16">'16'!$A$1:$AN$159</definedName>
    <definedName name="_xlnm.Print_Area" localSheetId="17">'17'!$A$1:$AN$159</definedName>
    <definedName name="_xlnm.Print_Area" localSheetId="18">'18'!$A$1:$AN$159</definedName>
    <definedName name="_xlnm.Print_Area" localSheetId="19">'19'!$A$1:$AN$159</definedName>
    <definedName name="_xlnm.Print_Area" localSheetId="2">'2'!$A$1:$AN$158</definedName>
    <definedName name="_xlnm.Print_Area" localSheetId="20">'20'!$A$1:$AN$159</definedName>
    <definedName name="_xlnm.Print_Area" localSheetId="21">'21'!$A$1:$AN$159</definedName>
    <definedName name="_xlnm.Print_Area" localSheetId="22">'22'!$A$1:$AN$159</definedName>
    <definedName name="_xlnm.Print_Area" localSheetId="23">'23'!$A$1:$AN$159</definedName>
    <definedName name="_xlnm.Print_Area" localSheetId="24">'24'!$A$1:$AN$159</definedName>
    <definedName name="_xlnm.Print_Area" localSheetId="25">'25'!$A$1:$AN$159</definedName>
    <definedName name="_xlnm.Print_Area" localSheetId="26">'26'!$A$1:$AN$159</definedName>
    <definedName name="_xlnm.Print_Area" localSheetId="27">'27'!$A$1:$AN$159</definedName>
    <definedName name="_xlnm.Print_Area" localSheetId="28">'28'!$A$1:$AN$159</definedName>
    <definedName name="_xlnm.Print_Area" localSheetId="29">'29'!$A$1:$AN$159</definedName>
    <definedName name="_xlnm.Print_Area" localSheetId="3">'3'!$A$1:$AN$158</definedName>
    <definedName name="_xlnm.Print_Area" localSheetId="30">'30'!$A$1:$AN$159</definedName>
    <definedName name="_xlnm.Print_Area" localSheetId="4">'4'!$A$1:$AN$158</definedName>
    <definedName name="_xlnm.Print_Area" localSheetId="5">'5'!$A$1:$AN$158</definedName>
    <definedName name="_xlnm.Print_Area" localSheetId="6">'6'!$A$1:$AN$158</definedName>
    <definedName name="_xlnm.Print_Area" localSheetId="7">'7'!$A$1:$AN$158</definedName>
    <definedName name="_xlnm.Print_Area" localSheetId="8">'8'!$A$1:$AN$158</definedName>
    <definedName name="_xlnm.Print_Area" localSheetId="9">'9'!$A$1:$AN$159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9" i="269" l="1" a="1"/>
  <c r="M9" i="269" s="1"/>
  <c r="G2" i="254"/>
  <c r="AC62" i="292"/>
  <c r="AC64" i="292"/>
  <c r="AB64" i="292"/>
  <c r="AB62" i="292"/>
  <c r="AA64" i="292"/>
  <c r="AA62" i="292"/>
  <c r="AA65" i="292" s="1"/>
  <c r="AA99" i="292" s="1"/>
  <c r="F1265" i="88"/>
  <c r="Z62" i="292"/>
  <c r="Y62" i="292"/>
  <c r="X64" i="292"/>
  <c r="X63" i="292"/>
  <c r="W64" i="292"/>
  <c r="W63" i="292"/>
  <c r="V64" i="292"/>
  <c r="V63" i="292"/>
  <c r="U64" i="292"/>
  <c r="U63" i="292"/>
  <c r="T64" i="292"/>
  <c r="T63" i="292"/>
  <c r="F1261" i="88"/>
  <c r="U106" i="292"/>
  <c r="T106" i="292"/>
  <c r="G106" i="292"/>
  <c r="F107" i="292"/>
  <c r="G107" i="292"/>
  <c r="H107" i="292"/>
  <c r="I107" i="292"/>
  <c r="J107" i="292"/>
  <c r="K107" i="292"/>
  <c r="L107" i="292"/>
  <c r="M107" i="292"/>
  <c r="N107" i="292"/>
  <c r="O107" i="292"/>
  <c r="P107" i="292"/>
  <c r="Q107" i="292"/>
  <c r="R107" i="292"/>
  <c r="S107" i="292"/>
  <c r="T107" i="292"/>
  <c r="U107" i="292"/>
  <c r="V107" i="292"/>
  <c r="W107" i="292"/>
  <c r="X107" i="292"/>
  <c r="Y107" i="292"/>
  <c r="AC129" i="292"/>
  <c r="AB129" i="292"/>
  <c r="AA129" i="292"/>
  <c r="Z129" i="292"/>
  <c r="Y129" i="292"/>
  <c r="X129" i="292"/>
  <c r="W129" i="292"/>
  <c r="V129" i="292"/>
  <c r="U129" i="292"/>
  <c r="T129" i="292"/>
  <c r="S129" i="292"/>
  <c r="R129" i="292"/>
  <c r="Q129" i="292"/>
  <c r="P129" i="292"/>
  <c r="O129" i="292"/>
  <c r="N129" i="292"/>
  <c r="M129" i="292"/>
  <c r="L129" i="292"/>
  <c r="K129" i="292"/>
  <c r="J129" i="292"/>
  <c r="I129" i="292"/>
  <c r="H129" i="292"/>
  <c r="G129" i="292"/>
  <c r="F129" i="292"/>
  <c r="P110" i="292"/>
  <c r="O110" i="292"/>
  <c r="N110" i="292"/>
  <c r="AC107" i="292"/>
  <c r="AB107" i="292"/>
  <c r="AA107" i="292"/>
  <c r="Z107" i="292"/>
  <c r="AC102" i="292"/>
  <c r="AB102" i="292"/>
  <c r="AA102" i="292"/>
  <c r="Z102" i="292"/>
  <c r="Y102" i="292"/>
  <c r="X102" i="292"/>
  <c r="W102" i="292"/>
  <c r="V102" i="292"/>
  <c r="U102" i="292"/>
  <c r="T102" i="292"/>
  <c r="S102" i="292"/>
  <c r="R102" i="292"/>
  <c r="Q102" i="292"/>
  <c r="P102" i="292"/>
  <c r="O102" i="292"/>
  <c r="N102" i="292"/>
  <c r="M102" i="292"/>
  <c r="L102" i="292"/>
  <c r="K102" i="292"/>
  <c r="J102" i="292"/>
  <c r="I102" i="292"/>
  <c r="H102" i="292"/>
  <c r="G102" i="292"/>
  <c r="F102" i="292"/>
  <c r="AC101" i="292"/>
  <c r="AB101" i="292"/>
  <c r="AA101" i="292"/>
  <c r="Z101" i="292"/>
  <c r="Y101" i="292"/>
  <c r="X101" i="292"/>
  <c r="W101" i="292"/>
  <c r="V101" i="292"/>
  <c r="U101" i="292"/>
  <c r="T101" i="292"/>
  <c r="S101" i="292"/>
  <c r="R101" i="292"/>
  <c r="N101" i="292"/>
  <c r="M101" i="292"/>
  <c r="J101" i="292"/>
  <c r="I101" i="292"/>
  <c r="H101" i="292"/>
  <c r="G101" i="292"/>
  <c r="F101" i="292"/>
  <c r="AB100" i="292"/>
  <c r="AA100" i="292"/>
  <c r="Z100" i="292"/>
  <c r="Y100" i="292"/>
  <c r="X100" i="292"/>
  <c r="W100" i="292"/>
  <c r="V100" i="292"/>
  <c r="H100" i="292"/>
  <c r="G100" i="292"/>
  <c r="F100" i="292"/>
  <c r="Q99" i="292"/>
  <c r="P99" i="292"/>
  <c r="O99" i="292"/>
  <c r="N99" i="292"/>
  <c r="M99" i="292"/>
  <c r="J99" i="292"/>
  <c r="I99" i="292"/>
  <c r="H99" i="292"/>
  <c r="G99" i="292"/>
  <c r="F99" i="292"/>
  <c r="W98" i="292"/>
  <c r="V98" i="292"/>
  <c r="U98" i="292"/>
  <c r="T98" i="292"/>
  <c r="S98" i="292"/>
  <c r="R98" i="292"/>
  <c r="Q98" i="292"/>
  <c r="P98" i="292"/>
  <c r="O98" i="292"/>
  <c r="N98" i="292"/>
  <c r="M98" i="292"/>
  <c r="K98" i="292"/>
  <c r="J98" i="292"/>
  <c r="Z96" i="292"/>
  <c r="Y96" i="292"/>
  <c r="X96" i="292"/>
  <c r="W96" i="292"/>
  <c r="V96" i="292"/>
  <c r="U96" i="292"/>
  <c r="T96" i="292"/>
  <c r="S96" i="292"/>
  <c r="R96" i="292"/>
  <c r="Q96" i="292"/>
  <c r="P96" i="292"/>
  <c r="O96" i="292"/>
  <c r="N96" i="292"/>
  <c r="F96" i="292"/>
  <c r="AC93" i="292"/>
  <c r="AB93" i="292"/>
  <c r="AA93" i="292"/>
  <c r="Z93" i="292"/>
  <c r="Y93" i="292"/>
  <c r="X93" i="292"/>
  <c r="W93" i="292"/>
  <c r="V93" i="292"/>
  <c r="U93" i="292"/>
  <c r="T93" i="292"/>
  <c r="S93" i="292"/>
  <c r="R93" i="292"/>
  <c r="N93" i="292"/>
  <c r="M93" i="292"/>
  <c r="K93" i="292"/>
  <c r="J93" i="292"/>
  <c r="I93" i="292"/>
  <c r="H93" i="292"/>
  <c r="G93" i="292"/>
  <c r="F93" i="292"/>
  <c r="AC91" i="292"/>
  <c r="AC109" i="292" s="1"/>
  <c r="AB91" i="292"/>
  <c r="AB109" i="292" s="1"/>
  <c r="AA91" i="292"/>
  <c r="AA109" i="292" s="1"/>
  <c r="Z91" i="292"/>
  <c r="Z109" i="292" s="1"/>
  <c r="Y91" i="292"/>
  <c r="Y109" i="292" s="1"/>
  <c r="X91" i="292"/>
  <c r="X109" i="292" s="1"/>
  <c r="W91" i="292"/>
  <c r="W109" i="292" s="1"/>
  <c r="V91" i="292"/>
  <c r="V109" i="292" s="1"/>
  <c r="O91" i="292"/>
  <c r="N91" i="292"/>
  <c r="N109" i="292" s="1"/>
  <c r="M91" i="292"/>
  <c r="M109" i="292" s="1"/>
  <c r="L91" i="292"/>
  <c r="L109" i="292" s="1"/>
  <c r="K91" i="292"/>
  <c r="K109" i="292" s="1"/>
  <c r="J91" i="292"/>
  <c r="J109" i="292" s="1"/>
  <c r="I91" i="292"/>
  <c r="I109" i="292" s="1"/>
  <c r="H91" i="292"/>
  <c r="H109" i="292" s="1"/>
  <c r="G91" i="292"/>
  <c r="G109" i="292" s="1"/>
  <c r="F91" i="292"/>
  <c r="F109" i="292" s="1"/>
  <c r="AC89" i="292"/>
  <c r="AB89" i="292"/>
  <c r="AA89" i="292"/>
  <c r="Z89" i="292"/>
  <c r="J89" i="292"/>
  <c r="I89" i="292"/>
  <c r="H89" i="292"/>
  <c r="G89" i="292"/>
  <c r="F89" i="292"/>
  <c r="J83" i="292"/>
  <c r="AC80" i="292"/>
  <c r="AB80" i="292"/>
  <c r="AA80" i="292"/>
  <c r="Z80" i="292"/>
  <c r="Y80" i="292"/>
  <c r="X80" i="292"/>
  <c r="W80" i="292"/>
  <c r="V80" i="292"/>
  <c r="U80" i="292"/>
  <c r="T80" i="292"/>
  <c r="S80" i="292"/>
  <c r="R80" i="292"/>
  <c r="Q80" i="292"/>
  <c r="Q101" i="292" s="1"/>
  <c r="P80" i="292"/>
  <c r="P101" i="292" s="1"/>
  <c r="O80" i="292"/>
  <c r="O101" i="292" s="1"/>
  <c r="N80" i="292"/>
  <c r="M80" i="292"/>
  <c r="L80" i="292"/>
  <c r="L101" i="292" s="1"/>
  <c r="K80" i="292"/>
  <c r="K101" i="292" s="1"/>
  <c r="J80" i="292"/>
  <c r="I80" i="292"/>
  <c r="H80" i="292"/>
  <c r="G80" i="292"/>
  <c r="F80" i="292"/>
  <c r="C80" i="292"/>
  <c r="B80" i="292"/>
  <c r="B25" i="292" s="1"/>
  <c r="AH79" i="292"/>
  <c r="AG79" i="292"/>
  <c r="AF79" i="292"/>
  <c r="AH78" i="292"/>
  <c r="AG78" i="292"/>
  <c r="AF78" i="292"/>
  <c r="AI77" i="292"/>
  <c r="AC76" i="292"/>
  <c r="AC100" i="292" s="1"/>
  <c r="AB76" i="292"/>
  <c r="AA76" i="292"/>
  <c r="Z76" i="292"/>
  <c r="Y76" i="292"/>
  <c r="X76" i="292"/>
  <c r="W76" i="292"/>
  <c r="V76" i="292"/>
  <c r="U76" i="292"/>
  <c r="U100" i="292" s="1"/>
  <c r="T76" i="292"/>
  <c r="T100" i="292" s="1"/>
  <c r="S76" i="292"/>
  <c r="S100" i="292" s="1"/>
  <c r="R76" i="292"/>
  <c r="R100" i="292" s="1"/>
  <c r="Q76" i="292"/>
  <c r="Q100" i="292" s="1"/>
  <c r="P76" i="292"/>
  <c r="P100" i="292" s="1"/>
  <c r="O76" i="292"/>
  <c r="O100" i="292" s="1"/>
  <c r="N76" i="292"/>
  <c r="N100" i="292" s="1"/>
  <c r="M76" i="292"/>
  <c r="M100" i="292" s="1"/>
  <c r="L76" i="292"/>
  <c r="L100" i="292" s="1"/>
  <c r="K76" i="292"/>
  <c r="K100" i="292" s="1"/>
  <c r="J76" i="292"/>
  <c r="J100" i="292" s="1"/>
  <c r="I76" i="292"/>
  <c r="I100" i="292" s="1"/>
  <c r="H76" i="292"/>
  <c r="G76" i="292"/>
  <c r="F76" i="292"/>
  <c r="C76" i="292"/>
  <c r="B76" i="292"/>
  <c r="AH75" i="292"/>
  <c r="AG75" i="292"/>
  <c r="AF75" i="292"/>
  <c r="AH74" i="292"/>
  <c r="AG74" i="292"/>
  <c r="AF74" i="292"/>
  <c r="AH73" i="292"/>
  <c r="AG73" i="292"/>
  <c r="AF73" i="292"/>
  <c r="AH72" i="292"/>
  <c r="AG72" i="292"/>
  <c r="AF72" i="292"/>
  <c r="AH71" i="292"/>
  <c r="AG71" i="292"/>
  <c r="AF71" i="292"/>
  <c r="AH70" i="292"/>
  <c r="AG70" i="292"/>
  <c r="AF70" i="292"/>
  <c r="AH69" i="292"/>
  <c r="AG69" i="292"/>
  <c r="AF69" i="292"/>
  <c r="AH68" i="292"/>
  <c r="AG68" i="292"/>
  <c r="AF68" i="292"/>
  <c r="AH67" i="292"/>
  <c r="AG67" i="292"/>
  <c r="AF67" i="292"/>
  <c r="AI66" i="292"/>
  <c r="X65" i="292"/>
  <c r="X99" i="292" s="1"/>
  <c r="W65" i="292"/>
  <c r="W99" i="292" s="1"/>
  <c r="S65" i="292"/>
  <c r="S99" i="292" s="1"/>
  <c r="R65" i="292"/>
  <c r="R99" i="292" s="1"/>
  <c r="Q65" i="292"/>
  <c r="P65" i="292"/>
  <c r="O65" i="292"/>
  <c r="N65" i="292"/>
  <c r="M65" i="292"/>
  <c r="J65" i="292"/>
  <c r="I65" i="292"/>
  <c r="H65" i="292"/>
  <c r="G65" i="292"/>
  <c r="F65" i="292"/>
  <c r="C65" i="292"/>
  <c r="B65" i="292"/>
  <c r="AH64" i="292"/>
  <c r="Z64" i="292"/>
  <c r="Y64" i="292"/>
  <c r="L64" i="292"/>
  <c r="L65" i="292" s="1"/>
  <c r="L99" i="292" s="1"/>
  <c r="K64" i="292"/>
  <c r="AG64" i="292" s="1"/>
  <c r="AH63" i="292"/>
  <c r="Z63" i="292"/>
  <c r="Y63" i="292"/>
  <c r="J63" i="292"/>
  <c r="I63" i="292"/>
  <c r="H63" i="292"/>
  <c r="G63" i="292"/>
  <c r="F63" i="292"/>
  <c r="AB65" i="292"/>
  <c r="AB99" i="292" s="1"/>
  <c r="Z65" i="292"/>
  <c r="Z99" i="292" s="1"/>
  <c r="V65" i="292"/>
  <c r="V99" i="292" s="1"/>
  <c r="U65" i="292"/>
  <c r="U99" i="292" s="1"/>
  <c r="T65" i="292"/>
  <c r="T99" i="292" s="1"/>
  <c r="S62" i="292"/>
  <c r="R62" i="292"/>
  <c r="L62" i="292"/>
  <c r="K62" i="292"/>
  <c r="J62" i="292"/>
  <c r="I62" i="292"/>
  <c r="H62" i="292"/>
  <c r="G62" i="292"/>
  <c r="F62" i="292"/>
  <c r="AC60" i="292"/>
  <c r="AC98" i="292" s="1"/>
  <c r="AB60" i="292"/>
  <c r="AB98" i="292" s="1"/>
  <c r="AA60" i="292"/>
  <c r="AA98" i="292" s="1"/>
  <c r="Z60" i="292"/>
  <c r="Z98" i="292" s="1"/>
  <c r="Y60" i="292"/>
  <c r="Y98" i="292" s="1"/>
  <c r="X60" i="292"/>
  <c r="X98" i="292" s="1"/>
  <c r="W60" i="292"/>
  <c r="V60" i="292"/>
  <c r="U60" i="292"/>
  <c r="T60" i="292"/>
  <c r="S60" i="292"/>
  <c r="R60" i="292"/>
  <c r="Q60" i="292"/>
  <c r="P60" i="292"/>
  <c r="O60" i="292"/>
  <c r="N60" i="292"/>
  <c r="M60" i="292"/>
  <c r="K60" i="292"/>
  <c r="J60" i="292"/>
  <c r="I60" i="292"/>
  <c r="I98" i="292" s="1"/>
  <c r="H60" i="292"/>
  <c r="H98" i="292" s="1"/>
  <c r="G60" i="292"/>
  <c r="G98" i="292" s="1"/>
  <c r="F60" i="292"/>
  <c r="F98" i="292" s="1"/>
  <c r="C60" i="292"/>
  <c r="B60" i="292"/>
  <c r="AH59" i="292"/>
  <c r="AG59" i="292"/>
  <c r="AF59" i="292"/>
  <c r="AH58" i="292"/>
  <c r="AG58" i="292"/>
  <c r="AF58" i="292"/>
  <c r="AH57" i="292"/>
  <c r="AG57" i="292"/>
  <c r="AF57" i="292"/>
  <c r="L56" i="292"/>
  <c r="AG56" i="292" s="1"/>
  <c r="AH55" i="292"/>
  <c r="AG55" i="292"/>
  <c r="AF55" i="292"/>
  <c r="AH54" i="292"/>
  <c r="AG54" i="292"/>
  <c r="AF54" i="292"/>
  <c r="AH53" i="292"/>
  <c r="AG53" i="292"/>
  <c r="AF53" i="292"/>
  <c r="AH52" i="292"/>
  <c r="AG52" i="292"/>
  <c r="AF52" i="292"/>
  <c r="AH51" i="292"/>
  <c r="AG51" i="292"/>
  <c r="AF51" i="292"/>
  <c r="L50" i="292"/>
  <c r="AG50" i="292" s="1"/>
  <c r="AH49" i="292"/>
  <c r="AG49" i="292"/>
  <c r="AF49" i="292"/>
  <c r="AH48" i="292"/>
  <c r="AG48" i="292"/>
  <c r="AF48" i="292"/>
  <c r="AH47" i="292"/>
  <c r="AG47" i="292"/>
  <c r="AF47" i="292"/>
  <c r="AH46" i="292"/>
  <c r="AG46" i="292"/>
  <c r="AF46" i="292"/>
  <c r="AH45" i="292"/>
  <c r="AG45" i="292"/>
  <c r="AF45" i="292"/>
  <c r="AH44" i="292"/>
  <c r="AG44" i="292"/>
  <c r="AF44" i="292"/>
  <c r="AH43" i="292"/>
  <c r="AG43" i="292"/>
  <c r="AF43" i="292"/>
  <c r="AH42" i="292"/>
  <c r="AG42" i="292"/>
  <c r="AF42" i="292"/>
  <c r="AH41" i="292"/>
  <c r="AG41" i="292"/>
  <c r="AF41" i="292"/>
  <c r="AH40" i="292"/>
  <c r="AG40" i="292"/>
  <c r="AF40" i="292"/>
  <c r="AH39" i="292"/>
  <c r="AG39" i="292"/>
  <c r="AF39" i="292"/>
  <c r="AH38" i="292"/>
  <c r="AG38" i="292"/>
  <c r="AF38" i="292"/>
  <c r="AH37" i="292"/>
  <c r="AG37" i="292"/>
  <c r="AF37" i="292"/>
  <c r="AH36" i="292"/>
  <c r="AG36" i="292"/>
  <c r="AF36" i="292"/>
  <c r="AI35" i="292"/>
  <c r="AC34" i="292"/>
  <c r="AC96" i="292" s="1"/>
  <c r="AB34" i="292"/>
  <c r="AB96" i="292" s="1"/>
  <c r="AA34" i="292"/>
  <c r="AA96" i="292" s="1"/>
  <c r="Z34" i="292"/>
  <c r="Y34" i="292"/>
  <c r="X34" i="292"/>
  <c r="W34" i="292"/>
  <c r="V34" i="292"/>
  <c r="U34" i="292"/>
  <c r="T34" i="292"/>
  <c r="S34" i="292"/>
  <c r="R34" i="292"/>
  <c r="Q34" i="292"/>
  <c r="P34" i="292"/>
  <c r="O34" i="292"/>
  <c r="N34" i="292"/>
  <c r="M34" i="292"/>
  <c r="M96" i="292" s="1"/>
  <c r="L34" i="292"/>
  <c r="L96" i="292" s="1"/>
  <c r="K34" i="292"/>
  <c r="K96" i="292" s="1"/>
  <c r="J34" i="292"/>
  <c r="J96" i="292" s="1"/>
  <c r="J103" i="292" s="1"/>
  <c r="I34" i="292"/>
  <c r="I96" i="292" s="1"/>
  <c r="H34" i="292"/>
  <c r="H96" i="292" s="1"/>
  <c r="G34" i="292"/>
  <c r="G96" i="292" s="1"/>
  <c r="F34" i="292"/>
  <c r="C34" i="292"/>
  <c r="B34" i="292"/>
  <c r="AH33" i="292"/>
  <c r="AG33" i="292"/>
  <c r="AF33" i="292"/>
  <c r="AI32" i="292"/>
  <c r="AC31" i="292"/>
  <c r="AB31" i="292"/>
  <c r="AA31" i="292"/>
  <c r="Z31" i="292"/>
  <c r="Y31" i="292"/>
  <c r="X31" i="292"/>
  <c r="W31" i="292"/>
  <c r="V31" i="292"/>
  <c r="U31" i="292"/>
  <c r="T31" i="292"/>
  <c r="S31" i="292"/>
  <c r="R31" i="292"/>
  <c r="Q31" i="292"/>
  <c r="Q93" i="292" s="1"/>
  <c r="P31" i="292"/>
  <c r="P93" i="292" s="1"/>
  <c r="O31" i="292"/>
  <c r="O93" i="292" s="1"/>
  <c r="N31" i="292"/>
  <c r="M31" i="292"/>
  <c r="L31" i="292"/>
  <c r="L93" i="292" s="1"/>
  <c r="K31" i="292"/>
  <c r="J31" i="292"/>
  <c r="I31" i="292"/>
  <c r="H31" i="292"/>
  <c r="G31" i="292"/>
  <c r="F31" i="292"/>
  <c r="C31" i="292"/>
  <c r="B31" i="292"/>
  <c r="AI28" i="292"/>
  <c r="AH28" i="292"/>
  <c r="AG28" i="292"/>
  <c r="AF28" i="292"/>
  <c r="AH27" i="292"/>
  <c r="AG27" i="292"/>
  <c r="AF27" i="292"/>
  <c r="AI26" i="292"/>
  <c r="AC25" i="292"/>
  <c r="AB25" i="292"/>
  <c r="AA25" i="292"/>
  <c r="Z25" i="292"/>
  <c r="Y25" i="292"/>
  <c r="X25" i="292"/>
  <c r="W25" i="292"/>
  <c r="V25" i="292"/>
  <c r="U25" i="292"/>
  <c r="T25" i="292"/>
  <c r="S25" i="292"/>
  <c r="S89" i="292" s="1"/>
  <c r="R25" i="292"/>
  <c r="R89" i="292" s="1"/>
  <c r="Q25" i="292"/>
  <c r="Q89" i="292" s="1"/>
  <c r="P25" i="292"/>
  <c r="P89" i="292" s="1"/>
  <c r="O25" i="292"/>
  <c r="O83" i="292" s="1"/>
  <c r="N25" i="292"/>
  <c r="N83" i="292" s="1"/>
  <c r="M25" i="292"/>
  <c r="M83" i="292" s="1"/>
  <c r="L25" i="292"/>
  <c r="K25" i="292"/>
  <c r="J25" i="292"/>
  <c r="I25" i="292"/>
  <c r="H25" i="292"/>
  <c r="G25" i="292"/>
  <c r="F25" i="292"/>
  <c r="C25" i="292"/>
  <c r="AH24" i="292"/>
  <c r="AG24" i="292"/>
  <c r="AF24" i="292"/>
  <c r="AI23" i="292"/>
  <c r="AC22" i="292"/>
  <c r="AB22" i="292"/>
  <c r="AA22" i="292"/>
  <c r="Z22" i="292"/>
  <c r="Y22" i="292"/>
  <c r="Y89" i="292" s="1"/>
  <c r="X22" i="292"/>
  <c r="X89" i="292" s="1"/>
  <c r="W22" i="292"/>
  <c r="W89" i="292" s="1"/>
  <c r="V22" i="292"/>
  <c r="V89" i="292" s="1"/>
  <c r="V103" i="292" s="1"/>
  <c r="U22" i="292"/>
  <c r="U89" i="292" s="1"/>
  <c r="U103" i="292" s="1"/>
  <c r="T22" i="292"/>
  <c r="T89" i="292" s="1"/>
  <c r="S22" i="292"/>
  <c r="R22" i="292"/>
  <c r="Q22" i="292"/>
  <c r="P22" i="292"/>
  <c r="O22" i="292"/>
  <c r="N22" i="292"/>
  <c r="M22" i="292"/>
  <c r="L22" i="292"/>
  <c r="K22" i="292"/>
  <c r="J22" i="292"/>
  <c r="I22" i="292"/>
  <c r="H22" i="292"/>
  <c r="G22" i="292"/>
  <c r="F22" i="292"/>
  <c r="C22" i="292"/>
  <c r="B22" i="292"/>
  <c r="AH21" i="292"/>
  <c r="AG21" i="292"/>
  <c r="AF21" i="292"/>
  <c r="AH20" i="292"/>
  <c r="AG20" i="292"/>
  <c r="AF20" i="292"/>
  <c r="AH19" i="292"/>
  <c r="AG19" i="292"/>
  <c r="AF19" i="292"/>
  <c r="AI18" i="292"/>
  <c r="AC17" i="292"/>
  <c r="AB17" i="292"/>
  <c r="AA17" i="292"/>
  <c r="Z17" i="292"/>
  <c r="Y17" i="292"/>
  <c r="X17" i="292"/>
  <c r="X110" i="292" s="1"/>
  <c r="W17" i="292"/>
  <c r="W110" i="292" s="1"/>
  <c r="V17" i="292"/>
  <c r="V83" i="292" s="1"/>
  <c r="U17" i="292"/>
  <c r="U91" i="292" s="1"/>
  <c r="U109" i="292" s="1"/>
  <c r="T17" i="292"/>
  <c r="T83" i="292" s="1"/>
  <c r="S17" i="292"/>
  <c r="S91" i="292" s="1"/>
  <c r="S109" i="292" s="1"/>
  <c r="R17" i="292"/>
  <c r="R91" i="292" s="1"/>
  <c r="R109" i="292" s="1"/>
  <c r="Q17" i="292"/>
  <c r="Q110" i="292" s="1"/>
  <c r="P17" i="292"/>
  <c r="P91" i="292" s="1"/>
  <c r="O17" i="292"/>
  <c r="N17" i="292"/>
  <c r="M17" i="292"/>
  <c r="M110" i="292" s="1"/>
  <c r="L17" i="292"/>
  <c r="L110" i="292" s="1"/>
  <c r="K17" i="292"/>
  <c r="K110" i="292" s="1"/>
  <c r="J17" i="292"/>
  <c r="J110" i="292" s="1"/>
  <c r="I17" i="292"/>
  <c r="I83" i="292" s="1"/>
  <c r="H17" i="292"/>
  <c r="H83" i="292" s="1"/>
  <c r="G17" i="292"/>
  <c r="G83" i="292" s="1"/>
  <c r="F17" i="292"/>
  <c r="F83" i="292" s="1"/>
  <c r="C17" i="292"/>
  <c r="C83" i="292" s="1"/>
  <c r="B17" i="292"/>
  <c r="B83" i="292" s="1"/>
  <c r="AH16" i="292"/>
  <c r="AG16" i="292"/>
  <c r="AF16" i="292"/>
  <c r="AH15" i="292"/>
  <c r="AG15" i="292"/>
  <c r="AF15" i="292"/>
  <c r="AH14" i="292"/>
  <c r="AG14" i="292"/>
  <c r="AF14" i="292"/>
  <c r="AH13" i="292"/>
  <c r="AG13" i="292"/>
  <c r="AF13" i="292"/>
  <c r="AI12" i="292"/>
  <c r="M9" i="292" a="1"/>
  <c r="M9" i="292" s="1"/>
  <c r="AC65" i="292" l="1"/>
  <c r="AC99" i="292" s="1"/>
  <c r="AH62" i="292"/>
  <c r="Z83" i="292"/>
  <c r="AC83" i="292"/>
  <c r="AI61" i="292"/>
  <c r="U108" i="292"/>
  <c r="V108" i="292"/>
  <c r="J108" i="292"/>
  <c r="P103" i="292"/>
  <c r="P108" i="292" s="1"/>
  <c r="G103" i="292"/>
  <c r="G108" i="292" s="1"/>
  <c r="H103" i="292"/>
  <c r="H108" i="292" s="1"/>
  <c r="AA83" i="292"/>
  <c r="I103" i="292"/>
  <c r="I108" i="292" s="1"/>
  <c r="P109" i="292"/>
  <c r="O109" i="292"/>
  <c r="R103" i="292"/>
  <c r="R108" i="292" s="1"/>
  <c r="S103" i="292"/>
  <c r="S108" i="292" s="1"/>
  <c r="F103" i="292"/>
  <c r="F108" i="292" s="1"/>
  <c r="AB83" i="292"/>
  <c r="W103" i="292"/>
  <c r="W108" i="292" s="1"/>
  <c r="Z103" i="292"/>
  <c r="Z108" i="292" s="1"/>
  <c r="AA103" i="292"/>
  <c r="AA108" i="292" s="1"/>
  <c r="AC103" i="292"/>
  <c r="AC108" i="292" s="1"/>
  <c r="K83" i="292"/>
  <c r="X103" i="292"/>
  <c r="X108" i="292" s="1"/>
  <c r="AB103" i="292"/>
  <c r="AB108" i="292" s="1"/>
  <c r="Y65" i="292"/>
  <c r="Y99" i="292" s="1"/>
  <c r="Y103" i="292" s="1"/>
  <c r="Y108" i="292" s="1"/>
  <c r="AF63" i="292"/>
  <c r="AG63" i="292"/>
  <c r="AF62" i="292"/>
  <c r="K89" i="292"/>
  <c r="K103" i="292" s="1"/>
  <c r="K108" i="292" s="1"/>
  <c r="AG62" i="292"/>
  <c r="L89" i="292"/>
  <c r="L103" i="292" s="1"/>
  <c r="L108" i="292" s="1"/>
  <c r="Q83" i="292"/>
  <c r="AF50" i="292"/>
  <c r="N89" i="292"/>
  <c r="N103" i="292" s="1"/>
  <c r="N108" i="292" s="1"/>
  <c r="V110" i="292"/>
  <c r="F110" i="292"/>
  <c r="Z110" i="292"/>
  <c r="W83" i="292"/>
  <c r="G110" i="292"/>
  <c r="AA110" i="292"/>
  <c r="X83" i="292"/>
  <c r="H110" i="292"/>
  <c r="AB110" i="292"/>
  <c r="R110" i="292"/>
  <c r="S110" i="292"/>
  <c r="AF56" i="292"/>
  <c r="U110" i="292"/>
  <c r="AH56" i="292"/>
  <c r="AH50" i="292"/>
  <c r="P83" i="292"/>
  <c r="L60" i="292"/>
  <c r="L98" i="292" s="1"/>
  <c r="R83" i="292"/>
  <c r="S83" i="292"/>
  <c r="Q91" i="292"/>
  <c r="Q109" i="292" s="1"/>
  <c r="T110" i="292"/>
  <c r="M89" i="292"/>
  <c r="M103" i="292" s="1"/>
  <c r="M108" i="292" s="1"/>
  <c r="O89" i="292"/>
  <c r="O103" i="292" s="1"/>
  <c r="O108" i="292" s="1"/>
  <c r="U83" i="292"/>
  <c r="I110" i="292"/>
  <c r="AF64" i="292"/>
  <c r="T91" i="292"/>
  <c r="T109" i="292" s="1"/>
  <c r="AI36" i="292"/>
  <c r="K65" i="292"/>
  <c r="K99" i="292" s="1"/>
  <c r="Y110" i="292"/>
  <c r="AC110" i="292"/>
  <c r="Y83" i="292" l="1"/>
  <c r="Q103" i="292"/>
  <c r="Q108" i="292" s="1"/>
  <c r="L83" i="292"/>
  <c r="T103" i="292"/>
  <c r="T108" i="292" s="1"/>
  <c r="F1253" i="88" l="1"/>
  <c r="AE752" i="260"/>
  <c r="F1256" i="88"/>
  <c r="AE750" i="260"/>
  <c r="AE751" i="260"/>
  <c r="F1279" i="88"/>
  <c r="F1278" i="88"/>
  <c r="F1208" i="88"/>
  <c r="F1246" i="88"/>
  <c r="F1030" i="88"/>
  <c r="AE749" i="260"/>
  <c r="W749" i="260"/>
  <c r="F1245" i="88"/>
  <c r="F1275" i="88"/>
  <c r="F1276" i="88"/>
  <c r="W748" i="260"/>
  <c r="F1274" i="88"/>
  <c r="W747" i="260"/>
  <c r="W746" i="260"/>
  <c r="W745" i="260"/>
  <c r="F1273" i="88"/>
  <c r="AE744" i="260"/>
  <c r="W744" i="260"/>
  <c r="F1271" i="88"/>
  <c r="F1272" i="88"/>
  <c r="F1270" i="88"/>
  <c r="F1269" i="88"/>
  <c r="F1268" i="88"/>
  <c r="AE743" i="260"/>
  <c r="W743" i="260"/>
  <c r="F1267" i="88"/>
  <c r="F1266" i="88"/>
  <c r="F1264" i="88"/>
  <c r="AE742" i="260"/>
  <c r="AE741" i="260"/>
  <c r="W742" i="260"/>
  <c r="W741" i="260"/>
  <c r="F1263" i="88"/>
  <c r="F1258" i="88"/>
  <c r="F1257" i="88"/>
  <c r="F1259" i="88"/>
  <c r="AE740" i="260"/>
  <c r="W740" i="260"/>
  <c r="F1255" i="88"/>
  <c r="F1252" i="88"/>
  <c r="F1254" i="88"/>
  <c r="AE739" i="260"/>
  <c r="W739" i="260"/>
  <c r="F1242" i="88"/>
  <c r="F1236" i="88"/>
  <c r="F1250" i="88"/>
  <c r="F1249" i="88"/>
  <c r="F1248" i="88"/>
  <c r="W738" i="260"/>
  <c r="F1247" i="88"/>
  <c r="W737" i="260"/>
  <c r="F1243" i="88"/>
  <c r="F1238" i="88"/>
  <c r="F1244" i="88"/>
  <c r="F1239" i="88"/>
  <c r="F1178" i="88"/>
  <c r="AE730" i="260"/>
  <c r="F1220" i="88"/>
  <c r="AE728" i="260"/>
  <c r="AC63" i="289"/>
  <c r="AC62" i="289"/>
  <c r="F1225" i="88"/>
  <c r="AE727" i="260" l="1"/>
  <c r="AB63" i="289"/>
  <c r="AB62" i="289"/>
  <c r="AE726" i="260"/>
  <c r="F1217" i="88"/>
  <c r="F1237" i="88"/>
  <c r="AA64" i="289"/>
  <c r="AA63" i="289"/>
  <c r="AA62" i="289"/>
  <c r="AE725" i="260"/>
  <c r="Z64" i="289"/>
  <c r="Z63" i="289"/>
  <c r="Z62" i="289"/>
  <c r="F1241" i="88"/>
  <c r="F1240" i="88"/>
  <c r="AE724" i="260"/>
  <c r="Y64" i="289"/>
  <c r="Y63" i="289"/>
  <c r="Y62" i="289"/>
  <c r="AE723" i="260"/>
  <c r="X64" i="289"/>
  <c r="X62" i="289"/>
  <c r="F1216" i="88"/>
  <c r="F1215" i="88"/>
  <c r="AE722" i="260"/>
  <c r="W722" i="260"/>
  <c r="AE721" i="260"/>
  <c r="AE720" i="260"/>
  <c r="W721" i="260"/>
  <c r="W720" i="260"/>
  <c r="V106" i="289"/>
  <c r="F1211" i="88"/>
  <c r="F1233" i="88"/>
  <c r="F1234" i="88"/>
  <c r="F1235" i="88"/>
  <c r="U62" i="289"/>
  <c r="U64" i="289"/>
  <c r="AE719" i="260"/>
  <c r="W719" i="260"/>
  <c r="T64" i="289"/>
  <c r="T62" i="289"/>
  <c r="AE718" i="260"/>
  <c r="W718" i="260"/>
  <c r="S64" i="289"/>
  <c r="S62" i="289"/>
  <c r="F1229" i="88"/>
  <c r="F1232" i="88"/>
  <c r="F1205" i="88"/>
  <c r="AE717" i="260"/>
  <c r="W717" i="260"/>
  <c r="R64" i="289"/>
  <c r="R63" i="289"/>
  <c r="F1230" i="88"/>
  <c r="F1231" i="88"/>
  <c r="F1228" i="88"/>
  <c r="AE716" i="260"/>
  <c r="W716" i="260"/>
  <c r="Q63" i="289"/>
  <c r="Q64" i="289"/>
  <c r="P34" i="289"/>
  <c r="AE715" i="260"/>
  <c r="W715" i="260"/>
  <c r="P64" i="289"/>
  <c r="P63" i="289"/>
  <c r="F1223" i="88"/>
  <c r="F1222" i="88"/>
  <c r="F1226" i="88"/>
  <c r="F1221" i="88"/>
  <c r="F1219" i="88"/>
  <c r="AE714" i="260"/>
  <c r="W714" i="260"/>
  <c r="O64" i="289"/>
  <c r="O63" i="289"/>
  <c r="O56" i="289"/>
  <c r="O51" i="289"/>
  <c r="O50" i="289"/>
  <c r="O47" i="289"/>
  <c r="F1224" i="88"/>
  <c r="W713" i="260" l="1"/>
  <c r="N64" i="289"/>
  <c r="N63" i="289"/>
  <c r="F1218" i="88"/>
  <c r="W712" i="260"/>
  <c r="M64" i="289"/>
  <c r="M63" i="289"/>
  <c r="F1204" i="88"/>
  <c r="F1214" i="88"/>
  <c r="F1212" i="88"/>
  <c r="F1210" i="88"/>
  <c r="F1213" i="88"/>
  <c r="L64" i="289"/>
  <c r="L63" i="289"/>
  <c r="L56" i="289"/>
  <c r="L51" i="289"/>
  <c r="L50" i="289"/>
  <c r="L47" i="289"/>
  <c r="F1197" i="88"/>
  <c r="K63" i="289"/>
  <c r="J63" i="289"/>
  <c r="J62" i="289"/>
  <c r="I62" i="289"/>
  <c r="F1209" i="88"/>
  <c r="H63" i="289"/>
  <c r="H62" i="289"/>
  <c r="F1200" i="88"/>
  <c r="G91" i="289"/>
  <c r="G63" i="289"/>
  <c r="G62" i="289"/>
  <c r="F63" i="289"/>
  <c r="F62" i="289"/>
  <c r="F1190" i="88"/>
  <c r="F80" i="289"/>
  <c r="F101" i="289" s="1"/>
  <c r="F76" i="289"/>
  <c r="F65" i="289"/>
  <c r="F99" i="289" s="1"/>
  <c r="F60" i="289"/>
  <c r="F34" i="289"/>
  <c r="F31" i="289"/>
  <c r="F93" i="289" s="1"/>
  <c r="F25" i="289"/>
  <c r="F22" i="289"/>
  <c r="F89" i="289" s="1"/>
  <c r="F17" i="289"/>
  <c r="F83" i="289" s="1"/>
  <c r="AC129" i="289"/>
  <c r="AB129" i="289"/>
  <c r="AA129" i="289"/>
  <c r="Z129" i="289"/>
  <c r="Y129" i="289"/>
  <c r="X129" i="289"/>
  <c r="W129" i="289"/>
  <c r="V129" i="289"/>
  <c r="U129" i="289"/>
  <c r="T129" i="289"/>
  <c r="S129" i="289"/>
  <c r="R129" i="289"/>
  <c r="Q129" i="289"/>
  <c r="P129" i="289"/>
  <c r="O129" i="289"/>
  <c r="N129" i="289"/>
  <c r="M129" i="289"/>
  <c r="L129" i="289"/>
  <c r="K129" i="289"/>
  <c r="J129" i="289"/>
  <c r="I129" i="289"/>
  <c r="H129" i="289"/>
  <c r="G129" i="289"/>
  <c r="F129" i="289"/>
  <c r="AC107" i="289"/>
  <c r="AB107" i="289"/>
  <c r="AA107" i="289"/>
  <c r="Z107" i="289"/>
  <c r="Y107" i="289"/>
  <c r="X107" i="289"/>
  <c r="W107" i="289"/>
  <c r="V107" i="289"/>
  <c r="U107" i="289"/>
  <c r="T107" i="289"/>
  <c r="S107" i="289"/>
  <c r="R107" i="289"/>
  <c r="Q107" i="289"/>
  <c r="P107" i="289"/>
  <c r="O107" i="289"/>
  <c r="N107" i="289"/>
  <c r="M107" i="289"/>
  <c r="L107" i="289"/>
  <c r="K107" i="289"/>
  <c r="J107" i="289"/>
  <c r="I107" i="289"/>
  <c r="H107" i="289"/>
  <c r="G107" i="289"/>
  <c r="F107" i="289"/>
  <c r="AC102" i="289"/>
  <c r="AB102" i="289"/>
  <c r="AA102" i="289"/>
  <c r="Z102" i="289"/>
  <c r="Y102" i="289"/>
  <c r="X102" i="289"/>
  <c r="W102" i="289"/>
  <c r="V102" i="289"/>
  <c r="U102" i="289"/>
  <c r="T102" i="289"/>
  <c r="S102" i="289"/>
  <c r="R102" i="289"/>
  <c r="Q102" i="289"/>
  <c r="P102" i="289"/>
  <c r="O102" i="289"/>
  <c r="N102" i="289"/>
  <c r="M102" i="289"/>
  <c r="L102" i="289"/>
  <c r="K102" i="289"/>
  <c r="J102" i="289"/>
  <c r="I102" i="289"/>
  <c r="H102" i="289"/>
  <c r="G102" i="289"/>
  <c r="F102" i="289"/>
  <c r="AA101" i="289"/>
  <c r="U101" i="289"/>
  <c r="W100" i="289"/>
  <c r="Q99" i="289"/>
  <c r="Y96" i="289"/>
  <c r="J91" i="289"/>
  <c r="I91" i="289"/>
  <c r="H91" i="289"/>
  <c r="F91" i="289"/>
  <c r="AC80" i="289"/>
  <c r="AC101" i="289" s="1"/>
  <c r="AB80" i="289"/>
  <c r="AB101" i="289" s="1"/>
  <c r="AA80" i="289"/>
  <c r="Z80" i="289"/>
  <c r="Z101" i="289" s="1"/>
  <c r="Y80" i="289"/>
  <c r="Y101" i="289" s="1"/>
  <c r="X80" i="289"/>
  <c r="X101" i="289" s="1"/>
  <c r="W80" i="289"/>
  <c r="W101" i="289" s="1"/>
  <c r="V80" i="289"/>
  <c r="V101" i="289" s="1"/>
  <c r="U80" i="289"/>
  <c r="T80" i="289"/>
  <c r="T101" i="289" s="1"/>
  <c r="S80" i="289"/>
  <c r="S101" i="289" s="1"/>
  <c r="R80" i="289"/>
  <c r="R101" i="289" s="1"/>
  <c r="Q80" i="289"/>
  <c r="Q101" i="289" s="1"/>
  <c r="P80" i="289"/>
  <c r="P101" i="289" s="1"/>
  <c r="O80" i="289"/>
  <c r="O101" i="289" s="1"/>
  <c r="N80" i="289"/>
  <c r="N101" i="289" s="1"/>
  <c r="M80" i="289"/>
  <c r="M101" i="289" s="1"/>
  <c r="L80" i="289"/>
  <c r="L101" i="289" s="1"/>
  <c r="K80" i="289"/>
  <c r="K101" i="289" s="1"/>
  <c r="J80" i="289"/>
  <c r="J101" i="289" s="1"/>
  <c r="I80" i="289"/>
  <c r="I101" i="289" s="1"/>
  <c r="H80" i="289"/>
  <c r="H101" i="289" s="1"/>
  <c r="G80" i="289"/>
  <c r="G101" i="289" s="1"/>
  <c r="C80" i="289"/>
  <c r="B80" i="289"/>
  <c r="B25" i="289" s="1"/>
  <c r="AH79" i="289"/>
  <c r="AG79" i="289"/>
  <c r="AF79" i="289"/>
  <c r="AH78" i="289"/>
  <c r="AG78" i="289"/>
  <c r="AF78" i="289"/>
  <c r="AI77" i="289"/>
  <c r="AC76" i="289"/>
  <c r="AC100" i="289" s="1"/>
  <c r="AB76" i="289"/>
  <c r="AB100" i="289" s="1"/>
  <c r="AA76" i="289"/>
  <c r="AA100" i="289" s="1"/>
  <c r="Z76" i="289"/>
  <c r="Z100" i="289" s="1"/>
  <c r="Y76" i="289"/>
  <c r="Y100" i="289" s="1"/>
  <c r="X76" i="289"/>
  <c r="X100" i="289" s="1"/>
  <c r="W76" i="289"/>
  <c r="V76" i="289"/>
  <c r="V100" i="289" s="1"/>
  <c r="U76" i="289"/>
  <c r="U100" i="289" s="1"/>
  <c r="T76" i="289"/>
  <c r="T100" i="289" s="1"/>
  <c r="S76" i="289"/>
  <c r="S100" i="289" s="1"/>
  <c r="R76" i="289"/>
  <c r="R100" i="289" s="1"/>
  <c r="Q76" i="289"/>
  <c r="Q100" i="289" s="1"/>
  <c r="P76" i="289"/>
  <c r="P100" i="289" s="1"/>
  <c r="O76" i="289"/>
  <c r="O100" i="289" s="1"/>
  <c r="N76" i="289"/>
  <c r="N100" i="289" s="1"/>
  <c r="M76" i="289"/>
  <c r="M100" i="289" s="1"/>
  <c r="L76" i="289"/>
  <c r="L100" i="289" s="1"/>
  <c r="K76" i="289"/>
  <c r="K100" i="289" s="1"/>
  <c r="J76" i="289"/>
  <c r="J100" i="289" s="1"/>
  <c r="I76" i="289"/>
  <c r="I100" i="289" s="1"/>
  <c r="H76" i="289"/>
  <c r="H100" i="289" s="1"/>
  <c r="G76" i="289"/>
  <c r="G100" i="289" s="1"/>
  <c r="F100" i="289"/>
  <c r="C76" i="289"/>
  <c r="B76" i="289"/>
  <c r="AH75" i="289"/>
  <c r="AG75" i="289"/>
  <c r="AF75" i="289"/>
  <c r="AH74" i="289"/>
  <c r="AG74" i="289"/>
  <c r="AF74" i="289"/>
  <c r="AH73" i="289"/>
  <c r="AG73" i="289"/>
  <c r="AF73" i="289"/>
  <c r="AH72" i="289"/>
  <c r="AG72" i="289"/>
  <c r="AF72" i="289"/>
  <c r="AH71" i="289"/>
  <c r="AG71" i="289"/>
  <c r="AF71" i="289"/>
  <c r="AH70" i="289"/>
  <c r="AG70" i="289"/>
  <c r="AF70" i="289"/>
  <c r="AH69" i="289"/>
  <c r="AG69" i="289"/>
  <c r="AF69" i="289"/>
  <c r="AH68" i="289"/>
  <c r="AG68" i="289"/>
  <c r="AF68" i="289"/>
  <c r="AH67" i="289"/>
  <c r="AG67" i="289"/>
  <c r="AF67" i="289"/>
  <c r="AI66" i="289"/>
  <c r="Y65" i="289"/>
  <c r="Y99" i="289" s="1"/>
  <c r="X65" i="289"/>
  <c r="X99" i="289" s="1"/>
  <c r="S65" i="289"/>
  <c r="S99" i="289" s="1"/>
  <c r="R65" i="289"/>
  <c r="R99" i="289" s="1"/>
  <c r="Q65" i="289"/>
  <c r="P65" i="289"/>
  <c r="P99" i="289" s="1"/>
  <c r="I65" i="289"/>
  <c r="I99" i="289" s="1"/>
  <c r="H65" i="289"/>
  <c r="H99" i="289" s="1"/>
  <c r="G65" i="289"/>
  <c r="G99" i="289" s="1"/>
  <c r="C65" i="289"/>
  <c r="V65" i="289"/>
  <c r="V99" i="289" s="1"/>
  <c r="O65" i="289"/>
  <c r="O99" i="289" s="1"/>
  <c r="N65" i="289"/>
  <c r="N99" i="289" s="1"/>
  <c r="M65" i="289"/>
  <c r="M99" i="289" s="1"/>
  <c r="L65" i="289"/>
  <c r="L99" i="289" s="1"/>
  <c r="K65" i="289"/>
  <c r="K99" i="289" s="1"/>
  <c r="AH64" i="289"/>
  <c r="AB65" i="289"/>
  <c r="AB99" i="289" s="1"/>
  <c r="AA65" i="289"/>
  <c r="AA99" i="289" s="1"/>
  <c r="Z65" i="289"/>
  <c r="Z99" i="289" s="1"/>
  <c r="W65" i="289"/>
  <c r="W99" i="289" s="1"/>
  <c r="U65" i="289"/>
  <c r="U99" i="289" s="1"/>
  <c r="T65" i="289"/>
  <c r="T99" i="289" s="1"/>
  <c r="AC60" i="289"/>
  <c r="AC98" i="289" s="1"/>
  <c r="AB60" i="289"/>
  <c r="AB98" i="289" s="1"/>
  <c r="AA60" i="289"/>
  <c r="AA98" i="289" s="1"/>
  <c r="Z60" i="289"/>
  <c r="Z98" i="289" s="1"/>
  <c r="Y60" i="289"/>
  <c r="Y98" i="289" s="1"/>
  <c r="X60" i="289"/>
  <c r="X98" i="289" s="1"/>
  <c r="W60" i="289"/>
  <c r="W98" i="289" s="1"/>
  <c r="V60" i="289"/>
  <c r="V98" i="289" s="1"/>
  <c r="U60" i="289"/>
  <c r="U98" i="289" s="1"/>
  <c r="T60" i="289"/>
  <c r="T98" i="289" s="1"/>
  <c r="S60" i="289"/>
  <c r="S98" i="289" s="1"/>
  <c r="R60" i="289"/>
  <c r="R98" i="289" s="1"/>
  <c r="Q60" i="289"/>
  <c r="Q98" i="289" s="1"/>
  <c r="P60" i="289"/>
  <c r="P98" i="289" s="1"/>
  <c r="M60" i="289"/>
  <c r="M98" i="289" s="1"/>
  <c r="L60" i="289"/>
  <c r="L98" i="289" s="1"/>
  <c r="K60" i="289"/>
  <c r="K98" i="289" s="1"/>
  <c r="J60" i="289"/>
  <c r="J98" i="289" s="1"/>
  <c r="I60" i="289"/>
  <c r="I98" i="289" s="1"/>
  <c r="H60" i="289"/>
  <c r="H98" i="289" s="1"/>
  <c r="G60" i="289"/>
  <c r="G98" i="289" s="1"/>
  <c r="F98" i="289"/>
  <c r="C60" i="289"/>
  <c r="B60" i="289"/>
  <c r="B65" i="289" s="1"/>
  <c r="AH59" i="289"/>
  <c r="AG59" i="289"/>
  <c r="AF59" i="289"/>
  <c r="AH58" i="289"/>
  <c r="AG58" i="289"/>
  <c r="AF58" i="289"/>
  <c r="AH57" i="289"/>
  <c r="AG57" i="289"/>
  <c r="AF57" i="289"/>
  <c r="AH56" i="289"/>
  <c r="AH55" i="289"/>
  <c r="AG55" i="289"/>
  <c r="AF55" i="289"/>
  <c r="AH54" i="289"/>
  <c r="AG54" i="289"/>
  <c r="AF54" i="289"/>
  <c r="AH53" i="289"/>
  <c r="AG53" i="289"/>
  <c r="AF53" i="289"/>
  <c r="AH52" i="289"/>
  <c r="AG52" i="289"/>
  <c r="AF52" i="289"/>
  <c r="AH51" i="289"/>
  <c r="AG51" i="289"/>
  <c r="AF51" i="289"/>
  <c r="O60" i="289"/>
  <c r="O98" i="289" s="1"/>
  <c r="AF50" i="289"/>
  <c r="AH49" i="289"/>
  <c r="AG49" i="289"/>
  <c r="AF49" i="289"/>
  <c r="AH48" i="289"/>
  <c r="AG48" i="289"/>
  <c r="AF48" i="289"/>
  <c r="AH47" i="289"/>
  <c r="AG47" i="289"/>
  <c r="AF47" i="289"/>
  <c r="N60" i="289"/>
  <c r="N98" i="289" s="1"/>
  <c r="AH46" i="289"/>
  <c r="AG46" i="289"/>
  <c r="AF46" i="289"/>
  <c r="AH45" i="289"/>
  <c r="AG45" i="289"/>
  <c r="AF45" i="289"/>
  <c r="AH44" i="289"/>
  <c r="AG44" i="289"/>
  <c r="AF44" i="289"/>
  <c r="AH43" i="289"/>
  <c r="AG43" i="289"/>
  <c r="AF43" i="289"/>
  <c r="AH42" i="289"/>
  <c r="AG42" i="289"/>
  <c r="AF42" i="289"/>
  <c r="AH41" i="289"/>
  <c r="AG41" i="289"/>
  <c r="AF41" i="289"/>
  <c r="AH40" i="289"/>
  <c r="AG40" i="289"/>
  <c r="AF40" i="289"/>
  <c r="AH39" i="289"/>
  <c r="AG39" i="289"/>
  <c r="AF39" i="289"/>
  <c r="AH38" i="289"/>
  <c r="AG38" i="289"/>
  <c r="AF38" i="289"/>
  <c r="AH37" i="289"/>
  <c r="AG37" i="289"/>
  <c r="AF37" i="289"/>
  <c r="AI36" i="289"/>
  <c r="AH36" i="289"/>
  <c r="AG36" i="289"/>
  <c r="AF36" i="289"/>
  <c r="AI35" i="289"/>
  <c r="AC34" i="289"/>
  <c r="AC96" i="289" s="1"/>
  <c r="AB34" i="289"/>
  <c r="AB96" i="289" s="1"/>
  <c r="AA34" i="289"/>
  <c r="AA96" i="289" s="1"/>
  <c r="Z34" i="289"/>
  <c r="Z96" i="289" s="1"/>
  <c r="Y34" i="289"/>
  <c r="X34" i="289"/>
  <c r="X96" i="289" s="1"/>
  <c r="W34" i="289"/>
  <c r="W96" i="289" s="1"/>
  <c r="V34" i="289"/>
  <c r="V96" i="289" s="1"/>
  <c r="U34" i="289"/>
  <c r="U96" i="289" s="1"/>
  <c r="T34" i="289"/>
  <c r="T96" i="289" s="1"/>
  <c r="S34" i="289"/>
  <c r="S96" i="289" s="1"/>
  <c r="R34" i="289"/>
  <c r="R96" i="289" s="1"/>
  <c r="Q34" i="289"/>
  <c r="Q96" i="289" s="1"/>
  <c r="P96" i="289"/>
  <c r="O34" i="289"/>
  <c r="O96" i="289" s="1"/>
  <c r="N34" i="289"/>
  <c r="N96" i="289" s="1"/>
  <c r="M34" i="289"/>
  <c r="M96" i="289" s="1"/>
  <c r="L34" i="289"/>
  <c r="L96" i="289" s="1"/>
  <c r="K34" i="289"/>
  <c r="K96" i="289" s="1"/>
  <c r="J34" i="289"/>
  <c r="J96" i="289" s="1"/>
  <c r="I34" i="289"/>
  <c r="I96" i="289" s="1"/>
  <c r="H34" i="289"/>
  <c r="H96" i="289" s="1"/>
  <c r="G34" i="289"/>
  <c r="G96" i="289" s="1"/>
  <c r="F96" i="289"/>
  <c r="C34" i="289"/>
  <c r="B34" i="289"/>
  <c r="AH33" i="289"/>
  <c r="AG33" i="289"/>
  <c r="AF33" i="289"/>
  <c r="AI32" i="289"/>
  <c r="AC31" i="289"/>
  <c r="AC93" i="289" s="1"/>
  <c r="AB31" i="289"/>
  <c r="AB93" i="289" s="1"/>
  <c r="AA31" i="289"/>
  <c r="AA93" i="289" s="1"/>
  <c r="Z31" i="289"/>
  <c r="Z93" i="289" s="1"/>
  <c r="Y31" i="289"/>
  <c r="Y93" i="289" s="1"/>
  <c r="X31" i="289"/>
  <c r="X93" i="289" s="1"/>
  <c r="W31" i="289"/>
  <c r="W93" i="289" s="1"/>
  <c r="V31" i="289"/>
  <c r="V93" i="289" s="1"/>
  <c r="U31" i="289"/>
  <c r="U93" i="289" s="1"/>
  <c r="T31" i="289"/>
  <c r="T93" i="289" s="1"/>
  <c r="S31" i="289"/>
  <c r="S93" i="289" s="1"/>
  <c r="R31" i="289"/>
  <c r="R93" i="289" s="1"/>
  <c r="Q31" i="289"/>
  <c r="Q93" i="289" s="1"/>
  <c r="P31" i="289"/>
  <c r="P93" i="289" s="1"/>
  <c r="O31" i="289"/>
  <c r="O93" i="289" s="1"/>
  <c r="N31" i="289"/>
  <c r="N93" i="289" s="1"/>
  <c r="M31" i="289"/>
  <c r="M93" i="289" s="1"/>
  <c r="L31" i="289"/>
  <c r="L93" i="289" s="1"/>
  <c r="K31" i="289"/>
  <c r="K93" i="289" s="1"/>
  <c r="J31" i="289"/>
  <c r="J93" i="289" s="1"/>
  <c r="I31" i="289"/>
  <c r="I93" i="289" s="1"/>
  <c r="H31" i="289"/>
  <c r="H93" i="289" s="1"/>
  <c r="G31" i="289"/>
  <c r="G93" i="289" s="1"/>
  <c r="C31" i="289"/>
  <c r="B31" i="289"/>
  <c r="AI28" i="289"/>
  <c r="AH28" i="289"/>
  <c r="AG28" i="289"/>
  <c r="AF28" i="289"/>
  <c r="AH27" i="289"/>
  <c r="AG27" i="289"/>
  <c r="AF27" i="289"/>
  <c r="AI26" i="289"/>
  <c r="AC25" i="289"/>
  <c r="AB25" i="289"/>
  <c r="AA25" i="289"/>
  <c r="Z25" i="289"/>
  <c r="Y25" i="289"/>
  <c r="X25" i="289"/>
  <c r="W25" i="289"/>
  <c r="V25" i="289"/>
  <c r="U25" i="289"/>
  <c r="T25" i="289"/>
  <c r="S25" i="289"/>
  <c r="R25" i="289"/>
  <c r="Q25" i="289"/>
  <c r="P25" i="289"/>
  <c r="O25" i="289"/>
  <c r="N25" i="289"/>
  <c r="N89" i="289" s="1"/>
  <c r="M25" i="289"/>
  <c r="L25" i="289"/>
  <c r="K25" i="289"/>
  <c r="J25" i="289"/>
  <c r="I25" i="289"/>
  <c r="H25" i="289"/>
  <c r="G25" i="289"/>
  <c r="C25" i="289"/>
  <c r="AH24" i="289"/>
  <c r="AG24" i="289"/>
  <c r="AF24" i="289"/>
  <c r="AI23" i="289"/>
  <c r="AC22" i="289"/>
  <c r="AC89" i="289" s="1"/>
  <c r="AB22" i="289"/>
  <c r="AB89" i="289" s="1"/>
  <c r="AA22" i="289"/>
  <c r="AA89" i="289" s="1"/>
  <c r="Z22" i="289"/>
  <c r="Y22" i="289"/>
  <c r="X22" i="289"/>
  <c r="W22" i="289"/>
  <c r="V22" i="289"/>
  <c r="U22" i="289"/>
  <c r="T22" i="289"/>
  <c r="S22" i="289"/>
  <c r="R22" i="289"/>
  <c r="Q22" i="289"/>
  <c r="P22" i="289"/>
  <c r="O22" i="289"/>
  <c r="N22" i="289"/>
  <c r="M22" i="289"/>
  <c r="L22" i="289"/>
  <c r="K22" i="289"/>
  <c r="J22" i="289"/>
  <c r="J89" i="289" s="1"/>
  <c r="I22" i="289"/>
  <c r="I89" i="289" s="1"/>
  <c r="H22" i="289"/>
  <c r="H89" i="289" s="1"/>
  <c r="G22" i="289"/>
  <c r="G89" i="289" s="1"/>
  <c r="C22" i="289"/>
  <c r="B22" i="289"/>
  <c r="AH21" i="289"/>
  <c r="AG21" i="289"/>
  <c r="AF21" i="289"/>
  <c r="AH20" i="289"/>
  <c r="AG20" i="289"/>
  <c r="AF20" i="289"/>
  <c r="AH19" i="289"/>
  <c r="AG19" i="289"/>
  <c r="AF19" i="289"/>
  <c r="AI18" i="289"/>
  <c r="AC17" i="289"/>
  <c r="AC91" i="289" s="1"/>
  <c r="AB17" i="289"/>
  <c r="AB91" i="289" s="1"/>
  <c r="AA17" i="289"/>
  <c r="AA91" i="289" s="1"/>
  <c r="Z17" i="289"/>
  <c r="Z91" i="289" s="1"/>
  <c r="Y17" i="289"/>
  <c r="X17" i="289"/>
  <c r="W17" i="289"/>
  <c r="W91" i="289" s="1"/>
  <c r="V17" i="289"/>
  <c r="V91" i="289" s="1"/>
  <c r="U17" i="289"/>
  <c r="T17" i="289"/>
  <c r="S17" i="289"/>
  <c r="R17" i="289"/>
  <c r="Q17" i="289"/>
  <c r="P17" i="289"/>
  <c r="P91" i="289" s="1"/>
  <c r="O17" i="289"/>
  <c r="O91" i="289" s="1"/>
  <c r="N17" i="289"/>
  <c r="M17" i="289"/>
  <c r="M91" i="289" s="1"/>
  <c r="M109" i="289" s="1"/>
  <c r="L17" i="289"/>
  <c r="L91" i="289" s="1"/>
  <c r="K17" i="289"/>
  <c r="K91" i="289" s="1"/>
  <c r="J17" i="289"/>
  <c r="I17" i="289"/>
  <c r="H17" i="289"/>
  <c r="G17" i="289"/>
  <c r="C17" i="289"/>
  <c r="B17" i="289"/>
  <c r="AH16" i="289"/>
  <c r="AG16" i="289"/>
  <c r="AF16" i="289"/>
  <c r="AH15" i="289"/>
  <c r="AG15" i="289"/>
  <c r="AF15" i="289"/>
  <c r="AH14" i="289"/>
  <c r="AG14" i="289"/>
  <c r="AF14" i="289"/>
  <c r="AH13" i="289"/>
  <c r="AG13" i="289"/>
  <c r="AF13" i="289"/>
  <c r="AI12" i="289"/>
  <c r="M9" i="289" a="1"/>
  <c r="M9" i="289" s="1"/>
  <c r="AE703" i="260"/>
  <c r="AC63" i="288"/>
  <c r="AC62" i="288"/>
  <c r="F1188" i="88"/>
  <c r="F1198" i="88"/>
  <c r="AE702" i="260"/>
  <c r="W701" i="260"/>
  <c r="AB63" i="288"/>
  <c r="AB62" i="288"/>
  <c r="F1182" i="88"/>
  <c r="AA63" i="288"/>
  <c r="AA62" i="288"/>
  <c r="F1196" i="88"/>
  <c r="F1207" i="88"/>
  <c r="F1206" i="88"/>
  <c r="W700" i="260"/>
  <c r="Z63" i="288"/>
  <c r="Z64" i="288"/>
  <c r="Z62" i="288"/>
  <c r="F1155" i="88"/>
  <c r="AC109" i="289" l="1"/>
  <c r="Z89" i="289"/>
  <c r="Z103" i="289" s="1"/>
  <c r="Z108" i="289" s="1"/>
  <c r="Y89" i="289"/>
  <c r="X89" i="289"/>
  <c r="W89" i="289"/>
  <c r="W103" i="289" s="1"/>
  <c r="W108" i="289" s="1"/>
  <c r="V109" i="289"/>
  <c r="T89" i="289"/>
  <c r="S89" i="289"/>
  <c r="R89" i="289"/>
  <c r="R103" i="289" s="1"/>
  <c r="R108" i="289" s="1"/>
  <c r="Q89" i="289"/>
  <c r="P109" i="289"/>
  <c r="P89" i="289"/>
  <c r="O89" i="289"/>
  <c r="O103" i="289" s="1"/>
  <c r="O108" i="289" s="1"/>
  <c r="N83" i="289"/>
  <c r="N91" i="289"/>
  <c r="L109" i="289"/>
  <c r="M83" i="289"/>
  <c r="L83" i="289"/>
  <c r="K83" i="289"/>
  <c r="I103" i="289"/>
  <c r="AH63" i="289"/>
  <c r="AA109" i="289"/>
  <c r="AB109" i="289"/>
  <c r="Z109" i="289"/>
  <c r="N103" i="289"/>
  <c r="N108" i="289" s="1"/>
  <c r="G109" i="289"/>
  <c r="I109" i="289"/>
  <c r="J109" i="289"/>
  <c r="X110" i="289"/>
  <c r="Y110" i="289"/>
  <c r="I83" i="289"/>
  <c r="X91" i="289"/>
  <c r="X109" i="289" s="1"/>
  <c r="N110" i="289"/>
  <c r="O110" i="289"/>
  <c r="P110" i="289"/>
  <c r="K89" i="289"/>
  <c r="K103" i="289" s="1"/>
  <c r="K108" i="289" s="1"/>
  <c r="W110" i="289"/>
  <c r="K109" i="289"/>
  <c r="K110" i="289"/>
  <c r="M110" i="289"/>
  <c r="L110" i="289"/>
  <c r="Q110" i="289"/>
  <c r="U89" i="289"/>
  <c r="L89" i="289"/>
  <c r="L103" i="289" s="1"/>
  <c r="L108" i="289" s="1"/>
  <c r="F109" i="289"/>
  <c r="N109" i="289"/>
  <c r="Y91" i="289"/>
  <c r="Y109" i="289" s="1"/>
  <c r="R110" i="289"/>
  <c r="V89" i="289"/>
  <c r="V103" i="289" s="1"/>
  <c r="V108" i="289" s="1"/>
  <c r="M89" i="289"/>
  <c r="M103" i="289" s="1"/>
  <c r="M108" i="289" s="1"/>
  <c r="Z83" i="289"/>
  <c r="AA83" i="289"/>
  <c r="AF63" i="289"/>
  <c r="W109" i="289"/>
  <c r="AG63" i="289"/>
  <c r="AF62" i="289"/>
  <c r="O109" i="289"/>
  <c r="C83" i="289"/>
  <c r="H103" i="289"/>
  <c r="H108" i="289" s="1"/>
  <c r="AB83" i="289"/>
  <c r="G103" i="289"/>
  <c r="G108" i="289" s="1"/>
  <c r="B83" i="289"/>
  <c r="AA103" i="289"/>
  <c r="AA108" i="289" s="1"/>
  <c r="AB103" i="289"/>
  <c r="AB108" i="289" s="1"/>
  <c r="R91" i="289"/>
  <c r="R109" i="289" s="1"/>
  <c r="R83" i="289"/>
  <c r="G83" i="289"/>
  <c r="AI61" i="289"/>
  <c r="AH62" i="289"/>
  <c r="AG62" i="289"/>
  <c r="H83" i="289"/>
  <c r="O83" i="289"/>
  <c r="AC65" i="289"/>
  <c r="I108" i="289"/>
  <c r="Q91" i="289"/>
  <c r="Q109" i="289" s="1"/>
  <c r="Q83" i="289"/>
  <c r="S110" i="289"/>
  <c r="S83" i="289"/>
  <c r="S91" i="289"/>
  <c r="S109" i="289" s="1"/>
  <c r="H109" i="289"/>
  <c r="T110" i="289"/>
  <c r="T91" i="289"/>
  <c r="T109" i="289" s="1"/>
  <c r="T83" i="289"/>
  <c r="U83" i="289"/>
  <c r="U110" i="289"/>
  <c r="U91" i="289"/>
  <c r="U109" i="289" s="1"/>
  <c r="P103" i="289"/>
  <c r="P108" i="289" s="1"/>
  <c r="F103" i="289"/>
  <c r="F108" i="289" s="1"/>
  <c r="P83" i="289"/>
  <c r="J65" i="289"/>
  <c r="AG50" i="289"/>
  <c r="AF56" i="289"/>
  <c r="W83" i="289"/>
  <c r="F110" i="289"/>
  <c r="Z110" i="289"/>
  <c r="AH50" i="289"/>
  <c r="AG56" i="289"/>
  <c r="X83" i="289"/>
  <c r="G110" i="289"/>
  <c r="AA110" i="289"/>
  <c r="Y83" i="289"/>
  <c r="H110" i="289"/>
  <c r="AB110" i="289"/>
  <c r="J110" i="289"/>
  <c r="V110" i="289"/>
  <c r="I110" i="289"/>
  <c r="AC110" i="289"/>
  <c r="AF64" i="289"/>
  <c r="V83" i="289"/>
  <c r="AG64" i="289"/>
  <c r="W699" i="260"/>
  <c r="Y63" i="288"/>
  <c r="Y64" i="288"/>
  <c r="Y62" i="288"/>
  <c r="F1180" i="88"/>
  <c r="AE698" i="260"/>
  <c r="W698" i="260"/>
  <c r="AE697" i="260"/>
  <c r="AE696" i="260"/>
  <c r="W696" i="260"/>
  <c r="W697" i="260"/>
  <c r="W64" i="288"/>
  <c r="W62" i="288"/>
  <c r="V62" i="288"/>
  <c r="V64" i="288"/>
  <c r="AE695" i="260"/>
  <c r="W695" i="260"/>
  <c r="U64" i="288"/>
  <c r="U62" i="288"/>
  <c r="F1203" i="88"/>
  <c r="F1201" i="88"/>
  <c r="F1202" i="88"/>
  <c r="F1199" i="88"/>
  <c r="F1194" i="88"/>
  <c r="AE694" i="260"/>
  <c r="W694" i="260"/>
  <c r="T64" i="288"/>
  <c r="T62" i="288"/>
  <c r="AE693" i="260"/>
  <c r="W693" i="260"/>
  <c r="AE692" i="260"/>
  <c r="W692" i="260"/>
  <c r="F1152" i="88"/>
  <c r="F1195" i="88"/>
  <c r="F1177" i="88"/>
  <c r="F1176" i="88"/>
  <c r="O64" i="288"/>
  <c r="N64" i="288"/>
  <c r="M64" i="288"/>
  <c r="L64" i="288"/>
  <c r="K64" i="288"/>
  <c r="J64" i="288"/>
  <c r="AE691" i="260"/>
  <c r="W691" i="260"/>
  <c r="AE690" i="260"/>
  <c r="W690" i="260"/>
  <c r="F1193" i="88"/>
  <c r="F1191" i="88"/>
  <c r="F1192" i="88"/>
  <c r="F1186" i="88"/>
  <c r="F1185" i="88"/>
  <c r="F1189" i="88"/>
  <c r="AE689" i="260"/>
  <c r="W689" i="260"/>
  <c r="O63" i="288"/>
  <c r="O56" i="288"/>
  <c r="O50" i="288"/>
  <c r="O47" i="288"/>
  <c r="F1184" i="88"/>
  <c r="F1187" i="88"/>
  <c r="W688" i="260"/>
  <c r="F1183" i="88"/>
  <c r="N63" i="288"/>
  <c r="N56" i="288"/>
  <c r="N51" i="288"/>
  <c r="N50" i="288"/>
  <c r="N47" i="288"/>
  <c r="F1181" i="88"/>
  <c r="Y103" i="289" l="1"/>
  <c r="Y108" i="289" s="1"/>
  <c r="X103" i="289"/>
  <c r="X108" i="289" s="1"/>
  <c r="T103" i="289"/>
  <c r="T108" i="289" s="1"/>
  <c r="S103" i="289"/>
  <c r="S108" i="289" s="1"/>
  <c r="J99" i="289"/>
  <c r="J103" i="289" s="1"/>
  <c r="J108" i="289" s="1"/>
  <c r="AC99" i="289"/>
  <c r="AC103" i="289" s="1"/>
  <c r="AC108" i="289" s="1"/>
  <c r="J83" i="289"/>
  <c r="AC83" i="289"/>
  <c r="Q103" i="289"/>
  <c r="Q108" i="289" s="1"/>
  <c r="U103" i="289"/>
  <c r="U108" i="289" s="1"/>
  <c r="M63" i="288"/>
  <c r="F1179" i="88"/>
  <c r="F1149" i="88"/>
  <c r="L63" i="288"/>
  <c r="K63" i="288"/>
  <c r="K106" i="288"/>
  <c r="J63" i="288"/>
  <c r="I63" i="288"/>
  <c r="I62" i="288"/>
  <c r="I65" i="288"/>
  <c r="I99" i="288" s="1"/>
  <c r="H63" i="288"/>
  <c r="H62" i="288"/>
  <c r="F1151" i="88"/>
  <c r="G63" i="288"/>
  <c r="G65" i="288" s="1"/>
  <c r="G99" i="288" s="1"/>
  <c r="G62" i="288"/>
  <c r="F1146" i="88"/>
  <c r="F63" i="288"/>
  <c r="F62" i="288"/>
  <c r="F1165" i="88"/>
  <c r="F80" i="288"/>
  <c r="F76" i="288"/>
  <c r="F60" i="288"/>
  <c r="F34" i="288"/>
  <c r="F96" i="288" s="1"/>
  <c r="F31" i="288"/>
  <c r="F25" i="288"/>
  <c r="F22" i="288"/>
  <c r="F89" i="288" s="1"/>
  <c r="F17" i="288"/>
  <c r="F98" i="288"/>
  <c r="G98" i="288"/>
  <c r="H98" i="288"/>
  <c r="I98" i="288"/>
  <c r="V98" i="288"/>
  <c r="AC98" i="288"/>
  <c r="AC129" i="288"/>
  <c r="AB129" i="288"/>
  <c r="AA129" i="288"/>
  <c r="Z129" i="288"/>
  <c r="Y129" i="288"/>
  <c r="X129" i="288"/>
  <c r="W129" i="288"/>
  <c r="V129" i="288"/>
  <c r="U129" i="288"/>
  <c r="T129" i="288"/>
  <c r="S129" i="288"/>
  <c r="R129" i="288"/>
  <c r="Q129" i="288"/>
  <c r="P129" i="288"/>
  <c r="O129" i="288"/>
  <c r="N129" i="288"/>
  <c r="M129" i="288"/>
  <c r="L129" i="288"/>
  <c r="K129" i="288"/>
  <c r="J129" i="288"/>
  <c r="I129" i="288"/>
  <c r="H129" i="288"/>
  <c r="G129" i="288"/>
  <c r="F129" i="288"/>
  <c r="AC107" i="288"/>
  <c r="AB107" i="288"/>
  <c r="AA107" i="288"/>
  <c r="Z107" i="288"/>
  <c r="Y107" i="288"/>
  <c r="X107" i="288"/>
  <c r="W107" i="288"/>
  <c r="V107" i="288"/>
  <c r="U107" i="288"/>
  <c r="T107" i="288"/>
  <c r="S107" i="288"/>
  <c r="R107" i="288"/>
  <c r="Q107" i="288"/>
  <c r="P107" i="288"/>
  <c r="O107" i="288"/>
  <c r="N107" i="288"/>
  <c r="M107" i="288"/>
  <c r="L107" i="288"/>
  <c r="K107" i="288"/>
  <c r="J107" i="288"/>
  <c r="I107" i="288"/>
  <c r="H107" i="288"/>
  <c r="G107" i="288"/>
  <c r="F107" i="288"/>
  <c r="AC102" i="288"/>
  <c r="AB102" i="288"/>
  <c r="AA102" i="288"/>
  <c r="Z102" i="288"/>
  <c r="Y102" i="288"/>
  <c r="X102" i="288"/>
  <c r="W102" i="288"/>
  <c r="V102" i="288"/>
  <c r="U102" i="288"/>
  <c r="T102" i="288"/>
  <c r="S102" i="288"/>
  <c r="R102" i="288"/>
  <c r="Q102" i="288"/>
  <c r="P102" i="288"/>
  <c r="O102" i="288"/>
  <c r="N102" i="288"/>
  <c r="M102" i="288"/>
  <c r="L102" i="288"/>
  <c r="K102" i="288"/>
  <c r="J102" i="288"/>
  <c r="I102" i="288"/>
  <c r="H102" i="288"/>
  <c r="G102" i="288"/>
  <c r="F102" i="288"/>
  <c r="R101" i="288"/>
  <c r="G101" i="288"/>
  <c r="F101" i="288"/>
  <c r="AA100" i="288"/>
  <c r="R99" i="288"/>
  <c r="Q99" i="288"/>
  <c r="U96" i="288"/>
  <c r="X93" i="288"/>
  <c r="N91" i="288"/>
  <c r="N109" i="288" s="1"/>
  <c r="I91" i="288"/>
  <c r="AC80" i="288"/>
  <c r="AC101" i="288" s="1"/>
  <c r="AB80" i="288"/>
  <c r="AB101" i="288" s="1"/>
  <c r="AA80" i="288"/>
  <c r="AA101" i="288" s="1"/>
  <c r="Z80" i="288"/>
  <c r="Z101" i="288" s="1"/>
  <c r="Y80" i="288"/>
  <c r="Y101" i="288" s="1"/>
  <c r="X80" i="288"/>
  <c r="X101" i="288" s="1"/>
  <c r="W80" i="288"/>
  <c r="W101" i="288" s="1"/>
  <c r="V80" i="288"/>
  <c r="V101" i="288" s="1"/>
  <c r="U80" i="288"/>
  <c r="U101" i="288" s="1"/>
  <c r="T80" i="288"/>
  <c r="T101" i="288" s="1"/>
  <c r="S80" i="288"/>
  <c r="S101" i="288" s="1"/>
  <c r="R80" i="288"/>
  <c r="Q80" i="288"/>
  <c r="Q101" i="288" s="1"/>
  <c r="P80" i="288"/>
  <c r="P101" i="288" s="1"/>
  <c r="O80" i="288"/>
  <c r="O101" i="288" s="1"/>
  <c r="N80" i="288"/>
  <c r="N101" i="288" s="1"/>
  <c r="M80" i="288"/>
  <c r="M101" i="288" s="1"/>
  <c r="L80" i="288"/>
  <c r="L101" i="288" s="1"/>
  <c r="K80" i="288"/>
  <c r="K101" i="288" s="1"/>
  <c r="J80" i="288"/>
  <c r="J101" i="288" s="1"/>
  <c r="I80" i="288"/>
  <c r="I101" i="288" s="1"/>
  <c r="H80" i="288"/>
  <c r="H101" i="288" s="1"/>
  <c r="G80" i="288"/>
  <c r="C80" i="288"/>
  <c r="B80" i="288"/>
  <c r="B25" i="288" s="1"/>
  <c r="AH79" i="288"/>
  <c r="AG79" i="288"/>
  <c r="AF79" i="288"/>
  <c r="AH78" i="288"/>
  <c r="AG78" i="288"/>
  <c r="AF78" i="288"/>
  <c r="AI77" i="288"/>
  <c r="AC76" i="288"/>
  <c r="AC100" i="288" s="1"/>
  <c r="AB76" i="288"/>
  <c r="AB100" i="288" s="1"/>
  <c r="AA76" i="288"/>
  <c r="Z76" i="288"/>
  <c r="Z100" i="288" s="1"/>
  <c r="Y76" i="288"/>
  <c r="Y100" i="288" s="1"/>
  <c r="X76" i="288"/>
  <c r="X100" i="288" s="1"/>
  <c r="W76" i="288"/>
  <c r="W100" i="288" s="1"/>
  <c r="V76" i="288"/>
  <c r="V100" i="288" s="1"/>
  <c r="U76" i="288"/>
  <c r="U100" i="288" s="1"/>
  <c r="T76" i="288"/>
  <c r="T100" i="288" s="1"/>
  <c r="S76" i="288"/>
  <c r="S100" i="288" s="1"/>
  <c r="R76" i="288"/>
  <c r="R100" i="288" s="1"/>
  <c r="Q76" i="288"/>
  <c r="Q100" i="288" s="1"/>
  <c r="P76" i="288"/>
  <c r="P100" i="288" s="1"/>
  <c r="O76" i="288"/>
  <c r="O100" i="288" s="1"/>
  <c r="N76" i="288"/>
  <c r="N100" i="288" s="1"/>
  <c r="M76" i="288"/>
  <c r="M100" i="288" s="1"/>
  <c r="L76" i="288"/>
  <c r="L100" i="288" s="1"/>
  <c r="K76" i="288"/>
  <c r="K100" i="288" s="1"/>
  <c r="J76" i="288"/>
  <c r="J100" i="288" s="1"/>
  <c r="I76" i="288"/>
  <c r="I100" i="288" s="1"/>
  <c r="H76" i="288"/>
  <c r="H100" i="288" s="1"/>
  <c r="G76" i="288"/>
  <c r="G100" i="288" s="1"/>
  <c r="F100" i="288"/>
  <c r="C76" i="288"/>
  <c r="B76" i="288"/>
  <c r="AH75" i="288"/>
  <c r="AG75" i="288"/>
  <c r="AF75" i="288"/>
  <c r="AH74" i="288"/>
  <c r="AG74" i="288"/>
  <c r="AF74" i="288"/>
  <c r="AH73" i="288"/>
  <c r="AG73" i="288"/>
  <c r="AF73" i="288"/>
  <c r="AH72" i="288"/>
  <c r="AG72" i="288"/>
  <c r="AF72" i="288"/>
  <c r="AH71" i="288"/>
  <c r="AG71" i="288"/>
  <c r="AF71" i="288"/>
  <c r="AH70" i="288"/>
  <c r="AG70" i="288"/>
  <c r="AF70" i="288"/>
  <c r="AH69" i="288"/>
  <c r="AG69" i="288"/>
  <c r="AF69" i="288"/>
  <c r="AH68" i="288"/>
  <c r="AG68" i="288"/>
  <c r="AF68" i="288"/>
  <c r="AH67" i="288"/>
  <c r="AG67" i="288"/>
  <c r="AF67" i="288"/>
  <c r="AI66" i="288"/>
  <c r="AC65" i="288"/>
  <c r="AC99" i="288" s="1"/>
  <c r="AB65" i="288"/>
  <c r="AB99" i="288" s="1"/>
  <c r="AA65" i="288"/>
  <c r="AA99" i="288" s="1"/>
  <c r="Z65" i="288"/>
  <c r="Z99" i="288" s="1"/>
  <c r="V65" i="288"/>
  <c r="V99" i="288" s="1"/>
  <c r="U65" i="288"/>
  <c r="U99" i="288" s="1"/>
  <c r="T65" i="288"/>
  <c r="T99" i="288" s="1"/>
  <c r="S65" i="288"/>
  <c r="S99" i="288" s="1"/>
  <c r="R65" i="288"/>
  <c r="Q65" i="288"/>
  <c r="M65" i="288"/>
  <c r="M99" i="288" s="1"/>
  <c r="K65" i="288"/>
  <c r="K99" i="288" s="1"/>
  <c r="J65" i="288"/>
  <c r="J99" i="288" s="1"/>
  <c r="C65" i="288"/>
  <c r="AF64" i="288"/>
  <c r="P65" i="288"/>
  <c r="P99" i="288" s="1"/>
  <c r="O65" i="288"/>
  <c r="O99" i="288" s="1"/>
  <c r="N65" i="288"/>
  <c r="N99" i="288" s="1"/>
  <c r="AH63" i="288"/>
  <c r="Y65" i="288"/>
  <c r="Y99" i="288" s="1"/>
  <c r="X65" i="288"/>
  <c r="X99" i="288" s="1"/>
  <c r="W65" i="288"/>
  <c r="W99" i="288" s="1"/>
  <c r="AC60" i="288"/>
  <c r="AB60" i="288"/>
  <c r="AB98" i="288" s="1"/>
  <c r="AA60" i="288"/>
  <c r="AA98" i="288" s="1"/>
  <c r="Z60" i="288"/>
  <c r="Z98" i="288" s="1"/>
  <c r="Y60" i="288"/>
  <c r="Y98" i="288" s="1"/>
  <c r="X60" i="288"/>
  <c r="X98" i="288" s="1"/>
  <c r="W60" i="288"/>
  <c r="W98" i="288" s="1"/>
  <c r="V60" i="288"/>
  <c r="U60" i="288"/>
  <c r="U98" i="288" s="1"/>
  <c r="T60" i="288"/>
  <c r="T98" i="288" s="1"/>
  <c r="S60" i="288"/>
  <c r="S98" i="288" s="1"/>
  <c r="R60" i="288"/>
  <c r="R98" i="288" s="1"/>
  <c r="Q60" i="288"/>
  <c r="Q98" i="288" s="1"/>
  <c r="P60" i="288"/>
  <c r="P98" i="288" s="1"/>
  <c r="O60" i="288"/>
  <c r="O98" i="288" s="1"/>
  <c r="N60" i="288"/>
  <c r="N98" i="288" s="1"/>
  <c r="M60" i="288"/>
  <c r="M98" i="288" s="1"/>
  <c r="L60" i="288"/>
  <c r="L98" i="288" s="1"/>
  <c r="K60" i="288"/>
  <c r="K98" i="288" s="1"/>
  <c r="J60" i="288"/>
  <c r="J98" i="288" s="1"/>
  <c r="I60" i="288"/>
  <c r="H60" i="288"/>
  <c r="G60" i="288"/>
  <c r="C60" i="288"/>
  <c r="B60" i="288"/>
  <c r="B65" i="288" s="1"/>
  <c r="AH59" i="288"/>
  <c r="AG59" i="288"/>
  <c r="AF59" i="288"/>
  <c r="AH58" i="288"/>
  <c r="AG58" i="288"/>
  <c r="AF58" i="288"/>
  <c r="AH57" i="288"/>
  <c r="AG57" i="288"/>
  <c r="AF57" i="288"/>
  <c r="AH56" i="288"/>
  <c r="AG56" i="288"/>
  <c r="AF56" i="288"/>
  <c r="AH55" i="288"/>
  <c r="AG55" i="288"/>
  <c r="AF55" i="288"/>
  <c r="AH54" i="288"/>
  <c r="AG54" i="288"/>
  <c r="AF54" i="288"/>
  <c r="AH53" i="288"/>
  <c r="AG53" i="288"/>
  <c r="AF53" i="288"/>
  <c r="AH52" i="288"/>
  <c r="AG52" i="288"/>
  <c r="AF52" i="288"/>
  <c r="AH51" i="288"/>
  <c r="AG51" i="288"/>
  <c r="AF51" i="288"/>
  <c r="AH50" i="288"/>
  <c r="AG50" i="288"/>
  <c r="AF50" i="288"/>
  <c r="AH49" i="288"/>
  <c r="AG49" i="288"/>
  <c r="AF49" i="288"/>
  <c r="AH48" i="288"/>
  <c r="AG48" i="288"/>
  <c r="AF48" i="288"/>
  <c r="AG47" i="288"/>
  <c r="AI36" i="288"/>
  <c r="AH46" i="288"/>
  <c r="AG46" i="288"/>
  <c r="AF46" i="288"/>
  <c r="AH45" i="288"/>
  <c r="AG45" i="288"/>
  <c r="AF45" i="288"/>
  <c r="AH44" i="288"/>
  <c r="AG44" i="288"/>
  <c r="AF44" i="288"/>
  <c r="AH43" i="288"/>
  <c r="AG43" i="288"/>
  <c r="AF43" i="288"/>
  <c r="AH42" i="288"/>
  <c r="AG42" i="288"/>
  <c r="AF42" i="288"/>
  <c r="AH41" i="288"/>
  <c r="AG41" i="288"/>
  <c r="AF41" i="288"/>
  <c r="AH40" i="288"/>
  <c r="AG40" i="288"/>
  <c r="AF40" i="288"/>
  <c r="AH39" i="288"/>
  <c r="AG39" i="288"/>
  <c r="AF39" i="288"/>
  <c r="AH38" i="288"/>
  <c r="AG38" i="288"/>
  <c r="AF38" i="288"/>
  <c r="AH37" i="288"/>
  <c r="AG37" i="288"/>
  <c r="AF37" i="288"/>
  <c r="AH36" i="288"/>
  <c r="AG36" i="288"/>
  <c r="AF36" i="288"/>
  <c r="AI35" i="288"/>
  <c r="AC34" i="288"/>
  <c r="AC96" i="288" s="1"/>
  <c r="AB34" i="288"/>
  <c r="AB96" i="288" s="1"/>
  <c r="AA34" i="288"/>
  <c r="AA96" i="288" s="1"/>
  <c r="Z34" i="288"/>
  <c r="Z96" i="288" s="1"/>
  <c r="Y34" i="288"/>
  <c r="Y96" i="288" s="1"/>
  <c r="X34" i="288"/>
  <c r="X96" i="288" s="1"/>
  <c r="W34" i="288"/>
  <c r="W96" i="288" s="1"/>
  <c r="V34" i="288"/>
  <c r="V96" i="288" s="1"/>
  <c r="U34" i="288"/>
  <c r="T34" i="288"/>
  <c r="T96" i="288" s="1"/>
  <c r="S34" i="288"/>
  <c r="S96" i="288" s="1"/>
  <c r="R34" i="288"/>
  <c r="R96" i="288" s="1"/>
  <c r="Q34" i="288"/>
  <c r="Q96" i="288" s="1"/>
  <c r="P34" i="288"/>
  <c r="P96" i="288" s="1"/>
  <c r="O34" i="288"/>
  <c r="O96" i="288" s="1"/>
  <c r="N34" i="288"/>
  <c r="N96" i="288" s="1"/>
  <c r="M34" i="288"/>
  <c r="M96" i="288" s="1"/>
  <c r="L34" i="288"/>
  <c r="L96" i="288" s="1"/>
  <c r="K34" i="288"/>
  <c r="K96" i="288" s="1"/>
  <c r="J34" i="288"/>
  <c r="J96" i="288" s="1"/>
  <c r="I34" i="288"/>
  <c r="I96" i="288" s="1"/>
  <c r="H34" i="288"/>
  <c r="H96" i="288" s="1"/>
  <c r="G34" i="288"/>
  <c r="G96" i="288" s="1"/>
  <c r="C34" i="288"/>
  <c r="B34" i="288"/>
  <c r="AH33" i="288"/>
  <c r="AG33" i="288"/>
  <c r="AF33" i="288"/>
  <c r="AI32" i="288"/>
  <c r="AC31" i="288"/>
  <c r="AC93" i="288" s="1"/>
  <c r="AB31" i="288"/>
  <c r="AB93" i="288" s="1"/>
  <c r="AA31" i="288"/>
  <c r="AA93" i="288" s="1"/>
  <c r="Z31" i="288"/>
  <c r="Z93" i="288" s="1"/>
  <c r="Y31" i="288"/>
  <c r="Y93" i="288" s="1"/>
  <c r="X31" i="288"/>
  <c r="W31" i="288"/>
  <c r="W93" i="288" s="1"/>
  <c r="V31" i="288"/>
  <c r="V93" i="288" s="1"/>
  <c r="U31" i="288"/>
  <c r="U93" i="288" s="1"/>
  <c r="T31" i="288"/>
  <c r="T93" i="288" s="1"/>
  <c r="S31" i="288"/>
  <c r="S93" i="288" s="1"/>
  <c r="R31" i="288"/>
  <c r="R93" i="288" s="1"/>
  <c r="Q31" i="288"/>
  <c r="Q93" i="288" s="1"/>
  <c r="P31" i="288"/>
  <c r="P93" i="288" s="1"/>
  <c r="O31" i="288"/>
  <c r="O93" i="288" s="1"/>
  <c r="N31" i="288"/>
  <c r="N93" i="288" s="1"/>
  <c r="M31" i="288"/>
  <c r="M93" i="288" s="1"/>
  <c r="L31" i="288"/>
  <c r="L93" i="288" s="1"/>
  <c r="K31" i="288"/>
  <c r="K93" i="288" s="1"/>
  <c r="J31" i="288"/>
  <c r="J93" i="288" s="1"/>
  <c r="I31" i="288"/>
  <c r="I93" i="288" s="1"/>
  <c r="H31" i="288"/>
  <c r="H93" i="288" s="1"/>
  <c r="G31" i="288"/>
  <c r="G93" i="288" s="1"/>
  <c r="F93" i="288"/>
  <c r="C31" i="288"/>
  <c r="B31" i="288"/>
  <c r="AI28" i="288"/>
  <c r="AH28" i="288"/>
  <c r="AG28" i="288"/>
  <c r="AF28" i="288"/>
  <c r="AH27" i="288"/>
  <c r="AG27" i="288"/>
  <c r="AF27" i="288"/>
  <c r="AI26" i="288"/>
  <c r="AC25" i="288"/>
  <c r="AB25" i="288"/>
  <c r="AA25" i="288"/>
  <c r="Z25" i="288"/>
  <c r="Y25" i="288"/>
  <c r="X25" i="288"/>
  <c r="W25" i="288"/>
  <c r="V25" i="288"/>
  <c r="U25" i="288"/>
  <c r="T25" i="288"/>
  <c r="S25" i="288"/>
  <c r="R25" i="288"/>
  <c r="Q25" i="288"/>
  <c r="P25" i="288"/>
  <c r="O25" i="288"/>
  <c r="O110" i="288" s="1"/>
  <c r="N25" i="288"/>
  <c r="M25" i="288"/>
  <c r="L25" i="288"/>
  <c r="K25" i="288"/>
  <c r="J25" i="288"/>
  <c r="I25" i="288"/>
  <c r="H25" i="288"/>
  <c r="G25" i="288"/>
  <c r="C25" i="288"/>
  <c r="AH24" i="288"/>
  <c r="AG24" i="288"/>
  <c r="AF24" i="288"/>
  <c r="AI23" i="288"/>
  <c r="AC22" i="288"/>
  <c r="AB22" i="288"/>
  <c r="AB89" i="288" s="1"/>
  <c r="AA22" i="288"/>
  <c r="AA89" i="288" s="1"/>
  <c r="Z22" i="288"/>
  <c r="Z89" i="288" s="1"/>
  <c r="Y22" i="288"/>
  <c r="X22" i="288"/>
  <c r="W22" i="288"/>
  <c r="V22" i="288"/>
  <c r="U22" i="288"/>
  <c r="T22" i="288"/>
  <c r="S22" i="288"/>
  <c r="R22" i="288"/>
  <c r="Q22" i="288"/>
  <c r="P22" i="288"/>
  <c r="O22" i="288"/>
  <c r="N22" i="288"/>
  <c r="M22" i="288"/>
  <c r="L22" i="288"/>
  <c r="L89" i="288" s="1"/>
  <c r="K22" i="288"/>
  <c r="J22" i="288"/>
  <c r="I22" i="288"/>
  <c r="I89" i="288" s="1"/>
  <c r="H22" i="288"/>
  <c r="H89" i="288" s="1"/>
  <c r="G22" i="288"/>
  <c r="G89" i="288" s="1"/>
  <c r="C22" i="288"/>
  <c r="B22" i="288"/>
  <c r="AH21" i="288"/>
  <c r="AG21" i="288"/>
  <c r="AF21" i="288"/>
  <c r="AH20" i="288"/>
  <c r="AG20" i="288"/>
  <c r="AF20" i="288"/>
  <c r="AH19" i="288"/>
  <c r="AG19" i="288"/>
  <c r="AF19" i="288"/>
  <c r="AI18" i="288"/>
  <c r="AC17" i="288"/>
  <c r="AC91" i="288" s="1"/>
  <c r="AB17" i="288"/>
  <c r="AB91" i="288" s="1"/>
  <c r="AA17" i="288"/>
  <c r="AA91" i="288" s="1"/>
  <c r="Z17" i="288"/>
  <c r="Z91" i="288" s="1"/>
  <c r="Y17" i="288"/>
  <c r="Y91" i="288" s="1"/>
  <c r="X17" i="288"/>
  <c r="X91" i="288" s="1"/>
  <c r="X109" i="288" s="1"/>
  <c r="W17" i="288"/>
  <c r="W91" i="288" s="1"/>
  <c r="V17" i="288"/>
  <c r="V91" i="288" s="1"/>
  <c r="U17" i="288"/>
  <c r="U91" i="288" s="1"/>
  <c r="T17" i="288"/>
  <c r="S17" i="288"/>
  <c r="S91" i="288" s="1"/>
  <c r="R17" i="288"/>
  <c r="R91" i="288" s="1"/>
  <c r="Q17" i="288"/>
  <c r="Q91" i="288" s="1"/>
  <c r="P17" i="288"/>
  <c r="P91" i="288" s="1"/>
  <c r="O17" i="288"/>
  <c r="O91" i="288" s="1"/>
  <c r="N17" i="288"/>
  <c r="M17" i="288"/>
  <c r="M91" i="288" s="1"/>
  <c r="L17" i="288"/>
  <c r="L91" i="288" s="1"/>
  <c r="K17" i="288"/>
  <c r="K91" i="288" s="1"/>
  <c r="J17" i="288"/>
  <c r="J91" i="288" s="1"/>
  <c r="I17" i="288"/>
  <c r="H17" i="288"/>
  <c r="H91" i="288" s="1"/>
  <c r="G17" i="288"/>
  <c r="G91" i="288" s="1"/>
  <c r="C17" i="288"/>
  <c r="B17" i="288"/>
  <c r="AH16" i="288"/>
  <c r="AG16" i="288"/>
  <c r="AF16" i="288"/>
  <c r="AH15" i="288"/>
  <c r="AG15" i="288"/>
  <c r="AF15" i="288"/>
  <c r="AH14" i="288"/>
  <c r="AG14" i="288"/>
  <c r="AF14" i="288"/>
  <c r="AH13" i="288"/>
  <c r="AG13" i="288"/>
  <c r="AF13" i="288"/>
  <c r="AI12" i="288"/>
  <c r="M9" i="288" a="1"/>
  <c r="M9" i="288" s="1"/>
  <c r="AE678" i="260"/>
  <c r="AC63" i="287"/>
  <c r="AC62" i="287"/>
  <c r="F1154" i="88"/>
  <c r="AC89" i="288" l="1"/>
  <c r="Z109" i="288"/>
  <c r="Y109" i="288"/>
  <c r="X89" i="288"/>
  <c r="W109" i="288"/>
  <c r="V109" i="288"/>
  <c r="S109" i="288"/>
  <c r="R109" i="288"/>
  <c r="R89" i="288"/>
  <c r="R103" i="288" s="1"/>
  <c r="R108" i="288" s="1"/>
  <c r="Q109" i="288"/>
  <c r="P110" i="288"/>
  <c r="N110" i="288"/>
  <c r="M109" i="288"/>
  <c r="K109" i="288"/>
  <c r="K89" i="288"/>
  <c r="J109" i="288"/>
  <c r="J89" i="288"/>
  <c r="J103" i="288" s="1"/>
  <c r="J108" i="288" s="1"/>
  <c r="I109" i="288"/>
  <c r="AI61" i="288"/>
  <c r="G109" i="288"/>
  <c r="F91" i="288"/>
  <c r="F109" i="288" s="1"/>
  <c r="F65" i="288"/>
  <c r="U109" i="288"/>
  <c r="T83" i="288"/>
  <c r="L109" i="288"/>
  <c r="AB109" i="288"/>
  <c r="O109" i="288"/>
  <c r="S89" i="288"/>
  <c r="S103" i="288" s="1"/>
  <c r="S108" i="288" s="1"/>
  <c r="N83" i="288"/>
  <c r="K110" i="288"/>
  <c r="G110" i="288"/>
  <c r="AC110" i="288"/>
  <c r="T89" i="288"/>
  <c r="U89" i="288"/>
  <c r="AA110" i="288"/>
  <c r="Q89" i="288"/>
  <c r="Q103" i="288" s="1"/>
  <c r="Q108" i="288" s="1"/>
  <c r="I110" i="288"/>
  <c r="V89" i="288"/>
  <c r="V103" i="288" s="1"/>
  <c r="V108" i="288" s="1"/>
  <c r="M89" i="288"/>
  <c r="M103" i="288" s="1"/>
  <c r="M108" i="288" s="1"/>
  <c r="X103" i="288"/>
  <c r="X108" i="288" s="1"/>
  <c r="U103" i="288"/>
  <c r="U108" i="288" s="1"/>
  <c r="R83" i="288"/>
  <c r="Y89" i="288"/>
  <c r="Y103" i="288" s="1"/>
  <c r="Y108" i="288" s="1"/>
  <c r="Y110" i="288"/>
  <c r="U83" i="288"/>
  <c r="Z103" i="288"/>
  <c r="Z108" i="288" s="1"/>
  <c r="V83" i="288"/>
  <c r="AA103" i="288"/>
  <c r="AA108" i="288" s="1"/>
  <c r="B83" i="288"/>
  <c r="AB103" i="288"/>
  <c r="AB108" i="288" s="1"/>
  <c r="I103" i="288"/>
  <c r="I108" i="288" s="1"/>
  <c r="Y83" i="288"/>
  <c r="T91" i="288"/>
  <c r="K103" i="288"/>
  <c r="K108" i="288" s="1"/>
  <c r="AA83" i="288"/>
  <c r="H110" i="288"/>
  <c r="AA109" i="288"/>
  <c r="Q110" i="288"/>
  <c r="I83" i="288"/>
  <c r="AC83" i="288"/>
  <c r="X110" i="288"/>
  <c r="N89" i="288"/>
  <c r="N103" i="288" s="1"/>
  <c r="N108" i="288" s="1"/>
  <c r="R110" i="288"/>
  <c r="J83" i="288"/>
  <c r="AF63" i="288"/>
  <c r="O89" i="288"/>
  <c r="O103" i="288" s="1"/>
  <c r="O108" i="288" s="1"/>
  <c r="AC109" i="288"/>
  <c r="S110" i="288"/>
  <c r="K83" i="288"/>
  <c r="F110" i="288"/>
  <c r="Z110" i="288"/>
  <c r="AG63" i="288"/>
  <c r="L65" i="288"/>
  <c r="L99" i="288" s="1"/>
  <c r="L103" i="288" s="1"/>
  <c r="L108" i="288" s="1"/>
  <c r="P89" i="288"/>
  <c r="P103" i="288" s="1"/>
  <c r="P108" i="288" s="1"/>
  <c r="T110" i="288"/>
  <c r="U110" i="288"/>
  <c r="H109" i="288"/>
  <c r="W89" i="288"/>
  <c r="W103" i="288" s="1"/>
  <c r="W108" i="288" s="1"/>
  <c r="W110" i="288"/>
  <c r="S83" i="288"/>
  <c r="G103" i="288"/>
  <c r="G108" i="288" s="1"/>
  <c r="C83" i="288"/>
  <c r="G83" i="288"/>
  <c r="AB110" i="288"/>
  <c r="M110" i="288"/>
  <c r="AH64" i="288"/>
  <c r="M83" i="288"/>
  <c r="V110" i="288"/>
  <c r="AF47" i="288"/>
  <c r="AG64" i="288"/>
  <c r="H65" i="288"/>
  <c r="AF62" i="288"/>
  <c r="O83" i="288"/>
  <c r="AC103" i="288"/>
  <c r="AC108" i="288" s="1"/>
  <c r="P109" i="288"/>
  <c r="AH47" i="288"/>
  <c r="AG62" i="288"/>
  <c r="P83" i="288"/>
  <c r="AB83" i="288"/>
  <c r="Z83" i="288"/>
  <c r="AH62" i="288"/>
  <c r="Q83" i="288"/>
  <c r="W83" i="288"/>
  <c r="X83" i="288"/>
  <c r="J110" i="288"/>
  <c r="L110" i="288"/>
  <c r="AE677" i="260"/>
  <c r="W677" i="260"/>
  <c r="AB63" i="287"/>
  <c r="AB62" i="287"/>
  <c r="W676" i="260"/>
  <c r="F1174" i="88"/>
  <c r="F1150" i="88"/>
  <c r="Z62" i="287"/>
  <c r="Y62" i="287"/>
  <c r="X62" i="287"/>
  <c r="W62" i="287"/>
  <c r="U62" i="287"/>
  <c r="F1139" i="88"/>
  <c r="W675" i="260"/>
  <c r="Z64" i="287"/>
  <c r="F1175" i="88"/>
  <c r="F1173" i="88"/>
  <c r="F1172" i="88"/>
  <c r="F1171" i="88"/>
  <c r="F1170" i="88"/>
  <c r="F1169" i="88"/>
  <c r="Z31" i="287"/>
  <c r="Y31" i="287"/>
  <c r="AE674" i="260"/>
  <c r="W674" i="260"/>
  <c r="Y64" i="287"/>
  <c r="AE673" i="260"/>
  <c r="W673" i="260"/>
  <c r="X64" i="287"/>
  <c r="AE672" i="260"/>
  <c r="AE671" i="260"/>
  <c r="W672" i="260"/>
  <c r="W671" i="260"/>
  <c r="W670" i="260"/>
  <c r="W64" i="287"/>
  <c r="W31" i="287"/>
  <c r="F1168" i="88"/>
  <c r="F1167" i="88"/>
  <c r="F1166" i="88"/>
  <c r="F1164" i="88"/>
  <c r="F1160" i="88"/>
  <c r="U64" i="287"/>
  <c r="W669" i="260"/>
  <c r="F1159" i="88"/>
  <c r="F1163" i="88"/>
  <c r="F1162" i="88"/>
  <c r="F1158" i="88"/>
  <c r="F1157" i="88"/>
  <c r="W668" i="260"/>
  <c r="W667" i="260"/>
  <c r="F1161" i="88"/>
  <c r="F1142" i="88"/>
  <c r="F1156" i="88"/>
  <c r="W666" i="260"/>
  <c r="F1147" i="88"/>
  <c r="AE665" i="260"/>
  <c r="W665" i="260"/>
  <c r="P64" i="287"/>
  <c r="P63" i="287"/>
  <c r="F1153" i="88"/>
  <c r="F99" i="288" l="1"/>
  <c r="F103" i="288" s="1"/>
  <c r="F108" i="288" s="1"/>
  <c r="F83" i="288"/>
  <c r="H99" i="288"/>
  <c r="H103" i="288" s="1"/>
  <c r="H108" i="288" s="1"/>
  <c r="H83" i="288"/>
  <c r="T103" i="288"/>
  <c r="T108" i="288" s="1"/>
  <c r="T109" i="288"/>
  <c r="L83" i="288"/>
  <c r="AE664" i="260"/>
  <c r="O64" i="287"/>
  <c r="O63" i="287"/>
  <c r="AE663" i="260"/>
  <c r="N64" i="287"/>
  <c r="N65" i="287" s="1"/>
  <c r="N99" i="287" s="1"/>
  <c r="N63" i="287"/>
  <c r="AE662" i="260"/>
  <c r="M64" i="287"/>
  <c r="M63" i="287"/>
  <c r="AE661" i="260"/>
  <c r="AE660" i="260"/>
  <c r="F1129" i="88"/>
  <c r="F1125" i="88"/>
  <c r="K63" i="287"/>
  <c r="K62" i="287"/>
  <c r="L62" i="287"/>
  <c r="L63" i="287"/>
  <c r="L65" i="287" s="1"/>
  <c r="L99" i="287" s="1"/>
  <c r="K65" i="287"/>
  <c r="K99" i="287" s="1"/>
  <c r="I105" i="287"/>
  <c r="I107" i="287" s="1"/>
  <c r="AF63" i="287"/>
  <c r="F1148" i="88"/>
  <c r="AE659" i="260"/>
  <c r="AE658" i="260"/>
  <c r="AE657" i="260"/>
  <c r="J63" i="287"/>
  <c r="J62" i="287"/>
  <c r="J65" i="287" s="1"/>
  <c r="J99" i="287" s="1"/>
  <c r="F1145" i="88"/>
  <c r="F1144" i="88"/>
  <c r="F1140" i="88"/>
  <c r="F1143" i="88"/>
  <c r="F1141" i="88"/>
  <c r="I63" i="287"/>
  <c r="I65" i="287" s="1"/>
  <c r="I99" i="287" s="1"/>
  <c r="I62" i="287"/>
  <c r="F1108" i="88"/>
  <c r="H105" i="287"/>
  <c r="H107" i="287" s="1"/>
  <c r="H63" i="287"/>
  <c r="H62" i="287"/>
  <c r="F1117" i="88"/>
  <c r="G63" i="287"/>
  <c r="G105" i="287"/>
  <c r="AE656" i="260"/>
  <c r="F56" i="287"/>
  <c r="F54" i="287"/>
  <c r="F51" i="287"/>
  <c r="AH51" i="287" s="1"/>
  <c r="F50" i="287"/>
  <c r="F47" i="287"/>
  <c r="AE655" i="260"/>
  <c r="G62" i="287"/>
  <c r="F64" i="287"/>
  <c r="F62" i="287"/>
  <c r="F1138" i="88"/>
  <c r="F1109" i="88"/>
  <c r="F1135" i="88"/>
  <c r="F1137" i="88"/>
  <c r="F1133" i="88"/>
  <c r="F1136" i="88"/>
  <c r="F1065" i="88"/>
  <c r="F1037" i="88"/>
  <c r="F1134" i="88"/>
  <c r="F1112" i="88"/>
  <c r="F80" i="287"/>
  <c r="F101" i="287" s="1"/>
  <c r="F76" i="287"/>
  <c r="F100" i="287" s="1"/>
  <c r="F65" i="287"/>
  <c r="F99" i="287" s="1"/>
  <c r="F60" i="287"/>
  <c r="F98" i="287" s="1"/>
  <c r="F34" i="287"/>
  <c r="F31" i="287"/>
  <c r="F93" i="287" s="1"/>
  <c r="F25" i="287"/>
  <c r="F22" i="287"/>
  <c r="F17" i="287"/>
  <c r="AE653" i="260"/>
  <c r="AC64" i="286"/>
  <c r="AC62" i="286"/>
  <c r="AC129" i="287"/>
  <c r="AB129" i="287"/>
  <c r="AA129" i="287"/>
  <c r="Z129" i="287"/>
  <c r="Y129" i="287"/>
  <c r="X129" i="287"/>
  <c r="W129" i="287"/>
  <c r="V129" i="287"/>
  <c r="U129" i="287"/>
  <c r="T129" i="287"/>
  <c r="S129" i="287"/>
  <c r="R129" i="287"/>
  <c r="Q129" i="287"/>
  <c r="P129" i="287"/>
  <c r="O129" i="287"/>
  <c r="N129" i="287"/>
  <c r="M129" i="287"/>
  <c r="L129" i="287"/>
  <c r="K129" i="287"/>
  <c r="J129" i="287"/>
  <c r="I129" i="287"/>
  <c r="H129" i="287"/>
  <c r="G129" i="287"/>
  <c r="F129" i="287"/>
  <c r="AC107" i="287"/>
  <c r="AB107" i="287"/>
  <c r="AA107" i="287"/>
  <c r="Z107" i="287"/>
  <c r="Y107" i="287"/>
  <c r="X107" i="287"/>
  <c r="W107" i="287"/>
  <c r="V107" i="287"/>
  <c r="U107" i="287"/>
  <c r="T107" i="287"/>
  <c r="S107" i="287"/>
  <c r="R107" i="287"/>
  <c r="Q107" i="287"/>
  <c r="P107" i="287"/>
  <c r="O107" i="287"/>
  <c r="N107" i="287"/>
  <c r="M107" i="287"/>
  <c r="L107" i="287"/>
  <c r="K107" i="287"/>
  <c r="J107" i="287"/>
  <c r="G107" i="287"/>
  <c r="F107" i="287"/>
  <c r="AC102" i="287"/>
  <c r="AB102" i="287"/>
  <c r="AA102" i="287"/>
  <c r="Z102" i="287"/>
  <c r="Y102" i="287"/>
  <c r="X102" i="287"/>
  <c r="W102" i="287"/>
  <c r="V102" i="287"/>
  <c r="U102" i="287"/>
  <c r="T102" i="287"/>
  <c r="S102" i="287"/>
  <c r="R102" i="287"/>
  <c r="Q102" i="287"/>
  <c r="P102" i="287"/>
  <c r="O102" i="287"/>
  <c r="N102" i="287"/>
  <c r="M102" i="287"/>
  <c r="L102" i="287"/>
  <c r="K102" i="287"/>
  <c r="J102" i="287"/>
  <c r="I102" i="287"/>
  <c r="H102" i="287"/>
  <c r="G102" i="287"/>
  <c r="F102" i="287"/>
  <c r="P96" i="287"/>
  <c r="V93" i="287"/>
  <c r="T93" i="287"/>
  <c r="T109" i="287" s="1"/>
  <c r="S93" i="287"/>
  <c r="R93" i="287"/>
  <c r="O93" i="287"/>
  <c r="V91" i="287"/>
  <c r="L91" i="287"/>
  <c r="K91" i="287"/>
  <c r="I91" i="287"/>
  <c r="AC80" i="287"/>
  <c r="AC101" i="287" s="1"/>
  <c r="AB80" i="287"/>
  <c r="AB101" i="287" s="1"/>
  <c r="AA80" i="287"/>
  <c r="AA101" i="287" s="1"/>
  <c r="Z80" i="287"/>
  <c r="Z101" i="287" s="1"/>
  <c r="Y80" i="287"/>
  <c r="Y101" i="287" s="1"/>
  <c r="X80" i="287"/>
  <c r="X101" i="287" s="1"/>
  <c r="W80" i="287"/>
  <c r="W101" i="287" s="1"/>
  <c r="V80" i="287"/>
  <c r="V101" i="287" s="1"/>
  <c r="U80" i="287"/>
  <c r="U101" i="287" s="1"/>
  <c r="T80" i="287"/>
  <c r="T101" i="287" s="1"/>
  <c r="S80" i="287"/>
  <c r="S101" i="287" s="1"/>
  <c r="R80" i="287"/>
  <c r="R101" i="287" s="1"/>
  <c r="Q80" i="287"/>
  <c r="Q101" i="287" s="1"/>
  <c r="P80" i="287"/>
  <c r="P101" i="287" s="1"/>
  <c r="O80" i="287"/>
  <c r="O101" i="287" s="1"/>
  <c r="N80" i="287"/>
  <c r="N101" i="287" s="1"/>
  <c r="M80" i="287"/>
  <c r="M101" i="287" s="1"/>
  <c r="L80" i="287"/>
  <c r="L101" i="287" s="1"/>
  <c r="K80" i="287"/>
  <c r="K101" i="287" s="1"/>
  <c r="J80" i="287"/>
  <c r="J101" i="287" s="1"/>
  <c r="I80" i="287"/>
  <c r="I101" i="287" s="1"/>
  <c r="H80" i="287"/>
  <c r="H101" i="287" s="1"/>
  <c r="G80" i="287"/>
  <c r="G101" i="287" s="1"/>
  <c r="C80" i="287"/>
  <c r="B80" i="287"/>
  <c r="B25" i="287" s="1"/>
  <c r="AH79" i="287"/>
  <c r="AG79" i="287"/>
  <c r="AF79" i="287"/>
  <c r="AH78" i="287"/>
  <c r="AG78" i="287"/>
  <c r="AF78" i="287"/>
  <c r="AI77" i="287"/>
  <c r="AC76" i="287"/>
  <c r="AC100" i="287" s="1"/>
  <c r="AB76" i="287"/>
  <c r="AB100" i="287" s="1"/>
  <c r="AA76" i="287"/>
  <c r="AA100" i="287" s="1"/>
  <c r="Z76" i="287"/>
  <c r="Z100" i="287" s="1"/>
  <c r="Y76" i="287"/>
  <c r="Y100" i="287" s="1"/>
  <c r="X76" i="287"/>
  <c r="X100" i="287" s="1"/>
  <c r="W76" i="287"/>
  <c r="W100" i="287" s="1"/>
  <c r="V76" i="287"/>
  <c r="V100" i="287" s="1"/>
  <c r="U76" i="287"/>
  <c r="U100" i="287" s="1"/>
  <c r="T76" i="287"/>
  <c r="T100" i="287" s="1"/>
  <c r="S76" i="287"/>
  <c r="S100" i="287" s="1"/>
  <c r="R76" i="287"/>
  <c r="R100" i="287" s="1"/>
  <c r="Q76" i="287"/>
  <c r="Q100" i="287" s="1"/>
  <c r="P76" i="287"/>
  <c r="P100" i="287" s="1"/>
  <c r="O76" i="287"/>
  <c r="O100" i="287" s="1"/>
  <c r="N76" i="287"/>
  <c r="N100" i="287" s="1"/>
  <c r="M76" i="287"/>
  <c r="M100" i="287" s="1"/>
  <c r="L76" i="287"/>
  <c r="L100" i="287" s="1"/>
  <c r="K76" i="287"/>
  <c r="K100" i="287" s="1"/>
  <c r="J76" i="287"/>
  <c r="J100" i="287" s="1"/>
  <c r="I76" i="287"/>
  <c r="I100" i="287" s="1"/>
  <c r="H76" i="287"/>
  <c r="H100" i="287" s="1"/>
  <c r="G76" i="287"/>
  <c r="G100" i="287" s="1"/>
  <c r="C76" i="287"/>
  <c r="B76" i="287"/>
  <c r="AH75" i="287"/>
  <c r="AG75" i="287"/>
  <c r="AF75" i="287"/>
  <c r="AH74" i="287"/>
  <c r="AG74" i="287"/>
  <c r="AF74" i="287"/>
  <c r="AH73" i="287"/>
  <c r="AG73" i="287"/>
  <c r="AF73" i="287"/>
  <c r="AH72" i="287"/>
  <c r="AG72" i="287"/>
  <c r="AF72" i="287"/>
  <c r="AH71" i="287"/>
  <c r="AG71" i="287"/>
  <c r="AF71" i="287"/>
  <c r="AH70" i="287"/>
  <c r="AG70" i="287"/>
  <c r="AF70" i="287"/>
  <c r="AH69" i="287"/>
  <c r="AG69" i="287"/>
  <c r="AF69" i="287"/>
  <c r="AH68" i="287"/>
  <c r="AG68" i="287"/>
  <c r="AF68" i="287"/>
  <c r="AH67" i="287"/>
  <c r="AG67" i="287"/>
  <c r="AF67" i="287"/>
  <c r="AI66" i="287"/>
  <c r="AC65" i="287"/>
  <c r="AC99" i="287" s="1"/>
  <c r="AB65" i="287"/>
  <c r="AB99" i="287" s="1"/>
  <c r="AA65" i="287"/>
  <c r="AA99" i="287" s="1"/>
  <c r="Z65" i="287"/>
  <c r="Z99" i="287" s="1"/>
  <c r="Y65" i="287"/>
  <c r="Y99" i="287" s="1"/>
  <c r="X65" i="287"/>
  <c r="X99" i="287" s="1"/>
  <c r="W65" i="287"/>
  <c r="W99" i="287" s="1"/>
  <c r="T65" i="287"/>
  <c r="T99" i="287" s="1"/>
  <c r="S65" i="287"/>
  <c r="S99" i="287" s="1"/>
  <c r="R65" i="287"/>
  <c r="R99" i="287" s="1"/>
  <c r="Q65" i="287"/>
  <c r="Q99" i="287" s="1"/>
  <c r="P65" i="287"/>
  <c r="P99" i="287" s="1"/>
  <c r="O65" i="287"/>
  <c r="O99" i="287" s="1"/>
  <c r="M65" i="287"/>
  <c r="M99" i="287" s="1"/>
  <c r="C65" i="287"/>
  <c r="B65" i="287"/>
  <c r="AH63" i="287"/>
  <c r="AG63" i="287"/>
  <c r="V65" i="287"/>
  <c r="V99" i="287" s="1"/>
  <c r="U65" i="287"/>
  <c r="U99" i="287" s="1"/>
  <c r="G65" i="287"/>
  <c r="G99" i="287" s="1"/>
  <c r="AC60" i="287"/>
  <c r="AC98" i="287" s="1"/>
  <c r="AB60" i="287"/>
  <c r="AB98" i="287" s="1"/>
  <c r="AA60" i="287"/>
  <c r="AA98" i="287" s="1"/>
  <c r="Z60" i="287"/>
  <c r="Z98" i="287" s="1"/>
  <c r="Y60" i="287"/>
  <c r="Y98" i="287" s="1"/>
  <c r="X60" i="287"/>
  <c r="X98" i="287" s="1"/>
  <c r="W60" i="287"/>
  <c r="W98" i="287" s="1"/>
  <c r="V60" i="287"/>
  <c r="V98" i="287" s="1"/>
  <c r="U60" i="287"/>
  <c r="U98" i="287" s="1"/>
  <c r="T60" i="287"/>
  <c r="T98" i="287" s="1"/>
  <c r="S60" i="287"/>
  <c r="S98" i="287" s="1"/>
  <c r="R60" i="287"/>
  <c r="R98" i="287" s="1"/>
  <c r="Q60" i="287"/>
  <c r="Q98" i="287" s="1"/>
  <c r="P60" i="287"/>
  <c r="P98" i="287" s="1"/>
  <c r="O60" i="287"/>
  <c r="O98" i="287" s="1"/>
  <c r="N60" i="287"/>
  <c r="N98" i="287" s="1"/>
  <c r="M60" i="287"/>
  <c r="M98" i="287" s="1"/>
  <c r="L60" i="287"/>
  <c r="L98" i="287" s="1"/>
  <c r="K60" i="287"/>
  <c r="K98" i="287" s="1"/>
  <c r="J60" i="287"/>
  <c r="J98" i="287" s="1"/>
  <c r="I60" i="287"/>
  <c r="I98" i="287" s="1"/>
  <c r="H60" i="287"/>
  <c r="H98" i="287" s="1"/>
  <c r="G60" i="287"/>
  <c r="G98" i="287" s="1"/>
  <c r="C60" i="287"/>
  <c r="B60" i="287"/>
  <c r="AH59" i="287"/>
  <c r="AG59" i="287"/>
  <c r="AF59" i="287"/>
  <c r="AH58" i="287"/>
  <c r="AG58" i="287"/>
  <c r="AF58" i="287"/>
  <c r="AH57" i="287"/>
  <c r="AG57" i="287"/>
  <c r="AF57" i="287"/>
  <c r="AH56" i="287"/>
  <c r="AG56" i="287"/>
  <c r="AF56" i="287"/>
  <c r="AH55" i="287"/>
  <c r="AG55" i="287"/>
  <c r="AF55" i="287"/>
  <c r="AH54" i="287"/>
  <c r="AG54" i="287"/>
  <c r="AF54" i="287"/>
  <c r="AH53" i="287"/>
  <c r="AG53" i="287"/>
  <c r="AF53" i="287"/>
  <c r="AH52" i="287"/>
  <c r="AG52" i="287"/>
  <c r="AF52" i="287"/>
  <c r="AG51" i="287"/>
  <c r="AF51" i="287"/>
  <c r="AH50" i="287"/>
  <c r="AG50" i="287"/>
  <c r="AF50" i="287"/>
  <c r="AH49" i="287"/>
  <c r="AG49" i="287"/>
  <c r="AF49" i="287"/>
  <c r="AH48" i="287"/>
  <c r="AG48" i="287"/>
  <c r="AF48" i="287"/>
  <c r="AH47" i="287"/>
  <c r="AG47" i="287"/>
  <c r="AF47" i="287"/>
  <c r="AH46" i="287"/>
  <c r="AG46" i="287"/>
  <c r="AF46" i="287"/>
  <c r="AH45" i="287"/>
  <c r="AG45" i="287"/>
  <c r="AF45" i="287"/>
  <c r="AH44" i="287"/>
  <c r="AG44" i="287"/>
  <c r="AF44" i="287"/>
  <c r="AH43" i="287"/>
  <c r="AG43" i="287"/>
  <c r="AF43" i="287"/>
  <c r="AH42" i="287"/>
  <c r="AG42" i="287"/>
  <c r="AF42" i="287"/>
  <c r="AH41" i="287"/>
  <c r="AG41" i="287"/>
  <c r="AF41" i="287"/>
  <c r="AH40" i="287"/>
  <c r="AG40" i="287"/>
  <c r="AF40" i="287"/>
  <c r="AH39" i="287"/>
  <c r="AG39" i="287"/>
  <c r="AF39" i="287"/>
  <c r="AH38" i="287"/>
  <c r="AG38" i="287"/>
  <c r="AF38" i="287"/>
  <c r="AH37" i="287"/>
  <c r="AG37" i="287"/>
  <c r="AF37" i="287"/>
  <c r="AI36" i="287"/>
  <c r="AH36" i="287"/>
  <c r="AG36" i="287"/>
  <c r="AF36" i="287"/>
  <c r="AI35" i="287"/>
  <c r="AC34" i="287"/>
  <c r="AC96" i="287" s="1"/>
  <c r="AB34" i="287"/>
  <c r="AB96" i="287" s="1"/>
  <c r="AA34" i="287"/>
  <c r="AA96" i="287" s="1"/>
  <c r="Z34" i="287"/>
  <c r="Z96" i="287" s="1"/>
  <c r="Y34" i="287"/>
  <c r="Y96" i="287" s="1"/>
  <c r="X34" i="287"/>
  <c r="X96" i="287" s="1"/>
  <c r="W34" i="287"/>
  <c r="W96" i="287" s="1"/>
  <c r="V34" i="287"/>
  <c r="V96" i="287" s="1"/>
  <c r="U34" i="287"/>
  <c r="U96" i="287" s="1"/>
  <c r="T34" i="287"/>
  <c r="T96" i="287" s="1"/>
  <c r="S34" i="287"/>
  <c r="S96" i="287" s="1"/>
  <c r="R34" i="287"/>
  <c r="R96" i="287" s="1"/>
  <c r="Q34" i="287"/>
  <c r="Q96" i="287" s="1"/>
  <c r="P34" i="287"/>
  <c r="O34" i="287"/>
  <c r="O96" i="287" s="1"/>
  <c r="N34" i="287"/>
  <c r="N96" i="287" s="1"/>
  <c r="M34" i="287"/>
  <c r="M96" i="287" s="1"/>
  <c r="L34" i="287"/>
  <c r="L96" i="287" s="1"/>
  <c r="K34" i="287"/>
  <c r="K96" i="287" s="1"/>
  <c r="J34" i="287"/>
  <c r="J96" i="287" s="1"/>
  <c r="I34" i="287"/>
  <c r="I96" i="287" s="1"/>
  <c r="H34" i="287"/>
  <c r="H96" i="287" s="1"/>
  <c r="G34" i="287"/>
  <c r="G96" i="287" s="1"/>
  <c r="F96" i="287"/>
  <c r="C34" i="287"/>
  <c r="B34" i="287"/>
  <c r="AH33" i="287"/>
  <c r="AG33" i="287"/>
  <c r="AF33" i="287"/>
  <c r="AI32" i="287"/>
  <c r="AC31" i="287"/>
  <c r="AC93" i="287" s="1"/>
  <c r="AB31" i="287"/>
  <c r="AB93" i="287" s="1"/>
  <c r="AA31" i="287"/>
  <c r="AA93" i="287" s="1"/>
  <c r="Y93" i="287"/>
  <c r="X31" i="287"/>
  <c r="X93" i="287" s="1"/>
  <c r="W93" i="287"/>
  <c r="V31" i="287"/>
  <c r="U31" i="287"/>
  <c r="U93" i="287" s="1"/>
  <c r="T31" i="287"/>
  <c r="S31" i="287"/>
  <c r="R31" i="287"/>
  <c r="Q31" i="287"/>
  <c r="Q93" i="287" s="1"/>
  <c r="P31" i="287"/>
  <c r="P93" i="287" s="1"/>
  <c r="O31" i="287"/>
  <c r="N31" i="287"/>
  <c r="N93" i="287" s="1"/>
  <c r="M31" i="287"/>
  <c r="M93" i="287" s="1"/>
  <c r="L31" i="287"/>
  <c r="L93" i="287" s="1"/>
  <c r="K31" i="287"/>
  <c r="K93" i="287" s="1"/>
  <c r="J31" i="287"/>
  <c r="J93" i="287" s="1"/>
  <c r="I31" i="287"/>
  <c r="I93" i="287" s="1"/>
  <c r="H31" i="287"/>
  <c r="H93" i="287" s="1"/>
  <c r="G31" i="287"/>
  <c r="G93" i="287" s="1"/>
  <c r="C31" i="287"/>
  <c r="B31" i="287"/>
  <c r="AI28" i="287"/>
  <c r="AH28" i="287"/>
  <c r="AG28" i="287"/>
  <c r="AF28" i="287"/>
  <c r="AH27" i="287"/>
  <c r="AG27" i="287"/>
  <c r="AF27" i="287"/>
  <c r="AI26" i="287"/>
  <c r="AC25" i="287"/>
  <c r="AB25" i="287"/>
  <c r="AA25" i="287"/>
  <c r="Z25" i="287"/>
  <c r="Y25" i="287"/>
  <c r="X25" i="287"/>
  <c r="W25" i="287"/>
  <c r="W89" i="287" s="1"/>
  <c r="V25" i="287"/>
  <c r="V89" i="287" s="1"/>
  <c r="U25" i="287"/>
  <c r="U89" i="287" s="1"/>
  <c r="T25" i="287"/>
  <c r="S25" i="287"/>
  <c r="R25" i="287"/>
  <c r="Q25" i="287"/>
  <c r="P25" i="287"/>
  <c r="O25" i="287"/>
  <c r="N25" i="287"/>
  <c r="M25" i="287"/>
  <c r="L25" i="287"/>
  <c r="K25" i="287"/>
  <c r="J25" i="287"/>
  <c r="I25" i="287"/>
  <c r="H25" i="287"/>
  <c r="G25" i="287"/>
  <c r="F89" i="287"/>
  <c r="C25" i="287"/>
  <c r="AH24" i="287"/>
  <c r="AG24" i="287"/>
  <c r="AF24" i="287"/>
  <c r="AI23" i="287"/>
  <c r="AC22" i="287"/>
  <c r="AB22" i="287"/>
  <c r="AA22" i="287"/>
  <c r="AA89" i="287" s="1"/>
  <c r="Z22" i="287"/>
  <c r="Z89" i="287" s="1"/>
  <c r="Y22" i="287"/>
  <c r="X22" i="287"/>
  <c r="W22" i="287"/>
  <c r="V22" i="287"/>
  <c r="U22" i="287"/>
  <c r="T22" i="287"/>
  <c r="S22" i="287"/>
  <c r="R22" i="287"/>
  <c r="Q22" i="287"/>
  <c r="P22" i="287"/>
  <c r="O22" i="287"/>
  <c r="N22" i="287"/>
  <c r="N89" i="287" s="1"/>
  <c r="M22" i="287"/>
  <c r="M89" i="287" s="1"/>
  <c r="L22" i="287"/>
  <c r="K22" i="287"/>
  <c r="K89" i="287" s="1"/>
  <c r="J22" i="287"/>
  <c r="J89" i="287" s="1"/>
  <c r="I22" i="287"/>
  <c r="H22" i="287"/>
  <c r="G22" i="287"/>
  <c r="C22" i="287"/>
  <c r="B22" i="287"/>
  <c r="AH21" i="287"/>
  <c r="AG21" i="287"/>
  <c r="AF21" i="287"/>
  <c r="AH20" i="287"/>
  <c r="AG20" i="287"/>
  <c r="AF20" i="287"/>
  <c r="AH19" i="287"/>
  <c r="AG19" i="287"/>
  <c r="AF19" i="287"/>
  <c r="AI18" i="287"/>
  <c r="AC17" i="287"/>
  <c r="AC91" i="287" s="1"/>
  <c r="AB17" i="287"/>
  <c r="AB91" i="287" s="1"/>
  <c r="AA17" i="287"/>
  <c r="Z17" i="287"/>
  <c r="Y17" i="287"/>
  <c r="Y91" i="287" s="1"/>
  <c r="X17" i="287"/>
  <c r="W17" i="287"/>
  <c r="W91" i="287" s="1"/>
  <c r="V17" i="287"/>
  <c r="U17" i="287"/>
  <c r="T17" i="287"/>
  <c r="T91" i="287" s="1"/>
  <c r="S17" i="287"/>
  <c r="S91" i="287" s="1"/>
  <c r="R17" i="287"/>
  <c r="Q17" i="287"/>
  <c r="Q91" i="287" s="1"/>
  <c r="P17" i="287"/>
  <c r="P91" i="287" s="1"/>
  <c r="O17" i="287"/>
  <c r="N17" i="287"/>
  <c r="M17" i="287"/>
  <c r="M91" i="287" s="1"/>
  <c r="L17" i="287"/>
  <c r="K17" i="287"/>
  <c r="J17" i="287"/>
  <c r="J91" i="287" s="1"/>
  <c r="I17" i="287"/>
  <c r="H17" i="287"/>
  <c r="H91" i="287" s="1"/>
  <c r="G17" i="287"/>
  <c r="G91" i="287" s="1"/>
  <c r="C17" i="287"/>
  <c r="B17" i="287"/>
  <c r="B83" i="287" s="1"/>
  <c r="AH16" i="287"/>
  <c r="AG16" i="287"/>
  <c r="AF16" i="287"/>
  <c r="AH15" i="287"/>
  <c r="AG15" i="287"/>
  <c r="AF15" i="287"/>
  <c r="AH14" i="287"/>
  <c r="AG14" i="287"/>
  <c r="AF14" i="287"/>
  <c r="AH13" i="287"/>
  <c r="AG13" i="287"/>
  <c r="AF13" i="287"/>
  <c r="AI12" i="287"/>
  <c r="M9" i="287" a="1"/>
  <c r="M9" i="287" s="1"/>
  <c r="F1130" i="88"/>
  <c r="AE652" i="260"/>
  <c r="AB64" i="286"/>
  <c r="AB62" i="286"/>
  <c r="F1132" i="88"/>
  <c r="F1131" i="88"/>
  <c r="F1106" i="88"/>
  <c r="AE651" i="260"/>
  <c r="AA64" i="286"/>
  <c r="AA62" i="286"/>
  <c r="AE650" i="260"/>
  <c r="Z64" i="286"/>
  <c r="Z62" i="286"/>
  <c r="F1128" i="88"/>
  <c r="F1127" i="88"/>
  <c r="F1126" i="88"/>
  <c r="F1105" i="88"/>
  <c r="AE649" i="260"/>
  <c r="Y64" i="286"/>
  <c r="Y63" i="286"/>
  <c r="F1104" i="88"/>
  <c r="AE648" i="260"/>
  <c r="AE647" i="260"/>
  <c r="X64" i="286"/>
  <c r="X63" i="286"/>
  <c r="W64" i="286"/>
  <c r="W63" i="286"/>
  <c r="AE646" i="260"/>
  <c r="AE645" i="260"/>
  <c r="F1122" i="88"/>
  <c r="F1124" i="88"/>
  <c r="F1123" i="88"/>
  <c r="F1121" i="88"/>
  <c r="V64" i="286"/>
  <c r="V63" i="286"/>
  <c r="F1120" i="88"/>
  <c r="U64" i="286"/>
  <c r="U63" i="286"/>
  <c r="F1119" i="88"/>
  <c r="AE644" i="260"/>
  <c r="F1118" i="88"/>
  <c r="AE643" i="260"/>
  <c r="F1116" i="88"/>
  <c r="F1101" i="88"/>
  <c r="AE642" i="260"/>
  <c r="W642" i="260"/>
  <c r="W641" i="260"/>
  <c r="Z93" i="287" l="1"/>
  <c r="Z83" i="287"/>
  <c r="Y109" i="287"/>
  <c r="T89" i="287"/>
  <c r="S109" i="287"/>
  <c r="R110" i="287"/>
  <c r="R109" i="287"/>
  <c r="R91" i="287"/>
  <c r="Q109" i="287"/>
  <c r="O110" i="287"/>
  <c r="O91" i="287"/>
  <c r="L89" i="287"/>
  <c r="AH64" i="287"/>
  <c r="N110" i="287"/>
  <c r="N91" i="287"/>
  <c r="N103" i="287" s="1"/>
  <c r="N108" i="287" s="1"/>
  <c r="M109" i="287"/>
  <c r="G89" i="287"/>
  <c r="G103" i="287" s="1"/>
  <c r="G108" i="287" s="1"/>
  <c r="F83" i="287"/>
  <c r="J103" i="287"/>
  <c r="J108" i="287" s="1"/>
  <c r="AA83" i="287"/>
  <c r="M103" i="287"/>
  <c r="M108" i="287" s="1"/>
  <c r="J110" i="287"/>
  <c r="L109" i="287"/>
  <c r="O109" i="287"/>
  <c r="N83" i="287"/>
  <c r="V109" i="287"/>
  <c r="W109" i="287"/>
  <c r="X89" i="287"/>
  <c r="Z91" i="287"/>
  <c r="Z109" i="287" s="1"/>
  <c r="P110" i="287"/>
  <c r="K110" i="287"/>
  <c r="Y89" i="287"/>
  <c r="Y103" i="287" s="1"/>
  <c r="Y108" i="287" s="1"/>
  <c r="AA91" i="287"/>
  <c r="AA109" i="287" s="1"/>
  <c r="L103" i="287"/>
  <c r="L108" i="287" s="1"/>
  <c r="M110" i="287"/>
  <c r="H89" i="287"/>
  <c r="AB89" i="287"/>
  <c r="AB103" i="287" s="1"/>
  <c r="AB108" i="287" s="1"/>
  <c r="K103" i="287"/>
  <c r="K108" i="287" s="1"/>
  <c r="L110" i="287"/>
  <c r="Q110" i="287"/>
  <c r="I89" i="287"/>
  <c r="I103" i="287" s="1"/>
  <c r="I108" i="287" s="1"/>
  <c r="AC89" i="287"/>
  <c r="AC103" i="287" s="1"/>
  <c r="AC108" i="287" s="1"/>
  <c r="T83" i="287"/>
  <c r="F91" i="287"/>
  <c r="F109" i="287" s="1"/>
  <c r="AB83" i="287"/>
  <c r="AC83" i="287"/>
  <c r="X83" i="287"/>
  <c r="X110" i="287"/>
  <c r="C83" i="287"/>
  <c r="F103" i="287"/>
  <c r="F108" i="287" s="1"/>
  <c r="W103" i="287"/>
  <c r="W108" i="287" s="1"/>
  <c r="I83" i="287"/>
  <c r="X91" i="287"/>
  <c r="X109" i="287" s="1"/>
  <c r="Z103" i="287"/>
  <c r="Z108" i="287" s="1"/>
  <c r="AA103" i="287"/>
  <c r="AA108" i="287" s="1"/>
  <c r="T103" i="287"/>
  <c r="T108" i="287" s="1"/>
  <c r="AF64" i="287"/>
  <c r="AB109" i="287"/>
  <c r="AG64" i="287"/>
  <c r="AC109" i="287"/>
  <c r="Y83" i="287"/>
  <c r="Y110" i="287"/>
  <c r="G83" i="287"/>
  <c r="H109" i="287"/>
  <c r="U91" i="287"/>
  <c r="U109" i="287" s="1"/>
  <c r="U110" i="287"/>
  <c r="U83" i="287"/>
  <c r="P83" i="287"/>
  <c r="P89" i="287"/>
  <c r="P103" i="287" s="1"/>
  <c r="P108" i="287" s="1"/>
  <c r="K83" i="287"/>
  <c r="I109" i="287"/>
  <c r="O83" i="287"/>
  <c r="O89" i="287"/>
  <c r="O103" i="287" s="1"/>
  <c r="O108" i="287" s="1"/>
  <c r="H65" i="287"/>
  <c r="H99" i="287" s="1"/>
  <c r="V110" i="287"/>
  <c r="V83" i="287"/>
  <c r="Q83" i="287"/>
  <c r="Q89" i="287"/>
  <c r="Q103" i="287" s="1"/>
  <c r="Q108" i="287" s="1"/>
  <c r="L83" i="287"/>
  <c r="J109" i="287"/>
  <c r="S110" i="287"/>
  <c r="S89" i="287"/>
  <c r="S103" i="287" s="1"/>
  <c r="S108" i="287" s="1"/>
  <c r="S83" i="287"/>
  <c r="V103" i="287"/>
  <c r="V108" i="287" s="1"/>
  <c r="P109" i="287"/>
  <c r="AI61" i="287"/>
  <c r="AH62" i="287"/>
  <c r="AG62" i="287"/>
  <c r="AF62" i="287"/>
  <c r="G109" i="287"/>
  <c r="J83" i="287"/>
  <c r="W110" i="287"/>
  <c r="W83" i="287"/>
  <c r="R89" i="287"/>
  <c r="R83" i="287"/>
  <c r="M83" i="287"/>
  <c r="K109" i="287"/>
  <c r="F110" i="287"/>
  <c r="Z110" i="287"/>
  <c r="G110" i="287"/>
  <c r="AA110" i="287"/>
  <c r="H110" i="287"/>
  <c r="AB110" i="287"/>
  <c r="T110" i="287"/>
  <c r="I110" i="287"/>
  <c r="AC110" i="287"/>
  <c r="AI640" i="260"/>
  <c r="AE640" i="260"/>
  <c r="F1115" i="88"/>
  <c r="F1113" i="88"/>
  <c r="F1114" i="88"/>
  <c r="F1111" i="88"/>
  <c r="F1110" i="88"/>
  <c r="AE639" i="260"/>
  <c r="X103" i="287" l="1"/>
  <c r="X108" i="287" s="1"/>
  <c r="R103" i="287"/>
  <c r="R108" i="287" s="1"/>
  <c r="N109" i="287"/>
  <c r="H103" i="287"/>
  <c r="H108" i="287" s="1"/>
  <c r="U103" i="287"/>
  <c r="U108" i="287" s="1"/>
  <c r="H83" i="287"/>
  <c r="AE638" i="260"/>
  <c r="F1082" i="88"/>
  <c r="F1107" i="88"/>
  <c r="F1103" i="88"/>
  <c r="F1095" i="88"/>
  <c r="F1094" i="88"/>
  <c r="L64" i="286"/>
  <c r="L62" i="286"/>
  <c r="F1102" i="88"/>
  <c r="K93" i="286"/>
  <c r="K64" i="286"/>
  <c r="K62" i="286"/>
  <c r="J64" i="286"/>
  <c r="J62" i="286"/>
  <c r="F103" i="280"/>
  <c r="I64" i="286"/>
  <c r="I62" i="286"/>
  <c r="H64" i="286"/>
  <c r="H62" i="286"/>
  <c r="F63" i="286"/>
  <c r="G62" i="286"/>
  <c r="F1096" i="88"/>
  <c r="AE631" i="260"/>
  <c r="F1074" i="88"/>
  <c r="G64" i="286"/>
  <c r="AC63" i="285"/>
  <c r="AB63" i="285"/>
  <c r="AA63" i="285"/>
  <c r="F1045" i="88"/>
  <c r="F1069" i="88"/>
  <c r="F1068" i="88"/>
  <c r="F1099" i="88"/>
  <c r="F1100" i="88"/>
  <c r="F1097" i="88"/>
  <c r="F1098" i="88"/>
  <c r="AE630" i="260"/>
  <c r="F96" i="286"/>
  <c r="F64" i="286"/>
  <c r="F80" i="286"/>
  <c r="F76" i="286"/>
  <c r="F65" i="286"/>
  <c r="F99" i="286" s="1"/>
  <c r="F60" i="286"/>
  <c r="F34" i="286"/>
  <c r="F31" i="286"/>
  <c r="F93" i="286" s="1"/>
  <c r="F25" i="286"/>
  <c r="F22" i="286"/>
  <c r="F17" i="286"/>
  <c r="AC129" i="286"/>
  <c r="AB129" i="286"/>
  <c r="AA129" i="286"/>
  <c r="Z129" i="286"/>
  <c r="Y129" i="286"/>
  <c r="X129" i="286"/>
  <c r="W129" i="286"/>
  <c r="V129" i="286"/>
  <c r="U129" i="286"/>
  <c r="T129" i="286"/>
  <c r="S129" i="286"/>
  <c r="R129" i="286"/>
  <c r="Q129" i="286"/>
  <c r="P129" i="286"/>
  <c r="O129" i="286"/>
  <c r="N129" i="286"/>
  <c r="M129" i="286"/>
  <c r="L129" i="286"/>
  <c r="K129" i="286"/>
  <c r="J129" i="286"/>
  <c r="I129" i="286"/>
  <c r="H129" i="286"/>
  <c r="G129" i="286"/>
  <c r="F129" i="286"/>
  <c r="AC107" i="286"/>
  <c r="AB107" i="286"/>
  <c r="AA107" i="286"/>
  <c r="Z107" i="286"/>
  <c r="Y107" i="286"/>
  <c r="X107" i="286"/>
  <c r="W107" i="286"/>
  <c r="V107" i="286"/>
  <c r="U107" i="286"/>
  <c r="T107" i="286"/>
  <c r="S107" i="286"/>
  <c r="R107" i="286"/>
  <c r="Q107" i="286"/>
  <c r="P107" i="286"/>
  <c r="O107" i="286"/>
  <c r="N107" i="286"/>
  <c r="M107" i="286"/>
  <c r="L107" i="286"/>
  <c r="K107" i="286"/>
  <c r="J107" i="286"/>
  <c r="I107" i="286"/>
  <c r="H107" i="286"/>
  <c r="G107" i="286"/>
  <c r="F107" i="286"/>
  <c r="AC102" i="286"/>
  <c r="AB102" i="286"/>
  <c r="AA102" i="286"/>
  <c r="Z102" i="286"/>
  <c r="Y102" i="286"/>
  <c r="X102" i="286"/>
  <c r="W102" i="286"/>
  <c r="V102" i="286"/>
  <c r="U102" i="286"/>
  <c r="T102" i="286"/>
  <c r="S102" i="286"/>
  <c r="R102" i="286"/>
  <c r="Q102" i="286"/>
  <c r="P102" i="286"/>
  <c r="O102" i="286"/>
  <c r="N102" i="286"/>
  <c r="M102" i="286"/>
  <c r="L102" i="286"/>
  <c r="K102" i="286"/>
  <c r="J102" i="286"/>
  <c r="I102" i="286"/>
  <c r="H102" i="286"/>
  <c r="G102" i="286"/>
  <c r="F102" i="286"/>
  <c r="T101" i="286"/>
  <c r="Q99" i="286"/>
  <c r="Q98" i="286"/>
  <c r="P98" i="286"/>
  <c r="M98" i="286"/>
  <c r="L98" i="286"/>
  <c r="Q96" i="286"/>
  <c r="W93" i="286"/>
  <c r="I89" i="286"/>
  <c r="AC80" i="286"/>
  <c r="AC101" i="286" s="1"/>
  <c r="AB80" i="286"/>
  <c r="AB101" i="286" s="1"/>
  <c r="AA80" i="286"/>
  <c r="AA101" i="286" s="1"/>
  <c r="Z80" i="286"/>
  <c r="Z101" i="286" s="1"/>
  <c r="Y80" i="286"/>
  <c r="Y101" i="286" s="1"/>
  <c r="X80" i="286"/>
  <c r="X101" i="286" s="1"/>
  <c r="W80" i="286"/>
  <c r="W101" i="286" s="1"/>
  <c r="V80" i="286"/>
  <c r="V101" i="286" s="1"/>
  <c r="U80" i="286"/>
  <c r="U101" i="286" s="1"/>
  <c r="T80" i="286"/>
  <c r="S80" i="286"/>
  <c r="S101" i="286" s="1"/>
  <c r="R80" i="286"/>
  <c r="R101" i="286" s="1"/>
  <c r="Q80" i="286"/>
  <c r="Q101" i="286" s="1"/>
  <c r="P80" i="286"/>
  <c r="P101" i="286" s="1"/>
  <c r="O80" i="286"/>
  <c r="O101" i="286" s="1"/>
  <c r="N80" i="286"/>
  <c r="N101" i="286" s="1"/>
  <c r="M80" i="286"/>
  <c r="M101" i="286" s="1"/>
  <c r="L80" i="286"/>
  <c r="L101" i="286" s="1"/>
  <c r="K80" i="286"/>
  <c r="K101" i="286" s="1"/>
  <c r="J80" i="286"/>
  <c r="J101" i="286" s="1"/>
  <c r="I80" i="286"/>
  <c r="I101" i="286" s="1"/>
  <c r="H80" i="286"/>
  <c r="H101" i="286" s="1"/>
  <c r="G80" i="286"/>
  <c r="G101" i="286" s="1"/>
  <c r="F101" i="286"/>
  <c r="C80" i="286"/>
  <c r="B80" i="286"/>
  <c r="B25" i="286" s="1"/>
  <c r="AH79" i="286"/>
  <c r="AG79" i="286"/>
  <c r="AF79" i="286"/>
  <c r="AH78" i="286"/>
  <c r="AG78" i="286"/>
  <c r="AF78" i="286"/>
  <c r="AI77" i="286"/>
  <c r="AC76" i="286"/>
  <c r="AC100" i="286" s="1"/>
  <c r="AB76" i="286"/>
  <c r="AB100" i="286" s="1"/>
  <c r="AA76" i="286"/>
  <c r="AA100" i="286" s="1"/>
  <c r="Z76" i="286"/>
  <c r="Z100" i="286" s="1"/>
  <c r="Y76" i="286"/>
  <c r="Y100" i="286" s="1"/>
  <c r="X76" i="286"/>
  <c r="X100" i="286" s="1"/>
  <c r="W76" i="286"/>
  <c r="W100" i="286" s="1"/>
  <c r="V76" i="286"/>
  <c r="V100" i="286" s="1"/>
  <c r="U76" i="286"/>
  <c r="U100" i="286" s="1"/>
  <c r="T76" i="286"/>
  <c r="T100" i="286" s="1"/>
  <c r="S76" i="286"/>
  <c r="S100" i="286" s="1"/>
  <c r="R76" i="286"/>
  <c r="R100" i="286" s="1"/>
  <c r="Q76" i="286"/>
  <c r="Q100" i="286" s="1"/>
  <c r="P76" i="286"/>
  <c r="P100" i="286" s="1"/>
  <c r="O76" i="286"/>
  <c r="O100" i="286" s="1"/>
  <c r="N76" i="286"/>
  <c r="N100" i="286" s="1"/>
  <c r="M76" i="286"/>
  <c r="M100" i="286" s="1"/>
  <c r="L76" i="286"/>
  <c r="L100" i="286" s="1"/>
  <c r="K76" i="286"/>
  <c r="K100" i="286" s="1"/>
  <c r="J76" i="286"/>
  <c r="J100" i="286" s="1"/>
  <c r="I76" i="286"/>
  <c r="I100" i="286" s="1"/>
  <c r="H76" i="286"/>
  <c r="H100" i="286" s="1"/>
  <c r="G76" i="286"/>
  <c r="G100" i="286" s="1"/>
  <c r="F100" i="286"/>
  <c r="C76" i="286"/>
  <c r="B76" i="286"/>
  <c r="AH75" i="286"/>
  <c r="AG75" i="286"/>
  <c r="AF75" i="286"/>
  <c r="AH74" i="286"/>
  <c r="AG74" i="286"/>
  <c r="AF74" i="286"/>
  <c r="AH73" i="286"/>
  <c r="AG73" i="286"/>
  <c r="AF73" i="286"/>
  <c r="AH72" i="286"/>
  <c r="AG72" i="286"/>
  <c r="AF72" i="286"/>
  <c r="AH71" i="286"/>
  <c r="AG71" i="286"/>
  <c r="AF71" i="286"/>
  <c r="AH70" i="286"/>
  <c r="AG70" i="286"/>
  <c r="AF70" i="286"/>
  <c r="AH69" i="286"/>
  <c r="AG69" i="286"/>
  <c r="AF69" i="286"/>
  <c r="AH68" i="286"/>
  <c r="AG68" i="286"/>
  <c r="AF68" i="286"/>
  <c r="AH67" i="286"/>
  <c r="AG67" i="286"/>
  <c r="AF67" i="286"/>
  <c r="AI66" i="286"/>
  <c r="AC65" i="286"/>
  <c r="AC99" i="286" s="1"/>
  <c r="Y65" i="286"/>
  <c r="Y99" i="286" s="1"/>
  <c r="X65" i="286"/>
  <c r="X99" i="286" s="1"/>
  <c r="W65" i="286"/>
  <c r="W99" i="286" s="1"/>
  <c r="U65" i="286"/>
  <c r="U99" i="286" s="1"/>
  <c r="R65" i="286"/>
  <c r="R99" i="286" s="1"/>
  <c r="Q65" i="286"/>
  <c r="M65" i="286"/>
  <c r="M99" i="286" s="1"/>
  <c r="L65" i="286"/>
  <c r="L99" i="286" s="1"/>
  <c r="K65" i="286"/>
  <c r="K99" i="286" s="1"/>
  <c r="H65" i="286"/>
  <c r="H99" i="286" s="1"/>
  <c r="C65" i="286"/>
  <c r="AG64" i="286"/>
  <c r="AB65" i="286"/>
  <c r="AB99" i="286" s="1"/>
  <c r="AA65" i="286"/>
  <c r="AA99" i="286" s="1"/>
  <c r="Z65" i="286"/>
  <c r="Z99" i="286" s="1"/>
  <c r="V65" i="286"/>
  <c r="V99" i="286" s="1"/>
  <c r="S65" i="286"/>
  <c r="S99" i="286" s="1"/>
  <c r="P65" i="286"/>
  <c r="P99" i="286" s="1"/>
  <c r="O65" i="286"/>
  <c r="O99" i="286" s="1"/>
  <c r="N65" i="286"/>
  <c r="N99" i="286" s="1"/>
  <c r="J65" i="286"/>
  <c r="J99" i="286" s="1"/>
  <c r="AC60" i="286"/>
  <c r="AC98" i="286" s="1"/>
  <c r="AB60" i="286"/>
  <c r="AB98" i="286" s="1"/>
  <c r="AA60" i="286"/>
  <c r="AA98" i="286" s="1"/>
  <c r="Z60" i="286"/>
  <c r="Z98" i="286" s="1"/>
  <c r="Y60" i="286"/>
  <c r="Y98" i="286" s="1"/>
  <c r="X60" i="286"/>
  <c r="X98" i="286" s="1"/>
  <c r="W60" i="286"/>
  <c r="W98" i="286" s="1"/>
  <c r="V60" i="286"/>
  <c r="V98" i="286" s="1"/>
  <c r="U60" i="286"/>
  <c r="U98" i="286" s="1"/>
  <c r="T60" i="286"/>
  <c r="T98" i="286" s="1"/>
  <c r="S60" i="286"/>
  <c r="S98" i="286" s="1"/>
  <c r="R60" i="286"/>
  <c r="R98" i="286" s="1"/>
  <c r="Q60" i="286"/>
  <c r="P60" i="286"/>
  <c r="O60" i="286"/>
  <c r="O98" i="286" s="1"/>
  <c r="N60" i="286"/>
  <c r="N98" i="286" s="1"/>
  <c r="M60" i="286"/>
  <c r="L60" i="286"/>
  <c r="K60" i="286"/>
  <c r="K98" i="286" s="1"/>
  <c r="J60" i="286"/>
  <c r="J98" i="286" s="1"/>
  <c r="I60" i="286"/>
  <c r="I98" i="286" s="1"/>
  <c r="H60" i="286"/>
  <c r="H98" i="286" s="1"/>
  <c r="G60" i="286"/>
  <c r="G98" i="286" s="1"/>
  <c r="F98" i="286"/>
  <c r="C60" i="286"/>
  <c r="B60" i="286"/>
  <c r="B65" i="286" s="1"/>
  <c r="AH59" i="286"/>
  <c r="AG59" i="286"/>
  <c r="AF59" i="286"/>
  <c r="AH58" i="286"/>
  <c r="AG58" i="286"/>
  <c r="AF58" i="286"/>
  <c r="AH57" i="286"/>
  <c r="AG57" i="286"/>
  <c r="AF57" i="286"/>
  <c r="AH56" i="286"/>
  <c r="AG56" i="286"/>
  <c r="AF56" i="286"/>
  <c r="AH55" i="286"/>
  <c r="AG55" i="286"/>
  <c r="AF55" i="286"/>
  <c r="AH54" i="286"/>
  <c r="AG54" i="286"/>
  <c r="AF54" i="286"/>
  <c r="AH53" i="286"/>
  <c r="AG53" i="286"/>
  <c r="AF53" i="286"/>
  <c r="AH52" i="286"/>
  <c r="AG52" i="286"/>
  <c r="AF52" i="286"/>
  <c r="AH51" i="286"/>
  <c r="AG51" i="286"/>
  <c r="AF51" i="286"/>
  <c r="AH50" i="286"/>
  <c r="AG50" i="286"/>
  <c r="AF50" i="286"/>
  <c r="AH49" i="286"/>
  <c r="AG49" i="286"/>
  <c r="AF49" i="286"/>
  <c r="AH48" i="286"/>
  <c r="AG48" i="286"/>
  <c r="AF48" i="286"/>
  <c r="AH47" i="286"/>
  <c r="AG47" i="286"/>
  <c r="AF47" i="286"/>
  <c r="AH46" i="286"/>
  <c r="AG46" i="286"/>
  <c r="AF46" i="286"/>
  <c r="AH45" i="286"/>
  <c r="AG45" i="286"/>
  <c r="AF45" i="286"/>
  <c r="AH44" i="286"/>
  <c r="AG44" i="286"/>
  <c r="AF44" i="286"/>
  <c r="AH43" i="286"/>
  <c r="AG43" i="286"/>
  <c r="AF43" i="286"/>
  <c r="AH42" i="286"/>
  <c r="AG42" i="286"/>
  <c r="AF42" i="286"/>
  <c r="AH41" i="286"/>
  <c r="AG41" i="286"/>
  <c r="AF41" i="286"/>
  <c r="AH40" i="286"/>
  <c r="AG40" i="286"/>
  <c r="AF40" i="286"/>
  <c r="AH39" i="286"/>
  <c r="AG39" i="286"/>
  <c r="AF39" i="286"/>
  <c r="AH38" i="286"/>
  <c r="AG38" i="286"/>
  <c r="AF38" i="286"/>
  <c r="AH37" i="286"/>
  <c r="AG37" i="286"/>
  <c r="AF37" i="286"/>
  <c r="AI36" i="286"/>
  <c r="AH36" i="286"/>
  <c r="AG36" i="286"/>
  <c r="AF36" i="286"/>
  <c r="AI35" i="286"/>
  <c r="AC34" i="286"/>
  <c r="AC96" i="286" s="1"/>
  <c r="AB34" i="286"/>
  <c r="AB96" i="286" s="1"/>
  <c r="AA34" i="286"/>
  <c r="AA96" i="286" s="1"/>
  <c r="Z34" i="286"/>
  <c r="Z96" i="286" s="1"/>
  <c r="Y34" i="286"/>
  <c r="Y96" i="286" s="1"/>
  <c r="X34" i="286"/>
  <c r="X96" i="286" s="1"/>
  <c r="W34" i="286"/>
  <c r="W96" i="286" s="1"/>
  <c r="V34" i="286"/>
  <c r="V96" i="286" s="1"/>
  <c r="U34" i="286"/>
  <c r="U96" i="286" s="1"/>
  <c r="T34" i="286"/>
  <c r="T96" i="286" s="1"/>
  <c r="S34" i="286"/>
  <c r="S96" i="286" s="1"/>
  <c r="R34" i="286"/>
  <c r="R96" i="286" s="1"/>
  <c r="Q34" i="286"/>
  <c r="P34" i="286"/>
  <c r="P96" i="286" s="1"/>
  <c r="O34" i="286"/>
  <c r="O96" i="286" s="1"/>
  <c r="N34" i="286"/>
  <c r="N96" i="286" s="1"/>
  <c r="M34" i="286"/>
  <c r="M96" i="286" s="1"/>
  <c r="L34" i="286"/>
  <c r="L96" i="286" s="1"/>
  <c r="K34" i="286"/>
  <c r="K96" i="286" s="1"/>
  <c r="J34" i="286"/>
  <c r="J96" i="286" s="1"/>
  <c r="I34" i="286"/>
  <c r="I96" i="286" s="1"/>
  <c r="H34" i="286"/>
  <c r="H96" i="286" s="1"/>
  <c r="G34" i="286"/>
  <c r="G96" i="286" s="1"/>
  <c r="C34" i="286"/>
  <c r="B34" i="286"/>
  <c r="AH33" i="286"/>
  <c r="AG33" i="286"/>
  <c r="AF33" i="286"/>
  <c r="AI32" i="286"/>
  <c r="AC31" i="286"/>
  <c r="AC93" i="286" s="1"/>
  <c r="AB31" i="286"/>
  <c r="AB93" i="286" s="1"/>
  <c r="AA31" i="286"/>
  <c r="AA93" i="286" s="1"/>
  <c r="Z31" i="286"/>
  <c r="Z93" i="286" s="1"/>
  <c r="Y31" i="286"/>
  <c r="Y93" i="286" s="1"/>
  <c r="X31" i="286"/>
  <c r="X93" i="286" s="1"/>
  <c r="W31" i="286"/>
  <c r="V31" i="286"/>
  <c r="V93" i="286" s="1"/>
  <c r="U31" i="286"/>
  <c r="U93" i="286" s="1"/>
  <c r="T31" i="286"/>
  <c r="T93" i="286" s="1"/>
  <c r="S31" i="286"/>
  <c r="S93" i="286" s="1"/>
  <c r="R31" i="286"/>
  <c r="R93" i="286" s="1"/>
  <c r="Q31" i="286"/>
  <c r="Q93" i="286" s="1"/>
  <c r="P31" i="286"/>
  <c r="P93" i="286" s="1"/>
  <c r="O31" i="286"/>
  <c r="O93" i="286" s="1"/>
  <c r="N31" i="286"/>
  <c r="N93" i="286" s="1"/>
  <c r="M31" i="286"/>
  <c r="M93" i="286" s="1"/>
  <c r="L31" i="286"/>
  <c r="L93" i="286" s="1"/>
  <c r="K31" i="286"/>
  <c r="J31" i="286"/>
  <c r="J93" i="286" s="1"/>
  <c r="I31" i="286"/>
  <c r="I93" i="286" s="1"/>
  <c r="H31" i="286"/>
  <c r="H93" i="286" s="1"/>
  <c r="G31" i="286"/>
  <c r="G93" i="286" s="1"/>
  <c r="C31" i="286"/>
  <c r="B31" i="286"/>
  <c r="AI28" i="286"/>
  <c r="AH28" i="286"/>
  <c r="AG28" i="286"/>
  <c r="AF28" i="286"/>
  <c r="AH27" i="286"/>
  <c r="AG27" i="286"/>
  <c r="AF27" i="286"/>
  <c r="AI26" i="286"/>
  <c r="AC25" i="286"/>
  <c r="AB25" i="286"/>
  <c r="AA25" i="286"/>
  <c r="Z25" i="286"/>
  <c r="Y25" i="286"/>
  <c r="X25" i="286"/>
  <c r="W25" i="286"/>
  <c r="V25" i="286"/>
  <c r="U25" i="286"/>
  <c r="T25" i="286"/>
  <c r="S25" i="286"/>
  <c r="R25" i="286"/>
  <c r="Q25" i="286"/>
  <c r="P25" i="286"/>
  <c r="O25" i="286"/>
  <c r="N25" i="286"/>
  <c r="M25" i="286"/>
  <c r="L25" i="286"/>
  <c r="K25" i="286"/>
  <c r="J25" i="286"/>
  <c r="I25" i="286"/>
  <c r="H25" i="286"/>
  <c r="G25" i="286"/>
  <c r="C25" i="286"/>
  <c r="AH24" i="286"/>
  <c r="AG24" i="286"/>
  <c r="AF24" i="286"/>
  <c r="AI23" i="286"/>
  <c r="AC22" i="286"/>
  <c r="AB22" i="286"/>
  <c r="AA22" i="286"/>
  <c r="Z22" i="286"/>
  <c r="Y22" i="286"/>
  <c r="X22" i="286"/>
  <c r="W22" i="286"/>
  <c r="V22" i="286"/>
  <c r="U22" i="286"/>
  <c r="T22" i="286"/>
  <c r="T89" i="286" s="1"/>
  <c r="S22" i="286"/>
  <c r="R22" i="286"/>
  <c r="Q22" i="286"/>
  <c r="Q89" i="286" s="1"/>
  <c r="P22" i="286"/>
  <c r="O22" i="286"/>
  <c r="N22" i="286"/>
  <c r="N89" i="286" s="1"/>
  <c r="M22" i="286"/>
  <c r="M89" i="286" s="1"/>
  <c r="L22" i="286"/>
  <c r="L89" i="286" s="1"/>
  <c r="K22" i="286"/>
  <c r="K89" i="286" s="1"/>
  <c r="J22" i="286"/>
  <c r="I22" i="286"/>
  <c r="H22" i="286"/>
  <c r="G22" i="286"/>
  <c r="C22" i="286"/>
  <c r="B22" i="286"/>
  <c r="AH21" i="286"/>
  <c r="AG21" i="286"/>
  <c r="AF21" i="286"/>
  <c r="AH20" i="286"/>
  <c r="AG20" i="286"/>
  <c r="AF20" i="286"/>
  <c r="AH19" i="286"/>
  <c r="AG19" i="286"/>
  <c r="AF19" i="286"/>
  <c r="AI18" i="286"/>
  <c r="AC17" i="286"/>
  <c r="AC91" i="286" s="1"/>
  <c r="AB17" i="286"/>
  <c r="AB91" i="286" s="1"/>
  <c r="AA17" i="286"/>
  <c r="Z17" i="286"/>
  <c r="Y17" i="286"/>
  <c r="X17" i="286"/>
  <c r="W17" i="286"/>
  <c r="W91" i="286" s="1"/>
  <c r="V17" i="286"/>
  <c r="V91" i="286" s="1"/>
  <c r="U17" i="286"/>
  <c r="U91" i="286" s="1"/>
  <c r="T17" i="286"/>
  <c r="T91" i="286" s="1"/>
  <c r="S17" i="286"/>
  <c r="S91" i="286" s="1"/>
  <c r="R17" i="286"/>
  <c r="R91" i="286" s="1"/>
  <c r="Q17" i="286"/>
  <c r="Q91" i="286" s="1"/>
  <c r="P17" i="286"/>
  <c r="P91" i="286" s="1"/>
  <c r="O17" i="286"/>
  <c r="O91" i="286" s="1"/>
  <c r="N17" i="286"/>
  <c r="N91" i="286" s="1"/>
  <c r="M17" i="286"/>
  <c r="L17" i="286"/>
  <c r="K17" i="286"/>
  <c r="J17" i="286"/>
  <c r="I17" i="286"/>
  <c r="I91" i="286" s="1"/>
  <c r="H17" i="286"/>
  <c r="G17" i="286"/>
  <c r="F91" i="286"/>
  <c r="C17" i="286"/>
  <c r="B17" i="286"/>
  <c r="AH16" i="286"/>
  <c r="AG16" i="286"/>
  <c r="AF16" i="286"/>
  <c r="AH15" i="286"/>
  <c r="AG15" i="286"/>
  <c r="AF15" i="286"/>
  <c r="AH14" i="286"/>
  <c r="AG14" i="286"/>
  <c r="AF14" i="286"/>
  <c r="AH13" i="286"/>
  <c r="AG13" i="286"/>
  <c r="AF13" i="286"/>
  <c r="AI12" i="286"/>
  <c r="M9" i="286" a="1"/>
  <c r="M9" i="286" s="1"/>
  <c r="AE628" i="260"/>
  <c r="W628" i="260"/>
  <c r="AE627" i="260"/>
  <c r="W627" i="260"/>
  <c r="AC64" i="285"/>
  <c r="AB64" i="285"/>
  <c r="F1028" i="88"/>
  <c r="AE626" i="260"/>
  <c r="W626" i="260"/>
  <c r="AE625" i="260"/>
  <c r="W625" i="260"/>
  <c r="AA64" i="285"/>
  <c r="Z64" i="285"/>
  <c r="Z63" i="285"/>
  <c r="Z62" i="285"/>
  <c r="F1066" i="88"/>
  <c r="V64" i="285"/>
  <c r="V62" i="285"/>
  <c r="T64" i="285"/>
  <c r="T63" i="285"/>
  <c r="T62" i="285"/>
  <c r="S64" i="285"/>
  <c r="S63" i="285"/>
  <c r="S62" i="285"/>
  <c r="F1092" i="88"/>
  <c r="F1091" i="88"/>
  <c r="AE624" i="260"/>
  <c r="W624" i="260"/>
  <c r="W106" i="285"/>
  <c r="F1093" i="88"/>
  <c r="F1067" i="88"/>
  <c r="F1090" i="88"/>
  <c r="AE623" i="260"/>
  <c r="W623" i="260"/>
  <c r="F1089" i="88"/>
  <c r="F1086" i="88"/>
  <c r="F1088" i="88"/>
  <c r="F1087" i="88"/>
  <c r="AE620" i="260"/>
  <c r="W620" i="260"/>
  <c r="F1075" i="88"/>
  <c r="F1085" i="88"/>
  <c r="F1084" i="88"/>
  <c r="AE618" i="260"/>
  <c r="W618" i="260"/>
  <c r="AE617" i="260"/>
  <c r="W617" i="260"/>
  <c r="F1079" i="88"/>
  <c r="F1078" i="88"/>
  <c r="F1077" i="88"/>
  <c r="F1076" i="88"/>
  <c r="F1073" i="88"/>
  <c r="F1081" i="88"/>
  <c r="AE616" i="260"/>
  <c r="W616" i="260"/>
  <c r="F1080" i="88"/>
  <c r="F1072" i="88"/>
  <c r="AE615" i="260"/>
  <c r="W615" i="260"/>
  <c r="P63" i="285"/>
  <c r="P62" i="285"/>
  <c r="AE614" i="260"/>
  <c r="W614" i="260"/>
  <c r="O63" i="285"/>
  <c r="O62" i="285"/>
  <c r="F1071" i="88"/>
  <c r="F1070" i="88"/>
  <c r="W613" i="260"/>
  <c r="N63" i="285"/>
  <c r="N62" i="285"/>
  <c r="M63" i="285"/>
  <c r="M62" i="285"/>
  <c r="F1016" i="88"/>
  <c r="L63" i="285"/>
  <c r="F1031" i="88"/>
  <c r="K63" i="285"/>
  <c r="L62" i="285"/>
  <c r="K62" i="285"/>
  <c r="J64" i="285"/>
  <c r="J62" i="285"/>
  <c r="F1058" i="88"/>
  <c r="F1000" i="88"/>
  <c r="F1064" i="88"/>
  <c r="F1063" i="88"/>
  <c r="AA110" i="286" l="1"/>
  <c r="AA89" i="286"/>
  <c r="W109" i="286"/>
  <c r="V109" i="286"/>
  <c r="U110" i="286"/>
  <c r="R109" i="286"/>
  <c r="P89" i="286"/>
  <c r="O89" i="286"/>
  <c r="O103" i="286" s="1"/>
  <c r="O108" i="286" s="1"/>
  <c r="J89" i="286"/>
  <c r="H89" i="286"/>
  <c r="G65" i="286"/>
  <c r="G99" i="286" s="1"/>
  <c r="F83" i="286"/>
  <c r="AG63" i="286"/>
  <c r="G110" i="286"/>
  <c r="F109" i="286"/>
  <c r="P103" i="286"/>
  <c r="P108" i="286" s="1"/>
  <c r="K110" i="286"/>
  <c r="L83" i="286"/>
  <c r="Q103" i="286"/>
  <c r="Q108" i="286" s="1"/>
  <c r="V110" i="286"/>
  <c r="O110" i="286"/>
  <c r="P110" i="286"/>
  <c r="T109" i="286"/>
  <c r="V89" i="286"/>
  <c r="V103" i="286" s="1"/>
  <c r="V108" i="286" s="1"/>
  <c r="Q110" i="286"/>
  <c r="U109" i="286"/>
  <c r="T110" i="286"/>
  <c r="AC109" i="286"/>
  <c r="S109" i="286"/>
  <c r="AB109" i="286"/>
  <c r="P109" i="286"/>
  <c r="N110" i="286"/>
  <c r="R83" i="286"/>
  <c r="R110" i="286"/>
  <c r="AB89" i="286"/>
  <c r="AB103" i="286" s="1"/>
  <c r="AB108" i="286" s="1"/>
  <c r="I110" i="286"/>
  <c r="AA91" i="286"/>
  <c r="AA109" i="286" s="1"/>
  <c r="I109" i="286"/>
  <c r="O109" i="286"/>
  <c r="Q109" i="286"/>
  <c r="G91" i="286"/>
  <c r="G109" i="286" s="1"/>
  <c r="S110" i="286"/>
  <c r="AC89" i="286"/>
  <c r="AC103" i="286" s="1"/>
  <c r="AC108" i="286" s="1"/>
  <c r="F110" i="286"/>
  <c r="Z110" i="286"/>
  <c r="Z91" i="286"/>
  <c r="Z109" i="286" s="1"/>
  <c r="N103" i="286"/>
  <c r="N108" i="286" s="1"/>
  <c r="Z83" i="286"/>
  <c r="AG62" i="286"/>
  <c r="AI61" i="286"/>
  <c r="AF62" i="286"/>
  <c r="B83" i="286"/>
  <c r="X83" i="286"/>
  <c r="X110" i="286"/>
  <c r="Y83" i="286"/>
  <c r="Y110" i="286"/>
  <c r="J83" i="286"/>
  <c r="J110" i="286"/>
  <c r="K83" i="286"/>
  <c r="T65" i="286"/>
  <c r="M110" i="286"/>
  <c r="M91" i="286"/>
  <c r="M109" i="286" s="1"/>
  <c r="G83" i="286"/>
  <c r="M83" i="286"/>
  <c r="N83" i="286"/>
  <c r="O83" i="286"/>
  <c r="P83" i="286"/>
  <c r="U89" i="286"/>
  <c r="U103" i="286" s="1"/>
  <c r="U108" i="286" s="1"/>
  <c r="U83" i="286"/>
  <c r="Q83" i="286"/>
  <c r="C83" i="286"/>
  <c r="X91" i="286"/>
  <c r="X109" i="286" s="1"/>
  <c r="I65" i="286"/>
  <c r="I99" i="286" s="1"/>
  <c r="I103" i="286" s="1"/>
  <c r="I108" i="286" s="1"/>
  <c r="H83" i="286"/>
  <c r="H110" i="286"/>
  <c r="AC83" i="286"/>
  <c r="W89" i="286"/>
  <c r="W103" i="286" s="1"/>
  <c r="W108" i="286" s="1"/>
  <c r="W110" i="286"/>
  <c r="AH63" i="286"/>
  <c r="AH64" i="286"/>
  <c r="AF64" i="286"/>
  <c r="N109" i="286"/>
  <c r="S89" i="286"/>
  <c r="S103" i="286" s="1"/>
  <c r="S108" i="286" s="1"/>
  <c r="W83" i="286"/>
  <c r="S83" i="286"/>
  <c r="AF63" i="286"/>
  <c r="AB83" i="286"/>
  <c r="AB110" i="286"/>
  <c r="AC110" i="286"/>
  <c r="X89" i="286"/>
  <c r="AH62" i="286"/>
  <c r="J91" i="286"/>
  <c r="J109" i="286" s="1"/>
  <c r="Y91" i="286"/>
  <c r="Y109" i="286" s="1"/>
  <c r="AA83" i="286"/>
  <c r="R89" i="286"/>
  <c r="R103" i="286" s="1"/>
  <c r="R108" i="286" s="1"/>
  <c r="V83" i="286"/>
  <c r="H91" i="286"/>
  <c r="H109" i="286" s="1"/>
  <c r="Y89" i="286"/>
  <c r="K91" i="286"/>
  <c r="K109" i="286" s="1"/>
  <c r="L110" i="286"/>
  <c r="F89" i="286"/>
  <c r="F103" i="286" s="1"/>
  <c r="F108" i="286" s="1"/>
  <c r="Z89" i="286"/>
  <c r="G89" i="286"/>
  <c r="L91" i="286"/>
  <c r="L109" i="286" s="1"/>
  <c r="I62" i="285"/>
  <c r="I64" i="285"/>
  <c r="I65" i="285" s="1"/>
  <c r="I99" i="285" s="1"/>
  <c r="H64" i="285"/>
  <c r="H62" i="285"/>
  <c r="F1051" i="88"/>
  <c r="AE606" i="260"/>
  <c r="H65" i="285"/>
  <c r="H99" i="285" s="1"/>
  <c r="G64" i="285"/>
  <c r="G62" i="285"/>
  <c r="F1040" i="88"/>
  <c r="AE605" i="260"/>
  <c r="W605" i="260"/>
  <c r="F64" i="285"/>
  <c r="F62" i="285"/>
  <c r="F1062" i="88"/>
  <c r="AE603" i="260"/>
  <c r="F1061" i="88"/>
  <c r="W603" i="260"/>
  <c r="F1059" i="88"/>
  <c r="F1060" i="88"/>
  <c r="F80" i="285"/>
  <c r="F101" i="285" s="1"/>
  <c r="F76" i="285"/>
  <c r="F65" i="285"/>
  <c r="F99" i="285" s="1"/>
  <c r="F60" i="285"/>
  <c r="F98" i="285" s="1"/>
  <c r="F34" i="285"/>
  <c r="F31" i="285"/>
  <c r="F93" i="285" s="1"/>
  <c r="F25" i="285"/>
  <c r="F22" i="285"/>
  <c r="F17" i="285"/>
  <c r="AC129" i="285"/>
  <c r="AB129" i="285"/>
  <c r="AA129" i="285"/>
  <c r="Z129" i="285"/>
  <c r="Y129" i="285"/>
  <c r="X129" i="285"/>
  <c r="W129" i="285"/>
  <c r="V129" i="285"/>
  <c r="U129" i="285"/>
  <c r="T129" i="285"/>
  <c r="S129" i="285"/>
  <c r="R129" i="285"/>
  <c r="Q129" i="285"/>
  <c r="P129" i="285"/>
  <c r="O129" i="285"/>
  <c r="N129" i="285"/>
  <c r="M129" i="285"/>
  <c r="L129" i="285"/>
  <c r="K129" i="285"/>
  <c r="J129" i="285"/>
  <c r="I129" i="285"/>
  <c r="H129" i="285"/>
  <c r="G129" i="285"/>
  <c r="F129" i="285"/>
  <c r="S109" i="285"/>
  <c r="AC107" i="285"/>
  <c r="AB107" i="285"/>
  <c r="AA107" i="285"/>
  <c r="Z107" i="285"/>
  <c r="Y107" i="285"/>
  <c r="X107" i="285"/>
  <c r="W107" i="285"/>
  <c r="V107" i="285"/>
  <c r="U107" i="285"/>
  <c r="T107" i="285"/>
  <c r="S107" i="285"/>
  <c r="R107" i="285"/>
  <c r="Q107" i="285"/>
  <c r="P107" i="285"/>
  <c r="O107" i="285"/>
  <c r="N107" i="285"/>
  <c r="M107" i="285"/>
  <c r="L107" i="285"/>
  <c r="K107" i="285"/>
  <c r="J107" i="285"/>
  <c r="I107" i="285"/>
  <c r="H107" i="285"/>
  <c r="G107" i="285"/>
  <c r="F107" i="285"/>
  <c r="AC102" i="285"/>
  <c r="AB102" i="285"/>
  <c r="AA102" i="285"/>
  <c r="Z102" i="285"/>
  <c r="Y102" i="285"/>
  <c r="X102" i="285"/>
  <c r="W102" i="285"/>
  <c r="V102" i="285"/>
  <c r="U102" i="285"/>
  <c r="T102" i="285"/>
  <c r="S102" i="285"/>
  <c r="R102" i="285"/>
  <c r="Q102" i="285"/>
  <c r="P102" i="285"/>
  <c r="O102" i="285"/>
  <c r="N102" i="285"/>
  <c r="M102" i="285"/>
  <c r="L102" i="285"/>
  <c r="K102" i="285"/>
  <c r="J102" i="285"/>
  <c r="I102" i="285"/>
  <c r="H102" i="285"/>
  <c r="G102" i="285"/>
  <c r="F102" i="285"/>
  <c r="AA101" i="285"/>
  <c r="Y100" i="285"/>
  <c r="W100" i="285"/>
  <c r="V100" i="285"/>
  <c r="R99" i="285"/>
  <c r="M98" i="285"/>
  <c r="X93" i="285"/>
  <c r="W93" i="285"/>
  <c r="S93" i="285"/>
  <c r="AC80" i="285"/>
  <c r="AC101" i="285" s="1"/>
  <c r="AB80" i="285"/>
  <c r="AB101" i="285" s="1"/>
  <c r="AA80" i="285"/>
  <c r="Z80" i="285"/>
  <c r="Z101" i="285" s="1"/>
  <c r="Y80" i="285"/>
  <c r="Y101" i="285" s="1"/>
  <c r="X80" i="285"/>
  <c r="X101" i="285" s="1"/>
  <c r="W80" i="285"/>
  <c r="W101" i="285" s="1"/>
  <c r="V80" i="285"/>
  <c r="V101" i="285" s="1"/>
  <c r="U80" i="285"/>
  <c r="U101" i="285" s="1"/>
  <c r="T80" i="285"/>
  <c r="T101" i="285" s="1"/>
  <c r="S80" i="285"/>
  <c r="S101" i="285" s="1"/>
  <c r="R80" i="285"/>
  <c r="R101" i="285" s="1"/>
  <c r="Q80" i="285"/>
  <c r="Q101" i="285" s="1"/>
  <c r="P80" i="285"/>
  <c r="P101" i="285" s="1"/>
  <c r="O80" i="285"/>
  <c r="O101" i="285" s="1"/>
  <c r="N80" i="285"/>
  <c r="N101" i="285" s="1"/>
  <c r="M80" i="285"/>
  <c r="M101" i="285" s="1"/>
  <c r="L80" i="285"/>
  <c r="L101" i="285" s="1"/>
  <c r="K80" i="285"/>
  <c r="K101" i="285" s="1"/>
  <c r="J80" i="285"/>
  <c r="J101" i="285" s="1"/>
  <c r="I80" i="285"/>
  <c r="I101" i="285" s="1"/>
  <c r="H80" i="285"/>
  <c r="H101" i="285" s="1"/>
  <c r="G80" i="285"/>
  <c r="G101" i="285" s="1"/>
  <c r="C80" i="285"/>
  <c r="B80" i="285"/>
  <c r="B25" i="285" s="1"/>
  <c r="AH79" i="285"/>
  <c r="AG79" i="285"/>
  <c r="AF79" i="285"/>
  <c r="AH78" i="285"/>
  <c r="AG78" i="285"/>
  <c r="AF78" i="285"/>
  <c r="AI77" i="285"/>
  <c r="AC76" i="285"/>
  <c r="AC100" i="285" s="1"/>
  <c r="AB76" i="285"/>
  <c r="AB100" i="285" s="1"/>
  <c r="AA76" i="285"/>
  <c r="AA100" i="285" s="1"/>
  <c r="Z76" i="285"/>
  <c r="Z100" i="285" s="1"/>
  <c r="Y76" i="285"/>
  <c r="X76" i="285"/>
  <c r="X100" i="285" s="1"/>
  <c r="W76" i="285"/>
  <c r="V76" i="285"/>
  <c r="U76" i="285"/>
  <c r="U100" i="285" s="1"/>
  <c r="T76" i="285"/>
  <c r="T100" i="285" s="1"/>
  <c r="S76" i="285"/>
  <c r="S100" i="285" s="1"/>
  <c r="R76" i="285"/>
  <c r="R100" i="285" s="1"/>
  <c r="Q76" i="285"/>
  <c r="Q100" i="285" s="1"/>
  <c r="P76" i="285"/>
  <c r="P100" i="285" s="1"/>
  <c r="O76" i="285"/>
  <c r="O100" i="285" s="1"/>
  <c r="N76" i="285"/>
  <c r="N100" i="285" s="1"/>
  <c r="M76" i="285"/>
  <c r="M100" i="285" s="1"/>
  <c r="L76" i="285"/>
  <c r="L100" i="285" s="1"/>
  <c r="K76" i="285"/>
  <c r="K100" i="285" s="1"/>
  <c r="J76" i="285"/>
  <c r="J100" i="285" s="1"/>
  <c r="I76" i="285"/>
  <c r="I100" i="285" s="1"/>
  <c r="H76" i="285"/>
  <c r="H100" i="285" s="1"/>
  <c r="G76" i="285"/>
  <c r="G100" i="285" s="1"/>
  <c r="F100" i="285"/>
  <c r="C76" i="285"/>
  <c r="B76" i="285"/>
  <c r="AH75" i="285"/>
  <c r="AG75" i="285"/>
  <c r="AF75" i="285"/>
  <c r="AH74" i="285"/>
  <c r="AG74" i="285"/>
  <c r="AF74" i="285"/>
  <c r="AH73" i="285"/>
  <c r="AG73" i="285"/>
  <c r="AF73" i="285"/>
  <c r="AH72" i="285"/>
  <c r="AG72" i="285"/>
  <c r="AF72" i="285"/>
  <c r="AH71" i="285"/>
  <c r="AG71" i="285"/>
  <c r="AF71" i="285"/>
  <c r="AH70" i="285"/>
  <c r="AG70" i="285"/>
  <c r="AF70" i="285"/>
  <c r="AH69" i="285"/>
  <c r="AG69" i="285"/>
  <c r="AF69" i="285"/>
  <c r="AH68" i="285"/>
  <c r="AG68" i="285"/>
  <c r="AF68" i="285"/>
  <c r="AH67" i="285"/>
  <c r="AG67" i="285"/>
  <c r="AF67" i="285"/>
  <c r="AI66" i="285"/>
  <c r="AC65" i="285"/>
  <c r="AC99" i="285" s="1"/>
  <c r="AB65" i="285"/>
  <c r="AB99" i="285" s="1"/>
  <c r="AA65" i="285"/>
  <c r="AA99" i="285" s="1"/>
  <c r="Z65" i="285"/>
  <c r="Z99" i="285" s="1"/>
  <c r="Y65" i="285"/>
  <c r="Y99" i="285" s="1"/>
  <c r="X65" i="285"/>
  <c r="X99" i="285" s="1"/>
  <c r="T65" i="285"/>
  <c r="T99" i="285" s="1"/>
  <c r="S65" i="285"/>
  <c r="S99" i="285" s="1"/>
  <c r="R65" i="285"/>
  <c r="Q65" i="285"/>
  <c r="Q99" i="285" s="1"/>
  <c r="L65" i="285"/>
  <c r="L99" i="285" s="1"/>
  <c r="K65" i="285"/>
  <c r="K99" i="285" s="1"/>
  <c r="J65" i="285"/>
  <c r="J99" i="285" s="1"/>
  <c r="G65" i="285"/>
  <c r="G99" i="285" s="1"/>
  <c r="C65" i="285"/>
  <c r="B65" i="285"/>
  <c r="AH64" i="285"/>
  <c r="AG64" i="285"/>
  <c r="W65" i="285"/>
  <c r="W99" i="285" s="1"/>
  <c r="P65" i="285"/>
  <c r="P99" i="285" s="1"/>
  <c r="O65" i="285"/>
  <c r="O99" i="285" s="1"/>
  <c r="AG62" i="285"/>
  <c r="AC60" i="285"/>
  <c r="AC98" i="285" s="1"/>
  <c r="AB60" i="285"/>
  <c r="AB98" i="285" s="1"/>
  <c r="AA60" i="285"/>
  <c r="AA98" i="285" s="1"/>
  <c r="Z60" i="285"/>
  <c r="Z98" i="285" s="1"/>
  <c r="Y60" i="285"/>
  <c r="Y98" i="285" s="1"/>
  <c r="X60" i="285"/>
  <c r="X98" i="285" s="1"/>
  <c r="W60" i="285"/>
  <c r="W98" i="285" s="1"/>
  <c r="V60" i="285"/>
  <c r="V98" i="285" s="1"/>
  <c r="U60" i="285"/>
  <c r="U98" i="285" s="1"/>
  <c r="T60" i="285"/>
  <c r="T98" i="285" s="1"/>
  <c r="S60" i="285"/>
  <c r="S98" i="285" s="1"/>
  <c r="N60" i="285"/>
  <c r="N98" i="285" s="1"/>
  <c r="M60" i="285"/>
  <c r="L60" i="285"/>
  <c r="L98" i="285" s="1"/>
  <c r="K60" i="285"/>
  <c r="K98" i="285" s="1"/>
  <c r="J60" i="285"/>
  <c r="J98" i="285" s="1"/>
  <c r="I60" i="285"/>
  <c r="I98" i="285" s="1"/>
  <c r="H60" i="285"/>
  <c r="H98" i="285" s="1"/>
  <c r="G60" i="285"/>
  <c r="G98" i="285" s="1"/>
  <c r="C60" i="285"/>
  <c r="B60" i="285"/>
  <c r="AH59" i="285"/>
  <c r="AG59" i="285"/>
  <c r="AF59" i="285"/>
  <c r="AH58" i="285"/>
  <c r="AG58" i="285"/>
  <c r="AF58" i="285"/>
  <c r="AH57" i="285"/>
  <c r="AG57" i="285"/>
  <c r="AF57" i="285"/>
  <c r="AF56" i="285"/>
  <c r="AH55" i="285"/>
  <c r="AG55" i="285"/>
  <c r="AF55" i="285"/>
  <c r="AH54" i="285"/>
  <c r="AG54" i="285"/>
  <c r="AF54" i="285"/>
  <c r="AH53" i="285"/>
  <c r="AG53" i="285"/>
  <c r="AF53" i="285"/>
  <c r="AH52" i="285"/>
  <c r="AG52" i="285"/>
  <c r="AF52" i="285"/>
  <c r="AH50" i="285"/>
  <c r="AG50" i="285"/>
  <c r="AF50" i="285"/>
  <c r="AH49" i="285"/>
  <c r="AG49" i="285"/>
  <c r="AF49" i="285"/>
  <c r="AH48" i="285"/>
  <c r="AG48" i="285"/>
  <c r="AF48" i="285"/>
  <c r="AH47" i="285"/>
  <c r="AH46" i="285"/>
  <c r="AG46" i="285"/>
  <c r="AF46" i="285"/>
  <c r="AH45" i="285"/>
  <c r="AG45" i="285"/>
  <c r="AF45" i="285"/>
  <c r="AH44" i="285"/>
  <c r="AG44" i="285"/>
  <c r="AF44" i="285"/>
  <c r="AH43" i="285"/>
  <c r="AG43" i="285"/>
  <c r="AF43" i="285"/>
  <c r="R60" i="285"/>
  <c r="R98" i="285" s="1"/>
  <c r="AG42" i="285"/>
  <c r="AH41" i="285"/>
  <c r="AG41" i="285"/>
  <c r="AF41" i="285"/>
  <c r="AH40" i="285"/>
  <c r="AG40" i="285"/>
  <c r="AF40" i="285"/>
  <c r="AH39" i="285"/>
  <c r="AG39" i="285"/>
  <c r="AF39" i="285"/>
  <c r="AH38" i="285"/>
  <c r="AG38" i="285"/>
  <c r="AF38" i="285"/>
  <c r="AH37" i="285"/>
  <c r="AG37" i="285"/>
  <c r="AF37" i="285"/>
  <c r="AH36" i="285"/>
  <c r="AG36" i="285"/>
  <c r="AF36" i="285"/>
  <c r="AI35" i="285"/>
  <c r="AC34" i="285"/>
  <c r="AC96" i="285" s="1"/>
  <c r="AB34" i="285"/>
  <c r="AB96" i="285" s="1"/>
  <c r="AA34" i="285"/>
  <c r="AA96" i="285" s="1"/>
  <c r="Z34" i="285"/>
  <c r="Z96" i="285" s="1"/>
  <c r="Y34" i="285"/>
  <c r="Y96" i="285" s="1"/>
  <c r="X34" i="285"/>
  <c r="X96" i="285" s="1"/>
  <c r="W34" i="285"/>
  <c r="W96" i="285" s="1"/>
  <c r="V34" i="285"/>
  <c r="V96" i="285" s="1"/>
  <c r="U34" i="285"/>
  <c r="U96" i="285" s="1"/>
  <c r="T34" i="285"/>
  <c r="T96" i="285" s="1"/>
  <c r="S34" i="285"/>
  <c r="S96" i="285" s="1"/>
  <c r="R34" i="285"/>
  <c r="R96" i="285" s="1"/>
  <c r="Q34" i="285"/>
  <c r="Q96" i="285" s="1"/>
  <c r="P34" i="285"/>
  <c r="P96" i="285" s="1"/>
  <c r="O34" i="285"/>
  <c r="O96" i="285" s="1"/>
  <c r="N34" i="285"/>
  <c r="N96" i="285" s="1"/>
  <c r="M34" i="285"/>
  <c r="M96" i="285" s="1"/>
  <c r="L34" i="285"/>
  <c r="L96" i="285" s="1"/>
  <c r="K34" i="285"/>
  <c r="K96" i="285" s="1"/>
  <c r="J34" i="285"/>
  <c r="J96" i="285" s="1"/>
  <c r="I34" i="285"/>
  <c r="I96" i="285" s="1"/>
  <c r="H34" i="285"/>
  <c r="H96" i="285" s="1"/>
  <c r="G34" i="285"/>
  <c r="G96" i="285" s="1"/>
  <c r="F96" i="285"/>
  <c r="C34" i="285"/>
  <c r="B34" i="285"/>
  <c r="AH33" i="285"/>
  <c r="AG33" i="285"/>
  <c r="AF33" i="285"/>
  <c r="AI32" i="285"/>
  <c r="AC31" i="285"/>
  <c r="AC93" i="285" s="1"/>
  <c r="AB31" i="285"/>
  <c r="AB93" i="285" s="1"/>
  <c r="AA31" i="285"/>
  <c r="AA93" i="285" s="1"/>
  <c r="Z31" i="285"/>
  <c r="Z93" i="285" s="1"/>
  <c r="Y31" i="285"/>
  <c r="Y93" i="285" s="1"/>
  <c r="X31" i="285"/>
  <c r="W31" i="285"/>
  <c r="V31" i="285"/>
  <c r="V93" i="285" s="1"/>
  <c r="U31" i="285"/>
  <c r="U93" i="285" s="1"/>
  <c r="T31" i="285"/>
  <c r="T93" i="285" s="1"/>
  <c r="T109" i="285" s="1"/>
  <c r="S31" i="285"/>
  <c r="R31" i="285"/>
  <c r="R93" i="285" s="1"/>
  <c r="Q31" i="285"/>
  <c r="Q93" i="285" s="1"/>
  <c r="P31" i="285"/>
  <c r="P93" i="285" s="1"/>
  <c r="O31" i="285"/>
  <c r="O93" i="285" s="1"/>
  <c r="N31" i="285"/>
  <c r="N93" i="285" s="1"/>
  <c r="M31" i="285"/>
  <c r="M93" i="285" s="1"/>
  <c r="L31" i="285"/>
  <c r="L93" i="285" s="1"/>
  <c r="K31" i="285"/>
  <c r="K93" i="285" s="1"/>
  <c r="J31" i="285"/>
  <c r="J93" i="285" s="1"/>
  <c r="I31" i="285"/>
  <c r="I93" i="285" s="1"/>
  <c r="H31" i="285"/>
  <c r="H93" i="285" s="1"/>
  <c r="G31" i="285"/>
  <c r="G93" i="285" s="1"/>
  <c r="C31" i="285"/>
  <c r="B31" i="285"/>
  <c r="AI28" i="285"/>
  <c r="AH28" i="285"/>
  <c r="AG28" i="285"/>
  <c r="AF28" i="285"/>
  <c r="AH27" i="285"/>
  <c r="AG27" i="285"/>
  <c r="AF27" i="285"/>
  <c r="AI26" i="285"/>
  <c r="AC25" i="285"/>
  <c r="AB25" i="285"/>
  <c r="AA25" i="285"/>
  <c r="Z25" i="285"/>
  <c r="Y25" i="285"/>
  <c r="X25" i="285"/>
  <c r="W25" i="285"/>
  <c r="V25" i="285"/>
  <c r="U25" i="285"/>
  <c r="T25" i="285"/>
  <c r="S25" i="285"/>
  <c r="R25" i="285"/>
  <c r="Q25" i="285"/>
  <c r="P25" i="285"/>
  <c r="O25" i="285"/>
  <c r="N25" i="285"/>
  <c r="M25" i="285"/>
  <c r="L25" i="285"/>
  <c r="K25" i="285"/>
  <c r="J25" i="285"/>
  <c r="I25" i="285"/>
  <c r="H25" i="285"/>
  <c r="G25" i="285"/>
  <c r="F89" i="285"/>
  <c r="C25" i="285"/>
  <c r="AH24" i="285"/>
  <c r="AG24" i="285"/>
  <c r="AF24" i="285"/>
  <c r="AI23" i="285"/>
  <c r="AC22" i="285"/>
  <c r="AB22" i="285"/>
  <c r="AA22" i="285"/>
  <c r="Z22" i="285"/>
  <c r="Y22" i="285"/>
  <c r="X22" i="285"/>
  <c r="W22" i="285"/>
  <c r="V22" i="285"/>
  <c r="U22" i="285"/>
  <c r="T22" i="285"/>
  <c r="S22" i="285"/>
  <c r="R22" i="285"/>
  <c r="R89" i="285" s="1"/>
  <c r="Q22" i="285"/>
  <c r="Q89" i="285" s="1"/>
  <c r="P22" i="285"/>
  <c r="P89" i="285" s="1"/>
  <c r="O22" i="285"/>
  <c r="O89" i="285" s="1"/>
  <c r="N22" i="285"/>
  <c r="N89" i="285" s="1"/>
  <c r="M22" i="285"/>
  <c r="M89" i="285" s="1"/>
  <c r="L22" i="285"/>
  <c r="K22" i="285"/>
  <c r="J22" i="285"/>
  <c r="I22" i="285"/>
  <c r="I89" i="285" s="1"/>
  <c r="H22" i="285"/>
  <c r="G22" i="285"/>
  <c r="C22" i="285"/>
  <c r="B22" i="285"/>
  <c r="AH21" i="285"/>
  <c r="AG21" i="285"/>
  <c r="AF21" i="285"/>
  <c r="AH20" i="285"/>
  <c r="AG20" i="285"/>
  <c r="AF20" i="285"/>
  <c r="AH19" i="285"/>
  <c r="AG19" i="285"/>
  <c r="AF19" i="285"/>
  <c r="AI18" i="285"/>
  <c r="AC17" i="285"/>
  <c r="AC91" i="285" s="1"/>
  <c r="AC109" i="285" s="1"/>
  <c r="AB17" i="285"/>
  <c r="AB91" i="285" s="1"/>
  <c r="AA17" i="285"/>
  <c r="AA91" i="285" s="1"/>
  <c r="Z17" i="285"/>
  <c r="Z91" i="285" s="1"/>
  <c r="Y17" i="285"/>
  <c r="Y91" i="285" s="1"/>
  <c r="X17" i="285"/>
  <c r="X91" i="285" s="1"/>
  <c r="W17" i="285"/>
  <c r="W91" i="285" s="1"/>
  <c r="V17" i="285"/>
  <c r="V91" i="285" s="1"/>
  <c r="U17" i="285"/>
  <c r="U91" i="285" s="1"/>
  <c r="T17" i="285"/>
  <c r="T91" i="285" s="1"/>
  <c r="S17" i="285"/>
  <c r="S91" i="285" s="1"/>
  <c r="R17" i="285"/>
  <c r="Q17" i="285"/>
  <c r="P17" i="285"/>
  <c r="P91" i="285" s="1"/>
  <c r="O17" i="285"/>
  <c r="O91" i="285" s="1"/>
  <c r="N17" i="285"/>
  <c r="N91" i="285" s="1"/>
  <c r="M17" i="285"/>
  <c r="L17" i="285"/>
  <c r="K17" i="285"/>
  <c r="J17" i="285"/>
  <c r="J91" i="285" s="1"/>
  <c r="I17" i="285"/>
  <c r="I91" i="285" s="1"/>
  <c r="H17" i="285"/>
  <c r="H91" i="285" s="1"/>
  <c r="G17" i="285"/>
  <c r="G91" i="285" s="1"/>
  <c r="C17" i="285"/>
  <c r="B17" i="285"/>
  <c r="AH16" i="285"/>
  <c r="AG16" i="285"/>
  <c r="AF16" i="285"/>
  <c r="AH15" i="285"/>
  <c r="AG15" i="285"/>
  <c r="AF15" i="285"/>
  <c r="AH14" i="285"/>
  <c r="AG14" i="285"/>
  <c r="AF14" i="285"/>
  <c r="AH13" i="285"/>
  <c r="AG13" i="285"/>
  <c r="AF13" i="285"/>
  <c r="AI12" i="285"/>
  <c r="M9" i="285" a="1"/>
  <c r="M9" i="285" s="1"/>
  <c r="AC96" i="284"/>
  <c r="AC64" i="284"/>
  <c r="AC62" i="284"/>
  <c r="AE602" i="260"/>
  <c r="W602" i="260"/>
  <c r="F1009" i="88"/>
  <c r="F1002" i="88"/>
  <c r="F1057" i="88"/>
  <c r="W601" i="260"/>
  <c r="F1042" i="88"/>
  <c r="W600" i="260"/>
  <c r="AE599" i="260"/>
  <c r="W599" i="260"/>
  <c r="F1046" i="88"/>
  <c r="F1049" i="88"/>
  <c r="AE598" i="260"/>
  <c r="AE597" i="260"/>
  <c r="W598" i="260"/>
  <c r="W597" i="260"/>
  <c r="AA103" i="286" l="1"/>
  <c r="AA108" i="286" s="1"/>
  <c r="Z103" i="286"/>
  <c r="Z108" i="286" s="1"/>
  <c r="Y103" i="286"/>
  <c r="Y108" i="286" s="1"/>
  <c r="T99" i="286"/>
  <c r="T103" i="286" s="1"/>
  <c r="T108" i="286" s="1"/>
  <c r="G103" i="286"/>
  <c r="G108" i="286" s="1"/>
  <c r="T83" i="286"/>
  <c r="J103" i="286"/>
  <c r="J108" i="286" s="1"/>
  <c r="H103" i="286"/>
  <c r="H108" i="286" s="1"/>
  <c r="X103" i="286"/>
  <c r="X108" i="286" s="1"/>
  <c r="K103" i="286"/>
  <c r="K108" i="286" s="1"/>
  <c r="I83" i="286"/>
  <c r="M103" i="286"/>
  <c r="M108" i="286" s="1"/>
  <c r="L103" i="286"/>
  <c r="L108" i="286" s="1"/>
  <c r="Z89" i="285"/>
  <c r="W109" i="285"/>
  <c r="V109" i="285"/>
  <c r="U109" i="285"/>
  <c r="L89" i="285"/>
  <c r="K89" i="285"/>
  <c r="J89" i="285"/>
  <c r="J103" i="285"/>
  <c r="J108" i="285" s="1"/>
  <c r="I103" i="285"/>
  <c r="I108" i="285" s="1"/>
  <c r="F83" i="285"/>
  <c r="F91" i="285"/>
  <c r="F103" i="285" s="1"/>
  <c r="F108" i="285" s="1"/>
  <c r="AB109" i="285"/>
  <c r="Z109" i="285"/>
  <c r="Y109" i="285"/>
  <c r="AA109" i="285"/>
  <c r="F109" i="285"/>
  <c r="G109" i="285"/>
  <c r="H109" i="285"/>
  <c r="I109" i="285"/>
  <c r="H83" i="285"/>
  <c r="J109" i="285"/>
  <c r="I83" i="285"/>
  <c r="Y110" i="285"/>
  <c r="S89" i="285"/>
  <c r="S103" i="285" s="1"/>
  <c r="S108" i="285" s="1"/>
  <c r="Q110" i="285"/>
  <c r="V110" i="285"/>
  <c r="G83" i="285"/>
  <c r="H89" i="285"/>
  <c r="H103" i="285" s="1"/>
  <c r="H108" i="285" s="1"/>
  <c r="J83" i="285"/>
  <c r="X89" i="285"/>
  <c r="X103" i="285" s="1"/>
  <c r="X108" i="285" s="1"/>
  <c r="AA110" i="285"/>
  <c r="Z83" i="285"/>
  <c r="J110" i="285"/>
  <c r="G110" i="285"/>
  <c r="AC89" i="285"/>
  <c r="Z103" i="285"/>
  <c r="Z108" i="285" s="1"/>
  <c r="AB89" i="285"/>
  <c r="W89" i="285"/>
  <c r="W103" i="285" s="1"/>
  <c r="W108" i="285" s="1"/>
  <c r="AB103" i="285"/>
  <c r="AB108" i="285" s="1"/>
  <c r="AC103" i="285"/>
  <c r="AC108" i="285" s="1"/>
  <c r="AA83" i="285"/>
  <c r="AB83" i="285"/>
  <c r="AH51" i="285"/>
  <c r="AF51" i="285"/>
  <c r="AG51" i="285"/>
  <c r="K110" i="285"/>
  <c r="K91" i="285"/>
  <c r="K109" i="285" s="1"/>
  <c r="AI61" i="285"/>
  <c r="AH62" i="285"/>
  <c r="AF62" i="285"/>
  <c r="R110" i="285"/>
  <c r="L110" i="285"/>
  <c r="L91" i="285"/>
  <c r="L109" i="285" s="1"/>
  <c r="N109" i="285"/>
  <c r="O110" i="285"/>
  <c r="Q91" i="285"/>
  <c r="Q109" i="285" s="1"/>
  <c r="Q83" i="285"/>
  <c r="P110" i="285"/>
  <c r="C83" i="285"/>
  <c r="Y89" i="285"/>
  <c r="Y103" i="285" s="1"/>
  <c r="Y108" i="285" s="1"/>
  <c r="P83" i="285"/>
  <c r="L83" i="285"/>
  <c r="U65" i="285"/>
  <c r="U99" i="285" s="1"/>
  <c r="X109" i="285"/>
  <c r="AC83" i="285"/>
  <c r="AG63" i="285"/>
  <c r="N65" i="285"/>
  <c r="AH63" i="285"/>
  <c r="O109" i="285"/>
  <c r="N110" i="285"/>
  <c r="T110" i="285"/>
  <c r="T89" i="285"/>
  <c r="T103" i="285" s="1"/>
  <c r="T108" i="285" s="1"/>
  <c r="P60" i="285"/>
  <c r="P98" i="285" s="1"/>
  <c r="P103" i="285" s="1"/>
  <c r="P108" i="285" s="1"/>
  <c r="AF63" i="285"/>
  <c r="R83" i="285"/>
  <c r="S110" i="285"/>
  <c r="W83" i="285"/>
  <c r="V65" i="285"/>
  <c r="V83" i="285" s="1"/>
  <c r="G89" i="285"/>
  <c r="G103" i="285" s="1"/>
  <c r="G108" i="285" s="1"/>
  <c r="AA89" i="285"/>
  <c r="AA103" i="285" s="1"/>
  <c r="AA108" i="285" s="1"/>
  <c r="M110" i="285"/>
  <c r="M91" i="285"/>
  <c r="P109" i="285"/>
  <c r="K83" i="285"/>
  <c r="U89" i="285"/>
  <c r="U110" i="285"/>
  <c r="B83" i="285"/>
  <c r="X83" i="285"/>
  <c r="AH56" i="285"/>
  <c r="AG56" i="285"/>
  <c r="O60" i="285"/>
  <c r="O98" i="285" s="1"/>
  <c r="O103" i="285" s="1"/>
  <c r="O108" i="285" s="1"/>
  <c r="S83" i="285"/>
  <c r="T83" i="285"/>
  <c r="AF47" i="285"/>
  <c r="AG47" i="285"/>
  <c r="F110" i="285"/>
  <c r="Z110" i="285"/>
  <c r="AI36" i="285"/>
  <c r="AH42" i="285"/>
  <c r="H110" i="285"/>
  <c r="AB110" i="285"/>
  <c r="W110" i="285"/>
  <c r="M65" i="285"/>
  <c r="M99" i="285" s="1"/>
  <c r="X110" i="285"/>
  <c r="AF42" i="285"/>
  <c r="Q60" i="285"/>
  <c r="Y83" i="285"/>
  <c r="I110" i="285"/>
  <c r="V89" i="285"/>
  <c r="R91" i="285"/>
  <c r="R109" i="285" s="1"/>
  <c r="AC110" i="285"/>
  <c r="AF64" i="285"/>
  <c r="X64" i="284"/>
  <c r="X62" i="284"/>
  <c r="F1056" i="88"/>
  <c r="F1022" i="88"/>
  <c r="F1043" i="88"/>
  <c r="W64" i="284"/>
  <c r="W63" i="284"/>
  <c r="W62" i="284"/>
  <c r="F1052" i="88"/>
  <c r="F1055" i="88"/>
  <c r="F1050" i="88"/>
  <c r="F1038" i="88"/>
  <c r="F1053" i="88"/>
  <c r="AE594" i="260"/>
  <c r="W594" i="260"/>
  <c r="AE596" i="260"/>
  <c r="AE595" i="260"/>
  <c r="W596" i="260"/>
  <c r="W595" i="260"/>
  <c r="V64" i="284"/>
  <c r="V63" i="284"/>
  <c r="V62" i="284"/>
  <c r="U64" i="284"/>
  <c r="U63" i="284"/>
  <c r="U62" i="284"/>
  <c r="F1044" i="88"/>
  <c r="F1035" i="88"/>
  <c r="F1034" i="88"/>
  <c r="AE593" i="260"/>
  <c r="W593" i="260"/>
  <c r="F1039" i="88"/>
  <c r="F1041" i="88"/>
  <c r="F1033" i="88"/>
  <c r="W592" i="260"/>
  <c r="W591" i="260"/>
  <c r="F532" i="88"/>
  <c r="F1047" i="88"/>
  <c r="R42" i="284"/>
  <c r="R44" i="284"/>
  <c r="Q42" i="284"/>
  <c r="F643" i="88"/>
  <c r="Q44" i="284"/>
  <c r="W590" i="260"/>
  <c r="P64" i="284"/>
  <c r="P63" i="284"/>
  <c r="P56" i="284"/>
  <c r="P54" i="284"/>
  <c r="P51" i="284"/>
  <c r="P50" i="284"/>
  <c r="P47" i="284"/>
  <c r="P44" i="284"/>
  <c r="F689" i="88"/>
  <c r="O64" i="284"/>
  <c r="O63" i="284"/>
  <c r="O56" i="284"/>
  <c r="O54" i="284"/>
  <c r="O51" i="284"/>
  <c r="O50" i="284"/>
  <c r="O47" i="284"/>
  <c r="W589" i="260"/>
  <c r="F1027" i="88"/>
  <c r="F1036" i="88"/>
  <c r="F1032" i="88"/>
  <c r="N64" i="284"/>
  <c r="N63" i="284"/>
  <c r="M64" i="284"/>
  <c r="M63" i="284"/>
  <c r="F1020" i="88"/>
  <c r="F1026" i="88"/>
  <c r="F1029" i="88"/>
  <c r="F1024" i="88"/>
  <c r="F1015" i="88"/>
  <c r="V99" i="285" l="1"/>
  <c r="R103" i="285"/>
  <c r="R108" i="285" s="1"/>
  <c r="Q98" i="285"/>
  <c r="N99" i="285"/>
  <c r="N103" i="285" s="1"/>
  <c r="N108" i="285" s="1"/>
  <c r="M83" i="285"/>
  <c r="N83" i="285"/>
  <c r="Q103" i="285"/>
  <c r="Q108" i="285" s="1"/>
  <c r="O83" i="285"/>
  <c r="L103" i="285"/>
  <c r="L108" i="285" s="1"/>
  <c r="M109" i="285"/>
  <c r="M103" i="285"/>
  <c r="M108" i="285" s="1"/>
  <c r="U83" i="285"/>
  <c r="V103" i="285"/>
  <c r="V108" i="285" s="1"/>
  <c r="U103" i="285"/>
  <c r="U108" i="285" s="1"/>
  <c r="K103" i="285"/>
  <c r="K108" i="285" s="1"/>
  <c r="F956" i="88"/>
  <c r="F998" i="88"/>
  <c r="H62" i="284"/>
  <c r="H63" i="284"/>
  <c r="W581" i="260"/>
  <c r="G63" i="284"/>
  <c r="G62" i="284"/>
  <c r="F1001" i="88" l="1"/>
  <c r="AE580" i="260"/>
  <c r="W580" i="260"/>
  <c r="F63" i="284"/>
  <c r="F65" i="284" s="1"/>
  <c r="F99" i="284" s="1"/>
  <c r="F62" i="284"/>
  <c r="F1025" i="88"/>
  <c r="F80" i="284"/>
  <c r="F101" i="284" s="1"/>
  <c r="F76" i="284"/>
  <c r="F60" i="284"/>
  <c r="F98" i="284" s="1"/>
  <c r="F34" i="284"/>
  <c r="F31" i="284"/>
  <c r="F93" i="284" s="1"/>
  <c r="F25" i="284"/>
  <c r="F22" i="284"/>
  <c r="F89" i="284" s="1"/>
  <c r="F17" i="284"/>
  <c r="AC129" i="284"/>
  <c r="AB129" i="284"/>
  <c r="AA129" i="284"/>
  <c r="Z129" i="284"/>
  <c r="Y129" i="284"/>
  <c r="X129" i="284"/>
  <c r="W129" i="284"/>
  <c r="V129" i="284"/>
  <c r="U129" i="284"/>
  <c r="T129" i="284"/>
  <c r="S129" i="284"/>
  <c r="R129" i="284"/>
  <c r="Q129" i="284"/>
  <c r="P129" i="284"/>
  <c r="O129" i="284"/>
  <c r="N129" i="284"/>
  <c r="M129" i="284"/>
  <c r="L129" i="284"/>
  <c r="K129" i="284"/>
  <c r="J129" i="284"/>
  <c r="I129" i="284"/>
  <c r="H129" i="284"/>
  <c r="G129" i="284"/>
  <c r="F129" i="284"/>
  <c r="R109" i="284"/>
  <c r="AC107" i="284"/>
  <c r="AB107" i="284"/>
  <c r="AA107" i="284"/>
  <c r="Z107" i="284"/>
  <c r="T107" i="284"/>
  <c r="S107" i="284"/>
  <c r="R107" i="284"/>
  <c r="Q107" i="284"/>
  <c r="P107" i="284"/>
  <c r="O107" i="284"/>
  <c r="N107" i="284"/>
  <c r="M107" i="284"/>
  <c r="L107" i="284"/>
  <c r="K107" i="284"/>
  <c r="J107" i="284"/>
  <c r="I107" i="284"/>
  <c r="H107" i="284"/>
  <c r="G107" i="284"/>
  <c r="F107" i="284"/>
  <c r="Y107" i="284"/>
  <c r="X107" i="284"/>
  <c r="W107" i="284"/>
  <c r="V107" i="284"/>
  <c r="U107" i="284"/>
  <c r="AC102" i="284"/>
  <c r="AB102" i="284"/>
  <c r="AA102" i="284"/>
  <c r="Z102" i="284"/>
  <c r="Y102" i="284"/>
  <c r="X102" i="284"/>
  <c r="W102" i="284"/>
  <c r="V102" i="284"/>
  <c r="U102" i="284"/>
  <c r="T102" i="284"/>
  <c r="S102" i="284"/>
  <c r="R102" i="284"/>
  <c r="Q102" i="284"/>
  <c r="P102" i="284"/>
  <c r="O102" i="284"/>
  <c r="N102" i="284"/>
  <c r="M102" i="284"/>
  <c r="L102" i="284"/>
  <c r="K102" i="284"/>
  <c r="J102" i="284"/>
  <c r="I102" i="284"/>
  <c r="H102" i="284"/>
  <c r="G102" i="284"/>
  <c r="F102" i="284"/>
  <c r="L101" i="284"/>
  <c r="H101" i="284"/>
  <c r="G101" i="284"/>
  <c r="L100" i="284"/>
  <c r="K100" i="284"/>
  <c r="J100" i="284"/>
  <c r="I100" i="284"/>
  <c r="H91" i="284"/>
  <c r="G91" i="284"/>
  <c r="S89" i="284"/>
  <c r="AC80" i="284"/>
  <c r="AC101" i="284" s="1"/>
  <c r="AB80" i="284"/>
  <c r="AB101" i="284" s="1"/>
  <c r="AA80" i="284"/>
  <c r="AA101" i="284" s="1"/>
  <c r="Z80" i="284"/>
  <c r="Z101" i="284" s="1"/>
  <c r="Y80" i="284"/>
  <c r="Y101" i="284" s="1"/>
  <c r="X80" i="284"/>
  <c r="X101" i="284" s="1"/>
  <c r="W80" i="284"/>
  <c r="W101" i="284" s="1"/>
  <c r="V80" i="284"/>
  <c r="V101" i="284" s="1"/>
  <c r="U80" i="284"/>
  <c r="U101" i="284" s="1"/>
  <c r="T80" i="284"/>
  <c r="T101" i="284" s="1"/>
  <c r="S80" i="284"/>
  <c r="S101" i="284" s="1"/>
  <c r="R80" i="284"/>
  <c r="R101" i="284" s="1"/>
  <c r="Q80" i="284"/>
  <c r="Q101" i="284" s="1"/>
  <c r="P80" i="284"/>
  <c r="P101" i="284" s="1"/>
  <c r="O80" i="284"/>
  <c r="O101" i="284" s="1"/>
  <c r="N80" i="284"/>
  <c r="N101" i="284" s="1"/>
  <c r="M80" i="284"/>
  <c r="M101" i="284" s="1"/>
  <c r="L80" i="284"/>
  <c r="K80" i="284"/>
  <c r="K101" i="284" s="1"/>
  <c r="J80" i="284"/>
  <c r="J101" i="284" s="1"/>
  <c r="I80" i="284"/>
  <c r="I101" i="284" s="1"/>
  <c r="H80" i="284"/>
  <c r="G80" i="284"/>
  <c r="C80" i="284"/>
  <c r="B80" i="284"/>
  <c r="B25" i="284" s="1"/>
  <c r="AH79" i="284"/>
  <c r="AG79" i="284"/>
  <c r="AF79" i="284"/>
  <c r="AH78" i="284"/>
  <c r="AG78" i="284"/>
  <c r="AF78" i="284"/>
  <c r="AI77" i="284"/>
  <c r="AC76" i="284"/>
  <c r="AC100" i="284" s="1"/>
  <c r="AB76" i="284"/>
  <c r="AB100" i="284" s="1"/>
  <c r="AA76" i="284"/>
  <c r="AA100" i="284" s="1"/>
  <c r="Z76" i="284"/>
  <c r="Z100" i="284" s="1"/>
  <c r="Y76" i="284"/>
  <c r="Y100" i="284" s="1"/>
  <c r="X76" i="284"/>
  <c r="X100" i="284" s="1"/>
  <c r="W76" i="284"/>
  <c r="W100" i="284" s="1"/>
  <c r="V76" i="284"/>
  <c r="V100" i="284" s="1"/>
  <c r="U76" i="284"/>
  <c r="U100" i="284" s="1"/>
  <c r="T76" i="284"/>
  <c r="T100" i="284" s="1"/>
  <c r="S76" i="284"/>
  <c r="S100" i="284" s="1"/>
  <c r="R76" i="284"/>
  <c r="R100" i="284" s="1"/>
  <c r="Q76" i="284"/>
  <c r="Q100" i="284" s="1"/>
  <c r="P76" i="284"/>
  <c r="P100" i="284" s="1"/>
  <c r="O76" i="284"/>
  <c r="O100" i="284" s="1"/>
  <c r="N76" i="284"/>
  <c r="N100" i="284" s="1"/>
  <c r="M76" i="284"/>
  <c r="M100" i="284" s="1"/>
  <c r="L76" i="284"/>
  <c r="K76" i="284"/>
  <c r="J76" i="284"/>
  <c r="I76" i="284"/>
  <c r="H76" i="284"/>
  <c r="H100" i="284" s="1"/>
  <c r="G76" i="284"/>
  <c r="G100" i="284" s="1"/>
  <c r="F100" i="284"/>
  <c r="C76" i="284"/>
  <c r="B76" i="284"/>
  <c r="AH75" i="284"/>
  <c r="AG75" i="284"/>
  <c r="AF75" i="284"/>
  <c r="AH74" i="284"/>
  <c r="AG74" i="284"/>
  <c r="AF74" i="284"/>
  <c r="AH73" i="284"/>
  <c r="AG73" i="284"/>
  <c r="AF73" i="284"/>
  <c r="AH72" i="284"/>
  <c r="AG72" i="284"/>
  <c r="AF72" i="284"/>
  <c r="AH71" i="284"/>
  <c r="AG71" i="284"/>
  <c r="AF71" i="284"/>
  <c r="AH70" i="284"/>
  <c r="AG70" i="284"/>
  <c r="AF70" i="284"/>
  <c r="AH69" i="284"/>
  <c r="AG69" i="284"/>
  <c r="AF69" i="284"/>
  <c r="AH68" i="284"/>
  <c r="AG68" i="284"/>
  <c r="AF68" i="284"/>
  <c r="AH67" i="284"/>
  <c r="AG67" i="284"/>
  <c r="AF67" i="284"/>
  <c r="AI66" i="284"/>
  <c r="AC65" i="284"/>
  <c r="AC99" i="284" s="1"/>
  <c r="Y65" i="284"/>
  <c r="Y99" i="284" s="1"/>
  <c r="X65" i="284"/>
  <c r="X99" i="284" s="1"/>
  <c r="W65" i="284"/>
  <c r="W99" i="284" s="1"/>
  <c r="V65" i="284"/>
  <c r="V99" i="284" s="1"/>
  <c r="U65" i="284"/>
  <c r="U99" i="284" s="1"/>
  <c r="L65" i="284"/>
  <c r="L99" i="284" s="1"/>
  <c r="K65" i="284"/>
  <c r="K99" i="284" s="1"/>
  <c r="J65" i="284"/>
  <c r="J99" i="284" s="1"/>
  <c r="I65" i="284"/>
  <c r="I99" i="284" s="1"/>
  <c r="H65" i="284"/>
  <c r="H99" i="284" s="1"/>
  <c r="G65" i="284"/>
  <c r="G99" i="284" s="1"/>
  <c r="C65" i="284"/>
  <c r="T65" i="284"/>
  <c r="T99" i="284" s="1"/>
  <c r="S65" i="284"/>
  <c r="S99" i="284" s="1"/>
  <c r="R65" i="284"/>
  <c r="R99" i="284" s="1"/>
  <c r="N65" i="284"/>
  <c r="N99" i="284" s="1"/>
  <c r="AC60" i="284"/>
  <c r="AC98" i="284" s="1"/>
  <c r="AB60" i="284"/>
  <c r="AB98" i="284" s="1"/>
  <c r="AA60" i="284"/>
  <c r="AA98" i="284" s="1"/>
  <c r="Z60" i="284"/>
  <c r="Z98" i="284" s="1"/>
  <c r="Y60" i="284"/>
  <c r="Y98" i="284" s="1"/>
  <c r="X60" i="284"/>
  <c r="X98" i="284" s="1"/>
  <c r="W60" i="284"/>
  <c r="W98" i="284" s="1"/>
  <c r="V60" i="284"/>
  <c r="V98" i="284" s="1"/>
  <c r="U60" i="284"/>
  <c r="U98" i="284" s="1"/>
  <c r="S60" i="284"/>
  <c r="S98" i="284" s="1"/>
  <c r="R60" i="284"/>
  <c r="R98" i="284" s="1"/>
  <c r="Q60" i="284"/>
  <c r="Q98" i="284" s="1"/>
  <c r="P60" i="284"/>
  <c r="P98" i="284" s="1"/>
  <c r="O60" i="284"/>
  <c r="O98" i="284" s="1"/>
  <c r="N60" i="284"/>
  <c r="N98" i="284" s="1"/>
  <c r="M60" i="284"/>
  <c r="M98" i="284" s="1"/>
  <c r="L60" i="284"/>
  <c r="L98" i="284" s="1"/>
  <c r="K60" i="284"/>
  <c r="K98" i="284" s="1"/>
  <c r="J60" i="284"/>
  <c r="J98" i="284" s="1"/>
  <c r="I60" i="284"/>
  <c r="I98" i="284" s="1"/>
  <c r="H60" i="284"/>
  <c r="H98" i="284" s="1"/>
  <c r="G60" i="284"/>
  <c r="G98" i="284" s="1"/>
  <c r="C60" i="284"/>
  <c r="B60" i="284"/>
  <c r="B65" i="284" s="1"/>
  <c r="AH59" i="284"/>
  <c r="AG59" i="284"/>
  <c r="AF59" i="284"/>
  <c r="AH58" i="284"/>
  <c r="AG58" i="284"/>
  <c r="AF58" i="284"/>
  <c r="AH57" i="284"/>
  <c r="AG57" i="284"/>
  <c r="AF57" i="284"/>
  <c r="T60" i="284"/>
  <c r="T98" i="284" s="1"/>
  <c r="AH55" i="284"/>
  <c r="AG55" i="284"/>
  <c r="AF55" i="284"/>
  <c r="AH54" i="284"/>
  <c r="AH53" i="284"/>
  <c r="AG53" i="284"/>
  <c r="AF53" i="284"/>
  <c r="AH52" i="284"/>
  <c r="AG52" i="284"/>
  <c r="AF52" i="284"/>
  <c r="AH51" i="284"/>
  <c r="AG51" i="284"/>
  <c r="AF51" i="284"/>
  <c r="AH50" i="284"/>
  <c r="AH49" i="284"/>
  <c r="AG49" i="284"/>
  <c r="AF49" i="284"/>
  <c r="AH48" i="284"/>
  <c r="AG48" i="284"/>
  <c r="AF48" i="284"/>
  <c r="AH47" i="284"/>
  <c r="AG47" i="284"/>
  <c r="AF47" i="284"/>
  <c r="AH46" i="284"/>
  <c r="AG46" i="284"/>
  <c r="AF46" i="284"/>
  <c r="AH45" i="284"/>
  <c r="AG45" i="284"/>
  <c r="AF45" i="284"/>
  <c r="AH44" i="284"/>
  <c r="AG44" i="284"/>
  <c r="AF44" i="284"/>
  <c r="AH43" i="284"/>
  <c r="AG43" i="284"/>
  <c r="AF43" i="284"/>
  <c r="AH42" i="284"/>
  <c r="AG42" i="284"/>
  <c r="AF42" i="284"/>
  <c r="AH41" i="284"/>
  <c r="AG41" i="284"/>
  <c r="AF41" i="284"/>
  <c r="AH40" i="284"/>
  <c r="AG40" i="284"/>
  <c r="AF40" i="284"/>
  <c r="AH39" i="284"/>
  <c r="AG39" i="284"/>
  <c r="AF39" i="284"/>
  <c r="AH38" i="284"/>
  <c r="AG38" i="284"/>
  <c r="AF38" i="284"/>
  <c r="AH37" i="284"/>
  <c r="AG37" i="284"/>
  <c r="AF37" i="284"/>
  <c r="AH36" i="284"/>
  <c r="AG36" i="284"/>
  <c r="AF36" i="284"/>
  <c r="AI35" i="284"/>
  <c r="AC34" i="284"/>
  <c r="AB34" i="284"/>
  <c r="AB96" i="284" s="1"/>
  <c r="AA34" i="284"/>
  <c r="AA96" i="284" s="1"/>
  <c r="Z34" i="284"/>
  <c r="Z96" i="284" s="1"/>
  <c r="Y34" i="284"/>
  <c r="Y96" i="284" s="1"/>
  <c r="X34" i="284"/>
  <c r="X96" i="284" s="1"/>
  <c r="W34" i="284"/>
  <c r="W96" i="284" s="1"/>
  <c r="V34" i="284"/>
  <c r="V96" i="284" s="1"/>
  <c r="U34" i="284"/>
  <c r="U96" i="284" s="1"/>
  <c r="T34" i="284"/>
  <c r="T96" i="284" s="1"/>
  <c r="S34" i="284"/>
  <c r="S96" i="284" s="1"/>
  <c r="R34" i="284"/>
  <c r="R96" i="284" s="1"/>
  <c r="Q34" i="284"/>
  <c r="Q96" i="284" s="1"/>
  <c r="P34" i="284"/>
  <c r="P96" i="284" s="1"/>
  <c r="O34" i="284"/>
  <c r="O96" i="284" s="1"/>
  <c r="N34" i="284"/>
  <c r="N96" i="284" s="1"/>
  <c r="M34" i="284"/>
  <c r="M96" i="284" s="1"/>
  <c r="L34" i="284"/>
  <c r="L96" i="284" s="1"/>
  <c r="K34" i="284"/>
  <c r="K96" i="284" s="1"/>
  <c r="J34" i="284"/>
  <c r="J96" i="284" s="1"/>
  <c r="I34" i="284"/>
  <c r="I96" i="284" s="1"/>
  <c r="H34" i="284"/>
  <c r="H96" i="284" s="1"/>
  <c r="G34" i="284"/>
  <c r="G96" i="284" s="1"/>
  <c r="F96" i="284"/>
  <c r="C34" i="284"/>
  <c r="B34" i="284"/>
  <c r="AH33" i="284"/>
  <c r="AG33" i="284"/>
  <c r="AF33" i="284"/>
  <c r="AI32" i="284"/>
  <c r="AC31" i="284"/>
  <c r="AC93" i="284" s="1"/>
  <c r="AB31" i="284"/>
  <c r="AB93" i="284" s="1"/>
  <c r="AA31" i="284"/>
  <c r="AA93" i="284" s="1"/>
  <c r="Z31" i="284"/>
  <c r="Z93" i="284" s="1"/>
  <c r="Y31" i="284"/>
  <c r="Y93" i="284" s="1"/>
  <c r="X31" i="284"/>
  <c r="X93" i="284" s="1"/>
  <c r="W31" i="284"/>
  <c r="W93" i="284" s="1"/>
  <c r="V31" i="284"/>
  <c r="V93" i="284" s="1"/>
  <c r="U31" i="284"/>
  <c r="U93" i="284" s="1"/>
  <c r="T31" i="284"/>
  <c r="T93" i="284" s="1"/>
  <c r="S31" i="284"/>
  <c r="S93" i="284" s="1"/>
  <c r="R31" i="284"/>
  <c r="R93" i="284" s="1"/>
  <c r="Q31" i="284"/>
  <c r="Q93" i="284" s="1"/>
  <c r="P31" i="284"/>
  <c r="P93" i="284" s="1"/>
  <c r="O31" i="284"/>
  <c r="O93" i="284" s="1"/>
  <c r="N31" i="284"/>
  <c r="N93" i="284" s="1"/>
  <c r="M31" i="284"/>
  <c r="M93" i="284" s="1"/>
  <c r="L31" i="284"/>
  <c r="L93" i="284" s="1"/>
  <c r="K31" i="284"/>
  <c r="K93" i="284" s="1"/>
  <c r="J31" i="284"/>
  <c r="J93" i="284" s="1"/>
  <c r="I31" i="284"/>
  <c r="I93" i="284" s="1"/>
  <c r="H31" i="284"/>
  <c r="H93" i="284" s="1"/>
  <c r="G31" i="284"/>
  <c r="G93" i="284" s="1"/>
  <c r="C31" i="284"/>
  <c r="B31" i="284"/>
  <c r="AI28" i="284"/>
  <c r="AH28" i="284"/>
  <c r="AG28" i="284"/>
  <c r="AF28" i="284"/>
  <c r="AH27" i="284"/>
  <c r="AG27" i="284"/>
  <c r="AF27" i="284"/>
  <c r="AI26" i="284"/>
  <c r="AC25" i="284"/>
  <c r="AB25" i="284"/>
  <c r="AA25" i="284"/>
  <c r="Z25" i="284"/>
  <c r="Y25" i="284"/>
  <c r="X25" i="284"/>
  <c r="W25" i="284"/>
  <c r="V25" i="284"/>
  <c r="U25" i="284"/>
  <c r="T25" i="284"/>
  <c r="S25" i="284"/>
  <c r="R25" i="284"/>
  <c r="Q25" i="284"/>
  <c r="P25" i="284"/>
  <c r="P89" i="284" s="1"/>
  <c r="O25" i="284"/>
  <c r="N25" i="284"/>
  <c r="M25" i="284"/>
  <c r="L25" i="284"/>
  <c r="K25" i="284"/>
  <c r="J25" i="284"/>
  <c r="I25" i="284"/>
  <c r="H25" i="284"/>
  <c r="G25" i="284"/>
  <c r="C25" i="284"/>
  <c r="AH24" i="284"/>
  <c r="AG24" i="284"/>
  <c r="AF24" i="284"/>
  <c r="AI23" i="284"/>
  <c r="AC22" i="284"/>
  <c r="AB22" i="284"/>
  <c r="AA22" i="284"/>
  <c r="Z22" i="284"/>
  <c r="Y22" i="284"/>
  <c r="Y89" i="284" s="1"/>
  <c r="X22" i="284"/>
  <c r="X89" i="284" s="1"/>
  <c r="W22" i="284"/>
  <c r="V22" i="284"/>
  <c r="U22" i="284"/>
  <c r="T22" i="284"/>
  <c r="S22" i="284"/>
  <c r="R22" i="284"/>
  <c r="R89" i="284" s="1"/>
  <c r="Q22" i="284"/>
  <c r="Q89" i="284" s="1"/>
  <c r="P22" i="284"/>
  <c r="O22" i="284"/>
  <c r="N22" i="284"/>
  <c r="M22" i="284"/>
  <c r="M89" i="284" s="1"/>
  <c r="L22" i="284"/>
  <c r="K22" i="284"/>
  <c r="J22" i="284"/>
  <c r="J89" i="284" s="1"/>
  <c r="I22" i="284"/>
  <c r="H22" i="284"/>
  <c r="G22" i="284"/>
  <c r="C22" i="284"/>
  <c r="B22" i="284"/>
  <c r="AH21" i="284"/>
  <c r="AG21" i="284"/>
  <c r="AF21" i="284"/>
  <c r="AH20" i="284"/>
  <c r="AG20" i="284"/>
  <c r="AF20" i="284"/>
  <c r="AH19" i="284"/>
  <c r="AG19" i="284"/>
  <c r="AF19" i="284"/>
  <c r="AI18" i="284"/>
  <c r="AC17" i="284"/>
  <c r="AC91" i="284" s="1"/>
  <c r="AB17" i="284"/>
  <c r="AB91" i="284" s="1"/>
  <c r="AA17" i="284"/>
  <c r="AA91" i="284" s="1"/>
  <c r="Z17" i="284"/>
  <c r="Z91" i="284" s="1"/>
  <c r="Y17" i="284"/>
  <c r="X17" i="284"/>
  <c r="W17" i="284"/>
  <c r="V17" i="284"/>
  <c r="U17" i="284"/>
  <c r="T17" i="284"/>
  <c r="T91" i="284" s="1"/>
  <c r="S17" i="284"/>
  <c r="S91" i="284" s="1"/>
  <c r="R17" i="284"/>
  <c r="R91" i="284" s="1"/>
  <c r="Q17" i="284"/>
  <c r="Q91" i="284" s="1"/>
  <c r="P17" i="284"/>
  <c r="P91" i="284" s="1"/>
  <c r="O17" i="284"/>
  <c r="O91" i="284" s="1"/>
  <c r="N17" i="284"/>
  <c r="M17" i="284"/>
  <c r="M91" i="284" s="1"/>
  <c r="L17" i="284"/>
  <c r="L91" i="284" s="1"/>
  <c r="K17" i="284"/>
  <c r="K91" i="284" s="1"/>
  <c r="J17" i="284"/>
  <c r="J91" i="284" s="1"/>
  <c r="I17" i="284"/>
  <c r="I91" i="284" s="1"/>
  <c r="H17" i="284"/>
  <c r="G17" i="284"/>
  <c r="C17" i="284"/>
  <c r="B17" i="284"/>
  <c r="B83" i="284" s="1"/>
  <c r="AH16" i="284"/>
  <c r="AG16" i="284"/>
  <c r="AF16" i="284"/>
  <c r="AH15" i="284"/>
  <c r="AG15" i="284"/>
  <c r="AF15" i="284"/>
  <c r="AH14" i="284"/>
  <c r="AG14" i="284"/>
  <c r="AF14" i="284"/>
  <c r="AH13" i="284"/>
  <c r="AG13" i="284"/>
  <c r="AF13" i="284"/>
  <c r="AI12" i="284"/>
  <c r="M9" i="284" a="1"/>
  <c r="M9" i="284" s="1"/>
  <c r="AE578" i="260"/>
  <c r="W578" i="260"/>
  <c r="AC63" i="283"/>
  <c r="AC62" i="283"/>
  <c r="F969" i="88"/>
  <c r="AC89" i="284" l="1"/>
  <c r="AB89" i="284"/>
  <c r="AA89" i="284"/>
  <c r="Z89" i="284"/>
  <c r="T109" i="284"/>
  <c r="S109" i="284"/>
  <c r="P109" i="284"/>
  <c r="O89" i="284"/>
  <c r="O110" i="284"/>
  <c r="N110" i="284"/>
  <c r="N89" i="284"/>
  <c r="N91" i="284"/>
  <c r="N103" i="284" s="1"/>
  <c r="N108" i="284" s="1"/>
  <c r="I89" i="284"/>
  <c r="H89" i="284"/>
  <c r="H103" i="284" s="1"/>
  <c r="H108" i="284" s="1"/>
  <c r="G89" i="284"/>
  <c r="F83" i="284"/>
  <c r="F91" i="284"/>
  <c r="AA109" i="284"/>
  <c r="AB109" i="284"/>
  <c r="X110" i="284"/>
  <c r="J109" i="284"/>
  <c r="F109" i="284"/>
  <c r="L110" i="284"/>
  <c r="S103" i="284"/>
  <c r="S108" i="284" s="1"/>
  <c r="M110" i="284"/>
  <c r="G83" i="284"/>
  <c r="W110" i="284"/>
  <c r="AB110" i="284"/>
  <c r="R103" i="284"/>
  <c r="R108" i="284" s="1"/>
  <c r="Z109" i="284"/>
  <c r="O109" i="284"/>
  <c r="T89" i="284"/>
  <c r="T103" i="284" s="1"/>
  <c r="T108" i="284" s="1"/>
  <c r="K89" i="284"/>
  <c r="K103" i="284" s="1"/>
  <c r="K108" i="284" s="1"/>
  <c r="U89" i="284"/>
  <c r="L89" i="284"/>
  <c r="L103" i="284" s="1"/>
  <c r="L108" i="284" s="1"/>
  <c r="V89" i="284"/>
  <c r="J103" i="284"/>
  <c r="J108" i="284" s="1"/>
  <c r="K109" i="284"/>
  <c r="L109" i="284"/>
  <c r="H110" i="284"/>
  <c r="M109" i="284"/>
  <c r="I83" i="284"/>
  <c r="J110" i="284"/>
  <c r="W89" i="284"/>
  <c r="U110" i="284"/>
  <c r="U91" i="284"/>
  <c r="U109" i="284" s="1"/>
  <c r="F103" i="284"/>
  <c r="F108" i="284" s="1"/>
  <c r="C83" i="284"/>
  <c r="AC103" i="284"/>
  <c r="AC108" i="284" s="1"/>
  <c r="AF62" i="284"/>
  <c r="AH62" i="284"/>
  <c r="AG62" i="284"/>
  <c r="O65" i="284"/>
  <c r="O99" i="284" s="1"/>
  <c r="AF56" i="284"/>
  <c r="P65" i="284"/>
  <c r="P99" i="284" s="1"/>
  <c r="P103" i="284" s="1"/>
  <c r="P108" i="284" s="1"/>
  <c r="G109" i="284"/>
  <c r="AG56" i="284"/>
  <c r="AH56" i="284"/>
  <c r="I109" i="284"/>
  <c r="K110" i="284"/>
  <c r="P110" i="284"/>
  <c r="P83" i="284"/>
  <c r="Q110" i="284"/>
  <c r="N83" i="284"/>
  <c r="R110" i="284"/>
  <c r="R83" i="284"/>
  <c r="S110" i="284"/>
  <c r="G103" i="284"/>
  <c r="G108" i="284" s="1"/>
  <c r="I103" i="284"/>
  <c r="I108" i="284" s="1"/>
  <c r="M65" i="284"/>
  <c r="M99" i="284" s="1"/>
  <c r="M103" i="284" s="1"/>
  <c r="M108" i="284" s="1"/>
  <c r="S83" i="284"/>
  <c r="T110" i="284"/>
  <c r="Q109" i="284"/>
  <c r="T83" i="284"/>
  <c r="U83" i="284"/>
  <c r="Q65" i="284"/>
  <c r="Q99" i="284" s="1"/>
  <c r="Q103" i="284" s="1"/>
  <c r="Q108" i="284" s="1"/>
  <c r="H109" i="284"/>
  <c r="AC109" i="284"/>
  <c r="V91" i="284"/>
  <c r="V109" i="284" s="1"/>
  <c r="V110" i="284"/>
  <c r="V83" i="284"/>
  <c r="Y110" i="284"/>
  <c r="AC83" i="284"/>
  <c r="AH64" i="284"/>
  <c r="AI36" i="284"/>
  <c r="X83" i="284"/>
  <c r="Y83" i="284"/>
  <c r="AF54" i="284"/>
  <c r="AG54" i="284"/>
  <c r="AF50" i="284"/>
  <c r="H83" i="284"/>
  <c r="G110" i="284"/>
  <c r="AA110" i="284"/>
  <c r="AG50" i="284"/>
  <c r="AG64" i="284"/>
  <c r="AC110" i="284"/>
  <c r="AA65" i="284"/>
  <c r="K83" i="284"/>
  <c r="W91" i="284"/>
  <c r="W109" i="284" s="1"/>
  <c r="F110" i="284"/>
  <c r="Z65" i="284"/>
  <c r="J83" i="284"/>
  <c r="AB65" i="284"/>
  <c r="L83" i="284"/>
  <c r="X91" i="284"/>
  <c r="X109" i="284" s="1"/>
  <c r="I110" i="284"/>
  <c r="Y91" i="284"/>
  <c r="Y109" i="284" s="1"/>
  <c r="W83" i="284"/>
  <c r="Z110" i="284"/>
  <c r="O103" i="284" l="1"/>
  <c r="O108" i="284" s="1"/>
  <c r="U103" i="284"/>
  <c r="U108" i="284" s="1"/>
  <c r="Q83" i="284"/>
  <c r="N109" i="284"/>
  <c r="AB99" i="284"/>
  <c r="AB103" i="284" s="1"/>
  <c r="AB108" i="284" s="1"/>
  <c r="X103" i="284"/>
  <c r="X108" i="284" s="1"/>
  <c r="AB83" i="284"/>
  <c r="Z99" i="284"/>
  <c r="Z103" i="284" s="1"/>
  <c r="Z108" i="284" s="1"/>
  <c r="Z83" i="284"/>
  <c r="AA99" i="284"/>
  <c r="AA103" i="284" s="1"/>
  <c r="AA108" i="284" s="1"/>
  <c r="AA83" i="284"/>
  <c r="AI61" i="284"/>
  <c r="V103" i="284"/>
  <c r="V108" i="284" s="1"/>
  <c r="M83" i="284"/>
  <c r="Y103" i="284"/>
  <c r="Y108" i="284" s="1"/>
  <c r="AF63" i="284"/>
  <c r="AH63" i="284"/>
  <c r="AG63" i="284"/>
  <c r="W103" i="284"/>
  <c r="W108" i="284" s="1"/>
  <c r="AF64" i="284"/>
  <c r="O83" i="284"/>
  <c r="AB64" i="283" l="1"/>
  <c r="AB63" i="283"/>
  <c r="AB62" i="283"/>
  <c r="F1023" i="88"/>
  <c r="AE577" i="260"/>
  <c r="W577" i="260"/>
  <c r="F1021" i="88"/>
  <c r="F982" i="88"/>
  <c r="AE576" i="260"/>
  <c r="W576" i="260"/>
  <c r="AA64" i="283"/>
  <c r="AA63" i="283"/>
  <c r="AA62" i="283"/>
  <c r="F1008" i="88"/>
  <c r="AE575" i="260"/>
  <c r="W575" i="260"/>
  <c r="Z64" i="283"/>
  <c r="Z63" i="283"/>
  <c r="Z62" i="283"/>
  <c r="F1013" i="88"/>
  <c r="F1012" i="88"/>
  <c r="F1019" i="88"/>
  <c r="F1017" i="88"/>
  <c r="W574" i="260"/>
  <c r="Y106" i="283"/>
  <c r="F1018" i="88"/>
  <c r="Y31" i="283"/>
  <c r="F989" i="88"/>
  <c r="W573" i="260"/>
  <c r="W572" i="260"/>
  <c r="X106" i="283"/>
  <c r="F1010" i="88"/>
  <c r="F1014" i="88"/>
  <c r="F1011" i="88"/>
  <c r="F1007" i="88"/>
  <c r="F1006" i="88"/>
  <c r="F994" i="88"/>
  <c r="W106" i="283"/>
  <c r="V103" i="283"/>
  <c r="W571" i="260"/>
  <c r="V106" i="283"/>
  <c r="U106" i="283"/>
  <c r="W570" i="260"/>
  <c r="F988" i="88"/>
  <c r="F995" i="88"/>
  <c r="F1005" i="88"/>
  <c r="AE569" i="260"/>
  <c r="W569" i="260"/>
  <c r="T64" i="283"/>
  <c r="T62" i="283"/>
  <c r="T56" i="283"/>
  <c r="T54" i="283"/>
  <c r="T51" i="283"/>
  <c r="T50" i="283"/>
  <c r="T47" i="283"/>
  <c r="AH47" i="283" s="1"/>
  <c r="AE568" i="260"/>
  <c r="W568" i="260"/>
  <c r="S64" i="283"/>
  <c r="S62" i="283"/>
  <c r="S56" i="283"/>
  <c r="S54" i="283"/>
  <c r="S51" i="283"/>
  <c r="S50" i="283"/>
  <c r="AE567" i="260"/>
  <c r="W567" i="260"/>
  <c r="R62" i="283"/>
  <c r="R64" i="283"/>
  <c r="R65" i="283" s="1"/>
  <c r="R99" i="283" s="1"/>
  <c r="R50" i="283"/>
  <c r="R54" i="283"/>
  <c r="R56" i="283"/>
  <c r="R60" i="283" s="1"/>
  <c r="R98" i="283" s="1"/>
  <c r="AE566" i="260"/>
  <c r="W566" i="260"/>
  <c r="Q64" i="283"/>
  <c r="Q62" i="283"/>
  <c r="Q56" i="283"/>
  <c r="Q54" i="283"/>
  <c r="Q50" i="283"/>
  <c r="F1004" i="88"/>
  <c r="AE565" i="260"/>
  <c r="W565" i="260"/>
  <c r="F1003" i="88"/>
  <c r="P64" i="283"/>
  <c r="P62" i="283"/>
  <c r="W564" i="260"/>
  <c r="AE564" i="260"/>
  <c r="AE563" i="260"/>
  <c r="W563" i="260"/>
  <c r="O64" i="283"/>
  <c r="O62" i="283"/>
  <c r="N64" i="283"/>
  <c r="AH64" i="283" s="1"/>
  <c r="N62" i="283"/>
  <c r="W562" i="260"/>
  <c r="M64" i="283"/>
  <c r="M62" i="283"/>
  <c r="F917" i="88"/>
  <c r="F999" i="88"/>
  <c r="AC65" i="282"/>
  <c r="AC99" i="282" s="1"/>
  <c r="F992" i="88"/>
  <c r="F962" i="88"/>
  <c r="H65" i="283"/>
  <c r="H99" i="283" s="1"/>
  <c r="AE557" i="260"/>
  <c r="I65" i="283"/>
  <c r="I99" i="283" s="1"/>
  <c r="AE556" i="260"/>
  <c r="F967" i="88"/>
  <c r="AE555" i="260"/>
  <c r="F978" i="88"/>
  <c r="W553" i="260"/>
  <c r="AC129" i="283"/>
  <c r="AB129" i="283"/>
  <c r="AA129" i="283"/>
  <c r="Z129" i="283"/>
  <c r="Y129" i="283"/>
  <c r="X129" i="283"/>
  <c r="W129" i="283"/>
  <c r="V129" i="283"/>
  <c r="U129" i="283"/>
  <c r="T129" i="283"/>
  <c r="S129" i="283"/>
  <c r="R129" i="283"/>
  <c r="Q129" i="283"/>
  <c r="P129" i="283"/>
  <c r="O129" i="283"/>
  <c r="N129" i="283"/>
  <c r="M129" i="283"/>
  <c r="L129" i="283"/>
  <c r="K129" i="283"/>
  <c r="J129" i="283"/>
  <c r="I129" i="283"/>
  <c r="H129" i="283"/>
  <c r="G129" i="283"/>
  <c r="F129" i="283"/>
  <c r="AC107" i="283"/>
  <c r="AB107" i="283"/>
  <c r="AA107" i="283"/>
  <c r="Z107" i="283"/>
  <c r="Y107" i="283"/>
  <c r="X107" i="283"/>
  <c r="W107" i="283"/>
  <c r="V107" i="283"/>
  <c r="U107" i="283"/>
  <c r="T107" i="283"/>
  <c r="S107" i="283"/>
  <c r="R107" i="283"/>
  <c r="Q107" i="283"/>
  <c r="P107" i="283"/>
  <c r="O107" i="283"/>
  <c r="N107" i="283"/>
  <c r="M107" i="283"/>
  <c r="L107" i="283"/>
  <c r="K107" i="283"/>
  <c r="J107" i="283"/>
  <c r="I107" i="283"/>
  <c r="H107" i="283"/>
  <c r="G107" i="283"/>
  <c r="F107" i="283"/>
  <c r="AC102" i="283"/>
  <c r="AB102" i="283"/>
  <c r="AA102" i="283"/>
  <c r="Z102" i="283"/>
  <c r="Y102" i="283"/>
  <c r="X102" i="283"/>
  <c r="W102" i="283"/>
  <c r="V102" i="283"/>
  <c r="U102" i="283"/>
  <c r="T102" i="283"/>
  <c r="S102" i="283"/>
  <c r="R102" i="283"/>
  <c r="Q102" i="283"/>
  <c r="P102" i="283"/>
  <c r="O102" i="283"/>
  <c r="N102" i="283"/>
  <c r="M102" i="283"/>
  <c r="L102" i="283"/>
  <c r="K102" i="283"/>
  <c r="J102" i="283"/>
  <c r="I102" i="283"/>
  <c r="H102" i="283"/>
  <c r="G102" i="283"/>
  <c r="F102" i="283"/>
  <c r="AC101" i="283"/>
  <c r="AB101" i="283"/>
  <c r="T101" i="283"/>
  <c r="X100" i="283"/>
  <c r="V100" i="283"/>
  <c r="U100" i="283"/>
  <c r="H100" i="283"/>
  <c r="G100" i="283"/>
  <c r="F100" i="283"/>
  <c r="P98" i="283"/>
  <c r="O98" i="283"/>
  <c r="N98" i="283"/>
  <c r="F98" i="283"/>
  <c r="G96" i="283"/>
  <c r="Q91" i="283"/>
  <c r="M91" i="283"/>
  <c r="L91" i="283"/>
  <c r="K91" i="283"/>
  <c r="AC80" i="283"/>
  <c r="AB80" i="283"/>
  <c r="AA80" i="283"/>
  <c r="AA101" i="283" s="1"/>
  <c r="Z80" i="283"/>
  <c r="Z101" i="283" s="1"/>
  <c r="Y80" i="283"/>
  <c r="Y101" i="283" s="1"/>
  <c r="X80" i="283"/>
  <c r="X101" i="283" s="1"/>
  <c r="W80" i="283"/>
  <c r="W101" i="283" s="1"/>
  <c r="V80" i="283"/>
  <c r="V101" i="283" s="1"/>
  <c r="U80" i="283"/>
  <c r="U101" i="283" s="1"/>
  <c r="T80" i="283"/>
  <c r="S80" i="283"/>
  <c r="S101" i="283" s="1"/>
  <c r="R80" i="283"/>
  <c r="R101" i="283" s="1"/>
  <c r="Q80" i="283"/>
  <c r="Q101" i="283" s="1"/>
  <c r="P80" i="283"/>
  <c r="P101" i="283" s="1"/>
  <c r="O80" i="283"/>
  <c r="O101" i="283" s="1"/>
  <c r="N80" i="283"/>
  <c r="N101" i="283" s="1"/>
  <c r="M80" i="283"/>
  <c r="M101" i="283" s="1"/>
  <c r="L80" i="283"/>
  <c r="L101" i="283" s="1"/>
  <c r="K80" i="283"/>
  <c r="K101" i="283" s="1"/>
  <c r="J80" i="283"/>
  <c r="J101" i="283" s="1"/>
  <c r="I80" i="283"/>
  <c r="I101" i="283" s="1"/>
  <c r="H80" i="283"/>
  <c r="H101" i="283" s="1"/>
  <c r="G80" i="283"/>
  <c r="G101" i="283" s="1"/>
  <c r="F80" i="283"/>
  <c r="F101" i="283" s="1"/>
  <c r="C80" i="283"/>
  <c r="B80" i="283"/>
  <c r="B25" i="283" s="1"/>
  <c r="AH79" i="283"/>
  <c r="AG79" i="283"/>
  <c r="AF79" i="283"/>
  <c r="AH78" i="283"/>
  <c r="AG78" i="283"/>
  <c r="AF78" i="283"/>
  <c r="AI77" i="283"/>
  <c r="AC76" i="283"/>
  <c r="AC100" i="283" s="1"/>
  <c r="AB76" i="283"/>
  <c r="AB100" i="283" s="1"/>
  <c r="AA76" i="283"/>
  <c r="AA100" i="283" s="1"/>
  <c r="Z76" i="283"/>
  <c r="Z100" i="283" s="1"/>
  <c r="Y76" i="283"/>
  <c r="Y100" i="283" s="1"/>
  <c r="X76" i="283"/>
  <c r="W76" i="283"/>
  <c r="W100" i="283" s="1"/>
  <c r="V76" i="283"/>
  <c r="U76" i="283"/>
  <c r="T76" i="283"/>
  <c r="T100" i="283" s="1"/>
  <c r="S76" i="283"/>
  <c r="S100" i="283" s="1"/>
  <c r="R76" i="283"/>
  <c r="R100" i="283" s="1"/>
  <c r="Q76" i="283"/>
  <c r="Q100" i="283" s="1"/>
  <c r="P76" i="283"/>
  <c r="P100" i="283" s="1"/>
  <c r="O76" i="283"/>
  <c r="O100" i="283" s="1"/>
  <c r="N76" i="283"/>
  <c r="N100" i="283" s="1"/>
  <c r="M76" i="283"/>
  <c r="M100" i="283" s="1"/>
  <c r="L76" i="283"/>
  <c r="L100" i="283" s="1"/>
  <c r="K76" i="283"/>
  <c r="K100" i="283" s="1"/>
  <c r="J76" i="283"/>
  <c r="J100" i="283" s="1"/>
  <c r="I76" i="283"/>
  <c r="I100" i="283" s="1"/>
  <c r="H76" i="283"/>
  <c r="G76" i="283"/>
  <c r="F76" i="283"/>
  <c r="C76" i="283"/>
  <c r="B76" i="283"/>
  <c r="AH75" i="283"/>
  <c r="AG75" i="283"/>
  <c r="AF75" i="283"/>
  <c r="AH74" i="283"/>
  <c r="AG74" i="283"/>
  <c r="AF74" i="283"/>
  <c r="AH73" i="283"/>
  <c r="AG73" i="283"/>
  <c r="AF73" i="283"/>
  <c r="AH72" i="283"/>
  <c r="AG72" i="283"/>
  <c r="AF72" i="283"/>
  <c r="AH71" i="283"/>
  <c r="AG71" i="283"/>
  <c r="AF71" i="283"/>
  <c r="AH70" i="283"/>
  <c r="AG70" i="283"/>
  <c r="AF70" i="283"/>
  <c r="AH69" i="283"/>
  <c r="AG69" i="283"/>
  <c r="AF69" i="283"/>
  <c r="AH68" i="283"/>
  <c r="AG68" i="283"/>
  <c r="AF68" i="283"/>
  <c r="AH67" i="283"/>
  <c r="AG67" i="283"/>
  <c r="AF67" i="283"/>
  <c r="AI66" i="283"/>
  <c r="AB65" i="283"/>
  <c r="AB99" i="283" s="1"/>
  <c r="AA65" i="283"/>
  <c r="AA99" i="283" s="1"/>
  <c r="Z65" i="283"/>
  <c r="Z99" i="283" s="1"/>
  <c r="Y65" i="283"/>
  <c r="Y99" i="283" s="1"/>
  <c r="X65" i="283"/>
  <c r="X99" i="283" s="1"/>
  <c r="W65" i="283"/>
  <c r="W99" i="283" s="1"/>
  <c r="G65" i="283"/>
  <c r="G99" i="283" s="1"/>
  <c r="F65" i="283"/>
  <c r="F99" i="283" s="1"/>
  <c r="C65" i="283"/>
  <c r="B65" i="283"/>
  <c r="AG64" i="283"/>
  <c r="AF64" i="283"/>
  <c r="V65" i="283"/>
  <c r="V99" i="283" s="1"/>
  <c r="AH63" i="283"/>
  <c r="AC65" i="283"/>
  <c r="AC99" i="283" s="1"/>
  <c r="U65" i="283"/>
  <c r="U99" i="283" s="1"/>
  <c r="T65" i="283"/>
  <c r="T99" i="283" s="1"/>
  <c r="S65" i="283"/>
  <c r="S99" i="283" s="1"/>
  <c r="Q65" i="283"/>
  <c r="Q99" i="283" s="1"/>
  <c r="P65" i="283"/>
  <c r="P99" i="283" s="1"/>
  <c r="K65" i="283"/>
  <c r="K99" i="283" s="1"/>
  <c r="J65" i="283"/>
  <c r="J99" i="283" s="1"/>
  <c r="AC60" i="283"/>
  <c r="AC98" i="283" s="1"/>
  <c r="AB60" i="283"/>
  <c r="AB98" i="283" s="1"/>
  <c r="AA60" i="283"/>
  <c r="AA98" i="283" s="1"/>
  <c r="Z60" i="283"/>
  <c r="Z98" i="283" s="1"/>
  <c r="Y60" i="283"/>
  <c r="Y98" i="283" s="1"/>
  <c r="X60" i="283"/>
  <c r="X98" i="283" s="1"/>
  <c r="W60" i="283"/>
  <c r="W98" i="283" s="1"/>
  <c r="V60" i="283"/>
  <c r="V98" i="283" s="1"/>
  <c r="U60" i="283"/>
  <c r="U98" i="283" s="1"/>
  <c r="S60" i="283"/>
  <c r="S98" i="283" s="1"/>
  <c r="Q60" i="283"/>
  <c r="Q98" i="283" s="1"/>
  <c r="P60" i="283"/>
  <c r="O60" i="283"/>
  <c r="N60" i="283"/>
  <c r="M60" i="283"/>
  <c r="M98" i="283" s="1"/>
  <c r="L60" i="283"/>
  <c r="L98" i="283" s="1"/>
  <c r="K60" i="283"/>
  <c r="K98" i="283" s="1"/>
  <c r="J60" i="283"/>
  <c r="J98" i="283" s="1"/>
  <c r="I60" i="283"/>
  <c r="I98" i="283" s="1"/>
  <c r="H60" i="283"/>
  <c r="H98" i="283" s="1"/>
  <c r="G60" i="283"/>
  <c r="G98" i="283" s="1"/>
  <c r="F60" i="283"/>
  <c r="C60" i="283"/>
  <c r="B60" i="283"/>
  <c r="AH59" i="283"/>
  <c r="AG59" i="283"/>
  <c r="AF59" i="283"/>
  <c r="AH58" i="283"/>
  <c r="AG58" i="283"/>
  <c r="AF58" i="283"/>
  <c r="AH57" i="283"/>
  <c r="AG57" i="283"/>
  <c r="AF57" i="283"/>
  <c r="AH55" i="283"/>
  <c r="AG55" i="283"/>
  <c r="AF55" i="283"/>
  <c r="AH54" i="283"/>
  <c r="AG54" i="283"/>
  <c r="AF54" i="283"/>
  <c r="AH53" i="283"/>
  <c r="AG53" i="283"/>
  <c r="AF53" i="283"/>
  <c r="AH52" i="283"/>
  <c r="AG52" i="283"/>
  <c r="AF52" i="283"/>
  <c r="AH51" i="283"/>
  <c r="AG51" i="283"/>
  <c r="AF51" i="283"/>
  <c r="AH50" i="283"/>
  <c r="AG50" i="283"/>
  <c r="AF50" i="283"/>
  <c r="AH49" i="283"/>
  <c r="AG49" i="283"/>
  <c r="AF49" i="283"/>
  <c r="AH48" i="283"/>
  <c r="AG48" i="283"/>
  <c r="AF48" i="283"/>
  <c r="AH46" i="283"/>
  <c r="AG46" i="283"/>
  <c r="AF46" i="283"/>
  <c r="AH45" i="283"/>
  <c r="AG45" i="283"/>
  <c r="AF45" i="283"/>
  <c r="AH44" i="283"/>
  <c r="AG44" i="283"/>
  <c r="AF44" i="283"/>
  <c r="AH43" i="283"/>
  <c r="AG43" i="283"/>
  <c r="AF43" i="283"/>
  <c r="AH42" i="283"/>
  <c r="AG42" i="283"/>
  <c r="AF42" i="283"/>
  <c r="AH41" i="283"/>
  <c r="AG41" i="283"/>
  <c r="AF41" i="283"/>
  <c r="AH40" i="283"/>
  <c r="AG40" i="283"/>
  <c r="AF40" i="283"/>
  <c r="AH39" i="283"/>
  <c r="AG39" i="283"/>
  <c r="AF39" i="283"/>
  <c r="AH38" i="283"/>
  <c r="AG38" i="283"/>
  <c r="AF38" i="283"/>
  <c r="AH37" i="283"/>
  <c r="AG37" i="283"/>
  <c r="AF37" i="283"/>
  <c r="AH36" i="283"/>
  <c r="AG36" i="283"/>
  <c r="AF36" i="283"/>
  <c r="AI35" i="283"/>
  <c r="AC34" i="283"/>
  <c r="AC96" i="283" s="1"/>
  <c r="AB34" i="283"/>
  <c r="AB96" i="283" s="1"/>
  <c r="AA34" i="283"/>
  <c r="AA96" i="283" s="1"/>
  <c r="Z34" i="283"/>
  <c r="Z96" i="283" s="1"/>
  <c r="Y34" i="283"/>
  <c r="Y96" i="283" s="1"/>
  <c r="X34" i="283"/>
  <c r="X96" i="283" s="1"/>
  <c r="W34" i="283"/>
  <c r="W96" i="283" s="1"/>
  <c r="V34" i="283"/>
  <c r="V96" i="283" s="1"/>
  <c r="U34" i="283"/>
  <c r="U96" i="283" s="1"/>
  <c r="T34" i="283"/>
  <c r="T96" i="283" s="1"/>
  <c r="S34" i="283"/>
  <c r="S96" i="283" s="1"/>
  <c r="R34" i="283"/>
  <c r="R96" i="283" s="1"/>
  <c r="Q34" i="283"/>
  <c r="Q96" i="283" s="1"/>
  <c r="P34" i="283"/>
  <c r="P96" i="283" s="1"/>
  <c r="O34" i="283"/>
  <c r="O96" i="283" s="1"/>
  <c r="N34" i="283"/>
  <c r="N96" i="283" s="1"/>
  <c r="M34" i="283"/>
  <c r="M96" i="283" s="1"/>
  <c r="L34" i="283"/>
  <c r="L96" i="283" s="1"/>
  <c r="K34" i="283"/>
  <c r="K96" i="283" s="1"/>
  <c r="J34" i="283"/>
  <c r="J96" i="283" s="1"/>
  <c r="I34" i="283"/>
  <c r="I96" i="283" s="1"/>
  <c r="H34" i="283"/>
  <c r="H96" i="283" s="1"/>
  <c r="G34" i="283"/>
  <c r="F34" i="283"/>
  <c r="F96" i="283" s="1"/>
  <c r="C34" i="283"/>
  <c r="B34" i="283"/>
  <c r="AH33" i="283"/>
  <c r="AG33" i="283"/>
  <c r="AF33" i="283"/>
  <c r="AI32" i="283"/>
  <c r="AC31" i="283"/>
  <c r="AC93" i="283" s="1"/>
  <c r="AB31" i="283"/>
  <c r="AB93" i="283" s="1"/>
  <c r="AA31" i="283"/>
  <c r="AA93" i="283" s="1"/>
  <c r="Z31" i="283"/>
  <c r="Z93" i="283" s="1"/>
  <c r="Y93" i="283"/>
  <c r="X31" i="283"/>
  <c r="X93" i="283" s="1"/>
  <c r="W31" i="283"/>
  <c r="W93" i="283" s="1"/>
  <c r="V31" i="283"/>
  <c r="V93" i="283" s="1"/>
  <c r="U31" i="283"/>
  <c r="U93" i="283" s="1"/>
  <c r="T31" i="283"/>
  <c r="T93" i="283" s="1"/>
  <c r="S31" i="283"/>
  <c r="S93" i="283" s="1"/>
  <c r="R31" i="283"/>
  <c r="R93" i="283" s="1"/>
  <c r="Q31" i="283"/>
  <c r="Q93" i="283" s="1"/>
  <c r="P31" i="283"/>
  <c r="P93" i="283" s="1"/>
  <c r="O31" i="283"/>
  <c r="O93" i="283" s="1"/>
  <c r="N31" i="283"/>
  <c r="N93" i="283" s="1"/>
  <c r="M31" i="283"/>
  <c r="M93" i="283" s="1"/>
  <c r="L31" i="283"/>
  <c r="L93" i="283" s="1"/>
  <c r="K31" i="283"/>
  <c r="K93" i="283" s="1"/>
  <c r="J31" i="283"/>
  <c r="J93" i="283" s="1"/>
  <c r="I31" i="283"/>
  <c r="I93" i="283" s="1"/>
  <c r="H31" i="283"/>
  <c r="H93" i="283" s="1"/>
  <c r="G31" i="283"/>
  <c r="G93" i="283" s="1"/>
  <c r="F31" i="283"/>
  <c r="F93" i="283" s="1"/>
  <c r="C31" i="283"/>
  <c r="B31" i="283"/>
  <c r="AI28" i="283"/>
  <c r="AH28" i="283"/>
  <c r="AG28" i="283"/>
  <c r="AF28" i="283"/>
  <c r="AH27" i="283"/>
  <c r="AG27" i="283"/>
  <c r="AF27" i="283"/>
  <c r="AI26" i="283"/>
  <c r="AC25" i="283"/>
  <c r="AB25" i="283"/>
  <c r="AA25" i="283"/>
  <c r="Z25" i="283"/>
  <c r="Y25" i="283"/>
  <c r="X25" i="283"/>
  <c r="W25" i="283"/>
  <c r="V25" i="283"/>
  <c r="U25" i="283"/>
  <c r="T25" i="283"/>
  <c r="S25" i="283"/>
  <c r="R25" i="283"/>
  <c r="Q25" i="283"/>
  <c r="P25" i="283"/>
  <c r="O25" i="283"/>
  <c r="N25" i="283"/>
  <c r="M25" i="283"/>
  <c r="L25" i="283"/>
  <c r="K25" i="283"/>
  <c r="J25" i="283"/>
  <c r="I25" i="283"/>
  <c r="H25" i="283"/>
  <c r="G25" i="283"/>
  <c r="F25" i="283"/>
  <c r="C25" i="283"/>
  <c r="AH24" i="283"/>
  <c r="AG24" i="283"/>
  <c r="AF24" i="283"/>
  <c r="AI23" i="283"/>
  <c r="AC22" i="283"/>
  <c r="AB22" i="283"/>
  <c r="AA22" i="283"/>
  <c r="Z22" i="283"/>
  <c r="Y22" i="283"/>
  <c r="X22" i="283"/>
  <c r="W22" i="283"/>
  <c r="V22" i="283"/>
  <c r="U22" i="283"/>
  <c r="T22" i="283"/>
  <c r="S22" i="283"/>
  <c r="R22" i="283"/>
  <c r="R110" i="283" s="1"/>
  <c r="Q22" i="283"/>
  <c r="P22" i="283"/>
  <c r="O22" i="283"/>
  <c r="N22" i="283"/>
  <c r="M22" i="283"/>
  <c r="L22" i="283"/>
  <c r="K22" i="283"/>
  <c r="J22" i="283"/>
  <c r="I22" i="283"/>
  <c r="I89" i="283" s="1"/>
  <c r="H22" i="283"/>
  <c r="H89" i="283" s="1"/>
  <c r="G22" i="283"/>
  <c r="G89" i="283" s="1"/>
  <c r="F22" i="283"/>
  <c r="C22" i="283"/>
  <c r="B22" i="283"/>
  <c r="AH21" i="283"/>
  <c r="AG21" i="283"/>
  <c r="AF21" i="283"/>
  <c r="AH20" i="283"/>
  <c r="AG20" i="283"/>
  <c r="AF20" i="283"/>
  <c r="AH19" i="283"/>
  <c r="AG19" i="283"/>
  <c r="AF19" i="283"/>
  <c r="AI18" i="283"/>
  <c r="AC17" i="283"/>
  <c r="AB17" i="283"/>
  <c r="AA17" i="283"/>
  <c r="Z17" i="283"/>
  <c r="Z91" i="283" s="1"/>
  <c r="Y17" i="283"/>
  <c r="Y91" i="283" s="1"/>
  <c r="X17" i="283"/>
  <c r="X91" i="283" s="1"/>
  <c r="W17" i="283"/>
  <c r="W91" i="283" s="1"/>
  <c r="V17" i="283"/>
  <c r="V91" i="283" s="1"/>
  <c r="U17" i="283"/>
  <c r="T17" i="283"/>
  <c r="S17" i="283"/>
  <c r="R17" i="283"/>
  <c r="Q17" i="283"/>
  <c r="P17" i="283"/>
  <c r="P91" i="283" s="1"/>
  <c r="O17" i="283"/>
  <c r="O91" i="283" s="1"/>
  <c r="N17" i="283"/>
  <c r="N91" i="283" s="1"/>
  <c r="M17" i="283"/>
  <c r="L17" i="283"/>
  <c r="K17" i="283"/>
  <c r="J17" i="283"/>
  <c r="J91" i="283" s="1"/>
  <c r="I17" i="283"/>
  <c r="I91" i="283" s="1"/>
  <c r="H17" i="283"/>
  <c r="G17" i="283"/>
  <c r="F17" i="283"/>
  <c r="F91" i="283" s="1"/>
  <c r="C17" i="283"/>
  <c r="B17" i="283"/>
  <c r="AH16" i="283"/>
  <c r="AG16" i="283"/>
  <c r="AF16" i="283"/>
  <c r="AH15" i="283"/>
  <c r="AG15" i="283"/>
  <c r="AF15" i="283"/>
  <c r="AH14" i="283"/>
  <c r="AG14" i="283"/>
  <c r="AF14" i="283"/>
  <c r="AH13" i="283"/>
  <c r="AG13" i="283"/>
  <c r="AF13" i="283"/>
  <c r="AI12" i="283"/>
  <c r="M9" i="283" a="1"/>
  <c r="M9" i="283" s="1"/>
  <c r="F997" i="88"/>
  <c r="F996" i="88"/>
  <c r="F930" i="88"/>
  <c r="AE552" i="260"/>
  <c r="W552" i="260"/>
  <c r="AE551" i="260"/>
  <c r="W551" i="260"/>
  <c r="AA64" i="282"/>
  <c r="AA63" i="282"/>
  <c r="AF63" i="282" s="1"/>
  <c r="AA62" i="282"/>
  <c r="F993" i="88"/>
  <c r="F968" i="88"/>
  <c r="F980" i="88"/>
  <c r="AE550" i="260"/>
  <c r="W550" i="260"/>
  <c r="Z64" i="282"/>
  <c r="Z63" i="282"/>
  <c r="F987" i="88"/>
  <c r="F991" i="88"/>
  <c r="AE549" i="260"/>
  <c r="W549" i="260"/>
  <c r="Y64" i="282"/>
  <c r="Y62" i="282"/>
  <c r="F990" i="88"/>
  <c r="F986" i="88"/>
  <c r="F959" i="88"/>
  <c r="AE548" i="260"/>
  <c r="W548" i="260"/>
  <c r="X64" i="282"/>
  <c r="X62" i="282"/>
  <c r="F984" i="88"/>
  <c r="F985" i="88"/>
  <c r="AE547" i="260"/>
  <c r="W547" i="260"/>
  <c r="W64" i="282"/>
  <c r="W63" i="282"/>
  <c r="F975" i="88"/>
  <c r="F976" i="88"/>
  <c r="F973" i="88"/>
  <c r="F983" i="88"/>
  <c r="F931" i="88"/>
  <c r="F981" i="88"/>
  <c r="F888" i="88"/>
  <c r="AE546" i="260"/>
  <c r="W546" i="260"/>
  <c r="V64" i="282"/>
  <c r="V63" i="282"/>
  <c r="V62" i="282"/>
  <c r="AH63" i="282"/>
  <c r="AE545" i="260"/>
  <c r="W545" i="260"/>
  <c r="F974" i="88"/>
  <c r="F972" i="88"/>
  <c r="U64" i="282"/>
  <c r="U63" i="282"/>
  <c r="U62" i="282"/>
  <c r="F979" i="88"/>
  <c r="AE544" i="260"/>
  <c r="W544" i="260"/>
  <c r="T17" i="282"/>
  <c r="T83" i="282"/>
  <c r="T64" i="282"/>
  <c r="T65" i="282" s="1"/>
  <c r="T99" i="282" s="1"/>
  <c r="T62" i="282"/>
  <c r="F948" i="88"/>
  <c r="F653" i="88"/>
  <c r="W543" i="260"/>
  <c r="F971" i="88"/>
  <c r="S103" i="282"/>
  <c r="S108" i="282" s="1"/>
  <c r="S64" i="282"/>
  <c r="S63" i="282"/>
  <c r="S62" i="282"/>
  <c r="F977" i="88"/>
  <c r="AE542" i="260"/>
  <c r="R64" i="282"/>
  <c r="R63" i="282"/>
  <c r="R62" i="282"/>
  <c r="F966" i="88"/>
  <c r="W541" i="260"/>
  <c r="Q64" i="282"/>
  <c r="Q63" i="282"/>
  <c r="Q62" i="282"/>
  <c r="F922" i="88"/>
  <c r="AE540" i="260"/>
  <c r="W540" i="260"/>
  <c r="F970" i="88"/>
  <c r="P64" i="282"/>
  <c r="P62" i="282"/>
  <c r="F963" i="88"/>
  <c r="F965" i="88"/>
  <c r="F964" i="88"/>
  <c r="F961" i="88"/>
  <c r="AE538" i="260"/>
  <c r="AE539" i="260"/>
  <c r="W539" i="260"/>
  <c r="N64" i="282"/>
  <c r="N62" i="282"/>
  <c r="O64" i="282"/>
  <c r="O62" i="282"/>
  <c r="F960" i="88"/>
  <c r="M64" i="282"/>
  <c r="M62" i="282"/>
  <c r="M65" i="282" s="1"/>
  <c r="M99" i="282" s="1"/>
  <c r="F957" i="88"/>
  <c r="F958" i="88"/>
  <c r="F947" i="88"/>
  <c r="L64" i="282"/>
  <c r="L62" i="282"/>
  <c r="K64" i="282"/>
  <c r="K62" i="282"/>
  <c r="J64" i="282"/>
  <c r="J62" i="282"/>
  <c r="F937" i="88"/>
  <c r="I64" i="282"/>
  <c r="I62" i="282"/>
  <c r="F954" i="88"/>
  <c r="F955" i="88"/>
  <c r="F923" i="88"/>
  <c r="F896" i="88"/>
  <c r="AE530" i="260"/>
  <c r="F932" i="88"/>
  <c r="AC25" i="281"/>
  <c r="AE528" i="260"/>
  <c r="W528" i="260"/>
  <c r="AC129" i="282"/>
  <c r="AB129" i="282"/>
  <c r="AA129" i="282"/>
  <c r="Z129" i="282"/>
  <c r="Y129" i="282"/>
  <c r="X129" i="282"/>
  <c r="W129" i="282"/>
  <c r="V129" i="282"/>
  <c r="U129" i="282"/>
  <c r="T129" i="282"/>
  <c r="S129" i="282"/>
  <c r="R129" i="282"/>
  <c r="Q129" i="282"/>
  <c r="P129" i="282"/>
  <c r="O129" i="282"/>
  <c r="N129" i="282"/>
  <c r="M129" i="282"/>
  <c r="L129" i="282"/>
  <c r="K129" i="282"/>
  <c r="J129" i="282"/>
  <c r="I129" i="282"/>
  <c r="H129" i="282"/>
  <c r="G129" i="282"/>
  <c r="F129" i="282"/>
  <c r="AC107" i="282"/>
  <c r="AB107" i="282"/>
  <c r="AA107" i="282"/>
  <c r="Z107" i="282"/>
  <c r="Y107" i="282"/>
  <c r="X107" i="282"/>
  <c r="W107" i="282"/>
  <c r="U107" i="282"/>
  <c r="T107" i="282"/>
  <c r="S107" i="282"/>
  <c r="R107" i="282"/>
  <c r="Q107" i="282"/>
  <c r="P107" i="282"/>
  <c r="O107" i="282"/>
  <c r="N107" i="282"/>
  <c r="M107" i="282"/>
  <c r="L107" i="282"/>
  <c r="K107" i="282"/>
  <c r="J107" i="282"/>
  <c r="I107" i="282"/>
  <c r="H107" i="282"/>
  <c r="G107" i="282"/>
  <c r="F107" i="282"/>
  <c r="V107" i="282"/>
  <c r="AC102" i="282"/>
  <c r="AB102" i="282"/>
  <c r="AA102" i="282"/>
  <c r="Z102" i="282"/>
  <c r="Y102" i="282"/>
  <c r="X102" i="282"/>
  <c r="W102" i="282"/>
  <c r="V102" i="282"/>
  <c r="U102" i="282"/>
  <c r="T102" i="282"/>
  <c r="S102" i="282"/>
  <c r="R102" i="282"/>
  <c r="Q102" i="282"/>
  <c r="P102" i="282"/>
  <c r="O102" i="282"/>
  <c r="N102" i="282"/>
  <c r="M102" i="282"/>
  <c r="L102" i="282"/>
  <c r="K102" i="282"/>
  <c r="J102" i="282"/>
  <c r="I102" i="282"/>
  <c r="H102" i="282"/>
  <c r="G102" i="282"/>
  <c r="F102" i="282"/>
  <c r="V101" i="282"/>
  <c r="AC100" i="282"/>
  <c r="AB100" i="282"/>
  <c r="Z100" i="282"/>
  <c r="T98" i="282"/>
  <c r="O98" i="282"/>
  <c r="U93" i="282"/>
  <c r="AC80" i="282"/>
  <c r="AC101" i="282" s="1"/>
  <c r="AB80" i="282"/>
  <c r="AB101" i="282" s="1"/>
  <c r="AA80" i="282"/>
  <c r="AA101" i="282" s="1"/>
  <c r="Z80" i="282"/>
  <c r="Z101" i="282" s="1"/>
  <c r="Y80" i="282"/>
  <c r="Y101" i="282" s="1"/>
  <c r="X80" i="282"/>
  <c r="X101" i="282" s="1"/>
  <c r="W80" i="282"/>
  <c r="W101" i="282" s="1"/>
  <c r="V80" i="282"/>
  <c r="U80" i="282"/>
  <c r="U101" i="282" s="1"/>
  <c r="T80" i="282"/>
  <c r="T101" i="282" s="1"/>
  <c r="S80" i="282"/>
  <c r="S101" i="282" s="1"/>
  <c r="R80" i="282"/>
  <c r="R101" i="282" s="1"/>
  <c r="Q80" i="282"/>
  <c r="Q101" i="282" s="1"/>
  <c r="P80" i="282"/>
  <c r="P101" i="282" s="1"/>
  <c r="O80" i="282"/>
  <c r="O101" i="282" s="1"/>
  <c r="N80" i="282"/>
  <c r="N101" i="282" s="1"/>
  <c r="M80" i="282"/>
  <c r="M101" i="282" s="1"/>
  <c r="L80" i="282"/>
  <c r="L101" i="282" s="1"/>
  <c r="K80" i="282"/>
  <c r="K101" i="282" s="1"/>
  <c r="J80" i="282"/>
  <c r="J101" i="282" s="1"/>
  <c r="I80" i="282"/>
  <c r="I101" i="282" s="1"/>
  <c r="H80" i="282"/>
  <c r="H101" i="282" s="1"/>
  <c r="G80" i="282"/>
  <c r="G101" i="282" s="1"/>
  <c r="F80" i="282"/>
  <c r="F101" i="282" s="1"/>
  <c r="C80" i="282"/>
  <c r="B80" i="282"/>
  <c r="B25" i="282" s="1"/>
  <c r="AH79" i="282"/>
  <c r="AG79" i="282"/>
  <c r="AF79" i="282"/>
  <c r="AH78" i="282"/>
  <c r="AG78" i="282"/>
  <c r="AF78" i="282"/>
  <c r="AI77" i="282"/>
  <c r="AC76" i="282"/>
  <c r="AB76" i="282"/>
  <c r="AA76" i="282"/>
  <c r="AA100" i="282" s="1"/>
  <c r="Z76" i="282"/>
  <c r="Y76" i="282"/>
  <c r="Y100" i="282" s="1"/>
  <c r="X76" i="282"/>
  <c r="X100" i="282" s="1"/>
  <c r="W76" i="282"/>
  <c r="W100" i="282" s="1"/>
  <c r="V76" i="282"/>
  <c r="V100" i="282" s="1"/>
  <c r="U76" i="282"/>
  <c r="U100" i="282" s="1"/>
  <c r="T76" i="282"/>
  <c r="T100" i="282" s="1"/>
  <c r="S76" i="282"/>
  <c r="S100" i="282" s="1"/>
  <c r="R76" i="282"/>
  <c r="R100" i="282" s="1"/>
  <c r="Q76" i="282"/>
  <c r="Q100" i="282" s="1"/>
  <c r="P76" i="282"/>
  <c r="P100" i="282" s="1"/>
  <c r="O76" i="282"/>
  <c r="O100" i="282" s="1"/>
  <c r="N76" i="282"/>
  <c r="N100" i="282" s="1"/>
  <c r="M76" i="282"/>
  <c r="M100" i="282" s="1"/>
  <c r="L76" i="282"/>
  <c r="L100" i="282" s="1"/>
  <c r="K76" i="282"/>
  <c r="K100" i="282" s="1"/>
  <c r="J76" i="282"/>
  <c r="J100" i="282" s="1"/>
  <c r="I76" i="282"/>
  <c r="I100" i="282" s="1"/>
  <c r="H76" i="282"/>
  <c r="H100" i="282" s="1"/>
  <c r="G76" i="282"/>
  <c r="G100" i="282" s="1"/>
  <c r="F76" i="282"/>
  <c r="F100" i="282" s="1"/>
  <c r="C76" i="282"/>
  <c r="B76" i="282"/>
  <c r="AH75" i="282"/>
  <c r="AG75" i="282"/>
  <c r="AF75" i="282"/>
  <c r="AH74" i="282"/>
  <c r="AG74" i="282"/>
  <c r="AF74" i="282"/>
  <c r="AH73" i="282"/>
  <c r="AG73" i="282"/>
  <c r="AF73" i="282"/>
  <c r="AH72" i="282"/>
  <c r="AG72" i="282"/>
  <c r="AF72" i="282"/>
  <c r="AH71" i="282"/>
  <c r="AG71" i="282"/>
  <c r="AF71" i="282"/>
  <c r="AH70" i="282"/>
  <c r="AG70" i="282"/>
  <c r="AF70" i="282"/>
  <c r="AH69" i="282"/>
  <c r="AG69" i="282"/>
  <c r="AF69" i="282"/>
  <c r="AH68" i="282"/>
  <c r="AG68" i="282"/>
  <c r="AF68" i="282"/>
  <c r="AH67" i="282"/>
  <c r="AG67" i="282"/>
  <c r="AF67" i="282"/>
  <c r="AI66" i="282"/>
  <c r="AB65" i="282"/>
  <c r="AB99" i="282" s="1"/>
  <c r="AA65" i="282"/>
  <c r="AA99" i="282" s="1"/>
  <c r="Z65" i="282"/>
  <c r="Z99" i="282" s="1"/>
  <c r="S65" i="282"/>
  <c r="S99" i="282" s="1"/>
  <c r="L65" i="282"/>
  <c r="L99" i="282" s="1"/>
  <c r="H65" i="282"/>
  <c r="H99" i="282" s="1"/>
  <c r="G65" i="282"/>
  <c r="G99" i="282" s="1"/>
  <c r="F65" i="282"/>
  <c r="F99" i="282" s="1"/>
  <c r="C65" i="282"/>
  <c r="K65" i="282"/>
  <c r="K99" i="282" s="1"/>
  <c r="J65" i="282"/>
  <c r="J99" i="282" s="1"/>
  <c r="X65" i="282"/>
  <c r="X99" i="282" s="1"/>
  <c r="W65" i="282"/>
  <c r="W99" i="282" s="1"/>
  <c r="Q65" i="282"/>
  <c r="Q99" i="282" s="1"/>
  <c r="P65" i="282"/>
  <c r="P99" i="282" s="1"/>
  <c r="N65" i="282"/>
  <c r="N99" i="282" s="1"/>
  <c r="AC60" i="282"/>
  <c r="AC98" i="282" s="1"/>
  <c r="AB60" i="282"/>
  <c r="AB98" i="282" s="1"/>
  <c r="AA60" i="282"/>
  <c r="AA98" i="282" s="1"/>
  <c r="Z60" i="282"/>
  <c r="Z98" i="282" s="1"/>
  <c r="Y60" i="282"/>
  <c r="Y98" i="282" s="1"/>
  <c r="X60" i="282"/>
  <c r="X98" i="282" s="1"/>
  <c r="W60" i="282"/>
  <c r="W98" i="282" s="1"/>
  <c r="V60" i="282"/>
  <c r="V98" i="282" s="1"/>
  <c r="U60" i="282"/>
  <c r="U98" i="282" s="1"/>
  <c r="T60" i="282"/>
  <c r="S60" i="282"/>
  <c r="S98" i="282" s="1"/>
  <c r="R60" i="282"/>
  <c r="R98" i="282" s="1"/>
  <c r="Q60" i="282"/>
  <c r="Q98" i="282" s="1"/>
  <c r="P60" i="282"/>
  <c r="P98" i="282" s="1"/>
  <c r="M60" i="282"/>
  <c r="M98" i="282" s="1"/>
  <c r="K60" i="282"/>
  <c r="K98" i="282" s="1"/>
  <c r="J60" i="282"/>
  <c r="J98" i="282" s="1"/>
  <c r="I60" i="282"/>
  <c r="I98" i="282" s="1"/>
  <c r="H60" i="282"/>
  <c r="H98" i="282" s="1"/>
  <c r="G60" i="282"/>
  <c r="G98" i="282" s="1"/>
  <c r="F60" i="282"/>
  <c r="F98" i="282" s="1"/>
  <c r="C60" i="282"/>
  <c r="B60" i="282"/>
  <c r="B65" i="282" s="1"/>
  <c r="AH59" i="282"/>
  <c r="AG59" i="282"/>
  <c r="AF59" i="282"/>
  <c r="AH58" i="282"/>
  <c r="AG58" i="282"/>
  <c r="AF58" i="282"/>
  <c r="AH57" i="282"/>
  <c r="AG57" i="282"/>
  <c r="AF57" i="282"/>
  <c r="AH56" i="282"/>
  <c r="AH55" i="282"/>
  <c r="AG55" i="282"/>
  <c r="AF55" i="282"/>
  <c r="O60" i="282"/>
  <c r="N60" i="282"/>
  <c r="N98" i="282" s="1"/>
  <c r="AH53" i="282"/>
  <c r="AG53" i="282"/>
  <c r="AF53" i="282"/>
  <c r="AH52" i="282"/>
  <c r="AG52" i="282"/>
  <c r="AF52" i="282"/>
  <c r="AH51" i="282"/>
  <c r="AH50" i="282"/>
  <c r="AG50" i="282"/>
  <c r="AF50" i="282"/>
  <c r="AH49" i="282"/>
  <c r="AG49" i="282"/>
  <c r="AF49" i="282"/>
  <c r="AH48" i="282"/>
  <c r="AG48" i="282"/>
  <c r="AF48" i="282"/>
  <c r="AH47" i="282"/>
  <c r="AG47" i="282"/>
  <c r="AF47" i="282"/>
  <c r="AH46" i="282"/>
  <c r="AG46" i="282"/>
  <c r="AF46" i="282"/>
  <c r="AH45" i="282"/>
  <c r="AG45" i="282"/>
  <c r="AF45" i="282"/>
  <c r="AH44" i="282"/>
  <c r="AG44" i="282"/>
  <c r="AF44" i="282"/>
  <c r="AH43" i="282"/>
  <c r="AG43" i="282"/>
  <c r="AF43" i="282"/>
  <c r="AH42" i="282"/>
  <c r="AG42" i="282"/>
  <c r="AF42" i="282"/>
  <c r="AH41" i="282"/>
  <c r="AG41" i="282"/>
  <c r="AF41" i="282"/>
  <c r="AH40" i="282"/>
  <c r="AG40" i="282"/>
  <c r="AF40" i="282"/>
  <c r="AH39" i="282"/>
  <c r="AG39" i="282"/>
  <c r="AF39" i="282"/>
  <c r="AH38" i="282"/>
  <c r="AG38" i="282"/>
  <c r="AF38" i="282"/>
  <c r="AH37" i="282"/>
  <c r="AG37" i="282"/>
  <c r="AF37" i="282"/>
  <c r="AH36" i="282"/>
  <c r="AG36" i="282"/>
  <c r="AF36" i="282"/>
  <c r="AI35" i="282"/>
  <c r="AC34" i="282"/>
  <c r="AC96" i="282" s="1"/>
  <c r="AB34" i="282"/>
  <c r="AB96" i="282" s="1"/>
  <c r="AA34" i="282"/>
  <c r="AA96" i="282" s="1"/>
  <c r="Z34" i="282"/>
  <c r="Z96" i="282" s="1"/>
  <c r="Y34" i="282"/>
  <c r="Y96" i="282" s="1"/>
  <c r="X34" i="282"/>
  <c r="X96" i="282" s="1"/>
  <c r="W34" i="282"/>
  <c r="W96" i="282" s="1"/>
  <c r="V34" i="282"/>
  <c r="V96" i="282" s="1"/>
  <c r="U34" i="282"/>
  <c r="U96" i="282" s="1"/>
  <c r="T34" i="282"/>
  <c r="T96" i="282" s="1"/>
  <c r="S34" i="282"/>
  <c r="S96" i="282" s="1"/>
  <c r="R34" i="282"/>
  <c r="R96" i="282" s="1"/>
  <c r="Q34" i="282"/>
  <c r="Q96" i="282" s="1"/>
  <c r="P34" i="282"/>
  <c r="P96" i="282" s="1"/>
  <c r="O34" i="282"/>
  <c r="O96" i="282" s="1"/>
  <c r="N34" i="282"/>
  <c r="N96" i="282" s="1"/>
  <c r="M34" i="282"/>
  <c r="M96" i="282" s="1"/>
  <c r="L34" i="282"/>
  <c r="L96" i="282" s="1"/>
  <c r="K34" i="282"/>
  <c r="K96" i="282" s="1"/>
  <c r="J34" i="282"/>
  <c r="J96" i="282" s="1"/>
  <c r="I34" i="282"/>
  <c r="I96" i="282" s="1"/>
  <c r="H34" i="282"/>
  <c r="H96" i="282" s="1"/>
  <c r="G34" i="282"/>
  <c r="G96" i="282" s="1"/>
  <c r="F34" i="282"/>
  <c r="F96" i="282" s="1"/>
  <c r="C34" i="282"/>
  <c r="B34" i="282"/>
  <c r="AH33" i="282"/>
  <c r="AG33" i="282"/>
  <c r="AF33" i="282"/>
  <c r="AI32" i="282"/>
  <c r="AC31" i="282"/>
  <c r="AC93" i="282" s="1"/>
  <c r="AB31" i="282"/>
  <c r="AB93" i="282" s="1"/>
  <c r="AA31" i="282"/>
  <c r="AA93" i="282" s="1"/>
  <c r="Z31" i="282"/>
  <c r="Z93" i="282" s="1"/>
  <c r="Y31" i="282"/>
  <c r="Y93" i="282" s="1"/>
  <c r="X31" i="282"/>
  <c r="X93" i="282" s="1"/>
  <c r="W31" i="282"/>
  <c r="W93" i="282" s="1"/>
  <c r="V31" i="282"/>
  <c r="V93" i="282" s="1"/>
  <c r="U31" i="282"/>
  <c r="T31" i="282"/>
  <c r="T93" i="282" s="1"/>
  <c r="S31" i="282"/>
  <c r="S93" i="282" s="1"/>
  <c r="R31" i="282"/>
  <c r="R93" i="282" s="1"/>
  <c r="Q31" i="282"/>
  <c r="Q93" i="282" s="1"/>
  <c r="P31" i="282"/>
  <c r="P93" i="282" s="1"/>
  <c r="O31" i="282"/>
  <c r="O93" i="282" s="1"/>
  <c r="N31" i="282"/>
  <c r="N93" i="282" s="1"/>
  <c r="M31" i="282"/>
  <c r="M93" i="282" s="1"/>
  <c r="L31" i="282"/>
  <c r="L93" i="282" s="1"/>
  <c r="K31" i="282"/>
  <c r="K93" i="282" s="1"/>
  <c r="J31" i="282"/>
  <c r="J93" i="282" s="1"/>
  <c r="I31" i="282"/>
  <c r="I93" i="282" s="1"/>
  <c r="H31" i="282"/>
  <c r="H93" i="282" s="1"/>
  <c r="G31" i="282"/>
  <c r="G93" i="282" s="1"/>
  <c r="F31" i="282"/>
  <c r="F93" i="282" s="1"/>
  <c r="C31" i="282"/>
  <c r="B31" i="282"/>
  <c r="AI28" i="282"/>
  <c r="AH28" i="282"/>
  <c r="AG28" i="282"/>
  <c r="AF28" i="282"/>
  <c r="AH27" i="282"/>
  <c r="AG27" i="282"/>
  <c r="AF27" i="282"/>
  <c r="AI26" i="282"/>
  <c r="AC25" i="282"/>
  <c r="AB25" i="282"/>
  <c r="AA25" i="282"/>
  <c r="Z25" i="282"/>
  <c r="Y25" i="282"/>
  <c r="X25" i="282"/>
  <c r="W25" i="282"/>
  <c r="V25" i="282"/>
  <c r="U25" i="282"/>
  <c r="T25" i="282"/>
  <c r="S25" i="282"/>
  <c r="R25" i="282"/>
  <c r="Q25" i="282"/>
  <c r="P25" i="282"/>
  <c r="O25" i="282"/>
  <c r="O89" i="282" s="1"/>
  <c r="N25" i="282"/>
  <c r="M25" i="282"/>
  <c r="L25" i="282"/>
  <c r="K25" i="282"/>
  <c r="J25" i="282"/>
  <c r="I25" i="282"/>
  <c r="H25" i="282"/>
  <c r="G25" i="282"/>
  <c r="F25" i="282"/>
  <c r="C25" i="282"/>
  <c r="AH24" i="282"/>
  <c r="AG24" i="282"/>
  <c r="AF24" i="282"/>
  <c r="AI23" i="282"/>
  <c r="AC22" i="282"/>
  <c r="AB22" i="282"/>
  <c r="AA22" i="282"/>
  <c r="Z22" i="282"/>
  <c r="Z89" i="282" s="1"/>
  <c r="Y22" i="282"/>
  <c r="X22" i="282"/>
  <c r="W22" i="282"/>
  <c r="V22" i="282"/>
  <c r="U22" i="282"/>
  <c r="T22" i="282"/>
  <c r="S22" i="282"/>
  <c r="R22" i="282"/>
  <c r="Q22" i="282"/>
  <c r="P22" i="282"/>
  <c r="P89" i="282" s="1"/>
  <c r="O22" i="282"/>
  <c r="N22" i="282"/>
  <c r="M22" i="282"/>
  <c r="L22" i="282"/>
  <c r="K22" i="282"/>
  <c r="J22" i="282"/>
  <c r="I22" i="282"/>
  <c r="H22" i="282"/>
  <c r="G22" i="282"/>
  <c r="F22" i="282"/>
  <c r="C22" i="282"/>
  <c r="B22" i="282"/>
  <c r="AH21" i="282"/>
  <c r="AG21" i="282"/>
  <c r="AF21" i="282"/>
  <c r="AH20" i="282"/>
  <c r="AG20" i="282"/>
  <c r="AF20" i="282"/>
  <c r="AH19" i="282"/>
  <c r="AG19" i="282"/>
  <c r="AF19" i="282"/>
  <c r="AI18" i="282"/>
  <c r="AC17" i="282"/>
  <c r="AC91" i="282" s="1"/>
  <c r="AB17" i="282"/>
  <c r="AB91" i="282" s="1"/>
  <c r="AA17" i="282"/>
  <c r="AA91" i="282" s="1"/>
  <c r="Z17" i="282"/>
  <c r="Z91" i="282" s="1"/>
  <c r="Y17" i="282"/>
  <c r="Y91" i="282" s="1"/>
  <c r="X17" i="282"/>
  <c r="X91" i="282" s="1"/>
  <c r="W17" i="282"/>
  <c r="W91" i="282" s="1"/>
  <c r="V17" i="282"/>
  <c r="U17" i="282"/>
  <c r="U91" i="282" s="1"/>
  <c r="T91" i="282"/>
  <c r="S17" i="282"/>
  <c r="S91" i="282" s="1"/>
  <c r="R17" i="282"/>
  <c r="R91" i="282" s="1"/>
  <c r="R109" i="282" s="1"/>
  <c r="Q17" i="282"/>
  <c r="Q91" i="282" s="1"/>
  <c r="P17" i="282"/>
  <c r="P91" i="282" s="1"/>
  <c r="O17" i="282"/>
  <c r="O91" i="282" s="1"/>
  <c r="N17" i="282"/>
  <c r="N91" i="282" s="1"/>
  <c r="M17" i="282"/>
  <c r="L17" i="282"/>
  <c r="L91" i="282" s="1"/>
  <c r="K17" i="282"/>
  <c r="K91" i="282" s="1"/>
  <c r="J17" i="282"/>
  <c r="J91" i="282" s="1"/>
  <c r="I17" i="282"/>
  <c r="I91" i="282" s="1"/>
  <c r="H17" i="282"/>
  <c r="H91" i="282" s="1"/>
  <c r="G17" i="282"/>
  <c r="G91" i="282" s="1"/>
  <c r="F17" i="282"/>
  <c r="F91" i="282" s="1"/>
  <c r="C17" i="282"/>
  <c r="B17" i="282"/>
  <c r="AH16" i="282"/>
  <c r="AG16" i="282"/>
  <c r="AF16" i="282"/>
  <c r="AH15" i="282"/>
  <c r="AG15" i="282"/>
  <c r="AF15" i="282"/>
  <c r="AH14" i="282"/>
  <c r="AG14" i="282"/>
  <c r="AF14" i="282"/>
  <c r="AH13" i="282"/>
  <c r="AG13" i="282"/>
  <c r="AF13" i="282"/>
  <c r="AI12" i="282"/>
  <c r="M9" i="282" a="1"/>
  <c r="M9" i="282" s="1"/>
  <c r="F953" i="88"/>
  <c r="F952" i="88"/>
  <c r="V104" i="281"/>
  <c r="U104" i="281"/>
  <c r="T104" i="281"/>
  <c r="F951" i="88"/>
  <c r="F916" i="88"/>
  <c r="AB64" i="281"/>
  <c r="AB62" i="281"/>
  <c r="AE527" i="260"/>
  <c r="W527" i="260"/>
  <c r="AE526" i="260"/>
  <c r="W526" i="260"/>
  <c r="AA64" i="281"/>
  <c r="AA62" i="281"/>
  <c r="AA22" i="281"/>
  <c r="F949" i="88"/>
  <c r="F941" i="88"/>
  <c r="F946" i="88"/>
  <c r="AE525" i="260"/>
  <c r="W525" i="260"/>
  <c r="Z64" i="281"/>
  <c r="Z62" i="281"/>
  <c r="F942" i="88"/>
  <c r="AE524" i="260"/>
  <c r="W524" i="260"/>
  <c r="Y64" i="281"/>
  <c r="Y62" i="281"/>
  <c r="F924" i="88"/>
  <c r="F939" i="88"/>
  <c r="AE523" i="260"/>
  <c r="W523" i="260"/>
  <c r="X64" i="281"/>
  <c r="X62" i="281"/>
  <c r="AE522" i="260"/>
  <c r="W522" i="260"/>
  <c r="W64" i="281"/>
  <c r="W62" i="281"/>
  <c r="F936" i="88"/>
  <c r="F935" i="88"/>
  <c r="F933" i="88"/>
  <c r="F940" i="88"/>
  <c r="F938" i="88"/>
  <c r="F943" i="88"/>
  <c r="F945" i="88"/>
  <c r="AE521" i="260"/>
  <c r="W521" i="260"/>
  <c r="V64" i="281"/>
  <c r="V62" i="281"/>
  <c r="F944" i="88"/>
  <c r="AE520" i="260"/>
  <c r="W520" i="260"/>
  <c r="U64" i="281"/>
  <c r="U62" i="281"/>
  <c r="W519" i="260"/>
  <c r="W518" i="260"/>
  <c r="F556" i="88"/>
  <c r="F934" i="88"/>
  <c r="W517" i="260"/>
  <c r="W516" i="260"/>
  <c r="Q64" i="281"/>
  <c r="Q62" i="281"/>
  <c r="F929" i="88"/>
  <c r="F928" i="88"/>
  <c r="AI515" i="260"/>
  <c r="AE515" i="260"/>
  <c r="W515" i="260"/>
  <c r="P64" i="281"/>
  <c r="P62" i="281"/>
  <c r="AE514" i="260"/>
  <c r="W514" i="260"/>
  <c r="AE513" i="260"/>
  <c r="O64" i="281"/>
  <c r="O62" i="281"/>
  <c r="F927" i="88"/>
  <c r="F926" i="88"/>
  <c r="AE511" i="260"/>
  <c r="O54" i="281"/>
  <c r="N64" i="281"/>
  <c r="N62" i="281"/>
  <c r="F925" i="88"/>
  <c r="N56" i="281"/>
  <c r="N54" i="281"/>
  <c r="AE512" i="260"/>
  <c r="AE510" i="260"/>
  <c r="F901" i="88"/>
  <c r="F921" i="88"/>
  <c r="F919" i="88"/>
  <c r="F920" i="88"/>
  <c r="F907" i="88"/>
  <c r="L62" i="281"/>
  <c r="L54" i="281"/>
  <c r="L51" i="281"/>
  <c r="L47" i="281"/>
  <c r="K64" i="281"/>
  <c r="K62" i="281"/>
  <c r="J64" i="281"/>
  <c r="J62" i="281"/>
  <c r="AE509" i="260"/>
  <c r="I62" i="281"/>
  <c r="I64" i="281"/>
  <c r="AE508" i="260"/>
  <c r="F918" i="88"/>
  <c r="F910" i="88"/>
  <c r="F900" i="88"/>
  <c r="F897" i="88"/>
  <c r="F915" i="88"/>
  <c r="F914" i="88"/>
  <c r="F913" i="88"/>
  <c r="F912" i="88"/>
  <c r="F911" i="88"/>
  <c r="AE507" i="260"/>
  <c r="W507" i="260"/>
  <c r="H64" i="281"/>
  <c r="H62" i="281"/>
  <c r="F869" i="88"/>
  <c r="AE506" i="260"/>
  <c r="W506" i="260"/>
  <c r="F887" i="88"/>
  <c r="G22" i="281"/>
  <c r="AC89" i="283" l="1"/>
  <c r="AB89" i="283"/>
  <c r="AA89" i="283"/>
  <c r="V109" i="283"/>
  <c r="T60" i="283"/>
  <c r="T98" i="283" s="1"/>
  <c r="AF47" i="283"/>
  <c r="AG47" i="283"/>
  <c r="AF56" i="283"/>
  <c r="AG56" i="283"/>
  <c r="AH56" i="283"/>
  <c r="AI36" i="283"/>
  <c r="L89" i="283"/>
  <c r="J89" i="283"/>
  <c r="F89" i="283"/>
  <c r="K83" i="283"/>
  <c r="L110" i="283"/>
  <c r="J109" i="283"/>
  <c r="K109" i="283"/>
  <c r="M109" i="283"/>
  <c r="X109" i="283"/>
  <c r="AA83" i="283"/>
  <c r="W109" i="283"/>
  <c r="Z109" i="283"/>
  <c r="G83" i="283"/>
  <c r="AB83" i="283"/>
  <c r="I110" i="283"/>
  <c r="J110" i="283"/>
  <c r="Y109" i="283"/>
  <c r="AC110" i="283"/>
  <c r="H83" i="283"/>
  <c r="W89" i="283"/>
  <c r="X89" i="283"/>
  <c r="X103" i="283" s="1"/>
  <c r="X108" i="283" s="1"/>
  <c r="Y89" i="283"/>
  <c r="Y103" i="283" s="1"/>
  <c r="Y108" i="283" s="1"/>
  <c r="V89" i="283"/>
  <c r="Z89" i="283"/>
  <c r="T89" i="283"/>
  <c r="K110" i="283"/>
  <c r="M110" i="283"/>
  <c r="K89" i="283"/>
  <c r="K103" i="283" s="1"/>
  <c r="K108" i="283" s="1"/>
  <c r="N110" i="283"/>
  <c r="R83" i="283"/>
  <c r="M89" i="283"/>
  <c r="Q89" i="283"/>
  <c r="Q103" i="283" s="1"/>
  <c r="Q108" i="283" s="1"/>
  <c r="R89" i="283"/>
  <c r="Q110" i="283"/>
  <c r="S89" i="283"/>
  <c r="U89" i="283"/>
  <c r="J83" i="283"/>
  <c r="J103" i="283"/>
  <c r="J108" i="283" s="1"/>
  <c r="AA91" i="283"/>
  <c r="AA109" i="283" s="1"/>
  <c r="AB91" i="283"/>
  <c r="AB109" i="283" s="1"/>
  <c r="Q109" i="283"/>
  <c r="G91" i="283"/>
  <c r="G109" i="283" s="1"/>
  <c r="AC91" i="283"/>
  <c r="AC109" i="283" s="1"/>
  <c r="H91" i="283"/>
  <c r="Z103" i="283"/>
  <c r="Z108" i="283" s="1"/>
  <c r="L109" i="283"/>
  <c r="N109" i="283"/>
  <c r="P109" i="283"/>
  <c r="T103" i="283"/>
  <c r="T108" i="283" s="1"/>
  <c r="F103" i="283"/>
  <c r="F108" i="283" s="1"/>
  <c r="O109" i="283"/>
  <c r="V108" i="283"/>
  <c r="H103" i="283"/>
  <c r="H108" i="283" s="1"/>
  <c r="S83" i="283"/>
  <c r="S110" i="283"/>
  <c r="S91" i="283"/>
  <c r="S109" i="283" s="1"/>
  <c r="AF62" i="283"/>
  <c r="P89" i="283"/>
  <c r="P103" i="283" s="1"/>
  <c r="P108" i="283" s="1"/>
  <c r="P83" i="283"/>
  <c r="AH62" i="283"/>
  <c r="W110" i="283"/>
  <c r="L65" i="283"/>
  <c r="B83" i="283"/>
  <c r="X110" i="283"/>
  <c r="M65" i="283"/>
  <c r="P110" i="283"/>
  <c r="C83" i="283"/>
  <c r="Y110" i="283"/>
  <c r="I83" i="283"/>
  <c r="AC83" i="283"/>
  <c r="N65" i="283"/>
  <c r="N99" i="283" s="1"/>
  <c r="F83" i="283"/>
  <c r="Z83" i="283"/>
  <c r="F109" i="283"/>
  <c r="AI61" i="283"/>
  <c r="T91" i="283"/>
  <c r="T109" i="283" s="1"/>
  <c r="T110" i="283"/>
  <c r="T83" i="283"/>
  <c r="O89" i="283"/>
  <c r="W103" i="283"/>
  <c r="W108" i="283" s="1"/>
  <c r="U91" i="283"/>
  <c r="U109" i="283" s="1"/>
  <c r="U110" i="283"/>
  <c r="U83" i="283"/>
  <c r="H109" i="283"/>
  <c r="N89" i="283"/>
  <c r="I103" i="283"/>
  <c r="I108" i="283" s="1"/>
  <c r="AG62" i="283"/>
  <c r="V110" i="283"/>
  <c r="V83" i="283"/>
  <c r="O110" i="283"/>
  <c r="O65" i="283"/>
  <c r="O99" i="283" s="1"/>
  <c r="I109" i="283"/>
  <c r="Q83" i="283"/>
  <c r="Z110" i="283"/>
  <c r="W83" i="283"/>
  <c r="G110" i="283"/>
  <c r="AA110" i="283"/>
  <c r="AF63" i="283"/>
  <c r="X83" i="283"/>
  <c r="H110" i="283"/>
  <c r="AB110" i="283"/>
  <c r="F110" i="283"/>
  <c r="AG63" i="283"/>
  <c r="Y83" i="283"/>
  <c r="R91" i="283"/>
  <c r="R109" i="283" s="1"/>
  <c r="AA89" i="282"/>
  <c r="Y65" i="282"/>
  <c r="Y99" i="282" s="1"/>
  <c r="Y109" i="282"/>
  <c r="W109" i="282"/>
  <c r="AG63" i="282"/>
  <c r="U65" i="282"/>
  <c r="U99" i="282" s="1"/>
  <c r="AF64" i="282"/>
  <c r="U109" i="282"/>
  <c r="T109" i="282"/>
  <c r="S109" i="282"/>
  <c r="R65" i="282"/>
  <c r="R99" i="282" s="1"/>
  <c r="Q109" i="282"/>
  <c r="O65" i="282"/>
  <c r="O99" i="282" s="1"/>
  <c r="L109" i="282"/>
  <c r="K109" i="282"/>
  <c r="J109" i="282"/>
  <c r="I109" i="282"/>
  <c r="H109" i="282"/>
  <c r="H89" i="282"/>
  <c r="G89" i="282"/>
  <c r="F89" i="282"/>
  <c r="G109" i="282"/>
  <c r="F109" i="282"/>
  <c r="AC109" i="282"/>
  <c r="X109" i="282"/>
  <c r="Z110" i="282"/>
  <c r="Q89" i="282"/>
  <c r="Q103" i="282" s="1"/>
  <c r="Q108" i="282" s="1"/>
  <c r="N109" i="282"/>
  <c r="AC89" i="282"/>
  <c r="AC103" i="282" s="1"/>
  <c r="AC108" i="282" s="1"/>
  <c r="S89" i="282"/>
  <c r="J89" i="282"/>
  <c r="J103" i="282" s="1"/>
  <c r="J108" i="282" s="1"/>
  <c r="M83" i="282"/>
  <c r="P103" i="282"/>
  <c r="P108" i="282" s="1"/>
  <c r="H110" i="282"/>
  <c r="AB89" i="282"/>
  <c r="AB103" i="282" s="1"/>
  <c r="AB108" i="282" s="1"/>
  <c r="R89" i="282"/>
  <c r="R103" i="282" s="1"/>
  <c r="R108" i="282" s="1"/>
  <c r="I89" i="282"/>
  <c r="T89" i="282"/>
  <c r="T103" i="282" s="1"/>
  <c r="T108" i="282" s="1"/>
  <c r="K89" i="282"/>
  <c r="K103" i="282" s="1"/>
  <c r="K108" i="282" s="1"/>
  <c r="F110" i="282"/>
  <c r="N89" i="282"/>
  <c r="N103" i="282" s="1"/>
  <c r="N108" i="282" s="1"/>
  <c r="L89" i="282"/>
  <c r="M89" i="282"/>
  <c r="O103" i="282"/>
  <c r="O108" i="282" s="1"/>
  <c r="Y89" i="282"/>
  <c r="I65" i="282"/>
  <c r="I99" i="282" s="1"/>
  <c r="P109" i="282"/>
  <c r="O83" i="282"/>
  <c r="V110" i="282"/>
  <c r="V89" i="282"/>
  <c r="Q83" i="282"/>
  <c r="X110" i="282"/>
  <c r="X89" i="282"/>
  <c r="X103" i="282" s="1"/>
  <c r="X108" i="282" s="1"/>
  <c r="Y103" i="282"/>
  <c r="Y108" i="282" s="1"/>
  <c r="S83" i="282"/>
  <c r="V65" i="282"/>
  <c r="V99" i="282" s="1"/>
  <c r="H103" i="282"/>
  <c r="H108" i="282" s="1"/>
  <c r="Z109" i="282"/>
  <c r="B83" i="282"/>
  <c r="Y83" i="282"/>
  <c r="P110" i="282"/>
  <c r="Z83" i="282"/>
  <c r="Q110" i="282"/>
  <c r="G83" i="282"/>
  <c r="AA83" i="282"/>
  <c r="R110" i="282"/>
  <c r="H83" i="282"/>
  <c r="AB83" i="282"/>
  <c r="S110" i="282"/>
  <c r="F103" i="282"/>
  <c r="F108" i="282" s="1"/>
  <c r="G103" i="282"/>
  <c r="G108" i="282" s="1"/>
  <c r="O110" i="282"/>
  <c r="T110" i="282"/>
  <c r="J83" i="282"/>
  <c r="N83" i="282"/>
  <c r="P83" i="282"/>
  <c r="R83" i="282"/>
  <c r="AA103" i="282"/>
  <c r="AA108" i="282" s="1"/>
  <c r="O109" i="282"/>
  <c r="U110" i="282"/>
  <c r="U89" i="282"/>
  <c r="U103" i="282" s="1"/>
  <c r="U108" i="282" s="1"/>
  <c r="W89" i="282"/>
  <c r="W103" i="282" s="1"/>
  <c r="W108" i="282" s="1"/>
  <c r="W110" i="282"/>
  <c r="AA109" i="282"/>
  <c r="F83" i="282"/>
  <c r="AC83" i="282"/>
  <c r="L110" i="282"/>
  <c r="AH62" i="282"/>
  <c r="Z103" i="282"/>
  <c r="Z108" i="282" s="1"/>
  <c r="N110" i="282"/>
  <c r="X83" i="282"/>
  <c r="C83" i="282"/>
  <c r="AB109" i="282"/>
  <c r="K83" i="282"/>
  <c r="M110" i="282"/>
  <c r="M91" i="282"/>
  <c r="M109" i="282" s="1"/>
  <c r="AI36" i="282"/>
  <c r="L60" i="282"/>
  <c r="AH54" i="282"/>
  <c r="AF54" i="282"/>
  <c r="AG54" i="282"/>
  <c r="AH64" i="282"/>
  <c r="U83" i="282"/>
  <c r="W83" i="282"/>
  <c r="AF62" i="282"/>
  <c r="AI61" i="282"/>
  <c r="AG62" i="282"/>
  <c r="G110" i="282"/>
  <c r="AA110" i="282"/>
  <c r="AB110" i="282"/>
  <c r="Y110" i="282"/>
  <c r="AF56" i="282"/>
  <c r="I110" i="282"/>
  <c r="AC110" i="282"/>
  <c r="AF51" i="282"/>
  <c r="AG56" i="282"/>
  <c r="AG64" i="282"/>
  <c r="J110" i="282"/>
  <c r="AG51" i="282"/>
  <c r="V91" i="282"/>
  <c r="V109" i="282" s="1"/>
  <c r="K110" i="282"/>
  <c r="AE505" i="260"/>
  <c r="W505" i="260"/>
  <c r="F80" i="281"/>
  <c r="F76" i="281"/>
  <c r="F65" i="281"/>
  <c r="F60" i="281"/>
  <c r="F34" i="281"/>
  <c r="F31" i="281"/>
  <c r="F93" i="281" s="1"/>
  <c r="F25" i="281"/>
  <c r="F22" i="281"/>
  <c r="F89" i="281" s="1"/>
  <c r="F17" i="281"/>
  <c r="F91" i="281" s="1"/>
  <c r="AC129" i="281"/>
  <c r="AB129" i="281"/>
  <c r="AA129" i="281"/>
  <c r="Z129" i="281"/>
  <c r="Y129" i="281"/>
  <c r="X129" i="281"/>
  <c r="W129" i="281"/>
  <c r="V129" i="281"/>
  <c r="U129" i="281"/>
  <c r="T129" i="281"/>
  <c r="S129" i="281"/>
  <c r="R129" i="281"/>
  <c r="Q129" i="281"/>
  <c r="P129" i="281"/>
  <c r="O129" i="281"/>
  <c r="N129" i="281"/>
  <c r="M129" i="281"/>
  <c r="L129" i="281"/>
  <c r="K129" i="281"/>
  <c r="J129" i="281"/>
  <c r="I129" i="281"/>
  <c r="H129" i="281"/>
  <c r="G129" i="281"/>
  <c r="F129" i="281"/>
  <c r="AC107" i="281"/>
  <c r="AB107" i="281"/>
  <c r="AA107" i="281"/>
  <c r="Z107" i="281"/>
  <c r="Y107" i="281"/>
  <c r="X107" i="281"/>
  <c r="W107" i="281"/>
  <c r="V107" i="281"/>
  <c r="U107" i="281"/>
  <c r="T107" i="281"/>
  <c r="S107" i="281"/>
  <c r="R107" i="281"/>
  <c r="Q107" i="281"/>
  <c r="P107" i="281"/>
  <c r="O107" i="281"/>
  <c r="N107" i="281"/>
  <c r="M107" i="281"/>
  <c r="L107" i="281"/>
  <c r="K107" i="281"/>
  <c r="J107" i="281"/>
  <c r="I107" i="281"/>
  <c r="H107" i="281"/>
  <c r="G107" i="281"/>
  <c r="F107" i="281"/>
  <c r="AC102" i="281"/>
  <c r="AB102" i="281"/>
  <c r="AA102" i="281"/>
  <c r="Z102" i="281"/>
  <c r="Y102" i="281"/>
  <c r="X102" i="281"/>
  <c r="W102" i="281"/>
  <c r="V102" i="281"/>
  <c r="U102" i="281"/>
  <c r="T102" i="281"/>
  <c r="S102" i="281"/>
  <c r="R102" i="281"/>
  <c r="Q102" i="281"/>
  <c r="P102" i="281"/>
  <c r="O102" i="281"/>
  <c r="N102" i="281"/>
  <c r="M102" i="281"/>
  <c r="L102" i="281"/>
  <c r="K102" i="281"/>
  <c r="J102" i="281"/>
  <c r="I102" i="281"/>
  <c r="H102" i="281"/>
  <c r="G102" i="281"/>
  <c r="F102" i="281"/>
  <c r="AA100" i="281"/>
  <c r="T93" i="281"/>
  <c r="AC80" i="281"/>
  <c r="AC101" i="281" s="1"/>
  <c r="AB80" i="281"/>
  <c r="AB101" i="281" s="1"/>
  <c r="AA80" i="281"/>
  <c r="AA101" i="281" s="1"/>
  <c r="Z80" i="281"/>
  <c r="Z101" i="281" s="1"/>
  <c r="Y80" i="281"/>
  <c r="Y101" i="281" s="1"/>
  <c r="X80" i="281"/>
  <c r="X101" i="281" s="1"/>
  <c r="W80" i="281"/>
  <c r="W101" i="281" s="1"/>
  <c r="V80" i="281"/>
  <c r="V101" i="281" s="1"/>
  <c r="U80" i="281"/>
  <c r="U101" i="281" s="1"/>
  <c r="T80" i="281"/>
  <c r="T101" i="281" s="1"/>
  <c r="S80" i="281"/>
  <c r="S101" i="281" s="1"/>
  <c r="R80" i="281"/>
  <c r="R101" i="281" s="1"/>
  <c r="Q80" i="281"/>
  <c r="Q101" i="281" s="1"/>
  <c r="P80" i="281"/>
  <c r="P101" i="281" s="1"/>
  <c r="O80" i="281"/>
  <c r="O101" i="281" s="1"/>
  <c r="N80" i="281"/>
  <c r="N101" i="281" s="1"/>
  <c r="M80" i="281"/>
  <c r="M101" i="281" s="1"/>
  <c r="L80" i="281"/>
  <c r="L101" i="281" s="1"/>
  <c r="K80" i="281"/>
  <c r="K101" i="281" s="1"/>
  <c r="J80" i="281"/>
  <c r="J101" i="281" s="1"/>
  <c r="I80" i="281"/>
  <c r="I101" i="281" s="1"/>
  <c r="H80" i="281"/>
  <c r="H101" i="281" s="1"/>
  <c r="G80" i="281"/>
  <c r="G101" i="281" s="1"/>
  <c r="F101" i="281"/>
  <c r="C80" i="281"/>
  <c r="B80" i="281"/>
  <c r="B25" i="281" s="1"/>
  <c r="AH79" i="281"/>
  <c r="AG79" i="281"/>
  <c r="AF79" i="281"/>
  <c r="AH78" i="281"/>
  <c r="AG78" i="281"/>
  <c r="AF78" i="281"/>
  <c r="AI77" i="281"/>
  <c r="AC76" i="281"/>
  <c r="AC100" i="281" s="1"/>
  <c r="AB76" i="281"/>
  <c r="AB100" i="281" s="1"/>
  <c r="AA76" i="281"/>
  <c r="Z76" i="281"/>
  <c r="Z100" i="281" s="1"/>
  <c r="Y76" i="281"/>
  <c r="Y100" i="281" s="1"/>
  <c r="X76" i="281"/>
  <c r="X100" i="281" s="1"/>
  <c r="W76" i="281"/>
  <c r="W100" i="281" s="1"/>
  <c r="V76" i="281"/>
  <c r="V100" i="281" s="1"/>
  <c r="U76" i="281"/>
  <c r="U100" i="281" s="1"/>
  <c r="T76" i="281"/>
  <c r="T100" i="281" s="1"/>
  <c r="S76" i="281"/>
  <c r="S100" i="281" s="1"/>
  <c r="R76" i="281"/>
  <c r="R100" i="281" s="1"/>
  <c r="Q76" i="281"/>
  <c r="Q100" i="281" s="1"/>
  <c r="P76" i="281"/>
  <c r="P100" i="281" s="1"/>
  <c r="O76" i="281"/>
  <c r="O100" i="281" s="1"/>
  <c r="N76" i="281"/>
  <c r="N100" i="281" s="1"/>
  <c r="M76" i="281"/>
  <c r="M100" i="281" s="1"/>
  <c r="L76" i="281"/>
  <c r="L100" i="281" s="1"/>
  <c r="K76" i="281"/>
  <c r="K100" i="281" s="1"/>
  <c r="J76" i="281"/>
  <c r="J100" i="281" s="1"/>
  <c r="I76" i="281"/>
  <c r="I100" i="281" s="1"/>
  <c r="H76" i="281"/>
  <c r="H100" i="281" s="1"/>
  <c r="G76" i="281"/>
  <c r="G100" i="281" s="1"/>
  <c r="F100" i="281"/>
  <c r="C76" i="281"/>
  <c r="B76" i="281"/>
  <c r="AH75" i="281"/>
  <c r="AG75" i="281"/>
  <c r="AF75" i="281"/>
  <c r="AH74" i="281"/>
  <c r="AG74" i="281"/>
  <c r="AF74" i="281"/>
  <c r="AH73" i="281"/>
  <c r="AG73" i="281"/>
  <c r="AF73" i="281"/>
  <c r="AH72" i="281"/>
  <c r="AG72" i="281"/>
  <c r="AF72" i="281"/>
  <c r="AH71" i="281"/>
  <c r="AG71" i="281"/>
  <c r="AF71" i="281"/>
  <c r="AH70" i="281"/>
  <c r="AG70" i="281"/>
  <c r="AF70" i="281"/>
  <c r="AH69" i="281"/>
  <c r="AG69" i="281"/>
  <c r="AF69" i="281"/>
  <c r="AH68" i="281"/>
  <c r="AG68" i="281"/>
  <c r="AF68" i="281"/>
  <c r="AH67" i="281"/>
  <c r="AG67" i="281"/>
  <c r="AF67" i="281"/>
  <c r="AI66" i="281"/>
  <c r="AC65" i="281"/>
  <c r="AC99" i="281" s="1"/>
  <c r="K65" i="281"/>
  <c r="K99" i="281" s="1"/>
  <c r="C65" i="281"/>
  <c r="AH64" i="281"/>
  <c r="J65" i="281"/>
  <c r="I65" i="281"/>
  <c r="I99" i="281" s="1"/>
  <c r="H65" i="281"/>
  <c r="H99" i="281" s="1"/>
  <c r="AG64" i="281"/>
  <c r="AF64" i="281"/>
  <c r="AH63" i="281"/>
  <c r="AG63" i="281"/>
  <c r="AB65" i="281"/>
  <c r="AB99" i="281" s="1"/>
  <c r="AA65" i="281"/>
  <c r="AA99" i="281" s="1"/>
  <c r="Z65" i="281"/>
  <c r="Z99" i="281" s="1"/>
  <c r="Y65" i="281"/>
  <c r="Y99" i="281" s="1"/>
  <c r="X65" i="281"/>
  <c r="X99" i="281" s="1"/>
  <c r="AG62" i="281"/>
  <c r="V65" i="281"/>
  <c r="V99" i="281" s="1"/>
  <c r="U65" i="281"/>
  <c r="U99" i="281" s="1"/>
  <c r="T65" i="281"/>
  <c r="T99" i="281" s="1"/>
  <c r="S65" i="281"/>
  <c r="S99" i="281" s="1"/>
  <c r="R65" i="281"/>
  <c r="R99" i="281" s="1"/>
  <c r="Q65" i="281"/>
  <c r="Q99" i="281" s="1"/>
  <c r="P65" i="281"/>
  <c r="P99" i="281" s="1"/>
  <c r="O65" i="281"/>
  <c r="O99" i="281" s="1"/>
  <c r="N65" i="281"/>
  <c r="M65" i="281"/>
  <c r="L65" i="281"/>
  <c r="AH62" i="281"/>
  <c r="AC60" i="281"/>
  <c r="AC98" i="281" s="1"/>
  <c r="AB60" i="281"/>
  <c r="AB98" i="281" s="1"/>
  <c r="AA60" i="281"/>
  <c r="AA98" i="281" s="1"/>
  <c r="Z60" i="281"/>
  <c r="Z98" i="281" s="1"/>
  <c r="Y60" i="281"/>
  <c r="Y98" i="281" s="1"/>
  <c r="X60" i="281"/>
  <c r="X98" i="281" s="1"/>
  <c r="W60" i="281"/>
  <c r="W98" i="281" s="1"/>
  <c r="V60" i="281"/>
  <c r="V98" i="281" s="1"/>
  <c r="U60" i="281"/>
  <c r="U98" i="281" s="1"/>
  <c r="T60" i="281"/>
  <c r="T98" i="281" s="1"/>
  <c r="S60" i="281"/>
  <c r="S98" i="281" s="1"/>
  <c r="R60" i="281"/>
  <c r="R98" i="281" s="1"/>
  <c r="Q60" i="281"/>
  <c r="Q98" i="281" s="1"/>
  <c r="P60" i="281"/>
  <c r="P98" i="281" s="1"/>
  <c r="O60" i="281"/>
  <c r="O98" i="281" s="1"/>
  <c r="N60" i="281"/>
  <c r="N98" i="281" s="1"/>
  <c r="M60" i="281"/>
  <c r="M98" i="281" s="1"/>
  <c r="L60" i="281"/>
  <c r="L98" i="281" s="1"/>
  <c r="K60" i="281"/>
  <c r="K98" i="281" s="1"/>
  <c r="J60" i="281"/>
  <c r="J98" i="281" s="1"/>
  <c r="I60" i="281"/>
  <c r="I98" i="281" s="1"/>
  <c r="H60" i="281"/>
  <c r="H98" i="281" s="1"/>
  <c r="G60" i="281"/>
  <c r="G98" i="281" s="1"/>
  <c r="C60" i="281"/>
  <c r="B60" i="281"/>
  <c r="B65" i="281" s="1"/>
  <c r="AH59" i="281"/>
  <c r="AG59" i="281"/>
  <c r="AF59" i="281"/>
  <c r="AH58" i="281"/>
  <c r="AG58" i="281"/>
  <c r="AF58" i="281"/>
  <c r="AH57" i="281"/>
  <c r="AG57" i="281"/>
  <c r="AF57" i="281"/>
  <c r="AH56" i="281"/>
  <c r="AG56" i="281"/>
  <c r="AF56" i="281"/>
  <c r="AH55" i="281"/>
  <c r="AG55" i="281"/>
  <c r="AF55" i="281"/>
  <c r="AH54" i="281"/>
  <c r="AG54" i="281"/>
  <c r="AF54" i="281"/>
  <c r="AH53" i="281"/>
  <c r="AG53" i="281"/>
  <c r="AF53" i="281"/>
  <c r="AH52" i="281"/>
  <c r="AG52" i="281"/>
  <c r="AF52" i="281"/>
  <c r="AH51" i="281"/>
  <c r="AG51" i="281"/>
  <c r="AF51" i="281"/>
  <c r="AG50" i="281"/>
  <c r="AH50" i="281"/>
  <c r="AH49" i="281"/>
  <c r="AG49" i="281"/>
  <c r="AF49" i="281"/>
  <c r="AH48" i="281"/>
  <c r="AG48" i="281"/>
  <c r="AF48" i="281"/>
  <c r="AG47" i="281"/>
  <c r="AI36" i="281"/>
  <c r="AH46" i="281"/>
  <c r="AG46" i="281"/>
  <c r="AF46" i="281"/>
  <c r="AH45" i="281"/>
  <c r="AG45" i="281"/>
  <c r="AF45" i="281"/>
  <c r="AH44" i="281"/>
  <c r="AG44" i="281"/>
  <c r="AF44" i="281"/>
  <c r="AH43" i="281"/>
  <c r="AG43" i="281"/>
  <c r="AF43" i="281"/>
  <c r="AH42" i="281"/>
  <c r="AG42" i="281"/>
  <c r="AF42" i="281"/>
  <c r="AH41" i="281"/>
  <c r="AG41" i="281"/>
  <c r="AF41" i="281"/>
  <c r="AH40" i="281"/>
  <c r="AG40" i="281"/>
  <c r="AF40" i="281"/>
  <c r="AH39" i="281"/>
  <c r="AG39" i="281"/>
  <c r="AF39" i="281"/>
  <c r="AH38" i="281"/>
  <c r="AG38" i="281"/>
  <c r="AF38" i="281"/>
  <c r="AH37" i="281"/>
  <c r="AG37" i="281"/>
  <c r="AF37" i="281"/>
  <c r="AH36" i="281"/>
  <c r="AG36" i="281"/>
  <c r="AF36" i="281"/>
  <c r="AI35" i="281"/>
  <c r="AC34" i="281"/>
  <c r="AC96" i="281" s="1"/>
  <c r="AB34" i="281"/>
  <c r="AB96" i="281" s="1"/>
  <c r="AA34" i="281"/>
  <c r="AA96" i="281" s="1"/>
  <c r="Z34" i="281"/>
  <c r="Z96" i="281" s="1"/>
  <c r="Y34" i="281"/>
  <c r="Y96" i="281" s="1"/>
  <c r="X34" i="281"/>
  <c r="X96" i="281" s="1"/>
  <c r="W34" i="281"/>
  <c r="W96" i="281" s="1"/>
  <c r="V34" i="281"/>
  <c r="V96" i="281" s="1"/>
  <c r="U34" i="281"/>
  <c r="U96" i="281" s="1"/>
  <c r="T34" i="281"/>
  <c r="T96" i="281" s="1"/>
  <c r="S34" i="281"/>
  <c r="S96" i="281" s="1"/>
  <c r="R34" i="281"/>
  <c r="R96" i="281" s="1"/>
  <c r="Q34" i="281"/>
  <c r="Q96" i="281" s="1"/>
  <c r="P34" i="281"/>
  <c r="P96" i="281" s="1"/>
  <c r="O34" i="281"/>
  <c r="O96" i="281" s="1"/>
  <c r="N34" i="281"/>
  <c r="N96" i="281" s="1"/>
  <c r="M34" i="281"/>
  <c r="M96" i="281" s="1"/>
  <c r="L34" i="281"/>
  <c r="L96" i="281" s="1"/>
  <c r="K34" i="281"/>
  <c r="K96" i="281" s="1"/>
  <c r="J34" i="281"/>
  <c r="J96" i="281" s="1"/>
  <c r="I34" i="281"/>
  <c r="I96" i="281" s="1"/>
  <c r="H34" i="281"/>
  <c r="H96" i="281" s="1"/>
  <c r="G34" i="281"/>
  <c r="G96" i="281" s="1"/>
  <c r="F96" i="281"/>
  <c r="C34" i="281"/>
  <c r="B34" i="281"/>
  <c r="AH33" i="281"/>
  <c r="AG33" i="281"/>
  <c r="AF33" i="281"/>
  <c r="AI32" i="281"/>
  <c r="AC31" i="281"/>
  <c r="AC93" i="281" s="1"/>
  <c r="AB31" i="281"/>
  <c r="AB93" i="281" s="1"/>
  <c r="AA31" i="281"/>
  <c r="AA93" i="281" s="1"/>
  <c r="Z31" i="281"/>
  <c r="Z93" i="281" s="1"/>
  <c r="Y31" i="281"/>
  <c r="Y93" i="281" s="1"/>
  <c r="X31" i="281"/>
  <c r="X93" i="281" s="1"/>
  <c r="W31" i="281"/>
  <c r="W93" i="281" s="1"/>
  <c r="V31" i="281"/>
  <c r="V93" i="281" s="1"/>
  <c r="U31" i="281"/>
  <c r="U93" i="281" s="1"/>
  <c r="T31" i="281"/>
  <c r="S31" i="281"/>
  <c r="S93" i="281" s="1"/>
  <c r="R31" i="281"/>
  <c r="R93" i="281" s="1"/>
  <c r="Q31" i="281"/>
  <c r="Q93" i="281" s="1"/>
  <c r="P31" i="281"/>
  <c r="P93" i="281" s="1"/>
  <c r="O31" i="281"/>
  <c r="O93" i="281" s="1"/>
  <c r="N31" i="281"/>
  <c r="N93" i="281" s="1"/>
  <c r="M31" i="281"/>
  <c r="M93" i="281" s="1"/>
  <c r="L31" i="281"/>
  <c r="L93" i="281" s="1"/>
  <c r="K31" i="281"/>
  <c r="K93" i="281" s="1"/>
  <c r="J31" i="281"/>
  <c r="J93" i="281" s="1"/>
  <c r="I31" i="281"/>
  <c r="I93" i="281" s="1"/>
  <c r="H31" i="281"/>
  <c r="H93" i="281" s="1"/>
  <c r="G31" i="281"/>
  <c r="G93" i="281" s="1"/>
  <c r="C31" i="281"/>
  <c r="B31" i="281"/>
  <c r="AI28" i="281"/>
  <c r="AH28" i="281"/>
  <c r="AG28" i="281"/>
  <c r="AF28" i="281"/>
  <c r="AH27" i="281"/>
  <c r="AG27" i="281"/>
  <c r="AF27" i="281"/>
  <c r="AI26" i="281"/>
  <c r="AB25" i="281"/>
  <c r="AA25" i="281"/>
  <c r="Z25" i="281"/>
  <c r="Y25" i="281"/>
  <c r="X25" i="281"/>
  <c r="W25" i="281"/>
  <c r="V25" i="281"/>
  <c r="U25" i="281"/>
  <c r="T25" i="281"/>
  <c r="S25" i="281"/>
  <c r="R25" i="281"/>
  <c r="Q25" i="281"/>
  <c r="P25" i="281"/>
  <c r="O25" i="281"/>
  <c r="N25" i="281"/>
  <c r="M25" i="281"/>
  <c r="L25" i="281"/>
  <c r="K25" i="281"/>
  <c r="J25" i="281"/>
  <c r="I25" i="281"/>
  <c r="H25" i="281"/>
  <c r="G25" i="281"/>
  <c r="C25" i="281"/>
  <c r="AH24" i="281"/>
  <c r="AG24" i="281"/>
  <c r="AF24" i="281"/>
  <c r="AI23" i="281"/>
  <c r="AC22" i="281"/>
  <c r="AB22" i="281"/>
  <c r="AA89" i="281"/>
  <c r="Z22" i="281"/>
  <c r="Z89" i="281" s="1"/>
  <c r="Y22" i="281"/>
  <c r="X22" i="281"/>
  <c r="X89" i="281" s="1"/>
  <c r="W22" i="281"/>
  <c r="V22" i="281"/>
  <c r="U22" i="281"/>
  <c r="T22" i="281"/>
  <c r="S22" i="281"/>
  <c r="R22" i="281"/>
  <c r="Q22" i="281"/>
  <c r="P22" i="281"/>
  <c r="O22" i="281"/>
  <c r="N22" i="281"/>
  <c r="M22" i="281"/>
  <c r="L22" i="281"/>
  <c r="K22" i="281"/>
  <c r="J22" i="281"/>
  <c r="I22" i="281"/>
  <c r="H22" i="281"/>
  <c r="C22" i="281"/>
  <c r="B22" i="281"/>
  <c r="AH21" i="281"/>
  <c r="AG21" i="281"/>
  <c r="AF21" i="281"/>
  <c r="AH20" i="281"/>
  <c r="AG20" i="281"/>
  <c r="AF20" i="281"/>
  <c r="AH19" i="281"/>
  <c r="AG19" i="281"/>
  <c r="AF19" i="281"/>
  <c r="AI18" i="281"/>
  <c r="AC17" i="281"/>
  <c r="AC91" i="281" s="1"/>
  <c r="AB17" i="281"/>
  <c r="AB91" i="281" s="1"/>
  <c r="AA17" i="281"/>
  <c r="AA91" i="281" s="1"/>
  <c r="Z17" i="281"/>
  <c r="Z91" i="281" s="1"/>
  <c r="Y17" i="281"/>
  <c r="Y91" i="281" s="1"/>
  <c r="X17" i="281"/>
  <c r="W17" i="281"/>
  <c r="W91" i="281" s="1"/>
  <c r="V17" i="281"/>
  <c r="V91" i="281" s="1"/>
  <c r="U17" i="281"/>
  <c r="U91" i="281" s="1"/>
  <c r="T17" i="281"/>
  <c r="S17" i="281"/>
  <c r="R17" i="281"/>
  <c r="R91" i="281" s="1"/>
  <c r="Q17" i="281"/>
  <c r="P17" i="281"/>
  <c r="P91" i="281" s="1"/>
  <c r="O17" i="281"/>
  <c r="N17" i="281"/>
  <c r="N91" i="281" s="1"/>
  <c r="M17" i="281"/>
  <c r="M91" i="281" s="1"/>
  <c r="L17" i="281"/>
  <c r="L91" i="281" s="1"/>
  <c r="K17" i="281"/>
  <c r="K91" i="281" s="1"/>
  <c r="J17" i="281"/>
  <c r="J91" i="281" s="1"/>
  <c r="I17" i="281"/>
  <c r="I91" i="281" s="1"/>
  <c r="H17" i="281"/>
  <c r="H91" i="281" s="1"/>
  <c r="G17" i="281"/>
  <c r="G91" i="281" s="1"/>
  <c r="C17" i="281"/>
  <c r="C83" i="281" s="1"/>
  <c r="B17" i="281"/>
  <c r="B83" i="281" s="1"/>
  <c r="AH16" i="281"/>
  <c r="AG16" i="281"/>
  <c r="AF16" i="281"/>
  <c r="AH15" i="281"/>
  <c r="AG15" i="281"/>
  <c r="AF15" i="281"/>
  <c r="AH14" i="281"/>
  <c r="AG14" i="281"/>
  <c r="AF14" i="281"/>
  <c r="AH13" i="281"/>
  <c r="AG13" i="281"/>
  <c r="AF13" i="281"/>
  <c r="AI12" i="281"/>
  <c r="M9" i="281" a="1"/>
  <c r="M9" i="281" s="1"/>
  <c r="AE503" i="260"/>
  <c r="W503" i="260"/>
  <c r="AE502" i="260"/>
  <c r="W502" i="260"/>
  <c r="AB64" i="280"/>
  <c r="AB62" i="280"/>
  <c r="F859" i="88"/>
  <c r="AE501" i="260"/>
  <c r="W501" i="260"/>
  <c r="AA64" i="280"/>
  <c r="AA62" i="280"/>
  <c r="AE500" i="260"/>
  <c r="W500" i="260"/>
  <c r="Z64" i="280"/>
  <c r="Z62" i="280"/>
  <c r="F908" i="88"/>
  <c r="F906" i="88"/>
  <c r="F905" i="88"/>
  <c r="F909" i="88"/>
  <c r="F904" i="88"/>
  <c r="AE499" i="260"/>
  <c r="W499" i="260"/>
  <c r="Y64" i="280"/>
  <c r="Y62" i="280"/>
  <c r="AE498" i="260"/>
  <c r="W498" i="260"/>
  <c r="F891" i="88"/>
  <c r="X64" i="280"/>
  <c r="X62" i="280"/>
  <c r="F903" i="88"/>
  <c r="AE497" i="260"/>
  <c r="W497" i="260"/>
  <c r="W64" i="280"/>
  <c r="W62" i="280"/>
  <c r="F902" i="88"/>
  <c r="AC103" i="283" l="1"/>
  <c r="AC108" i="283" s="1"/>
  <c r="AA103" i="283"/>
  <c r="AA108" i="283" s="1"/>
  <c r="O83" i="283"/>
  <c r="O103" i="283"/>
  <c r="O108" i="283" s="1"/>
  <c r="G103" i="283"/>
  <c r="G108" i="283" s="1"/>
  <c r="N103" i="283"/>
  <c r="N108" i="283" s="1"/>
  <c r="N83" i="283"/>
  <c r="AB103" i="283"/>
  <c r="AB108" i="283" s="1"/>
  <c r="M99" i="283"/>
  <c r="M103" i="283" s="1"/>
  <c r="M108" i="283" s="1"/>
  <c r="M83" i="283"/>
  <c r="S103" i="283"/>
  <c r="S108" i="283" s="1"/>
  <c r="U103" i="283"/>
  <c r="U108" i="283" s="1"/>
  <c r="R103" i="283"/>
  <c r="R108" i="283" s="1"/>
  <c r="L99" i="283"/>
  <c r="L103" i="283" s="1"/>
  <c r="L108" i="283" s="1"/>
  <c r="L83" i="283"/>
  <c r="I103" i="282"/>
  <c r="I108" i="282" s="1"/>
  <c r="I83" i="282"/>
  <c r="V83" i="282"/>
  <c r="M103" i="282"/>
  <c r="M108" i="282" s="1"/>
  <c r="V103" i="282"/>
  <c r="V108" i="282" s="1"/>
  <c r="L98" i="282"/>
  <c r="L103" i="282" s="1"/>
  <c r="L108" i="282" s="1"/>
  <c r="L83" i="282"/>
  <c r="Y89" i="281"/>
  <c r="P89" i="281"/>
  <c r="O89" i="281"/>
  <c r="G89" i="281"/>
  <c r="R89" i="281"/>
  <c r="AB89" i="281"/>
  <c r="T110" i="281"/>
  <c r="Q89" i="281"/>
  <c r="H89" i="281"/>
  <c r="H103" i="281" s="1"/>
  <c r="H108" i="281" s="1"/>
  <c r="Z109" i="281"/>
  <c r="G109" i="281"/>
  <c r="N110" i="281"/>
  <c r="W109" i="281"/>
  <c r="Y109" i="281"/>
  <c r="AB109" i="281"/>
  <c r="V109" i="281"/>
  <c r="F109" i="281"/>
  <c r="AA109" i="281"/>
  <c r="AC109" i="281"/>
  <c r="H109" i="281"/>
  <c r="X110" i="281"/>
  <c r="I83" i="281"/>
  <c r="L110" i="281"/>
  <c r="M110" i="281"/>
  <c r="I89" i="281"/>
  <c r="I103" i="281" s="1"/>
  <c r="I108" i="281" s="1"/>
  <c r="AC89" i="281"/>
  <c r="AC103" i="281" s="1"/>
  <c r="AC108" i="281" s="1"/>
  <c r="Y103" i="281"/>
  <c r="Y108" i="281" s="1"/>
  <c r="AB83" i="281"/>
  <c r="X91" i="281"/>
  <c r="X109" i="281" s="1"/>
  <c r="K110" i="281"/>
  <c r="O110" i="281"/>
  <c r="AA83" i="281"/>
  <c r="P109" i="281"/>
  <c r="T89" i="281"/>
  <c r="K89" i="281"/>
  <c r="K103" i="281" s="1"/>
  <c r="K108" i="281" s="1"/>
  <c r="S89" i="281"/>
  <c r="S103" i="281" s="1"/>
  <c r="S108" i="281" s="1"/>
  <c r="U89" i="281"/>
  <c r="U103" i="281" s="1"/>
  <c r="U108" i="281" s="1"/>
  <c r="L89" i="281"/>
  <c r="V83" i="281"/>
  <c r="J109" i="281"/>
  <c r="Z110" i="281"/>
  <c r="AC83" i="281"/>
  <c r="V89" i="281"/>
  <c r="V103" i="281" s="1"/>
  <c r="V108" i="281" s="1"/>
  <c r="U109" i="281"/>
  <c r="I109" i="281"/>
  <c r="K109" i="281"/>
  <c r="Y110" i="281"/>
  <c r="H83" i="281"/>
  <c r="J110" i="281"/>
  <c r="K83" i="281"/>
  <c r="J89" i="281"/>
  <c r="Q110" i="281"/>
  <c r="R109" i="281"/>
  <c r="M89" i="281"/>
  <c r="M103" i="281" s="1"/>
  <c r="M108" i="281" s="1"/>
  <c r="S110" i="281"/>
  <c r="W89" i="281"/>
  <c r="W103" i="281" s="1"/>
  <c r="W108" i="281" s="1"/>
  <c r="N89" i="281"/>
  <c r="R103" i="281"/>
  <c r="R108" i="281" s="1"/>
  <c r="L109" i="281"/>
  <c r="M109" i="281"/>
  <c r="N109" i="281"/>
  <c r="J83" i="281"/>
  <c r="J99" i="281"/>
  <c r="Z103" i="281"/>
  <c r="Z108" i="281" s="1"/>
  <c r="P103" i="281"/>
  <c r="P108" i="281" s="1"/>
  <c r="L99" i="281"/>
  <c r="L83" i="281"/>
  <c r="AA103" i="281"/>
  <c r="AA108" i="281" s="1"/>
  <c r="M99" i="281"/>
  <c r="M83" i="281"/>
  <c r="AB103" i="281"/>
  <c r="AB108" i="281" s="1"/>
  <c r="N83" i="281"/>
  <c r="N99" i="281"/>
  <c r="AF47" i="281"/>
  <c r="P110" i="281"/>
  <c r="AH47" i="281"/>
  <c r="F98" i="281"/>
  <c r="O83" i="281"/>
  <c r="P83" i="281"/>
  <c r="AI61" i="281"/>
  <c r="Q83" i="281"/>
  <c r="V110" i="281"/>
  <c r="W110" i="281"/>
  <c r="X83" i="281"/>
  <c r="H110" i="281"/>
  <c r="AB110" i="281"/>
  <c r="R110" i="281"/>
  <c r="R83" i="281"/>
  <c r="O91" i="281"/>
  <c r="O109" i="281" s="1"/>
  <c r="G110" i="281"/>
  <c r="AA110" i="281"/>
  <c r="Y83" i="281"/>
  <c r="Q91" i="281"/>
  <c r="Q109" i="281" s="1"/>
  <c r="I110" i="281"/>
  <c r="AC110" i="281"/>
  <c r="S83" i="281"/>
  <c r="T83" i="281"/>
  <c r="F110" i="281"/>
  <c r="Z83" i="281"/>
  <c r="F99" i="281"/>
  <c r="AF62" i="281"/>
  <c r="S91" i="281"/>
  <c r="S109" i="281" s="1"/>
  <c r="W65" i="281"/>
  <c r="W99" i="281" s="1"/>
  <c r="AF50" i="281"/>
  <c r="T91" i="281"/>
  <c r="T109" i="281" s="1"/>
  <c r="G65" i="281"/>
  <c r="G99" i="281" s="1"/>
  <c r="U110" i="281"/>
  <c r="U83" i="281"/>
  <c r="AF63" i="281"/>
  <c r="AE496" i="260"/>
  <c r="W496" i="260"/>
  <c r="AE495" i="260"/>
  <c r="W495" i="260"/>
  <c r="V64" i="280"/>
  <c r="V62" i="280"/>
  <c r="W494" i="260"/>
  <c r="U62" i="280"/>
  <c r="U64" i="280"/>
  <c r="T64" i="280"/>
  <c r="T62" i="280"/>
  <c r="W493" i="260"/>
  <c r="S64" i="280"/>
  <c r="S62" i="280"/>
  <c r="W492" i="260"/>
  <c r="R64" i="280"/>
  <c r="R62" i="280"/>
  <c r="W491" i="260"/>
  <c r="Q64" i="280"/>
  <c r="Q62" i="280"/>
  <c r="F886" i="88"/>
  <c r="F899" i="88"/>
  <c r="F898" i="88"/>
  <c r="AE490" i="260"/>
  <c r="P63" i="280"/>
  <c r="P62" i="280"/>
  <c r="F895" i="88"/>
  <c r="F894" i="88"/>
  <c r="F893" i="88"/>
  <c r="AE489" i="260"/>
  <c r="O63" i="280"/>
  <c r="O62" i="280"/>
  <c r="F890" i="88"/>
  <c r="F892" i="88"/>
  <c r="N63" i="280"/>
  <c r="N62" i="280"/>
  <c r="F889" i="88"/>
  <c r="M63" i="280"/>
  <c r="M62" i="280"/>
  <c r="L63" i="280"/>
  <c r="L62" i="280"/>
  <c r="N103" i="281" l="1"/>
  <c r="N108" i="281" s="1"/>
  <c r="L103" i="281"/>
  <c r="L108" i="281" s="1"/>
  <c r="G103" i="281"/>
  <c r="G108" i="281" s="1"/>
  <c r="J103" i="281"/>
  <c r="J108" i="281" s="1"/>
  <c r="T103" i="281"/>
  <c r="T108" i="281" s="1"/>
  <c r="F103" i="281"/>
  <c r="F108" i="281" s="1"/>
  <c r="X103" i="281"/>
  <c r="X108" i="281" s="1"/>
  <c r="Q103" i="281"/>
  <c r="Q108" i="281" s="1"/>
  <c r="F83" i="281"/>
  <c r="O103" i="281"/>
  <c r="O108" i="281" s="1"/>
  <c r="G83" i="281"/>
  <c r="W83" i="281"/>
  <c r="F872" i="88"/>
  <c r="F873" i="88"/>
  <c r="AH63" i="280"/>
  <c r="F848" i="88"/>
  <c r="J63" i="280"/>
  <c r="J64" i="280"/>
  <c r="I64" i="280"/>
  <c r="I63" i="280"/>
  <c r="H64" i="280"/>
  <c r="H63" i="280"/>
  <c r="G64" i="280"/>
  <c r="G63" i="280"/>
  <c r="F885" i="88"/>
  <c r="F884" i="88"/>
  <c r="F64" i="280"/>
  <c r="F62" i="280"/>
  <c r="F50" i="280"/>
  <c r="F47" i="280"/>
  <c r="F870" i="88"/>
  <c r="F850" i="88"/>
  <c r="F883" i="88"/>
  <c r="F882" i="88"/>
  <c r="AC64" i="279"/>
  <c r="AC62" i="279"/>
  <c r="F881" i="88"/>
  <c r="AE478" i="260"/>
  <c r="F861" i="88"/>
  <c r="AC129" i="280"/>
  <c r="AB129" i="280"/>
  <c r="AA129" i="280"/>
  <c r="Z129" i="280"/>
  <c r="Y129" i="280"/>
  <c r="X129" i="280"/>
  <c r="W129" i="280"/>
  <c r="V129" i="280"/>
  <c r="U129" i="280"/>
  <c r="T129" i="280"/>
  <c r="S129" i="280"/>
  <c r="R129" i="280"/>
  <c r="Q129" i="280"/>
  <c r="P129" i="280"/>
  <c r="O129" i="280"/>
  <c r="N129" i="280"/>
  <c r="M129" i="280"/>
  <c r="L129" i="280"/>
  <c r="K129" i="280"/>
  <c r="J129" i="280"/>
  <c r="I129" i="280"/>
  <c r="H129" i="280"/>
  <c r="G129" i="280"/>
  <c r="F129" i="280"/>
  <c r="AC107" i="280"/>
  <c r="AB107" i="280"/>
  <c r="AA107" i="280"/>
  <c r="Z107" i="280"/>
  <c r="Y107" i="280"/>
  <c r="X107" i="280"/>
  <c r="W107" i="280"/>
  <c r="V107" i="280"/>
  <c r="U107" i="280"/>
  <c r="T107" i="280"/>
  <c r="S107" i="280"/>
  <c r="R107" i="280"/>
  <c r="Q107" i="280"/>
  <c r="P107" i="280"/>
  <c r="O107" i="280"/>
  <c r="N107" i="280"/>
  <c r="M107" i="280"/>
  <c r="L107" i="280"/>
  <c r="K107" i="280"/>
  <c r="J107" i="280"/>
  <c r="I107" i="280"/>
  <c r="H107" i="280"/>
  <c r="G107" i="280"/>
  <c r="F107" i="280"/>
  <c r="AC102" i="280"/>
  <c r="AB102" i="280"/>
  <c r="AA102" i="280"/>
  <c r="Z102" i="280"/>
  <c r="Y102" i="280"/>
  <c r="X102" i="280"/>
  <c r="W102" i="280"/>
  <c r="V102" i="280"/>
  <c r="U102" i="280"/>
  <c r="T102" i="280"/>
  <c r="S102" i="280"/>
  <c r="R102" i="280"/>
  <c r="Q102" i="280"/>
  <c r="P102" i="280"/>
  <c r="O102" i="280"/>
  <c r="N102" i="280"/>
  <c r="M102" i="280"/>
  <c r="L102" i="280"/>
  <c r="K102" i="280"/>
  <c r="J102" i="280"/>
  <c r="I102" i="280"/>
  <c r="H102" i="280"/>
  <c r="G102" i="280"/>
  <c r="F102" i="280"/>
  <c r="AC101" i="280"/>
  <c r="X101" i="280"/>
  <c r="AA100" i="280"/>
  <c r="V100" i="280"/>
  <c r="F100" i="280"/>
  <c r="M99" i="280"/>
  <c r="H99" i="280"/>
  <c r="F99" i="280"/>
  <c r="O98" i="280"/>
  <c r="W96" i="280"/>
  <c r="V96" i="280"/>
  <c r="AA93" i="280"/>
  <c r="Z93" i="280"/>
  <c r="R93" i="280"/>
  <c r="V91" i="280"/>
  <c r="AC80" i="280"/>
  <c r="AB80" i="280"/>
  <c r="AB101" i="280" s="1"/>
  <c r="AA80" i="280"/>
  <c r="AA101" i="280" s="1"/>
  <c r="Z80" i="280"/>
  <c r="Z101" i="280" s="1"/>
  <c r="Y80" i="280"/>
  <c r="Y101" i="280" s="1"/>
  <c r="X80" i="280"/>
  <c r="W80" i="280"/>
  <c r="W101" i="280" s="1"/>
  <c r="V80" i="280"/>
  <c r="V101" i="280" s="1"/>
  <c r="U80" i="280"/>
  <c r="U101" i="280" s="1"/>
  <c r="T80" i="280"/>
  <c r="T101" i="280" s="1"/>
  <c r="S80" i="280"/>
  <c r="S101" i="280" s="1"/>
  <c r="R80" i="280"/>
  <c r="R101" i="280" s="1"/>
  <c r="Q80" i="280"/>
  <c r="Q101" i="280" s="1"/>
  <c r="P80" i="280"/>
  <c r="P101" i="280" s="1"/>
  <c r="O80" i="280"/>
  <c r="O101" i="280" s="1"/>
  <c r="N80" i="280"/>
  <c r="N101" i="280" s="1"/>
  <c r="M80" i="280"/>
  <c r="M101" i="280" s="1"/>
  <c r="L80" i="280"/>
  <c r="L101" i="280" s="1"/>
  <c r="K80" i="280"/>
  <c r="K101" i="280" s="1"/>
  <c r="J80" i="280"/>
  <c r="J101" i="280" s="1"/>
  <c r="I80" i="280"/>
  <c r="I101" i="280" s="1"/>
  <c r="H80" i="280"/>
  <c r="H101" i="280" s="1"/>
  <c r="G80" i="280"/>
  <c r="G101" i="280" s="1"/>
  <c r="F80" i="280"/>
  <c r="F101" i="280" s="1"/>
  <c r="C80" i="280"/>
  <c r="B80" i="280"/>
  <c r="B25" i="280" s="1"/>
  <c r="AH79" i="280"/>
  <c r="AG79" i="280"/>
  <c r="AF79" i="280"/>
  <c r="AH78" i="280"/>
  <c r="AG78" i="280"/>
  <c r="AF78" i="280"/>
  <c r="AI77" i="280"/>
  <c r="AC76" i="280"/>
  <c r="AC100" i="280" s="1"/>
  <c r="AB76" i="280"/>
  <c r="AB100" i="280" s="1"/>
  <c r="AA76" i="280"/>
  <c r="Z76" i="280"/>
  <c r="Z100" i="280" s="1"/>
  <c r="Y76" i="280"/>
  <c r="Y100" i="280" s="1"/>
  <c r="X76" i="280"/>
  <c r="X100" i="280" s="1"/>
  <c r="W76" i="280"/>
  <c r="W100" i="280" s="1"/>
  <c r="V76" i="280"/>
  <c r="U76" i="280"/>
  <c r="U100" i="280" s="1"/>
  <c r="T76" i="280"/>
  <c r="T100" i="280" s="1"/>
  <c r="S76" i="280"/>
  <c r="S100" i="280" s="1"/>
  <c r="R76" i="280"/>
  <c r="R100" i="280" s="1"/>
  <c r="Q76" i="280"/>
  <c r="Q100" i="280" s="1"/>
  <c r="P76" i="280"/>
  <c r="P100" i="280" s="1"/>
  <c r="O76" i="280"/>
  <c r="O100" i="280" s="1"/>
  <c r="N76" i="280"/>
  <c r="N100" i="280" s="1"/>
  <c r="M76" i="280"/>
  <c r="M100" i="280" s="1"/>
  <c r="L76" i="280"/>
  <c r="L100" i="280" s="1"/>
  <c r="K76" i="280"/>
  <c r="K100" i="280" s="1"/>
  <c r="J76" i="280"/>
  <c r="J100" i="280" s="1"/>
  <c r="I76" i="280"/>
  <c r="I100" i="280" s="1"/>
  <c r="H76" i="280"/>
  <c r="H100" i="280" s="1"/>
  <c r="G76" i="280"/>
  <c r="G100" i="280" s="1"/>
  <c r="F76" i="280"/>
  <c r="C76" i="280"/>
  <c r="B76" i="280"/>
  <c r="AH75" i="280"/>
  <c r="AG75" i="280"/>
  <c r="AF75" i="280"/>
  <c r="AH74" i="280"/>
  <c r="AG74" i="280"/>
  <c r="AF74" i="280"/>
  <c r="AH73" i="280"/>
  <c r="AG73" i="280"/>
  <c r="AF73" i="280"/>
  <c r="AH72" i="280"/>
  <c r="AG72" i="280"/>
  <c r="AF72" i="280"/>
  <c r="AH71" i="280"/>
  <c r="AG71" i="280"/>
  <c r="AF71" i="280"/>
  <c r="AH70" i="280"/>
  <c r="AG70" i="280"/>
  <c r="AF70" i="280"/>
  <c r="AH69" i="280"/>
  <c r="AG69" i="280"/>
  <c r="AF69" i="280"/>
  <c r="AH68" i="280"/>
  <c r="AG68" i="280"/>
  <c r="AF68" i="280"/>
  <c r="AH67" i="280"/>
  <c r="AG67" i="280"/>
  <c r="AF67" i="280"/>
  <c r="AI66" i="280"/>
  <c r="X65" i="280"/>
  <c r="X99" i="280" s="1"/>
  <c r="W65" i="280"/>
  <c r="W99" i="280" s="1"/>
  <c r="M65" i="280"/>
  <c r="H65" i="280"/>
  <c r="F65" i="280"/>
  <c r="C65" i="280"/>
  <c r="B65" i="280"/>
  <c r="L65" i="280"/>
  <c r="J65" i="280"/>
  <c r="J99" i="280" s="1"/>
  <c r="I65" i="280"/>
  <c r="I99" i="280" s="1"/>
  <c r="AG64" i="280"/>
  <c r="U65" i="280"/>
  <c r="U99" i="280" s="1"/>
  <c r="R65" i="280"/>
  <c r="R99" i="280" s="1"/>
  <c r="Q65" i="280"/>
  <c r="Q99" i="280" s="1"/>
  <c r="P65" i="280"/>
  <c r="P99" i="280" s="1"/>
  <c r="O65" i="280"/>
  <c r="O99" i="280" s="1"/>
  <c r="N65" i="280"/>
  <c r="N99" i="280" s="1"/>
  <c r="AC65" i="280"/>
  <c r="AC99" i="280" s="1"/>
  <c r="AB65" i="280"/>
  <c r="AB99" i="280" s="1"/>
  <c r="AA65" i="280"/>
  <c r="AA99" i="280" s="1"/>
  <c r="Z65" i="280"/>
  <c r="Z99" i="280" s="1"/>
  <c r="V65" i="280"/>
  <c r="V99" i="280" s="1"/>
  <c r="T65" i="280"/>
  <c r="T99" i="280" s="1"/>
  <c r="S65" i="280"/>
  <c r="S99" i="280" s="1"/>
  <c r="AC60" i="280"/>
  <c r="AC98" i="280" s="1"/>
  <c r="AB60" i="280"/>
  <c r="AB98" i="280" s="1"/>
  <c r="AA60" i="280"/>
  <c r="AA98" i="280" s="1"/>
  <c r="Z60" i="280"/>
  <c r="Z98" i="280" s="1"/>
  <c r="Y60" i="280"/>
  <c r="Y98" i="280" s="1"/>
  <c r="X60" i="280"/>
  <c r="X98" i="280" s="1"/>
  <c r="W60" i="280"/>
  <c r="W98" i="280" s="1"/>
  <c r="V60" i="280"/>
  <c r="V98" i="280" s="1"/>
  <c r="S60" i="280"/>
  <c r="S98" i="280" s="1"/>
  <c r="Q60" i="280"/>
  <c r="Q98" i="280" s="1"/>
  <c r="P60" i="280"/>
  <c r="P98" i="280" s="1"/>
  <c r="O60" i="280"/>
  <c r="N60" i="280"/>
  <c r="N98" i="280" s="1"/>
  <c r="M60" i="280"/>
  <c r="M98" i="280" s="1"/>
  <c r="L60" i="280"/>
  <c r="L98" i="280" s="1"/>
  <c r="H60" i="280"/>
  <c r="H98" i="280" s="1"/>
  <c r="G60" i="280"/>
  <c r="G98" i="280" s="1"/>
  <c r="F60" i="280"/>
  <c r="F98" i="280" s="1"/>
  <c r="C60" i="280"/>
  <c r="B60" i="280"/>
  <c r="AH59" i="280"/>
  <c r="AG59" i="280"/>
  <c r="AF59" i="280"/>
  <c r="AH58" i="280"/>
  <c r="AG58" i="280"/>
  <c r="AF58" i="280"/>
  <c r="AH57" i="280"/>
  <c r="AG57" i="280"/>
  <c r="AF57" i="280"/>
  <c r="U60" i="280"/>
  <c r="U98" i="280" s="1"/>
  <c r="K60" i="280"/>
  <c r="J60" i="280"/>
  <c r="AF56" i="280"/>
  <c r="AH55" i="280"/>
  <c r="AG55" i="280"/>
  <c r="AF55" i="280"/>
  <c r="AH54" i="280"/>
  <c r="AG54" i="280"/>
  <c r="AH53" i="280"/>
  <c r="AG53" i="280"/>
  <c r="AF53" i="280"/>
  <c r="AH52" i="280"/>
  <c r="AG52" i="280"/>
  <c r="AF52" i="280"/>
  <c r="AG51" i="280"/>
  <c r="AH50" i="280"/>
  <c r="AG50" i="280"/>
  <c r="T60" i="280"/>
  <c r="T98" i="280" s="1"/>
  <c r="AF50" i="280"/>
  <c r="AH49" i="280"/>
  <c r="AG49" i="280"/>
  <c r="AF49" i="280"/>
  <c r="AH48" i="280"/>
  <c r="AG48" i="280"/>
  <c r="AF48" i="280"/>
  <c r="R60" i="280"/>
  <c r="R98" i="280" s="1"/>
  <c r="I60" i="280"/>
  <c r="I98" i="280" s="1"/>
  <c r="AH46" i="280"/>
  <c r="AG46" i="280"/>
  <c r="AF46" i="280"/>
  <c r="AH45" i="280"/>
  <c r="AG45" i="280"/>
  <c r="AF45" i="280"/>
  <c r="AH44" i="280"/>
  <c r="AG44" i="280"/>
  <c r="AF44" i="280"/>
  <c r="AH43" i="280"/>
  <c r="AG43" i="280"/>
  <c r="AF43" i="280"/>
  <c r="AH42" i="280"/>
  <c r="AG42" i="280"/>
  <c r="AF42" i="280"/>
  <c r="AH41" i="280"/>
  <c r="AG41" i="280"/>
  <c r="AF41" i="280"/>
  <c r="AH40" i="280"/>
  <c r="AG40" i="280"/>
  <c r="AF40" i="280"/>
  <c r="AH39" i="280"/>
  <c r="AG39" i="280"/>
  <c r="AF39" i="280"/>
  <c r="AH38" i="280"/>
  <c r="AG38" i="280"/>
  <c r="AF38" i="280"/>
  <c r="AH37" i="280"/>
  <c r="AG37" i="280"/>
  <c r="AF37" i="280"/>
  <c r="AH36" i="280"/>
  <c r="AG36" i="280"/>
  <c r="AF36" i="280"/>
  <c r="AI35" i="280"/>
  <c r="AC34" i="280"/>
  <c r="AC96" i="280" s="1"/>
  <c r="AB34" i="280"/>
  <c r="AB96" i="280" s="1"/>
  <c r="AA34" i="280"/>
  <c r="AA96" i="280" s="1"/>
  <c r="Z34" i="280"/>
  <c r="Z96" i="280" s="1"/>
  <c r="Y34" i="280"/>
  <c r="Y96" i="280" s="1"/>
  <c r="X34" i="280"/>
  <c r="X96" i="280" s="1"/>
  <c r="W34" i="280"/>
  <c r="V34" i="280"/>
  <c r="U34" i="280"/>
  <c r="U96" i="280" s="1"/>
  <c r="T34" i="280"/>
  <c r="T96" i="280" s="1"/>
  <c r="S34" i="280"/>
  <c r="S96" i="280" s="1"/>
  <c r="R34" i="280"/>
  <c r="R96" i="280" s="1"/>
  <c r="Q34" i="280"/>
  <c r="Q96" i="280" s="1"/>
  <c r="P34" i="280"/>
  <c r="P96" i="280" s="1"/>
  <c r="O34" i="280"/>
  <c r="O96" i="280" s="1"/>
  <c r="N34" i="280"/>
  <c r="N96" i="280" s="1"/>
  <c r="M34" i="280"/>
  <c r="M96" i="280" s="1"/>
  <c r="L34" i="280"/>
  <c r="L96" i="280" s="1"/>
  <c r="K34" i="280"/>
  <c r="K96" i="280" s="1"/>
  <c r="J34" i="280"/>
  <c r="J96" i="280" s="1"/>
  <c r="I34" i="280"/>
  <c r="I96" i="280" s="1"/>
  <c r="H34" i="280"/>
  <c r="H96" i="280" s="1"/>
  <c r="G34" i="280"/>
  <c r="G96" i="280" s="1"/>
  <c r="F34" i="280"/>
  <c r="F96" i="280" s="1"/>
  <c r="C34" i="280"/>
  <c r="B34" i="280"/>
  <c r="AH33" i="280"/>
  <c r="AG33" i="280"/>
  <c r="AF33" i="280"/>
  <c r="AI32" i="280"/>
  <c r="AC31" i="280"/>
  <c r="AC93" i="280" s="1"/>
  <c r="AB31" i="280"/>
  <c r="AB93" i="280" s="1"/>
  <c r="AA31" i="280"/>
  <c r="Z31" i="280"/>
  <c r="Y31" i="280"/>
  <c r="Y93" i="280" s="1"/>
  <c r="X31" i="280"/>
  <c r="X93" i="280" s="1"/>
  <c r="W31" i="280"/>
  <c r="W93" i="280" s="1"/>
  <c r="V31" i="280"/>
  <c r="V93" i="280" s="1"/>
  <c r="U31" i="280"/>
  <c r="U93" i="280" s="1"/>
  <c r="T31" i="280"/>
  <c r="T93" i="280" s="1"/>
  <c r="S31" i="280"/>
  <c r="S93" i="280" s="1"/>
  <c r="R31" i="280"/>
  <c r="Q31" i="280"/>
  <c r="Q93" i="280" s="1"/>
  <c r="P31" i="280"/>
  <c r="P93" i="280" s="1"/>
  <c r="O31" i="280"/>
  <c r="O93" i="280" s="1"/>
  <c r="N31" i="280"/>
  <c r="N93" i="280" s="1"/>
  <c r="M31" i="280"/>
  <c r="M93" i="280" s="1"/>
  <c r="L31" i="280"/>
  <c r="L93" i="280" s="1"/>
  <c r="K31" i="280"/>
  <c r="K93" i="280" s="1"/>
  <c r="J31" i="280"/>
  <c r="J93" i="280" s="1"/>
  <c r="I31" i="280"/>
  <c r="I93" i="280" s="1"/>
  <c r="H31" i="280"/>
  <c r="H93" i="280" s="1"/>
  <c r="G31" i="280"/>
  <c r="G93" i="280" s="1"/>
  <c r="F31" i="280"/>
  <c r="F93" i="280" s="1"/>
  <c r="C31" i="280"/>
  <c r="B31" i="280"/>
  <c r="AI28" i="280"/>
  <c r="AH28" i="280"/>
  <c r="AG28" i="280"/>
  <c r="AF28" i="280"/>
  <c r="AH27" i="280"/>
  <c r="AG27" i="280"/>
  <c r="AF27" i="280"/>
  <c r="AI26" i="280"/>
  <c r="AC25" i="280"/>
  <c r="AB25" i="280"/>
  <c r="AA25" i="280"/>
  <c r="Z25" i="280"/>
  <c r="Y25" i="280"/>
  <c r="X25" i="280"/>
  <c r="W25" i="280"/>
  <c r="V25" i="280"/>
  <c r="U25" i="280"/>
  <c r="T25" i="280"/>
  <c r="S25" i="280"/>
  <c r="R25" i="280"/>
  <c r="Q25" i="280"/>
  <c r="P25" i="280"/>
  <c r="O25" i="280"/>
  <c r="N25" i="280"/>
  <c r="M25" i="280"/>
  <c r="L25" i="280"/>
  <c r="K25" i="280"/>
  <c r="J25" i="280"/>
  <c r="I25" i="280"/>
  <c r="H25" i="280"/>
  <c r="G25" i="280"/>
  <c r="F25" i="280"/>
  <c r="C25" i="280"/>
  <c r="AH24" i="280"/>
  <c r="AG24" i="280"/>
  <c r="AF24" i="280"/>
  <c r="AI23" i="280"/>
  <c r="AC22" i="280"/>
  <c r="AB22" i="280"/>
  <c r="AA22" i="280"/>
  <c r="Z22" i="280"/>
  <c r="Y22" i="280"/>
  <c r="X22" i="280"/>
  <c r="W22" i="280"/>
  <c r="V22" i="280"/>
  <c r="U22" i="280"/>
  <c r="T22" i="280"/>
  <c r="T89" i="280" s="1"/>
  <c r="S22" i="280"/>
  <c r="R22" i="280"/>
  <c r="Q22" i="280"/>
  <c r="P22" i="280"/>
  <c r="O22" i="280"/>
  <c r="N22" i="280"/>
  <c r="M22" i="280"/>
  <c r="L22" i="280"/>
  <c r="K22" i="280"/>
  <c r="J22" i="280"/>
  <c r="I22" i="280"/>
  <c r="H22" i="280"/>
  <c r="G22" i="280"/>
  <c r="F22" i="280"/>
  <c r="C22" i="280"/>
  <c r="B22" i="280"/>
  <c r="AH21" i="280"/>
  <c r="AG21" i="280"/>
  <c r="AF21" i="280"/>
  <c r="AH20" i="280"/>
  <c r="AG20" i="280"/>
  <c r="AF20" i="280"/>
  <c r="AH19" i="280"/>
  <c r="AG19" i="280"/>
  <c r="AF19" i="280"/>
  <c r="AI18" i="280"/>
  <c r="AC17" i="280"/>
  <c r="AB17" i="280"/>
  <c r="AA17" i="280"/>
  <c r="Z17" i="280"/>
  <c r="Y17" i="280"/>
  <c r="X17" i="280"/>
  <c r="X91" i="280" s="1"/>
  <c r="W17" i="280"/>
  <c r="V17" i="280"/>
  <c r="U17" i="280"/>
  <c r="U91" i="280" s="1"/>
  <c r="T17" i="280"/>
  <c r="T91" i="280" s="1"/>
  <c r="S17" i="280"/>
  <c r="S91" i="280" s="1"/>
  <c r="R17" i="280"/>
  <c r="Q17" i="280"/>
  <c r="P17" i="280"/>
  <c r="O17" i="280"/>
  <c r="O91" i="280" s="1"/>
  <c r="N17" i="280"/>
  <c r="N91" i="280" s="1"/>
  <c r="M17" i="280"/>
  <c r="L17" i="280"/>
  <c r="K17" i="280"/>
  <c r="J17" i="280"/>
  <c r="I17" i="280"/>
  <c r="H17" i="280"/>
  <c r="G17" i="280"/>
  <c r="G91" i="280" s="1"/>
  <c r="F17" i="280"/>
  <c r="C17" i="280"/>
  <c r="C83" i="280" s="1"/>
  <c r="B17" i="280"/>
  <c r="B83" i="280" s="1"/>
  <c r="AH16" i="280"/>
  <c r="AG16" i="280"/>
  <c r="AF16" i="280"/>
  <c r="AH15" i="280"/>
  <c r="AG15" i="280"/>
  <c r="AF15" i="280"/>
  <c r="AH14" i="280"/>
  <c r="AG14" i="280"/>
  <c r="AF14" i="280"/>
  <c r="AH13" i="280"/>
  <c r="AG13" i="280"/>
  <c r="AF13" i="280"/>
  <c r="AI12" i="280"/>
  <c r="M9" i="280" a="1"/>
  <c r="M9" i="280" s="1"/>
  <c r="F865" i="88"/>
  <c r="AE477" i="260"/>
  <c r="W477" i="260"/>
  <c r="AB64" i="279"/>
  <c r="AB62" i="279"/>
  <c r="F880" i="88"/>
  <c r="F879" i="88"/>
  <c r="F877" i="88"/>
  <c r="AE476" i="260"/>
  <c r="W476" i="260"/>
  <c r="AA64" i="279"/>
  <c r="AA62" i="279"/>
  <c r="F878" i="88"/>
  <c r="Z64" i="279"/>
  <c r="Z63" i="279"/>
  <c r="Z62" i="279"/>
  <c r="AE475" i="260"/>
  <c r="W475" i="260"/>
  <c r="AE474" i="260"/>
  <c r="W474" i="260"/>
  <c r="F875" i="88"/>
  <c r="F874" i="88"/>
  <c r="Y64" i="279"/>
  <c r="Y62" i="279"/>
  <c r="F866" i="88"/>
  <c r="F876" i="88"/>
  <c r="F871" i="88"/>
  <c r="F852" i="88"/>
  <c r="F851" i="88"/>
  <c r="AE473" i="260"/>
  <c r="W473" i="260"/>
  <c r="X63" i="279"/>
  <c r="X62" i="279"/>
  <c r="AE472" i="260"/>
  <c r="W472" i="260"/>
  <c r="F864" i="88"/>
  <c r="W62" i="279"/>
  <c r="V62" i="279"/>
  <c r="U62" i="279"/>
  <c r="T62" i="279"/>
  <c r="F844" i="88"/>
  <c r="S62" i="279"/>
  <c r="W63" i="279"/>
  <c r="F867" i="88"/>
  <c r="F774" i="88"/>
  <c r="AC89" i="280" l="1"/>
  <c r="AB89" i="280"/>
  <c r="AA89" i="280"/>
  <c r="S89" i="280"/>
  <c r="R89" i="280"/>
  <c r="M110" i="280"/>
  <c r="M89" i="280"/>
  <c r="L110" i="280"/>
  <c r="L89" i="280"/>
  <c r="AI61" i="280"/>
  <c r="K65" i="280"/>
  <c r="K99" i="280" s="1"/>
  <c r="AF63" i="280"/>
  <c r="AG63" i="280"/>
  <c r="K89" i="280"/>
  <c r="J89" i="280"/>
  <c r="I89" i="280"/>
  <c r="H89" i="280"/>
  <c r="AH64" i="280"/>
  <c r="Z83" i="280"/>
  <c r="AA83" i="280"/>
  <c r="AB83" i="280"/>
  <c r="J110" i="280"/>
  <c r="K110" i="280"/>
  <c r="T109" i="280"/>
  <c r="V109" i="280"/>
  <c r="G109" i="280"/>
  <c r="S109" i="280"/>
  <c r="U109" i="280"/>
  <c r="X109" i="280"/>
  <c r="H83" i="280"/>
  <c r="X89" i="280"/>
  <c r="Y89" i="280"/>
  <c r="U89" i="280"/>
  <c r="Z89" i="280"/>
  <c r="V89" i="280"/>
  <c r="G89" i="280"/>
  <c r="G103" i="280" s="1"/>
  <c r="G108" i="280" s="1"/>
  <c r="W89" i="280"/>
  <c r="Y110" i="280"/>
  <c r="F89" i="280"/>
  <c r="F110" i="280"/>
  <c r="N89" i="280"/>
  <c r="N103" i="280" s="1"/>
  <c r="N108" i="280" s="1"/>
  <c r="O89" i="280"/>
  <c r="O103" i="280" s="1"/>
  <c r="O108" i="280" s="1"/>
  <c r="P89" i="280"/>
  <c r="V110" i="280"/>
  <c r="Q89" i="280"/>
  <c r="W83" i="280"/>
  <c r="X83" i="280"/>
  <c r="P83" i="280"/>
  <c r="Q83" i="280"/>
  <c r="I83" i="280"/>
  <c r="AC83" i="280"/>
  <c r="W91" i="280"/>
  <c r="W109" i="280" s="1"/>
  <c r="J91" i="280"/>
  <c r="J109" i="280" s="1"/>
  <c r="Y91" i="280"/>
  <c r="Y109" i="280" s="1"/>
  <c r="Z91" i="280"/>
  <c r="Z109" i="280" s="1"/>
  <c r="AA91" i="280"/>
  <c r="AA109" i="280" s="1"/>
  <c r="H91" i="280"/>
  <c r="H109" i="280" s="1"/>
  <c r="AB91" i="280"/>
  <c r="AB109" i="280" s="1"/>
  <c r="AC91" i="280"/>
  <c r="AC109" i="280" s="1"/>
  <c r="M83" i="280"/>
  <c r="AA103" i="280"/>
  <c r="AA108" i="280" s="1"/>
  <c r="I91" i="280"/>
  <c r="I109" i="280" s="1"/>
  <c r="K91" i="280"/>
  <c r="K109" i="280" s="1"/>
  <c r="L91" i="280"/>
  <c r="L109" i="280" s="1"/>
  <c r="M91" i="280"/>
  <c r="M109" i="280" s="1"/>
  <c r="F91" i="280"/>
  <c r="F109" i="280" s="1"/>
  <c r="G83" i="280"/>
  <c r="J98" i="280"/>
  <c r="J83" i="280"/>
  <c r="K98" i="280"/>
  <c r="K83" i="280"/>
  <c r="N109" i="280"/>
  <c r="O109" i="280"/>
  <c r="T103" i="280"/>
  <c r="T108" i="280" s="1"/>
  <c r="U103" i="280"/>
  <c r="U108" i="280" s="1"/>
  <c r="L83" i="280"/>
  <c r="L99" i="280"/>
  <c r="R83" i="280"/>
  <c r="V103" i="280"/>
  <c r="V108" i="280" s="1"/>
  <c r="W103" i="280"/>
  <c r="W108" i="280" s="1"/>
  <c r="X103" i="280"/>
  <c r="X108" i="280" s="1"/>
  <c r="S103" i="280"/>
  <c r="S108" i="280" s="1"/>
  <c r="N110" i="280"/>
  <c r="O110" i="280"/>
  <c r="Y65" i="280"/>
  <c r="Y99" i="280" s="1"/>
  <c r="AF47" i="280"/>
  <c r="Q110" i="280"/>
  <c r="AF51" i="280"/>
  <c r="N83" i="280"/>
  <c r="AF62" i="280"/>
  <c r="O83" i="280"/>
  <c r="S110" i="280"/>
  <c r="AG62" i="280"/>
  <c r="AH62" i="280"/>
  <c r="T83" i="280"/>
  <c r="U83" i="280"/>
  <c r="AB110" i="280"/>
  <c r="P110" i="280"/>
  <c r="AG47" i="280"/>
  <c r="G65" i="280"/>
  <c r="G99" i="280" s="1"/>
  <c r="AH47" i="280"/>
  <c r="W110" i="280"/>
  <c r="X110" i="280"/>
  <c r="Z110" i="280"/>
  <c r="G110" i="280"/>
  <c r="P91" i="280"/>
  <c r="P109" i="280" s="1"/>
  <c r="Y83" i="280"/>
  <c r="Q91" i="280"/>
  <c r="Q109" i="280" s="1"/>
  <c r="I110" i="280"/>
  <c r="AC110" i="280"/>
  <c r="F83" i="280"/>
  <c r="R91" i="280"/>
  <c r="R109" i="280" s="1"/>
  <c r="R110" i="280"/>
  <c r="AH51" i="280"/>
  <c r="U110" i="280"/>
  <c r="S83" i="280"/>
  <c r="AI36" i="280"/>
  <c r="AH56" i="280"/>
  <c r="V83" i="280"/>
  <c r="AA110" i="280"/>
  <c r="H110" i="280"/>
  <c r="T110" i="280"/>
  <c r="AG56" i="280"/>
  <c r="AF54" i="280"/>
  <c r="AF64" i="280"/>
  <c r="AE471" i="260"/>
  <c r="W471" i="260"/>
  <c r="V63" i="279"/>
  <c r="V50" i="279"/>
  <c r="V54" i="279"/>
  <c r="V56" i="279"/>
  <c r="AE470" i="260"/>
  <c r="W470" i="260"/>
  <c r="U63" i="279"/>
  <c r="U50" i="279"/>
  <c r="U54" i="279"/>
  <c r="U56" i="279"/>
  <c r="T51" i="279"/>
  <c r="AE469" i="260"/>
  <c r="W469" i="260"/>
  <c r="F868" i="88"/>
  <c r="AC103" i="280" l="1"/>
  <c r="AC108" i="280" s="1"/>
  <c r="Z103" i="280"/>
  <c r="Z108" i="280" s="1"/>
  <c r="Y103" i="280"/>
  <c r="Y108" i="280" s="1"/>
  <c r="M103" i="280"/>
  <c r="M108" i="280" s="1"/>
  <c r="L103" i="280"/>
  <c r="L108" i="280" s="1"/>
  <c r="J103" i="280"/>
  <c r="J108" i="280" s="1"/>
  <c r="H103" i="280"/>
  <c r="H108" i="280" s="1"/>
  <c r="F108" i="280"/>
  <c r="AB103" i="280"/>
  <c r="AB108" i="280" s="1"/>
  <c r="K103" i="280"/>
  <c r="K108" i="280" s="1"/>
  <c r="R103" i="280"/>
  <c r="R108" i="280" s="1"/>
  <c r="I103" i="280"/>
  <c r="I108" i="280" s="1"/>
  <c r="Q103" i="280"/>
  <c r="Q108" i="280" s="1"/>
  <c r="P103" i="280"/>
  <c r="P108" i="280" s="1"/>
  <c r="T63" i="279" l="1"/>
  <c r="T56" i="279"/>
  <c r="T54" i="279"/>
  <c r="T50" i="279"/>
  <c r="AE468" i="260"/>
  <c r="W468" i="260"/>
  <c r="S63" i="279"/>
  <c r="F863" i="88"/>
  <c r="F862" i="88"/>
  <c r="R64" i="279"/>
  <c r="R63" i="279"/>
  <c r="R51" i="279"/>
  <c r="R50" i="279"/>
  <c r="R47" i="279"/>
  <c r="AE466" i="260"/>
  <c r="AE467" i="260"/>
  <c r="Q64" i="279"/>
  <c r="Q63" i="279"/>
  <c r="AE465" i="260"/>
  <c r="P64" i="279"/>
  <c r="P63" i="279"/>
  <c r="F860" i="88"/>
  <c r="F857" i="88"/>
  <c r="F856" i="88"/>
  <c r="F854" i="88"/>
  <c r="AE464" i="260"/>
  <c r="O64" i="279"/>
  <c r="O63" i="279"/>
  <c r="F858" i="88"/>
  <c r="F855" i="88"/>
  <c r="AE463" i="260"/>
  <c r="N64" i="279"/>
  <c r="N63" i="279"/>
  <c r="F853" i="88"/>
  <c r="F840" i="88"/>
  <c r="AE461" i="260"/>
  <c r="L64" i="279"/>
  <c r="L62" i="279"/>
  <c r="F838" i="88"/>
  <c r="F837" i="88"/>
  <c r="F849" i="88"/>
  <c r="F847" i="88"/>
  <c r="F846" i="88"/>
  <c r="F832" i="88"/>
  <c r="K64" i="279"/>
  <c r="K62" i="279"/>
  <c r="K50" i="279"/>
  <c r="K54" i="279"/>
  <c r="K56" i="279"/>
  <c r="J64" i="279"/>
  <c r="J62" i="279"/>
  <c r="J56" i="279"/>
  <c r="J54" i="279"/>
  <c r="J50" i="279"/>
  <c r="F836" i="88"/>
  <c r="F845" i="88"/>
  <c r="I64" i="279"/>
  <c r="I62" i="279"/>
  <c r="I56" i="279"/>
  <c r="I50" i="279"/>
  <c r="I47" i="279"/>
  <c r="F741" i="88"/>
  <c r="G64" i="279"/>
  <c r="G62" i="279"/>
  <c r="F820" i="88" l="1"/>
  <c r="F823" i="88"/>
  <c r="W455" i="260"/>
  <c r="F831" i="88"/>
  <c r="W453" i="260"/>
  <c r="W452" i="260"/>
  <c r="F80" i="279"/>
  <c r="F76" i="279"/>
  <c r="F65" i="279"/>
  <c r="F60" i="279"/>
  <c r="F34" i="279"/>
  <c r="F96" i="279" s="1"/>
  <c r="F31" i="279"/>
  <c r="F25" i="279"/>
  <c r="F22" i="279"/>
  <c r="F17" i="279"/>
  <c r="AC63" i="278"/>
  <c r="AC62" i="278"/>
  <c r="F843" i="88"/>
  <c r="F835" i="88"/>
  <c r="AC129" i="279"/>
  <c r="AB129" i="279"/>
  <c r="AA129" i="279"/>
  <c r="Z129" i="279"/>
  <c r="Y129" i="279"/>
  <c r="X129" i="279"/>
  <c r="W129" i="279"/>
  <c r="V129" i="279"/>
  <c r="U129" i="279"/>
  <c r="T129" i="279"/>
  <c r="S129" i="279"/>
  <c r="R129" i="279"/>
  <c r="Q129" i="279"/>
  <c r="P129" i="279"/>
  <c r="O129" i="279"/>
  <c r="N129" i="279"/>
  <c r="M129" i="279"/>
  <c r="L129" i="279"/>
  <c r="K129" i="279"/>
  <c r="J129" i="279"/>
  <c r="I129" i="279"/>
  <c r="H129" i="279"/>
  <c r="G129" i="279"/>
  <c r="F129" i="279"/>
  <c r="AC107" i="279"/>
  <c r="AB107" i="279"/>
  <c r="AA107" i="279"/>
  <c r="Z107" i="279"/>
  <c r="Y107" i="279"/>
  <c r="X107" i="279"/>
  <c r="W107" i="279"/>
  <c r="V107" i="279"/>
  <c r="U107" i="279"/>
  <c r="T107" i="279"/>
  <c r="S107" i="279"/>
  <c r="R107" i="279"/>
  <c r="Q107" i="279"/>
  <c r="P107" i="279"/>
  <c r="O107" i="279"/>
  <c r="N107" i="279"/>
  <c r="M107" i="279"/>
  <c r="L107" i="279"/>
  <c r="K107" i="279"/>
  <c r="J107" i="279"/>
  <c r="I107" i="279"/>
  <c r="H107" i="279"/>
  <c r="G107" i="279"/>
  <c r="F107" i="279"/>
  <c r="AC102" i="279"/>
  <c r="AB102" i="279"/>
  <c r="AA102" i="279"/>
  <c r="Z102" i="279"/>
  <c r="Y102" i="279"/>
  <c r="X102" i="279"/>
  <c r="W102" i="279"/>
  <c r="V102" i="279"/>
  <c r="U102" i="279"/>
  <c r="T102" i="279"/>
  <c r="S102" i="279"/>
  <c r="R102" i="279"/>
  <c r="Q102" i="279"/>
  <c r="P102" i="279"/>
  <c r="O102" i="279"/>
  <c r="N102" i="279"/>
  <c r="M102" i="279"/>
  <c r="L102" i="279"/>
  <c r="K102" i="279"/>
  <c r="J102" i="279"/>
  <c r="I102" i="279"/>
  <c r="H102" i="279"/>
  <c r="G102" i="279"/>
  <c r="F102" i="279"/>
  <c r="O101" i="279"/>
  <c r="N101" i="279"/>
  <c r="J101" i="279"/>
  <c r="I101" i="279"/>
  <c r="H101" i="279"/>
  <c r="F101" i="279"/>
  <c r="AA100" i="279"/>
  <c r="H100" i="279"/>
  <c r="F100" i="279"/>
  <c r="I91" i="279"/>
  <c r="I109" i="279" s="1"/>
  <c r="G91" i="279"/>
  <c r="G109" i="279" s="1"/>
  <c r="F91" i="279"/>
  <c r="AC80" i="279"/>
  <c r="AC101" i="279" s="1"/>
  <c r="AB80" i="279"/>
  <c r="AB101" i="279" s="1"/>
  <c r="AA80" i="279"/>
  <c r="AA101" i="279" s="1"/>
  <c r="Z80" i="279"/>
  <c r="Z101" i="279" s="1"/>
  <c r="Y80" i="279"/>
  <c r="Y101" i="279" s="1"/>
  <c r="X80" i="279"/>
  <c r="X101" i="279" s="1"/>
  <c r="W80" i="279"/>
  <c r="W101" i="279" s="1"/>
  <c r="V80" i="279"/>
  <c r="V101" i="279" s="1"/>
  <c r="U80" i="279"/>
  <c r="U101" i="279" s="1"/>
  <c r="T80" i="279"/>
  <c r="T101" i="279" s="1"/>
  <c r="S80" i="279"/>
  <c r="S101" i="279" s="1"/>
  <c r="R80" i="279"/>
  <c r="R101" i="279" s="1"/>
  <c r="Q80" i="279"/>
  <c r="Q101" i="279" s="1"/>
  <c r="P80" i="279"/>
  <c r="P101" i="279" s="1"/>
  <c r="O80" i="279"/>
  <c r="N80" i="279"/>
  <c r="M80" i="279"/>
  <c r="M101" i="279" s="1"/>
  <c r="L80" i="279"/>
  <c r="L101" i="279" s="1"/>
  <c r="K80" i="279"/>
  <c r="K101" i="279" s="1"/>
  <c r="J80" i="279"/>
  <c r="I80" i="279"/>
  <c r="H80" i="279"/>
  <c r="G80" i="279"/>
  <c r="G101" i="279" s="1"/>
  <c r="C80" i="279"/>
  <c r="B80" i="279"/>
  <c r="AH79" i="279"/>
  <c r="AG79" i="279"/>
  <c r="AF79" i="279"/>
  <c r="AH78" i="279"/>
  <c r="AG78" i="279"/>
  <c r="AF78" i="279"/>
  <c r="AI77" i="279"/>
  <c r="AC76" i="279"/>
  <c r="AC100" i="279" s="1"/>
  <c r="AB76" i="279"/>
  <c r="AB100" i="279" s="1"/>
  <c r="AA76" i="279"/>
  <c r="Z76" i="279"/>
  <c r="Z100" i="279" s="1"/>
  <c r="Y76" i="279"/>
  <c r="Y100" i="279" s="1"/>
  <c r="X76" i="279"/>
  <c r="X100" i="279" s="1"/>
  <c r="W76" i="279"/>
  <c r="W100" i="279" s="1"/>
  <c r="V76" i="279"/>
  <c r="V100" i="279" s="1"/>
  <c r="U76" i="279"/>
  <c r="U100" i="279" s="1"/>
  <c r="T76" i="279"/>
  <c r="T100" i="279" s="1"/>
  <c r="S76" i="279"/>
  <c r="S100" i="279" s="1"/>
  <c r="R76" i="279"/>
  <c r="R100" i="279" s="1"/>
  <c r="Q76" i="279"/>
  <c r="Q100" i="279" s="1"/>
  <c r="P76" i="279"/>
  <c r="P100" i="279" s="1"/>
  <c r="O76" i="279"/>
  <c r="O100" i="279" s="1"/>
  <c r="N76" i="279"/>
  <c r="N100" i="279" s="1"/>
  <c r="M76" i="279"/>
  <c r="M100" i="279" s="1"/>
  <c r="L76" i="279"/>
  <c r="L100" i="279" s="1"/>
  <c r="K76" i="279"/>
  <c r="K100" i="279" s="1"/>
  <c r="J76" i="279"/>
  <c r="J100" i="279" s="1"/>
  <c r="I76" i="279"/>
  <c r="I100" i="279" s="1"/>
  <c r="H76" i="279"/>
  <c r="G76" i="279"/>
  <c r="G100" i="279" s="1"/>
  <c r="C76" i="279"/>
  <c r="B76" i="279"/>
  <c r="AH75" i="279"/>
  <c r="AG75" i="279"/>
  <c r="AF75" i="279"/>
  <c r="AH74" i="279"/>
  <c r="AG74" i="279"/>
  <c r="AF74" i="279"/>
  <c r="AH73" i="279"/>
  <c r="AG73" i="279"/>
  <c r="AF73" i="279"/>
  <c r="AH72" i="279"/>
  <c r="AG72" i="279"/>
  <c r="AF72" i="279"/>
  <c r="AH71" i="279"/>
  <c r="AG71" i="279"/>
  <c r="AF71" i="279"/>
  <c r="AH70" i="279"/>
  <c r="AG70" i="279"/>
  <c r="AF70" i="279"/>
  <c r="AH69" i="279"/>
  <c r="AG69" i="279"/>
  <c r="AF69" i="279"/>
  <c r="AH68" i="279"/>
  <c r="AG68" i="279"/>
  <c r="AF68" i="279"/>
  <c r="AH67" i="279"/>
  <c r="AG67" i="279"/>
  <c r="AF67" i="279"/>
  <c r="AI66" i="279"/>
  <c r="AC65" i="279"/>
  <c r="AC99" i="279" s="1"/>
  <c r="AB65" i="279"/>
  <c r="AB99" i="279" s="1"/>
  <c r="AA65" i="279"/>
  <c r="AA99" i="279" s="1"/>
  <c r="Z65" i="279"/>
  <c r="Z99" i="279" s="1"/>
  <c r="Y65" i="279"/>
  <c r="Y99" i="279" s="1"/>
  <c r="X65" i="279"/>
  <c r="X99" i="279" s="1"/>
  <c r="W65" i="279"/>
  <c r="W99" i="279" s="1"/>
  <c r="O65" i="279"/>
  <c r="O99" i="279" s="1"/>
  <c r="J65" i="279"/>
  <c r="J99" i="279" s="1"/>
  <c r="I65" i="279"/>
  <c r="I99" i="279" s="1"/>
  <c r="C65" i="279"/>
  <c r="B65" i="279"/>
  <c r="T65" i="279"/>
  <c r="T99" i="279" s="1"/>
  <c r="AG64" i="279"/>
  <c r="AF64" i="279"/>
  <c r="AH63" i="279"/>
  <c r="AG63" i="279"/>
  <c r="AF63" i="279"/>
  <c r="V65" i="279"/>
  <c r="V99" i="279" s="1"/>
  <c r="U65" i="279"/>
  <c r="U99" i="279" s="1"/>
  <c r="S65" i="279"/>
  <c r="S99" i="279" s="1"/>
  <c r="R65" i="279"/>
  <c r="R99" i="279" s="1"/>
  <c r="Q65" i="279"/>
  <c r="Q99" i="279" s="1"/>
  <c r="P65" i="279"/>
  <c r="P99" i="279" s="1"/>
  <c r="N65" i="279"/>
  <c r="N99" i="279" s="1"/>
  <c r="M65" i="279"/>
  <c r="M99" i="279" s="1"/>
  <c r="L65" i="279"/>
  <c r="L99" i="279" s="1"/>
  <c r="K65" i="279"/>
  <c r="H65" i="279"/>
  <c r="H99" i="279" s="1"/>
  <c r="AC60" i="279"/>
  <c r="AC98" i="279" s="1"/>
  <c r="AB60" i="279"/>
  <c r="AB98" i="279" s="1"/>
  <c r="AA60" i="279"/>
  <c r="AA98" i="279" s="1"/>
  <c r="Z60" i="279"/>
  <c r="Z98" i="279" s="1"/>
  <c r="Y60" i="279"/>
  <c r="Y98" i="279" s="1"/>
  <c r="X60" i="279"/>
  <c r="X98" i="279" s="1"/>
  <c r="W60" i="279"/>
  <c r="W98" i="279" s="1"/>
  <c r="V60" i="279"/>
  <c r="V98" i="279" s="1"/>
  <c r="U60" i="279"/>
  <c r="U98" i="279" s="1"/>
  <c r="T60" i="279"/>
  <c r="T98" i="279" s="1"/>
  <c r="S60" i="279"/>
  <c r="S98" i="279" s="1"/>
  <c r="R60" i="279"/>
  <c r="R98" i="279" s="1"/>
  <c r="Q60" i="279"/>
  <c r="Q98" i="279" s="1"/>
  <c r="P60" i="279"/>
  <c r="P98" i="279" s="1"/>
  <c r="O60" i="279"/>
  <c r="O98" i="279" s="1"/>
  <c r="N60" i="279"/>
  <c r="N98" i="279" s="1"/>
  <c r="M60" i="279"/>
  <c r="M98" i="279" s="1"/>
  <c r="L60" i="279"/>
  <c r="L98" i="279" s="1"/>
  <c r="K60" i="279"/>
  <c r="K98" i="279" s="1"/>
  <c r="J60" i="279"/>
  <c r="J98" i="279" s="1"/>
  <c r="I60" i="279"/>
  <c r="I98" i="279" s="1"/>
  <c r="G60" i="279"/>
  <c r="G98" i="279" s="1"/>
  <c r="F98" i="279"/>
  <c r="C60" i="279"/>
  <c r="B60" i="279"/>
  <c r="AH59" i="279"/>
  <c r="AG59" i="279"/>
  <c r="AF59" i="279"/>
  <c r="AH58" i="279"/>
  <c r="AG58" i="279"/>
  <c r="AF58" i="279"/>
  <c r="AH57" i="279"/>
  <c r="AG57" i="279"/>
  <c r="AF57" i="279"/>
  <c r="AH56" i="279"/>
  <c r="AH55" i="279"/>
  <c r="AG55" i="279"/>
  <c r="AF55" i="279"/>
  <c r="AH54" i="279"/>
  <c r="AG54" i="279"/>
  <c r="AF54" i="279"/>
  <c r="AH53" i="279"/>
  <c r="AG53" i="279"/>
  <c r="AF53" i="279"/>
  <c r="AH52" i="279"/>
  <c r="AG52" i="279"/>
  <c r="AF52" i="279"/>
  <c r="AF51" i="279"/>
  <c r="AH50" i="279"/>
  <c r="AH49" i="279"/>
  <c r="AG49" i="279"/>
  <c r="AF49" i="279"/>
  <c r="AH48" i="279"/>
  <c r="AG48" i="279"/>
  <c r="AF48" i="279"/>
  <c r="AH46" i="279"/>
  <c r="AG46" i="279"/>
  <c r="AF46" i="279"/>
  <c r="AH45" i="279"/>
  <c r="AG45" i="279"/>
  <c r="AF45" i="279"/>
  <c r="AH44" i="279"/>
  <c r="AG44" i="279"/>
  <c r="AF44" i="279"/>
  <c r="AH43" i="279"/>
  <c r="AG43" i="279"/>
  <c r="AF43" i="279"/>
  <c r="AH42" i="279"/>
  <c r="AG42" i="279"/>
  <c r="AF42" i="279"/>
  <c r="AH41" i="279"/>
  <c r="AG41" i="279"/>
  <c r="AF41" i="279"/>
  <c r="AH40" i="279"/>
  <c r="AG40" i="279"/>
  <c r="AF40" i="279"/>
  <c r="AH39" i="279"/>
  <c r="AG39" i="279"/>
  <c r="AF39" i="279"/>
  <c r="AH38" i="279"/>
  <c r="AG38" i="279"/>
  <c r="AF38" i="279"/>
  <c r="AH37" i="279"/>
  <c r="AG37" i="279"/>
  <c r="AF37" i="279"/>
  <c r="AH36" i="279"/>
  <c r="AG36" i="279"/>
  <c r="AF36" i="279"/>
  <c r="AI35" i="279"/>
  <c r="AC34" i="279"/>
  <c r="AC96" i="279" s="1"/>
  <c r="AB34" i="279"/>
  <c r="AB96" i="279" s="1"/>
  <c r="AA34" i="279"/>
  <c r="AA96" i="279" s="1"/>
  <c r="Z34" i="279"/>
  <c r="Z96" i="279" s="1"/>
  <c r="Y34" i="279"/>
  <c r="Y96" i="279" s="1"/>
  <c r="X34" i="279"/>
  <c r="X96" i="279" s="1"/>
  <c r="W34" i="279"/>
  <c r="W96" i="279" s="1"/>
  <c r="V34" i="279"/>
  <c r="V96" i="279" s="1"/>
  <c r="U34" i="279"/>
  <c r="U96" i="279" s="1"/>
  <c r="T34" i="279"/>
  <c r="T96" i="279" s="1"/>
  <c r="S34" i="279"/>
  <c r="S96" i="279" s="1"/>
  <c r="R34" i="279"/>
  <c r="R96" i="279" s="1"/>
  <c r="Q34" i="279"/>
  <c r="Q96" i="279" s="1"/>
  <c r="P34" i="279"/>
  <c r="P96" i="279" s="1"/>
  <c r="O34" i="279"/>
  <c r="O96" i="279" s="1"/>
  <c r="N34" i="279"/>
  <c r="N96" i="279" s="1"/>
  <c r="M34" i="279"/>
  <c r="M96" i="279" s="1"/>
  <c r="L34" i="279"/>
  <c r="L96" i="279" s="1"/>
  <c r="K34" i="279"/>
  <c r="K96" i="279" s="1"/>
  <c r="J34" i="279"/>
  <c r="J96" i="279" s="1"/>
  <c r="I34" i="279"/>
  <c r="I96" i="279" s="1"/>
  <c r="H34" i="279"/>
  <c r="H96" i="279" s="1"/>
  <c r="G34" i="279"/>
  <c r="G96" i="279" s="1"/>
  <c r="C34" i="279"/>
  <c r="B34" i="279"/>
  <c r="AH33" i="279"/>
  <c r="AG33" i="279"/>
  <c r="AF33" i="279"/>
  <c r="AI32" i="279"/>
  <c r="AC31" i="279"/>
  <c r="AC93" i="279" s="1"/>
  <c r="AB31" i="279"/>
  <c r="AB93" i="279" s="1"/>
  <c r="AA31" i="279"/>
  <c r="AA93" i="279" s="1"/>
  <c r="Z31" i="279"/>
  <c r="Z93" i="279" s="1"/>
  <c r="Y31" i="279"/>
  <c r="Y93" i="279" s="1"/>
  <c r="X31" i="279"/>
  <c r="X93" i="279" s="1"/>
  <c r="W31" i="279"/>
  <c r="W93" i="279" s="1"/>
  <c r="V31" i="279"/>
  <c r="V93" i="279" s="1"/>
  <c r="U31" i="279"/>
  <c r="U93" i="279" s="1"/>
  <c r="T31" i="279"/>
  <c r="T93" i="279" s="1"/>
  <c r="S31" i="279"/>
  <c r="S93" i="279" s="1"/>
  <c r="R31" i="279"/>
  <c r="R93" i="279" s="1"/>
  <c r="Q31" i="279"/>
  <c r="Q93" i="279" s="1"/>
  <c r="P31" i="279"/>
  <c r="P93" i="279" s="1"/>
  <c r="O31" i="279"/>
  <c r="O93" i="279" s="1"/>
  <c r="N31" i="279"/>
  <c r="N93" i="279" s="1"/>
  <c r="M31" i="279"/>
  <c r="M93" i="279" s="1"/>
  <c r="L31" i="279"/>
  <c r="L93" i="279" s="1"/>
  <c r="K31" i="279"/>
  <c r="K93" i="279" s="1"/>
  <c r="J31" i="279"/>
  <c r="J93" i="279" s="1"/>
  <c r="I31" i="279"/>
  <c r="I93" i="279" s="1"/>
  <c r="H31" i="279"/>
  <c r="H93" i="279" s="1"/>
  <c r="G31" i="279"/>
  <c r="G93" i="279" s="1"/>
  <c r="F93" i="279"/>
  <c r="C31" i="279"/>
  <c r="B31" i="279"/>
  <c r="AI28" i="279"/>
  <c r="AH28" i="279"/>
  <c r="AG28" i="279"/>
  <c r="AF28" i="279"/>
  <c r="AH27" i="279"/>
  <c r="AG27" i="279"/>
  <c r="AF27" i="279"/>
  <c r="AI26" i="279"/>
  <c r="AC25" i="279"/>
  <c r="AC89" i="279" s="1"/>
  <c r="AB25" i="279"/>
  <c r="AA25" i="279"/>
  <c r="Z25" i="279"/>
  <c r="Y25" i="279"/>
  <c r="X25" i="279"/>
  <c r="W25" i="279"/>
  <c r="V25" i="279"/>
  <c r="U25" i="279"/>
  <c r="T25" i="279"/>
  <c r="S25" i="279"/>
  <c r="R25" i="279"/>
  <c r="Q25" i="279"/>
  <c r="P25" i="279"/>
  <c r="O25" i="279"/>
  <c r="N25" i="279"/>
  <c r="M25" i="279"/>
  <c r="L25" i="279"/>
  <c r="L83" i="279" s="1"/>
  <c r="K25" i="279"/>
  <c r="J25" i="279"/>
  <c r="I25" i="279"/>
  <c r="H25" i="279"/>
  <c r="G25" i="279"/>
  <c r="C25" i="279"/>
  <c r="B25" i="279"/>
  <c r="AH24" i="279"/>
  <c r="AG24" i="279"/>
  <c r="AF24" i="279"/>
  <c r="AI23" i="279"/>
  <c r="AC22" i="279"/>
  <c r="AB22" i="279"/>
  <c r="AA22" i="279"/>
  <c r="Z22" i="279"/>
  <c r="Y22" i="279"/>
  <c r="Y89" i="279" s="1"/>
  <c r="X22" i="279"/>
  <c r="W22" i="279"/>
  <c r="V22" i="279"/>
  <c r="U22" i="279"/>
  <c r="T22" i="279"/>
  <c r="S22" i="279"/>
  <c r="R22" i="279"/>
  <c r="R89" i="279" s="1"/>
  <c r="Q22" i="279"/>
  <c r="P22" i="279"/>
  <c r="O22" i="279"/>
  <c r="N22" i="279"/>
  <c r="M22" i="279"/>
  <c r="L22" i="279"/>
  <c r="K22" i="279"/>
  <c r="J22" i="279"/>
  <c r="I22" i="279"/>
  <c r="H22" i="279"/>
  <c r="G22" i="279"/>
  <c r="G89" i="279" s="1"/>
  <c r="F89" i="279"/>
  <c r="C22" i="279"/>
  <c r="B22" i="279"/>
  <c r="AH21" i="279"/>
  <c r="AG21" i="279"/>
  <c r="AF21" i="279"/>
  <c r="AH20" i="279"/>
  <c r="AG20" i="279"/>
  <c r="AF20" i="279"/>
  <c r="AH19" i="279"/>
  <c r="AG19" i="279"/>
  <c r="AF19" i="279"/>
  <c r="AI18" i="279"/>
  <c r="AC17" i="279"/>
  <c r="AC91" i="279" s="1"/>
  <c r="AB17" i="279"/>
  <c r="AA17" i="279"/>
  <c r="Z17" i="279"/>
  <c r="Y17" i="279"/>
  <c r="X17" i="279"/>
  <c r="X91" i="279" s="1"/>
  <c r="W17" i="279"/>
  <c r="W91" i="279" s="1"/>
  <c r="V17" i="279"/>
  <c r="V91" i="279" s="1"/>
  <c r="U17" i="279"/>
  <c r="U91" i="279" s="1"/>
  <c r="T17" i="279"/>
  <c r="T91" i="279" s="1"/>
  <c r="S17" i="279"/>
  <c r="S91" i="279" s="1"/>
  <c r="S109" i="279" s="1"/>
  <c r="R17" i="279"/>
  <c r="R91" i="279" s="1"/>
  <c r="Q17" i="279"/>
  <c r="Q91" i="279" s="1"/>
  <c r="P17" i="279"/>
  <c r="P91" i="279" s="1"/>
  <c r="O17" i="279"/>
  <c r="O91" i="279" s="1"/>
  <c r="N17" i="279"/>
  <c r="N91" i="279" s="1"/>
  <c r="M17" i="279"/>
  <c r="L17" i="279"/>
  <c r="K17" i="279"/>
  <c r="J17" i="279"/>
  <c r="J91" i="279" s="1"/>
  <c r="J109" i="279" s="1"/>
  <c r="I17" i="279"/>
  <c r="H17" i="279"/>
  <c r="H91" i="279" s="1"/>
  <c r="H109" i="279" s="1"/>
  <c r="G17" i="279"/>
  <c r="C17" i="279"/>
  <c r="C83" i="279" s="1"/>
  <c r="B17" i="279"/>
  <c r="B83" i="279" s="1"/>
  <c r="AH16" i="279"/>
  <c r="AG16" i="279"/>
  <c r="AF16" i="279"/>
  <c r="AH15" i="279"/>
  <c r="AG15" i="279"/>
  <c r="AF15" i="279"/>
  <c r="AH14" i="279"/>
  <c r="AG14" i="279"/>
  <c r="AF14" i="279"/>
  <c r="AH13" i="279"/>
  <c r="AG13" i="279"/>
  <c r="AF13" i="279"/>
  <c r="AI12" i="279"/>
  <c r="M9" i="279" a="1"/>
  <c r="M9" i="279" s="1"/>
  <c r="F842" i="88"/>
  <c r="W451" i="260"/>
  <c r="F841" i="88"/>
  <c r="W450" i="260"/>
  <c r="W449" i="260"/>
  <c r="W448" i="260"/>
  <c r="F834" i="88"/>
  <c r="F839" i="88"/>
  <c r="F833" i="88"/>
  <c r="F830" i="88"/>
  <c r="F811" i="88"/>
  <c r="F816" i="88"/>
  <c r="X64" i="278"/>
  <c r="X63" i="278"/>
  <c r="AC109" i="279" l="1"/>
  <c r="AB89" i="279"/>
  <c r="X89" i="279"/>
  <c r="R109" i="279"/>
  <c r="R110" i="279"/>
  <c r="Q109" i="279"/>
  <c r="P109" i="279"/>
  <c r="O109" i="279"/>
  <c r="N109" i="279"/>
  <c r="M83" i="279"/>
  <c r="H89" i="279"/>
  <c r="F83" i="279"/>
  <c r="V109" i="279"/>
  <c r="W109" i="279"/>
  <c r="X109" i="279"/>
  <c r="X103" i="279"/>
  <c r="X108" i="279" s="1"/>
  <c r="U109" i="279"/>
  <c r="S83" i="279"/>
  <c r="J89" i="279"/>
  <c r="J103" i="279" s="1"/>
  <c r="J108" i="279" s="1"/>
  <c r="T83" i="279"/>
  <c r="O110" i="279"/>
  <c r="K89" i="279"/>
  <c r="N83" i="279"/>
  <c r="P110" i="279"/>
  <c r="L89" i="279"/>
  <c r="O83" i="279"/>
  <c r="Q110" i="279"/>
  <c r="N89" i="279"/>
  <c r="N103" i="279" s="1"/>
  <c r="N108" i="279" s="1"/>
  <c r="R83" i="279"/>
  <c r="T109" i="279"/>
  <c r="X110" i="279"/>
  <c r="N110" i="279"/>
  <c r="M89" i="279"/>
  <c r="I89" i="279"/>
  <c r="I103" i="279" s="1"/>
  <c r="I108" i="279" s="1"/>
  <c r="P83" i="279"/>
  <c r="P89" i="279"/>
  <c r="P103" i="279" s="1"/>
  <c r="P108" i="279" s="1"/>
  <c r="Z89" i="279"/>
  <c r="O89" i="279"/>
  <c r="O103" i="279" s="1"/>
  <c r="O108" i="279" s="1"/>
  <c r="Q89" i="279"/>
  <c r="Q103" i="279" s="1"/>
  <c r="Q108" i="279" s="1"/>
  <c r="AA89" i="279"/>
  <c r="AA103" i="279" s="1"/>
  <c r="AA108" i="279" s="1"/>
  <c r="Z103" i="279"/>
  <c r="Z108" i="279" s="1"/>
  <c r="K99" i="279"/>
  <c r="K83" i="279"/>
  <c r="AC103" i="279"/>
  <c r="AC108" i="279" s="1"/>
  <c r="AF56" i="279"/>
  <c r="AG56" i="279"/>
  <c r="F110" i="279"/>
  <c r="M110" i="279"/>
  <c r="M91" i="279"/>
  <c r="M109" i="279" s="1"/>
  <c r="AI61" i="279"/>
  <c r="AG62" i="279"/>
  <c r="AH62" i="279"/>
  <c r="AF62" i="279"/>
  <c r="AF50" i="279"/>
  <c r="U89" i="279"/>
  <c r="U103" i="279" s="1"/>
  <c r="U108" i="279" s="1"/>
  <c r="U83" i="279"/>
  <c r="H110" i="279"/>
  <c r="V110" i="279"/>
  <c r="V83" i="279"/>
  <c r="AH51" i="279"/>
  <c r="I83" i="279"/>
  <c r="I110" i="279"/>
  <c r="R103" i="279"/>
  <c r="R108" i="279" s="1"/>
  <c r="G110" i="279"/>
  <c r="AA83" i="279"/>
  <c r="AA110" i="279"/>
  <c r="AG51" i="279"/>
  <c r="AB83" i="279"/>
  <c r="AB110" i="279"/>
  <c r="K110" i="279"/>
  <c r="K91" i="279"/>
  <c r="K109" i="279" s="1"/>
  <c r="S110" i="279"/>
  <c r="T89" i="279"/>
  <c r="T103" i="279" s="1"/>
  <c r="T108" i="279" s="1"/>
  <c r="AG50" i="279"/>
  <c r="AA91" i="279"/>
  <c r="AA109" i="279" s="1"/>
  <c r="T110" i="279"/>
  <c r="U110" i="279"/>
  <c r="F99" i="279"/>
  <c r="F103" i="279" s="1"/>
  <c r="F108" i="279" s="1"/>
  <c r="F109" i="279"/>
  <c r="Y83" i="279"/>
  <c r="Y110" i="279"/>
  <c r="Q83" i="279"/>
  <c r="Z83" i="279"/>
  <c r="Z110" i="279"/>
  <c r="AC83" i="279"/>
  <c r="AC110" i="279"/>
  <c r="W110" i="279"/>
  <c r="W89" i="279"/>
  <c r="W103" i="279" s="1"/>
  <c r="W108" i="279" s="1"/>
  <c r="W83" i="279"/>
  <c r="Y91" i="279"/>
  <c r="Y109" i="279" s="1"/>
  <c r="J110" i="279"/>
  <c r="Z91" i="279"/>
  <c r="Z109" i="279" s="1"/>
  <c r="L110" i="279"/>
  <c r="L91" i="279"/>
  <c r="L109" i="279" s="1"/>
  <c r="AB91" i="279"/>
  <c r="AB109" i="279" s="1"/>
  <c r="AI36" i="279"/>
  <c r="AH64" i="279"/>
  <c r="S89" i="279"/>
  <c r="S103" i="279" s="1"/>
  <c r="S108" i="279" s="1"/>
  <c r="V89" i="279"/>
  <c r="V103" i="279" s="1"/>
  <c r="V108" i="279" s="1"/>
  <c r="G65" i="279"/>
  <c r="G99" i="279" s="1"/>
  <c r="G103" i="279" s="1"/>
  <c r="G108" i="279" s="1"/>
  <c r="J83" i="279"/>
  <c r="AG47" i="279"/>
  <c r="AH47" i="279"/>
  <c r="X83" i="279"/>
  <c r="AF47" i="279"/>
  <c r="H60" i="279"/>
  <c r="H98" i="279" s="1"/>
  <c r="H103" i="279" s="1"/>
  <c r="H108" i="279" s="1"/>
  <c r="AB103" i="279" l="1"/>
  <c r="AB108" i="279" s="1"/>
  <c r="G83" i="279"/>
  <c r="L103" i="279"/>
  <c r="L108" i="279" s="1"/>
  <c r="Y103" i="279"/>
  <c r="Y108" i="279" s="1"/>
  <c r="H83" i="279"/>
  <c r="K103" i="279"/>
  <c r="K108" i="279" s="1"/>
  <c r="M103" i="279"/>
  <c r="M108" i="279" s="1"/>
  <c r="F829" i="88" l="1"/>
  <c r="W447" i="260"/>
  <c r="F828" i="88"/>
  <c r="W63" i="278"/>
  <c r="W64" i="278"/>
  <c r="W446" i="260"/>
  <c r="V64" i="278"/>
  <c r="V63" i="278"/>
  <c r="F827" i="88"/>
  <c r="W445" i="260"/>
  <c r="U64" i="278"/>
  <c r="U63" i="278"/>
  <c r="F826" i="88"/>
  <c r="F815" i="88"/>
  <c r="W444" i="260"/>
  <c r="W443" i="260"/>
  <c r="T64" i="278"/>
  <c r="T63" i="278"/>
  <c r="F825" i="88"/>
  <c r="F824" i="88"/>
  <c r="F822" i="88"/>
  <c r="S64" i="278"/>
  <c r="S63" i="278"/>
  <c r="F821" i="88"/>
  <c r="W442" i="260"/>
  <c r="F805" i="88"/>
  <c r="R64" i="278"/>
  <c r="R62" i="278"/>
  <c r="F819" i="88"/>
  <c r="Y108" i="277"/>
  <c r="F818" i="88"/>
  <c r="F817" i="88"/>
  <c r="AE441" i="260"/>
  <c r="Q64" i="278"/>
  <c r="Q62" i="278"/>
  <c r="P64" i="278"/>
  <c r="P62" i="278"/>
  <c r="AE440" i="260"/>
  <c r="AE439" i="260"/>
  <c r="F800" i="88"/>
  <c r="F814" i="88"/>
  <c r="F813" i="88"/>
  <c r="F812" i="88"/>
  <c r="N64" i="278"/>
  <c r="N62" i="278"/>
  <c r="M64" i="278"/>
  <c r="M62" i="278"/>
  <c r="F809" i="88"/>
  <c r="F801" i="88"/>
  <c r="L63" i="278"/>
  <c r="L62" i="278"/>
  <c r="K63" i="278"/>
  <c r="K62" i="278"/>
  <c r="F810" i="88"/>
  <c r="F806" i="88"/>
  <c r="F808" i="88"/>
  <c r="F807" i="88" l="1"/>
  <c r="H63" i="278"/>
  <c r="H62" i="278"/>
  <c r="H56" i="278"/>
  <c r="H51" i="278"/>
  <c r="H50" i="278"/>
  <c r="H47" i="278"/>
  <c r="AI36" i="278" s="1"/>
  <c r="F790" i="88"/>
  <c r="G63" i="278"/>
  <c r="G62" i="278"/>
  <c r="F780" i="88"/>
  <c r="AE430" i="260"/>
  <c r="F64" i="278"/>
  <c r="F63" i="278"/>
  <c r="F797" i="88"/>
  <c r="AE428" i="260"/>
  <c r="AC64" i="277"/>
  <c r="AC63" i="277"/>
  <c r="AC129" i="278"/>
  <c r="AB129" i="278"/>
  <c r="AA129" i="278"/>
  <c r="Z129" i="278"/>
  <c r="Y129" i="278"/>
  <c r="X129" i="278"/>
  <c r="W129" i="278"/>
  <c r="V129" i="278"/>
  <c r="U129" i="278"/>
  <c r="T129" i="278"/>
  <c r="S129" i="278"/>
  <c r="R129" i="278"/>
  <c r="Q129" i="278"/>
  <c r="P129" i="278"/>
  <c r="O129" i="278"/>
  <c r="N129" i="278"/>
  <c r="M129" i="278"/>
  <c r="L129" i="278"/>
  <c r="K129" i="278"/>
  <c r="J129" i="278"/>
  <c r="I129" i="278"/>
  <c r="H129" i="278"/>
  <c r="G129" i="278"/>
  <c r="F129" i="278"/>
  <c r="AC107" i="278"/>
  <c r="AB107" i="278"/>
  <c r="AA107" i="278"/>
  <c r="Z107" i="278"/>
  <c r="Y107" i="278"/>
  <c r="X107" i="278"/>
  <c r="W107" i="278"/>
  <c r="V107" i="278"/>
  <c r="U107" i="278"/>
  <c r="T107" i="278"/>
  <c r="S107" i="278"/>
  <c r="R107" i="278"/>
  <c r="Q107" i="278"/>
  <c r="P107" i="278"/>
  <c r="O107" i="278"/>
  <c r="N107" i="278"/>
  <c r="M107" i="278"/>
  <c r="L107" i="278"/>
  <c r="K107" i="278"/>
  <c r="J107" i="278"/>
  <c r="I107" i="278"/>
  <c r="H107" i="278"/>
  <c r="G107" i="278"/>
  <c r="F107" i="278"/>
  <c r="AC102" i="278"/>
  <c r="AB102" i="278"/>
  <c r="AA102" i="278"/>
  <c r="Z102" i="278"/>
  <c r="Y102" i="278"/>
  <c r="X102" i="278"/>
  <c r="W102" i="278"/>
  <c r="V102" i="278"/>
  <c r="U102" i="278"/>
  <c r="T102" i="278"/>
  <c r="S102" i="278"/>
  <c r="R102" i="278"/>
  <c r="Q102" i="278"/>
  <c r="P102" i="278"/>
  <c r="O102" i="278"/>
  <c r="N102" i="278"/>
  <c r="M102" i="278"/>
  <c r="L102" i="278"/>
  <c r="K102" i="278"/>
  <c r="J102" i="278"/>
  <c r="I102" i="278"/>
  <c r="H102" i="278"/>
  <c r="G102" i="278"/>
  <c r="F102" i="278"/>
  <c r="W101" i="278"/>
  <c r="AA100" i="278"/>
  <c r="Z100" i="278"/>
  <c r="Y100" i="278"/>
  <c r="X100" i="278"/>
  <c r="T100" i="278"/>
  <c r="F100" i="278"/>
  <c r="L98" i="278"/>
  <c r="K98" i="278"/>
  <c r="W93" i="278"/>
  <c r="V93" i="278"/>
  <c r="T93" i="278"/>
  <c r="S93" i="278"/>
  <c r="H89" i="278"/>
  <c r="G89" i="278"/>
  <c r="AC80" i="278"/>
  <c r="AC101" i="278" s="1"/>
  <c r="AB80" i="278"/>
  <c r="AB101" i="278" s="1"/>
  <c r="AA80" i="278"/>
  <c r="AA101" i="278" s="1"/>
  <c r="Z80" i="278"/>
  <c r="Z101" i="278" s="1"/>
  <c r="Y80" i="278"/>
  <c r="Y101" i="278" s="1"/>
  <c r="X80" i="278"/>
  <c r="X101" i="278" s="1"/>
  <c r="W80" i="278"/>
  <c r="V80" i="278"/>
  <c r="V101" i="278" s="1"/>
  <c r="U80" i="278"/>
  <c r="U101" i="278" s="1"/>
  <c r="T80" i="278"/>
  <c r="T101" i="278" s="1"/>
  <c r="S80" i="278"/>
  <c r="S101" i="278" s="1"/>
  <c r="R80" i="278"/>
  <c r="R101" i="278" s="1"/>
  <c r="Q80" i="278"/>
  <c r="Q101" i="278" s="1"/>
  <c r="P80" i="278"/>
  <c r="P101" i="278" s="1"/>
  <c r="O80" i="278"/>
  <c r="O101" i="278" s="1"/>
  <c r="N80" i="278"/>
  <c r="N101" i="278" s="1"/>
  <c r="M80" i="278"/>
  <c r="M101" i="278" s="1"/>
  <c r="L80" i="278"/>
  <c r="L101" i="278" s="1"/>
  <c r="K80" i="278"/>
  <c r="K101" i="278" s="1"/>
  <c r="J80" i="278"/>
  <c r="J101" i="278" s="1"/>
  <c r="I80" i="278"/>
  <c r="I101" i="278" s="1"/>
  <c r="H80" i="278"/>
  <c r="H101" i="278" s="1"/>
  <c r="G80" i="278"/>
  <c r="G101" i="278" s="1"/>
  <c r="F80" i="278"/>
  <c r="F101" i="278" s="1"/>
  <c r="C80" i="278"/>
  <c r="B80" i="278"/>
  <c r="B25" i="278" s="1"/>
  <c r="AH79" i="278"/>
  <c r="AG79" i="278"/>
  <c r="AF79" i="278"/>
  <c r="AH78" i="278"/>
  <c r="AG78" i="278"/>
  <c r="AF78" i="278"/>
  <c r="AI77" i="278"/>
  <c r="AC76" i="278"/>
  <c r="AC100" i="278" s="1"/>
  <c r="AB76" i="278"/>
  <c r="AB100" i="278" s="1"/>
  <c r="AA76" i="278"/>
  <c r="Z76" i="278"/>
  <c r="Y76" i="278"/>
  <c r="X76" i="278"/>
  <c r="W76" i="278"/>
  <c r="W100" i="278" s="1"/>
  <c r="V76" i="278"/>
  <c r="V100" i="278" s="1"/>
  <c r="U76" i="278"/>
  <c r="U100" i="278" s="1"/>
  <c r="T76" i="278"/>
  <c r="S76" i="278"/>
  <c r="S100" i="278" s="1"/>
  <c r="R76" i="278"/>
  <c r="R100" i="278" s="1"/>
  <c r="Q76" i="278"/>
  <c r="Q100" i="278" s="1"/>
  <c r="P76" i="278"/>
  <c r="P100" i="278" s="1"/>
  <c r="O76" i="278"/>
  <c r="O100" i="278" s="1"/>
  <c r="N76" i="278"/>
  <c r="N100" i="278" s="1"/>
  <c r="M76" i="278"/>
  <c r="M100" i="278" s="1"/>
  <c r="L76" i="278"/>
  <c r="L100" i="278" s="1"/>
  <c r="K76" i="278"/>
  <c r="K100" i="278" s="1"/>
  <c r="J76" i="278"/>
  <c r="J100" i="278" s="1"/>
  <c r="I76" i="278"/>
  <c r="I100" i="278" s="1"/>
  <c r="H76" i="278"/>
  <c r="H100" i="278" s="1"/>
  <c r="G76" i="278"/>
  <c r="G100" i="278" s="1"/>
  <c r="F76" i="278"/>
  <c r="C76" i="278"/>
  <c r="B76" i="278"/>
  <c r="AH75" i="278"/>
  <c r="AG75" i="278"/>
  <c r="AF75" i="278"/>
  <c r="AH74" i="278"/>
  <c r="AG74" i="278"/>
  <c r="AF74" i="278"/>
  <c r="AH73" i="278"/>
  <c r="AG73" i="278"/>
  <c r="AF73" i="278"/>
  <c r="AH72" i="278"/>
  <c r="AG72" i="278"/>
  <c r="AF72" i="278"/>
  <c r="AH71" i="278"/>
  <c r="AG71" i="278"/>
  <c r="AF71" i="278"/>
  <c r="AH70" i="278"/>
  <c r="AG70" i="278"/>
  <c r="AF70" i="278"/>
  <c r="AH69" i="278"/>
  <c r="AG69" i="278"/>
  <c r="AF69" i="278"/>
  <c r="AH68" i="278"/>
  <c r="AG68" i="278"/>
  <c r="AF68" i="278"/>
  <c r="AH67" i="278"/>
  <c r="AG67" i="278"/>
  <c r="AF67" i="278"/>
  <c r="AI66" i="278"/>
  <c r="AC65" i="278"/>
  <c r="AC99" i="278" s="1"/>
  <c r="AB65" i="278"/>
  <c r="AB99" i="278" s="1"/>
  <c r="AA65" i="278"/>
  <c r="AA99" i="278" s="1"/>
  <c r="Z65" i="278"/>
  <c r="Z99" i="278" s="1"/>
  <c r="Y65" i="278"/>
  <c r="Y99" i="278" s="1"/>
  <c r="X65" i="278"/>
  <c r="X99" i="278" s="1"/>
  <c r="M65" i="278"/>
  <c r="M99" i="278" s="1"/>
  <c r="G65" i="278"/>
  <c r="G99" i="278" s="1"/>
  <c r="C65" i="278"/>
  <c r="B65" i="278"/>
  <c r="AG64" i="278"/>
  <c r="AH64" i="278"/>
  <c r="AH63" i="278"/>
  <c r="O65" i="278"/>
  <c r="O99" i="278" s="1"/>
  <c r="L65" i="278"/>
  <c r="K65" i="278"/>
  <c r="J65" i="278"/>
  <c r="J99" i="278" s="1"/>
  <c r="I65" i="278"/>
  <c r="I99" i="278" s="1"/>
  <c r="AG63" i="278"/>
  <c r="AH62" i="278"/>
  <c r="AG62" i="278"/>
  <c r="AF62" i="278"/>
  <c r="W65" i="278"/>
  <c r="W99" i="278" s="1"/>
  <c r="V65" i="278"/>
  <c r="V99" i="278" s="1"/>
  <c r="U65" i="278"/>
  <c r="U99" i="278" s="1"/>
  <c r="T65" i="278"/>
  <c r="T99" i="278" s="1"/>
  <c r="S65" i="278"/>
  <c r="S99" i="278" s="1"/>
  <c r="R65" i="278"/>
  <c r="R99" i="278" s="1"/>
  <c r="Q65" i="278"/>
  <c r="Q99" i="278" s="1"/>
  <c r="P65" i="278"/>
  <c r="P99" i="278" s="1"/>
  <c r="N65" i="278"/>
  <c r="AC60" i="278"/>
  <c r="AC98" i="278" s="1"/>
  <c r="AB60" i="278"/>
  <c r="AB98" i="278" s="1"/>
  <c r="AA60" i="278"/>
  <c r="AA98" i="278" s="1"/>
  <c r="Z60" i="278"/>
  <c r="Z98" i="278" s="1"/>
  <c r="Y60" i="278"/>
  <c r="Y98" i="278" s="1"/>
  <c r="X60" i="278"/>
  <c r="X98" i="278" s="1"/>
  <c r="W60" i="278"/>
  <c r="W98" i="278" s="1"/>
  <c r="V60" i="278"/>
  <c r="V98" i="278" s="1"/>
  <c r="U60" i="278"/>
  <c r="U98" i="278" s="1"/>
  <c r="T60" i="278"/>
  <c r="T98" i="278" s="1"/>
  <c r="S60" i="278"/>
  <c r="S98" i="278" s="1"/>
  <c r="R60" i="278"/>
  <c r="R98" i="278" s="1"/>
  <c r="Q60" i="278"/>
  <c r="Q98" i="278" s="1"/>
  <c r="P60" i="278"/>
  <c r="P98" i="278" s="1"/>
  <c r="O60" i="278"/>
  <c r="O98" i="278" s="1"/>
  <c r="N60" i="278"/>
  <c r="N98" i="278" s="1"/>
  <c r="M60" i="278"/>
  <c r="M98" i="278" s="1"/>
  <c r="L60" i="278"/>
  <c r="K60" i="278"/>
  <c r="J60" i="278"/>
  <c r="J98" i="278" s="1"/>
  <c r="I60" i="278"/>
  <c r="I98" i="278" s="1"/>
  <c r="H60" i="278"/>
  <c r="H98" i="278" s="1"/>
  <c r="G60" i="278"/>
  <c r="G98" i="278" s="1"/>
  <c r="F60" i="278"/>
  <c r="F98" i="278" s="1"/>
  <c r="C60" i="278"/>
  <c r="B60" i="278"/>
  <c r="AH59" i="278"/>
  <c r="AG59" i="278"/>
  <c r="AF59" i="278"/>
  <c r="AH58" i="278"/>
  <c r="AG58" i="278"/>
  <c r="AF58" i="278"/>
  <c r="AH57" i="278"/>
  <c r="AG57" i="278"/>
  <c r="AF57" i="278"/>
  <c r="AG56" i="278"/>
  <c r="AH55" i="278"/>
  <c r="AG55" i="278"/>
  <c r="AF55" i="278"/>
  <c r="AH54" i="278"/>
  <c r="AG54" i="278"/>
  <c r="AF54" i="278"/>
  <c r="AH53" i="278"/>
  <c r="AG53" i="278"/>
  <c r="AF53" i="278"/>
  <c r="AH52" i="278"/>
  <c r="AG52" i="278"/>
  <c r="AF52" i="278"/>
  <c r="AH51" i="278"/>
  <c r="AH50" i="278"/>
  <c r="AH49" i="278"/>
  <c r="AG49" i="278"/>
  <c r="AF49" i="278"/>
  <c r="AH48" i="278"/>
  <c r="AG48" i="278"/>
  <c r="AF48" i="278"/>
  <c r="AH47" i="278"/>
  <c r="AG47" i="278"/>
  <c r="AF47" i="278"/>
  <c r="AH46" i="278"/>
  <c r="AG46" i="278"/>
  <c r="AF46" i="278"/>
  <c r="AH45" i="278"/>
  <c r="AG45" i="278"/>
  <c r="AF45" i="278"/>
  <c r="AH44" i="278"/>
  <c r="AG44" i="278"/>
  <c r="AF44" i="278"/>
  <c r="AH43" i="278"/>
  <c r="AG43" i="278"/>
  <c r="AF43" i="278"/>
  <c r="AH42" i="278"/>
  <c r="AG42" i="278"/>
  <c r="AF42" i="278"/>
  <c r="AH41" i="278"/>
  <c r="AG41" i="278"/>
  <c r="AF41" i="278"/>
  <c r="AH40" i="278"/>
  <c r="AG40" i="278"/>
  <c r="AF40" i="278"/>
  <c r="AH39" i="278"/>
  <c r="AG39" i="278"/>
  <c r="AF39" i="278"/>
  <c r="AH38" i="278"/>
  <c r="AG38" i="278"/>
  <c r="AF38" i="278"/>
  <c r="AH37" i="278"/>
  <c r="AG37" i="278"/>
  <c r="AF37" i="278"/>
  <c r="AH36" i="278"/>
  <c r="AG36" i="278"/>
  <c r="AF36" i="278"/>
  <c r="AI35" i="278"/>
  <c r="AC34" i="278"/>
  <c r="AC96" i="278" s="1"/>
  <c r="AB34" i="278"/>
  <c r="AB96" i="278" s="1"/>
  <c r="AA34" i="278"/>
  <c r="AA96" i="278" s="1"/>
  <c r="Z34" i="278"/>
  <c r="Z96" i="278" s="1"/>
  <c r="Y34" i="278"/>
  <c r="Y96" i="278" s="1"/>
  <c r="X34" i="278"/>
  <c r="X96" i="278" s="1"/>
  <c r="W34" i="278"/>
  <c r="W96" i="278" s="1"/>
  <c r="V34" i="278"/>
  <c r="V96" i="278" s="1"/>
  <c r="U34" i="278"/>
  <c r="U96" i="278" s="1"/>
  <c r="T34" i="278"/>
  <c r="T96" i="278" s="1"/>
  <c r="S34" i="278"/>
  <c r="S96" i="278" s="1"/>
  <c r="R34" i="278"/>
  <c r="R96" i="278" s="1"/>
  <c r="Q34" i="278"/>
  <c r="Q96" i="278" s="1"/>
  <c r="P34" i="278"/>
  <c r="P96" i="278" s="1"/>
  <c r="O34" i="278"/>
  <c r="O96" i="278" s="1"/>
  <c r="N34" i="278"/>
  <c r="N96" i="278" s="1"/>
  <c r="M34" i="278"/>
  <c r="M96" i="278" s="1"/>
  <c r="L34" i="278"/>
  <c r="L96" i="278" s="1"/>
  <c r="K34" i="278"/>
  <c r="K96" i="278" s="1"/>
  <c r="J34" i="278"/>
  <c r="J96" i="278" s="1"/>
  <c r="I34" i="278"/>
  <c r="I96" i="278" s="1"/>
  <c r="H34" i="278"/>
  <c r="H96" i="278" s="1"/>
  <c r="G34" i="278"/>
  <c r="G96" i="278" s="1"/>
  <c r="F34" i="278"/>
  <c r="F96" i="278" s="1"/>
  <c r="C34" i="278"/>
  <c r="B34" i="278"/>
  <c r="AH33" i="278"/>
  <c r="AG33" i="278"/>
  <c r="AF33" i="278"/>
  <c r="AI32" i="278"/>
  <c r="AC31" i="278"/>
  <c r="AC93" i="278" s="1"/>
  <c r="AB31" i="278"/>
  <c r="AB93" i="278" s="1"/>
  <c r="AA31" i="278"/>
  <c r="AA93" i="278" s="1"/>
  <c r="Z31" i="278"/>
  <c r="Z93" i="278" s="1"/>
  <c r="Y31" i="278"/>
  <c r="Y93" i="278" s="1"/>
  <c r="X31" i="278"/>
  <c r="X93" i="278" s="1"/>
  <c r="W31" i="278"/>
  <c r="V31" i="278"/>
  <c r="U31" i="278"/>
  <c r="U93" i="278" s="1"/>
  <c r="T31" i="278"/>
  <c r="S31" i="278"/>
  <c r="R31" i="278"/>
  <c r="R93" i="278" s="1"/>
  <c r="Q31" i="278"/>
  <c r="Q93" i="278" s="1"/>
  <c r="P31" i="278"/>
  <c r="P93" i="278" s="1"/>
  <c r="O31" i="278"/>
  <c r="O93" i="278" s="1"/>
  <c r="N31" i="278"/>
  <c r="N93" i="278" s="1"/>
  <c r="M31" i="278"/>
  <c r="M93" i="278" s="1"/>
  <c r="L31" i="278"/>
  <c r="L93" i="278" s="1"/>
  <c r="K31" i="278"/>
  <c r="K93" i="278" s="1"/>
  <c r="J31" i="278"/>
  <c r="J93" i="278" s="1"/>
  <c r="I31" i="278"/>
  <c r="I93" i="278" s="1"/>
  <c r="H31" i="278"/>
  <c r="H93" i="278" s="1"/>
  <c r="G31" i="278"/>
  <c r="G93" i="278" s="1"/>
  <c r="F31" i="278"/>
  <c r="F93" i="278" s="1"/>
  <c r="C31" i="278"/>
  <c r="B31" i="278"/>
  <c r="AI28" i="278"/>
  <c r="AH28" i="278"/>
  <c r="AG28" i="278"/>
  <c r="AF28" i="278"/>
  <c r="AH27" i="278"/>
  <c r="AG27" i="278"/>
  <c r="AF27" i="278"/>
  <c r="AI26" i="278"/>
  <c r="AC25" i="278"/>
  <c r="AB25" i="278"/>
  <c r="AA25" i="278"/>
  <c r="Z25" i="278"/>
  <c r="Y25" i="278"/>
  <c r="X25" i="278"/>
  <c r="W25" i="278"/>
  <c r="V25" i="278"/>
  <c r="U25" i="278"/>
  <c r="T25" i="278"/>
  <c r="S25" i="278"/>
  <c r="R25" i="278"/>
  <c r="Q25" i="278"/>
  <c r="P25" i="278"/>
  <c r="O25" i="278"/>
  <c r="O89" i="278" s="1"/>
  <c r="N25" i="278"/>
  <c r="N89" i="278" s="1"/>
  <c r="M25" i="278"/>
  <c r="M89" i="278" s="1"/>
  <c r="L25" i="278"/>
  <c r="L89" i="278" s="1"/>
  <c r="K25" i="278"/>
  <c r="K89" i="278" s="1"/>
  <c r="J25" i="278"/>
  <c r="I25" i="278"/>
  <c r="I89" i="278" s="1"/>
  <c r="H25" i="278"/>
  <c r="G25" i="278"/>
  <c r="F25" i="278"/>
  <c r="C25" i="278"/>
  <c r="AH24" i="278"/>
  <c r="AG24" i="278"/>
  <c r="AF24" i="278"/>
  <c r="AI23" i="278"/>
  <c r="AC22" i="278"/>
  <c r="AB22" i="278"/>
  <c r="AB89" i="278" s="1"/>
  <c r="AA22" i="278"/>
  <c r="Z22" i="278"/>
  <c r="Z89" i="278" s="1"/>
  <c r="Y22" i="278"/>
  <c r="Y89" i="278" s="1"/>
  <c r="X22" i="278"/>
  <c r="W22" i="278"/>
  <c r="W89" i="278" s="1"/>
  <c r="V22" i="278"/>
  <c r="V89" i="278" s="1"/>
  <c r="U22" i="278"/>
  <c r="U89" i="278" s="1"/>
  <c r="T22" i="278"/>
  <c r="T89" i="278" s="1"/>
  <c r="S22" i="278"/>
  <c r="S89" i="278" s="1"/>
  <c r="R22" i="278"/>
  <c r="Q22" i="278"/>
  <c r="P22" i="278"/>
  <c r="O22" i="278"/>
  <c r="N22" i="278"/>
  <c r="M22" i="278"/>
  <c r="L22" i="278"/>
  <c r="K22" i="278"/>
  <c r="J22" i="278"/>
  <c r="I22" i="278"/>
  <c r="H22" i="278"/>
  <c r="G22" i="278"/>
  <c r="F22" i="278"/>
  <c r="C22" i="278"/>
  <c r="C83" i="278" s="1"/>
  <c r="B22" i="278"/>
  <c r="AH21" i="278"/>
  <c r="AG21" i="278"/>
  <c r="AF21" i="278"/>
  <c r="AH20" i="278"/>
  <c r="AG20" i="278"/>
  <c r="AF20" i="278"/>
  <c r="AH19" i="278"/>
  <c r="AG19" i="278"/>
  <c r="AF19" i="278"/>
  <c r="AI18" i="278"/>
  <c r="AC17" i="278"/>
  <c r="AB17" i="278"/>
  <c r="AA17" i="278"/>
  <c r="Z17" i="278"/>
  <c r="Y17" i="278"/>
  <c r="X17" i="278"/>
  <c r="W17" i="278"/>
  <c r="W91" i="278" s="1"/>
  <c r="V17" i="278"/>
  <c r="V91" i="278" s="1"/>
  <c r="U17" i="278"/>
  <c r="T17" i="278"/>
  <c r="S17" i="278"/>
  <c r="R17" i="278"/>
  <c r="Q17" i="278"/>
  <c r="P17" i="278"/>
  <c r="O17" i="278"/>
  <c r="N17" i="278"/>
  <c r="M17" i="278"/>
  <c r="L17" i="278"/>
  <c r="L91" i="278" s="1"/>
  <c r="K17" i="278"/>
  <c r="K91" i="278" s="1"/>
  <c r="J17" i="278"/>
  <c r="J91" i="278" s="1"/>
  <c r="I17" i="278"/>
  <c r="I91" i="278" s="1"/>
  <c r="H17" i="278"/>
  <c r="H91" i="278" s="1"/>
  <c r="G17" i="278"/>
  <c r="F17" i="278"/>
  <c r="C17" i="278"/>
  <c r="B17" i="278"/>
  <c r="B83" i="278" s="1"/>
  <c r="AH16" i="278"/>
  <c r="AG16" i="278"/>
  <c r="AF16" i="278"/>
  <c r="AH15" i="278"/>
  <c r="AG15" i="278"/>
  <c r="AF15" i="278"/>
  <c r="AH14" i="278"/>
  <c r="AG14" i="278"/>
  <c r="AF14" i="278"/>
  <c r="AH13" i="278"/>
  <c r="AG13" i="278"/>
  <c r="AF13" i="278"/>
  <c r="AI12" i="278"/>
  <c r="M9" i="278" a="1"/>
  <c r="M9" i="278" s="1"/>
  <c r="AE427" i="260"/>
  <c r="AB64" i="277"/>
  <c r="AB63" i="277"/>
  <c r="AE426" i="260"/>
  <c r="AA64" i="277"/>
  <c r="AA63" i="277"/>
  <c r="Z106" i="277"/>
  <c r="AE425" i="260"/>
  <c r="Z64" i="277"/>
  <c r="Z63" i="277"/>
  <c r="F788" i="88"/>
  <c r="AE424" i="260"/>
  <c r="W424" i="260"/>
  <c r="Y64" i="277"/>
  <c r="Y63" i="277"/>
  <c r="F802" i="88"/>
  <c r="F803" i="88"/>
  <c r="F804" i="88"/>
  <c r="F794" i="88"/>
  <c r="F799" i="88"/>
  <c r="F769" i="88"/>
  <c r="AC89" i="278" l="1"/>
  <c r="AA89" i="278"/>
  <c r="X89" i="278"/>
  <c r="P89" i="278"/>
  <c r="N110" i="278"/>
  <c r="N91" i="278"/>
  <c r="J89" i="278"/>
  <c r="F89" i="278"/>
  <c r="F110" i="278"/>
  <c r="M83" i="278"/>
  <c r="J109" i="278"/>
  <c r="P110" i="278"/>
  <c r="Q83" i="278"/>
  <c r="V109" i="278"/>
  <c r="K109" i="278"/>
  <c r="L109" i="278"/>
  <c r="N109" i="278"/>
  <c r="W109" i="278"/>
  <c r="H109" i="278"/>
  <c r="K110" i="278"/>
  <c r="L110" i="278"/>
  <c r="AC83" i="278"/>
  <c r="Q89" i="278"/>
  <c r="S83" i="278"/>
  <c r="T110" i="278"/>
  <c r="W83" i="278"/>
  <c r="R89" i="278"/>
  <c r="X83" i="278"/>
  <c r="Y110" i="278"/>
  <c r="Z83" i="278"/>
  <c r="G83" i="278"/>
  <c r="AA83" i="278"/>
  <c r="AB83" i="278"/>
  <c r="U110" i="278"/>
  <c r="R83" i="278"/>
  <c r="M110" i="278"/>
  <c r="AA91" i="278"/>
  <c r="AA109" i="278" s="1"/>
  <c r="AB91" i="278"/>
  <c r="AB109" i="278" s="1"/>
  <c r="AC91" i="278"/>
  <c r="AC109" i="278" s="1"/>
  <c r="Z91" i="278"/>
  <c r="Z109" i="278" s="1"/>
  <c r="G91" i="278"/>
  <c r="G109" i="278" s="1"/>
  <c r="Y91" i="278"/>
  <c r="Y109" i="278" s="1"/>
  <c r="X91" i="278"/>
  <c r="X109" i="278" s="1"/>
  <c r="F91" i="278"/>
  <c r="F109" i="278" s="1"/>
  <c r="L99" i="278"/>
  <c r="L103" i="278" s="1"/>
  <c r="L108" i="278" s="1"/>
  <c r="L83" i="278"/>
  <c r="I103" i="278"/>
  <c r="I108" i="278" s="1"/>
  <c r="I83" i="278"/>
  <c r="J83" i="278"/>
  <c r="N83" i="278"/>
  <c r="N99" i="278"/>
  <c r="N103" i="278" s="1"/>
  <c r="N108" i="278" s="1"/>
  <c r="O83" i="278"/>
  <c r="J103" i="278"/>
  <c r="J108" i="278" s="1"/>
  <c r="V103" i="278"/>
  <c r="V108" i="278" s="1"/>
  <c r="K99" i="278"/>
  <c r="K103" i="278" s="1"/>
  <c r="K108" i="278" s="1"/>
  <c r="K83" i="278"/>
  <c r="W103" i="278"/>
  <c r="W108" i="278" s="1"/>
  <c r="O103" i="278"/>
  <c r="O108" i="278" s="1"/>
  <c r="Z103" i="278"/>
  <c r="Z108" i="278" s="1"/>
  <c r="AA103" i="278"/>
  <c r="AA108" i="278" s="1"/>
  <c r="I109" i="278"/>
  <c r="O110" i="278"/>
  <c r="P83" i="278"/>
  <c r="W110" i="278"/>
  <c r="AF50" i="278"/>
  <c r="AF56" i="278"/>
  <c r="U83" i="278"/>
  <c r="M91" i="278"/>
  <c r="M109" i="278" s="1"/>
  <c r="X110" i="278"/>
  <c r="Z110" i="278"/>
  <c r="F65" i="278"/>
  <c r="F99" i="278" s="1"/>
  <c r="P91" i="278"/>
  <c r="P109" i="278" s="1"/>
  <c r="G110" i="278"/>
  <c r="AA110" i="278"/>
  <c r="H65" i="278"/>
  <c r="H99" i="278" s="1"/>
  <c r="H103" i="278" s="1"/>
  <c r="H108" i="278" s="1"/>
  <c r="Y83" i="278"/>
  <c r="Q91" i="278"/>
  <c r="Q109" i="278" s="1"/>
  <c r="H110" i="278"/>
  <c r="AB110" i="278"/>
  <c r="AG51" i="278"/>
  <c r="R91" i="278"/>
  <c r="R109" i="278" s="1"/>
  <c r="I110" i="278"/>
  <c r="AC110" i="278"/>
  <c r="V110" i="278"/>
  <c r="AH56" i="278"/>
  <c r="O91" i="278"/>
  <c r="O109" i="278" s="1"/>
  <c r="S91" i="278"/>
  <c r="S109" i="278" s="1"/>
  <c r="J110" i="278"/>
  <c r="T83" i="278"/>
  <c r="AG50" i="278"/>
  <c r="AF64" i="278"/>
  <c r="T91" i="278"/>
  <c r="T109" i="278" s="1"/>
  <c r="R110" i="278"/>
  <c r="S110" i="278"/>
  <c r="AF51" i="278"/>
  <c r="AF63" i="278"/>
  <c r="U91" i="278"/>
  <c r="U109" i="278" s="1"/>
  <c r="Q110" i="278"/>
  <c r="AI61" i="278"/>
  <c r="V83" i="278"/>
  <c r="AE423" i="260"/>
  <c r="W423" i="260"/>
  <c r="X64" i="277"/>
  <c r="X62" i="277"/>
  <c r="AE422" i="260"/>
  <c r="W422" i="260"/>
  <c r="W64" i="277"/>
  <c r="W62" i="277"/>
  <c r="F798" i="88"/>
  <c r="F796" i="88"/>
  <c r="C35" i="177" a="1"/>
  <c r="AC103" i="278" l="1"/>
  <c r="AC108" i="278" s="1"/>
  <c r="AB103" i="278"/>
  <c r="AB108" i="278" s="1"/>
  <c r="Y103" i="278"/>
  <c r="Y108" i="278" s="1"/>
  <c r="X103" i="278"/>
  <c r="X108" i="278" s="1"/>
  <c r="S103" i="278"/>
  <c r="S108" i="278" s="1"/>
  <c r="M103" i="278"/>
  <c r="M108" i="278" s="1"/>
  <c r="F83" i="278"/>
  <c r="G103" i="278"/>
  <c r="G108" i="278" s="1"/>
  <c r="F103" i="278"/>
  <c r="F108" i="278" s="1"/>
  <c r="U103" i="278"/>
  <c r="U108" i="278" s="1"/>
  <c r="T103" i="278"/>
  <c r="T108" i="278" s="1"/>
  <c r="R103" i="278"/>
  <c r="R108" i="278" s="1"/>
  <c r="P103" i="278"/>
  <c r="P108" i="278" s="1"/>
  <c r="Q103" i="278"/>
  <c r="Q108" i="278" s="1"/>
  <c r="H83" i="278"/>
  <c r="C35" i="177"/>
  <c r="AE421" i="260"/>
  <c r="W421" i="260"/>
  <c r="V64" i="277"/>
  <c r="V62" i="277"/>
  <c r="AE420" i="260"/>
  <c r="W420" i="260"/>
  <c r="U64" i="277"/>
  <c r="U62" i="277"/>
  <c r="F792" i="88"/>
  <c r="W419" i="260"/>
  <c r="T64" i="277"/>
  <c r="T62" i="277"/>
  <c r="W418" i="260"/>
  <c r="S64" i="277"/>
  <c r="S62" i="277"/>
  <c r="F791" i="88"/>
  <c r="F789" i="88"/>
  <c r="W417" i="260"/>
  <c r="F793" i="88"/>
  <c r="F795" i="88"/>
  <c r="R63" i="277"/>
  <c r="Q63" i="277"/>
  <c r="P63" i="277"/>
  <c r="O63" i="277"/>
  <c r="N63" i="277"/>
  <c r="L63" i="277"/>
  <c r="K63" i="277"/>
  <c r="J63" i="277"/>
  <c r="I63" i="277"/>
  <c r="H63" i="277"/>
  <c r="F725" i="88"/>
  <c r="K64" i="277"/>
  <c r="J64" i="277"/>
  <c r="I64" i="277"/>
  <c r="H64" i="277"/>
  <c r="F64" i="277"/>
  <c r="AC64" i="276"/>
  <c r="R62" i="277"/>
  <c r="F785" i="88"/>
  <c r="W416" i="260"/>
  <c r="Q62" i="277"/>
  <c r="F786" i="88"/>
  <c r="W415" i="260"/>
  <c r="AE415" i="260"/>
  <c r="P47" i="177" a="1"/>
  <c r="Z43" i="177" a="1"/>
  <c r="M49" i="177" a="1"/>
  <c r="L35" i="177" a="1"/>
  <c r="I46" i="177" a="1"/>
  <c r="R48" i="177" a="1"/>
  <c r="W37" i="177" a="1"/>
  <c r="D43" i="177" a="1"/>
  <c r="M42" i="177" a="1"/>
  <c r="E40" i="177" a="1"/>
  <c r="E36" i="177" a="1"/>
  <c r="I50" i="177" a="1"/>
  <c r="G47" i="177" a="1"/>
  <c r="U46" i="177" a="1"/>
  <c r="K46" i="177" a="1"/>
  <c r="J45" i="177" a="1"/>
  <c r="J35" i="177" a="1"/>
  <c r="I42" i="177" a="1"/>
  <c r="T46" i="177" a="1"/>
  <c r="Q43" i="177" a="1"/>
  <c r="T49" i="177" a="1"/>
  <c r="C49" i="177" a="1"/>
  <c r="L45" i="177" a="1"/>
  <c r="Y46" i="177" a="1"/>
  <c r="X49" i="177" a="1"/>
  <c r="N44" i="177" a="1"/>
  <c r="P49" i="177" a="1"/>
  <c r="X47" i="177" a="1"/>
  <c r="T42" i="177" a="1"/>
  <c r="Y35" i="177" a="1"/>
  <c r="K40" i="177" a="1"/>
  <c r="L42" i="177" a="1"/>
  <c r="H38" i="177" a="1"/>
  <c r="F49" i="177" a="1"/>
  <c r="P36" i="177" a="1"/>
  <c r="N36" i="177" a="1"/>
  <c r="C38" i="177" a="1"/>
  <c r="U37" i="177" a="1"/>
  <c r="E38" i="177" a="1"/>
  <c r="K42" i="177" a="1"/>
  <c r="U44" i="177" a="1"/>
  <c r="I41" i="177" a="1"/>
  <c r="X37" i="177" a="1"/>
  <c r="Q50" i="177" a="1"/>
  <c r="C4" i="177" a="1"/>
  <c r="M41" i="177" a="1"/>
  <c r="Y49" i="177" a="1"/>
  <c r="Q48" i="177" a="1"/>
  <c r="Q47" i="177" a="1"/>
  <c r="Q49" i="177" a="1"/>
  <c r="N37" i="177" a="1"/>
  <c r="D39" i="177" a="1"/>
  <c r="E39" i="177" a="1"/>
  <c r="N49" i="177" a="1"/>
  <c r="P43" i="177" a="1"/>
  <c r="R41" i="177" a="1"/>
  <c r="J43" i="177" a="1"/>
  <c r="E48" i="177" a="1"/>
  <c r="O49" i="177" a="1"/>
  <c r="H35" i="177" a="1"/>
  <c r="T37" i="177" a="1"/>
  <c r="F36" i="177" a="1"/>
  <c r="W41" i="177" a="1"/>
  <c r="F38" i="177" a="1"/>
  <c r="Q36" i="177" a="1"/>
  <c r="N48" i="177" a="1"/>
  <c r="G42" i="177" a="1"/>
  <c r="V37" i="177" a="1"/>
  <c r="P37" i="177" a="1"/>
  <c r="M50" i="177" a="1"/>
  <c r="I39" i="177" a="1"/>
  <c r="T38" i="177" a="1"/>
  <c r="K35" i="177" a="1"/>
  <c r="X48" i="177" a="1"/>
  <c r="Z50" i="177" a="1"/>
  <c r="Z44" i="177" a="1"/>
  <c r="W40" i="177" a="1"/>
  <c r="Z47" i="177" a="1"/>
  <c r="U47" i="177" a="1"/>
  <c r="J39" i="177" a="1"/>
  <c r="P45" i="177" a="1"/>
  <c r="K48" i="177" a="1"/>
  <c r="I40" i="177" a="1"/>
  <c r="S40" i="177" a="1"/>
  <c r="Y40" i="177" a="1"/>
  <c r="C42" i="177" a="1"/>
  <c r="F48" i="177" a="1"/>
  <c r="V42" i="177" a="1"/>
  <c r="Q41" i="177" a="1"/>
  <c r="C46" i="177" a="1"/>
  <c r="L37" i="177" a="1"/>
  <c r="J50" i="177" a="1"/>
  <c r="S45" i="177" a="1"/>
  <c r="K39" i="177" a="1"/>
  <c r="D44" i="177" a="1"/>
  <c r="Q42" i="177" a="1"/>
  <c r="T35" i="177" a="1"/>
  <c r="M47" i="177" a="1"/>
  <c r="G35" i="177" a="1"/>
  <c r="Z36" i="177" a="1"/>
  <c r="X44" i="177" a="1"/>
  <c r="L36" i="177" a="1"/>
  <c r="D48" i="177" a="1"/>
  <c r="C43" i="177" a="1"/>
  <c r="I38" i="177" a="1"/>
  <c r="K41" i="177" a="1"/>
  <c r="E37" i="177" a="1"/>
  <c r="W45" i="177" a="1"/>
  <c r="S41" i="177" a="1"/>
  <c r="T50" i="177" a="1"/>
  <c r="V40" i="177" a="1"/>
  <c r="H36" i="177" a="1"/>
  <c r="E44" i="177" a="1"/>
  <c r="U50" i="177" a="1"/>
  <c r="N43" i="177" a="1"/>
  <c r="R50" i="177" a="1"/>
  <c r="N41" i="177" a="1"/>
  <c r="H47" i="177" a="1"/>
  <c r="F40" i="177" a="1"/>
  <c r="V49" i="177" a="1"/>
  <c r="E43" i="177" a="1"/>
  <c r="H46" i="177" a="1"/>
  <c r="D37" i="177" a="1"/>
  <c r="O50" i="177" a="1"/>
  <c r="F50" i="177" a="1"/>
  <c r="D42" i="177" a="1"/>
  <c r="X39" i="177" a="1"/>
  <c r="U43" i="177" a="1"/>
  <c r="H45" i="177" a="1"/>
  <c r="R37" i="177" a="1"/>
  <c r="G40" i="177" a="1"/>
  <c r="Y37" i="177" a="1"/>
  <c r="M44" i="177" a="1"/>
  <c r="T43" i="177" a="1"/>
  <c r="H48" i="177" a="1"/>
  <c r="P35" i="177" a="1"/>
  <c r="D35" i="177" a="1"/>
  <c r="R45" i="177" a="1"/>
  <c r="I36" i="177" a="1"/>
  <c r="I37" i="177" a="1"/>
  <c r="S42" i="177" a="1"/>
  <c r="G48" i="177" a="1"/>
  <c r="P50" i="177" a="1"/>
  <c r="U45" i="177" a="1"/>
  <c r="X35" i="177" a="1"/>
  <c r="U48" i="177" a="1"/>
  <c r="R44" i="177" a="1"/>
  <c r="Y48" i="177" a="1"/>
  <c r="S38" i="177" a="1"/>
  <c r="O41" i="177" a="1"/>
  <c r="L38" i="177" a="1"/>
  <c r="W35" i="177" a="1"/>
  <c r="D49" i="177" a="1"/>
  <c r="I43" i="177" a="1"/>
  <c r="R38" i="177" a="1"/>
  <c r="K45" i="177" a="1"/>
  <c r="F45" i="177" a="1"/>
  <c r="G50" i="177" a="1"/>
  <c r="L47" i="177" a="1"/>
  <c r="G36" i="177" a="1"/>
  <c r="E50" i="177" a="1"/>
  <c r="S43" i="177" a="1"/>
  <c r="Q37" i="177" a="1"/>
  <c r="O38" i="177" a="1"/>
  <c r="O44" i="177" a="1"/>
  <c r="K50" i="177" a="1"/>
  <c r="Y44" i="177" a="1"/>
  <c r="S35" i="177" a="1"/>
  <c r="M45" i="177" a="1"/>
  <c r="Z38" i="177" a="1"/>
  <c r="E42" i="177" a="1"/>
  <c r="I48" i="177" a="1"/>
  <c r="V43" i="177" a="1"/>
  <c r="E41" i="177" a="1"/>
  <c r="Z42" i="177" a="1"/>
  <c r="J38" i="177" a="1"/>
  <c r="V46" i="177" a="1"/>
  <c r="K43" i="177" a="1"/>
  <c r="Q38" i="177" a="1"/>
  <c r="D36" i="177" a="1"/>
  <c r="P40" i="177" a="1"/>
  <c r="Z45" i="177" a="1"/>
  <c r="O35" i="177" a="1"/>
  <c r="P42" i="177" a="1"/>
  <c r="V35" i="177" a="1"/>
  <c r="R47" i="177" a="1"/>
  <c r="D46" i="177" a="1"/>
  <c r="Y45" i="177" a="1"/>
  <c r="Q39" i="177" a="1"/>
  <c r="N40" i="177" a="1"/>
  <c r="L41" i="177" a="1"/>
  <c r="O48" i="177" a="1"/>
  <c r="W48" i="177" a="1"/>
  <c r="O43" i="177" a="1"/>
  <c r="C48" i="177" a="1"/>
  <c r="V41" i="177" a="1"/>
  <c r="J46" i="177" a="1"/>
  <c r="S36" i="177" a="1"/>
  <c r="P38" i="177" a="1"/>
  <c r="G43" i="177" a="1"/>
  <c r="F43" i="177" a="1"/>
  <c r="Y42" i="177" a="1"/>
  <c r="U36" i="177" a="1"/>
  <c r="M43" i="177" a="1"/>
  <c r="F41" i="177" a="1"/>
  <c r="C37" i="177" a="1"/>
  <c r="J41" i="177" a="1"/>
  <c r="W36" i="177" a="1"/>
  <c r="C45" i="177" a="1"/>
  <c r="C50" i="177" a="1"/>
  <c r="V44" i="177" a="1"/>
  <c r="W49" i="177" a="1"/>
  <c r="Z35" i="177" a="1"/>
  <c r="V36" i="177" a="1"/>
  <c r="S49" i="177" a="1"/>
  <c r="Z41" i="177" a="1"/>
  <c r="W43" i="177" a="1"/>
  <c r="W42" i="177" a="1"/>
  <c r="J37" i="177" a="1"/>
  <c r="Q44" i="177" a="1"/>
  <c r="P41" i="177" a="1"/>
  <c r="E49" i="177" a="1"/>
  <c r="T40" i="177" a="1"/>
  <c r="S47" i="177" a="1"/>
  <c r="C36" i="177" a="1"/>
  <c r="F35" i="177" a="1"/>
  <c r="X50" i="177" a="1"/>
  <c r="S46" i="177" a="1"/>
  <c r="W47" i="177" a="1"/>
  <c r="N46" i="177" a="1"/>
  <c r="J47" i="177" a="1"/>
  <c r="X46" i="177" a="1"/>
  <c r="X38" i="177" a="1"/>
  <c r="O39" i="177" a="1"/>
  <c r="F39" i="177" a="1"/>
  <c r="H41" i="177" a="1"/>
  <c r="N47" i="177" a="1"/>
  <c r="R36" i="177" a="1"/>
  <c r="Y38" i="177" a="1"/>
  <c r="F37" i="177" a="1"/>
  <c r="V47" i="177" a="1"/>
  <c r="K47" i="177" a="1"/>
  <c r="E46" i="177" a="1"/>
  <c r="C11" i="177" a="1"/>
  <c r="G41" i="177" a="1"/>
  <c r="T44" i="177" a="1"/>
  <c r="Z39" i="177" a="1"/>
  <c r="F42" i="177" a="1"/>
  <c r="T47" i="177" a="1"/>
  <c r="Z40" i="177" a="1"/>
  <c r="J49" i="177" a="1"/>
  <c r="F44" i="177" a="1"/>
  <c r="T39" i="177" a="1"/>
  <c r="O45" i="177" a="1"/>
  <c r="N35" i="177" a="1"/>
  <c r="U42" i="177" a="1"/>
  <c r="S48" i="177" a="1"/>
  <c r="N39" i="177" a="1"/>
  <c r="L39" i="177" a="1"/>
  <c r="M46" i="177" a="1"/>
  <c r="L49" i="177" a="1"/>
  <c r="G49" i="177" a="1"/>
  <c r="H40" i="177" a="1"/>
  <c r="E47" i="177" a="1"/>
  <c r="W50" i="177" a="1"/>
  <c r="Z48" i="177" a="1"/>
  <c r="M40" i="177" a="1"/>
  <c r="Y47" i="177" a="1"/>
  <c r="G46" i="177" a="1"/>
  <c r="P46" i="177" a="1"/>
  <c r="O37" i="177" a="1"/>
  <c r="X42" i="177" a="1"/>
  <c r="G38" i="177" a="1"/>
  <c r="D45" i="177" a="1"/>
  <c r="W44" i="177" a="1"/>
  <c r="O46" i="177" a="1"/>
  <c r="K36" i="177" a="1"/>
  <c r="P39" i="177" a="1"/>
  <c r="D38" i="177" a="1"/>
  <c r="M36" i="177" a="1"/>
  <c r="L44" i="177" a="1"/>
  <c r="K49" i="177" a="1"/>
  <c r="L46" i="177" a="1"/>
  <c r="T36" i="177" a="1"/>
  <c r="T48" i="177" a="1"/>
  <c r="O47" i="177" a="1"/>
  <c r="O40" i="177" a="1"/>
  <c r="Z37" i="177" a="1"/>
  <c r="H37" i="177" a="1"/>
  <c r="V39" i="177" a="1"/>
  <c r="Z46" i="177" a="1"/>
  <c r="K38" i="177" a="1"/>
  <c r="R42" i="177" a="1"/>
  <c r="Q46" i="177" a="1"/>
  <c r="P44" i="177" a="1"/>
  <c r="F46" i="177" a="1"/>
  <c r="X45" i="177" a="1"/>
  <c r="N42" i="177" a="1"/>
  <c r="U39" i="177" a="1"/>
  <c r="C39" i="177" a="1"/>
  <c r="S50" i="177" a="1"/>
  <c r="K37" i="177" a="1"/>
  <c r="L40" i="177" a="1"/>
  <c r="Y36" i="177" a="1"/>
  <c r="F47" i="177" a="1"/>
  <c r="V45" i="177" a="1"/>
  <c r="H43" i="177" a="1"/>
  <c r="J36" i="177" a="1"/>
  <c r="X41" i="177" a="1"/>
  <c r="D50" i="177" a="1"/>
  <c r="V48" i="177" a="1"/>
  <c r="Y41" i="177" a="1"/>
  <c r="R35" i="177" a="1"/>
  <c r="W39" i="177" a="1"/>
  <c r="G44" i="177" a="1"/>
  <c r="G39" i="177" a="1"/>
  <c r="R43" i="177" a="1"/>
  <c r="Y50" i="177" a="1"/>
  <c r="D40" i="177" a="1"/>
  <c r="J44" i="177" a="1"/>
  <c r="H39" i="177" a="1"/>
  <c r="M37" i="177" a="1"/>
  <c r="Q35" i="177" a="1"/>
  <c r="I47" i="177" a="1"/>
  <c r="V50" i="177" a="1"/>
  <c r="I45" i="177" a="1"/>
  <c r="W38" i="177" a="1"/>
  <c r="R49" i="177" a="1"/>
  <c r="T45" i="177" a="1"/>
  <c r="I44" i="177" a="1"/>
  <c r="E35" i="177" a="1"/>
  <c r="D47" i="177" a="1"/>
  <c r="U40" i="177" a="1"/>
  <c r="C47" i="177" a="1"/>
  <c r="I49" i="177" a="1"/>
  <c r="H44" i="177" a="1"/>
  <c r="Y43" i="177" a="1"/>
  <c r="Q45" i="177" a="1"/>
  <c r="G45" i="177" a="1"/>
  <c r="J42" i="177" a="1"/>
  <c r="H50" i="177" a="1"/>
  <c r="N38" i="177" a="1"/>
  <c r="N45" i="177" a="1"/>
  <c r="P48" i="177" a="1"/>
  <c r="O36" i="177" a="1"/>
  <c r="K44" i="177" a="1"/>
  <c r="X40" i="177" a="1"/>
  <c r="G37" i="177" a="1"/>
  <c r="D41" i="177" a="1"/>
  <c r="U41" i="177" a="1"/>
  <c r="X43" i="177" a="1"/>
  <c r="M35" i="177" a="1"/>
  <c r="H49" i="177" a="1"/>
  <c r="L50" i="177" a="1"/>
  <c r="U38" i="177" a="1"/>
  <c r="E45" i="177" a="1"/>
  <c r="L43" i="177" a="1"/>
  <c r="C40" i="177" a="1"/>
  <c r="J40" i="177" a="1"/>
  <c r="O42" i="177" a="1"/>
  <c r="H42" i="177" a="1"/>
  <c r="U49" i="177" a="1"/>
  <c r="L48" i="177" a="1"/>
  <c r="Y39" i="177" a="1"/>
  <c r="M39" i="177" a="1"/>
  <c r="S37" i="177" a="1"/>
  <c r="Z49" i="177" a="1"/>
  <c r="W46" i="177" a="1"/>
  <c r="S39" i="177" a="1"/>
  <c r="U35" i="177" a="1"/>
  <c r="J48" i="177" a="1"/>
  <c r="C41" i="177" a="1"/>
  <c r="T41" i="177" a="1"/>
  <c r="R39" i="177" a="1"/>
  <c r="C44" i="177" a="1"/>
  <c r="Q40" i="177" a="1"/>
  <c r="S44" i="177" a="1"/>
  <c r="M38" i="177" a="1"/>
  <c r="X36" i="177" a="1"/>
  <c r="R46" i="177" a="1"/>
  <c r="N50" i="177" a="1"/>
  <c r="M48" i="177" a="1"/>
  <c r="I35" i="177" a="1"/>
  <c r="V38" i="177" a="1"/>
  <c r="R40" i="177" a="1"/>
  <c r="J48" i="177" l="1"/>
  <c r="N42" i="177"/>
  <c r="X37" i="177"/>
  <c r="U50" i="177"/>
  <c r="Y44" i="177"/>
  <c r="U36" i="177"/>
  <c r="G47" i="177"/>
  <c r="C43" i="177"/>
  <c r="N45" i="177"/>
  <c r="I41" i="177"/>
  <c r="W35" i="177"/>
  <c r="Q49" i="177"/>
  <c r="Q44" i="177"/>
  <c r="H41" i="177"/>
  <c r="R36" i="177"/>
  <c r="V35" i="177"/>
  <c r="L50" i="177"/>
  <c r="P49" i="177"/>
  <c r="T48" i="177"/>
  <c r="X47" i="177"/>
  <c r="D47" i="177"/>
  <c r="H46" i="177"/>
  <c r="L45" i="177"/>
  <c r="P44" i="177"/>
  <c r="T43" i="177"/>
  <c r="X42" i="177"/>
  <c r="D42" i="177"/>
  <c r="G41" i="177"/>
  <c r="E40" i="177"/>
  <c r="H39" i="177"/>
  <c r="K38" i="177"/>
  <c r="N37" i="177"/>
  <c r="Q36" i="177"/>
  <c r="V50" i="177"/>
  <c r="F49" i="177"/>
  <c r="F44" i="177"/>
  <c r="G36" i="177"/>
  <c r="Q46" i="177"/>
  <c r="M42" i="177"/>
  <c r="Y35" i="177"/>
  <c r="C48" i="177"/>
  <c r="S44" i="177"/>
  <c r="T36" i="177"/>
  <c r="N50" i="177"/>
  <c r="J46" i="177"/>
  <c r="F42" i="177"/>
  <c r="S36" i="177"/>
  <c r="M50" i="177"/>
  <c r="I46" i="177"/>
  <c r="E42" i="177"/>
  <c r="S48" i="177"/>
  <c r="O44" i="177"/>
  <c r="D40" i="177"/>
  <c r="U41" i="177"/>
  <c r="I49" i="177"/>
  <c r="Y45" i="177"/>
  <c r="E45" i="177"/>
  <c r="I44" i="177"/>
  <c r="Q42" i="177"/>
  <c r="X40" i="177"/>
  <c r="C40" i="177"/>
  <c r="F39" i="177"/>
  <c r="G37" i="177"/>
  <c r="N35" i="177"/>
  <c r="Z44" i="177"/>
  <c r="E49" i="177"/>
  <c r="K41" i="177"/>
  <c r="W43" i="177"/>
  <c r="M40" i="177"/>
  <c r="F47" i="177"/>
  <c r="P37" i="177"/>
  <c r="U43" i="177"/>
  <c r="O49" i="177"/>
  <c r="S43" i="177"/>
  <c r="M37" i="177"/>
  <c r="U46" i="177"/>
  <c r="M43" i="177"/>
  <c r="T41" i="177"/>
  <c r="C38" i="177"/>
  <c r="J36" i="177"/>
  <c r="N47" i="177"/>
  <c r="R39" i="177"/>
  <c r="Y49" i="177"/>
  <c r="I43" i="177"/>
  <c r="Q39" i="177"/>
  <c r="W48" i="177"/>
  <c r="Q37" i="177"/>
  <c r="V48" i="177"/>
  <c r="M38" i="177"/>
  <c r="M45" i="177"/>
  <c r="K45" i="177"/>
  <c r="J38" i="177"/>
  <c r="D50" i="177"/>
  <c r="P47" i="177"/>
  <c r="D45" i="177"/>
  <c r="H44" i="177"/>
  <c r="L43" i="177"/>
  <c r="P42" i="177"/>
  <c r="W40" i="177"/>
  <c r="Z39" i="177"/>
  <c r="F37" i="177"/>
  <c r="M35" i="177"/>
  <c r="R46" i="177"/>
  <c r="U38" i="177"/>
  <c r="M47" i="177"/>
  <c r="N40" i="177"/>
  <c r="S49" i="177"/>
  <c r="G42" i="177"/>
  <c r="V43" i="177"/>
  <c r="U48" i="177"/>
  <c r="I39" i="177"/>
  <c r="C47" i="177"/>
  <c r="G39" i="177"/>
  <c r="K36" i="177"/>
  <c r="M48" i="177"/>
  <c r="X45" i="177"/>
  <c r="S41" i="177"/>
  <c r="W38" i="177"/>
  <c r="Z37" i="177"/>
  <c r="I36" i="177"/>
  <c r="V45" i="177"/>
  <c r="E44" i="177"/>
  <c r="T38" i="177"/>
  <c r="O50" i="177"/>
  <c r="O45" i="177"/>
  <c r="P39" i="177"/>
  <c r="R49" i="177"/>
  <c r="Z42" i="177"/>
  <c r="L40" i="177"/>
  <c r="Y47" i="177"/>
  <c r="O37" i="177"/>
  <c r="G46" i="177"/>
  <c r="E50" i="177"/>
  <c r="X50" i="177"/>
  <c r="W50" i="177"/>
  <c r="O47" i="177"/>
  <c r="C45" i="177"/>
  <c r="K43" i="177"/>
  <c r="O42" i="177"/>
  <c r="V40" i="177"/>
  <c r="E37" i="177"/>
  <c r="L35" i="177"/>
  <c r="Z49" i="177"/>
  <c r="J43" i="177"/>
  <c r="D37" i="177"/>
  <c r="O40" i="177"/>
  <c r="E35" i="177"/>
  <c r="I48" i="177"/>
  <c r="U45" i="177"/>
  <c r="D35" i="177"/>
  <c r="K46" i="177"/>
  <c r="J41" i="177"/>
  <c r="X35" i="177"/>
  <c r="Z47" i="177"/>
  <c r="R44" i="177"/>
  <c r="E47" i="177"/>
  <c r="Y42" i="177"/>
  <c r="L38" i="177"/>
  <c r="K50" i="177"/>
  <c r="W47" i="177"/>
  <c r="W42" i="177"/>
  <c r="Y40" i="177"/>
  <c r="O35" i="177"/>
  <c r="Y50" i="177"/>
  <c r="Q47" i="177"/>
  <c r="H49" i="177"/>
  <c r="L48" i="177"/>
  <c r="T46" i="177"/>
  <c r="C50" i="177"/>
  <c r="G49" i="177"/>
  <c r="K48" i="177"/>
  <c r="S46" i="177"/>
  <c r="W45" i="177"/>
  <c r="G44" i="177"/>
  <c r="R41" i="177"/>
  <c r="S39" i="177"/>
  <c r="V38" i="177"/>
  <c r="Y37" i="177"/>
  <c r="H36" i="177"/>
  <c r="Q41" i="177"/>
  <c r="Y39" i="177"/>
  <c r="S38" i="177"/>
  <c r="C37" i="177"/>
  <c r="T50" i="177"/>
  <c r="D49" i="177"/>
  <c r="Z46" i="177"/>
  <c r="X44" i="177"/>
  <c r="H43" i="177"/>
  <c r="P41" i="177"/>
  <c r="X39" i="177"/>
  <c r="R38" i="177"/>
  <c r="T35" i="177"/>
  <c r="S50" i="177"/>
  <c r="W49" i="177"/>
  <c r="C49" i="177"/>
  <c r="G48" i="177"/>
  <c r="K47" i="177"/>
  <c r="O46" i="177"/>
  <c r="S45" i="177"/>
  <c r="I45" i="177"/>
  <c r="M44" i="177"/>
  <c r="C44" i="177"/>
  <c r="Q43" i="177"/>
  <c r="G43" i="177"/>
  <c r="K42" i="177"/>
  <c r="Y41" i="177"/>
  <c r="O41" i="177"/>
  <c r="E41" i="177"/>
  <c r="S40" i="177"/>
  <c r="I40" i="177"/>
  <c r="W39" i="177"/>
  <c r="M39" i="177"/>
  <c r="C39" i="177"/>
  <c r="Q38" i="177"/>
  <c r="G38" i="177"/>
  <c r="U37" i="177"/>
  <c r="K37" i="177"/>
  <c r="Y36" i="177"/>
  <c r="O36" i="177"/>
  <c r="E36" i="177"/>
  <c r="S35" i="177"/>
  <c r="I35" i="177"/>
  <c r="K40" i="177"/>
  <c r="O39" i="177"/>
  <c r="I38" i="177"/>
  <c r="K35" i="177"/>
  <c r="X49" i="177"/>
  <c r="H48" i="177"/>
  <c r="F46" i="177"/>
  <c r="N44" i="177"/>
  <c r="Z41" i="177"/>
  <c r="T40" i="177"/>
  <c r="N39" i="177"/>
  <c r="D39" i="177"/>
  <c r="H38" i="177"/>
  <c r="L37" i="177"/>
  <c r="J35" i="177"/>
  <c r="I50" i="177"/>
  <c r="M49" i="177"/>
  <c r="Q48" i="177"/>
  <c r="U47" i="177"/>
  <c r="Y46" i="177"/>
  <c r="E46" i="177"/>
  <c r="W44" i="177"/>
  <c r="U42" i="177"/>
  <c r="J45" i="177"/>
  <c r="J40" i="177"/>
  <c r="R50" i="177"/>
  <c r="Z48" i="177"/>
  <c r="F48" i="177"/>
  <c r="J47" i="177"/>
  <c r="N46" i="177"/>
  <c r="R45" i="177"/>
  <c r="V44" i="177"/>
  <c r="Z43" i="177"/>
  <c r="P43" i="177"/>
  <c r="T42" i="177"/>
  <c r="X41" i="177"/>
  <c r="N41" i="177"/>
  <c r="D41" i="177"/>
  <c r="R40" i="177"/>
  <c r="H40" i="177"/>
  <c r="V39" i="177"/>
  <c r="Z38" i="177"/>
  <c r="P38" i="177"/>
  <c r="F38" i="177"/>
  <c r="T37" i="177"/>
  <c r="J37" i="177"/>
  <c r="X36" i="177"/>
  <c r="N36" i="177"/>
  <c r="D36" i="177"/>
  <c r="R35" i="177"/>
  <c r="H35" i="177"/>
  <c r="R48" i="177"/>
  <c r="D44" i="177"/>
  <c r="Z36" i="177"/>
  <c r="L49" i="177"/>
  <c r="P48" i="177"/>
  <c r="T47" i="177"/>
  <c r="X46" i="177"/>
  <c r="D46" i="177"/>
  <c r="H45" i="177"/>
  <c r="L44" i="177"/>
  <c r="F43" i="177"/>
  <c r="J42" i="177"/>
  <c r="L39" i="177"/>
  <c r="W37" i="177"/>
  <c r="P46" i="177"/>
  <c r="L42" i="177"/>
  <c r="P36" i="177"/>
  <c r="G50" i="177"/>
  <c r="E48" i="177"/>
  <c r="W46" i="177"/>
  <c r="M46" i="177"/>
  <c r="G45" i="177"/>
  <c r="U44" i="177"/>
  <c r="K44" i="177"/>
  <c r="Y43" i="177"/>
  <c r="O43" i="177"/>
  <c r="E43" i="177"/>
  <c r="S42" i="177"/>
  <c r="I42" i="177"/>
  <c r="W41" i="177"/>
  <c r="M41" i="177"/>
  <c r="Q40" i="177"/>
  <c r="G40" i="177"/>
  <c r="U39" i="177"/>
  <c r="K39" i="177"/>
  <c r="Y38" i="177"/>
  <c r="O38" i="177"/>
  <c r="E38" i="177"/>
  <c r="S37" i="177"/>
  <c r="I37" i="177"/>
  <c r="W36" i="177"/>
  <c r="M36" i="177"/>
  <c r="C36" i="177"/>
  <c r="Q35" i="177"/>
  <c r="G35" i="177"/>
  <c r="V47" i="177"/>
  <c r="V42" i="177"/>
  <c r="F36" i="177"/>
  <c r="U49" i="177"/>
  <c r="S47" i="177"/>
  <c r="Q45" i="177"/>
  <c r="C41" i="177"/>
  <c r="C42" i="177"/>
  <c r="U40" i="177"/>
  <c r="E39" i="177"/>
  <c r="U35" i="177"/>
  <c r="J50" i="177"/>
  <c r="N49" i="177"/>
  <c r="L47" i="177"/>
  <c r="T45" i="177"/>
  <c r="R43" i="177"/>
  <c r="F41" i="177"/>
  <c r="V37" i="177"/>
  <c r="H50" i="177"/>
  <c r="V49" i="177"/>
  <c r="Q50" i="177"/>
  <c r="K49" i="177"/>
  <c r="Y48" i="177"/>
  <c r="O48" i="177"/>
  <c r="I47" i="177"/>
  <c r="C46" i="177"/>
  <c r="Z50" i="177"/>
  <c r="P50" i="177"/>
  <c r="F50" i="177"/>
  <c r="T49" i="177"/>
  <c r="J49" i="177"/>
  <c r="X48" i="177"/>
  <c r="N48" i="177"/>
  <c r="D48" i="177"/>
  <c r="R47" i="177"/>
  <c r="H47" i="177"/>
  <c r="V46" i="177"/>
  <c r="L46" i="177"/>
  <c r="Z45" i="177"/>
  <c r="P45" i="177"/>
  <c r="F45" i="177"/>
  <c r="T44" i="177"/>
  <c r="J44" i="177"/>
  <c r="X43" i="177"/>
  <c r="N43" i="177"/>
  <c r="D43" i="177"/>
  <c r="R42" i="177"/>
  <c r="H42" i="177"/>
  <c r="V41" i="177"/>
  <c r="L41" i="177"/>
  <c r="Z40" i="177"/>
  <c r="P40" i="177"/>
  <c r="F40" i="177"/>
  <c r="T39" i="177"/>
  <c r="J39" i="177"/>
  <c r="X38" i="177"/>
  <c r="N38" i="177"/>
  <c r="D38" i="177"/>
  <c r="R37" i="177"/>
  <c r="H37" i="177"/>
  <c r="V36" i="177"/>
  <c r="L36" i="177"/>
  <c r="Z35" i="177"/>
  <c r="P35" i="177"/>
  <c r="F35" i="177"/>
  <c r="C11" i="177"/>
  <c r="C4" i="177"/>
  <c r="P62" i="277"/>
  <c r="F787" i="88"/>
  <c r="AE414" i="260"/>
  <c r="AH64" i="277"/>
  <c r="O62" i="277"/>
  <c r="F784" i="88"/>
  <c r="F782" i="88"/>
  <c r="F781" i="88"/>
  <c r="F783" i="88"/>
  <c r="AE413" i="260"/>
  <c r="N62" i="277"/>
  <c r="AE412" i="260"/>
  <c r="AE411" i="260"/>
  <c r="AF64" i="277"/>
  <c r="AE410" i="260"/>
  <c r="F779" i="88"/>
  <c r="F778" i="88"/>
  <c r="F777" i="88"/>
  <c r="J65" i="277"/>
  <c r="J99" i="277" s="1"/>
  <c r="J56" i="277"/>
  <c r="J51" i="277"/>
  <c r="J50" i="277"/>
  <c r="K65" i="277"/>
  <c r="K99" i="277" s="1"/>
  <c r="F776" i="88"/>
  <c r="F705" i="88"/>
  <c r="F747" i="88"/>
  <c r="AE405" i="260"/>
  <c r="F760" i="88"/>
  <c r="AE403" i="260"/>
  <c r="W403" i="260"/>
  <c r="F80" i="277"/>
  <c r="F76" i="277"/>
  <c r="F65" i="277"/>
  <c r="F99" i="277" s="1"/>
  <c r="F60" i="277"/>
  <c r="F34" i="277"/>
  <c r="F31" i="277"/>
  <c r="F93" i="277" s="1"/>
  <c r="F25" i="277"/>
  <c r="F22" i="277"/>
  <c r="F17" i="277"/>
  <c r="AC129" i="277"/>
  <c r="AB129" i="277"/>
  <c r="AA129" i="277"/>
  <c r="Z129" i="277"/>
  <c r="Y129" i="277"/>
  <c r="X129" i="277"/>
  <c r="W129" i="277"/>
  <c r="V129" i="277"/>
  <c r="U129" i="277"/>
  <c r="T129" i="277"/>
  <c r="S129" i="277"/>
  <c r="R129" i="277"/>
  <c r="Q129" i="277"/>
  <c r="P129" i="277"/>
  <c r="O129" i="277"/>
  <c r="N129" i="277"/>
  <c r="M129" i="277"/>
  <c r="L129" i="277"/>
  <c r="K129" i="277"/>
  <c r="J129" i="277"/>
  <c r="I129" i="277"/>
  <c r="H129" i="277"/>
  <c r="G129" i="277"/>
  <c r="F129" i="277"/>
  <c r="AC107" i="277"/>
  <c r="AB107" i="277"/>
  <c r="AA107" i="277"/>
  <c r="Z107" i="277"/>
  <c r="Y107" i="277"/>
  <c r="X107" i="277"/>
  <c r="W107" i="277"/>
  <c r="V107" i="277"/>
  <c r="U107" i="277"/>
  <c r="T107" i="277"/>
  <c r="S107" i="277"/>
  <c r="R107" i="277"/>
  <c r="Q107" i="277"/>
  <c r="P107" i="277"/>
  <c r="O107" i="277"/>
  <c r="N107" i="277"/>
  <c r="M107" i="277"/>
  <c r="L107" i="277"/>
  <c r="K107" i="277"/>
  <c r="J107" i="277"/>
  <c r="I107" i="277"/>
  <c r="H107" i="277"/>
  <c r="G107" i="277"/>
  <c r="F107" i="277"/>
  <c r="AC102" i="277"/>
  <c r="AB102" i="277"/>
  <c r="AA102" i="277"/>
  <c r="Z102" i="277"/>
  <c r="Y102" i="277"/>
  <c r="X102" i="277"/>
  <c r="W102" i="277"/>
  <c r="V102" i="277"/>
  <c r="U102" i="277"/>
  <c r="T102" i="277"/>
  <c r="S102" i="277"/>
  <c r="R102" i="277"/>
  <c r="Q102" i="277"/>
  <c r="P102" i="277"/>
  <c r="O102" i="277"/>
  <c r="N102" i="277"/>
  <c r="M102" i="277"/>
  <c r="L102" i="277"/>
  <c r="K102" i="277"/>
  <c r="J102" i="277"/>
  <c r="I102" i="277"/>
  <c r="H102" i="277"/>
  <c r="G102" i="277"/>
  <c r="F102" i="277"/>
  <c r="AA101" i="277"/>
  <c r="Z101" i="277"/>
  <c r="Y101" i="277"/>
  <c r="W101" i="277"/>
  <c r="AB100" i="277"/>
  <c r="AA100" i="277"/>
  <c r="F100" i="277"/>
  <c r="P96" i="277"/>
  <c r="O96" i="277"/>
  <c r="N96" i="277"/>
  <c r="V93" i="277"/>
  <c r="U93" i="277"/>
  <c r="U109" i="277" s="1"/>
  <c r="T93" i="277"/>
  <c r="T109" i="277" s="1"/>
  <c r="S93" i="277"/>
  <c r="AC80" i="277"/>
  <c r="AC101" i="277" s="1"/>
  <c r="AB80" i="277"/>
  <c r="AB101" i="277" s="1"/>
  <c r="AA80" i="277"/>
  <c r="Z80" i="277"/>
  <c r="Y80" i="277"/>
  <c r="X80" i="277"/>
  <c r="X101" i="277" s="1"/>
  <c r="W80" i="277"/>
  <c r="V80" i="277"/>
  <c r="V101" i="277" s="1"/>
  <c r="U80" i="277"/>
  <c r="U101" i="277" s="1"/>
  <c r="T80" i="277"/>
  <c r="T101" i="277" s="1"/>
  <c r="S80" i="277"/>
  <c r="S101" i="277" s="1"/>
  <c r="R80" i="277"/>
  <c r="R101" i="277" s="1"/>
  <c r="Q80" i="277"/>
  <c r="Q101" i="277" s="1"/>
  <c r="P80" i="277"/>
  <c r="P101" i="277" s="1"/>
  <c r="O80" i="277"/>
  <c r="O101" i="277" s="1"/>
  <c r="N80" i="277"/>
  <c r="N101" i="277" s="1"/>
  <c r="M80" i="277"/>
  <c r="M101" i="277" s="1"/>
  <c r="L80" i="277"/>
  <c r="L101" i="277" s="1"/>
  <c r="K80" i="277"/>
  <c r="K101" i="277" s="1"/>
  <c r="J80" i="277"/>
  <c r="J101" i="277" s="1"/>
  <c r="I80" i="277"/>
  <c r="I101" i="277" s="1"/>
  <c r="H80" i="277"/>
  <c r="H101" i="277" s="1"/>
  <c r="G80" i="277"/>
  <c r="G101" i="277" s="1"/>
  <c r="F101" i="277"/>
  <c r="C80" i="277"/>
  <c r="B80" i="277"/>
  <c r="B25" i="277" s="1"/>
  <c r="AH79" i="277"/>
  <c r="AG79" i="277"/>
  <c r="AF79" i="277"/>
  <c r="AH78" i="277"/>
  <c r="AG78" i="277"/>
  <c r="AF78" i="277"/>
  <c r="AI77" i="277"/>
  <c r="AC76" i="277"/>
  <c r="AC100" i="277" s="1"/>
  <c r="AB76" i="277"/>
  <c r="AA76" i="277"/>
  <c r="Z76" i="277"/>
  <c r="Z100" i="277" s="1"/>
  <c r="Y76" i="277"/>
  <c r="Y100" i="277" s="1"/>
  <c r="X76" i="277"/>
  <c r="X100" i="277" s="1"/>
  <c r="W76" i="277"/>
  <c r="W100" i="277" s="1"/>
  <c r="V76" i="277"/>
  <c r="V100" i="277" s="1"/>
  <c r="U76" i="277"/>
  <c r="U100" i="277" s="1"/>
  <c r="T76" i="277"/>
  <c r="T100" i="277" s="1"/>
  <c r="S76" i="277"/>
  <c r="S100" i="277" s="1"/>
  <c r="R76" i="277"/>
  <c r="R100" i="277" s="1"/>
  <c r="Q76" i="277"/>
  <c r="Q100" i="277" s="1"/>
  <c r="P76" i="277"/>
  <c r="P100" i="277" s="1"/>
  <c r="O76" i="277"/>
  <c r="O100" i="277" s="1"/>
  <c r="N76" i="277"/>
  <c r="N100" i="277" s="1"/>
  <c r="M76" i="277"/>
  <c r="M100" i="277" s="1"/>
  <c r="L76" i="277"/>
  <c r="L100" i="277" s="1"/>
  <c r="K76" i="277"/>
  <c r="K100" i="277" s="1"/>
  <c r="J76" i="277"/>
  <c r="J100" i="277" s="1"/>
  <c r="I76" i="277"/>
  <c r="I100" i="277" s="1"/>
  <c r="H76" i="277"/>
  <c r="H100" i="277" s="1"/>
  <c r="G76" i="277"/>
  <c r="G100" i="277" s="1"/>
  <c r="C76" i="277"/>
  <c r="B76" i="277"/>
  <c r="AH75" i="277"/>
  <c r="AG75" i="277"/>
  <c r="AF75" i="277"/>
  <c r="AH74" i="277"/>
  <c r="AG74" i="277"/>
  <c r="AF74" i="277"/>
  <c r="AH73" i="277"/>
  <c r="AG73" i="277"/>
  <c r="AF73" i="277"/>
  <c r="AH72" i="277"/>
  <c r="AG72" i="277"/>
  <c r="AF72" i="277"/>
  <c r="AH71" i="277"/>
  <c r="AG71" i="277"/>
  <c r="AF71" i="277"/>
  <c r="AH70" i="277"/>
  <c r="AG70" i="277"/>
  <c r="AF70" i="277"/>
  <c r="AH69" i="277"/>
  <c r="AG69" i="277"/>
  <c r="AF69" i="277"/>
  <c r="AH68" i="277"/>
  <c r="AG68" i="277"/>
  <c r="AF68" i="277"/>
  <c r="AH67" i="277"/>
  <c r="AG67" i="277"/>
  <c r="AF67" i="277"/>
  <c r="AI66" i="277"/>
  <c r="AC65" i="277"/>
  <c r="AC99" i="277" s="1"/>
  <c r="AB65" i="277"/>
  <c r="AB99" i="277" s="1"/>
  <c r="AA65" i="277"/>
  <c r="AA99" i="277" s="1"/>
  <c r="Z65" i="277"/>
  <c r="Z99" i="277" s="1"/>
  <c r="Y65" i="277"/>
  <c r="Y99" i="277" s="1"/>
  <c r="X65" i="277"/>
  <c r="X99" i="277" s="1"/>
  <c r="W65" i="277"/>
  <c r="W99" i="277" s="1"/>
  <c r="V65" i="277"/>
  <c r="V99" i="277" s="1"/>
  <c r="U65" i="277"/>
  <c r="U99" i="277" s="1"/>
  <c r="O65" i="277"/>
  <c r="O99" i="277" s="1"/>
  <c r="L65" i="277"/>
  <c r="L99" i="277" s="1"/>
  <c r="I65" i="277"/>
  <c r="I99" i="277" s="1"/>
  <c r="C65" i="277"/>
  <c r="B65" i="277"/>
  <c r="T65" i="277"/>
  <c r="T99" i="277" s="1"/>
  <c r="S65" i="277"/>
  <c r="S99" i="277" s="1"/>
  <c r="R65" i="277"/>
  <c r="R99" i="277" s="1"/>
  <c r="Q65" i="277"/>
  <c r="Q99" i="277" s="1"/>
  <c r="P65" i="277"/>
  <c r="P99" i="277" s="1"/>
  <c r="N65" i="277"/>
  <c r="N99" i="277" s="1"/>
  <c r="M65" i="277"/>
  <c r="M99" i="277" s="1"/>
  <c r="AC60" i="277"/>
  <c r="AC98" i="277" s="1"/>
  <c r="AB60" i="277"/>
  <c r="AB98" i="277" s="1"/>
  <c r="AA60" i="277"/>
  <c r="AA98" i="277" s="1"/>
  <c r="Z60" i="277"/>
  <c r="Z98" i="277" s="1"/>
  <c r="Y60" i="277"/>
  <c r="Y98" i="277" s="1"/>
  <c r="X60" i="277"/>
  <c r="X98" i="277" s="1"/>
  <c r="W60" i="277"/>
  <c r="W98" i="277" s="1"/>
  <c r="V60" i="277"/>
  <c r="V98" i="277" s="1"/>
  <c r="U60" i="277"/>
  <c r="U98" i="277" s="1"/>
  <c r="T60" i="277"/>
  <c r="T98" i="277" s="1"/>
  <c r="S60" i="277"/>
  <c r="S98" i="277" s="1"/>
  <c r="R60" i="277"/>
  <c r="R98" i="277" s="1"/>
  <c r="Q60" i="277"/>
  <c r="Q98" i="277" s="1"/>
  <c r="P60" i="277"/>
  <c r="P98" i="277" s="1"/>
  <c r="O60" i="277"/>
  <c r="O98" i="277" s="1"/>
  <c r="N60" i="277"/>
  <c r="N98" i="277" s="1"/>
  <c r="M60" i="277"/>
  <c r="M98" i="277" s="1"/>
  <c r="L60" i="277"/>
  <c r="L98" i="277" s="1"/>
  <c r="K60" i="277"/>
  <c r="K98" i="277" s="1"/>
  <c r="J60" i="277"/>
  <c r="J98" i="277" s="1"/>
  <c r="I60" i="277"/>
  <c r="I98" i="277" s="1"/>
  <c r="H60" i="277"/>
  <c r="H98" i="277" s="1"/>
  <c r="G60" i="277"/>
  <c r="G98" i="277" s="1"/>
  <c r="F98" i="277"/>
  <c r="C60" i="277"/>
  <c r="B60" i="277"/>
  <c r="AH59" i="277"/>
  <c r="AG59" i="277"/>
  <c r="AF59" i="277"/>
  <c r="AH58" i="277"/>
  <c r="AG58" i="277"/>
  <c r="AF58" i="277"/>
  <c r="AH57" i="277"/>
  <c r="AG57" i="277"/>
  <c r="AF57" i="277"/>
  <c r="AH56" i="277"/>
  <c r="AG56" i="277"/>
  <c r="AF56" i="277"/>
  <c r="AH55" i="277"/>
  <c r="AG55" i="277"/>
  <c r="AF55" i="277"/>
  <c r="AH54" i="277"/>
  <c r="AG54" i="277"/>
  <c r="AF54" i="277"/>
  <c r="AH53" i="277"/>
  <c r="AG53" i="277"/>
  <c r="AF53" i="277"/>
  <c r="AH52" i="277"/>
  <c r="AG52" i="277"/>
  <c r="AF52" i="277"/>
  <c r="AH51" i="277"/>
  <c r="AG51" i="277"/>
  <c r="AF51" i="277"/>
  <c r="AH50" i="277"/>
  <c r="AG50" i="277"/>
  <c r="AF50" i="277"/>
  <c r="AH49" i="277"/>
  <c r="AG49" i="277"/>
  <c r="AF49" i="277"/>
  <c r="AH48" i="277"/>
  <c r="AG48" i="277"/>
  <c r="AF48" i="277"/>
  <c r="AH47" i="277"/>
  <c r="AG47" i="277"/>
  <c r="AF47" i="277"/>
  <c r="AH46" i="277"/>
  <c r="AG46" i="277"/>
  <c r="AF46" i="277"/>
  <c r="AH45" i="277"/>
  <c r="AG45" i="277"/>
  <c r="AF45" i="277"/>
  <c r="AH44" i="277"/>
  <c r="AG44" i="277"/>
  <c r="AF44" i="277"/>
  <c r="AH43" i="277"/>
  <c r="AG43" i="277"/>
  <c r="AF43" i="277"/>
  <c r="AH42" i="277"/>
  <c r="AG42" i="277"/>
  <c r="AF42" i="277"/>
  <c r="AH41" i="277"/>
  <c r="AG41" i="277"/>
  <c r="AF41" i="277"/>
  <c r="AH40" i="277"/>
  <c r="AG40" i="277"/>
  <c r="AF40" i="277"/>
  <c r="AH39" i="277"/>
  <c r="AG39" i="277"/>
  <c r="AF39" i="277"/>
  <c r="AH38" i="277"/>
  <c r="AG38" i="277"/>
  <c r="AF38" i="277"/>
  <c r="AH37" i="277"/>
  <c r="AG37" i="277"/>
  <c r="AF37" i="277"/>
  <c r="AI36" i="277"/>
  <c r="AH36" i="277"/>
  <c r="AG36" i="277"/>
  <c r="AF36" i="277"/>
  <c r="AI35" i="277"/>
  <c r="AC34" i="277"/>
  <c r="AC96" i="277" s="1"/>
  <c r="AB34" i="277"/>
  <c r="AB96" i="277" s="1"/>
  <c r="AA34" i="277"/>
  <c r="AA96" i="277" s="1"/>
  <c r="Z34" i="277"/>
  <c r="Z96" i="277" s="1"/>
  <c r="Y34" i="277"/>
  <c r="Y96" i="277" s="1"/>
  <c r="X34" i="277"/>
  <c r="X96" i="277" s="1"/>
  <c r="W34" i="277"/>
  <c r="W96" i="277" s="1"/>
  <c r="V34" i="277"/>
  <c r="V96" i="277" s="1"/>
  <c r="U34" i="277"/>
  <c r="U96" i="277" s="1"/>
  <c r="T34" i="277"/>
  <c r="T96" i="277" s="1"/>
  <c r="S34" i="277"/>
  <c r="S96" i="277" s="1"/>
  <c r="R34" i="277"/>
  <c r="R96" i="277" s="1"/>
  <c r="Q34" i="277"/>
  <c r="Q96" i="277" s="1"/>
  <c r="P34" i="277"/>
  <c r="O34" i="277"/>
  <c r="N34" i="277"/>
  <c r="M34" i="277"/>
  <c r="M96" i="277" s="1"/>
  <c r="L34" i="277"/>
  <c r="L96" i="277" s="1"/>
  <c r="K34" i="277"/>
  <c r="K96" i="277" s="1"/>
  <c r="J34" i="277"/>
  <c r="J96" i="277" s="1"/>
  <c r="I34" i="277"/>
  <c r="I96" i="277" s="1"/>
  <c r="H34" i="277"/>
  <c r="H96" i="277" s="1"/>
  <c r="G34" i="277"/>
  <c r="G96" i="277" s="1"/>
  <c r="F96" i="277"/>
  <c r="C34" i="277"/>
  <c r="B34" i="277"/>
  <c r="AH33" i="277"/>
  <c r="AG33" i="277"/>
  <c r="AF33" i="277"/>
  <c r="AI32" i="277"/>
  <c r="AC31" i="277"/>
  <c r="AC93" i="277" s="1"/>
  <c r="AB31" i="277"/>
  <c r="AB93" i="277" s="1"/>
  <c r="AA31" i="277"/>
  <c r="AA93" i="277" s="1"/>
  <c r="Z31" i="277"/>
  <c r="Z93" i="277" s="1"/>
  <c r="Y31" i="277"/>
  <c r="Y93" i="277" s="1"/>
  <c r="X31" i="277"/>
  <c r="X93" i="277" s="1"/>
  <c r="W31" i="277"/>
  <c r="W93" i="277" s="1"/>
  <c r="V31" i="277"/>
  <c r="U31" i="277"/>
  <c r="T31" i="277"/>
  <c r="S31" i="277"/>
  <c r="R31" i="277"/>
  <c r="R93" i="277" s="1"/>
  <c r="Q31" i="277"/>
  <c r="Q93" i="277" s="1"/>
  <c r="P31" i="277"/>
  <c r="P93" i="277" s="1"/>
  <c r="O31" i="277"/>
  <c r="O93" i="277" s="1"/>
  <c r="N31" i="277"/>
  <c r="N93" i="277" s="1"/>
  <c r="M31" i="277"/>
  <c r="M93" i="277" s="1"/>
  <c r="L31" i="277"/>
  <c r="L93" i="277" s="1"/>
  <c r="K31" i="277"/>
  <c r="K93" i="277" s="1"/>
  <c r="J31" i="277"/>
  <c r="J93" i="277" s="1"/>
  <c r="I31" i="277"/>
  <c r="I93" i="277" s="1"/>
  <c r="H31" i="277"/>
  <c r="H93" i="277" s="1"/>
  <c r="G31" i="277"/>
  <c r="G93" i="277" s="1"/>
  <c r="C31" i="277"/>
  <c r="B31" i="277"/>
  <c r="AI28" i="277"/>
  <c r="AH28" i="277"/>
  <c r="AG28" i="277"/>
  <c r="AF28" i="277"/>
  <c r="AH27" i="277"/>
  <c r="AG27" i="277"/>
  <c r="AF27" i="277"/>
  <c r="AI26" i="277"/>
  <c r="AC25" i="277"/>
  <c r="AB25" i="277"/>
  <c r="AA25" i="277"/>
  <c r="Z25" i="277"/>
  <c r="Y25" i="277"/>
  <c r="X25" i="277"/>
  <c r="W25" i="277"/>
  <c r="V25" i="277"/>
  <c r="U25" i="277"/>
  <c r="T25" i="277"/>
  <c r="S25" i="277"/>
  <c r="R25" i="277"/>
  <c r="Q25" i="277"/>
  <c r="P25" i="277"/>
  <c r="O25" i="277"/>
  <c r="N25" i="277"/>
  <c r="M25" i="277"/>
  <c r="L25" i="277"/>
  <c r="K25" i="277"/>
  <c r="J25" i="277"/>
  <c r="I25" i="277"/>
  <c r="H25" i="277"/>
  <c r="G25" i="277"/>
  <c r="F89" i="277"/>
  <c r="C25" i="277"/>
  <c r="AH24" i="277"/>
  <c r="AG24" i="277"/>
  <c r="AF24" i="277"/>
  <c r="AI23" i="277"/>
  <c r="AC22" i="277"/>
  <c r="AB22" i="277"/>
  <c r="AA22" i="277"/>
  <c r="Z22" i="277"/>
  <c r="Y22" i="277"/>
  <c r="X22" i="277"/>
  <c r="W22" i="277"/>
  <c r="V22" i="277"/>
  <c r="U22" i="277"/>
  <c r="T22" i="277"/>
  <c r="S22" i="277"/>
  <c r="R22" i="277"/>
  <c r="Q22" i="277"/>
  <c r="P22" i="277"/>
  <c r="O22" i="277"/>
  <c r="N22" i="277"/>
  <c r="M22" i="277"/>
  <c r="L22" i="277"/>
  <c r="K22" i="277"/>
  <c r="J22" i="277"/>
  <c r="I22" i="277"/>
  <c r="H22" i="277"/>
  <c r="G22" i="277"/>
  <c r="C22" i="277"/>
  <c r="B22" i="277"/>
  <c r="AH21" i="277"/>
  <c r="AG21" i="277"/>
  <c r="AF21" i="277"/>
  <c r="AH20" i="277"/>
  <c r="AG20" i="277"/>
  <c r="AF20" i="277"/>
  <c r="AH19" i="277"/>
  <c r="AG19" i="277"/>
  <c r="AF19" i="277"/>
  <c r="AI18" i="277"/>
  <c r="AC17" i="277"/>
  <c r="AB17" i="277"/>
  <c r="AB91" i="277" s="1"/>
  <c r="AA17" i="277"/>
  <c r="AA91" i="277" s="1"/>
  <c r="Z17" i="277"/>
  <c r="Z91" i="277" s="1"/>
  <c r="Y17" i="277"/>
  <c r="Y91" i="277" s="1"/>
  <c r="X17" i="277"/>
  <c r="X91" i="277" s="1"/>
  <c r="W17" i="277"/>
  <c r="W91" i="277" s="1"/>
  <c r="V17" i="277"/>
  <c r="V91" i="277" s="1"/>
  <c r="U17" i="277"/>
  <c r="U91" i="277" s="1"/>
  <c r="T17" i="277"/>
  <c r="T91" i="277" s="1"/>
  <c r="S17" i="277"/>
  <c r="R17" i="277"/>
  <c r="Q17" i="277"/>
  <c r="P17" i="277"/>
  <c r="O17" i="277"/>
  <c r="N17" i="277"/>
  <c r="M17" i="277"/>
  <c r="M91" i="277" s="1"/>
  <c r="L17" i="277"/>
  <c r="K17" i="277"/>
  <c r="K91" i="277" s="1"/>
  <c r="J17" i="277"/>
  <c r="J91" i="277" s="1"/>
  <c r="I17" i="277"/>
  <c r="I91" i="277" s="1"/>
  <c r="H17" i="277"/>
  <c r="H91" i="277" s="1"/>
  <c r="G17" i="277"/>
  <c r="C17" i="277"/>
  <c r="B17" i="277"/>
  <c r="AH16" i="277"/>
  <c r="AG16" i="277"/>
  <c r="AF16" i="277"/>
  <c r="AH15" i="277"/>
  <c r="AG15" i="277"/>
  <c r="AF15" i="277"/>
  <c r="AH14" i="277"/>
  <c r="AG14" i="277"/>
  <c r="AF14" i="277"/>
  <c r="AH13" i="277"/>
  <c r="AG13" i="277"/>
  <c r="AF13" i="277"/>
  <c r="AI12" i="277"/>
  <c r="M9" i="277" a="1"/>
  <c r="M9" i="277" s="1"/>
  <c r="AC62" i="276"/>
  <c r="AE402" i="260"/>
  <c r="W402" i="260"/>
  <c r="F750" i="88"/>
  <c r="F761" i="88"/>
  <c r="F775" i="88"/>
  <c r="F756" i="88"/>
  <c r="F773" i="88"/>
  <c r="F772" i="88"/>
  <c r="F770" i="88"/>
  <c r="AE400" i="260"/>
  <c r="AE399" i="260"/>
  <c r="W400" i="260"/>
  <c r="W399" i="260"/>
  <c r="F771" i="88"/>
  <c r="F766" i="88"/>
  <c r="F768" i="88"/>
  <c r="F765" i="88"/>
  <c r="F762" i="88"/>
  <c r="F763" i="88"/>
  <c r="W396" i="260"/>
  <c r="F764" i="88"/>
  <c r="F726" i="88"/>
  <c r="F767" i="88"/>
  <c r="AE394" i="260"/>
  <c r="W394" i="260"/>
  <c r="T64" i="276"/>
  <c r="T63" i="276"/>
  <c r="T62" i="276"/>
  <c r="F472" i="88"/>
  <c r="AE393" i="260"/>
  <c r="W393" i="260"/>
  <c r="F748" i="88"/>
  <c r="S63" i="276"/>
  <c r="S62" i="276"/>
  <c r="AE392" i="260"/>
  <c r="W392" i="260"/>
  <c r="R63" i="276"/>
  <c r="R62" i="276"/>
  <c r="F757" i="88"/>
  <c r="AE391" i="260"/>
  <c r="W391" i="260"/>
  <c r="Q63" i="276"/>
  <c r="Q62" i="276"/>
  <c r="AE390" i="260"/>
  <c r="W390" i="260"/>
  <c r="P63" i="276"/>
  <c r="P62" i="276"/>
  <c r="F759" i="88"/>
  <c r="F755" i="88"/>
  <c r="F758" i="88"/>
  <c r="AE389" i="260"/>
  <c r="O63" i="276"/>
  <c r="O62" i="276"/>
  <c r="F754" i="88"/>
  <c r="F753" i="88"/>
  <c r="AE388" i="260"/>
  <c r="F752" i="88"/>
  <c r="F751" i="88"/>
  <c r="N63" i="276"/>
  <c r="N62" i="276"/>
  <c r="F749" i="88"/>
  <c r="AE387" i="260"/>
  <c r="M63" i="276"/>
  <c r="M62" i="276"/>
  <c r="AE386" i="260"/>
  <c r="F746" i="88"/>
  <c r="F730" i="88"/>
  <c r="F744" i="88"/>
  <c r="F743" i="88"/>
  <c r="F745" i="88"/>
  <c r="F742" i="88"/>
  <c r="F713" i="88"/>
  <c r="H63" i="276"/>
  <c r="H62" i="276"/>
  <c r="H17" i="276"/>
  <c r="G63" i="276"/>
  <c r="G62" i="276"/>
  <c r="F703" i="88"/>
  <c r="F667" i="88"/>
  <c r="AE380" i="260"/>
  <c r="F63" i="276"/>
  <c r="F62" i="276"/>
  <c r="F740" i="88"/>
  <c r="F707" i="88"/>
  <c r="W378" i="260"/>
  <c r="AC63" i="275"/>
  <c r="AC62" i="275"/>
  <c r="AC129" i="276"/>
  <c r="AB129" i="276"/>
  <c r="AA129" i="276"/>
  <c r="Z129" i="276"/>
  <c r="Y129" i="276"/>
  <c r="X129" i="276"/>
  <c r="W129" i="276"/>
  <c r="V129" i="276"/>
  <c r="U129" i="276"/>
  <c r="T129" i="276"/>
  <c r="S129" i="276"/>
  <c r="R129" i="276"/>
  <c r="Q129" i="276"/>
  <c r="P129" i="276"/>
  <c r="O129" i="276"/>
  <c r="N129" i="276"/>
  <c r="M129" i="276"/>
  <c r="L129" i="276"/>
  <c r="K129" i="276"/>
  <c r="J129" i="276"/>
  <c r="I129" i="276"/>
  <c r="H129" i="276"/>
  <c r="G129" i="276"/>
  <c r="F129" i="276"/>
  <c r="AC107" i="276"/>
  <c r="AB107" i="276"/>
  <c r="AA107" i="276"/>
  <c r="Z107" i="276"/>
  <c r="Y107" i="276"/>
  <c r="X107" i="276"/>
  <c r="W107" i="276"/>
  <c r="V107" i="276"/>
  <c r="U107" i="276"/>
  <c r="T107" i="276"/>
  <c r="S107" i="276"/>
  <c r="R107" i="276"/>
  <c r="Q107" i="276"/>
  <c r="P107" i="276"/>
  <c r="O107" i="276"/>
  <c r="N107" i="276"/>
  <c r="M107" i="276"/>
  <c r="L107" i="276"/>
  <c r="K107" i="276"/>
  <c r="J107" i="276"/>
  <c r="I107" i="276"/>
  <c r="H107" i="276"/>
  <c r="G107" i="276"/>
  <c r="F107" i="276"/>
  <c r="AC102" i="276"/>
  <c r="AB102" i="276"/>
  <c r="AA102" i="276"/>
  <c r="Z102" i="276"/>
  <c r="Y102" i="276"/>
  <c r="X102" i="276"/>
  <c r="W102" i="276"/>
  <c r="V102" i="276"/>
  <c r="U102" i="276"/>
  <c r="T102" i="276"/>
  <c r="S102" i="276"/>
  <c r="R102" i="276"/>
  <c r="Q102" i="276"/>
  <c r="P102" i="276"/>
  <c r="O102" i="276"/>
  <c r="N102" i="276"/>
  <c r="M102" i="276"/>
  <c r="L102" i="276"/>
  <c r="K102" i="276"/>
  <c r="J102" i="276"/>
  <c r="I102" i="276"/>
  <c r="H102" i="276"/>
  <c r="G102" i="276"/>
  <c r="F102" i="276"/>
  <c r="F101" i="276"/>
  <c r="Z100" i="276"/>
  <c r="Y100" i="276"/>
  <c r="X100" i="276"/>
  <c r="W100" i="276"/>
  <c r="H100" i="276"/>
  <c r="F100" i="276"/>
  <c r="N99" i="276"/>
  <c r="M99" i="276"/>
  <c r="L99" i="276"/>
  <c r="K99" i="276"/>
  <c r="J99" i="276"/>
  <c r="G99" i="276"/>
  <c r="F99" i="276"/>
  <c r="S96" i="276"/>
  <c r="R96" i="276"/>
  <c r="F96" i="276"/>
  <c r="AC80" i="276"/>
  <c r="AC101" i="276" s="1"/>
  <c r="AB80" i="276"/>
  <c r="AB101" i="276" s="1"/>
  <c r="AA80" i="276"/>
  <c r="AA101" i="276" s="1"/>
  <c r="Z80" i="276"/>
  <c r="Z101" i="276" s="1"/>
  <c r="Y80" i="276"/>
  <c r="Y101" i="276" s="1"/>
  <c r="X80" i="276"/>
  <c r="X101" i="276" s="1"/>
  <c r="W80" i="276"/>
  <c r="W101" i="276" s="1"/>
  <c r="V80" i="276"/>
  <c r="V101" i="276" s="1"/>
  <c r="U80" i="276"/>
  <c r="U101" i="276" s="1"/>
  <c r="T80" i="276"/>
  <c r="T101" i="276" s="1"/>
  <c r="S80" i="276"/>
  <c r="S101" i="276" s="1"/>
  <c r="R80" i="276"/>
  <c r="R101" i="276" s="1"/>
  <c r="Q80" i="276"/>
  <c r="Q101" i="276" s="1"/>
  <c r="P80" i="276"/>
  <c r="P101" i="276" s="1"/>
  <c r="O80" i="276"/>
  <c r="O101" i="276" s="1"/>
  <c r="N80" i="276"/>
  <c r="N101" i="276" s="1"/>
  <c r="M80" i="276"/>
  <c r="M101" i="276" s="1"/>
  <c r="L80" i="276"/>
  <c r="L101" i="276" s="1"/>
  <c r="K80" i="276"/>
  <c r="K101" i="276" s="1"/>
  <c r="J80" i="276"/>
  <c r="J101" i="276" s="1"/>
  <c r="I80" i="276"/>
  <c r="I101" i="276" s="1"/>
  <c r="H80" i="276"/>
  <c r="H101" i="276" s="1"/>
  <c r="G80" i="276"/>
  <c r="G101" i="276" s="1"/>
  <c r="F80" i="276"/>
  <c r="C80" i="276"/>
  <c r="B80" i="276"/>
  <c r="B25" i="276" s="1"/>
  <c r="AH79" i="276"/>
  <c r="AG79" i="276"/>
  <c r="AF79" i="276"/>
  <c r="AH78" i="276"/>
  <c r="AG78" i="276"/>
  <c r="AF78" i="276"/>
  <c r="AI77" i="276"/>
  <c r="AC76" i="276"/>
  <c r="AC100" i="276" s="1"/>
  <c r="AB76" i="276"/>
  <c r="AB100" i="276" s="1"/>
  <c r="AA76" i="276"/>
  <c r="AA100" i="276" s="1"/>
  <c r="Z76" i="276"/>
  <c r="Y76" i="276"/>
  <c r="X76" i="276"/>
  <c r="W76" i="276"/>
  <c r="V76" i="276"/>
  <c r="V100" i="276" s="1"/>
  <c r="U76" i="276"/>
  <c r="U100" i="276" s="1"/>
  <c r="T76" i="276"/>
  <c r="T100" i="276" s="1"/>
  <c r="S76" i="276"/>
  <c r="S100" i="276" s="1"/>
  <c r="R76" i="276"/>
  <c r="R100" i="276" s="1"/>
  <c r="Q76" i="276"/>
  <c r="Q100" i="276" s="1"/>
  <c r="P76" i="276"/>
  <c r="P100" i="276" s="1"/>
  <c r="O76" i="276"/>
  <c r="O100" i="276" s="1"/>
  <c r="N76" i="276"/>
  <c r="N100" i="276" s="1"/>
  <c r="M76" i="276"/>
  <c r="M100" i="276" s="1"/>
  <c r="L76" i="276"/>
  <c r="L100" i="276" s="1"/>
  <c r="K76" i="276"/>
  <c r="K100" i="276" s="1"/>
  <c r="J76" i="276"/>
  <c r="J100" i="276" s="1"/>
  <c r="I76" i="276"/>
  <c r="I100" i="276" s="1"/>
  <c r="H76" i="276"/>
  <c r="G76" i="276"/>
  <c r="G100" i="276" s="1"/>
  <c r="F76" i="276"/>
  <c r="C76" i="276"/>
  <c r="B76" i="276"/>
  <c r="AH75" i="276"/>
  <c r="AG75" i="276"/>
  <c r="AF75" i="276"/>
  <c r="AH74" i="276"/>
  <c r="AG74" i="276"/>
  <c r="AF74" i="276"/>
  <c r="AH73" i="276"/>
  <c r="AG73" i="276"/>
  <c r="AF73" i="276"/>
  <c r="AH72" i="276"/>
  <c r="AG72" i="276"/>
  <c r="AF72" i="276"/>
  <c r="AH71" i="276"/>
  <c r="AG71" i="276"/>
  <c r="AF71" i="276"/>
  <c r="AH70" i="276"/>
  <c r="AG70" i="276"/>
  <c r="AF70" i="276"/>
  <c r="AH69" i="276"/>
  <c r="AG69" i="276"/>
  <c r="AF69" i="276"/>
  <c r="AH68" i="276"/>
  <c r="AG68" i="276"/>
  <c r="AF68" i="276"/>
  <c r="AH67" i="276"/>
  <c r="AG67" i="276"/>
  <c r="AF67" i="276"/>
  <c r="AI66" i="276"/>
  <c r="Y65" i="276"/>
  <c r="Y99" i="276" s="1"/>
  <c r="X65" i="276"/>
  <c r="X99" i="276" s="1"/>
  <c r="W65" i="276"/>
  <c r="W99" i="276" s="1"/>
  <c r="V65" i="276"/>
  <c r="V99" i="276" s="1"/>
  <c r="U65" i="276"/>
  <c r="U99" i="276" s="1"/>
  <c r="T65" i="276"/>
  <c r="T99" i="276" s="1"/>
  <c r="S65" i="276"/>
  <c r="S99" i="276" s="1"/>
  <c r="R65" i="276"/>
  <c r="R99" i="276" s="1"/>
  <c r="Q65" i="276"/>
  <c r="Q99" i="276" s="1"/>
  <c r="P65" i="276"/>
  <c r="P99" i="276" s="1"/>
  <c r="O65" i="276"/>
  <c r="O99" i="276" s="1"/>
  <c r="N65" i="276"/>
  <c r="M65" i="276"/>
  <c r="L65" i="276"/>
  <c r="K65" i="276"/>
  <c r="J65" i="276"/>
  <c r="H65" i="276"/>
  <c r="H99" i="276" s="1"/>
  <c r="G65" i="276"/>
  <c r="F65" i="276"/>
  <c r="C65" i="276"/>
  <c r="B65" i="276"/>
  <c r="AH64" i="276"/>
  <c r="AG64" i="276"/>
  <c r="AF64" i="276"/>
  <c r="AH63" i="276"/>
  <c r="AC65" i="276"/>
  <c r="AC99" i="276" s="1"/>
  <c r="AB65" i="276"/>
  <c r="AB99" i="276" s="1"/>
  <c r="AA65" i="276"/>
  <c r="AA99" i="276" s="1"/>
  <c r="Z65" i="276"/>
  <c r="Z99" i="276" s="1"/>
  <c r="AH62" i="276"/>
  <c r="AC60" i="276"/>
  <c r="AC98" i="276" s="1"/>
  <c r="AB60" i="276"/>
  <c r="AB98" i="276" s="1"/>
  <c r="AA60" i="276"/>
  <c r="AA98" i="276" s="1"/>
  <c r="Z60" i="276"/>
  <c r="Z98" i="276" s="1"/>
  <c r="Y60" i="276"/>
  <c r="Y98" i="276" s="1"/>
  <c r="X60" i="276"/>
  <c r="X98" i="276" s="1"/>
  <c r="W60" i="276"/>
  <c r="W98" i="276" s="1"/>
  <c r="V60" i="276"/>
  <c r="V98" i="276" s="1"/>
  <c r="U60" i="276"/>
  <c r="U98" i="276" s="1"/>
  <c r="T60" i="276"/>
  <c r="T98" i="276" s="1"/>
  <c r="S60" i="276"/>
  <c r="S98" i="276" s="1"/>
  <c r="R60" i="276"/>
  <c r="R98" i="276" s="1"/>
  <c r="Q60" i="276"/>
  <c r="Q98" i="276" s="1"/>
  <c r="P60" i="276"/>
  <c r="P98" i="276" s="1"/>
  <c r="O60" i="276"/>
  <c r="O98" i="276" s="1"/>
  <c r="N60" i="276"/>
  <c r="N98" i="276" s="1"/>
  <c r="M60" i="276"/>
  <c r="M98" i="276" s="1"/>
  <c r="L60" i="276"/>
  <c r="L98" i="276" s="1"/>
  <c r="K60" i="276"/>
  <c r="K98" i="276" s="1"/>
  <c r="J60" i="276"/>
  <c r="J98" i="276" s="1"/>
  <c r="I60" i="276"/>
  <c r="I98" i="276" s="1"/>
  <c r="H60" i="276"/>
  <c r="H98" i="276" s="1"/>
  <c r="G60" i="276"/>
  <c r="G98" i="276" s="1"/>
  <c r="F60" i="276"/>
  <c r="F98" i="276" s="1"/>
  <c r="C60" i="276"/>
  <c r="B60" i="276"/>
  <c r="AH59" i="276"/>
  <c r="AG59" i="276"/>
  <c r="AF59" i="276"/>
  <c r="AH58" i="276"/>
  <c r="AG58" i="276"/>
  <c r="AF58" i="276"/>
  <c r="AH57" i="276"/>
  <c r="AG57" i="276"/>
  <c r="AF57" i="276"/>
  <c r="AH56" i="276"/>
  <c r="AG56" i="276"/>
  <c r="AF56" i="276"/>
  <c r="AH55" i="276"/>
  <c r="AG55" i="276"/>
  <c r="AF55" i="276"/>
  <c r="AH54" i="276"/>
  <c r="AG54" i="276"/>
  <c r="AF54" i="276"/>
  <c r="AH53" i="276"/>
  <c r="AG53" i="276"/>
  <c r="AF53" i="276"/>
  <c r="AH52" i="276"/>
  <c r="AG52" i="276"/>
  <c r="AF52" i="276"/>
  <c r="AH51" i="276"/>
  <c r="AG51" i="276"/>
  <c r="AF51" i="276"/>
  <c r="AH50" i="276"/>
  <c r="AG50" i="276"/>
  <c r="AF50" i="276"/>
  <c r="AH49" i="276"/>
  <c r="AG49" i="276"/>
  <c r="AF49" i="276"/>
  <c r="AH48" i="276"/>
  <c r="AG48" i="276"/>
  <c r="AF48" i="276"/>
  <c r="AH47" i="276"/>
  <c r="AG47" i="276"/>
  <c r="AF47" i="276"/>
  <c r="AF46" i="276"/>
  <c r="AH45" i="276"/>
  <c r="AG45" i="276"/>
  <c r="AF45" i="276"/>
  <c r="AH44" i="276"/>
  <c r="AG44" i="276"/>
  <c r="AF44" i="276"/>
  <c r="AH43" i="276"/>
  <c r="AG43" i="276"/>
  <c r="AF43" i="276"/>
  <c r="AH42" i="276"/>
  <c r="AG42" i="276"/>
  <c r="AF42" i="276"/>
  <c r="AH41" i="276"/>
  <c r="AG41" i="276"/>
  <c r="AF41" i="276"/>
  <c r="AH40" i="276"/>
  <c r="AG40" i="276"/>
  <c r="AF40" i="276"/>
  <c r="AH39" i="276"/>
  <c r="AG39" i="276"/>
  <c r="AF39" i="276"/>
  <c r="AH38" i="276"/>
  <c r="AG38" i="276"/>
  <c r="AF38" i="276"/>
  <c r="AH37" i="276"/>
  <c r="AG37" i="276"/>
  <c r="AF37" i="276"/>
  <c r="AI36" i="276"/>
  <c r="AH36" i="276"/>
  <c r="AG36" i="276"/>
  <c r="AF36" i="276"/>
  <c r="AI35" i="276"/>
  <c r="AC34" i="276"/>
  <c r="AC96" i="276" s="1"/>
  <c r="AB34" i="276"/>
  <c r="AB96" i="276" s="1"/>
  <c r="AA34" i="276"/>
  <c r="AA96" i="276" s="1"/>
  <c r="Z34" i="276"/>
  <c r="Z96" i="276" s="1"/>
  <c r="Y34" i="276"/>
  <c r="Y96" i="276" s="1"/>
  <c r="X34" i="276"/>
  <c r="X96" i="276" s="1"/>
  <c r="W34" i="276"/>
  <c r="W96" i="276" s="1"/>
  <c r="V34" i="276"/>
  <c r="V96" i="276" s="1"/>
  <c r="U34" i="276"/>
  <c r="U96" i="276" s="1"/>
  <c r="T34" i="276"/>
  <c r="T96" i="276" s="1"/>
  <c r="S34" i="276"/>
  <c r="R34" i="276"/>
  <c r="Q34" i="276"/>
  <c r="Q96" i="276" s="1"/>
  <c r="P34" i="276"/>
  <c r="P96" i="276" s="1"/>
  <c r="O34" i="276"/>
  <c r="O96" i="276" s="1"/>
  <c r="N34" i="276"/>
  <c r="N96" i="276" s="1"/>
  <c r="M34" i="276"/>
  <c r="M96" i="276" s="1"/>
  <c r="L34" i="276"/>
  <c r="L96" i="276" s="1"/>
  <c r="K34" i="276"/>
  <c r="K96" i="276" s="1"/>
  <c r="J34" i="276"/>
  <c r="J96" i="276" s="1"/>
  <c r="I34" i="276"/>
  <c r="I96" i="276" s="1"/>
  <c r="H34" i="276"/>
  <c r="H96" i="276" s="1"/>
  <c r="G34" i="276"/>
  <c r="G96" i="276" s="1"/>
  <c r="F34" i="276"/>
  <c r="C34" i="276"/>
  <c r="B34" i="276"/>
  <c r="AH33" i="276"/>
  <c r="AG33" i="276"/>
  <c r="AF33" i="276"/>
  <c r="AI32" i="276"/>
  <c r="AC31" i="276"/>
  <c r="AC93" i="276" s="1"/>
  <c r="AB31" i="276"/>
  <c r="AB93" i="276" s="1"/>
  <c r="AA31" i="276"/>
  <c r="AA93" i="276" s="1"/>
  <c r="Z31" i="276"/>
  <c r="Z93" i="276" s="1"/>
  <c r="Y31" i="276"/>
  <c r="Y93" i="276" s="1"/>
  <c r="X31" i="276"/>
  <c r="X93" i="276" s="1"/>
  <c r="W31" i="276"/>
  <c r="W93" i="276" s="1"/>
  <c r="V31" i="276"/>
  <c r="V93" i="276" s="1"/>
  <c r="U31" i="276"/>
  <c r="U93" i="276" s="1"/>
  <c r="T31" i="276"/>
  <c r="T93" i="276" s="1"/>
  <c r="S31" i="276"/>
  <c r="S93" i="276" s="1"/>
  <c r="R31" i="276"/>
  <c r="R93" i="276" s="1"/>
  <c r="Q31" i="276"/>
  <c r="Q93" i="276" s="1"/>
  <c r="P31" i="276"/>
  <c r="P93" i="276" s="1"/>
  <c r="O31" i="276"/>
  <c r="O93" i="276" s="1"/>
  <c r="N31" i="276"/>
  <c r="N93" i="276" s="1"/>
  <c r="M31" i="276"/>
  <c r="M93" i="276" s="1"/>
  <c r="L31" i="276"/>
  <c r="L93" i="276" s="1"/>
  <c r="K31" i="276"/>
  <c r="K93" i="276" s="1"/>
  <c r="J31" i="276"/>
  <c r="J93" i="276" s="1"/>
  <c r="I31" i="276"/>
  <c r="I93" i="276" s="1"/>
  <c r="H31" i="276"/>
  <c r="H93" i="276" s="1"/>
  <c r="G31" i="276"/>
  <c r="G93" i="276" s="1"/>
  <c r="F31" i="276"/>
  <c r="F93" i="276" s="1"/>
  <c r="C31" i="276"/>
  <c r="B31" i="276"/>
  <c r="AI28" i="276"/>
  <c r="AH28" i="276"/>
  <c r="AG28" i="276"/>
  <c r="AF28" i="276"/>
  <c r="AH27" i="276"/>
  <c r="AG27" i="276"/>
  <c r="AF27" i="276"/>
  <c r="AI26" i="276"/>
  <c r="AC25" i="276"/>
  <c r="AB25" i="276"/>
  <c r="AA25" i="276"/>
  <c r="Z25" i="276"/>
  <c r="Y25" i="276"/>
  <c r="X25" i="276"/>
  <c r="W25" i="276"/>
  <c r="V25" i="276"/>
  <c r="U25" i="276"/>
  <c r="T25" i="276"/>
  <c r="S25" i="276"/>
  <c r="R25" i="276"/>
  <c r="Q25" i="276"/>
  <c r="P25" i="276"/>
  <c r="O25" i="276"/>
  <c r="N25" i="276"/>
  <c r="M25" i="276"/>
  <c r="L25" i="276"/>
  <c r="K25" i="276"/>
  <c r="J25" i="276"/>
  <c r="I25" i="276"/>
  <c r="H25" i="276"/>
  <c r="G25" i="276"/>
  <c r="F25" i="276"/>
  <c r="C25" i="276"/>
  <c r="AH24" i="276"/>
  <c r="AG24" i="276"/>
  <c r="AF24" i="276"/>
  <c r="AI23" i="276"/>
  <c r="AC22" i="276"/>
  <c r="AB22" i="276"/>
  <c r="AA22" i="276"/>
  <c r="AA89" i="276" s="1"/>
  <c r="Z22" i="276"/>
  <c r="Z89" i="276" s="1"/>
  <c r="Y22" i="276"/>
  <c r="Y89" i="276" s="1"/>
  <c r="X22" i="276"/>
  <c r="W22" i="276"/>
  <c r="V22" i="276"/>
  <c r="U22" i="276"/>
  <c r="T22" i="276"/>
  <c r="S22" i="276"/>
  <c r="R22" i="276"/>
  <c r="Q22" i="276"/>
  <c r="P22" i="276"/>
  <c r="O22" i="276"/>
  <c r="N22" i="276"/>
  <c r="M22" i="276"/>
  <c r="M89" i="276" s="1"/>
  <c r="L22" i="276"/>
  <c r="L89" i="276" s="1"/>
  <c r="K22" i="276"/>
  <c r="K89" i="276" s="1"/>
  <c r="J22" i="276"/>
  <c r="J89" i="276" s="1"/>
  <c r="I22" i="276"/>
  <c r="I89" i="276" s="1"/>
  <c r="H22" i="276"/>
  <c r="H89" i="276" s="1"/>
  <c r="G22" i="276"/>
  <c r="G89" i="276" s="1"/>
  <c r="F22" i="276"/>
  <c r="F89" i="276" s="1"/>
  <c r="C22" i="276"/>
  <c r="B22" i="276"/>
  <c r="AH21" i="276"/>
  <c r="AG21" i="276"/>
  <c r="AF21" i="276"/>
  <c r="AH20" i="276"/>
  <c r="AG20" i="276"/>
  <c r="AF20" i="276"/>
  <c r="AH19" i="276"/>
  <c r="AG19" i="276"/>
  <c r="AF19" i="276"/>
  <c r="AI18" i="276"/>
  <c r="AC17" i="276"/>
  <c r="AB17" i="276"/>
  <c r="AA17" i="276"/>
  <c r="Z17" i="276"/>
  <c r="Y17" i="276"/>
  <c r="X17" i="276"/>
  <c r="W17" i="276"/>
  <c r="V17" i="276"/>
  <c r="V91" i="276" s="1"/>
  <c r="U17" i="276"/>
  <c r="U91" i="276" s="1"/>
  <c r="T17" i="276"/>
  <c r="T91" i="276" s="1"/>
  <c r="S17" i="276"/>
  <c r="S91" i="276" s="1"/>
  <c r="R17" i="276"/>
  <c r="R91" i="276" s="1"/>
  <c r="Q17" i="276"/>
  <c r="Q91" i="276" s="1"/>
  <c r="P17" i="276"/>
  <c r="P91" i="276" s="1"/>
  <c r="O17" i="276"/>
  <c r="O91" i="276" s="1"/>
  <c r="N17" i="276"/>
  <c r="N91" i="276" s="1"/>
  <c r="M17" i="276"/>
  <c r="L17" i="276"/>
  <c r="K17" i="276"/>
  <c r="J17" i="276"/>
  <c r="I17" i="276"/>
  <c r="I91" i="276" s="1"/>
  <c r="G17" i="276"/>
  <c r="F17" i="276"/>
  <c r="C17" i="276"/>
  <c r="C83" i="276" s="1"/>
  <c r="B17" i="276"/>
  <c r="AH16" i="276"/>
  <c r="AG16" i="276"/>
  <c r="AF16" i="276"/>
  <c r="AH15" i="276"/>
  <c r="AG15" i="276"/>
  <c r="AF15" i="276"/>
  <c r="AH14" i="276"/>
  <c r="AG14" i="276"/>
  <c r="AF14" i="276"/>
  <c r="AH13" i="276"/>
  <c r="AG13" i="276"/>
  <c r="AF13" i="276"/>
  <c r="AI12" i="276"/>
  <c r="M9" i="276" a="1"/>
  <c r="M9" i="276" s="1"/>
  <c r="F706" i="88"/>
  <c r="AE377" i="260"/>
  <c r="W377" i="260"/>
  <c r="AB63" i="275"/>
  <c r="AB62" i="275"/>
  <c r="F739" i="88"/>
  <c r="F738" i="88"/>
  <c r="F736" i="88"/>
  <c r="F732" i="88"/>
  <c r="F731" i="88"/>
  <c r="F735" i="88"/>
  <c r="F737" i="88"/>
  <c r="AE376" i="260"/>
  <c r="W376" i="260"/>
  <c r="AA63" i="275"/>
  <c r="AA62" i="275"/>
  <c r="F712" i="88"/>
  <c r="AN51" i="275"/>
  <c r="F733" i="88"/>
  <c r="F734" i="88"/>
  <c r="F710" i="88"/>
  <c r="AE375" i="260"/>
  <c r="W375" i="260"/>
  <c r="Z63" i="275"/>
  <c r="Z62" i="275"/>
  <c r="F729" i="88"/>
  <c r="F728" i="88"/>
  <c r="AE374" i="260"/>
  <c r="W374" i="260"/>
  <c r="F727" i="88"/>
  <c r="AE373" i="260"/>
  <c r="W373" i="260"/>
  <c r="X31" i="275"/>
  <c r="F724" i="88"/>
  <c r="W372" i="260"/>
  <c r="F716" i="88"/>
  <c r="F717" i="88"/>
  <c r="F715" i="88"/>
  <c r="F718" i="88"/>
  <c r="F720" i="88"/>
  <c r="F723" i="88"/>
  <c r="F722" i="88"/>
  <c r="F719" i="88"/>
  <c r="F702" i="88"/>
  <c r="F721" i="88"/>
  <c r="F704" i="88"/>
  <c r="F714" i="88"/>
  <c r="AI369" i="260"/>
  <c r="AE369" i="260"/>
  <c r="W369" i="260"/>
  <c r="AE368" i="260"/>
  <c r="W368" i="260"/>
  <c r="F661" i="88"/>
  <c r="AE367" i="260"/>
  <c r="W367" i="260"/>
  <c r="AE366" i="260"/>
  <c r="W366" i="260"/>
  <c r="F708" i="88"/>
  <c r="F711" i="88"/>
  <c r="F709" i="88"/>
  <c r="AE365" i="260"/>
  <c r="W365" i="260"/>
  <c r="AE364" i="260"/>
  <c r="W364" i="260"/>
  <c r="F684" i="88"/>
  <c r="AE363" i="260"/>
  <c r="AE362" i="260"/>
  <c r="AB46" i="177" l="1"/>
  <c r="AB42" i="177"/>
  <c r="AB41" i="177"/>
  <c r="AB36" i="177"/>
  <c r="AB39" i="177"/>
  <c r="AB44" i="177"/>
  <c r="AB49" i="177"/>
  <c r="AB37" i="177"/>
  <c r="AB50" i="177"/>
  <c r="AB45" i="177"/>
  <c r="AB47" i="177"/>
  <c r="AB38" i="177"/>
  <c r="AB40" i="177"/>
  <c r="AB48" i="177"/>
  <c r="AB43" i="177"/>
  <c r="AB35" i="177"/>
  <c r="AB109" i="277"/>
  <c r="AA109" i="277"/>
  <c r="AA89" i="277"/>
  <c r="AA103" i="277" s="1"/>
  <c r="AA108" i="277" s="1"/>
  <c r="T89" i="277"/>
  <c r="T103" i="277" s="1"/>
  <c r="T108" i="277" s="1"/>
  <c r="F83" i="277"/>
  <c r="S89" i="277"/>
  <c r="R89" i="277"/>
  <c r="Q89" i="277"/>
  <c r="AG64" i="277"/>
  <c r="AF62" i="277"/>
  <c r="AG62" i="277"/>
  <c r="K109" i="277"/>
  <c r="J109" i="277"/>
  <c r="H65" i="277"/>
  <c r="AH62" i="277"/>
  <c r="H109" i="277"/>
  <c r="F91" i="277"/>
  <c r="Z110" i="277"/>
  <c r="K89" i="277"/>
  <c r="AB89" i="277"/>
  <c r="AB103" i="277" s="1"/>
  <c r="AB108" i="277" s="1"/>
  <c r="I89" i="277"/>
  <c r="J89" i="277"/>
  <c r="J103" i="277" s="1"/>
  <c r="J108" i="277" s="1"/>
  <c r="AC89" i="277"/>
  <c r="U89" i="277"/>
  <c r="G89" i="277"/>
  <c r="Z89" i="277"/>
  <c r="Z103" i="277" s="1"/>
  <c r="Z108" i="277" s="1"/>
  <c r="H89" i="277"/>
  <c r="I109" i="277"/>
  <c r="N110" i="277"/>
  <c r="AC83" i="277"/>
  <c r="F109" i="277"/>
  <c r="L110" i="277"/>
  <c r="N91" i="277"/>
  <c r="N103" i="277" s="1"/>
  <c r="N108" i="277" s="1"/>
  <c r="V109" i="277"/>
  <c r="R110" i="277"/>
  <c r="K83" i="277"/>
  <c r="X109" i="277"/>
  <c r="Y89" i="277"/>
  <c r="Y103" i="277" s="1"/>
  <c r="P89" i="277"/>
  <c r="M83" i="277"/>
  <c r="Z109" i="277"/>
  <c r="F110" i="277"/>
  <c r="N83" i="277"/>
  <c r="M109" i="277"/>
  <c r="K103" i="277"/>
  <c r="K108" i="277" s="1"/>
  <c r="L89" i="277"/>
  <c r="L103" i="277" s="1"/>
  <c r="L108" i="277" s="1"/>
  <c r="Y109" i="277"/>
  <c r="AC91" i="277"/>
  <c r="AC109" i="277" s="1"/>
  <c r="L83" i="277"/>
  <c r="J110" i="277"/>
  <c r="I103" i="277"/>
  <c r="I108" i="277" s="1"/>
  <c r="P110" i="277"/>
  <c r="J83" i="277"/>
  <c r="N89" i="277"/>
  <c r="O89" i="277"/>
  <c r="I83" i="277"/>
  <c r="K110" i="277"/>
  <c r="O110" i="277"/>
  <c r="L91" i="277"/>
  <c r="L109" i="277" s="1"/>
  <c r="W109" i="277"/>
  <c r="X89" i="277"/>
  <c r="X103" i="277" s="1"/>
  <c r="X108" i="277" s="1"/>
  <c r="G110" i="277"/>
  <c r="AA110" i="277"/>
  <c r="Q91" i="277"/>
  <c r="Q109" i="277" s="1"/>
  <c r="Q83" i="277"/>
  <c r="V83" i="277"/>
  <c r="V89" i="277"/>
  <c r="V103" i="277" s="1"/>
  <c r="V108" i="277" s="1"/>
  <c r="M110" i="277"/>
  <c r="M89" i="277"/>
  <c r="M103" i="277" s="1"/>
  <c r="M108" i="277" s="1"/>
  <c r="S91" i="277"/>
  <c r="S109" i="277" s="1"/>
  <c r="S83" i="277"/>
  <c r="S110" i="277"/>
  <c r="W83" i="277"/>
  <c r="W89" i="277"/>
  <c r="W103" i="277" s="1"/>
  <c r="W108" i="277" s="1"/>
  <c r="F103" i="277"/>
  <c r="F108" i="277" s="1"/>
  <c r="V110" i="277"/>
  <c r="Q110" i="277"/>
  <c r="W110" i="277"/>
  <c r="AF63" i="277"/>
  <c r="AH63" i="277"/>
  <c r="B83" i="277"/>
  <c r="X83" i="277"/>
  <c r="C83" i="277"/>
  <c r="Y83" i="277"/>
  <c r="AI61" i="277"/>
  <c r="O91" i="277"/>
  <c r="O109" i="277" s="1"/>
  <c r="O83" i="277"/>
  <c r="P91" i="277"/>
  <c r="P109" i="277" s="1"/>
  <c r="P83" i="277"/>
  <c r="AG63" i="277"/>
  <c r="G65" i="277"/>
  <c r="G99" i="277" s="1"/>
  <c r="U103" i="277"/>
  <c r="U108" i="277" s="1"/>
  <c r="R91" i="277"/>
  <c r="R109" i="277" s="1"/>
  <c r="R83" i="277"/>
  <c r="Z83" i="277"/>
  <c r="H83" i="277"/>
  <c r="AB83" i="277"/>
  <c r="G91" i="277"/>
  <c r="G109" i="277" s="1"/>
  <c r="T110" i="277"/>
  <c r="U110" i="277"/>
  <c r="T83" i="277"/>
  <c r="X110" i="277"/>
  <c r="U83" i="277"/>
  <c r="Y110" i="277"/>
  <c r="AB110" i="277"/>
  <c r="AC110" i="277"/>
  <c r="AA83" i="277"/>
  <c r="H110" i="277"/>
  <c r="I110" i="277"/>
  <c r="AC89" i="276"/>
  <c r="AB89" i="276"/>
  <c r="Z110" i="276"/>
  <c r="X89" i="276"/>
  <c r="W110" i="276"/>
  <c r="U89" i="276"/>
  <c r="S109" i="276"/>
  <c r="Q109" i="276"/>
  <c r="B83" i="276"/>
  <c r="N89" i="276"/>
  <c r="AI61" i="276"/>
  <c r="T109" i="276"/>
  <c r="T110" i="276"/>
  <c r="G83" i="276"/>
  <c r="V109" i="276"/>
  <c r="U109" i="276"/>
  <c r="X110" i="276"/>
  <c r="AA83" i="276"/>
  <c r="AB83" i="276"/>
  <c r="Y110" i="276"/>
  <c r="U103" i="276"/>
  <c r="U108" i="276" s="1"/>
  <c r="H83" i="276"/>
  <c r="R109" i="276"/>
  <c r="F83" i="276"/>
  <c r="T89" i="276"/>
  <c r="T103" i="276" s="1"/>
  <c r="T108" i="276" s="1"/>
  <c r="V89" i="276"/>
  <c r="W89" i="276"/>
  <c r="AC83" i="276"/>
  <c r="M110" i="276"/>
  <c r="P110" i="276"/>
  <c r="K110" i="276"/>
  <c r="V83" i="276"/>
  <c r="L110" i="276"/>
  <c r="R83" i="276"/>
  <c r="N83" i="276"/>
  <c r="J110" i="276"/>
  <c r="S110" i="276"/>
  <c r="W91" i="276"/>
  <c r="W109" i="276" s="1"/>
  <c r="X91" i="276"/>
  <c r="X109" i="276" s="1"/>
  <c r="Y91" i="276"/>
  <c r="Y109" i="276" s="1"/>
  <c r="G91" i="276"/>
  <c r="G103" i="276" s="1"/>
  <c r="G108" i="276" s="1"/>
  <c r="H91" i="276"/>
  <c r="H109" i="276" s="1"/>
  <c r="AA91" i="276"/>
  <c r="AA109" i="276" s="1"/>
  <c r="K91" i="276"/>
  <c r="K109" i="276" s="1"/>
  <c r="L91" i="276"/>
  <c r="L109" i="276" s="1"/>
  <c r="O83" i="276"/>
  <c r="J83" i="276"/>
  <c r="M91" i="276"/>
  <c r="M103" i="276" s="1"/>
  <c r="M108" i="276" s="1"/>
  <c r="Z91" i="276"/>
  <c r="Z109" i="276" s="1"/>
  <c r="J91" i="276"/>
  <c r="J109" i="276" s="1"/>
  <c r="N110" i="276"/>
  <c r="AB91" i="276"/>
  <c r="AB103" i="276" s="1"/>
  <c r="AB108" i="276" s="1"/>
  <c r="AC91" i="276"/>
  <c r="AC109" i="276" s="1"/>
  <c r="Q83" i="276"/>
  <c r="F91" i="276"/>
  <c r="AC103" i="276"/>
  <c r="AC108" i="276" s="1"/>
  <c r="F109" i="276"/>
  <c r="I109" i="276"/>
  <c r="V103" i="276"/>
  <c r="V108" i="276" s="1"/>
  <c r="G109" i="276"/>
  <c r="X103" i="276"/>
  <c r="X108" i="276" s="1"/>
  <c r="K103" i="276"/>
  <c r="K108" i="276" s="1"/>
  <c r="N103" i="276"/>
  <c r="N108" i="276" s="1"/>
  <c r="W103" i="276"/>
  <c r="W108" i="276" s="1"/>
  <c r="F103" i="276"/>
  <c r="F108" i="276" s="1"/>
  <c r="P109" i="276"/>
  <c r="N109" i="276"/>
  <c r="O109" i="276"/>
  <c r="K83" i="276"/>
  <c r="M83" i="276"/>
  <c r="AG62" i="276"/>
  <c r="S83" i="276"/>
  <c r="P89" i="276"/>
  <c r="P103" i="276" s="1"/>
  <c r="P108" i="276" s="1"/>
  <c r="U83" i="276"/>
  <c r="Q89" i="276"/>
  <c r="Q103" i="276" s="1"/>
  <c r="Q108" i="276" s="1"/>
  <c r="R89" i="276"/>
  <c r="R103" i="276" s="1"/>
  <c r="R108" i="276" s="1"/>
  <c r="F110" i="276"/>
  <c r="AG46" i="276"/>
  <c r="W83" i="276"/>
  <c r="S89" i="276"/>
  <c r="S103" i="276" s="1"/>
  <c r="S108" i="276" s="1"/>
  <c r="G110" i="276"/>
  <c r="AA110" i="276"/>
  <c r="AH46" i="276"/>
  <c r="X83" i="276"/>
  <c r="H110" i="276"/>
  <c r="AB110" i="276"/>
  <c r="L83" i="276"/>
  <c r="Q110" i="276"/>
  <c r="R110" i="276"/>
  <c r="AF62" i="276"/>
  <c r="U110" i="276"/>
  <c r="T83" i="276"/>
  <c r="AF63" i="276"/>
  <c r="AC110" i="276"/>
  <c r="AG63" i="276"/>
  <c r="Z83" i="276"/>
  <c r="I65" i="276"/>
  <c r="I99" i="276" s="1"/>
  <c r="I103" i="276" s="1"/>
  <c r="I108" i="276" s="1"/>
  <c r="P83" i="276"/>
  <c r="Y83" i="276"/>
  <c r="O110" i="276"/>
  <c r="V110" i="276"/>
  <c r="O89" i="276"/>
  <c r="O103" i="276" s="1"/>
  <c r="O108" i="276" s="1"/>
  <c r="I110" i="276"/>
  <c r="AE361" i="260"/>
  <c r="F701" i="88"/>
  <c r="F700" i="88"/>
  <c r="F699" i="88"/>
  <c r="F698" i="88"/>
  <c r="F697" i="88"/>
  <c r="J34" i="275"/>
  <c r="J96" i="275" s="1"/>
  <c r="F545" i="88"/>
  <c r="F568" i="88"/>
  <c r="F696" i="88"/>
  <c r="I63" i="275"/>
  <c r="I62" i="275"/>
  <c r="I46" i="275"/>
  <c r="F677" i="88"/>
  <c r="F695" i="88"/>
  <c r="F669" i="88"/>
  <c r="AE356" i="260"/>
  <c r="AE355" i="260"/>
  <c r="AE353" i="260"/>
  <c r="F693" i="88"/>
  <c r="F692" i="88"/>
  <c r="F694" i="88"/>
  <c r="F622" i="88"/>
  <c r="F690" i="88"/>
  <c r="F691" i="88"/>
  <c r="AC129" i="275"/>
  <c r="AB129" i="275"/>
  <c r="AA129" i="275"/>
  <c r="Z129" i="275"/>
  <c r="Y129" i="275"/>
  <c r="X129" i="275"/>
  <c r="W129" i="275"/>
  <c r="V129" i="275"/>
  <c r="U129" i="275"/>
  <c r="T129" i="275"/>
  <c r="S129" i="275"/>
  <c r="R129" i="275"/>
  <c r="Q129" i="275"/>
  <c r="P129" i="275"/>
  <c r="O129" i="275"/>
  <c r="N129" i="275"/>
  <c r="M129" i="275"/>
  <c r="L129" i="275"/>
  <c r="K129" i="275"/>
  <c r="J129" i="275"/>
  <c r="I129" i="275"/>
  <c r="H129" i="275"/>
  <c r="G129" i="275"/>
  <c r="F129" i="275"/>
  <c r="AC107" i="275"/>
  <c r="AB107" i="275"/>
  <c r="AA107" i="275"/>
  <c r="Z107" i="275"/>
  <c r="Y107" i="275"/>
  <c r="X107" i="275"/>
  <c r="W107" i="275"/>
  <c r="V107" i="275"/>
  <c r="U107" i="275"/>
  <c r="T107" i="275"/>
  <c r="S107" i="275"/>
  <c r="R107" i="275"/>
  <c r="Q107" i="275"/>
  <c r="P107" i="275"/>
  <c r="O107" i="275"/>
  <c r="N107" i="275"/>
  <c r="M107" i="275"/>
  <c r="L107" i="275"/>
  <c r="K107" i="275"/>
  <c r="J107" i="275"/>
  <c r="I107" i="275"/>
  <c r="H107" i="275"/>
  <c r="G107" i="275"/>
  <c r="F107" i="275"/>
  <c r="AC102" i="275"/>
  <c r="AB102" i="275"/>
  <c r="AA102" i="275"/>
  <c r="Z102" i="275"/>
  <c r="Y102" i="275"/>
  <c r="X102" i="275"/>
  <c r="W102" i="275"/>
  <c r="V102" i="275"/>
  <c r="U102" i="275"/>
  <c r="T102" i="275"/>
  <c r="S102" i="275"/>
  <c r="R102" i="275"/>
  <c r="Q102" i="275"/>
  <c r="P102" i="275"/>
  <c r="O102" i="275"/>
  <c r="N102" i="275"/>
  <c r="M102" i="275"/>
  <c r="L102" i="275"/>
  <c r="K102" i="275"/>
  <c r="J102" i="275"/>
  <c r="I102" i="275"/>
  <c r="H102" i="275"/>
  <c r="G102" i="275"/>
  <c r="F102" i="275"/>
  <c r="AB100" i="275"/>
  <c r="W100" i="275"/>
  <c r="P96" i="275"/>
  <c r="N96" i="275"/>
  <c r="AC80" i="275"/>
  <c r="AC101" i="275" s="1"/>
  <c r="AB80" i="275"/>
  <c r="AB101" i="275" s="1"/>
  <c r="AA80" i="275"/>
  <c r="AA101" i="275" s="1"/>
  <c r="Z80" i="275"/>
  <c r="Z101" i="275" s="1"/>
  <c r="Y80" i="275"/>
  <c r="Y101" i="275" s="1"/>
  <c r="X80" i="275"/>
  <c r="X101" i="275" s="1"/>
  <c r="W80" i="275"/>
  <c r="W101" i="275" s="1"/>
  <c r="V80" i="275"/>
  <c r="V101" i="275" s="1"/>
  <c r="U80" i="275"/>
  <c r="U101" i="275" s="1"/>
  <c r="T80" i="275"/>
  <c r="T101" i="275" s="1"/>
  <c r="S80" i="275"/>
  <c r="S101" i="275" s="1"/>
  <c r="R80" i="275"/>
  <c r="R101" i="275" s="1"/>
  <c r="Q80" i="275"/>
  <c r="Q101" i="275" s="1"/>
  <c r="P80" i="275"/>
  <c r="P101" i="275" s="1"/>
  <c r="O80" i="275"/>
  <c r="O101" i="275" s="1"/>
  <c r="N80" i="275"/>
  <c r="N101" i="275" s="1"/>
  <c r="M80" i="275"/>
  <c r="M101" i="275" s="1"/>
  <c r="L80" i="275"/>
  <c r="L101" i="275" s="1"/>
  <c r="K80" i="275"/>
  <c r="K101" i="275" s="1"/>
  <c r="J80" i="275"/>
  <c r="J101" i="275" s="1"/>
  <c r="I80" i="275"/>
  <c r="I101" i="275" s="1"/>
  <c r="H80" i="275"/>
  <c r="H101" i="275" s="1"/>
  <c r="G80" i="275"/>
  <c r="G101" i="275" s="1"/>
  <c r="F80" i="275"/>
  <c r="F101" i="275" s="1"/>
  <c r="C80" i="275"/>
  <c r="B80" i="275"/>
  <c r="B25" i="275" s="1"/>
  <c r="AH79" i="275"/>
  <c r="AG79" i="275"/>
  <c r="AF79" i="275"/>
  <c r="AH78" i="275"/>
  <c r="AG78" i="275"/>
  <c r="AF78" i="275"/>
  <c r="AI77" i="275"/>
  <c r="AC76" i="275"/>
  <c r="AC100" i="275" s="1"/>
  <c r="AB76" i="275"/>
  <c r="AA76" i="275"/>
  <c r="AA100" i="275" s="1"/>
  <c r="Z76" i="275"/>
  <c r="Z100" i="275" s="1"/>
  <c r="Y76" i="275"/>
  <c r="Y100" i="275" s="1"/>
  <c r="X76" i="275"/>
  <c r="X100" i="275" s="1"/>
  <c r="W76" i="275"/>
  <c r="V76" i="275"/>
  <c r="V100" i="275" s="1"/>
  <c r="U76" i="275"/>
  <c r="U100" i="275" s="1"/>
  <c r="T76" i="275"/>
  <c r="T100" i="275" s="1"/>
  <c r="S76" i="275"/>
  <c r="S100" i="275" s="1"/>
  <c r="R76" i="275"/>
  <c r="R100" i="275" s="1"/>
  <c r="Q76" i="275"/>
  <c r="Q100" i="275" s="1"/>
  <c r="P76" i="275"/>
  <c r="P100" i="275" s="1"/>
  <c r="O76" i="275"/>
  <c r="O100" i="275" s="1"/>
  <c r="N76" i="275"/>
  <c r="N100" i="275" s="1"/>
  <c r="M76" i="275"/>
  <c r="M100" i="275" s="1"/>
  <c r="L76" i="275"/>
  <c r="L100" i="275" s="1"/>
  <c r="K76" i="275"/>
  <c r="K100" i="275" s="1"/>
  <c r="J76" i="275"/>
  <c r="J100" i="275" s="1"/>
  <c r="I76" i="275"/>
  <c r="I100" i="275" s="1"/>
  <c r="H76" i="275"/>
  <c r="H100" i="275" s="1"/>
  <c r="G76" i="275"/>
  <c r="G100" i="275" s="1"/>
  <c r="F76" i="275"/>
  <c r="F100" i="275" s="1"/>
  <c r="C76" i="275"/>
  <c r="B76" i="275"/>
  <c r="AH75" i="275"/>
  <c r="AG75" i="275"/>
  <c r="AF75" i="275"/>
  <c r="AH74" i="275"/>
  <c r="AG74" i="275"/>
  <c r="AF74" i="275"/>
  <c r="AH73" i="275"/>
  <c r="AG73" i="275"/>
  <c r="AF73" i="275"/>
  <c r="AH72" i="275"/>
  <c r="AG72" i="275"/>
  <c r="AF72" i="275"/>
  <c r="AH71" i="275"/>
  <c r="AG71" i="275"/>
  <c r="AF71" i="275"/>
  <c r="AH70" i="275"/>
  <c r="AG70" i="275"/>
  <c r="AF70" i="275"/>
  <c r="AH69" i="275"/>
  <c r="AG69" i="275"/>
  <c r="AF69" i="275"/>
  <c r="AH68" i="275"/>
  <c r="AG68" i="275"/>
  <c r="AF68" i="275"/>
  <c r="AH67" i="275"/>
  <c r="AG67" i="275"/>
  <c r="AF67" i="275"/>
  <c r="AI66" i="275"/>
  <c r="AC65" i="275"/>
  <c r="AC99" i="275" s="1"/>
  <c r="AB65" i="275"/>
  <c r="AB99" i="275" s="1"/>
  <c r="AA65" i="275"/>
  <c r="AA99" i="275" s="1"/>
  <c r="Z65" i="275"/>
  <c r="Z99" i="275" s="1"/>
  <c r="Y65" i="275"/>
  <c r="Y99" i="275" s="1"/>
  <c r="X65" i="275"/>
  <c r="X99" i="275" s="1"/>
  <c r="W65" i="275"/>
  <c r="W99" i="275" s="1"/>
  <c r="U65" i="275"/>
  <c r="U99" i="275" s="1"/>
  <c r="L65" i="275"/>
  <c r="L99" i="275" s="1"/>
  <c r="K65" i="275"/>
  <c r="K99" i="275" s="1"/>
  <c r="J65" i="275"/>
  <c r="J99" i="275" s="1"/>
  <c r="I65" i="275"/>
  <c r="I99" i="275" s="1"/>
  <c r="H65" i="275"/>
  <c r="H99" i="275" s="1"/>
  <c r="G65" i="275"/>
  <c r="G99" i="275" s="1"/>
  <c r="F65" i="275"/>
  <c r="F99" i="275" s="1"/>
  <c r="C65" i="275"/>
  <c r="B65" i="275"/>
  <c r="AH64" i="275"/>
  <c r="AG64" i="275"/>
  <c r="AF64" i="275"/>
  <c r="N65" i="275"/>
  <c r="N99" i="275" s="1"/>
  <c r="AG63" i="275"/>
  <c r="V65" i="275"/>
  <c r="V99" i="275" s="1"/>
  <c r="T65" i="275"/>
  <c r="T99" i="275" s="1"/>
  <c r="S65" i="275"/>
  <c r="S99" i="275" s="1"/>
  <c r="R65" i="275"/>
  <c r="R99" i="275" s="1"/>
  <c r="Q65" i="275"/>
  <c r="Q99" i="275" s="1"/>
  <c r="P65" i="275"/>
  <c r="P99" i="275" s="1"/>
  <c r="O65" i="275"/>
  <c r="O99" i="275" s="1"/>
  <c r="AH62" i="275"/>
  <c r="AC60" i="275"/>
  <c r="AC98" i="275" s="1"/>
  <c r="AB60" i="275"/>
  <c r="AB98" i="275" s="1"/>
  <c r="AA60" i="275"/>
  <c r="AA98" i="275" s="1"/>
  <c r="Z60" i="275"/>
  <c r="Z98" i="275" s="1"/>
  <c r="Y60" i="275"/>
  <c r="Y98" i="275" s="1"/>
  <c r="X60" i="275"/>
  <c r="X98" i="275" s="1"/>
  <c r="W60" i="275"/>
  <c r="W98" i="275" s="1"/>
  <c r="T60" i="275"/>
  <c r="T98" i="275" s="1"/>
  <c r="S60" i="275"/>
  <c r="S98" i="275" s="1"/>
  <c r="R60" i="275"/>
  <c r="R98" i="275" s="1"/>
  <c r="Q60" i="275"/>
  <c r="Q98" i="275" s="1"/>
  <c r="P60" i="275"/>
  <c r="P98" i="275" s="1"/>
  <c r="O60" i="275"/>
  <c r="O98" i="275" s="1"/>
  <c r="N60" i="275"/>
  <c r="N98" i="275" s="1"/>
  <c r="M60" i="275"/>
  <c r="M98" i="275" s="1"/>
  <c r="L60" i="275"/>
  <c r="L98" i="275" s="1"/>
  <c r="K60" i="275"/>
  <c r="K98" i="275" s="1"/>
  <c r="J60" i="275"/>
  <c r="J98" i="275" s="1"/>
  <c r="I60" i="275"/>
  <c r="I98" i="275" s="1"/>
  <c r="H60" i="275"/>
  <c r="H98" i="275" s="1"/>
  <c r="G60" i="275"/>
  <c r="G98" i="275" s="1"/>
  <c r="F60" i="275"/>
  <c r="F98" i="275" s="1"/>
  <c r="C60" i="275"/>
  <c r="B60" i="275"/>
  <c r="AH59" i="275"/>
  <c r="AG59" i="275"/>
  <c r="AF59" i="275"/>
  <c r="AH58" i="275"/>
  <c r="AG58" i="275"/>
  <c r="AF58" i="275"/>
  <c r="AH57" i="275"/>
  <c r="AG57" i="275"/>
  <c r="AF57" i="275"/>
  <c r="AH56" i="275"/>
  <c r="AF56" i="275"/>
  <c r="AG56" i="275"/>
  <c r="AH55" i="275"/>
  <c r="AG55" i="275"/>
  <c r="AF55" i="275"/>
  <c r="AH54" i="275"/>
  <c r="AG54" i="275"/>
  <c r="AF54" i="275"/>
  <c r="AH53" i="275"/>
  <c r="AG53" i="275"/>
  <c r="AF53" i="275"/>
  <c r="AH52" i="275"/>
  <c r="AG52" i="275"/>
  <c r="AF52" i="275"/>
  <c r="AH51" i="275"/>
  <c r="AG51" i="275"/>
  <c r="AF51" i="275"/>
  <c r="AH50" i="275"/>
  <c r="AF50" i="275"/>
  <c r="AG50" i="275"/>
  <c r="AH49" i="275"/>
  <c r="AG49" i="275"/>
  <c r="AF49" i="275"/>
  <c r="AH48" i="275"/>
  <c r="AG48" i="275"/>
  <c r="AF48" i="275"/>
  <c r="AF47" i="275"/>
  <c r="AH46" i="275"/>
  <c r="AG46" i="275"/>
  <c r="AF46" i="275"/>
  <c r="AH45" i="275"/>
  <c r="AG45" i="275"/>
  <c r="AF45" i="275"/>
  <c r="AH44" i="275"/>
  <c r="AG44" i="275"/>
  <c r="AF44" i="275"/>
  <c r="AH43" i="275"/>
  <c r="AG43" i="275"/>
  <c r="AF43" i="275"/>
  <c r="AH42" i="275"/>
  <c r="AG42" i="275"/>
  <c r="AF42" i="275"/>
  <c r="V60" i="275"/>
  <c r="V98" i="275" s="1"/>
  <c r="AH40" i="275"/>
  <c r="AG40" i="275"/>
  <c r="AF40" i="275"/>
  <c r="AH39" i="275"/>
  <c r="AG39" i="275"/>
  <c r="AF39" i="275"/>
  <c r="AH38" i="275"/>
  <c r="AG38" i="275"/>
  <c r="AF38" i="275"/>
  <c r="AH37" i="275"/>
  <c r="AG37" i="275"/>
  <c r="AF37" i="275"/>
  <c r="AH36" i="275"/>
  <c r="AG36" i="275"/>
  <c r="AF36" i="275"/>
  <c r="AC34" i="275"/>
  <c r="AC96" i="275" s="1"/>
  <c r="AB34" i="275"/>
  <c r="AB96" i="275" s="1"/>
  <c r="AA34" i="275"/>
  <c r="AA96" i="275" s="1"/>
  <c r="Z34" i="275"/>
  <c r="Z96" i="275" s="1"/>
  <c r="Y34" i="275"/>
  <c r="Y96" i="275" s="1"/>
  <c r="X34" i="275"/>
  <c r="X96" i="275" s="1"/>
  <c r="W34" i="275"/>
  <c r="W96" i="275" s="1"/>
  <c r="V34" i="275"/>
  <c r="V96" i="275" s="1"/>
  <c r="U34" i="275"/>
  <c r="U96" i="275" s="1"/>
  <c r="T34" i="275"/>
  <c r="T96" i="275" s="1"/>
  <c r="S34" i="275"/>
  <c r="S96" i="275" s="1"/>
  <c r="R34" i="275"/>
  <c r="R96" i="275" s="1"/>
  <c r="Q34" i="275"/>
  <c r="Q96" i="275" s="1"/>
  <c r="P34" i="275"/>
  <c r="O34" i="275"/>
  <c r="O96" i="275" s="1"/>
  <c r="N34" i="275"/>
  <c r="M34" i="275"/>
  <c r="M96" i="275" s="1"/>
  <c r="L34" i="275"/>
  <c r="L96" i="275" s="1"/>
  <c r="K34" i="275"/>
  <c r="K96" i="275" s="1"/>
  <c r="I34" i="275"/>
  <c r="I96" i="275" s="1"/>
  <c r="H34" i="275"/>
  <c r="H96" i="275" s="1"/>
  <c r="G34" i="275"/>
  <c r="G96" i="275" s="1"/>
  <c r="F34" i="275"/>
  <c r="F96" i="275" s="1"/>
  <c r="C34" i="275"/>
  <c r="B34" i="275"/>
  <c r="AH33" i="275"/>
  <c r="AG33" i="275"/>
  <c r="AF33" i="275"/>
  <c r="AI32" i="275"/>
  <c r="AC31" i="275"/>
  <c r="AC93" i="275" s="1"/>
  <c r="AB31" i="275"/>
  <c r="AB93" i="275" s="1"/>
  <c r="AA31" i="275"/>
  <c r="AA93" i="275" s="1"/>
  <c r="Z31" i="275"/>
  <c r="Z93" i="275" s="1"/>
  <c r="Y31" i="275"/>
  <c r="Y93" i="275" s="1"/>
  <c r="X93" i="275"/>
  <c r="W31" i="275"/>
  <c r="W93" i="275" s="1"/>
  <c r="V31" i="275"/>
  <c r="V93" i="275" s="1"/>
  <c r="U31" i="275"/>
  <c r="U93" i="275" s="1"/>
  <c r="T31" i="275"/>
  <c r="T93" i="275" s="1"/>
  <c r="S31" i="275"/>
  <c r="S93" i="275" s="1"/>
  <c r="R31" i="275"/>
  <c r="R93" i="275" s="1"/>
  <c r="Q31" i="275"/>
  <c r="Q93" i="275" s="1"/>
  <c r="P31" i="275"/>
  <c r="P93" i="275" s="1"/>
  <c r="O31" i="275"/>
  <c r="O93" i="275" s="1"/>
  <c r="N31" i="275"/>
  <c r="N93" i="275" s="1"/>
  <c r="M31" i="275"/>
  <c r="M93" i="275" s="1"/>
  <c r="L31" i="275"/>
  <c r="L93" i="275" s="1"/>
  <c r="K31" i="275"/>
  <c r="K93" i="275" s="1"/>
  <c r="J31" i="275"/>
  <c r="J93" i="275" s="1"/>
  <c r="I31" i="275"/>
  <c r="I93" i="275" s="1"/>
  <c r="H31" i="275"/>
  <c r="H93" i="275" s="1"/>
  <c r="G31" i="275"/>
  <c r="G93" i="275" s="1"/>
  <c r="F31" i="275"/>
  <c r="F93" i="275" s="1"/>
  <c r="C31" i="275"/>
  <c r="B31" i="275"/>
  <c r="AI28" i="275"/>
  <c r="AH28" i="275"/>
  <c r="AG28" i="275"/>
  <c r="AF28" i="275"/>
  <c r="AH27" i="275"/>
  <c r="AG27" i="275"/>
  <c r="AF27" i="275"/>
  <c r="AI26" i="275"/>
  <c r="AC25" i="275"/>
  <c r="AC89" i="275" s="1"/>
  <c r="AB25" i="275"/>
  <c r="AA25" i="275"/>
  <c r="Z25" i="275"/>
  <c r="Y25" i="275"/>
  <c r="X25" i="275"/>
  <c r="W25" i="275"/>
  <c r="V25" i="275"/>
  <c r="U25" i="275"/>
  <c r="T25" i="275"/>
  <c r="S25" i="275"/>
  <c r="R25" i="275"/>
  <c r="Q25" i="275"/>
  <c r="P25" i="275"/>
  <c r="O25" i="275"/>
  <c r="N25" i="275"/>
  <c r="M25" i="275"/>
  <c r="L25" i="275"/>
  <c r="K25" i="275"/>
  <c r="J25" i="275"/>
  <c r="I25" i="275"/>
  <c r="H25" i="275"/>
  <c r="G25" i="275"/>
  <c r="F25" i="275"/>
  <c r="C25" i="275"/>
  <c r="AH24" i="275"/>
  <c r="AG24" i="275"/>
  <c r="AF24" i="275"/>
  <c r="AI23" i="275"/>
  <c r="AC22" i="275"/>
  <c r="AB22" i="275"/>
  <c r="AA22" i="275"/>
  <c r="Z22" i="275"/>
  <c r="Y22" i="275"/>
  <c r="X22" i="275"/>
  <c r="W22" i="275"/>
  <c r="V22" i="275"/>
  <c r="U22" i="275"/>
  <c r="U89" i="275" s="1"/>
  <c r="T22" i="275"/>
  <c r="S22" i="275"/>
  <c r="S89" i="275" s="1"/>
  <c r="R22" i="275"/>
  <c r="Q22" i="275"/>
  <c r="P22" i="275"/>
  <c r="O22" i="275"/>
  <c r="N22" i="275"/>
  <c r="M22" i="275"/>
  <c r="L22" i="275"/>
  <c r="K22" i="275"/>
  <c r="J22" i="275"/>
  <c r="I22" i="275"/>
  <c r="I89" i="275" s="1"/>
  <c r="H22" i="275"/>
  <c r="G22" i="275"/>
  <c r="G89" i="275" s="1"/>
  <c r="F22" i="275"/>
  <c r="F89" i="275" s="1"/>
  <c r="C22" i="275"/>
  <c r="B22" i="275"/>
  <c r="AH21" i="275"/>
  <c r="AG21" i="275"/>
  <c r="AF21" i="275"/>
  <c r="AH20" i="275"/>
  <c r="AG20" i="275"/>
  <c r="AF20" i="275"/>
  <c r="AH19" i="275"/>
  <c r="AG19" i="275"/>
  <c r="AF19" i="275"/>
  <c r="AI18" i="275"/>
  <c r="AC17" i="275"/>
  <c r="AC91" i="275" s="1"/>
  <c r="AB17" i="275"/>
  <c r="AA17" i="275"/>
  <c r="Z17" i="275"/>
  <c r="Z91" i="275" s="1"/>
  <c r="Y17" i="275"/>
  <c r="Y91" i="275" s="1"/>
  <c r="X17" i="275"/>
  <c r="X91" i="275" s="1"/>
  <c r="W17" i="275"/>
  <c r="V17" i="275"/>
  <c r="V91" i="275" s="1"/>
  <c r="U17" i="275"/>
  <c r="U91" i="275" s="1"/>
  <c r="T17" i="275"/>
  <c r="S17" i="275"/>
  <c r="R17" i="275"/>
  <c r="Q17" i="275"/>
  <c r="P17" i="275"/>
  <c r="O17" i="275"/>
  <c r="O91" i="275" s="1"/>
  <c r="N17" i="275"/>
  <c r="N91" i="275" s="1"/>
  <c r="M17" i="275"/>
  <c r="M91" i="275" s="1"/>
  <c r="L17" i="275"/>
  <c r="K17" i="275"/>
  <c r="K91" i="275" s="1"/>
  <c r="J17" i="275"/>
  <c r="I17" i="275"/>
  <c r="I91" i="275" s="1"/>
  <c r="H17" i="275"/>
  <c r="G17" i="275"/>
  <c r="F17" i="275"/>
  <c r="F91" i="275" s="1"/>
  <c r="C17" i="275"/>
  <c r="C83" i="275" s="1"/>
  <c r="B17" i="275"/>
  <c r="B83" i="275" s="1"/>
  <c r="AH16" i="275"/>
  <c r="AG16" i="275"/>
  <c r="AF16" i="275"/>
  <c r="AH15" i="275"/>
  <c r="AG15" i="275"/>
  <c r="AF15" i="275"/>
  <c r="AH14" i="275"/>
  <c r="AG14" i="275"/>
  <c r="AF14" i="275"/>
  <c r="AH13" i="275"/>
  <c r="AG13" i="275"/>
  <c r="AF13" i="275"/>
  <c r="AI12" i="275"/>
  <c r="M9" i="275" a="1"/>
  <c r="M9" i="275" s="1"/>
  <c r="F666" i="88"/>
  <c r="F670" i="88"/>
  <c r="F672" i="88"/>
  <c r="W352" i="260"/>
  <c r="AB63" i="273"/>
  <c r="AB62" i="273"/>
  <c r="F594" i="88"/>
  <c r="W351" i="260"/>
  <c r="AA63" i="273"/>
  <c r="AA62" i="273"/>
  <c r="F686" i="88"/>
  <c r="F687" i="88"/>
  <c r="F685" i="88"/>
  <c r="F688" i="88"/>
  <c r="F663" i="88"/>
  <c r="W350" i="260"/>
  <c r="Z63" i="273"/>
  <c r="Z62" i="273"/>
  <c r="W349" i="260"/>
  <c r="Y63" i="273"/>
  <c r="Y62" i="273"/>
  <c r="F683" i="88"/>
  <c r="F639" i="88"/>
  <c r="AE348" i="260"/>
  <c r="W348" i="260"/>
  <c r="X63" i="273"/>
  <c r="X62" i="273"/>
  <c r="AE347" i="260"/>
  <c r="W347" i="260"/>
  <c r="W63" i="273"/>
  <c r="W62" i="273"/>
  <c r="F682" i="88"/>
  <c r="F681" i="88"/>
  <c r="F680" i="88"/>
  <c r="AE346" i="260"/>
  <c r="W346" i="260"/>
  <c r="V63" i="273"/>
  <c r="V62" i="273"/>
  <c r="V56" i="273"/>
  <c r="V50" i="273"/>
  <c r="V47" i="273"/>
  <c r="V41" i="273"/>
  <c r="F679" i="88"/>
  <c r="AE345" i="260"/>
  <c r="W345" i="260"/>
  <c r="U56" i="273"/>
  <c r="U50" i="273"/>
  <c r="U47" i="273"/>
  <c r="U46" i="273"/>
  <c r="U41" i="273"/>
  <c r="F678" i="88"/>
  <c r="AE344" i="260"/>
  <c r="W344" i="260"/>
  <c r="AE343" i="260"/>
  <c r="W343" i="260"/>
  <c r="T62" i="273"/>
  <c r="T63" i="273"/>
  <c r="S63" i="273"/>
  <c r="S62" i="273"/>
  <c r="AE342" i="260"/>
  <c r="W342" i="260"/>
  <c r="R63" i="273"/>
  <c r="R62" i="273"/>
  <c r="AE341" i="260"/>
  <c r="W341" i="260"/>
  <c r="Q63" i="273"/>
  <c r="Q62" i="273"/>
  <c r="F675" i="88"/>
  <c r="AE340" i="260"/>
  <c r="W340" i="260"/>
  <c r="F676" i="88"/>
  <c r="P63" i="273"/>
  <c r="P62" i="273"/>
  <c r="O103" i="277" l="1"/>
  <c r="O108" i="277" s="1"/>
  <c r="H99" i="277"/>
  <c r="H103" i="277" s="1"/>
  <c r="H108" i="277" s="1"/>
  <c r="P103" i="277"/>
  <c r="P108" i="277" s="1"/>
  <c r="N109" i="277"/>
  <c r="AC103" i="277"/>
  <c r="AC108" i="277" s="1"/>
  <c r="G103" i="277"/>
  <c r="G108" i="277" s="1"/>
  <c r="Q103" i="277"/>
  <c r="Q108" i="277" s="1"/>
  <c r="G83" i="277"/>
  <c r="R103" i="277"/>
  <c r="R108" i="277" s="1"/>
  <c r="S103" i="277"/>
  <c r="S108" i="277" s="1"/>
  <c r="Z103" i="276"/>
  <c r="Z108" i="276" s="1"/>
  <c r="Y103" i="276"/>
  <c r="Y108" i="276" s="1"/>
  <c r="M109" i="276"/>
  <c r="L103" i="276"/>
  <c r="L108" i="276" s="1"/>
  <c r="J103" i="276"/>
  <c r="J108" i="276" s="1"/>
  <c r="H103" i="276"/>
  <c r="H108" i="276" s="1"/>
  <c r="I83" i="276"/>
  <c r="AB109" i="276"/>
  <c r="AA103" i="276"/>
  <c r="AA108" i="276" s="1"/>
  <c r="AB89" i="275"/>
  <c r="AA83" i="275"/>
  <c r="AA89" i="275"/>
  <c r="Z89" i="275"/>
  <c r="T89" i="275"/>
  <c r="J89" i="275"/>
  <c r="H89" i="275"/>
  <c r="G83" i="275"/>
  <c r="I109" i="275"/>
  <c r="V109" i="275"/>
  <c r="AC109" i="275"/>
  <c r="Z103" i="275"/>
  <c r="Z108" i="275" s="1"/>
  <c r="M109" i="275"/>
  <c r="X109" i="275"/>
  <c r="AB83" i="275"/>
  <c r="Z109" i="275"/>
  <c r="L110" i="275"/>
  <c r="K89" i="275"/>
  <c r="K103" i="275" s="1"/>
  <c r="K108" i="275" s="1"/>
  <c r="X89" i="275"/>
  <c r="X103" i="275" s="1"/>
  <c r="X108" i="275" s="1"/>
  <c r="U109" i="275"/>
  <c r="Y89" i="275"/>
  <c r="Y103" i="275" s="1"/>
  <c r="Y108" i="275" s="1"/>
  <c r="P89" i="275"/>
  <c r="N110" i="275"/>
  <c r="H83" i="275"/>
  <c r="O109" i="275"/>
  <c r="M89" i="275"/>
  <c r="H91" i="275"/>
  <c r="H109" i="275" s="1"/>
  <c r="O83" i="275"/>
  <c r="Q89" i="275"/>
  <c r="L91" i="275"/>
  <c r="L109" i="275" s="1"/>
  <c r="O110" i="275"/>
  <c r="AA91" i="275"/>
  <c r="AA109" i="275" s="1"/>
  <c r="W110" i="275"/>
  <c r="R89" i="275"/>
  <c r="M110" i="275"/>
  <c r="G91" i="275"/>
  <c r="G109" i="275" s="1"/>
  <c r="S110" i="275"/>
  <c r="X110" i="275"/>
  <c r="Y109" i="275"/>
  <c r="J110" i="275"/>
  <c r="I103" i="275"/>
  <c r="I108" i="275" s="1"/>
  <c r="J91" i="275"/>
  <c r="J109" i="275" s="1"/>
  <c r="Y83" i="275"/>
  <c r="I110" i="275"/>
  <c r="AC110" i="275"/>
  <c r="K110" i="275"/>
  <c r="AB91" i="275"/>
  <c r="AB109" i="275" s="1"/>
  <c r="F109" i="275"/>
  <c r="L83" i="275"/>
  <c r="V89" i="275"/>
  <c r="W89" i="275"/>
  <c r="N89" i="275"/>
  <c r="N103" i="275" s="1"/>
  <c r="N108" i="275" s="1"/>
  <c r="F110" i="275"/>
  <c r="Z83" i="275"/>
  <c r="W91" i="275"/>
  <c r="W109" i="275" s="1"/>
  <c r="AC83" i="275"/>
  <c r="I83" i="275"/>
  <c r="K83" i="275"/>
  <c r="AC103" i="275"/>
  <c r="AC108" i="275" s="1"/>
  <c r="K109" i="275"/>
  <c r="F103" i="275"/>
  <c r="F108" i="275" s="1"/>
  <c r="AF41" i="275"/>
  <c r="AG41" i="275"/>
  <c r="U60" i="275"/>
  <c r="U98" i="275" s="1"/>
  <c r="U103" i="275" s="1"/>
  <c r="U108" i="275" s="1"/>
  <c r="AI35" i="275"/>
  <c r="AH41" i="275"/>
  <c r="P110" i="275"/>
  <c r="P83" i="275"/>
  <c r="P91" i="275"/>
  <c r="P109" i="275" s="1"/>
  <c r="Q110" i="275"/>
  <c r="Q91" i="275"/>
  <c r="Q109" i="275" s="1"/>
  <c r="Q83" i="275"/>
  <c r="R83" i="275"/>
  <c r="V103" i="275"/>
  <c r="V108" i="275" s="1"/>
  <c r="AH63" i="275"/>
  <c r="AF63" i="275"/>
  <c r="M65" i="275"/>
  <c r="M83" i="275" s="1"/>
  <c r="N109" i="275"/>
  <c r="T83" i="275"/>
  <c r="J83" i="275"/>
  <c r="V83" i="275"/>
  <c r="N83" i="275"/>
  <c r="AH47" i="275"/>
  <c r="L89" i="275"/>
  <c r="L103" i="275" s="1"/>
  <c r="L108" i="275" s="1"/>
  <c r="AI36" i="275"/>
  <c r="S83" i="275"/>
  <c r="AI61" i="275"/>
  <c r="AF62" i="275"/>
  <c r="W83" i="275"/>
  <c r="G110" i="275"/>
  <c r="AA110" i="275"/>
  <c r="AG62" i="275"/>
  <c r="X83" i="275"/>
  <c r="H110" i="275"/>
  <c r="AB110" i="275"/>
  <c r="AG47" i="275"/>
  <c r="V110" i="275"/>
  <c r="O89" i="275"/>
  <c r="O103" i="275" s="1"/>
  <c r="O108" i="275" s="1"/>
  <c r="Z110" i="275"/>
  <c r="F83" i="275"/>
  <c r="R91" i="275"/>
  <c r="R109" i="275" s="1"/>
  <c r="S91" i="275"/>
  <c r="S109" i="275" s="1"/>
  <c r="R110" i="275"/>
  <c r="T91" i="275"/>
  <c r="T109" i="275" s="1"/>
  <c r="T110" i="275"/>
  <c r="U110" i="275"/>
  <c r="Y110" i="275"/>
  <c r="F674" i="88"/>
  <c r="F673" i="88"/>
  <c r="AB103" i="275" l="1"/>
  <c r="AB108" i="275" s="1"/>
  <c r="W103" i="275"/>
  <c r="W108" i="275" s="1"/>
  <c r="R103" i="275"/>
  <c r="R108" i="275" s="1"/>
  <c r="Q103" i="275"/>
  <c r="Q108" i="275" s="1"/>
  <c r="P103" i="275"/>
  <c r="P108" i="275" s="1"/>
  <c r="M99" i="275"/>
  <c r="M103" i="275" s="1"/>
  <c r="M108" i="275" s="1"/>
  <c r="H103" i="275"/>
  <c r="H108" i="275" s="1"/>
  <c r="AA103" i="275"/>
  <c r="AA108" i="275" s="1"/>
  <c r="J103" i="275"/>
  <c r="J108" i="275" s="1"/>
  <c r="G103" i="275"/>
  <c r="G108" i="275" s="1"/>
  <c r="T103" i="275"/>
  <c r="T108" i="275" s="1"/>
  <c r="U83" i="275"/>
  <c r="S103" i="275"/>
  <c r="S108" i="275" s="1"/>
  <c r="F671" i="88"/>
  <c r="F668" i="88"/>
  <c r="AE339" i="260"/>
  <c r="W339" i="260"/>
  <c r="O63" i="273"/>
  <c r="O62" i="273"/>
  <c r="AE338" i="260"/>
  <c r="W338" i="260"/>
  <c r="N63" i="273"/>
  <c r="N62" i="273"/>
  <c r="M63" i="273"/>
  <c r="M62" i="273"/>
  <c r="F664" i="88"/>
  <c r="L63" i="273"/>
  <c r="L62" i="273"/>
  <c r="W335" i="260"/>
  <c r="F621" i="88"/>
  <c r="F665" i="88"/>
  <c r="F631" i="88"/>
  <c r="W334" i="260"/>
  <c r="F633" i="88"/>
  <c r="F657" i="88"/>
  <c r="F658" i="88"/>
  <c r="F659" i="88"/>
  <c r="F662" i="88"/>
  <c r="F656" i="88"/>
  <c r="F654" i="88"/>
  <c r="F660" i="88"/>
  <c r="F655" i="88"/>
  <c r="W333" i="260"/>
  <c r="F651" i="88"/>
  <c r="F637" i="88"/>
  <c r="F650" i="88"/>
  <c r="AE332" i="260"/>
  <c r="W332" i="260"/>
  <c r="H63" i="273"/>
  <c r="H62" i="273"/>
  <c r="W331" i="260"/>
  <c r="AE331" i="260"/>
  <c r="G63" i="273"/>
  <c r="G62" i="273"/>
  <c r="F652" i="88"/>
  <c r="AE330" i="260"/>
  <c r="W330" i="260"/>
  <c r="F63" i="273"/>
  <c r="F62" i="273"/>
  <c r="F538" i="88"/>
  <c r="AE328" i="260"/>
  <c r="W328" i="260"/>
  <c r="AC129" i="273"/>
  <c r="AB129" i="273"/>
  <c r="AA129" i="273"/>
  <c r="Z129" i="273"/>
  <c r="Y129" i="273"/>
  <c r="X129" i="273"/>
  <c r="W129" i="273"/>
  <c r="V129" i="273"/>
  <c r="U129" i="273"/>
  <c r="T129" i="273"/>
  <c r="S129" i="273"/>
  <c r="R129" i="273"/>
  <c r="Q129" i="273"/>
  <c r="P129" i="273"/>
  <c r="O129" i="273"/>
  <c r="N129" i="273"/>
  <c r="M129" i="273"/>
  <c r="L129" i="273"/>
  <c r="K129" i="273"/>
  <c r="J129" i="273"/>
  <c r="I129" i="273"/>
  <c r="H129" i="273"/>
  <c r="G129" i="273"/>
  <c r="F129" i="273"/>
  <c r="AC107" i="273"/>
  <c r="AB107" i="273"/>
  <c r="AA107" i="273"/>
  <c r="Z107" i="273"/>
  <c r="Y107" i="273"/>
  <c r="X107" i="273"/>
  <c r="W107" i="273"/>
  <c r="V107" i="273"/>
  <c r="U107" i="273"/>
  <c r="T107" i="273"/>
  <c r="S107" i="273"/>
  <c r="R107" i="273"/>
  <c r="Q107" i="273"/>
  <c r="P107" i="273"/>
  <c r="O107" i="273"/>
  <c r="N107" i="273"/>
  <c r="M107" i="273"/>
  <c r="L107" i="273"/>
  <c r="K107" i="273"/>
  <c r="J107" i="273"/>
  <c r="I107" i="273"/>
  <c r="H107" i="273"/>
  <c r="G107" i="273"/>
  <c r="F107" i="273"/>
  <c r="AC102" i="273"/>
  <c r="AB102" i="273"/>
  <c r="AA102" i="273"/>
  <c r="Z102" i="273"/>
  <c r="Y102" i="273"/>
  <c r="X102" i="273"/>
  <c r="W102" i="273"/>
  <c r="V102" i="273"/>
  <c r="U102" i="273"/>
  <c r="T102" i="273"/>
  <c r="S102" i="273"/>
  <c r="R102" i="273"/>
  <c r="Q102" i="273"/>
  <c r="P102" i="273"/>
  <c r="O102" i="273"/>
  <c r="N102" i="273"/>
  <c r="M102" i="273"/>
  <c r="L102" i="273"/>
  <c r="K102" i="273"/>
  <c r="J102" i="273"/>
  <c r="I102" i="273"/>
  <c r="H102" i="273"/>
  <c r="G102" i="273"/>
  <c r="F102" i="273"/>
  <c r="F101" i="273"/>
  <c r="H100" i="273"/>
  <c r="G100" i="273"/>
  <c r="F100" i="273"/>
  <c r="G99" i="273"/>
  <c r="F99" i="273"/>
  <c r="AB98" i="273"/>
  <c r="U93" i="273"/>
  <c r="AC80" i="273"/>
  <c r="AC101" i="273" s="1"/>
  <c r="AB80" i="273"/>
  <c r="AB101" i="273" s="1"/>
  <c r="AA80" i="273"/>
  <c r="AA101" i="273" s="1"/>
  <c r="Z80" i="273"/>
  <c r="Z101" i="273" s="1"/>
  <c r="Y80" i="273"/>
  <c r="Y101" i="273" s="1"/>
  <c r="X80" i="273"/>
  <c r="X101" i="273" s="1"/>
  <c r="W80" i="273"/>
  <c r="W101" i="273" s="1"/>
  <c r="V80" i="273"/>
  <c r="V101" i="273" s="1"/>
  <c r="U80" i="273"/>
  <c r="U101" i="273" s="1"/>
  <c r="T80" i="273"/>
  <c r="T101" i="273" s="1"/>
  <c r="S80" i="273"/>
  <c r="S101" i="273" s="1"/>
  <c r="R80" i="273"/>
  <c r="R101" i="273" s="1"/>
  <c r="Q80" i="273"/>
  <c r="Q101" i="273" s="1"/>
  <c r="P80" i="273"/>
  <c r="P101" i="273" s="1"/>
  <c r="O80" i="273"/>
  <c r="O101" i="273" s="1"/>
  <c r="N80" i="273"/>
  <c r="N101" i="273" s="1"/>
  <c r="M80" i="273"/>
  <c r="M101" i="273" s="1"/>
  <c r="L80" i="273"/>
  <c r="L101" i="273" s="1"/>
  <c r="K80" i="273"/>
  <c r="K101" i="273" s="1"/>
  <c r="J80" i="273"/>
  <c r="J101" i="273" s="1"/>
  <c r="I80" i="273"/>
  <c r="I101" i="273" s="1"/>
  <c r="H80" i="273"/>
  <c r="H101" i="273" s="1"/>
  <c r="G80" i="273"/>
  <c r="G101" i="273" s="1"/>
  <c r="F80" i="273"/>
  <c r="C80" i="273"/>
  <c r="B80" i="273"/>
  <c r="AH79" i="273"/>
  <c r="AG79" i="273"/>
  <c r="AF79" i="273"/>
  <c r="AH78" i="273"/>
  <c r="AG78" i="273"/>
  <c r="AF78" i="273"/>
  <c r="AI77" i="273"/>
  <c r="AC76" i="273"/>
  <c r="AC100" i="273" s="1"/>
  <c r="AB76" i="273"/>
  <c r="AB100" i="273" s="1"/>
  <c r="AA76" i="273"/>
  <c r="AA100" i="273" s="1"/>
  <c r="Z76" i="273"/>
  <c r="Z100" i="273" s="1"/>
  <c r="Y76" i="273"/>
  <c r="Y100" i="273" s="1"/>
  <c r="X76" i="273"/>
  <c r="X100" i="273" s="1"/>
  <c r="W76" i="273"/>
  <c r="W100" i="273" s="1"/>
  <c r="V76" i="273"/>
  <c r="V100" i="273" s="1"/>
  <c r="U76" i="273"/>
  <c r="U100" i="273" s="1"/>
  <c r="T76" i="273"/>
  <c r="T100" i="273" s="1"/>
  <c r="S76" i="273"/>
  <c r="S100" i="273" s="1"/>
  <c r="R76" i="273"/>
  <c r="R100" i="273" s="1"/>
  <c r="Q76" i="273"/>
  <c r="Q100" i="273" s="1"/>
  <c r="P76" i="273"/>
  <c r="P100" i="273" s="1"/>
  <c r="O76" i="273"/>
  <c r="O100" i="273" s="1"/>
  <c r="N76" i="273"/>
  <c r="N100" i="273" s="1"/>
  <c r="M76" i="273"/>
  <c r="M100" i="273" s="1"/>
  <c r="L76" i="273"/>
  <c r="L100" i="273" s="1"/>
  <c r="K76" i="273"/>
  <c r="K100" i="273" s="1"/>
  <c r="J76" i="273"/>
  <c r="J100" i="273" s="1"/>
  <c r="I76" i="273"/>
  <c r="I100" i="273" s="1"/>
  <c r="H76" i="273"/>
  <c r="G76" i="273"/>
  <c r="F76" i="273"/>
  <c r="C76" i="273"/>
  <c r="B76" i="273"/>
  <c r="AH75" i="273"/>
  <c r="AG75" i="273"/>
  <c r="AF75" i="273"/>
  <c r="AH74" i="273"/>
  <c r="AG74" i="273"/>
  <c r="AF74" i="273"/>
  <c r="AH73" i="273"/>
  <c r="AG73" i="273"/>
  <c r="AF73" i="273"/>
  <c r="AH72" i="273"/>
  <c r="AG72" i="273"/>
  <c r="AF72" i="273"/>
  <c r="AH71" i="273"/>
  <c r="AG71" i="273"/>
  <c r="AF71" i="273"/>
  <c r="AH70" i="273"/>
  <c r="AG70" i="273"/>
  <c r="AF70" i="273"/>
  <c r="AH69" i="273"/>
  <c r="AG69" i="273"/>
  <c r="AF69" i="273"/>
  <c r="AH68" i="273"/>
  <c r="AG68" i="273"/>
  <c r="AF68" i="273"/>
  <c r="AH67" i="273"/>
  <c r="AG67" i="273"/>
  <c r="AF67" i="273"/>
  <c r="AI66" i="273"/>
  <c r="AC65" i="273"/>
  <c r="AC99" i="273" s="1"/>
  <c r="AB65" i="273"/>
  <c r="AB99" i="273" s="1"/>
  <c r="AA65" i="273"/>
  <c r="AA99" i="273" s="1"/>
  <c r="Z65" i="273"/>
  <c r="Z99" i="273" s="1"/>
  <c r="Y65" i="273"/>
  <c r="Y99" i="273" s="1"/>
  <c r="X65" i="273"/>
  <c r="X99" i="273" s="1"/>
  <c r="W65" i="273"/>
  <c r="W99" i="273" s="1"/>
  <c r="V65" i="273"/>
  <c r="V99" i="273" s="1"/>
  <c r="U65" i="273"/>
  <c r="U99" i="273" s="1"/>
  <c r="H65" i="273"/>
  <c r="H99" i="273" s="1"/>
  <c r="G65" i="273"/>
  <c r="F65" i="273"/>
  <c r="C65" i="273"/>
  <c r="B65" i="273"/>
  <c r="AH64" i="273"/>
  <c r="AG64" i="273"/>
  <c r="AF64" i="273"/>
  <c r="T65" i="273"/>
  <c r="T99" i="273" s="1"/>
  <c r="S65" i="273"/>
  <c r="S99" i="273" s="1"/>
  <c r="R65" i="273"/>
  <c r="R99" i="273" s="1"/>
  <c r="Q65" i="273"/>
  <c r="Q99" i="273" s="1"/>
  <c r="P65" i="273"/>
  <c r="P99" i="273" s="1"/>
  <c r="O65" i="273"/>
  <c r="O99" i="273" s="1"/>
  <c r="M65" i="273"/>
  <c r="M99" i="273" s="1"/>
  <c r="L65" i="273"/>
  <c r="L99" i="273" s="1"/>
  <c r="K65" i="273"/>
  <c r="K99" i="273" s="1"/>
  <c r="J65" i="273"/>
  <c r="J99" i="273" s="1"/>
  <c r="AC60" i="273"/>
  <c r="AC98" i="273" s="1"/>
  <c r="AB60" i="273"/>
  <c r="AA60" i="273"/>
  <c r="AA98" i="273" s="1"/>
  <c r="Z60" i="273"/>
  <c r="Z98" i="273" s="1"/>
  <c r="X60" i="273"/>
  <c r="X98" i="273" s="1"/>
  <c r="W60" i="273"/>
  <c r="W98" i="273" s="1"/>
  <c r="V60" i="273"/>
  <c r="V98" i="273" s="1"/>
  <c r="U60" i="273"/>
  <c r="U98" i="273" s="1"/>
  <c r="T60" i="273"/>
  <c r="T98" i="273" s="1"/>
  <c r="S60" i="273"/>
  <c r="S98" i="273" s="1"/>
  <c r="R60" i="273"/>
  <c r="R98" i="273" s="1"/>
  <c r="Q60" i="273"/>
  <c r="Q98" i="273" s="1"/>
  <c r="P60" i="273"/>
  <c r="P98" i="273" s="1"/>
  <c r="O60" i="273"/>
  <c r="O98" i="273" s="1"/>
  <c r="N60" i="273"/>
  <c r="N98" i="273" s="1"/>
  <c r="M60" i="273"/>
  <c r="M98" i="273" s="1"/>
  <c r="L60" i="273"/>
  <c r="L98" i="273" s="1"/>
  <c r="K60" i="273"/>
  <c r="K98" i="273" s="1"/>
  <c r="J60" i="273"/>
  <c r="J98" i="273" s="1"/>
  <c r="I60" i="273"/>
  <c r="I98" i="273" s="1"/>
  <c r="H60" i="273"/>
  <c r="H98" i="273" s="1"/>
  <c r="G60" i="273"/>
  <c r="G98" i="273" s="1"/>
  <c r="F60" i="273"/>
  <c r="F98" i="273" s="1"/>
  <c r="C60" i="273"/>
  <c r="B60" i="273"/>
  <c r="AH59" i="273"/>
  <c r="AG59" i="273"/>
  <c r="AF59" i="273"/>
  <c r="AH58" i="273"/>
  <c r="AG58" i="273"/>
  <c r="AF58" i="273"/>
  <c r="AH57" i="273"/>
  <c r="AG57" i="273"/>
  <c r="AF57" i="273"/>
  <c r="AH56" i="273"/>
  <c r="AH55" i="273"/>
  <c r="AG55" i="273"/>
  <c r="AF55" i="273"/>
  <c r="AH54" i="273"/>
  <c r="AG54" i="273"/>
  <c r="AF54" i="273"/>
  <c r="AH53" i="273"/>
  <c r="AG53" i="273"/>
  <c r="AF53" i="273"/>
  <c r="AH52" i="273"/>
  <c r="AG52" i="273"/>
  <c r="AF52" i="273"/>
  <c r="AH51" i="273"/>
  <c r="AG51" i="273"/>
  <c r="AF51" i="273"/>
  <c r="AF50" i="273"/>
  <c r="AH49" i="273"/>
  <c r="AG49" i="273"/>
  <c r="AF49" i="273"/>
  <c r="AH48" i="273"/>
  <c r="AG48" i="273"/>
  <c r="AF48" i="273"/>
  <c r="AF47" i="273"/>
  <c r="AH45" i="273"/>
  <c r="AG45" i="273"/>
  <c r="AF45" i="273"/>
  <c r="AH44" i="273"/>
  <c r="AG44" i="273"/>
  <c r="AF44" i="273"/>
  <c r="AH43" i="273"/>
  <c r="AG43" i="273"/>
  <c r="AF43" i="273"/>
  <c r="AH42" i="273"/>
  <c r="AG42" i="273"/>
  <c r="AF42" i="273"/>
  <c r="AH40" i="273"/>
  <c r="AG40" i="273"/>
  <c r="AF40" i="273"/>
  <c r="AH39" i="273"/>
  <c r="AG39" i="273"/>
  <c r="AF39" i="273"/>
  <c r="AH38" i="273"/>
  <c r="AG38" i="273"/>
  <c r="AF38" i="273"/>
  <c r="AH37" i="273"/>
  <c r="AG37" i="273"/>
  <c r="AF37" i="273"/>
  <c r="AH36" i="273"/>
  <c r="AG36" i="273"/>
  <c r="AF36" i="273"/>
  <c r="AC34" i="273"/>
  <c r="AC96" i="273" s="1"/>
  <c r="AB34" i="273"/>
  <c r="AB96" i="273" s="1"/>
  <c r="AA34" i="273"/>
  <c r="AA96" i="273" s="1"/>
  <c r="Z34" i="273"/>
  <c r="Z96" i="273" s="1"/>
  <c r="Y34" i="273"/>
  <c r="Y96" i="273" s="1"/>
  <c r="X34" i="273"/>
  <c r="X96" i="273" s="1"/>
  <c r="W34" i="273"/>
  <c r="W96" i="273" s="1"/>
  <c r="V34" i="273"/>
  <c r="V96" i="273" s="1"/>
  <c r="U34" i="273"/>
  <c r="U96" i="273" s="1"/>
  <c r="T34" i="273"/>
  <c r="T96" i="273" s="1"/>
  <c r="S34" i="273"/>
  <c r="S96" i="273" s="1"/>
  <c r="R34" i="273"/>
  <c r="R96" i="273" s="1"/>
  <c r="Q34" i="273"/>
  <c r="Q96" i="273" s="1"/>
  <c r="P34" i="273"/>
  <c r="P96" i="273" s="1"/>
  <c r="O34" i="273"/>
  <c r="O96" i="273" s="1"/>
  <c r="N34" i="273"/>
  <c r="N96" i="273" s="1"/>
  <c r="M34" i="273"/>
  <c r="M96" i="273" s="1"/>
  <c r="L34" i="273"/>
  <c r="L96" i="273" s="1"/>
  <c r="K34" i="273"/>
  <c r="K96" i="273" s="1"/>
  <c r="J34" i="273"/>
  <c r="J96" i="273" s="1"/>
  <c r="I34" i="273"/>
  <c r="I96" i="273" s="1"/>
  <c r="H34" i="273"/>
  <c r="H96" i="273" s="1"/>
  <c r="G34" i="273"/>
  <c r="G96" i="273" s="1"/>
  <c r="F34" i="273"/>
  <c r="F96" i="273" s="1"/>
  <c r="C34" i="273"/>
  <c r="B34" i="273"/>
  <c r="AH33" i="273"/>
  <c r="AG33" i="273"/>
  <c r="AF33" i="273"/>
  <c r="AI32" i="273"/>
  <c r="AC31" i="273"/>
  <c r="AC93" i="273" s="1"/>
  <c r="AB31" i="273"/>
  <c r="AB93" i="273" s="1"/>
  <c r="AA31" i="273"/>
  <c r="AA93" i="273" s="1"/>
  <c r="Z31" i="273"/>
  <c r="Z93" i="273" s="1"/>
  <c r="Y31" i="273"/>
  <c r="Y93" i="273" s="1"/>
  <c r="X31" i="273"/>
  <c r="X93" i="273" s="1"/>
  <c r="W31" i="273"/>
  <c r="W93" i="273" s="1"/>
  <c r="V31" i="273"/>
  <c r="V93" i="273" s="1"/>
  <c r="U31" i="273"/>
  <c r="T31" i="273"/>
  <c r="T93" i="273" s="1"/>
  <c r="S31" i="273"/>
  <c r="S93" i="273" s="1"/>
  <c r="R31" i="273"/>
  <c r="R93" i="273" s="1"/>
  <c r="Q31" i="273"/>
  <c r="Q93" i="273" s="1"/>
  <c r="P31" i="273"/>
  <c r="P93" i="273" s="1"/>
  <c r="O31" i="273"/>
  <c r="O93" i="273" s="1"/>
  <c r="N31" i="273"/>
  <c r="N93" i="273" s="1"/>
  <c r="M31" i="273"/>
  <c r="M93" i="273" s="1"/>
  <c r="L31" i="273"/>
  <c r="L93" i="273" s="1"/>
  <c r="K31" i="273"/>
  <c r="K93" i="273" s="1"/>
  <c r="J31" i="273"/>
  <c r="J93" i="273" s="1"/>
  <c r="I31" i="273"/>
  <c r="I93" i="273" s="1"/>
  <c r="H31" i="273"/>
  <c r="H93" i="273" s="1"/>
  <c r="G31" i="273"/>
  <c r="G93" i="273" s="1"/>
  <c r="F31" i="273"/>
  <c r="F93" i="273" s="1"/>
  <c r="C31" i="273"/>
  <c r="B31" i="273"/>
  <c r="AI28" i="273"/>
  <c r="AH28" i="273"/>
  <c r="AG28" i="273"/>
  <c r="AF28" i="273"/>
  <c r="AH27" i="273"/>
  <c r="AG27" i="273"/>
  <c r="AF27" i="273"/>
  <c r="AI26" i="273"/>
  <c r="AC25" i="273"/>
  <c r="AB25" i="273"/>
  <c r="AA25" i="273"/>
  <c r="Z25" i="273"/>
  <c r="Y25" i="273"/>
  <c r="X25" i="273"/>
  <c r="W25" i="273"/>
  <c r="V25" i="273"/>
  <c r="U25" i="273"/>
  <c r="T25" i="273"/>
  <c r="S25" i="273"/>
  <c r="R25" i="273"/>
  <c r="Q25" i="273"/>
  <c r="P25" i="273"/>
  <c r="O25" i="273"/>
  <c r="N25" i="273"/>
  <c r="M25" i="273"/>
  <c r="L25" i="273"/>
  <c r="K25" i="273"/>
  <c r="J25" i="273"/>
  <c r="J89" i="273" s="1"/>
  <c r="I25" i="273"/>
  <c r="H25" i="273"/>
  <c r="H89" i="273" s="1"/>
  <c r="G25" i="273"/>
  <c r="G89" i="273" s="1"/>
  <c r="F25" i="273"/>
  <c r="F89" i="273" s="1"/>
  <c r="C25" i="273"/>
  <c r="B25" i="273"/>
  <c r="AH24" i="273"/>
  <c r="AG24" i="273"/>
  <c r="AF24" i="273"/>
  <c r="AI23" i="273"/>
  <c r="AC22" i="273"/>
  <c r="AC89" i="273" s="1"/>
  <c r="AB22" i="273"/>
  <c r="AA22" i="273"/>
  <c r="Z22" i="273"/>
  <c r="Y22" i="273"/>
  <c r="Y89" i="273" s="1"/>
  <c r="X22" i="273"/>
  <c r="W22" i="273"/>
  <c r="W89" i="273" s="1"/>
  <c r="V22" i="273"/>
  <c r="U22" i="273"/>
  <c r="T22" i="273"/>
  <c r="S22" i="273"/>
  <c r="R22" i="273"/>
  <c r="Q22" i="273"/>
  <c r="P22" i="273"/>
  <c r="O22" i="273"/>
  <c r="N22" i="273"/>
  <c r="M22" i="273"/>
  <c r="L22" i="273"/>
  <c r="L89" i="273" s="1"/>
  <c r="K22" i="273"/>
  <c r="K89" i="273" s="1"/>
  <c r="J22" i="273"/>
  <c r="I22" i="273"/>
  <c r="H22" i="273"/>
  <c r="G22" i="273"/>
  <c r="F22" i="273"/>
  <c r="C22" i="273"/>
  <c r="B22" i="273"/>
  <c r="AH21" i="273"/>
  <c r="AG21" i="273"/>
  <c r="AF21" i="273"/>
  <c r="AH20" i="273"/>
  <c r="AG20" i="273"/>
  <c r="AF20" i="273"/>
  <c r="AH19" i="273"/>
  <c r="AG19" i="273"/>
  <c r="AF19" i="273"/>
  <c r="AI18" i="273"/>
  <c r="AC17" i="273"/>
  <c r="AB17" i="273"/>
  <c r="AA17" i="273"/>
  <c r="Z17" i="273"/>
  <c r="Y17" i="273"/>
  <c r="Y91" i="273" s="1"/>
  <c r="X17" i="273"/>
  <c r="X91" i="273" s="1"/>
  <c r="W17" i="273"/>
  <c r="W91" i="273" s="1"/>
  <c r="V17" i="273"/>
  <c r="V91" i="273" s="1"/>
  <c r="U17" i="273"/>
  <c r="U91" i="273" s="1"/>
  <c r="T17" i="273"/>
  <c r="T91" i="273" s="1"/>
  <c r="S17" i="273"/>
  <c r="S91" i="273" s="1"/>
  <c r="R17" i="273"/>
  <c r="R91" i="273" s="1"/>
  <c r="Q17" i="273"/>
  <c r="Q91" i="273" s="1"/>
  <c r="Q109" i="273" s="1"/>
  <c r="P17" i="273"/>
  <c r="P91" i="273" s="1"/>
  <c r="P109" i="273" s="1"/>
  <c r="O17" i="273"/>
  <c r="O91" i="273" s="1"/>
  <c r="O109" i="273" s="1"/>
  <c r="N17" i="273"/>
  <c r="N91" i="273" s="1"/>
  <c r="N109" i="273" s="1"/>
  <c r="M17" i="273"/>
  <c r="L17" i="273"/>
  <c r="L91" i="273" s="1"/>
  <c r="L109" i="273" s="1"/>
  <c r="K17" i="273"/>
  <c r="J17" i="273"/>
  <c r="I17" i="273"/>
  <c r="H17" i="273"/>
  <c r="G17" i="273"/>
  <c r="F17" i="273"/>
  <c r="C17" i="273"/>
  <c r="C83" i="273" s="1"/>
  <c r="B17" i="273"/>
  <c r="B83" i="273" s="1"/>
  <c r="AH16" i="273"/>
  <c r="AG16" i="273"/>
  <c r="AF16" i="273"/>
  <c r="AH15" i="273"/>
  <c r="AG15" i="273"/>
  <c r="AF15" i="273"/>
  <c r="AH14" i="273"/>
  <c r="AG14" i="273"/>
  <c r="AF14" i="273"/>
  <c r="AH13" i="273"/>
  <c r="AG13" i="273"/>
  <c r="AF13" i="273"/>
  <c r="AI12" i="273"/>
  <c r="M9" i="273" a="1"/>
  <c r="M9" i="273" s="1"/>
  <c r="F595" i="88"/>
  <c r="AE327" i="260"/>
  <c r="W327" i="260"/>
  <c r="F649" i="88"/>
  <c r="AB63" i="272"/>
  <c r="AB62" i="272"/>
  <c r="F618" i="88"/>
  <c r="AA63" i="272"/>
  <c r="AA62" i="272"/>
  <c r="W326" i="260"/>
  <c r="F646" i="88"/>
  <c r="F648" i="88"/>
  <c r="F645" i="88"/>
  <c r="F647" i="88"/>
  <c r="F566" i="88"/>
  <c r="F644" i="88"/>
  <c r="W325" i="260"/>
  <c r="Z63" i="272"/>
  <c r="Z62" i="272"/>
  <c r="F642" i="88"/>
  <c r="F641" i="88"/>
  <c r="F638" i="88"/>
  <c r="W324" i="260"/>
  <c r="Y63" i="272"/>
  <c r="Y62" i="272"/>
  <c r="Y56" i="272"/>
  <c r="Y50" i="272"/>
  <c r="Y47" i="272"/>
  <c r="Y46" i="272"/>
  <c r="Y41" i="272"/>
  <c r="F596" i="88"/>
  <c r="F630" i="88"/>
  <c r="F640" i="88"/>
  <c r="F620" i="88"/>
  <c r="AE323" i="260"/>
  <c r="W323" i="260"/>
  <c r="AE322" i="260"/>
  <c r="W322" i="260"/>
  <c r="AE321" i="260"/>
  <c r="W321" i="260"/>
  <c r="AE320" i="260"/>
  <c r="W320" i="260"/>
  <c r="F636" i="88"/>
  <c r="F632" i="88"/>
  <c r="AB89" i="273" l="1"/>
  <c r="AA89" i="273"/>
  <c r="Z89" i="273"/>
  <c r="V109" i="273"/>
  <c r="T109" i="273"/>
  <c r="I89" i="273"/>
  <c r="Q110" i="273"/>
  <c r="O110" i="273"/>
  <c r="N110" i="273"/>
  <c r="P110" i="273"/>
  <c r="S110" i="273"/>
  <c r="T110" i="273"/>
  <c r="U110" i="273"/>
  <c r="V110" i="273"/>
  <c r="N89" i="273"/>
  <c r="S89" i="273"/>
  <c r="S103" i="273" s="1"/>
  <c r="S108" i="273" s="1"/>
  <c r="M89" i="273"/>
  <c r="U89" i="273"/>
  <c r="U103" i="273" s="1"/>
  <c r="U108" i="273" s="1"/>
  <c r="R110" i="273"/>
  <c r="W109" i="273"/>
  <c r="Y109" i="273"/>
  <c r="R109" i="273"/>
  <c r="S109" i="273"/>
  <c r="W110" i="273"/>
  <c r="Y110" i="273"/>
  <c r="X109" i="273"/>
  <c r="U109" i="273"/>
  <c r="J83" i="273"/>
  <c r="L103" i="273"/>
  <c r="L108" i="273" s="1"/>
  <c r="R83" i="273"/>
  <c r="T83" i="273"/>
  <c r="V83" i="273"/>
  <c r="Y60" i="273"/>
  <c r="Y98" i="273" s="1"/>
  <c r="AF56" i="273"/>
  <c r="AG50" i="273"/>
  <c r="N65" i="273"/>
  <c r="N99" i="273" s="1"/>
  <c r="W103" i="273"/>
  <c r="W108" i="273" s="1"/>
  <c r="AH50" i="273"/>
  <c r="AB103" i="273"/>
  <c r="AB108" i="273" s="1"/>
  <c r="Y83" i="273"/>
  <c r="F83" i="273"/>
  <c r="F110" i="273"/>
  <c r="F91" i="273"/>
  <c r="F109" i="273" s="1"/>
  <c r="Z91" i="273"/>
  <c r="Z109" i="273" s="1"/>
  <c r="Z110" i="273"/>
  <c r="Z83" i="273"/>
  <c r="G83" i="273"/>
  <c r="G91" i="273"/>
  <c r="G109" i="273" s="1"/>
  <c r="G110" i="273"/>
  <c r="AA91" i="273"/>
  <c r="AA109" i="273" s="1"/>
  <c r="AA83" i="273"/>
  <c r="AA110" i="273"/>
  <c r="H83" i="273"/>
  <c r="H91" i="273"/>
  <c r="H109" i="273" s="1"/>
  <c r="H110" i="273"/>
  <c r="AB83" i="273"/>
  <c r="AB91" i="273"/>
  <c r="AB109" i="273" s="1"/>
  <c r="AB110" i="273"/>
  <c r="AI36" i="273"/>
  <c r="AG56" i="273"/>
  <c r="X83" i="273"/>
  <c r="I83" i="273"/>
  <c r="I91" i="273"/>
  <c r="I109" i="273" s="1"/>
  <c r="I110" i="273"/>
  <c r="J91" i="273"/>
  <c r="J109" i="273" s="1"/>
  <c r="J110" i="273"/>
  <c r="X89" i="273"/>
  <c r="X103" i="273" s="1"/>
  <c r="X108" i="273" s="1"/>
  <c r="X110" i="273"/>
  <c r="AH63" i="273"/>
  <c r="AG63" i="273"/>
  <c r="AF63" i="273"/>
  <c r="K83" i="273"/>
  <c r="L83" i="273"/>
  <c r="G103" i="273"/>
  <c r="G108" i="273" s="1"/>
  <c r="Y103" i="273"/>
  <c r="Y108" i="273" s="1"/>
  <c r="W83" i="273"/>
  <c r="AC83" i="273"/>
  <c r="AC110" i="273"/>
  <c r="AC91" i="273"/>
  <c r="AC109" i="273" s="1"/>
  <c r="K110" i="273"/>
  <c r="O83" i="273"/>
  <c r="P83" i="273"/>
  <c r="M83" i="273"/>
  <c r="M110" i="273"/>
  <c r="Q83" i="273"/>
  <c r="AI61" i="273"/>
  <c r="AH62" i="273"/>
  <c r="AG62" i="273"/>
  <c r="AF62" i="273"/>
  <c r="I65" i="273"/>
  <c r="I99" i="273" s="1"/>
  <c r="AG46" i="273"/>
  <c r="S83" i="273"/>
  <c r="O89" i="273"/>
  <c r="O103" i="273" s="1"/>
  <c r="O108" i="273" s="1"/>
  <c r="K91" i="273"/>
  <c r="K109" i="273" s="1"/>
  <c r="P89" i="273"/>
  <c r="P103" i="273" s="1"/>
  <c r="P108" i="273" s="1"/>
  <c r="U83" i="273"/>
  <c r="Q89" i="273"/>
  <c r="Q103" i="273" s="1"/>
  <c r="Q108" i="273" s="1"/>
  <c r="M91" i="273"/>
  <c r="M109" i="273" s="1"/>
  <c r="AF41" i="273"/>
  <c r="R89" i="273"/>
  <c r="R103" i="273" s="1"/>
  <c r="R108" i="273" s="1"/>
  <c r="AG41" i="273"/>
  <c r="AG47" i="273"/>
  <c r="AI35" i="273"/>
  <c r="AH41" i="273"/>
  <c r="AH47" i="273"/>
  <c r="T89" i="273"/>
  <c r="T103" i="273" s="1"/>
  <c r="T108" i="273" s="1"/>
  <c r="AH46" i="273"/>
  <c r="AF46" i="273"/>
  <c r="V89" i="273"/>
  <c r="V103" i="273" s="1"/>
  <c r="V108" i="273" s="1"/>
  <c r="L110" i="273"/>
  <c r="AE319" i="260"/>
  <c r="W319" i="260"/>
  <c r="T63" i="272"/>
  <c r="T62" i="272"/>
  <c r="F634" i="88"/>
  <c r="AE318" i="260"/>
  <c r="W318" i="260"/>
  <c r="S63" i="272"/>
  <c r="S62" i="272"/>
  <c r="F635" i="88"/>
  <c r="AA103" i="273" l="1"/>
  <c r="AA108" i="273" s="1"/>
  <c r="N103" i="273"/>
  <c r="N108" i="273" s="1"/>
  <c r="N83" i="273"/>
  <c r="H103" i="273"/>
  <c r="H108" i="273" s="1"/>
  <c r="I103" i="273"/>
  <c r="I108" i="273" s="1"/>
  <c r="AC103" i="273"/>
  <c r="AC108" i="273" s="1"/>
  <c r="Z103" i="273"/>
  <c r="Z108" i="273" s="1"/>
  <c r="F103" i="273"/>
  <c r="F108" i="273" s="1"/>
  <c r="J103" i="273"/>
  <c r="J108" i="273" s="1"/>
  <c r="K103" i="273"/>
  <c r="K108" i="273" s="1"/>
  <c r="M103" i="273"/>
  <c r="M108" i="273" s="1"/>
  <c r="AE317" i="260"/>
  <c r="W317" i="260"/>
  <c r="R63" i="272"/>
  <c r="R62" i="272"/>
  <c r="W316" i="260"/>
  <c r="F614" i="88"/>
  <c r="F627" i="88"/>
  <c r="Q63" i="272"/>
  <c r="Q62" i="272"/>
  <c r="F628" i="88"/>
  <c r="W315" i="260"/>
  <c r="F629" i="88"/>
  <c r="F624" i="88"/>
  <c r="F625" i="88"/>
  <c r="P63" i="272"/>
  <c r="P62" i="272"/>
  <c r="F623" i="88"/>
  <c r="W314" i="260"/>
  <c r="F626" i="88"/>
  <c r="O62" i="272"/>
  <c r="O63" i="272"/>
  <c r="W313" i="260"/>
  <c r="N63" i="272"/>
  <c r="N62" i="272"/>
  <c r="F619" i="88"/>
  <c r="M63" i="272"/>
  <c r="M62" i="272"/>
  <c r="F613" i="88"/>
  <c r="L63" i="272"/>
  <c r="L62" i="272"/>
  <c r="K63" i="272"/>
  <c r="K62" i="272"/>
  <c r="F587" i="88"/>
  <c r="J96" i="272"/>
  <c r="J63" i="272"/>
  <c r="J62" i="272"/>
  <c r="I63" i="272"/>
  <c r="I62" i="272"/>
  <c r="F617" i="88"/>
  <c r="F615" i="88"/>
  <c r="F616" i="88"/>
  <c r="F582" i="88"/>
  <c r="W305" i="260"/>
  <c r="F574" i="88"/>
  <c r="F593" i="88"/>
  <c r="W303" i="260"/>
  <c r="F592" i="88"/>
  <c r="AC129" i="272"/>
  <c r="AB129" i="272"/>
  <c r="AA129" i="272"/>
  <c r="Z129" i="272"/>
  <c r="Y129" i="272"/>
  <c r="X129" i="272"/>
  <c r="W129" i="272"/>
  <c r="V129" i="272"/>
  <c r="U129" i="272"/>
  <c r="T129" i="272"/>
  <c r="S129" i="272"/>
  <c r="R129" i="272"/>
  <c r="Q129" i="272"/>
  <c r="P129" i="272"/>
  <c r="O129" i="272"/>
  <c r="N129" i="272"/>
  <c r="M129" i="272"/>
  <c r="L129" i="272"/>
  <c r="K129" i="272"/>
  <c r="J129" i="272"/>
  <c r="I129" i="272"/>
  <c r="H129" i="272"/>
  <c r="G129" i="272"/>
  <c r="F129" i="272"/>
  <c r="AC107" i="272"/>
  <c r="AB107" i="272"/>
  <c r="AA107" i="272"/>
  <c r="Z107" i="272"/>
  <c r="W107" i="272"/>
  <c r="V107" i="272"/>
  <c r="U107" i="272"/>
  <c r="T107" i="272"/>
  <c r="S107" i="272"/>
  <c r="R107" i="272"/>
  <c r="Q107" i="272"/>
  <c r="P107" i="272"/>
  <c r="O107" i="272"/>
  <c r="N107" i="272"/>
  <c r="M107" i="272"/>
  <c r="L107" i="272"/>
  <c r="K107" i="272"/>
  <c r="J107" i="272"/>
  <c r="I107" i="272"/>
  <c r="H107" i="272"/>
  <c r="G107" i="272"/>
  <c r="F107" i="272"/>
  <c r="Y107" i="272"/>
  <c r="X107" i="272"/>
  <c r="AC102" i="272"/>
  <c r="AB102" i="272"/>
  <c r="AA102" i="272"/>
  <c r="Z102" i="272"/>
  <c r="Y102" i="272"/>
  <c r="X102" i="272"/>
  <c r="W102" i="272"/>
  <c r="V102" i="272"/>
  <c r="U102" i="272"/>
  <c r="T102" i="272"/>
  <c r="S102" i="272"/>
  <c r="R102" i="272"/>
  <c r="Q102" i="272"/>
  <c r="P102" i="272"/>
  <c r="O102" i="272"/>
  <c r="N102" i="272"/>
  <c r="M102" i="272"/>
  <c r="L102" i="272"/>
  <c r="K102" i="272"/>
  <c r="J102" i="272"/>
  <c r="I102" i="272"/>
  <c r="H102" i="272"/>
  <c r="G102" i="272"/>
  <c r="F102" i="272"/>
  <c r="Z101" i="272"/>
  <c r="AB100" i="272"/>
  <c r="Y100" i="272"/>
  <c r="X100" i="272"/>
  <c r="J100" i="272"/>
  <c r="I99" i="272"/>
  <c r="H99" i="272"/>
  <c r="S98" i="272"/>
  <c r="O91" i="272"/>
  <c r="M91" i="272"/>
  <c r="M109" i="272" s="1"/>
  <c r="AC80" i="272"/>
  <c r="AC101" i="272" s="1"/>
  <c r="AB80" i="272"/>
  <c r="AB101" i="272" s="1"/>
  <c r="AA80" i="272"/>
  <c r="AA101" i="272" s="1"/>
  <c r="Z80" i="272"/>
  <c r="Y80" i="272"/>
  <c r="Y101" i="272" s="1"/>
  <c r="X80" i="272"/>
  <c r="X101" i="272" s="1"/>
  <c r="W80" i="272"/>
  <c r="W101" i="272" s="1"/>
  <c r="V80" i="272"/>
  <c r="V101" i="272" s="1"/>
  <c r="U80" i="272"/>
  <c r="U101" i="272" s="1"/>
  <c r="T80" i="272"/>
  <c r="T101" i="272" s="1"/>
  <c r="S80" i="272"/>
  <c r="S101" i="272" s="1"/>
  <c r="R80" i="272"/>
  <c r="R101" i="272" s="1"/>
  <c r="Q80" i="272"/>
  <c r="Q101" i="272" s="1"/>
  <c r="P80" i="272"/>
  <c r="P101" i="272" s="1"/>
  <c r="O80" i="272"/>
  <c r="O101" i="272" s="1"/>
  <c r="N80" i="272"/>
  <c r="N101" i="272" s="1"/>
  <c r="M80" i="272"/>
  <c r="M101" i="272" s="1"/>
  <c r="L80" i="272"/>
  <c r="L101" i="272" s="1"/>
  <c r="K80" i="272"/>
  <c r="K101" i="272" s="1"/>
  <c r="J80" i="272"/>
  <c r="J101" i="272" s="1"/>
  <c r="I80" i="272"/>
  <c r="I101" i="272" s="1"/>
  <c r="H80" i="272"/>
  <c r="H101" i="272" s="1"/>
  <c r="G80" i="272"/>
  <c r="G101" i="272" s="1"/>
  <c r="F80" i="272"/>
  <c r="F101" i="272" s="1"/>
  <c r="C80" i="272"/>
  <c r="B80" i="272"/>
  <c r="B25" i="272" s="1"/>
  <c r="AH79" i="272"/>
  <c r="AG79" i="272"/>
  <c r="AF79" i="272"/>
  <c r="AH78" i="272"/>
  <c r="AG78" i="272"/>
  <c r="AF78" i="272"/>
  <c r="AI77" i="272"/>
  <c r="AC76" i="272"/>
  <c r="AC100" i="272" s="1"/>
  <c r="AB76" i="272"/>
  <c r="AA76" i="272"/>
  <c r="AA100" i="272" s="1"/>
  <c r="Z76" i="272"/>
  <c r="Z100" i="272" s="1"/>
  <c r="Y76" i="272"/>
  <c r="X76" i="272"/>
  <c r="W76" i="272"/>
  <c r="W100" i="272" s="1"/>
  <c r="V76" i="272"/>
  <c r="V100" i="272" s="1"/>
  <c r="U76" i="272"/>
  <c r="U100" i="272" s="1"/>
  <c r="T76" i="272"/>
  <c r="T100" i="272" s="1"/>
  <c r="S76" i="272"/>
  <c r="S100" i="272" s="1"/>
  <c r="R76" i="272"/>
  <c r="R100" i="272" s="1"/>
  <c r="Q76" i="272"/>
  <c r="Q100" i="272" s="1"/>
  <c r="P76" i="272"/>
  <c r="P100" i="272" s="1"/>
  <c r="O76" i="272"/>
  <c r="O100" i="272" s="1"/>
  <c r="N76" i="272"/>
  <c r="N100" i="272" s="1"/>
  <c r="M76" i="272"/>
  <c r="M100" i="272" s="1"/>
  <c r="L76" i="272"/>
  <c r="L100" i="272" s="1"/>
  <c r="K76" i="272"/>
  <c r="K100" i="272" s="1"/>
  <c r="J76" i="272"/>
  <c r="I76" i="272"/>
  <c r="I100" i="272" s="1"/>
  <c r="H76" i="272"/>
  <c r="H100" i="272" s="1"/>
  <c r="G76" i="272"/>
  <c r="G100" i="272" s="1"/>
  <c r="F76" i="272"/>
  <c r="F100" i="272" s="1"/>
  <c r="C76" i="272"/>
  <c r="B76" i="272"/>
  <c r="AH75" i="272"/>
  <c r="AG75" i="272"/>
  <c r="AF75" i="272"/>
  <c r="AH74" i="272"/>
  <c r="AG74" i="272"/>
  <c r="AF74" i="272"/>
  <c r="AH73" i="272"/>
  <c r="AG73" i="272"/>
  <c r="AF73" i="272"/>
  <c r="AH72" i="272"/>
  <c r="AG72" i="272"/>
  <c r="AF72" i="272"/>
  <c r="AH71" i="272"/>
  <c r="AG71" i="272"/>
  <c r="AF71" i="272"/>
  <c r="AH70" i="272"/>
  <c r="AG70" i="272"/>
  <c r="AF70" i="272"/>
  <c r="AH69" i="272"/>
  <c r="AG69" i="272"/>
  <c r="AF69" i="272"/>
  <c r="AH68" i="272"/>
  <c r="AG68" i="272"/>
  <c r="AF68" i="272"/>
  <c r="AH67" i="272"/>
  <c r="AG67" i="272"/>
  <c r="AF67" i="272"/>
  <c r="AI66" i="272"/>
  <c r="AC65" i="272"/>
  <c r="AC99" i="272" s="1"/>
  <c r="AB65" i="272"/>
  <c r="AB99" i="272" s="1"/>
  <c r="AA65" i="272"/>
  <c r="AA99" i="272" s="1"/>
  <c r="Z65" i="272"/>
  <c r="Z99" i="272" s="1"/>
  <c r="Y65" i="272"/>
  <c r="Y99" i="272" s="1"/>
  <c r="P65" i="272"/>
  <c r="P99" i="272" s="1"/>
  <c r="O65" i="272"/>
  <c r="O99" i="272" s="1"/>
  <c r="N65" i="272"/>
  <c r="N99" i="272" s="1"/>
  <c r="M65" i="272"/>
  <c r="M99" i="272" s="1"/>
  <c r="L65" i="272"/>
  <c r="L99" i="272" s="1"/>
  <c r="K65" i="272"/>
  <c r="K99" i="272" s="1"/>
  <c r="J65" i="272"/>
  <c r="J99" i="272" s="1"/>
  <c r="I65" i="272"/>
  <c r="H65" i="272"/>
  <c r="G65" i="272"/>
  <c r="G99" i="272" s="1"/>
  <c r="F65" i="272"/>
  <c r="F99" i="272" s="1"/>
  <c r="C65" i="272"/>
  <c r="AH64" i="272"/>
  <c r="AG64" i="272"/>
  <c r="AF64" i="272"/>
  <c r="T65" i="272"/>
  <c r="T99" i="272" s="1"/>
  <c r="Q65" i="272"/>
  <c r="Q99" i="272" s="1"/>
  <c r="AH63" i="272"/>
  <c r="X65" i="272"/>
  <c r="X99" i="272" s="1"/>
  <c r="W65" i="272"/>
  <c r="W99" i="272" s="1"/>
  <c r="V65" i="272"/>
  <c r="V99" i="272" s="1"/>
  <c r="AI61" i="272"/>
  <c r="S65" i="272"/>
  <c r="S99" i="272" s="1"/>
  <c r="R65" i="272"/>
  <c r="R99" i="272" s="1"/>
  <c r="AH62" i="272"/>
  <c r="AC60" i="272"/>
  <c r="AC98" i="272" s="1"/>
  <c r="AB60" i="272"/>
  <c r="AB98" i="272" s="1"/>
  <c r="AA60" i="272"/>
  <c r="AA98" i="272" s="1"/>
  <c r="Z60" i="272"/>
  <c r="Z98" i="272" s="1"/>
  <c r="Y60" i="272"/>
  <c r="Y98" i="272" s="1"/>
  <c r="X60" i="272"/>
  <c r="X98" i="272" s="1"/>
  <c r="W60" i="272"/>
  <c r="W98" i="272" s="1"/>
  <c r="V60" i="272"/>
  <c r="V98" i="272" s="1"/>
  <c r="T60" i="272"/>
  <c r="T98" i="272" s="1"/>
  <c r="S60" i="272"/>
  <c r="R60" i="272"/>
  <c r="R98" i="272" s="1"/>
  <c r="Q60" i="272"/>
  <c r="Q98" i="272" s="1"/>
  <c r="P60" i="272"/>
  <c r="P98" i="272" s="1"/>
  <c r="O60" i="272"/>
  <c r="O98" i="272" s="1"/>
  <c r="N60" i="272"/>
  <c r="N98" i="272" s="1"/>
  <c r="L60" i="272"/>
  <c r="L98" i="272" s="1"/>
  <c r="K60" i="272"/>
  <c r="K98" i="272" s="1"/>
  <c r="J60" i="272"/>
  <c r="J98" i="272" s="1"/>
  <c r="I60" i="272"/>
  <c r="I98" i="272" s="1"/>
  <c r="H60" i="272"/>
  <c r="H98" i="272" s="1"/>
  <c r="G60" i="272"/>
  <c r="G98" i="272" s="1"/>
  <c r="F60" i="272"/>
  <c r="F98" i="272" s="1"/>
  <c r="C60" i="272"/>
  <c r="B60" i="272"/>
  <c r="B65" i="272" s="1"/>
  <c r="AH59" i="272"/>
  <c r="AG59" i="272"/>
  <c r="AF59" i="272"/>
  <c r="AH58" i="272"/>
  <c r="AG58" i="272"/>
  <c r="AF58" i="272"/>
  <c r="AH57" i="272"/>
  <c r="AG57" i="272"/>
  <c r="AF57" i="272"/>
  <c r="AH56" i="272"/>
  <c r="AG56" i="272"/>
  <c r="AF56" i="272"/>
  <c r="AH55" i="272"/>
  <c r="AG55" i="272"/>
  <c r="AF55" i="272"/>
  <c r="AH54" i="272"/>
  <c r="AG54" i="272"/>
  <c r="AF54" i="272"/>
  <c r="AH53" i="272"/>
  <c r="AG53" i="272"/>
  <c r="AF53" i="272"/>
  <c r="AH52" i="272"/>
  <c r="AG52" i="272"/>
  <c r="AF52" i="272"/>
  <c r="AH51" i="272"/>
  <c r="AG51" i="272"/>
  <c r="AF51" i="272"/>
  <c r="AH50" i="272"/>
  <c r="AG50" i="272"/>
  <c r="AF50" i="272"/>
  <c r="AF49" i="272"/>
  <c r="AH48" i="272"/>
  <c r="AG48" i="272"/>
  <c r="AF48" i="272"/>
  <c r="AH47" i="272"/>
  <c r="AG47" i="272"/>
  <c r="AF47" i="272"/>
  <c r="AH46" i="272"/>
  <c r="AG46" i="272"/>
  <c r="AH45" i="272"/>
  <c r="AG45" i="272"/>
  <c r="AF45" i="272"/>
  <c r="AH44" i="272"/>
  <c r="AG44" i="272"/>
  <c r="AF44" i="272"/>
  <c r="AH43" i="272"/>
  <c r="AG43" i="272"/>
  <c r="AF43" i="272"/>
  <c r="AH42" i="272"/>
  <c r="AG42" i="272"/>
  <c r="AF42" i="272"/>
  <c r="U60" i="272"/>
  <c r="U98" i="272" s="1"/>
  <c r="AH40" i="272"/>
  <c r="AG40" i="272"/>
  <c r="AF40" i="272"/>
  <c r="AH39" i="272"/>
  <c r="AG39" i="272"/>
  <c r="AF39" i="272"/>
  <c r="AH38" i="272"/>
  <c r="AG38" i="272"/>
  <c r="AF38" i="272"/>
  <c r="AH37" i="272"/>
  <c r="AG37" i="272"/>
  <c r="AF37" i="272"/>
  <c r="AH36" i="272"/>
  <c r="AG36" i="272"/>
  <c r="AF36" i="272"/>
  <c r="AC34" i="272"/>
  <c r="AC96" i="272" s="1"/>
  <c r="AB34" i="272"/>
  <c r="AB96" i="272" s="1"/>
  <c r="AA34" i="272"/>
  <c r="AA96" i="272" s="1"/>
  <c r="Z34" i="272"/>
  <c r="Z96" i="272" s="1"/>
  <c r="Y34" i="272"/>
  <c r="Y96" i="272" s="1"/>
  <c r="X34" i="272"/>
  <c r="X96" i="272" s="1"/>
  <c r="W34" i="272"/>
  <c r="W96" i="272" s="1"/>
  <c r="V34" i="272"/>
  <c r="V96" i="272" s="1"/>
  <c r="U34" i="272"/>
  <c r="U96" i="272" s="1"/>
  <c r="T34" i="272"/>
  <c r="T96" i="272" s="1"/>
  <c r="S34" i="272"/>
  <c r="S96" i="272" s="1"/>
  <c r="R34" i="272"/>
  <c r="R96" i="272" s="1"/>
  <c r="Q34" i="272"/>
  <c r="Q96" i="272" s="1"/>
  <c r="P34" i="272"/>
  <c r="P96" i="272" s="1"/>
  <c r="O34" i="272"/>
  <c r="O96" i="272" s="1"/>
  <c r="N34" i="272"/>
  <c r="N96" i="272" s="1"/>
  <c r="M34" i="272"/>
  <c r="M96" i="272" s="1"/>
  <c r="L34" i="272"/>
  <c r="L96" i="272" s="1"/>
  <c r="K34" i="272"/>
  <c r="K96" i="272" s="1"/>
  <c r="J34" i="272"/>
  <c r="I34" i="272"/>
  <c r="I96" i="272" s="1"/>
  <c r="H34" i="272"/>
  <c r="H96" i="272" s="1"/>
  <c r="G34" i="272"/>
  <c r="G96" i="272" s="1"/>
  <c r="F34" i="272"/>
  <c r="F96" i="272" s="1"/>
  <c r="C34" i="272"/>
  <c r="B34" i="272"/>
  <c r="AH33" i="272"/>
  <c r="AG33" i="272"/>
  <c r="AF33" i="272"/>
  <c r="AI32" i="272"/>
  <c r="AC31" i="272"/>
  <c r="AC93" i="272" s="1"/>
  <c r="AB31" i="272"/>
  <c r="AB93" i="272" s="1"/>
  <c r="AA31" i="272"/>
  <c r="AA93" i="272" s="1"/>
  <c r="Z31" i="272"/>
  <c r="Z93" i="272" s="1"/>
  <c r="Y31" i="272"/>
  <c r="Y93" i="272" s="1"/>
  <c r="X31" i="272"/>
  <c r="X93" i="272" s="1"/>
  <c r="W31" i="272"/>
  <c r="W93" i="272" s="1"/>
  <c r="V31" i="272"/>
  <c r="V93" i="272" s="1"/>
  <c r="U31" i="272"/>
  <c r="U93" i="272" s="1"/>
  <c r="T31" i="272"/>
  <c r="T93" i="272" s="1"/>
  <c r="S31" i="272"/>
  <c r="S93" i="272" s="1"/>
  <c r="R31" i="272"/>
  <c r="R93" i="272" s="1"/>
  <c r="Q31" i="272"/>
  <c r="Q93" i="272" s="1"/>
  <c r="P31" i="272"/>
  <c r="P93" i="272" s="1"/>
  <c r="O31" i="272"/>
  <c r="O93" i="272" s="1"/>
  <c r="N31" i="272"/>
  <c r="N93" i="272" s="1"/>
  <c r="M31" i="272"/>
  <c r="M93" i="272" s="1"/>
  <c r="L31" i="272"/>
  <c r="L93" i="272" s="1"/>
  <c r="K31" i="272"/>
  <c r="K93" i="272" s="1"/>
  <c r="J31" i="272"/>
  <c r="J93" i="272" s="1"/>
  <c r="I31" i="272"/>
  <c r="I93" i="272" s="1"/>
  <c r="H31" i="272"/>
  <c r="H93" i="272" s="1"/>
  <c r="G31" i="272"/>
  <c r="G93" i="272" s="1"/>
  <c r="F31" i="272"/>
  <c r="F93" i="272" s="1"/>
  <c r="C31" i="272"/>
  <c r="B31" i="272"/>
  <c r="AI28" i="272"/>
  <c r="AH28" i="272"/>
  <c r="AG28" i="272"/>
  <c r="AF28" i="272"/>
  <c r="AH27" i="272"/>
  <c r="AG27" i="272"/>
  <c r="AF27" i="272"/>
  <c r="AI26" i="272"/>
  <c r="AC25" i="272"/>
  <c r="AB25" i="272"/>
  <c r="AA25" i="272"/>
  <c r="Z25" i="272"/>
  <c r="Y25" i="272"/>
  <c r="X25" i="272"/>
  <c r="W25" i="272"/>
  <c r="V25" i="272"/>
  <c r="U25" i="272"/>
  <c r="T25" i="272"/>
  <c r="S25" i="272"/>
  <c r="S89" i="272" s="1"/>
  <c r="R25" i="272"/>
  <c r="R89" i="272" s="1"/>
  <c r="Q25" i="272"/>
  <c r="Q89" i="272" s="1"/>
  <c r="P25" i="272"/>
  <c r="P89" i="272" s="1"/>
  <c r="O25" i="272"/>
  <c r="N25" i="272"/>
  <c r="M25" i="272"/>
  <c r="L25" i="272"/>
  <c r="K25" i="272"/>
  <c r="J25" i="272"/>
  <c r="I25" i="272"/>
  <c r="H25" i="272"/>
  <c r="G25" i="272"/>
  <c r="F25" i="272"/>
  <c r="C25" i="272"/>
  <c r="AH24" i="272"/>
  <c r="AG24" i="272"/>
  <c r="AF24" i="272"/>
  <c r="AI23" i="272"/>
  <c r="AC22" i="272"/>
  <c r="AC89" i="272" s="1"/>
  <c r="AB22" i="272"/>
  <c r="AA22" i="272"/>
  <c r="Z22" i="272"/>
  <c r="Y22" i="272"/>
  <c r="Y89" i="272" s="1"/>
  <c r="X22" i="272"/>
  <c r="W22" i="272"/>
  <c r="V22" i="272"/>
  <c r="U22" i="272"/>
  <c r="T22" i="272"/>
  <c r="S22" i="272"/>
  <c r="R22" i="272"/>
  <c r="Q22" i="272"/>
  <c r="P22" i="272"/>
  <c r="O22" i="272"/>
  <c r="N22" i="272"/>
  <c r="M22" i="272"/>
  <c r="L22" i="272"/>
  <c r="K22" i="272"/>
  <c r="J22" i="272"/>
  <c r="J83" i="272" s="1"/>
  <c r="I22" i="272"/>
  <c r="I89" i="272" s="1"/>
  <c r="H22" i="272"/>
  <c r="H89" i="272" s="1"/>
  <c r="G22" i="272"/>
  <c r="G89" i="272" s="1"/>
  <c r="F22" i="272"/>
  <c r="C22" i="272"/>
  <c r="B22" i="272"/>
  <c r="AH21" i="272"/>
  <c r="AG21" i="272"/>
  <c r="AF21" i="272"/>
  <c r="AH20" i="272"/>
  <c r="AG20" i="272"/>
  <c r="AF20" i="272"/>
  <c r="AH19" i="272"/>
  <c r="AG19" i="272"/>
  <c r="AF19" i="272"/>
  <c r="AI18" i="272"/>
  <c r="AC17" i="272"/>
  <c r="AC91" i="272" s="1"/>
  <c r="AB17" i="272"/>
  <c r="AA17" i="272"/>
  <c r="AA91" i="272" s="1"/>
  <c r="Z17" i="272"/>
  <c r="Y17" i="272"/>
  <c r="X17" i="272"/>
  <c r="X91" i="272" s="1"/>
  <c r="W17" i="272"/>
  <c r="W91" i="272" s="1"/>
  <c r="V17" i="272"/>
  <c r="V91" i="272" s="1"/>
  <c r="U17" i="272"/>
  <c r="T17" i="272"/>
  <c r="S17" i="272"/>
  <c r="R17" i="272"/>
  <c r="R91" i="272" s="1"/>
  <c r="Q17" i="272"/>
  <c r="P17" i="272"/>
  <c r="O17" i="272"/>
  <c r="N17" i="272"/>
  <c r="N91" i="272" s="1"/>
  <c r="M17" i="272"/>
  <c r="L17" i="272"/>
  <c r="K17" i="272"/>
  <c r="J17" i="272"/>
  <c r="J91" i="272" s="1"/>
  <c r="I17" i="272"/>
  <c r="I91" i="272" s="1"/>
  <c r="H17" i="272"/>
  <c r="H91" i="272" s="1"/>
  <c r="G17" i="272"/>
  <c r="F17" i="272"/>
  <c r="C17" i="272"/>
  <c r="C83" i="272" s="1"/>
  <c r="B17" i="272"/>
  <c r="B83" i="272" s="1"/>
  <c r="AH16" i="272"/>
  <c r="AG16" i="272"/>
  <c r="AF16" i="272"/>
  <c r="AH15" i="272"/>
  <c r="AG15" i="272"/>
  <c r="AF15" i="272"/>
  <c r="AH14" i="272"/>
  <c r="AG14" i="272"/>
  <c r="AF14" i="272"/>
  <c r="AH13" i="272"/>
  <c r="AG13" i="272"/>
  <c r="AF13" i="272"/>
  <c r="AI12" i="272"/>
  <c r="M9" i="272" a="1"/>
  <c r="M9" i="272" s="1"/>
  <c r="AE302" i="260"/>
  <c r="W302" i="260"/>
  <c r="AB63" i="271"/>
  <c r="AB62" i="271"/>
  <c r="F465" i="88"/>
  <c r="F579" i="88"/>
  <c r="AE301" i="260"/>
  <c r="W301" i="260"/>
  <c r="AA63" i="271"/>
  <c r="AA62" i="271"/>
  <c r="F612" i="88"/>
  <c r="F611" i="88"/>
  <c r="AE300" i="260"/>
  <c r="W300" i="260"/>
  <c r="Z63" i="271"/>
  <c r="Z62" i="271"/>
  <c r="F610" i="88"/>
  <c r="F609" i="88"/>
  <c r="Y106" i="271"/>
  <c r="X106" i="271"/>
  <c r="AE299" i="260"/>
  <c r="W299" i="260"/>
  <c r="Y63" i="271"/>
  <c r="Y62" i="271"/>
  <c r="F608" i="88"/>
  <c r="W298" i="260"/>
  <c r="X63" i="271"/>
  <c r="X62" i="271"/>
  <c r="AG63" i="271"/>
  <c r="W297" i="260"/>
  <c r="W62" i="271"/>
  <c r="F607" i="88"/>
  <c r="F605" i="88"/>
  <c r="Y106" i="270"/>
  <c r="Y104" i="270"/>
  <c r="F603" i="88"/>
  <c r="F602" i="88"/>
  <c r="W296" i="260"/>
  <c r="V63" i="271"/>
  <c r="V62" i="271"/>
  <c r="W63" i="271"/>
  <c r="W295" i="260"/>
  <c r="U63" i="271"/>
  <c r="U62" i="271"/>
  <c r="U41" i="271"/>
  <c r="F601" i="88"/>
  <c r="F600" i="88"/>
  <c r="F599" i="88"/>
  <c r="F606" i="88"/>
  <c r="AE294" i="260"/>
  <c r="W294" i="260"/>
  <c r="F604" i="88"/>
  <c r="F598" i="88"/>
  <c r="T62" i="271"/>
  <c r="T65" i="271" s="1"/>
  <c r="T99" i="271" s="1"/>
  <c r="T107" i="271" s="1"/>
  <c r="T63" i="271"/>
  <c r="AE293" i="260"/>
  <c r="W293" i="260"/>
  <c r="S63" i="271"/>
  <c r="S62" i="271"/>
  <c r="F597" i="88"/>
  <c r="F589" i="88"/>
  <c r="AE292" i="260"/>
  <c r="W292" i="260"/>
  <c r="R63" i="271"/>
  <c r="R62" i="271"/>
  <c r="AE291" i="260"/>
  <c r="W291" i="260"/>
  <c r="F591" i="88"/>
  <c r="Q63" i="271"/>
  <c r="Q62" i="271"/>
  <c r="F588" i="88"/>
  <c r="F586" i="88"/>
  <c r="F585" i="88"/>
  <c r="AE290" i="260"/>
  <c r="W290" i="260"/>
  <c r="P63" i="271"/>
  <c r="P62" i="271"/>
  <c r="F446" i="88"/>
  <c r="W289" i="260"/>
  <c r="F590" i="88"/>
  <c r="F584" i="88"/>
  <c r="O63" i="271"/>
  <c r="O62" i="271"/>
  <c r="F580" i="88"/>
  <c r="F583" i="88"/>
  <c r="AE288" i="260"/>
  <c r="W288" i="260"/>
  <c r="N62" i="271"/>
  <c r="N63" i="271"/>
  <c r="F581" i="88"/>
  <c r="F578" i="88"/>
  <c r="W287" i="260"/>
  <c r="F577" i="88"/>
  <c r="M63" i="271"/>
  <c r="M62" i="271"/>
  <c r="M46" i="271"/>
  <c r="M49" i="271"/>
  <c r="F575" i="88"/>
  <c r="F576" i="88"/>
  <c r="F550" i="88"/>
  <c r="W286" i="260"/>
  <c r="L63" i="271"/>
  <c r="L62" i="271"/>
  <c r="W285" i="260"/>
  <c r="K63" i="271"/>
  <c r="K62" i="271"/>
  <c r="F570" i="88"/>
  <c r="F572" i="88"/>
  <c r="F573" i="88"/>
  <c r="J63" i="271"/>
  <c r="J62" i="271"/>
  <c r="F571" i="88"/>
  <c r="F569" i="88"/>
  <c r="F515" i="88"/>
  <c r="I63" i="271"/>
  <c r="I62" i="271"/>
  <c r="G91" i="271"/>
  <c r="F520" i="88"/>
  <c r="AE280" i="260"/>
  <c r="S93" i="271"/>
  <c r="O93" i="271"/>
  <c r="F93" i="271"/>
  <c r="F524" i="88"/>
  <c r="AC129" i="271"/>
  <c r="AB129" i="271"/>
  <c r="AA129" i="271"/>
  <c r="Z129" i="271"/>
  <c r="Y129" i="271"/>
  <c r="X129" i="271"/>
  <c r="W129" i="271"/>
  <c r="V129" i="271"/>
  <c r="U129" i="271"/>
  <c r="T129" i="271"/>
  <c r="S129" i="271"/>
  <c r="R129" i="271"/>
  <c r="Q129" i="271"/>
  <c r="P129" i="271"/>
  <c r="O129" i="271"/>
  <c r="N129" i="271"/>
  <c r="M129" i="271"/>
  <c r="L129" i="271"/>
  <c r="K129" i="271"/>
  <c r="J129" i="271"/>
  <c r="I129" i="271"/>
  <c r="H129" i="271"/>
  <c r="G129" i="271"/>
  <c r="F129" i="271"/>
  <c r="AC107" i="271"/>
  <c r="R107" i="271"/>
  <c r="Q107" i="271"/>
  <c r="P107" i="271"/>
  <c r="O107" i="271"/>
  <c r="N107" i="271"/>
  <c r="M107" i="271"/>
  <c r="L107" i="271"/>
  <c r="K107" i="271"/>
  <c r="J107" i="271"/>
  <c r="I107" i="271"/>
  <c r="H107" i="271"/>
  <c r="G107" i="271"/>
  <c r="F107" i="271"/>
  <c r="Y107" i="271"/>
  <c r="AC102" i="271"/>
  <c r="AB102" i="271"/>
  <c r="AA102" i="271"/>
  <c r="Z102" i="271"/>
  <c r="Y102" i="271"/>
  <c r="X102" i="271"/>
  <c r="W102" i="271"/>
  <c r="V102" i="271"/>
  <c r="U102" i="271"/>
  <c r="T102" i="271"/>
  <c r="S102" i="271"/>
  <c r="R102" i="271"/>
  <c r="Q102" i="271"/>
  <c r="P102" i="271"/>
  <c r="O102" i="271"/>
  <c r="N102" i="271"/>
  <c r="M102" i="271"/>
  <c r="L102" i="271"/>
  <c r="K102" i="271"/>
  <c r="J102" i="271"/>
  <c r="I102" i="271"/>
  <c r="H102" i="271"/>
  <c r="G102" i="271"/>
  <c r="F102" i="271"/>
  <c r="T101" i="271"/>
  <c r="Q101" i="271"/>
  <c r="Q100" i="271"/>
  <c r="O100" i="271"/>
  <c r="N100" i="271"/>
  <c r="Y99" i="271"/>
  <c r="X99" i="271"/>
  <c r="X107" i="271" s="1"/>
  <c r="AC98" i="271"/>
  <c r="J96" i="271"/>
  <c r="R91" i="271"/>
  <c r="AC80" i="271"/>
  <c r="AC101" i="271" s="1"/>
  <c r="AB80" i="271"/>
  <c r="AB101" i="271" s="1"/>
  <c r="AA80" i="271"/>
  <c r="AA101" i="271" s="1"/>
  <c r="Z80" i="271"/>
  <c r="Z101" i="271" s="1"/>
  <c r="Y80" i="271"/>
  <c r="Y101" i="271" s="1"/>
  <c r="X80" i="271"/>
  <c r="X101" i="271" s="1"/>
  <c r="W80" i="271"/>
  <c r="W101" i="271" s="1"/>
  <c r="V80" i="271"/>
  <c r="V101" i="271" s="1"/>
  <c r="U80" i="271"/>
  <c r="U101" i="271" s="1"/>
  <c r="T80" i="271"/>
  <c r="S80" i="271"/>
  <c r="S101" i="271" s="1"/>
  <c r="R80" i="271"/>
  <c r="R101" i="271" s="1"/>
  <c r="Q80" i="271"/>
  <c r="P80" i="271"/>
  <c r="P101" i="271" s="1"/>
  <c r="O80" i="271"/>
  <c r="O101" i="271" s="1"/>
  <c r="N80" i="271"/>
  <c r="N101" i="271" s="1"/>
  <c r="M80" i="271"/>
  <c r="M101" i="271" s="1"/>
  <c r="L80" i="271"/>
  <c r="L101" i="271" s="1"/>
  <c r="K80" i="271"/>
  <c r="K101" i="271" s="1"/>
  <c r="J80" i="271"/>
  <c r="J101" i="271" s="1"/>
  <c r="I80" i="271"/>
  <c r="I101" i="271" s="1"/>
  <c r="H80" i="271"/>
  <c r="H101" i="271" s="1"/>
  <c r="G80" i="271"/>
  <c r="G101" i="271" s="1"/>
  <c r="F80" i="271"/>
  <c r="F101" i="271" s="1"/>
  <c r="C80" i="271"/>
  <c r="AH79" i="271"/>
  <c r="AG79" i="271"/>
  <c r="AF79" i="271"/>
  <c r="AH78" i="271"/>
  <c r="AG78" i="271"/>
  <c r="AF78" i="271"/>
  <c r="AI77" i="271"/>
  <c r="AC76" i="271"/>
  <c r="AC100" i="271" s="1"/>
  <c r="AB76" i="271"/>
  <c r="AB100" i="271" s="1"/>
  <c r="AA76" i="271"/>
  <c r="AA100" i="271" s="1"/>
  <c r="Z76" i="271"/>
  <c r="Z100" i="271" s="1"/>
  <c r="Y76" i="271"/>
  <c r="Y100" i="271" s="1"/>
  <c r="X76" i="271"/>
  <c r="X100" i="271" s="1"/>
  <c r="W76" i="271"/>
  <c r="W100" i="271" s="1"/>
  <c r="V76" i="271"/>
  <c r="V100" i="271" s="1"/>
  <c r="U76" i="271"/>
  <c r="U100" i="271" s="1"/>
  <c r="T76" i="271"/>
  <c r="T100" i="271" s="1"/>
  <c r="S76" i="271"/>
  <c r="S100" i="271" s="1"/>
  <c r="R76" i="271"/>
  <c r="R100" i="271" s="1"/>
  <c r="Q76" i="271"/>
  <c r="P76" i="271"/>
  <c r="P100" i="271" s="1"/>
  <c r="O76" i="271"/>
  <c r="N76" i="271"/>
  <c r="M76" i="271"/>
  <c r="M100" i="271" s="1"/>
  <c r="L76" i="271"/>
  <c r="L100" i="271" s="1"/>
  <c r="K76" i="271"/>
  <c r="K100" i="271" s="1"/>
  <c r="J76" i="271"/>
  <c r="J100" i="271" s="1"/>
  <c r="I76" i="271"/>
  <c r="I100" i="271" s="1"/>
  <c r="H76" i="271"/>
  <c r="H100" i="271" s="1"/>
  <c r="G76" i="271"/>
  <c r="G100" i="271" s="1"/>
  <c r="F76" i="271"/>
  <c r="F100" i="271" s="1"/>
  <c r="C76" i="271"/>
  <c r="B76" i="271"/>
  <c r="B80" i="271" s="1"/>
  <c r="B25" i="271" s="1"/>
  <c r="AH75" i="271"/>
  <c r="AG75" i="271"/>
  <c r="AF75" i="271"/>
  <c r="AH74" i="271"/>
  <c r="AG74" i="271"/>
  <c r="AF74" i="271"/>
  <c r="AH73" i="271"/>
  <c r="AG73" i="271"/>
  <c r="AF73" i="271"/>
  <c r="AH72" i="271"/>
  <c r="AG72" i="271"/>
  <c r="AF72" i="271"/>
  <c r="AH71" i="271"/>
  <c r="AG71" i="271"/>
  <c r="AF71" i="271"/>
  <c r="AH70" i="271"/>
  <c r="AG70" i="271"/>
  <c r="AF70" i="271"/>
  <c r="AH69" i="271"/>
  <c r="AG69" i="271"/>
  <c r="AF69" i="271"/>
  <c r="AH68" i="271"/>
  <c r="AG68" i="271"/>
  <c r="AF68" i="271"/>
  <c r="AH67" i="271"/>
  <c r="AG67" i="271"/>
  <c r="AF67" i="271"/>
  <c r="AI66" i="271"/>
  <c r="AC65" i="271"/>
  <c r="AC99" i="271" s="1"/>
  <c r="AB65" i="271"/>
  <c r="AB107" i="271" s="1"/>
  <c r="AA65" i="271"/>
  <c r="AA107" i="271" s="1"/>
  <c r="Z65" i="271"/>
  <c r="Z99" i="271" s="1"/>
  <c r="Z107" i="271" s="1"/>
  <c r="Y65" i="271"/>
  <c r="X65" i="271"/>
  <c r="W65" i="271"/>
  <c r="W99" i="271" s="1"/>
  <c r="W107" i="271" s="1"/>
  <c r="V65" i="271"/>
  <c r="V99" i="271" s="1"/>
  <c r="V107" i="271" s="1"/>
  <c r="U65" i="271"/>
  <c r="U99" i="271" s="1"/>
  <c r="U107" i="271" s="1"/>
  <c r="S65" i="271"/>
  <c r="S99" i="271" s="1"/>
  <c r="S107" i="271" s="1"/>
  <c r="R65" i="271"/>
  <c r="R99" i="271" s="1"/>
  <c r="Q65" i="271"/>
  <c r="Q99" i="271" s="1"/>
  <c r="P65" i="271"/>
  <c r="P99" i="271" s="1"/>
  <c r="O65" i="271"/>
  <c r="O99" i="271" s="1"/>
  <c r="M65" i="271"/>
  <c r="M99" i="271" s="1"/>
  <c r="H65" i="271"/>
  <c r="H99" i="271" s="1"/>
  <c r="G65" i="271"/>
  <c r="G99" i="271" s="1"/>
  <c r="F65" i="271"/>
  <c r="F99" i="271" s="1"/>
  <c r="C65" i="271"/>
  <c r="B65" i="271"/>
  <c r="AH64" i="271"/>
  <c r="AG64" i="271"/>
  <c r="AF64" i="271"/>
  <c r="N65" i="271"/>
  <c r="N99" i="271" s="1"/>
  <c r="L65" i="271"/>
  <c r="L99" i="271" s="1"/>
  <c r="K65" i="271"/>
  <c r="K99" i="271" s="1"/>
  <c r="J65" i="271"/>
  <c r="J99" i="271" s="1"/>
  <c r="AC60" i="271"/>
  <c r="AB60" i="271"/>
  <c r="AB98" i="271" s="1"/>
  <c r="AA60" i="271"/>
  <c r="AA98" i="271" s="1"/>
  <c r="Z60" i="271"/>
  <c r="Z98" i="271" s="1"/>
  <c r="Y60" i="271"/>
  <c r="Y98" i="271" s="1"/>
  <c r="X60" i="271"/>
  <c r="X98" i="271" s="1"/>
  <c r="W60" i="271"/>
  <c r="W98" i="271" s="1"/>
  <c r="T60" i="271"/>
  <c r="T98" i="271" s="1"/>
  <c r="S60" i="271"/>
  <c r="S98" i="271" s="1"/>
  <c r="R60" i="271"/>
  <c r="R98" i="271" s="1"/>
  <c r="P60" i="271"/>
  <c r="P98" i="271" s="1"/>
  <c r="O60" i="271"/>
  <c r="O98" i="271" s="1"/>
  <c r="N60" i="271"/>
  <c r="N98" i="271" s="1"/>
  <c r="M60" i="271"/>
  <c r="M98" i="271" s="1"/>
  <c r="L60" i="271"/>
  <c r="L98" i="271" s="1"/>
  <c r="K60" i="271"/>
  <c r="K98" i="271" s="1"/>
  <c r="J60" i="271"/>
  <c r="J98" i="271" s="1"/>
  <c r="I60" i="271"/>
  <c r="I98" i="271" s="1"/>
  <c r="H60" i="271"/>
  <c r="H98" i="271" s="1"/>
  <c r="G60" i="271"/>
  <c r="G98" i="271" s="1"/>
  <c r="C60" i="271"/>
  <c r="B60" i="271"/>
  <c r="AH59" i="271"/>
  <c r="AG59" i="271"/>
  <c r="AF59" i="271"/>
  <c r="AH58" i="271"/>
  <c r="AG58" i="271"/>
  <c r="AF58" i="271"/>
  <c r="AH57" i="271"/>
  <c r="AG57" i="271"/>
  <c r="AF57" i="271"/>
  <c r="AH56" i="271"/>
  <c r="AG56" i="271"/>
  <c r="AF56" i="271"/>
  <c r="AH55" i="271"/>
  <c r="AG55" i="271"/>
  <c r="AF55" i="271"/>
  <c r="AH54" i="271"/>
  <c r="AG54" i="271"/>
  <c r="AF54" i="271"/>
  <c r="AH53" i="271"/>
  <c r="AG53" i="271"/>
  <c r="AF53" i="271"/>
  <c r="AH52" i="271"/>
  <c r="AG52" i="271"/>
  <c r="AF52" i="271"/>
  <c r="AH51" i="271"/>
  <c r="AG51" i="271"/>
  <c r="AF51" i="271"/>
  <c r="AH50" i="271"/>
  <c r="AG50" i="271"/>
  <c r="AF50" i="271"/>
  <c r="AH49" i="271"/>
  <c r="AG49" i="271"/>
  <c r="AF49" i="271"/>
  <c r="AH48" i="271"/>
  <c r="AG48" i="271"/>
  <c r="AF48" i="271"/>
  <c r="AH47" i="271"/>
  <c r="AG47" i="271"/>
  <c r="AF47" i="271"/>
  <c r="AH46" i="271"/>
  <c r="AG46" i="271"/>
  <c r="AF46" i="271"/>
  <c r="AH45" i="271"/>
  <c r="AG45" i="271"/>
  <c r="AF45" i="271"/>
  <c r="Q60" i="271"/>
  <c r="Q98" i="271" s="1"/>
  <c r="AG44" i="271"/>
  <c r="AH44" i="271"/>
  <c r="AH43" i="271"/>
  <c r="AG43" i="271"/>
  <c r="AF43" i="271"/>
  <c r="AH42" i="271"/>
  <c r="V60" i="271"/>
  <c r="V98" i="271" s="1"/>
  <c r="U60" i="271"/>
  <c r="U98" i="271" s="1"/>
  <c r="AH40" i="271"/>
  <c r="AG40" i="271"/>
  <c r="AF40" i="271"/>
  <c r="AH39" i="271"/>
  <c r="AG39" i="271"/>
  <c r="AF39" i="271"/>
  <c r="AH38" i="271"/>
  <c r="AG38" i="271"/>
  <c r="AF38" i="271"/>
  <c r="AH37" i="271"/>
  <c r="AG37" i="271"/>
  <c r="AF37" i="271"/>
  <c r="AI36" i="271"/>
  <c r="AH36" i="271"/>
  <c r="AG36" i="271"/>
  <c r="AF36" i="271"/>
  <c r="AC34" i="271"/>
  <c r="AC96" i="271" s="1"/>
  <c r="AB34" i="271"/>
  <c r="AB96" i="271" s="1"/>
  <c r="AA34" i="271"/>
  <c r="AA96" i="271" s="1"/>
  <c r="Z34" i="271"/>
  <c r="Z96" i="271" s="1"/>
  <c r="Y34" i="271"/>
  <c r="Y96" i="271" s="1"/>
  <c r="X34" i="271"/>
  <c r="X96" i="271" s="1"/>
  <c r="W34" i="271"/>
  <c r="W96" i="271" s="1"/>
  <c r="V34" i="271"/>
  <c r="V96" i="271" s="1"/>
  <c r="U34" i="271"/>
  <c r="U96" i="271" s="1"/>
  <c r="T34" i="271"/>
  <c r="T96" i="271" s="1"/>
  <c r="S34" i="271"/>
  <c r="S96" i="271" s="1"/>
  <c r="R34" i="271"/>
  <c r="R96" i="271" s="1"/>
  <c r="Q34" i="271"/>
  <c r="Q96" i="271" s="1"/>
  <c r="P34" i="271"/>
  <c r="P96" i="271" s="1"/>
  <c r="O34" i="271"/>
  <c r="O96" i="271" s="1"/>
  <c r="N34" i="271"/>
  <c r="N96" i="271" s="1"/>
  <c r="M34" i="271"/>
  <c r="M96" i="271" s="1"/>
  <c r="L34" i="271"/>
  <c r="L96" i="271" s="1"/>
  <c r="K34" i="271"/>
  <c r="K96" i="271" s="1"/>
  <c r="J34" i="271"/>
  <c r="I34" i="271"/>
  <c r="I96" i="271" s="1"/>
  <c r="H34" i="271"/>
  <c r="H96" i="271" s="1"/>
  <c r="G34" i="271"/>
  <c r="G96" i="271" s="1"/>
  <c r="F34" i="271"/>
  <c r="F96" i="271" s="1"/>
  <c r="C34" i="271"/>
  <c r="B34" i="271"/>
  <c r="AH33" i="271"/>
  <c r="AG33" i="271"/>
  <c r="AF33" i="271"/>
  <c r="AI32" i="271"/>
  <c r="AC31" i="271"/>
  <c r="AC93" i="271" s="1"/>
  <c r="AB31" i="271"/>
  <c r="AB93" i="271" s="1"/>
  <c r="AA31" i="271"/>
  <c r="AA93" i="271" s="1"/>
  <c r="Z31" i="271"/>
  <c r="Z93" i="271" s="1"/>
  <c r="Y31" i="271"/>
  <c r="Y93" i="271" s="1"/>
  <c r="X31" i="271"/>
  <c r="X93" i="271" s="1"/>
  <c r="W31" i="271"/>
  <c r="W93" i="271" s="1"/>
  <c r="V31" i="271"/>
  <c r="V93" i="271" s="1"/>
  <c r="U31" i="271"/>
  <c r="U93" i="271" s="1"/>
  <c r="T31" i="271"/>
  <c r="T93" i="271" s="1"/>
  <c r="S31" i="271"/>
  <c r="R31" i="271"/>
  <c r="R93" i="271" s="1"/>
  <c r="Q31" i="271"/>
  <c r="Q93" i="271" s="1"/>
  <c r="P31" i="271"/>
  <c r="P93" i="271" s="1"/>
  <c r="O31" i="271"/>
  <c r="N31" i="271"/>
  <c r="N93" i="271" s="1"/>
  <c r="M31" i="271"/>
  <c r="M93" i="271" s="1"/>
  <c r="L31" i="271"/>
  <c r="L93" i="271" s="1"/>
  <c r="K31" i="271"/>
  <c r="K93" i="271" s="1"/>
  <c r="J31" i="271"/>
  <c r="J93" i="271" s="1"/>
  <c r="I31" i="271"/>
  <c r="I93" i="271" s="1"/>
  <c r="H31" i="271"/>
  <c r="G31" i="271"/>
  <c r="G93" i="271" s="1"/>
  <c r="F31" i="271"/>
  <c r="C31" i="271"/>
  <c r="B31" i="271"/>
  <c r="AI28" i="271"/>
  <c r="AH28" i="271"/>
  <c r="AG28" i="271"/>
  <c r="AF28" i="271"/>
  <c r="AH27" i="271"/>
  <c r="AG27" i="271"/>
  <c r="AF27" i="271"/>
  <c r="AI26" i="271"/>
  <c r="AC25" i="271"/>
  <c r="AB25" i="271"/>
  <c r="AA25" i="271"/>
  <c r="Z25" i="271"/>
  <c r="Y25" i="271"/>
  <c r="X25" i="271"/>
  <c r="W25" i="271"/>
  <c r="W89" i="271" s="1"/>
  <c r="V25" i="271"/>
  <c r="V89" i="271" s="1"/>
  <c r="U25" i="271"/>
  <c r="T25" i="271"/>
  <c r="S25" i="271"/>
  <c r="R25" i="271"/>
  <c r="Q25" i="271"/>
  <c r="Q89" i="271" s="1"/>
  <c r="P25" i="271"/>
  <c r="O25" i="271"/>
  <c r="N25" i="271"/>
  <c r="M25" i="271"/>
  <c r="L25" i="271"/>
  <c r="K25" i="271"/>
  <c r="J25" i="271"/>
  <c r="I25" i="271"/>
  <c r="H25" i="271"/>
  <c r="G25" i="271"/>
  <c r="F25" i="271"/>
  <c r="C25" i="271"/>
  <c r="AH24" i="271"/>
  <c r="AG24" i="271"/>
  <c r="AF24" i="271"/>
  <c r="AI23" i="271"/>
  <c r="AC22" i="271"/>
  <c r="AC89" i="271" s="1"/>
  <c r="AB22" i="271"/>
  <c r="AB89" i="271" s="1"/>
  <c r="AA22" i="271"/>
  <c r="AA89" i="271" s="1"/>
  <c r="Z22" i="271"/>
  <c r="Y22" i="271"/>
  <c r="X22" i="271"/>
  <c r="W22" i="271"/>
  <c r="V22" i="271"/>
  <c r="U22" i="271"/>
  <c r="T22" i="271"/>
  <c r="S22" i="271"/>
  <c r="R22" i="271"/>
  <c r="Q22" i="271"/>
  <c r="P22" i="271"/>
  <c r="O22" i="271"/>
  <c r="N22" i="271"/>
  <c r="M22" i="271"/>
  <c r="L22" i="271"/>
  <c r="K22" i="271"/>
  <c r="J22" i="271"/>
  <c r="J89" i="271" s="1"/>
  <c r="I22" i="271"/>
  <c r="I89" i="271" s="1"/>
  <c r="H22" i="271"/>
  <c r="G22" i="271"/>
  <c r="G89" i="271" s="1"/>
  <c r="F22" i="271"/>
  <c r="F89" i="271" s="1"/>
  <c r="C22" i="271"/>
  <c r="C83" i="271" s="1"/>
  <c r="B22" i="271"/>
  <c r="B83" i="271" s="1"/>
  <c r="AH21" i="271"/>
  <c r="AG21" i="271"/>
  <c r="AF21" i="271"/>
  <c r="AH20" i="271"/>
  <c r="AG20" i="271"/>
  <c r="AF20" i="271"/>
  <c r="AH19" i="271"/>
  <c r="AG19" i="271"/>
  <c r="AF19" i="271"/>
  <c r="AI18" i="271"/>
  <c r="AC17" i="271"/>
  <c r="AB17" i="271"/>
  <c r="AB91" i="271" s="1"/>
  <c r="AA17" i="271"/>
  <c r="AA91" i="271" s="1"/>
  <c r="Z17" i="271"/>
  <c r="Z91" i="271" s="1"/>
  <c r="Y17" i="271"/>
  <c r="Y91" i="271" s="1"/>
  <c r="X17" i="271"/>
  <c r="W17" i="271"/>
  <c r="W91" i="271" s="1"/>
  <c r="V17" i="271"/>
  <c r="V91" i="271" s="1"/>
  <c r="U17" i="271"/>
  <c r="U91" i="271" s="1"/>
  <c r="T17" i="271"/>
  <c r="T91" i="271" s="1"/>
  <c r="S17" i="271"/>
  <c r="S91" i="271" s="1"/>
  <c r="R17" i="271"/>
  <c r="Q17" i="271"/>
  <c r="Q91" i="271" s="1"/>
  <c r="P17" i="271"/>
  <c r="P91" i="271" s="1"/>
  <c r="O17" i="271"/>
  <c r="O91" i="271" s="1"/>
  <c r="N17" i="271"/>
  <c r="N91" i="271" s="1"/>
  <c r="M17" i="271"/>
  <c r="M91" i="271" s="1"/>
  <c r="L17" i="271"/>
  <c r="L91" i="271" s="1"/>
  <c r="K17" i="271"/>
  <c r="K91" i="271" s="1"/>
  <c r="J17" i="271"/>
  <c r="J91" i="271" s="1"/>
  <c r="I17" i="271"/>
  <c r="H17" i="271"/>
  <c r="H91" i="271" s="1"/>
  <c r="G17" i="271"/>
  <c r="F17" i="271"/>
  <c r="F91" i="271" s="1"/>
  <c r="C17" i="271"/>
  <c r="B17" i="271"/>
  <c r="AH16" i="271"/>
  <c r="AG16" i="271"/>
  <c r="AF16" i="271"/>
  <c r="AH15" i="271"/>
  <c r="AG15" i="271"/>
  <c r="AF15" i="271"/>
  <c r="AH14" i="271"/>
  <c r="AG14" i="271"/>
  <c r="AF14" i="271"/>
  <c r="AH13" i="271"/>
  <c r="AG13" i="271"/>
  <c r="AF13" i="271"/>
  <c r="AI12" i="271"/>
  <c r="M9" i="271" a="1"/>
  <c r="M9" i="271" s="1"/>
  <c r="AE278" i="260"/>
  <c r="F528" i="88"/>
  <c r="AB104" i="270"/>
  <c r="AA104" i="270"/>
  <c r="W277" i="260"/>
  <c r="AE277" i="260"/>
  <c r="AE276" i="260"/>
  <c r="W276" i="260"/>
  <c r="F540" i="88"/>
  <c r="F563" i="88"/>
  <c r="F560" i="88"/>
  <c r="F561" i="88"/>
  <c r="F567" i="88"/>
  <c r="F562" i="88"/>
  <c r="F564" i="88"/>
  <c r="F557" i="88"/>
  <c r="F549" i="88"/>
  <c r="F548" i="88"/>
  <c r="F559" i="88"/>
  <c r="F547" i="88"/>
  <c r="F565" i="88"/>
  <c r="G19" i="254"/>
  <c r="G18" i="254"/>
  <c r="F558" i="88"/>
  <c r="AE275" i="260"/>
  <c r="W275" i="260"/>
  <c r="Z104" i="270"/>
  <c r="F555" i="88"/>
  <c r="F554" i="88"/>
  <c r="F553" i="88"/>
  <c r="AE274" i="260"/>
  <c r="W274" i="260"/>
  <c r="F534" i="88"/>
  <c r="F552" i="88"/>
  <c r="F551" i="88"/>
  <c r="F539" i="88"/>
  <c r="F519" i="88"/>
  <c r="F510" i="88"/>
  <c r="F502" i="88"/>
  <c r="F497" i="88"/>
  <c r="F477" i="88"/>
  <c r="F521" i="88"/>
  <c r="AE273" i="260"/>
  <c r="W273" i="260"/>
  <c r="X104" i="270"/>
  <c r="F485" i="88"/>
  <c r="F527" i="88"/>
  <c r="F542" i="88"/>
  <c r="F525" i="88"/>
  <c r="AE272" i="260"/>
  <c r="W272" i="260"/>
  <c r="W104" i="270"/>
  <c r="AB89" i="272" l="1"/>
  <c r="AA109" i="272"/>
  <c r="AA89" i="272"/>
  <c r="Z89" i="272"/>
  <c r="X109" i="272"/>
  <c r="O110" i="272"/>
  <c r="H109" i="272"/>
  <c r="F89" i="272"/>
  <c r="J109" i="272"/>
  <c r="I103" i="272"/>
  <c r="I108" i="272" s="1"/>
  <c r="I109" i="272"/>
  <c r="H103" i="272"/>
  <c r="H108" i="272" s="1"/>
  <c r="V109" i="272"/>
  <c r="F110" i="272"/>
  <c r="AB83" i="272"/>
  <c r="O83" i="272"/>
  <c r="M110" i="272"/>
  <c r="F91" i="272"/>
  <c r="F109" i="272" s="1"/>
  <c r="X110" i="272"/>
  <c r="Z110" i="272"/>
  <c r="AA83" i="272"/>
  <c r="P110" i="272"/>
  <c r="T89" i="272"/>
  <c r="K89" i="272"/>
  <c r="K103" i="272" s="1"/>
  <c r="K108" i="272" s="1"/>
  <c r="Z103" i="272"/>
  <c r="Z108" i="272" s="1"/>
  <c r="R103" i="272"/>
  <c r="R108" i="272" s="1"/>
  <c r="G83" i="272"/>
  <c r="K83" i="272"/>
  <c r="U89" i="272"/>
  <c r="V89" i="272"/>
  <c r="M89" i="272"/>
  <c r="AA103" i="272"/>
  <c r="AA108" i="272" s="1"/>
  <c r="Y110" i="272"/>
  <c r="L83" i="272"/>
  <c r="H83" i="272"/>
  <c r="N83" i="272"/>
  <c r="AB91" i="272"/>
  <c r="AB109" i="272" s="1"/>
  <c r="I83" i="272"/>
  <c r="L110" i="272"/>
  <c r="N110" i="272"/>
  <c r="Q83" i="272"/>
  <c r="L89" i="272"/>
  <c r="L103" i="272" s="1"/>
  <c r="L108" i="272" s="1"/>
  <c r="S110" i="272"/>
  <c r="W89" i="272"/>
  <c r="W103" i="272" s="1"/>
  <c r="W108" i="272" s="1"/>
  <c r="N89" i="272"/>
  <c r="N103" i="272" s="1"/>
  <c r="N108" i="272" s="1"/>
  <c r="K91" i="272"/>
  <c r="K109" i="272" s="1"/>
  <c r="W109" i="272"/>
  <c r="Y91" i="272"/>
  <c r="Y109" i="272" s="1"/>
  <c r="Z91" i="272"/>
  <c r="Z109" i="272" s="1"/>
  <c r="J89" i="272"/>
  <c r="J103" i="272" s="1"/>
  <c r="J108" i="272" s="1"/>
  <c r="G91" i="272"/>
  <c r="G109" i="272" s="1"/>
  <c r="T83" i="272"/>
  <c r="X89" i="272"/>
  <c r="X103" i="272" s="1"/>
  <c r="X108" i="272" s="1"/>
  <c r="O89" i="272"/>
  <c r="O103" i="272" s="1"/>
  <c r="O108" i="272" s="1"/>
  <c r="L91" i="272"/>
  <c r="L109" i="272" s="1"/>
  <c r="AC109" i="272"/>
  <c r="AC103" i="272"/>
  <c r="AC108" i="272" s="1"/>
  <c r="AC83" i="272"/>
  <c r="N109" i="272"/>
  <c r="O109" i="272"/>
  <c r="R109" i="272"/>
  <c r="V103" i="272"/>
  <c r="V108" i="272" s="1"/>
  <c r="P83" i="272"/>
  <c r="R110" i="272"/>
  <c r="R83" i="272"/>
  <c r="S83" i="272"/>
  <c r="U110" i="272"/>
  <c r="AF62" i="272"/>
  <c r="AH49" i="272"/>
  <c r="M60" i="272"/>
  <c r="V83" i="272"/>
  <c r="W83" i="272"/>
  <c r="AF63" i="272"/>
  <c r="Y83" i="272"/>
  <c r="Q91" i="272"/>
  <c r="Q109" i="272" s="1"/>
  <c r="G110" i="272"/>
  <c r="AA110" i="272"/>
  <c r="AG63" i="272"/>
  <c r="F83" i="272"/>
  <c r="Z83" i="272"/>
  <c r="H110" i="272"/>
  <c r="AB110" i="272"/>
  <c r="AI35" i="272"/>
  <c r="AG62" i="272"/>
  <c r="X83" i="272"/>
  <c r="S91" i="272"/>
  <c r="S109" i="272" s="1"/>
  <c r="I110" i="272"/>
  <c r="AC110" i="272"/>
  <c r="AH41" i="272"/>
  <c r="AI36" i="272"/>
  <c r="AG49" i="272"/>
  <c r="P91" i="272"/>
  <c r="P109" i="272" s="1"/>
  <c r="U65" i="272"/>
  <c r="U99" i="272" s="1"/>
  <c r="T91" i="272"/>
  <c r="T109" i="272" s="1"/>
  <c r="J110" i="272"/>
  <c r="U91" i="272"/>
  <c r="U109" i="272" s="1"/>
  <c r="K110" i="272"/>
  <c r="AF41" i="272"/>
  <c r="AG41" i="272"/>
  <c r="Q110" i="272"/>
  <c r="T110" i="272"/>
  <c r="V110" i="272"/>
  <c r="W110" i="272"/>
  <c r="AF46" i="272"/>
  <c r="AB109" i="271"/>
  <c r="AA99" i="271"/>
  <c r="AA109" i="271"/>
  <c r="Z109" i="271"/>
  <c r="Z89" i="271"/>
  <c r="Y109" i="271"/>
  <c r="W109" i="271"/>
  <c r="V103" i="271"/>
  <c r="V108" i="271" s="1"/>
  <c r="V109" i="271"/>
  <c r="T109" i="271"/>
  <c r="T89" i="271"/>
  <c r="S110" i="271"/>
  <c r="R110" i="271"/>
  <c r="N89" i="271"/>
  <c r="M89" i="271"/>
  <c r="H93" i="271"/>
  <c r="H109" i="271" s="1"/>
  <c r="H89" i="271"/>
  <c r="T103" i="271"/>
  <c r="T108" i="271" s="1"/>
  <c r="W103" i="271"/>
  <c r="W108" i="271" s="1"/>
  <c r="G109" i="271"/>
  <c r="R89" i="271"/>
  <c r="R103" i="271" s="1"/>
  <c r="R108" i="271" s="1"/>
  <c r="N110" i="271"/>
  <c r="S89" i="271"/>
  <c r="S103" i="271" s="1"/>
  <c r="S108" i="271" s="1"/>
  <c r="Q109" i="271"/>
  <c r="H103" i="271"/>
  <c r="H108" i="271" s="1"/>
  <c r="L110" i="271"/>
  <c r="U89" i="271"/>
  <c r="U103" i="271" s="1"/>
  <c r="U108" i="271" s="1"/>
  <c r="L89" i="271"/>
  <c r="L103" i="271" s="1"/>
  <c r="L108" i="271" s="1"/>
  <c r="R109" i="271"/>
  <c r="S109" i="271"/>
  <c r="Z103" i="271"/>
  <c r="Z108" i="271" s="1"/>
  <c r="O110" i="271"/>
  <c r="F109" i="271"/>
  <c r="X89" i="271"/>
  <c r="U109" i="271"/>
  <c r="Y89" i="271"/>
  <c r="Y103" i="271" s="1"/>
  <c r="Y108" i="271" s="1"/>
  <c r="P89" i="271"/>
  <c r="P103" i="271" s="1"/>
  <c r="P108" i="271" s="1"/>
  <c r="Q103" i="271"/>
  <c r="Q108" i="271" s="1"/>
  <c r="G103" i="271"/>
  <c r="G108" i="271" s="1"/>
  <c r="AA103" i="271"/>
  <c r="AA108" i="271" s="1"/>
  <c r="AF41" i="271"/>
  <c r="AG41" i="271"/>
  <c r="X91" i="271"/>
  <c r="X109" i="271" s="1"/>
  <c r="X110" i="271"/>
  <c r="G83" i="271"/>
  <c r="H83" i="271"/>
  <c r="AA110" i="271"/>
  <c r="AG42" i="271"/>
  <c r="AF42" i="271"/>
  <c r="AF63" i="271"/>
  <c r="T83" i="271"/>
  <c r="AB110" i="271"/>
  <c r="AI61" i="271"/>
  <c r="I91" i="271"/>
  <c r="I109" i="271" s="1"/>
  <c r="I110" i="271"/>
  <c r="M103" i="271"/>
  <c r="M108" i="271" s="1"/>
  <c r="AH63" i="271"/>
  <c r="V83" i="271"/>
  <c r="L109" i="271"/>
  <c r="J109" i="271"/>
  <c r="M109" i="271"/>
  <c r="K109" i="271"/>
  <c r="O89" i="271"/>
  <c r="O103" i="271" s="1"/>
  <c r="O108" i="271" s="1"/>
  <c r="Y83" i="271"/>
  <c r="O109" i="271"/>
  <c r="T110" i="271"/>
  <c r="M110" i="271"/>
  <c r="Z83" i="271"/>
  <c r="P109" i="271"/>
  <c r="U110" i="271"/>
  <c r="N83" i="271"/>
  <c r="AA83" i="271"/>
  <c r="V110" i="271"/>
  <c r="G110" i="271"/>
  <c r="H110" i="271"/>
  <c r="U83" i="271"/>
  <c r="AH62" i="271"/>
  <c r="I65" i="271"/>
  <c r="AG62" i="271"/>
  <c r="AF62" i="271"/>
  <c r="W83" i="271"/>
  <c r="P110" i="271"/>
  <c r="AC91" i="271"/>
  <c r="AC110" i="271"/>
  <c r="Q110" i="271"/>
  <c r="N103" i="271"/>
  <c r="N108" i="271" s="1"/>
  <c r="J83" i="271"/>
  <c r="P83" i="271"/>
  <c r="K89" i="271"/>
  <c r="K103" i="271" s="1"/>
  <c r="K108" i="271" s="1"/>
  <c r="K83" i="271"/>
  <c r="F60" i="271"/>
  <c r="F98" i="271" s="1"/>
  <c r="F103" i="271" s="1"/>
  <c r="F108" i="271" s="1"/>
  <c r="AH41" i="271"/>
  <c r="AC83" i="271"/>
  <c r="N109" i="271"/>
  <c r="F83" i="271"/>
  <c r="J103" i="271"/>
  <c r="J108" i="271" s="1"/>
  <c r="X83" i="271"/>
  <c r="O83" i="271"/>
  <c r="AB83" i="271"/>
  <c r="W110" i="271"/>
  <c r="Q83" i="271"/>
  <c r="R83" i="271"/>
  <c r="AF44" i="271"/>
  <c r="S83" i="271"/>
  <c r="AI35" i="271"/>
  <c r="Y110" i="271"/>
  <c r="L83" i="271"/>
  <c r="AB99" i="271"/>
  <c r="AB103" i="271" s="1"/>
  <c r="AB108" i="271" s="1"/>
  <c r="F110" i="271"/>
  <c r="Z110" i="271"/>
  <c r="M83" i="271"/>
  <c r="J110" i="271"/>
  <c r="K110" i="271"/>
  <c r="F546" i="88"/>
  <c r="F171" i="88"/>
  <c r="AE271" i="260"/>
  <c r="W271" i="260"/>
  <c r="V104" i="270"/>
  <c r="Y103" i="272" l="1"/>
  <c r="Y108" i="272" s="1"/>
  <c r="F103" i="272"/>
  <c r="F108" i="272" s="1"/>
  <c r="G103" i="272"/>
  <c r="G108" i="272" s="1"/>
  <c r="P103" i="272"/>
  <c r="P108" i="272" s="1"/>
  <c r="AB103" i="272"/>
  <c r="AB108" i="272" s="1"/>
  <c r="S103" i="272"/>
  <c r="S108" i="272" s="1"/>
  <c r="Q103" i="272"/>
  <c r="Q108" i="272" s="1"/>
  <c r="T103" i="272"/>
  <c r="T108" i="272" s="1"/>
  <c r="M98" i="272"/>
  <c r="M103" i="272" s="1"/>
  <c r="M108" i="272" s="1"/>
  <c r="M83" i="272"/>
  <c r="U103" i="272"/>
  <c r="U108" i="272" s="1"/>
  <c r="U83" i="272"/>
  <c r="AC109" i="271"/>
  <c r="AC103" i="271"/>
  <c r="AC108" i="271" s="1"/>
  <c r="I99" i="271"/>
  <c r="I103" i="271" s="1"/>
  <c r="I108" i="271" s="1"/>
  <c r="I83" i="271"/>
  <c r="X103" i="271"/>
  <c r="X108" i="271" s="1"/>
  <c r="AE270" i="260"/>
  <c r="W270" i="260"/>
  <c r="AE269" i="260"/>
  <c r="W269" i="260"/>
  <c r="V41" i="270"/>
  <c r="V42" i="270"/>
  <c r="V44" i="270"/>
  <c r="U44" i="270"/>
  <c r="U42" i="270"/>
  <c r="U41" i="270"/>
  <c r="T104" i="270"/>
  <c r="S104" i="270"/>
  <c r="F544" i="88"/>
  <c r="F543" i="88"/>
  <c r="F541" i="88"/>
  <c r="F535" i="88"/>
  <c r="W268" i="260"/>
  <c r="F523" i="88"/>
  <c r="F522" i="88"/>
  <c r="W267" i="260"/>
  <c r="R63" i="270"/>
  <c r="R62" i="270"/>
  <c r="W266" i="260"/>
  <c r="Q63" i="270"/>
  <c r="Q62" i="270"/>
  <c r="Q44" i="270"/>
  <c r="Q41" i="270"/>
  <c r="F537" i="88"/>
  <c r="F533" i="88"/>
  <c r="F536" i="88"/>
  <c r="AE265" i="260"/>
  <c r="W265" i="260"/>
  <c r="AE264" i="260"/>
  <c r="W264" i="260"/>
  <c r="P63" i="270"/>
  <c r="P62" i="270"/>
  <c r="F501" i="88"/>
  <c r="F531" i="88" l="1"/>
  <c r="F530" i="88"/>
  <c r="F529" i="88"/>
  <c r="O63" i="270"/>
  <c r="O62" i="270"/>
  <c r="F526" i="88"/>
  <c r="AE263" i="260"/>
  <c r="N63" i="270"/>
  <c r="N62" i="270"/>
  <c r="F504" i="88" l="1"/>
  <c r="AE262" i="260"/>
  <c r="F506" i="88"/>
  <c r="F505" i="88"/>
  <c r="F518" i="88"/>
  <c r="F517" i="88"/>
  <c r="F516" i="88"/>
  <c r="AG62" i="270"/>
  <c r="L63" i="270"/>
  <c r="L62" i="270"/>
  <c r="K63" i="270"/>
  <c r="K62" i="270"/>
  <c r="AI61" i="270"/>
  <c r="J63" i="270"/>
  <c r="J62" i="270"/>
  <c r="I63" i="270"/>
  <c r="I62" i="270"/>
  <c r="F498" i="88"/>
  <c r="F496" i="88"/>
  <c r="F495" i="88"/>
  <c r="F463" i="88"/>
  <c r="F513" i="88"/>
  <c r="H41" i="270"/>
  <c r="H42" i="270"/>
  <c r="H44" i="270"/>
  <c r="F514" i="88"/>
  <c r="F474" i="88"/>
  <c r="G41" i="270"/>
  <c r="G42" i="270"/>
  <c r="G44" i="270"/>
  <c r="F478" i="88"/>
  <c r="F512" i="88"/>
  <c r="F511" i="88"/>
  <c r="W252" i="260"/>
  <c r="F44" i="270"/>
  <c r="F42" i="270"/>
  <c r="F41" i="270"/>
  <c r="AC129" i="270"/>
  <c r="AB129" i="270"/>
  <c r="AA129" i="270"/>
  <c r="Z129" i="270"/>
  <c r="Y129" i="270"/>
  <c r="X129" i="270"/>
  <c r="W129" i="270"/>
  <c r="V129" i="270"/>
  <c r="U129" i="270"/>
  <c r="T129" i="270"/>
  <c r="S129" i="270"/>
  <c r="R129" i="270"/>
  <c r="Q129" i="270"/>
  <c r="P129" i="270"/>
  <c r="O129" i="270"/>
  <c r="N129" i="270"/>
  <c r="M129" i="270"/>
  <c r="L129" i="270"/>
  <c r="K129" i="270"/>
  <c r="J129" i="270"/>
  <c r="I129" i="270"/>
  <c r="H129" i="270"/>
  <c r="G129" i="270"/>
  <c r="F129" i="270"/>
  <c r="P110" i="270"/>
  <c r="K110" i="270"/>
  <c r="AC107" i="270"/>
  <c r="AB107" i="270"/>
  <c r="AA107" i="270"/>
  <c r="Z107" i="270"/>
  <c r="Y107" i="270"/>
  <c r="X107" i="270"/>
  <c r="W107" i="270"/>
  <c r="V107" i="270"/>
  <c r="U107" i="270"/>
  <c r="T107" i="270"/>
  <c r="S107" i="270"/>
  <c r="R107" i="270"/>
  <c r="Q107" i="270"/>
  <c r="P107" i="270"/>
  <c r="O107" i="270"/>
  <c r="N107" i="270"/>
  <c r="M107" i="270"/>
  <c r="L107" i="270"/>
  <c r="K107" i="270"/>
  <c r="J107" i="270"/>
  <c r="I107" i="270"/>
  <c r="H107" i="270"/>
  <c r="G107" i="270"/>
  <c r="F107" i="270"/>
  <c r="AC102" i="270"/>
  <c r="AB102" i="270"/>
  <c r="AA102" i="270"/>
  <c r="Z102" i="270"/>
  <c r="Y102" i="270"/>
  <c r="X102" i="270"/>
  <c r="W102" i="270"/>
  <c r="V102" i="270"/>
  <c r="U102" i="270"/>
  <c r="T102" i="270"/>
  <c r="S102" i="270"/>
  <c r="R102" i="270"/>
  <c r="Q102" i="270"/>
  <c r="P102" i="270"/>
  <c r="O102" i="270"/>
  <c r="N102" i="270"/>
  <c r="M102" i="270"/>
  <c r="L102" i="270"/>
  <c r="K102" i="270"/>
  <c r="J102" i="270"/>
  <c r="I102" i="270"/>
  <c r="H102" i="270"/>
  <c r="G102" i="270"/>
  <c r="F102" i="270"/>
  <c r="AC101" i="270"/>
  <c r="AB101" i="270"/>
  <c r="W101" i="270"/>
  <c r="P101" i="270"/>
  <c r="O101" i="270"/>
  <c r="L99" i="270"/>
  <c r="K99" i="270"/>
  <c r="G98" i="270"/>
  <c r="F98" i="270"/>
  <c r="L96" i="270"/>
  <c r="T93" i="270"/>
  <c r="R93" i="270"/>
  <c r="M93" i="270"/>
  <c r="V89" i="270"/>
  <c r="AC80" i="270"/>
  <c r="AB80" i="270"/>
  <c r="AA80" i="270"/>
  <c r="AA101" i="270" s="1"/>
  <c r="Z80" i="270"/>
  <c r="Z101" i="270" s="1"/>
  <c r="Y80" i="270"/>
  <c r="Y101" i="270" s="1"/>
  <c r="X80" i="270"/>
  <c r="X101" i="270" s="1"/>
  <c r="W80" i="270"/>
  <c r="V80" i="270"/>
  <c r="V101" i="270" s="1"/>
  <c r="U80" i="270"/>
  <c r="U101" i="270" s="1"/>
  <c r="T80" i="270"/>
  <c r="T101" i="270" s="1"/>
  <c r="S80" i="270"/>
  <c r="S101" i="270" s="1"/>
  <c r="R80" i="270"/>
  <c r="R101" i="270" s="1"/>
  <c r="Q80" i="270"/>
  <c r="Q101" i="270" s="1"/>
  <c r="P80" i="270"/>
  <c r="O80" i="270"/>
  <c r="N80" i="270"/>
  <c r="N101" i="270" s="1"/>
  <c r="M80" i="270"/>
  <c r="M101" i="270" s="1"/>
  <c r="L80" i="270"/>
  <c r="L101" i="270" s="1"/>
  <c r="K80" i="270"/>
  <c r="K101" i="270" s="1"/>
  <c r="J80" i="270"/>
  <c r="J101" i="270" s="1"/>
  <c r="I80" i="270"/>
  <c r="I101" i="270" s="1"/>
  <c r="H80" i="270"/>
  <c r="H101" i="270" s="1"/>
  <c r="G80" i="270"/>
  <c r="G101" i="270" s="1"/>
  <c r="F80" i="270"/>
  <c r="F101" i="270" s="1"/>
  <c r="C80" i="270"/>
  <c r="AH79" i="270"/>
  <c r="AG79" i="270"/>
  <c r="AF79" i="270"/>
  <c r="AH78" i="270"/>
  <c r="AG78" i="270"/>
  <c r="AF78" i="270"/>
  <c r="AI77" i="270"/>
  <c r="AC76" i="270"/>
  <c r="AC100" i="270" s="1"/>
  <c r="AB76" i="270"/>
  <c r="AB100" i="270" s="1"/>
  <c r="AA76" i="270"/>
  <c r="AA100" i="270" s="1"/>
  <c r="Z76" i="270"/>
  <c r="Z100" i="270" s="1"/>
  <c r="Y76" i="270"/>
  <c r="Y100" i="270" s="1"/>
  <c r="X76" i="270"/>
  <c r="X100" i="270" s="1"/>
  <c r="W76" i="270"/>
  <c r="W100" i="270" s="1"/>
  <c r="V76" i="270"/>
  <c r="V100" i="270" s="1"/>
  <c r="U76" i="270"/>
  <c r="U100" i="270" s="1"/>
  <c r="T76" i="270"/>
  <c r="T100" i="270" s="1"/>
  <c r="S76" i="270"/>
  <c r="S100" i="270" s="1"/>
  <c r="R76" i="270"/>
  <c r="R100" i="270" s="1"/>
  <c r="Q76" i="270"/>
  <c r="Q100" i="270" s="1"/>
  <c r="P76" i="270"/>
  <c r="P100" i="270" s="1"/>
  <c r="O76" i="270"/>
  <c r="O100" i="270" s="1"/>
  <c r="N76" i="270"/>
  <c r="N100" i="270" s="1"/>
  <c r="M76" i="270"/>
  <c r="M100" i="270" s="1"/>
  <c r="L76" i="270"/>
  <c r="L100" i="270" s="1"/>
  <c r="K76" i="270"/>
  <c r="K100" i="270" s="1"/>
  <c r="J76" i="270"/>
  <c r="J100" i="270" s="1"/>
  <c r="I76" i="270"/>
  <c r="I100" i="270" s="1"/>
  <c r="H76" i="270"/>
  <c r="H100" i="270" s="1"/>
  <c r="G76" i="270"/>
  <c r="G100" i="270" s="1"/>
  <c r="F76" i="270"/>
  <c r="F100" i="270" s="1"/>
  <c r="C76" i="270"/>
  <c r="B76" i="270"/>
  <c r="B80" i="270" s="1"/>
  <c r="B25" i="270" s="1"/>
  <c r="AH75" i="270"/>
  <c r="AG75" i="270"/>
  <c r="AF75" i="270"/>
  <c r="AH74" i="270"/>
  <c r="AG74" i="270"/>
  <c r="AF74" i="270"/>
  <c r="AH73" i="270"/>
  <c r="AG73" i="270"/>
  <c r="AF73" i="270"/>
  <c r="AH72" i="270"/>
  <c r="AG72" i="270"/>
  <c r="AF72" i="270"/>
  <c r="AH71" i="270"/>
  <c r="AG71" i="270"/>
  <c r="AF71" i="270"/>
  <c r="AH70" i="270"/>
  <c r="AG70" i="270"/>
  <c r="AF70" i="270"/>
  <c r="AH69" i="270"/>
  <c r="AG69" i="270"/>
  <c r="AF69" i="270"/>
  <c r="AH68" i="270"/>
  <c r="AG68" i="270"/>
  <c r="AF68" i="270"/>
  <c r="AH67" i="270"/>
  <c r="AG67" i="270"/>
  <c r="AF67" i="270"/>
  <c r="AI66" i="270"/>
  <c r="AC65" i="270"/>
  <c r="AC99" i="270" s="1"/>
  <c r="X65" i="270"/>
  <c r="X99" i="270" s="1"/>
  <c r="V65" i="270"/>
  <c r="V99" i="270" s="1"/>
  <c r="R65" i="270"/>
  <c r="R99" i="270" s="1"/>
  <c r="M65" i="270"/>
  <c r="M99" i="270" s="1"/>
  <c r="L65" i="270"/>
  <c r="K65" i="270"/>
  <c r="F65" i="270"/>
  <c r="F99" i="270" s="1"/>
  <c r="C65" i="270"/>
  <c r="C83" i="270" s="1"/>
  <c r="B65" i="270"/>
  <c r="AG64" i="270"/>
  <c r="AB65" i="270"/>
  <c r="AB99" i="270" s="1"/>
  <c r="AA65" i="270"/>
  <c r="AA99" i="270" s="1"/>
  <c r="Z65" i="270"/>
  <c r="Z99" i="270" s="1"/>
  <c r="Y65" i="270"/>
  <c r="Y99" i="270" s="1"/>
  <c r="Q65" i="270"/>
  <c r="Q99" i="270" s="1"/>
  <c r="P65" i="270"/>
  <c r="P99" i="270" s="1"/>
  <c r="O65" i="270"/>
  <c r="O99" i="270" s="1"/>
  <c r="W65" i="270"/>
  <c r="W99" i="270" s="1"/>
  <c r="U65" i="270"/>
  <c r="U99" i="270" s="1"/>
  <c r="U104" i="270" s="1"/>
  <c r="T65" i="270"/>
  <c r="T99" i="270" s="1"/>
  <c r="S65" i="270"/>
  <c r="S99" i="270" s="1"/>
  <c r="H65" i="270"/>
  <c r="H99" i="270" s="1"/>
  <c r="T60" i="270"/>
  <c r="T98" i="270" s="1"/>
  <c r="S60" i="270"/>
  <c r="S98" i="270" s="1"/>
  <c r="R60" i="270"/>
  <c r="R98" i="270" s="1"/>
  <c r="Q60" i="270"/>
  <c r="Q98" i="270" s="1"/>
  <c r="P60" i="270"/>
  <c r="P98" i="270" s="1"/>
  <c r="O60" i="270"/>
  <c r="O98" i="270" s="1"/>
  <c r="N60" i="270"/>
  <c r="N98" i="270" s="1"/>
  <c r="M60" i="270"/>
  <c r="M98" i="270" s="1"/>
  <c r="L60" i="270"/>
  <c r="K60" i="270"/>
  <c r="J60" i="270"/>
  <c r="I60" i="270"/>
  <c r="H60" i="270"/>
  <c r="G60" i="270"/>
  <c r="F60" i="270"/>
  <c r="C60" i="270"/>
  <c r="B60" i="270"/>
  <c r="AH59" i="270"/>
  <c r="AG59" i="270"/>
  <c r="AF59" i="270"/>
  <c r="AH58" i="270"/>
  <c r="AG58" i="270"/>
  <c r="AF58" i="270"/>
  <c r="AH57" i="270"/>
  <c r="AG57" i="270"/>
  <c r="AF57" i="270"/>
  <c r="AH56" i="270"/>
  <c r="AG56" i="270"/>
  <c r="AF56" i="270"/>
  <c r="AH55" i="270"/>
  <c r="AG55" i="270"/>
  <c r="AF55" i="270"/>
  <c r="AH54" i="270"/>
  <c r="AG54" i="270"/>
  <c r="AF54" i="270"/>
  <c r="AH53" i="270"/>
  <c r="AG53" i="270"/>
  <c r="AF53" i="270"/>
  <c r="AH52" i="270"/>
  <c r="AG52" i="270"/>
  <c r="AF52" i="270"/>
  <c r="AH51" i="270"/>
  <c r="AG51" i="270"/>
  <c r="AF51" i="270"/>
  <c r="AH50" i="270"/>
  <c r="AG50" i="270"/>
  <c r="AF50" i="270"/>
  <c r="AH49" i="270"/>
  <c r="AG49" i="270"/>
  <c r="AF49" i="270"/>
  <c r="AH48" i="270"/>
  <c r="AG48" i="270"/>
  <c r="AF48" i="270"/>
  <c r="AH47" i="270"/>
  <c r="AG47" i="270"/>
  <c r="AF47" i="270"/>
  <c r="AH46" i="270"/>
  <c r="AG46" i="270"/>
  <c r="AF46" i="270"/>
  <c r="AH45" i="270"/>
  <c r="AG45" i="270"/>
  <c r="AF45" i="270"/>
  <c r="AB60" i="270"/>
  <c r="AB98" i="270" s="1"/>
  <c r="AH43" i="270"/>
  <c r="AG43" i="270"/>
  <c r="AF43" i="270"/>
  <c r="AC60" i="270"/>
  <c r="AC98" i="270" s="1"/>
  <c r="AA60" i="270"/>
  <c r="AA98" i="270" s="1"/>
  <c r="Z60" i="270"/>
  <c r="Z98" i="270" s="1"/>
  <c r="Y60" i="270"/>
  <c r="Y98" i="270" s="1"/>
  <c r="X60" i="270"/>
  <c r="X98" i="270" s="1"/>
  <c r="V60" i="270"/>
  <c r="V98" i="270" s="1"/>
  <c r="AI35" i="270"/>
  <c r="AH40" i="270"/>
  <c r="AG40" i="270"/>
  <c r="AF40" i="270"/>
  <c r="AH39" i="270"/>
  <c r="AG39" i="270"/>
  <c r="AF39" i="270"/>
  <c r="AH38" i="270"/>
  <c r="AG38" i="270"/>
  <c r="AF38" i="270"/>
  <c r="AH37" i="270"/>
  <c r="AG37" i="270"/>
  <c r="AF37" i="270"/>
  <c r="AI36" i="270"/>
  <c r="AH36" i="270"/>
  <c r="AG36" i="270"/>
  <c r="AF36" i="270"/>
  <c r="AC34" i="270"/>
  <c r="AC96" i="270" s="1"/>
  <c r="AB34" i="270"/>
  <c r="AB96" i="270" s="1"/>
  <c r="AA34" i="270"/>
  <c r="AA96" i="270" s="1"/>
  <c r="Z34" i="270"/>
  <c r="Z96" i="270" s="1"/>
  <c r="Y34" i="270"/>
  <c r="Y96" i="270" s="1"/>
  <c r="X34" i="270"/>
  <c r="X96" i="270" s="1"/>
  <c r="W34" i="270"/>
  <c r="W96" i="270" s="1"/>
  <c r="V34" i="270"/>
  <c r="V96" i="270" s="1"/>
  <c r="U34" i="270"/>
  <c r="U96" i="270" s="1"/>
  <c r="T34" i="270"/>
  <c r="T96" i="270" s="1"/>
  <c r="S34" i="270"/>
  <c r="S96" i="270" s="1"/>
  <c r="R34" i="270"/>
  <c r="R96" i="270" s="1"/>
  <c r="Q34" i="270"/>
  <c r="Q96" i="270" s="1"/>
  <c r="P34" i="270"/>
  <c r="P96" i="270" s="1"/>
  <c r="O34" i="270"/>
  <c r="O96" i="270" s="1"/>
  <c r="N34" i="270"/>
  <c r="N96" i="270" s="1"/>
  <c r="M34" i="270"/>
  <c r="M96" i="270" s="1"/>
  <c r="L34" i="270"/>
  <c r="K34" i="270"/>
  <c r="K96" i="270" s="1"/>
  <c r="J34" i="270"/>
  <c r="J96" i="270" s="1"/>
  <c r="I34" i="270"/>
  <c r="I96" i="270" s="1"/>
  <c r="H34" i="270"/>
  <c r="H96" i="270" s="1"/>
  <c r="G34" i="270"/>
  <c r="G96" i="270" s="1"/>
  <c r="F34" i="270"/>
  <c r="F96" i="270" s="1"/>
  <c r="C34" i="270"/>
  <c r="B34" i="270"/>
  <c r="AH33" i="270"/>
  <c r="AG33" i="270"/>
  <c r="AF33" i="270"/>
  <c r="AI32" i="270"/>
  <c r="AC31" i="270"/>
  <c r="AC93" i="270" s="1"/>
  <c r="AB31" i="270"/>
  <c r="AB93" i="270" s="1"/>
  <c r="AA31" i="270"/>
  <c r="AA93" i="270" s="1"/>
  <c r="Z31" i="270"/>
  <c r="Z93" i="270" s="1"/>
  <c r="Y31" i="270"/>
  <c r="Y93" i="270" s="1"/>
  <c r="X31" i="270"/>
  <c r="X93" i="270" s="1"/>
  <c r="W31" i="270"/>
  <c r="W93" i="270" s="1"/>
  <c r="V31" i="270"/>
  <c r="V93" i="270" s="1"/>
  <c r="U31" i="270"/>
  <c r="U93" i="270" s="1"/>
  <c r="T31" i="270"/>
  <c r="S31" i="270"/>
  <c r="S93" i="270" s="1"/>
  <c r="R31" i="270"/>
  <c r="Q31" i="270"/>
  <c r="Q93" i="270" s="1"/>
  <c r="P31" i="270"/>
  <c r="P93" i="270" s="1"/>
  <c r="O31" i="270"/>
  <c r="O93" i="270" s="1"/>
  <c r="N31" i="270"/>
  <c r="N93" i="270" s="1"/>
  <c r="M31" i="270"/>
  <c r="L31" i="270"/>
  <c r="L93" i="270" s="1"/>
  <c r="K31" i="270"/>
  <c r="K93" i="270" s="1"/>
  <c r="J31" i="270"/>
  <c r="J93" i="270" s="1"/>
  <c r="I31" i="270"/>
  <c r="I93" i="270" s="1"/>
  <c r="H31" i="270"/>
  <c r="H93" i="270" s="1"/>
  <c r="G31" i="270"/>
  <c r="G93" i="270" s="1"/>
  <c r="F31" i="270"/>
  <c r="F93" i="270" s="1"/>
  <c r="C31" i="270"/>
  <c r="B31" i="270"/>
  <c r="AI28" i="270"/>
  <c r="AH28" i="270"/>
  <c r="AG28" i="270"/>
  <c r="AF28" i="270"/>
  <c r="AH27" i="270"/>
  <c r="AG27" i="270"/>
  <c r="AF27" i="270"/>
  <c r="AI26" i="270"/>
  <c r="AC25" i="270"/>
  <c r="AB25" i="270"/>
  <c r="AA25" i="270"/>
  <c r="Z25" i="270"/>
  <c r="Y25" i="270"/>
  <c r="X25" i="270"/>
  <c r="W25" i="270"/>
  <c r="V25" i="270"/>
  <c r="U25" i="270"/>
  <c r="T25" i="270"/>
  <c r="T110" i="270" s="1"/>
  <c r="S25" i="270"/>
  <c r="R25" i="270"/>
  <c r="Q25" i="270"/>
  <c r="P25" i="270"/>
  <c r="O25" i="270"/>
  <c r="N25" i="270"/>
  <c r="M25" i="270"/>
  <c r="L25" i="270"/>
  <c r="K25" i="270"/>
  <c r="J25" i="270"/>
  <c r="I25" i="270"/>
  <c r="H25" i="270"/>
  <c r="G25" i="270"/>
  <c r="F25" i="270"/>
  <c r="C25" i="270"/>
  <c r="AH24" i="270"/>
  <c r="AG24" i="270"/>
  <c r="AF24" i="270"/>
  <c r="AI23" i="270"/>
  <c r="AC22" i="270"/>
  <c r="AB22" i="270"/>
  <c r="AA22" i="270"/>
  <c r="Z22" i="270"/>
  <c r="Y22" i="270"/>
  <c r="X22" i="270"/>
  <c r="X89" i="270" s="1"/>
  <c r="W22" i="270"/>
  <c r="W89" i="270" s="1"/>
  <c r="V22" i="270"/>
  <c r="U22" i="270"/>
  <c r="T22" i="270"/>
  <c r="S22" i="270"/>
  <c r="R22" i="270"/>
  <c r="Q22" i="270"/>
  <c r="P22" i="270"/>
  <c r="P89" i="270" s="1"/>
  <c r="O22" i="270"/>
  <c r="N22" i="270"/>
  <c r="M22" i="270"/>
  <c r="L22" i="270"/>
  <c r="K22" i="270"/>
  <c r="K89" i="270" s="1"/>
  <c r="J22" i="270"/>
  <c r="J89" i="270" s="1"/>
  <c r="I22" i="270"/>
  <c r="I89" i="270" s="1"/>
  <c r="H22" i="270"/>
  <c r="G22" i="270"/>
  <c r="F22" i="270"/>
  <c r="C22" i="270"/>
  <c r="B22" i="270"/>
  <c r="AH21" i="270"/>
  <c r="AG21" i="270"/>
  <c r="AF21" i="270"/>
  <c r="AH20" i="270"/>
  <c r="AG20" i="270"/>
  <c r="AF20" i="270"/>
  <c r="AH19" i="270"/>
  <c r="AG19" i="270"/>
  <c r="AF19" i="270"/>
  <c r="AI18" i="270"/>
  <c r="AC17" i="270"/>
  <c r="AC91" i="270" s="1"/>
  <c r="AB17" i="270"/>
  <c r="AA17" i="270"/>
  <c r="Z17" i="270"/>
  <c r="Y17" i="270"/>
  <c r="X17" i="270"/>
  <c r="X91" i="270" s="1"/>
  <c r="W17" i="270"/>
  <c r="W91" i="270" s="1"/>
  <c r="V17" i="270"/>
  <c r="V91" i="270" s="1"/>
  <c r="U17" i="270"/>
  <c r="U91" i="270" s="1"/>
  <c r="T17" i="270"/>
  <c r="T91" i="270" s="1"/>
  <c r="S17" i="270"/>
  <c r="S91" i="270" s="1"/>
  <c r="R17" i="270"/>
  <c r="R91" i="270" s="1"/>
  <c r="Q17" i="270"/>
  <c r="Q91" i="270" s="1"/>
  <c r="P17" i="270"/>
  <c r="P91" i="270" s="1"/>
  <c r="O17" i="270"/>
  <c r="O91" i="270" s="1"/>
  <c r="N17" i="270"/>
  <c r="N110" i="270" s="1"/>
  <c r="M17" i="270"/>
  <c r="M91" i="270" s="1"/>
  <c r="L17" i="270"/>
  <c r="L91" i="270" s="1"/>
  <c r="K17" i="270"/>
  <c r="K91" i="270" s="1"/>
  <c r="J17" i="270"/>
  <c r="J91" i="270" s="1"/>
  <c r="I17" i="270"/>
  <c r="I91" i="270" s="1"/>
  <c r="H17" i="270"/>
  <c r="G17" i="270"/>
  <c r="F17" i="270"/>
  <c r="C17" i="270"/>
  <c r="B17" i="270"/>
  <c r="AH16" i="270"/>
  <c r="AG16" i="270"/>
  <c r="AF16" i="270"/>
  <c r="AH15" i="270"/>
  <c r="AG15" i="270"/>
  <c r="AF15" i="270"/>
  <c r="AH14" i="270"/>
  <c r="AG14" i="270"/>
  <c r="AF14" i="270"/>
  <c r="AH13" i="270"/>
  <c r="AG13" i="270"/>
  <c r="AF13" i="270"/>
  <c r="AI12" i="270"/>
  <c r="M9" i="270" a="1"/>
  <c r="M9" i="270" s="1"/>
  <c r="F479" i="88"/>
  <c r="AC41" i="269"/>
  <c r="AC42" i="269"/>
  <c r="AC44" i="269"/>
  <c r="AB63" i="269"/>
  <c r="AB62" i="269"/>
  <c r="F509" i="88"/>
  <c r="F507" i="88"/>
  <c r="F458" i="88"/>
  <c r="F508" i="88"/>
  <c r="F486" i="88"/>
  <c r="W251" i="260"/>
  <c r="AA63" i="269"/>
  <c r="AA62" i="269"/>
  <c r="AB41" i="269"/>
  <c r="AB42" i="269"/>
  <c r="AB44" i="269"/>
  <c r="W250" i="260"/>
  <c r="Z63" i="269"/>
  <c r="Z62" i="269"/>
  <c r="AA41" i="269"/>
  <c r="AA42" i="269"/>
  <c r="AA44" i="269"/>
  <c r="W249" i="260"/>
  <c r="Y63" i="269"/>
  <c r="Y62" i="269"/>
  <c r="Z41" i="269"/>
  <c r="Z42" i="269"/>
  <c r="Z44" i="269"/>
  <c r="W248" i="260"/>
  <c r="F473" i="88"/>
  <c r="Y41" i="269"/>
  <c r="Y42" i="269"/>
  <c r="Y44" i="269"/>
  <c r="X96" i="269"/>
  <c r="F471" i="88"/>
  <c r="F493" i="88"/>
  <c r="W247" i="260"/>
  <c r="X41" i="269"/>
  <c r="X42" i="269"/>
  <c r="X44" i="269"/>
  <c r="W64" i="269"/>
  <c r="W62" i="269"/>
  <c r="W41" i="269"/>
  <c r="W42" i="269"/>
  <c r="W44" i="269"/>
  <c r="F491" i="88"/>
  <c r="F492" i="88"/>
  <c r="F490" i="88"/>
  <c r="F488" i="88"/>
  <c r="W246" i="260"/>
  <c r="F487" i="88"/>
  <c r="G17" i="254"/>
  <c r="F499" i="88"/>
  <c r="V41" i="269"/>
  <c r="V42" i="269"/>
  <c r="V44" i="269"/>
  <c r="U62" i="269"/>
  <c r="U44" i="269"/>
  <c r="U42" i="269"/>
  <c r="U41" i="269"/>
  <c r="F503" i="88"/>
  <c r="U64" i="269"/>
  <c r="T64" i="269"/>
  <c r="F500" i="88"/>
  <c r="F489" i="88"/>
  <c r="F494" i="88"/>
  <c r="T62" i="269"/>
  <c r="S64" i="269"/>
  <c r="S62" i="269"/>
  <c r="F462" i="88"/>
  <c r="F470" i="88"/>
  <c r="O112" i="269"/>
  <c r="P112" i="269"/>
  <c r="Q112" i="269"/>
  <c r="R112" i="269"/>
  <c r="F112" i="268"/>
  <c r="AE242" i="260"/>
  <c r="W242" i="260"/>
  <c r="R64" i="269"/>
  <c r="R63" i="269"/>
  <c r="AE241" i="260"/>
  <c r="W241" i="260"/>
  <c r="Q64" i="269"/>
  <c r="Q63" i="269"/>
  <c r="AE240" i="260"/>
  <c r="W240" i="260"/>
  <c r="P64" i="269"/>
  <c r="P63" i="269"/>
  <c r="F484" i="88"/>
  <c r="F483" i="88"/>
  <c r="F482" i="88"/>
  <c r="F481" i="88"/>
  <c r="F480" i="88"/>
  <c r="AE239" i="260"/>
  <c r="W239" i="260"/>
  <c r="O64" i="269"/>
  <c r="O63" i="269"/>
  <c r="F476" i="88"/>
  <c r="F475" i="88"/>
  <c r="AE238" i="260"/>
  <c r="N64" i="269"/>
  <c r="N63" i="269"/>
  <c r="AE237" i="260"/>
  <c r="M64" i="269"/>
  <c r="M63" i="269"/>
  <c r="F469" i="88"/>
  <c r="F468" i="88"/>
  <c r="F467" i="88"/>
  <c r="F452" i="88"/>
  <c r="F451" i="88"/>
  <c r="F466" i="88"/>
  <c r="AC89" i="270" l="1"/>
  <c r="AB89" i="270"/>
  <c r="AA89" i="270"/>
  <c r="Z89" i="270"/>
  <c r="Y89" i="270"/>
  <c r="X109" i="270"/>
  <c r="W109" i="270"/>
  <c r="V109" i="270"/>
  <c r="U89" i="270"/>
  <c r="T109" i="270"/>
  <c r="S110" i="270"/>
  <c r="S109" i="270"/>
  <c r="Q110" i="270"/>
  <c r="O89" i="270"/>
  <c r="O103" i="270" s="1"/>
  <c r="O108" i="270" s="1"/>
  <c r="O110" i="270"/>
  <c r="N89" i="270"/>
  <c r="M89" i="270"/>
  <c r="M110" i="270"/>
  <c r="L110" i="270"/>
  <c r="L89" i="270"/>
  <c r="J65" i="270"/>
  <c r="J99" i="270" s="1"/>
  <c r="I65" i="270"/>
  <c r="I99" i="270" s="1"/>
  <c r="AH44" i="270"/>
  <c r="H89" i="270"/>
  <c r="G89" i="270"/>
  <c r="M103" i="270"/>
  <c r="M108" i="270" s="1"/>
  <c r="K109" i="270"/>
  <c r="L109" i="270"/>
  <c r="Q89" i="270"/>
  <c r="Q103" i="270" s="1"/>
  <c r="Q108" i="270" s="1"/>
  <c r="Q109" i="270"/>
  <c r="P109" i="270"/>
  <c r="T89" i="270"/>
  <c r="T103" i="270" s="1"/>
  <c r="T108" i="270" s="1"/>
  <c r="H83" i="270"/>
  <c r="X110" i="270"/>
  <c r="O109" i="270"/>
  <c r="U109" i="270"/>
  <c r="R83" i="270"/>
  <c r="J83" i="270"/>
  <c r="Y110" i="270"/>
  <c r="AC109" i="270"/>
  <c r="AC110" i="270"/>
  <c r="K83" i="270"/>
  <c r="J109" i="270"/>
  <c r="F89" i="270"/>
  <c r="F103" i="270" s="1"/>
  <c r="F108" i="270" s="1"/>
  <c r="R109" i="270"/>
  <c r="Q83" i="270"/>
  <c r="L83" i="270"/>
  <c r="I109" i="270"/>
  <c r="S89" i="270"/>
  <c r="I83" i="270"/>
  <c r="Y91" i="270"/>
  <c r="Y109" i="270" s="1"/>
  <c r="AC103" i="270"/>
  <c r="AC108" i="270" s="1"/>
  <c r="Y103" i="270"/>
  <c r="Y108" i="270" s="1"/>
  <c r="Z103" i="270"/>
  <c r="Z108" i="270" s="1"/>
  <c r="S103" i="270"/>
  <c r="S108" i="270" s="1"/>
  <c r="AH62" i="270"/>
  <c r="AF62" i="270"/>
  <c r="G65" i="270"/>
  <c r="S83" i="270"/>
  <c r="AF63" i="270"/>
  <c r="V103" i="270"/>
  <c r="V108" i="270" s="1"/>
  <c r="T83" i="270"/>
  <c r="H98" i="270"/>
  <c r="F83" i="270"/>
  <c r="X103" i="270"/>
  <c r="X108" i="270" s="1"/>
  <c r="I98" i="270"/>
  <c r="I103" i="270" s="1"/>
  <c r="I108" i="270" s="1"/>
  <c r="V83" i="270"/>
  <c r="J98" i="270"/>
  <c r="J103" i="270" s="1"/>
  <c r="J108" i="270" s="1"/>
  <c r="K98" i="270"/>
  <c r="K103" i="270" s="1"/>
  <c r="K108" i="270" s="1"/>
  <c r="X83" i="270"/>
  <c r="L98" i="270"/>
  <c r="L103" i="270" s="1"/>
  <c r="L108" i="270" s="1"/>
  <c r="M109" i="270"/>
  <c r="AF41" i="270"/>
  <c r="AA110" i="270"/>
  <c r="AA91" i="270"/>
  <c r="AA109" i="270" s="1"/>
  <c r="AH41" i="270"/>
  <c r="H110" i="270"/>
  <c r="H91" i="270"/>
  <c r="H109" i="270" s="1"/>
  <c r="AB110" i="270"/>
  <c r="AB91" i="270"/>
  <c r="AB109" i="270" s="1"/>
  <c r="AH42" i="270"/>
  <c r="AG42" i="270"/>
  <c r="AF42" i="270"/>
  <c r="M83" i="270"/>
  <c r="AF44" i="270"/>
  <c r="Y83" i="270"/>
  <c r="B83" i="270"/>
  <c r="Z110" i="270"/>
  <c r="Z91" i="270"/>
  <c r="Z109" i="270" s="1"/>
  <c r="AG41" i="270"/>
  <c r="AG44" i="270"/>
  <c r="N65" i="270"/>
  <c r="AH63" i="270"/>
  <c r="AG63" i="270"/>
  <c r="AB83" i="270"/>
  <c r="AH64" i="270"/>
  <c r="AC83" i="270"/>
  <c r="I110" i="270"/>
  <c r="F110" i="270"/>
  <c r="F91" i="270"/>
  <c r="F109" i="270" s="1"/>
  <c r="G110" i="270"/>
  <c r="G91" i="270"/>
  <c r="G109" i="270" s="1"/>
  <c r="W60" i="270"/>
  <c r="Z83" i="270"/>
  <c r="AF64" i="270"/>
  <c r="AA83" i="270"/>
  <c r="P103" i="270"/>
  <c r="P108" i="270" s="1"/>
  <c r="N91" i="270"/>
  <c r="N109" i="270" s="1"/>
  <c r="R110" i="270"/>
  <c r="R89" i="270"/>
  <c r="R103" i="270" s="1"/>
  <c r="R108" i="270" s="1"/>
  <c r="J110" i="270"/>
  <c r="O83" i="270"/>
  <c r="U110" i="270"/>
  <c r="U60" i="270"/>
  <c r="V110" i="270"/>
  <c r="W110" i="270"/>
  <c r="P83" i="270"/>
  <c r="F442" i="88"/>
  <c r="I96" i="269"/>
  <c r="W98" i="270" l="1"/>
  <c r="W103" i="270" s="1"/>
  <c r="W108" i="270" s="1"/>
  <c r="U98" i="270"/>
  <c r="U103" i="270" s="1"/>
  <c r="U108" i="270" s="1"/>
  <c r="N99" i="270"/>
  <c r="N103" i="270" s="1"/>
  <c r="N108" i="270" s="1"/>
  <c r="N83" i="270"/>
  <c r="W83" i="270"/>
  <c r="G99" i="270"/>
  <c r="G103" i="270" s="1"/>
  <c r="G108" i="270" s="1"/>
  <c r="G83" i="270"/>
  <c r="AA103" i="270"/>
  <c r="AA108" i="270" s="1"/>
  <c r="H103" i="270"/>
  <c r="H108" i="270" s="1"/>
  <c r="AB103" i="270"/>
  <c r="AB108" i="270" s="1"/>
  <c r="U83" i="270"/>
  <c r="F464" i="88"/>
  <c r="H63" i="269"/>
  <c r="H62" i="269"/>
  <c r="F366" i="88"/>
  <c r="F418" i="88"/>
  <c r="AE231" i="260"/>
  <c r="AE230" i="260"/>
  <c r="G63" i="269"/>
  <c r="G62" i="269"/>
  <c r="G16" i="254"/>
  <c r="G15" i="254"/>
  <c r="G14" i="254"/>
  <c r="F431" i="88"/>
  <c r="G8" i="254"/>
  <c r="G5" i="254"/>
  <c r="G4" i="254"/>
  <c r="G3" i="254"/>
  <c r="G6" i="254"/>
  <c r="F445" i="88"/>
  <c r="F64" i="269"/>
  <c r="F62" i="269"/>
  <c r="F448" i="88"/>
  <c r="F461" i="88"/>
  <c r="AC129" i="269"/>
  <c r="AB129" i="269"/>
  <c r="AA129" i="269"/>
  <c r="Z129" i="269"/>
  <c r="Y129" i="269"/>
  <c r="X129" i="269"/>
  <c r="W129" i="269"/>
  <c r="V129" i="269"/>
  <c r="U129" i="269"/>
  <c r="T129" i="269"/>
  <c r="S129" i="269"/>
  <c r="R129" i="269"/>
  <c r="Q129" i="269"/>
  <c r="P129" i="269"/>
  <c r="O129" i="269"/>
  <c r="N129" i="269"/>
  <c r="M129" i="269"/>
  <c r="L129" i="269"/>
  <c r="K129" i="269"/>
  <c r="J129" i="269"/>
  <c r="I129" i="269"/>
  <c r="H129" i="269"/>
  <c r="G129" i="269"/>
  <c r="F129" i="269"/>
  <c r="AC107" i="269"/>
  <c r="AB107" i="269"/>
  <c r="AA107" i="269"/>
  <c r="Z107" i="269"/>
  <c r="Y107" i="269"/>
  <c r="X107" i="269"/>
  <c r="W107" i="269"/>
  <c r="V107" i="269"/>
  <c r="U107" i="269"/>
  <c r="T107" i="269"/>
  <c r="S107" i="269"/>
  <c r="R107" i="269"/>
  <c r="Q107" i="269"/>
  <c r="P107" i="269"/>
  <c r="O107" i="269"/>
  <c r="N107" i="269"/>
  <c r="M107" i="269"/>
  <c r="L107" i="269"/>
  <c r="K107" i="269"/>
  <c r="J107" i="269"/>
  <c r="I107" i="269"/>
  <c r="H107" i="269"/>
  <c r="G107" i="269"/>
  <c r="F107" i="269"/>
  <c r="AC102" i="269"/>
  <c r="AB102" i="269"/>
  <c r="AA102" i="269"/>
  <c r="Z102" i="269"/>
  <c r="Y102" i="269"/>
  <c r="X102" i="269"/>
  <c r="W102" i="269"/>
  <c r="V102" i="269"/>
  <c r="U102" i="269"/>
  <c r="T102" i="269"/>
  <c r="S102" i="269"/>
  <c r="R102" i="269"/>
  <c r="Q102" i="269"/>
  <c r="P102" i="269"/>
  <c r="O102" i="269"/>
  <c r="N102" i="269"/>
  <c r="M102" i="269"/>
  <c r="L102" i="269"/>
  <c r="K102" i="269"/>
  <c r="J102" i="269"/>
  <c r="I102" i="269"/>
  <c r="H102" i="269"/>
  <c r="G102" i="269"/>
  <c r="F102" i="269"/>
  <c r="AC100" i="269"/>
  <c r="Z100" i="269"/>
  <c r="F100" i="269"/>
  <c r="W93" i="269"/>
  <c r="V93" i="269"/>
  <c r="V109" i="269" s="1"/>
  <c r="L91" i="269"/>
  <c r="AC80" i="269"/>
  <c r="AC101" i="269" s="1"/>
  <c r="AB80" i="269"/>
  <c r="AB101" i="269" s="1"/>
  <c r="AA80" i="269"/>
  <c r="AA101" i="269" s="1"/>
  <c r="Z80" i="269"/>
  <c r="Z101" i="269" s="1"/>
  <c r="Y80" i="269"/>
  <c r="Y101" i="269" s="1"/>
  <c r="X80" i="269"/>
  <c r="X101" i="269" s="1"/>
  <c r="W80" i="269"/>
  <c r="W101" i="269" s="1"/>
  <c r="V80" i="269"/>
  <c r="V101" i="269" s="1"/>
  <c r="U80" i="269"/>
  <c r="U101" i="269" s="1"/>
  <c r="T80" i="269"/>
  <c r="T101" i="269" s="1"/>
  <c r="S80" i="269"/>
  <c r="S101" i="269" s="1"/>
  <c r="R80" i="269"/>
  <c r="R101" i="269" s="1"/>
  <c r="Q80" i="269"/>
  <c r="Q101" i="269" s="1"/>
  <c r="P80" i="269"/>
  <c r="P101" i="269" s="1"/>
  <c r="O80" i="269"/>
  <c r="O101" i="269" s="1"/>
  <c r="N80" i="269"/>
  <c r="N101" i="269" s="1"/>
  <c r="M80" i="269"/>
  <c r="M101" i="269" s="1"/>
  <c r="L80" i="269"/>
  <c r="L101" i="269" s="1"/>
  <c r="K80" i="269"/>
  <c r="K101" i="269" s="1"/>
  <c r="J80" i="269"/>
  <c r="J101" i="269" s="1"/>
  <c r="I80" i="269"/>
  <c r="I101" i="269" s="1"/>
  <c r="H80" i="269"/>
  <c r="H101" i="269" s="1"/>
  <c r="G80" i="269"/>
  <c r="G101" i="269" s="1"/>
  <c r="F80" i="269"/>
  <c r="F101" i="269" s="1"/>
  <c r="C80" i="269"/>
  <c r="B80" i="269"/>
  <c r="B25" i="269" s="1"/>
  <c r="AH79" i="269"/>
  <c r="AG79" i="269"/>
  <c r="AF79" i="269"/>
  <c r="AH78" i="269"/>
  <c r="AG78" i="269"/>
  <c r="AF78" i="269"/>
  <c r="AI77" i="269"/>
  <c r="AC76" i="269"/>
  <c r="AB76" i="269"/>
  <c r="AB100" i="269" s="1"/>
  <c r="AA76" i="269"/>
  <c r="AA100" i="269" s="1"/>
  <c r="Z76" i="269"/>
  <c r="Y76" i="269"/>
  <c r="Y100" i="269" s="1"/>
  <c r="X76" i="269"/>
  <c r="X100" i="269" s="1"/>
  <c r="W76" i="269"/>
  <c r="W100" i="269" s="1"/>
  <c r="V76" i="269"/>
  <c r="V100" i="269" s="1"/>
  <c r="U76" i="269"/>
  <c r="U100" i="269" s="1"/>
  <c r="T76" i="269"/>
  <c r="T100" i="269" s="1"/>
  <c r="S76" i="269"/>
  <c r="S100" i="269" s="1"/>
  <c r="R76" i="269"/>
  <c r="R100" i="269" s="1"/>
  <c r="Q76" i="269"/>
  <c r="Q100" i="269" s="1"/>
  <c r="P76" i="269"/>
  <c r="P100" i="269" s="1"/>
  <c r="O76" i="269"/>
  <c r="O100" i="269" s="1"/>
  <c r="N76" i="269"/>
  <c r="N100" i="269" s="1"/>
  <c r="M76" i="269"/>
  <c r="M100" i="269" s="1"/>
  <c r="L76" i="269"/>
  <c r="L100" i="269" s="1"/>
  <c r="K76" i="269"/>
  <c r="K100" i="269" s="1"/>
  <c r="J76" i="269"/>
  <c r="J100" i="269" s="1"/>
  <c r="I76" i="269"/>
  <c r="I100" i="269" s="1"/>
  <c r="H76" i="269"/>
  <c r="H100" i="269" s="1"/>
  <c r="G76" i="269"/>
  <c r="G100" i="269" s="1"/>
  <c r="F76" i="269"/>
  <c r="C76" i="269"/>
  <c r="B76" i="269"/>
  <c r="AH75" i="269"/>
  <c r="AG75" i="269"/>
  <c r="AF75" i="269"/>
  <c r="AH74" i="269"/>
  <c r="AG74" i="269"/>
  <c r="AF74" i="269"/>
  <c r="AH73" i="269"/>
  <c r="AG73" i="269"/>
  <c r="AF73" i="269"/>
  <c r="AH72" i="269"/>
  <c r="AG72" i="269"/>
  <c r="AF72" i="269"/>
  <c r="AH71" i="269"/>
  <c r="AG71" i="269"/>
  <c r="AF71" i="269"/>
  <c r="AH70" i="269"/>
  <c r="AG70" i="269"/>
  <c r="AF70" i="269"/>
  <c r="AH69" i="269"/>
  <c r="AG69" i="269"/>
  <c r="AF69" i="269"/>
  <c r="AH68" i="269"/>
  <c r="AG68" i="269"/>
  <c r="AF68" i="269"/>
  <c r="AH67" i="269"/>
  <c r="AG67" i="269"/>
  <c r="AF67" i="269"/>
  <c r="AI66" i="269"/>
  <c r="AC65" i="269"/>
  <c r="AC99" i="269" s="1"/>
  <c r="AB65" i="269"/>
  <c r="AB99" i="269" s="1"/>
  <c r="AA65" i="269"/>
  <c r="AA99" i="269" s="1"/>
  <c r="L65" i="269"/>
  <c r="L99" i="269" s="1"/>
  <c r="K65" i="269"/>
  <c r="K99" i="269" s="1"/>
  <c r="J65" i="269"/>
  <c r="J99" i="269" s="1"/>
  <c r="I65" i="269"/>
  <c r="I99" i="269" s="1"/>
  <c r="G65" i="269"/>
  <c r="G99" i="269" s="1"/>
  <c r="C65" i="269"/>
  <c r="Z65" i="269"/>
  <c r="Z99" i="269" s="1"/>
  <c r="Y65" i="269"/>
  <c r="Y99" i="269" s="1"/>
  <c r="AG64" i="269"/>
  <c r="AH64" i="269"/>
  <c r="X65" i="269"/>
  <c r="X99" i="269" s="1"/>
  <c r="W65" i="269"/>
  <c r="W99" i="269" s="1"/>
  <c r="V65" i="269"/>
  <c r="V99" i="269" s="1"/>
  <c r="R65" i="269"/>
  <c r="R99" i="269" s="1"/>
  <c r="Q65" i="269"/>
  <c r="Q99" i="269" s="1"/>
  <c r="P65" i="269"/>
  <c r="P99" i="269" s="1"/>
  <c r="O65" i="269"/>
  <c r="O99" i="269" s="1"/>
  <c r="N65" i="269"/>
  <c r="N99" i="269" s="1"/>
  <c r="AH62" i="269"/>
  <c r="AC60" i="269"/>
  <c r="AC98" i="269" s="1"/>
  <c r="AB60" i="269"/>
  <c r="AB98" i="269" s="1"/>
  <c r="AA60" i="269"/>
  <c r="AA98" i="269" s="1"/>
  <c r="X60" i="269"/>
  <c r="X98" i="269" s="1"/>
  <c r="W60" i="269"/>
  <c r="W98" i="269" s="1"/>
  <c r="V60" i="269"/>
  <c r="V98" i="269" s="1"/>
  <c r="U60" i="269"/>
  <c r="U98" i="269" s="1"/>
  <c r="T60" i="269"/>
  <c r="T98" i="269" s="1"/>
  <c r="S60" i="269"/>
  <c r="S98" i="269" s="1"/>
  <c r="R60" i="269"/>
  <c r="R98" i="269" s="1"/>
  <c r="Q60" i="269"/>
  <c r="Q98" i="269" s="1"/>
  <c r="P60" i="269"/>
  <c r="P98" i="269" s="1"/>
  <c r="O60" i="269"/>
  <c r="O98" i="269" s="1"/>
  <c r="N60" i="269"/>
  <c r="N98" i="269" s="1"/>
  <c r="M60" i="269"/>
  <c r="M98" i="269" s="1"/>
  <c r="K60" i="269"/>
  <c r="K98" i="269" s="1"/>
  <c r="J60" i="269"/>
  <c r="J98" i="269" s="1"/>
  <c r="I60" i="269"/>
  <c r="I98" i="269" s="1"/>
  <c r="H60" i="269"/>
  <c r="H98" i="269" s="1"/>
  <c r="G60" i="269"/>
  <c r="G98" i="269" s="1"/>
  <c r="F60" i="269"/>
  <c r="F98" i="269" s="1"/>
  <c r="C60" i="269"/>
  <c r="B60" i="269"/>
  <c r="B65" i="269" s="1"/>
  <c r="AH59" i="269"/>
  <c r="AG59" i="269"/>
  <c r="AF59" i="269"/>
  <c r="AH58" i="269"/>
  <c r="AG58" i="269"/>
  <c r="AF58" i="269"/>
  <c r="AH57" i="269"/>
  <c r="AH56" i="269"/>
  <c r="AG56" i="269"/>
  <c r="AF56" i="269"/>
  <c r="AH55" i="269"/>
  <c r="AG55" i="269"/>
  <c r="AF55" i="269"/>
  <c r="AH54" i="269"/>
  <c r="AG54" i="269"/>
  <c r="AF54" i="269"/>
  <c r="AH53" i="269"/>
  <c r="AG53" i="269"/>
  <c r="AF53" i="269"/>
  <c r="AH52" i="269"/>
  <c r="AG52" i="269"/>
  <c r="AF52" i="269"/>
  <c r="AH51" i="269"/>
  <c r="AG51" i="269"/>
  <c r="AF51" i="269"/>
  <c r="AH50" i="269"/>
  <c r="AG50" i="269"/>
  <c r="AF50" i="269"/>
  <c r="AG49" i="269"/>
  <c r="AH48" i="269"/>
  <c r="AH46" i="269"/>
  <c r="AG46" i="269"/>
  <c r="AF46" i="269"/>
  <c r="Z60" i="269"/>
  <c r="Z98" i="269" s="1"/>
  <c r="AH45" i="269"/>
  <c r="AG45" i="269"/>
  <c r="AF45" i="269"/>
  <c r="AH44" i="269"/>
  <c r="AG44" i="269"/>
  <c r="AF44" i="269"/>
  <c r="AH43" i="269"/>
  <c r="AG43" i="269"/>
  <c r="AF43" i="269"/>
  <c r="AH42" i="269"/>
  <c r="AG42" i="269"/>
  <c r="AF42" i="269"/>
  <c r="AH41" i="269"/>
  <c r="AG41" i="269"/>
  <c r="AF41" i="269"/>
  <c r="AH40" i="269"/>
  <c r="AG40" i="269"/>
  <c r="AF40" i="269"/>
  <c r="AH39" i="269"/>
  <c r="AG39" i="269"/>
  <c r="AF39" i="269"/>
  <c r="AH38" i="269"/>
  <c r="AG38" i="269"/>
  <c r="AF38" i="269"/>
  <c r="AH37" i="269"/>
  <c r="AG37" i="269"/>
  <c r="AF37" i="269"/>
  <c r="AH36" i="269"/>
  <c r="AG36" i="269"/>
  <c r="AF36" i="269"/>
  <c r="AI35" i="269"/>
  <c r="AC34" i="269"/>
  <c r="AC96" i="269" s="1"/>
  <c r="AC112" i="269" s="1"/>
  <c r="AB34" i="269"/>
  <c r="AB96" i="269" s="1"/>
  <c r="AB112" i="269" s="1"/>
  <c r="AA34" i="269"/>
  <c r="AA96" i="269" s="1"/>
  <c r="AA112" i="269" s="1"/>
  <c r="Z34" i="269"/>
  <c r="Z96" i="269" s="1"/>
  <c r="Z112" i="269" s="1"/>
  <c r="Y34" i="269"/>
  <c r="Y96" i="269" s="1"/>
  <c r="Y112" i="269" s="1"/>
  <c r="X34" i="269"/>
  <c r="X112" i="269" s="1"/>
  <c r="W34" i="269"/>
  <c r="W96" i="269" s="1"/>
  <c r="W112" i="269" s="1"/>
  <c r="V34" i="269"/>
  <c r="V96" i="269" s="1"/>
  <c r="V112" i="269" s="1"/>
  <c r="U34" i="269"/>
  <c r="U96" i="269" s="1"/>
  <c r="U112" i="269" s="1"/>
  <c r="T34" i="269"/>
  <c r="T96" i="269" s="1"/>
  <c r="T112" i="269" s="1"/>
  <c r="S34" i="269"/>
  <c r="S96" i="269" s="1"/>
  <c r="S112" i="269" s="1"/>
  <c r="R34" i="269"/>
  <c r="R96" i="269" s="1"/>
  <c r="Q34" i="269"/>
  <c r="Q96" i="269" s="1"/>
  <c r="P34" i="269"/>
  <c r="P96" i="269" s="1"/>
  <c r="O34" i="269"/>
  <c r="O96" i="269" s="1"/>
  <c r="N34" i="269"/>
  <c r="N96" i="269" s="1"/>
  <c r="M34" i="269"/>
  <c r="M96" i="269" s="1"/>
  <c r="L34" i="269"/>
  <c r="L96" i="269" s="1"/>
  <c r="K34" i="269"/>
  <c r="K96" i="269" s="1"/>
  <c r="J34" i="269"/>
  <c r="J96" i="269" s="1"/>
  <c r="I34" i="269"/>
  <c r="H34" i="269"/>
  <c r="H96" i="269" s="1"/>
  <c r="G34" i="269"/>
  <c r="G96" i="269" s="1"/>
  <c r="F34" i="269"/>
  <c r="F96" i="269" s="1"/>
  <c r="C34" i="269"/>
  <c r="B34" i="269"/>
  <c r="AH33" i="269"/>
  <c r="AG33" i="269"/>
  <c r="AF33" i="269"/>
  <c r="AI32" i="269"/>
  <c r="AC31" i="269"/>
  <c r="AC93" i="269" s="1"/>
  <c r="AB31" i="269"/>
  <c r="AB93" i="269" s="1"/>
  <c r="AA31" i="269"/>
  <c r="AA93" i="269" s="1"/>
  <c r="Z31" i="269"/>
  <c r="Z93" i="269" s="1"/>
  <c r="Y31" i="269"/>
  <c r="Y93" i="269" s="1"/>
  <c r="X31" i="269"/>
  <c r="X93" i="269" s="1"/>
  <c r="W31" i="269"/>
  <c r="V31" i="269"/>
  <c r="U31" i="269"/>
  <c r="U93" i="269" s="1"/>
  <c r="T31" i="269"/>
  <c r="T93" i="269" s="1"/>
  <c r="S31" i="269"/>
  <c r="S93" i="269" s="1"/>
  <c r="R31" i="269"/>
  <c r="R93" i="269" s="1"/>
  <c r="Q31" i="269"/>
  <c r="Q93" i="269" s="1"/>
  <c r="P31" i="269"/>
  <c r="P93" i="269" s="1"/>
  <c r="O31" i="269"/>
  <c r="O93" i="269" s="1"/>
  <c r="N31" i="269"/>
  <c r="N93" i="269" s="1"/>
  <c r="M31" i="269"/>
  <c r="M93" i="269" s="1"/>
  <c r="L31" i="269"/>
  <c r="L93" i="269" s="1"/>
  <c r="K31" i="269"/>
  <c r="K93" i="269" s="1"/>
  <c r="J31" i="269"/>
  <c r="J93" i="269" s="1"/>
  <c r="I31" i="269"/>
  <c r="I93" i="269" s="1"/>
  <c r="H31" i="269"/>
  <c r="H93" i="269" s="1"/>
  <c r="G31" i="269"/>
  <c r="G93" i="269" s="1"/>
  <c r="F31" i="269"/>
  <c r="F93" i="269" s="1"/>
  <c r="C31" i="269"/>
  <c r="B31" i="269"/>
  <c r="AI28" i="269"/>
  <c r="AH28" i="269"/>
  <c r="AG28" i="269"/>
  <c r="AF28" i="269"/>
  <c r="AH27" i="269"/>
  <c r="AG27" i="269"/>
  <c r="AF27" i="269"/>
  <c r="AI26" i="269"/>
  <c r="AC25" i="269"/>
  <c r="AB25" i="269"/>
  <c r="AA25" i="269"/>
  <c r="Z25" i="269"/>
  <c r="Y25" i="269"/>
  <c r="X25" i="269"/>
  <c r="W25" i="269"/>
  <c r="V25" i="269"/>
  <c r="U25" i="269"/>
  <c r="T25" i="269"/>
  <c r="S25" i="269"/>
  <c r="R25" i="269"/>
  <c r="Q25" i="269"/>
  <c r="P25" i="269"/>
  <c r="O25" i="269"/>
  <c r="N25" i="269"/>
  <c r="M25" i="269"/>
  <c r="L25" i="269"/>
  <c r="K25" i="269"/>
  <c r="J25" i="269"/>
  <c r="I25" i="269"/>
  <c r="H25" i="269"/>
  <c r="G25" i="269"/>
  <c r="F25" i="269"/>
  <c r="C25" i="269"/>
  <c r="AH24" i="269"/>
  <c r="AG24" i="269"/>
  <c r="AF24" i="269"/>
  <c r="AI23" i="269"/>
  <c r="AC22" i="269"/>
  <c r="AB22" i="269"/>
  <c r="AA22" i="269"/>
  <c r="Z22" i="269"/>
  <c r="Y22" i="269"/>
  <c r="X22" i="269"/>
  <c r="W22" i="269"/>
  <c r="V22" i="269"/>
  <c r="U22" i="269"/>
  <c r="T22" i="269"/>
  <c r="S22" i="269"/>
  <c r="R22" i="269"/>
  <c r="Q22" i="269"/>
  <c r="P22" i="269"/>
  <c r="O22" i="269"/>
  <c r="O89" i="269" s="1"/>
  <c r="N22" i="269"/>
  <c r="N89" i="269" s="1"/>
  <c r="M22" i="269"/>
  <c r="M89" i="269" s="1"/>
  <c r="L22" i="269"/>
  <c r="L89" i="269" s="1"/>
  <c r="K22" i="269"/>
  <c r="K89" i="269" s="1"/>
  <c r="J22" i="269"/>
  <c r="I22" i="269"/>
  <c r="H22" i="269"/>
  <c r="G22" i="269"/>
  <c r="F22" i="269"/>
  <c r="C22" i="269"/>
  <c r="B22" i="269"/>
  <c r="AH21" i="269"/>
  <c r="AG21" i="269"/>
  <c r="AF21" i="269"/>
  <c r="AH20" i="269"/>
  <c r="AG20" i="269"/>
  <c r="AF20" i="269"/>
  <c r="AH19" i="269"/>
  <c r="AG19" i="269"/>
  <c r="AF19" i="269"/>
  <c r="AI18" i="269"/>
  <c r="AC17" i="269"/>
  <c r="AC91" i="269" s="1"/>
  <c r="AB17" i="269"/>
  <c r="AB91" i="269" s="1"/>
  <c r="AA17" i="269"/>
  <c r="AA91" i="269" s="1"/>
  <c r="Z17" i="269"/>
  <c r="Z91" i="269" s="1"/>
  <c r="Y17" i="269"/>
  <c r="Y91" i="269" s="1"/>
  <c r="X17" i="269"/>
  <c r="X91" i="269" s="1"/>
  <c r="W17" i="269"/>
  <c r="W91" i="269" s="1"/>
  <c r="V17" i="269"/>
  <c r="V91" i="269" s="1"/>
  <c r="U17" i="269"/>
  <c r="T17" i="269"/>
  <c r="S17" i="269"/>
  <c r="S91" i="269" s="1"/>
  <c r="R17" i="269"/>
  <c r="R91" i="269" s="1"/>
  <c r="Q17" i="269"/>
  <c r="P17" i="269"/>
  <c r="O17" i="269"/>
  <c r="O91" i="269" s="1"/>
  <c r="N17" i="269"/>
  <c r="N91" i="269" s="1"/>
  <c r="M17" i="269"/>
  <c r="M91" i="269" s="1"/>
  <c r="L17" i="269"/>
  <c r="K17" i="269"/>
  <c r="K91" i="269" s="1"/>
  <c r="J17" i="269"/>
  <c r="J91" i="269" s="1"/>
  <c r="I17" i="269"/>
  <c r="I91" i="269" s="1"/>
  <c r="H17" i="269"/>
  <c r="H91" i="269" s="1"/>
  <c r="G17" i="269"/>
  <c r="G91" i="269" s="1"/>
  <c r="F17" i="269"/>
  <c r="F91" i="269" s="1"/>
  <c r="C17" i="269"/>
  <c r="B17" i="269"/>
  <c r="AH16" i="269"/>
  <c r="AG16" i="269"/>
  <c r="AF16" i="269"/>
  <c r="AH15" i="269"/>
  <c r="AG15" i="269"/>
  <c r="AF15" i="269"/>
  <c r="AH14" i="269"/>
  <c r="AG14" i="269"/>
  <c r="AF14" i="269"/>
  <c r="AH13" i="269"/>
  <c r="AG13" i="269"/>
  <c r="AF13" i="269"/>
  <c r="AI12" i="269"/>
  <c r="AE228" i="260"/>
  <c r="W228" i="260"/>
  <c r="AC64" i="268"/>
  <c r="AC62" i="268"/>
  <c r="F438" i="88"/>
  <c r="AE227" i="260"/>
  <c r="W227" i="260"/>
  <c r="AB64" i="268"/>
  <c r="AB62" i="268"/>
  <c r="F460" i="88"/>
  <c r="AE226" i="260"/>
  <c r="W226" i="260"/>
  <c r="AA64" i="268"/>
  <c r="AA62" i="268"/>
  <c r="F459" i="88"/>
  <c r="F457" i="88"/>
  <c r="AE225" i="260"/>
  <c r="W225" i="260"/>
  <c r="F456" i="88"/>
  <c r="Z64" i="268"/>
  <c r="Z62" i="268"/>
  <c r="Z56" i="268"/>
  <c r="Z50" i="268"/>
  <c r="Z47" i="268"/>
  <c r="Z46" i="268"/>
  <c r="AE224" i="260"/>
  <c r="W224" i="260"/>
  <c r="F455" i="88"/>
  <c r="F454" i="88"/>
  <c r="F419" i="88"/>
  <c r="F453" i="88"/>
  <c r="F450" i="88"/>
  <c r="F449" i="88"/>
  <c r="Y64" i="268"/>
  <c r="Y62" i="268"/>
  <c r="Y57" i="268"/>
  <c r="Y56" i="268"/>
  <c r="Y49" i="268"/>
  <c r="Y48" i="268"/>
  <c r="Y47" i="268"/>
  <c r="Y46" i="268"/>
  <c r="Z109" i="269" l="1"/>
  <c r="Y109" i="269"/>
  <c r="X109" i="269"/>
  <c r="W109" i="269"/>
  <c r="U89" i="269"/>
  <c r="T89" i="269"/>
  <c r="R83" i="269"/>
  <c r="H65" i="269"/>
  <c r="H99" i="269" s="1"/>
  <c r="G109" i="269"/>
  <c r="F109" i="269"/>
  <c r="N103" i="269"/>
  <c r="N108" i="269" s="1"/>
  <c r="AC109" i="269"/>
  <c r="H109" i="269"/>
  <c r="AB109" i="269"/>
  <c r="I109" i="269"/>
  <c r="J109" i="269"/>
  <c r="L110" i="269"/>
  <c r="J110" i="269"/>
  <c r="O83" i="269"/>
  <c r="P89" i="269"/>
  <c r="V89" i="269"/>
  <c r="V103" i="269" s="1"/>
  <c r="V108" i="269" s="1"/>
  <c r="F110" i="269"/>
  <c r="O103" i="269"/>
  <c r="O108" i="269" s="1"/>
  <c r="G110" i="269"/>
  <c r="AA89" i="269"/>
  <c r="AA103" i="269" s="1"/>
  <c r="AA108" i="269" s="1"/>
  <c r="R89" i="269"/>
  <c r="R103" i="269" s="1"/>
  <c r="R108" i="269" s="1"/>
  <c r="L109" i="269"/>
  <c r="N109" i="269"/>
  <c r="AB89" i="269"/>
  <c r="AB103" i="269" s="1"/>
  <c r="AB108" i="269" s="1"/>
  <c r="S89" i="269"/>
  <c r="M109" i="269"/>
  <c r="J89" i="269"/>
  <c r="J103" i="269" s="1"/>
  <c r="J108" i="269" s="1"/>
  <c r="N83" i="269"/>
  <c r="Z110" i="269"/>
  <c r="I89" i="269"/>
  <c r="I103" i="269" s="1"/>
  <c r="I108" i="269" s="1"/>
  <c r="AC89" i="269"/>
  <c r="AC103" i="269" s="1"/>
  <c r="AC108" i="269" s="1"/>
  <c r="K109" i="269"/>
  <c r="N110" i="269"/>
  <c r="O110" i="269"/>
  <c r="Q89" i="269"/>
  <c r="H89" i="269"/>
  <c r="H103" i="269" s="1"/>
  <c r="H108" i="269" s="1"/>
  <c r="K103" i="269"/>
  <c r="K108" i="269" s="1"/>
  <c r="P110" i="269"/>
  <c r="P91" i="269"/>
  <c r="AH47" i="269"/>
  <c r="AG47" i="269"/>
  <c r="AI36" i="269"/>
  <c r="Q110" i="269"/>
  <c r="Q91" i="269"/>
  <c r="M83" i="269"/>
  <c r="M110" i="269"/>
  <c r="S109" i="269"/>
  <c r="W110" i="269"/>
  <c r="W89" i="269"/>
  <c r="W103" i="269" s="1"/>
  <c r="W108" i="269" s="1"/>
  <c r="AF47" i="269"/>
  <c r="T91" i="269"/>
  <c r="T109" i="269" s="1"/>
  <c r="U91" i="269"/>
  <c r="U109" i="269" s="1"/>
  <c r="Y89" i="269"/>
  <c r="Y110" i="269"/>
  <c r="M65" i="269"/>
  <c r="M99" i="269" s="1"/>
  <c r="M103" i="269" s="1"/>
  <c r="M108" i="269" s="1"/>
  <c r="AH63" i="269"/>
  <c r="AG63" i="269"/>
  <c r="AF63" i="269"/>
  <c r="U110" i="269"/>
  <c r="AG62" i="269"/>
  <c r="B83" i="269"/>
  <c r="C83" i="269"/>
  <c r="Z83" i="269"/>
  <c r="L60" i="269"/>
  <c r="L98" i="269" s="1"/>
  <c r="L103" i="269" s="1"/>
  <c r="L108" i="269" s="1"/>
  <c r="R109" i="269"/>
  <c r="T110" i="269"/>
  <c r="V110" i="269"/>
  <c r="AB83" i="269"/>
  <c r="O109" i="269"/>
  <c r="F65" i="269"/>
  <c r="F99" i="269" s="1"/>
  <c r="AI61" i="269"/>
  <c r="AF62" i="269"/>
  <c r="G83" i="269"/>
  <c r="S65" i="269"/>
  <c r="H83" i="269"/>
  <c r="T65" i="269"/>
  <c r="T99" i="269" s="1"/>
  <c r="U65" i="269"/>
  <c r="U99" i="269" s="1"/>
  <c r="J83" i="269"/>
  <c r="AF57" i="269"/>
  <c r="P83" i="269"/>
  <c r="R110" i="269"/>
  <c r="S110" i="269"/>
  <c r="X110" i="269"/>
  <c r="X89" i="269"/>
  <c r="X103" i="269" s="1"/>
  <c r="X108" i="269" s="1"/>
  <c r="AA83" i="269"/>
  <c r="K83" i="269"/>
  <c r="Y60" i="269"/>
  <c r="Y98" i="269" s="1"/>
  <c r="AG57" i="269"/>
  <c r="Q83" i="269"/>
  <c r="AA109" i="269"/>
  <c r="V83" i="269"/>
  <c r="AF48" i="269"/>
  <c r="AG48" i="269"/>
  <c r="X83" i="269"/>
  <c r="K110" i="269"/>
  <c r="AF49" i="269"/>
  <c r="AF64" i="269"/>
  <c r="W83" i="269"/>
  <c r="AC83" i="269"/>
  <c r="AH49" i="269"/>
  <c r="F89" i="269"/>
  <c r="Z89" i="269"/>
  <c r="Z103" i="269" s="1"/>
  <c r="Z108" i="269" s="1"/>
  <c r="AA110" i="269"/>
  <c r="H110" i="269"/>
  <c r="I110" i="269"/>
  <c r="I83" i="269"/>
  <c r="G89" i="269"/>
  <c r="G103" i="269" s="1"/>
  <c r="G108" i="269" s="1"/>
  <c r="AB110" i="269"/>
  <c r="AC110" i="269"/>
  <c r="W223" i="260"/>
  <c r="X64" i="268"/>
  <c r="X63" i="268"/>
  <c r="F404" i="88"/>
  <c r="F427" i="88"/>
  <c r="Y65" i="268"/>
  <c r="Y99" i="268" s="1"/>
  <c r="W222" i="260"/>
  <c r="W64" i="268"/>
  <c r="W63" i="268"/>
  <c r="AE221" i="260"/>
  <c r="V64" i="268"/>
  <c r="V63" i="268"/>
  <c r="F425" i="88"/>
  <c r="AE220" i="260"/>
  <c r="S112" i="268"/>
  <c r="T112" i="268"/>
  <c r="U112" i="268"/>
  <c r="U64" i="268"/>
  <c r="U63" i="268"/>
  <c r="AE219" i="260"/>
  <c r="T64" i="268"/>
  <c r="T63" i="268"/>
  <c r="F447" i="88"/>
  <c r="AE218" i="260"/>
  <c r="W218" i="260"/>
  <c r="S64" i="268"/>
  <c r="S63" i="268"/>
  <c r="F382" i="88"/>
  <c r="F444" i="88"/>
  <c r="F428" i="88"/>
  <c r="R112" i="268"/>
  <c r="F403" i="88"/>
  <c r="AE217" i="260"/>
  <c r="R63" i="268"/>
  <c r="R62" i="268"/>
  <c r="P112" i="268"/>
  <c r="Q112" i="268"/>
  <c r="O112" i="268"/>
  <c r="N112" i="268"/>
  <c r="G112" i="268"/>
  <c r="L112" i="268"/>
  <c r="M112" i="268"/>
  <c r="I112" i="268"/>
  <c r="J112" i="268"/>
  <c r="K112" i="268"/>
  <c r="H112" i="268"/>
  <c r="AC111" i="267"/>
  <c r="AB111" i="267"/>
  <c r="P111" i="267"/>
  <c r="O111" i="267"/>
  <c r="Q111" i="267"/>
  <c r="R111" i="267"/>
  <c r="S111" i="267"/>
  <c r="T111" i="267"/>
  <c r="U111" i="267"/>
  <c r="V111" i="267"/>
  <c r="W111" i="267"/>
  <c r="X111" i="267"/>
  <c r="Y111" i="267"/>
  <c r="Z111" i="267"/>
  <c r="AA111" i="267"/>
  <c r="N111" i="267"/>
  <c r="M111" i="267"/>
  <c r="L111" i="267"/>
  <c r="F111" i="267"/>
  <c r="W111" i="266"/>
  <c r="X111" i="266"/>
  <c r="Y111" i="266"/>
  <c r="Z111" i="266"/>
  <c r="AA111" i="266"/>
  <c r="AB111" i="266"/>
  <c r="AC111" i="266"/>
  <c r="P111" i="266"/>
  <c r="Q111" i="266"/>
  <c r="R111" i="266"/>
  <c r="S111" i="266"/>
  <c r="T111" i="266"/>
  <c r="U111" i="266"/>
  <c r="V111" i="266"/>
  <c r="O111" i="266"/>
  <c r="F443" i="88"/>
  <c r="L111" i="266"/>
  <c r="N111" i="266"/>
  <c r="M111" i="266"/>
  <c r="G111" i="266"/>
  <c r="F111" i="266"/>
  <c r="P111" i="265"/>
  <c r="Q111" i="265"/>
  <c r="R111" i="265"/>
  <c r="S111" i="265"/>
  <c r="T111" i="265"/>
  <c r="U111" i="265"/>
  <c r="V111" i="265"/>
  <c r="W111" i="265"/>
  <c r="X111" i="265"/>
  <c r="Y111" i="265"/>
  <c r="Z111" i="265"/>
  <c r="AA111" i="265"/>
  <c r="AB111" i="265"/>
  <c r="AC111" i="265"/>
  <c r="O111" i="265"/>
  <c r="N111" i="265"/>
  <c r="J111" i="265"/>
  <c r="K111" i="265"/>
  <c r="H111" i="265"/>
  <c r="I111" i="265"/>
  <c r="R65" i="268"/>
  <c r="R99" i="268" s="1"/>
  <c r="AE216" i="260"/>
  <c r="Q62" i="268"/>
  <c r="Q63" i="268"/>
  <c r="G111" i="265"/>
  <c r="F111" i="265"/>
  <c r="AC111" i="259"/>
  <c r="AB111" i="259"/>
  <c r="Z111" i="259"/>
  <c r="AA111" i="259"/>
  <c r="Y111" i="259"/>
  <c r="V111" i="259"/>
  <c r="W111" i="259"/>
  <c r="U111" i="259"/>
  <c r="P111" i="259"/>
  <c r="Q111" i="259"/>
  <c r="R111" i="259"/>
  <c r="O111" i="259"/>
  <c r="O111" i="261"/>
  <c r="P111" i="261"/>
  <c r="Q111" i="261"/>
  <c r="R111" i="261"/>
  <c r="S111" i="261"/>
  <c r="T111" i="261"/>
  <c r="U111" i="261"/>
  <c r="V111" i="261"/>
  <c r="W111" i="261"/>
  <c r="X111" i="261"/>
  <c r="Y111" i="261"/>
  <c r="Z111" i="261"/>
  <c r="AA111" i="261"/>
  <c r="AB111" i="261"/>
  <c r="AC111" i="261"/>
  <c r="N111" i="261"/>
  <c r="X111" i="262"/>
  <c r="AC111" i="262"/>
  <c r="AB111" i="262"/>
  <c r="O111" i="262"/>
  <c r="P111" i="262"/>
  <c r="Q111" i="262"/>
  <c r="R111" i="262"/>
  <c r="S111" i="262"/>
  <c r="T111" i="262"/>
  <c r="U111" i="262"/>
  <c r="V111" i="262"/>
  <c r="W111" i="262"/>
  <c r="Y111" i="262"/>
  <c r="Z111" i="262"/>
  <c r="AA111" i="262"/>
  <c r="N111" i="262"/>
  <c r="O111" i="264"/>
  <c r="AB111" i="264"/>
  <c r="AA111" i="264"/>
  <c r="X111" i="264"/>
  <c r="W111" i="264"/>
  <c r="F439" i="88"/>
  <c r="P111" i="264"/>
  <c r="Q111" i="264"/>
  <c r="R111" i="264"/>
  <c r="S111" i="264"/>
  <c r="T111" i="264"/>
  <c r="U111" i="264"/>
  <c r="V111" i="264"/>
  <c r="Y111" i="264"/>
  <c r="Z111" i="264"/>
  <c r="AC111" i="264"/>
  <c r="AE215" i="260"/>
  <c r="N111" i="264"/>
  <c r="F440" i="88"/>
  <c r="F441" i="88"/>
  <c r="F434" i="88"/>
  <c r="P63" i="268"/>
  <c r="P62" i="268"/>
  <c r="H111" i="264"/>
  <c r="G111" i="264"/>
  <c r="F111" i="264"/>
  <c r="O111" i="263"/>
  <c r="Q111" i="263"/>
  <c r="P111" i="263"/>
  <c r="R111" i="263"/>
  <c r="S111" i="263"/>
  <c r="T111" i="263"/>
  <c r="U111" i="263"/>
  <c r="V111" i="263"/>
  <c r="W111" i="263"/>
  <c r="X111" i="263"/>
  <c r="Y111" i="263"/>
  <c r="Z111" i="263"/>
  <c r="AA111" i="263"/>
  <c r="AB111" i="263"/>
  <c r="AC111" i="263"/>
  <c r="N111" i="263"/>
  <c r="M111" i="263"/>
  <c r="L111" i="263"/>
  <c r="F433" i="88"/>
  <c r="AE214" i="260"/>
  <c r="O63" i="268"/>
  <c r="O62" i="268"/>
  <c r="F432" i="88"/>
  <c r="F437" i="88"/>
  <c r="F435" i="88"/>
  <c r="F436" i="88"/>
  <c r="J111" i="263"/>
  <c r="K111" i="263"/>
  <c r="I111" i="263"/>
  <c r="F111" i="263"/>
  <c r="F111" i="262"/>
  <c r="O65" i="268"/>
  <c r="O99" i="268" s="1"/>
  <c r="AE213" i="260"/>
  <c r="AE212" i="260"/>
  <c r="N63" i="268"/>
  <c r="N62" i="268"/>
  <c r="L111" i="262"/>
  <c r="M111" i="262"/>
  <c r="K111" i="261"/>
  <c r="L111" i="261"/>
  <c r="M111" i="261"/>
  <c r="J111" i="261"/>
  <c r="F429" i="88"/>
  <c r="F430" i="88"/>
  <c r="F225" i="88"/>
  <c r="M63" i="268"/>
  <c r="M62" i="268"/>
  <c r="M111" i="259"/>
  <c r="N111" i="259"/>
  <c r="L111" i="259"/>
  <c r="F426" i="88"/>
  <c r="F424" i="88"/>
  <c r="F423" i="88"/>
  <c r="F422" i="88"/>
  <c r="AE211" i="260"/>
  <c r="F388" i="88"/>
  <c r="L57" i="268"/>
  <c r="AF57" i="268" s="1"/>
  <c r="F421" i="88"/>
  <c r="F420" i="88"/>
  <c r="L64" i="268"/>
  <c r="L62" i="268"/>
  <c r="L65" i="268" s="1"/>
  <c r="L99" i="268" s="1"/>
  <c r="L50" i="268"/>
  <c r="AH50" i="268" s="1"/>
  <c r="L49" i="268"/>
  <c r="AF49" i="268" s="1"/>
  <c r="L47" i="268"/>
  <c r="AG47" i="268" s="1"/>
  <c r="L46" i="268"/>
  <c r="AE210" i="260"/>
  <c r="K62" i="268"/>
  <c r="K64" i="268"/>
  <c r="AE209" i="260"/>
  <c r="J64" i="268"/>
  <c r="J62" i="268"/>
  <c r="J65" i="268" s="1"/>
  <c r="J99" i="268" s="1"/>
  <c r="F374" i="88"/>
  <c r="AE208" i="260"/>
  <c r="I64" i="268"/>
  <c r="I62" i="268"/>
  <c r="I65" i="268" s="1"/>
  <c r="I99" i="268" s="1"/>
  <c r="AE207" i="260"/>
  <c r="H64" i="268"/>
  <c r="H62" i="268"/>
  <c r="H65" i="268" s="1"/>
  <c r="H99" i="268" s="1"/>
  <c r="F376" i="88"/>
  <c r="F417" i="88"/>
  <c r="AE206" i="260"/>
  <c r="F401" i="88"/>
  <c r="AE205" i="260"/>
  <c r="F415" i="88"/>
  <c r="F414" i="88"/>
  <c r="F413" i="88"/>
  <c r="F412" i="88"/>
  <c r="F410" i="88"/>
  <c r="F409" i="88"/>
  <c r="G64" i="268"/>
  <c r="G62" i="268"/>
  <c r="G65" i="268" s="1"/>
  <c r="G99" i="268" s="1"/>
  <c r="F405" i="88"/>
  <c r="F408" i="88"/>
  <c r="F406" i="88"/>
  <c r="F411" i="88"/>
  <c r="F407" i="88"/>
  <c r="F416" i="88"/>
  <c r="F377" i="88"/>
  <c r="F290" i="88"/>
  <c r="F326" i="88"/>
  <c r="F389" i="88"/>
  <c r="F64" i="268"/>
  <c r="F62" i="268"/>
  <c r="F378" i="88"/>
  <c r="AE203" i="260"/>
  <c r="AE202" i="260"/>
  <c r="F274" i="88"/>
  <c r="F76" i="268"/>
  <c r="F100" i="268" s="1"/>
  <c r="F60" i="268"/>
  <c r="F98" i="268" s="1"/>
  <c r="F34" i="268"/>
  <c r="F96" i="268" s="1"/>
  <c r="F31" i="268"/>
  <c r="F93" i="268" s="1"/>
  <c r="F25" i="268"/>
  <c r="F22" i="268"/>
  <c r="F17" i="268"/>
  <c r="AC129" i="268"/>
  <c r="AB129" i="268"/>
  <c r="AA129" i="268"/>
  <c r="Z129" i="268"/>
  <c r="Y129" i="268"/>
  <c r="X129" i="268"/>
  <c r="W129" i="268"/>
  <c r="V129" i="268"/>
  <c r="U129" i="268"/>
  <c r="T129" i="268"/>
  <c r="S129" i="268"/>
  <c r="R129" i="268"/>
  <c r="Q129" i="268"/>
  <c r="P129" i="268"/>
  <c r="O129" i="268"/>
  <c r="N129" i="268"/>
  <c r="M129" i="268"/>
  <c r="L129" i="268"/>
  <c r="K129" i="268"/>
  <c r="J129" i="268"/>
  <c r="I129" i="268"/>
  <c r="H129" i="268"/>
  <c r="G129" i="268"/>
  <c r="F129" i="268"/>
  <c r="AC107" i="268"/>
  <c r="AB107" i="268"/>
  <c r="AA107" i="268"/>
  <c r="Z107" i="268"/>
  <c r="Y107" i="268"/>
  <c r="X107" i="268"/>
  <c r="W107" i="268"/>
  <c r="V107" i="268"/>
  <c r="U107" i="268"/>
  <c r="T107" i="268"/>
  <c r="S107" i="268"/>
  <c r="R107" i="268"/>
  <c r="Q107" i="268"/>
  <c r="P107" i="268"/>
  <c r="O107" i="268"/>
  <c r="N107" i="268"/>
  <c r="M107" i="268"/>
  <c r="L107" i="268"/>
  <c r="K107" i="268"/>
  <c r="J107" i="268"/>
  <c r="I107" i="268"/>
  <c r="H107" i="268"/>
  <c r="G107" i="268"/>
  <c r="F107" i="268"/>
  <c r="AC102" i="268"/>
  <c r="AB102" i="268"/>
  <c r="AA102" i="268"/>
  <c r="Z102" i="268"/>
  <c r="Y102" i="268"/>
  <c r="X102" i="268"/>
  <c r="W102" i="268"/>
  <c r="V102" i="268"/>
  <c r="U102" i="268"/>
  <c r="T102" i="268"/>
  <c r="S102" i="268"/>
  <c r="R102" i="268"/>
  <c r="Q102" i="268"/>
  <c r="P102" i="268"/>
  <c r="O102" i="268"/>
  <c r="N102" i="268"/>
  <c r="M102" i="268"/>
  <c r="L102" i="268"/>
  <c r="K102" i="268"/>
  <c r="J102" i="268"/>
  <c r="I102" i="268"/>
  <c r="H102" i="268"/>
  <c r="G102" i="268"/>
  <c r="F102" i="268"/>
  <c r="O96" i="268"/>
  <c r="Y93" i="268"/>
  <c r="X93" i="268"/>
  <c r="AC80" i="268"/>
  <c r="AC101" i="268" s="1"/>
  <c r="AB80" i="268"/>
  <c r="AB101" i="268" s="1"/>
  <c r="AA80" i="268"/>
  <c r="AA101" i="268" s="1"/>
  <c r="Z80" i="268"/>
  <c r="Z101" i="268" s="1"/>
  <c r="Y80" i="268"/>
  <c r="Y101" i="268" s="1"/>
  <c r="X80" i="268"/>
  <c r="X101" i="268" s="1"/>
  <c r="W80" i="268"/>
  <c r="W101" i="268" s="1"/>
  <c r="V80" i="268"/>
  <c r="V101" i="268" s="1"/>
  <c r="U80" i="268"/>
  <c r="U101" i="268" s="1"/>
  <c r="T80" i="268"/>
  <c r="T101" i="268" s="1"/>
  <c r="S80" i="268"/>
  <c r="S101" i="268" s="1"/>
  <c r="R80" i="268"/>
  <c r="R101" i="268" s="1"/>
  <c r="Q80" i="268"/>
  <c r="Q101" i="268" s="1"/>
  <c r="P80" i="268"/>
  <c r="P101" i="268" s="1"/>
  <c r="O80" i="268"/>
  <c r="O101" i="268" s="1"/>
  <c r="N80" i="268"/>
  <c r="N101" i="268" s="1"/>
  <c r="M80" i="268"/>
  <c r="M101" i="268" s="1"/>
  <c r="L80" i="268"/>
  <c r="L101" i="268" s="1"/>
  <c r="K80" i="268"/>
  <c r="K101" i="268" s="1"/>
  <c r="J80" i="268"/>
  <c r="J101" i="268" s="1"/>
  <c r="I80" i="268"/>
  <c r="I101" i="268" s="1"/>
  <c r="H80" i="268"/>
  <c r="H101" i="268" s="1"/>
  <c r="G80" i="268"/>
  <c r="G101" i="268" s="1"/>
  <c r="F80" i="268"/>
  <c r="F101" i="268" s="1"/>
  <c r="C80" i="268"/>
  <c r="AH79" i="268"/>
  <c r="AG79" i="268"/>
  <c r="AF79" i="268"/>
  <c r="AH78" i="268"/>
  <c r="AG78" i="268"/>
  <c r="AF78" i="268"/>
  <c r="AI77" i="268"/>
  <c r="AC76" i="268"/>
  <c r="AC100" i="268" s="1"/>
  <c r="AB76" i="268"/>
  <c r="AB100" i="268" s="1"/>
  <c r="AA76" i="268"/>
  <c r="AA100" i="268" s="1"/>
  <c r="Z76" i="268"/>
  <c r="Z100" i="268" s="1"/>
  <c r="Y76" i="268"/>
  <c r="Y100" i="268" s="1"/>
  <c r="X76" i="268"/>
  <c r="X100" i="268" s="1"/>
  <c r="W76" i="268"/>
  <c r="W100" i="268" s="1"/>
  <c r="V76" i="268"/>
  <c r="V100" i="268" s="1"/>
  <c r="U76" i="268"/>
  <c r="U100" i="268" s="1"/>
  <c r="T76" i="268"/>
  <c r="T100" i="268" s="1"/>
  <c r="S76" i="268"/>
  <c r="S100" i="268" s="1"/>
  <c r="R76" i="268"/>
  <c r="R100" i="268" s="1"/>
  <c r="Q76" i="268"/>
  <c r="Q100" i="268" s="1"/>
  <c r="P76" i="268"/>
  <c r="P100" i="268" s="1"/>
  <c r="O76" i="268"/>
  <c r="O100" i="268" s="1"/>
  <c r="N76" i="268"/>
  <c r="N100" i="268" s="1"/>
  <c r="M76" i="268"/>
  <c r="M100" i="268" s="1"/>
  <c r="L76" i="268"/>
  <c r="L100" i="268" s="1"/>
  <c r="K76" i="268"/>
  <c r="K100" i="268" s="1"/>
  <c r="J76" i="268"/>
  <c r="J100" i="268" s="1"/>
  <c r="I76" i="268"/>
  <c r="I100" i="268" s="1"/>
  <c r="H76" i="268"/>
  <c r="H100" i="268" s="1"/>
  <c r="G76" i="268"/>
  <c r="G100" i="268" s="1"/>
  <c r="C76" i="268"/>
  <c r="B76" i="268"/>
  <c r="B80" i="268" s="1"/>
  <c r="B25" i="268" s="1"/>
  <c r="AH75" i="268"/>
  <c r="AG75" i="268"/>
  <c r="AF75" i="268"/>
  <c r="AH74" i="268"/>
  <c r="AG74" i="268"/>
  <c r="AF74" i="268"/>
  <c r="AH73" i="268"/>
  <c r="AG73" i="268"/>
  <c r="AF73" i="268"/>
  <c r="AH72" i="268"/>
  <c r="AG72" i="268"/>
  <c r="AF72" i="268"/>
  <c r="AH71" i="268"/>
  <c r="AG71" i="268"/>
  <c r="AF71" i="268"/>
  <c r="AH70" i="268"/>
  <c r="AG70" i="268"/>
  <c r="AF70" i="268"/>
  <c r="AH69" i="268"/>
  <c r="AG69" i="268"/>
  <c r="AF69" i="268"/>
  <c r="AH68" i="268"/>
  <c r="AG68" i="268"/>
  <c r="AF68" i="268"/>
  <c r="AH67" i="268"/>
  <c r="AG67" i="268"/>
  <c r="AF67" i="268"/>
  <c r="AI66" i="268"/>
  <c r="AC65" i="268"/>
  <c r="AC99" i="268" s="1"/>
  <c r="AB65" i="268"/>
  <c r="AB99" i="268" s="1"/>
  <c r="AA65" i="268"/>
  <c r="AA99" i="268" s="1"/>
  <c r="Z65" i="268"/>
  <c r="Z99" i="268" s="1"/>
  <c r="P65" i="268"/>
  <c r="P99" i="268" s="1"/>
  <c r="C65" i="268"/>
  <c r="W65" i="268"/>
  <c r="W99" i="268" s="1"/>
  <c r="V65" i="268"/>
  <c r="V99" i="268" s="1"/>
  <c r="U65" i="268"/>
  <c r="U99" i="268" s="1"/>
  <c r="T65" i="268"/>
  <c r="T99" i="268" s="1"/>
  <c r="Q65" i="268"/>
  <c r="Q99" i="268" s="1"/>
  <c r="AC60" i="268"/>
  <c r="AC98" i="268" s="1"/>
  <c r="AB60" i="268"/>
  <c r="AB98" i="268" s="1"/>
  <c r="AA60" i="268"/>
  <c r="AA98" i="268" s="1"/>
  <c r="Z60" i="268"/>
  <c r="Z98" i="268" s="1"/>
  <c r="Y60" i="268"/>
  <c r="Y98" i="268" s="1"/>
  <c r="X60" i="268"/>
  <c r="X98" i="268" s="1"/>
  <c r="W60" i="268"/>
  <c r="W98" i="268" s="1"/>
  <c r="V60" i="268"/>
  <c r="V98" i="268" s="1"/>
  <c r="T60" i="268"/>
  <c r="T98" i="268" s="1"/>
  <c r="S60" i="268"/>
  <c r="S98" i="268" s="1"/>
  <c r="R60" i="268"/>
  <c r="R98" i="268" s="1"/>
  <c r="Q60" i="268"/>
  <c r="Q98" i="268" s="1"/>
  <c r="P60" i="268"/>
  <c r="P98" i="268" s="1"/>
  <c r="O60" i="268"/>
  <c r="O98" i="268" s="1"/>
  <c r="N60" i="268"/>
  <c r="N98" i="268" s="1"/>
  <c r="M60" i="268"/>
  <c r="M98" i="268" s="1"/>
  <c r="K60" i="268"/>
  <c r="K98" i="268" s="1"/>
  <c r="J60" i="268"/>
  <c r="J98" i="268" s="1"/>
  <c r="I60" i="268"/>
  <c r="I98" i="268" s="1"/>
  <c r="H60" i="268"/>
  <c r="H98" i="268" s="1"/>
  <c r="G60" i="268"/>
  <c r="G98" i="268" s="1"/>
  <c r="C60" i="268"/>
  <c r="B60" i="268"/>
  <c r="B65" i="268" s="1"/>
  <c r="AH59" i="268"/>
  <c r="AG59" i="268"/>
  <c r="AF59" i="268"/>
  <c r="AH58" i="268"/>
  <c r="AG58" i="268"/>
  <c r="AF58" i="268"/>
  <c r="AG56" i="268"/>
  <c r="AH55" i="268"/>
  <c r="AG55" i="268"/>
  <c r="AF55" i="268"/>
  <c r="AH54" i="268"/>
  <c r="AG54" i="268"/>
  <c r="AF54" i="268"/>
  <c r="AH53" i="268"/>
  <c r="AG53" i="268"/>
  <c r="AF53" i="268"/>
  <c r="AH52" i="268"/>
  <c r="AG52" i="268"/>
  <c r="AF52" i="268"/>
  <c r="AH51" i="268"/>
  <c r="AG51" i="268"/>
  <c r="AF51" i="268"/>
  <c r="AH49" i="268"/>
  <c r="AG49" i="268"/>
  <c r="AH48" i="268"/>
  <c r="AH45" i="268"/>
  <c r="AG45" i="268"/>
  <c r="AF45" i="268"/>
  <c r="AH44" i="268"/>
  <c r="AG44" i="268"/>
  <c r="AF44" i="268"/>
  <c r="AH43" i="268"/>
  <c r="AG43" i="268"/>
  <c r="AF43" i="268"/>
  <c r="AH42" i="268"/>
  <c r="AG42" i="268"/>
  <c r="AF42" i="268"/>
  <c r="AH41" i="268"/>
  <c r="AG41" i="268"/>
  <c r="AF41" i="268"/>
  <c r="AH40" i="268"/>
  <c r="AG40" i="268"/>
  <c r="AF40" i="268"/>
  <c r="AH39" i="268"/>
  <c r="AG39" i="268"/>
  <c r="AF39" i="268"/>
  <c r="AH38" i="268"/>
  <c r="AG38" i="268"/>
  <c r="AF38" i="268"/>
  <c r="AH37" i="268"/>
  <c r="AG37" i="268"/>
  <c r="AF37" i="268"/>
  <c r="AH36" i="268"/>
  <c r="AG36" i="268"/>
  <c r="AF36" i="268"/>
  <c r="AI35" i="268"/>
  <c r="AC34" i="268"/>
  <c r="AC96" i="268" s="1"/>
  <c r="AB34" i="268"/>
  <c r="AB96" i="268" s="1"/>
  <c r="AB112" i="268" s="1"/>
  <c r="AA34" i="268"/>
  <c r="AA96" i="268" s="1"/>
  <c r="Z34" i="268"/>
  <c r="Z96" i="268" s="1"/>
  <c r="Y34" i="268"/>
  <c r="X34" i="268"/>
  <c r="X96" i="268" s="1"/>
  <c r="W34" i="268"/>
  <c r="W96" i="268" s="1"/>
  <c r="V34" i="268"/>
  <c r="V96" i="268" s="1"/>
  <c r="U34" i="268"/>
  <c r="U96" i="268" s="1"/>
  <c r="T34" i="268"/>
  <c r="T96" i="268" s="1"/>
  <c r="S34" i="268"/>
  <c r="S96" i="268" s="1"/>
  <c r="R34" i="268"/>
  <c r="R96" i="268" s="1"/>
  <c r="Q34" i="268"/>
  <c r="Q96" i="268" s="1"/>
  <c r="P34" i="268"/>
  <c r="P96" i="268" s="1"/>
  <c r="O34" i="268"/>
  <c r="N34" i="268"/>
  <c r="N96" i="268" s="1"/>
  <c r="M34" i="268"/>
  <c r="M96" i="268" s="1"/>
  <c r="L34" i="268"/>
  <c r="L96" i="268" s="1"/>
  <c r="K34" i="268"/>
  <c r="K96" i="268" s="1"/>
  <c r="J34" i="268"/>
  <c r="J96" i="268" s="1"/>
  <c r="I34" i="268"/>
  <c r="I96" i="268" s="1"/>
  <c r="H34" i="268"/>
  <c r="H96" i="268" s="1"/>
  <c r="G34" i="268"/>
  <c r="G96" i="268" s="1"/>
  <c r="C34" i="268"/>
  <c r="B34" i="268"/>
  <c r="AH33" i="268"/>
  <c r="AG33" i="268"/>
  <c r="AF33" i="268"/>
  <c r="AI32" i="268"/>
  <c r="AC31" i="268"/>
  <c r="AC93" i="268" s="1"/>
  <c r="AB31" i="268"/>
  <c r="AB93" i="268" s="1"/>
  <c r="AA31" i="268"/>
  <c r="AA93" i="268" s="1"/>
  <c r="Z31" i="268"/>
  <c r="Z93" i="268" s="1"/>
  <c r="Z112" i="268" s="1"/>
  <c r="Y31" i="268"/>
  <c r="X31" i="268"/>
  <c r="W31" i="268"/>
  <c r="W93" i="268" s="1"/>
  <c r="V31" i="268"/>
  <c r="V93" i="268" s="1"/>
  <c r="U31" i="268"/>
  <c r="U93" i="268" s="1"/>
  <c r="T31" i="268"/>
  <c r="T93" i="268" s="1"/>
  <c r="S31" i="268"/>
  <c r="S93" i="268" s="1"/>
  <c r="R31" i="268"/>
  <c r="R93" i="268" s="1"/>
  <c r="Q31" i="268"/>
  <c r="Q93" i="268" s="1"/>
  <c r="P31" i="268"/>
  <c r="P93" i="268" s="1"/>
  <c r="O31" i="268"/>
  <c r="O93" i="268" s="1"/>
  <c r="N31" i="268"/>
  <c r="N93" i="268" s="1"/>
  <c r="M31" i="268"/>
  <c r="M93" i="268" s="1"/>
  <c r="L31" i="268"/>
  <c r="L93" i="268" s="1"/>
  <c r="K31" i="268"/>
  <c r="K93" i="268" s="1"/>
  <c r="J31" i="268"/>
  <c r="J93" i="268" s="1"/>
  <c r="I31" i="268"/>
  <c r="I93" i="268" s="1"/>
  <c r="H31" i="268"/>
  <c r="H93" i="268" s="1"/>
  <c r="G31" i="268"/>
  <c r="G93" i="268" s="1"/>
  <c r="C31" i="268"/>
  <c r="B31" i="268"/>
  <c r="AI28" i="268"/>
  <c r="AH28" i="268"/>
  <c r="AG28" i="268"/>
  <c r="AF28" i="268"/>
  <c r="AH27" i="268"/>
  <c r="AG27" i="268"/>
  <c r="AF27" i="268"/>
  <c r="AI26" i="268"/>
  <c r="AC25" i="268"/>
  <c r="AB25" i="268"/>
  <c r="AA25" i="268"/>
  <c r="Z25" i="268"/>
  <c r="Y25" i="268"/>
  <c r="X25" i="268"/>
  <c r="W25" i="268"/>
  <c r="V25" i="268"/>
  <c r="U25" i="268"/>
  <c r="T25" i="268"/>
  <c r="S25" i="268"/>
  <c r="R25" i="268"/>
  <c r="Q25" i="268"/>
  <c r="P25" i="268"/>
  <c r="O25" i="268"/>
  <c r="N25" i="268"/>
  <c r="M25" i="268"/>
  <c r="L25" i="268"/>
  <c r="K25" i="268"/>
  <c r="J25" i="268"/>
  <c r="I25" i="268"/>
  <c r="H25" i="268"/>
  <c r="G25" i="268"/>
  <c r="C25" i="268"/>
  <c r="AH24" i="268"/>
  <c r="AG24" i="268"/>
  <c r="AF24" i="268"/>
  <c r="AI23" i="268"/>
  <c r="AC22" i="268"/>
  <c r="AB22" i="268"/>
  <c r="AA22" i="268"/>
  <c r="Z22" i="268"/>
  <c r="Y22" i="268"/>
  <c r="X22" i="268"/>
  <c r="W22" i="268"/>
  <c r="V22" i="268"/>
  <c r="U22" i="268"/>
  <c r="T22" i="268"/>
  <c r="S22" i="268"/>
  <c r="R22" i="268"/>
  <c r="Q22" i="268"/>
  <c r="P22" i="268"/>
  <c r="O22" i="268"/>
  <c r="N22" i="268"/>
  <c r="M22" i="268"/>
  <c r="L22" i="268"/>
  <c r="K22" i="268"/>
  <c r="J22" i="268"/>
  <c r="I22" i="268"/>
  <c r="H22" i="268"/>
  <c r="G22" i="268"/>
  <c r="C22" i="268"/>
  <c r="B22" i="268"/>
  <c r="AH21" i="268"/>
  <c r="AG21" i="268"/>
  <c r="AF21" i="268"/>
  <c r="AH20" i="268"/>
  <c r="AG20" i="268"/>
  <c r="AF20" i="268"/>
  <c r="AH19" i="268"/>
  <c r="AG19" i="268"/>
  <c r="AF19" i="268"/>
  <c r="AI18" i="268"/>
  <c r="AC17" i="268"/>
  <c r="AC91" i="268" s="1"/>
  <c r="AB17" i="268"/>
  <c r="AB91" i="268" s="1"/>
  <c r="AA17" i="268"/>
  <c r="AA91" i="268" s="1"/>
  <c r="Z17" i="268"/>
  <c r="Y17" i="268"/>
  <c r="Y91" i="268" s="1"/>
  <c r="X17" i="268"/>
  <c r="X91" i="268" s="1"/>
  <c r="W17" i="268"/>
  <c r="W91" i="268" s="1"/>
  <c r="V17" i="268"/>
  <c r="V91" i="268" s="1"/>
  <c r="U17" i="268"/>
  <c r="U91" i="268" s="1"/>
  <c r="T17" i="268"/>
  <c r="T91" i="268" s="1"/>
  <c r="S17" i="268"/>
  <c r="R17" i="268"/>
  <c r="R91" i="268" s="1"/>
  <c r="Q17" i="268"/>
  <c r="Q91" i="268" s="1"/>
  <c r="P17" i="268"/>
  <c r="P91" i="268" s="1"/>
  <c r="O17" i="268"/>
  <c r="O91" i="268" s="1"/>
  <c r="N17" i="268"/>
  <c r="N91" i="268" s="1"/>
  <c r="M17" i="268"/>
  <c r="L17" i="268"/>
  <c r="L91" i="268" s="1"/>
  <c r="K17" i="268"/>
  <c r="J17" i="268"/>
  <c r="I17" i="268"/>
  <c r="I91" i="268" s="1"/>
  <c r="H17" i="268"/>
  <c r="G17" i="268"/>
  <c r="G91" i="268" s="1"/>
  <c r="C17" i="268"/>
  <c r="B17" i="268"/>
  <c r="AH16" i="268"/>
  <c r="AG16" i="268"/>
  <c r="AF16" i="268"/>
  <c r="AH15" i="268"/>
  <c r="AG15" i="268"/>
  <c r="AF15" i="268"/>
  <c r="AH14" i="268"/>
  <c r="AG14" i="268"/>
  <c r="AF14" i="268"/>
  <c r="AH13" i="268"/>
  <c r="AG13" i="268"/>
  <c r="AF13" i="268"/>
  <c r="AI12" i="268"/>
  <c r="M9" i="268" a="1"/>
  <c r="M9" i="268" s="1"/>
  <c r="AC64" i="267"/>
  <c r="AC63" i="267"/>
  <c r="F402" i="88"/>
  <c r="F400" i="88"/>
  <c r="AE201" i="260"/>
  <c r="F399" i="88"/>
  <c r="F396" i="88"/>
  <c r="F397" i="88"/>
  <c r="F394" i="88"/>
  <c r="AE200" i="260"/>
  <c r="F393" i="88"/>
  <c r="F398" i="88"/>
  <c r="F395" i="88"/>
  <c r="F359" i="88"/>
  <c r="F392" i="88"/>
  <c r="F390" i="88"/>
  <c r="AE199" i="260"/>
  <c r="F391" i="88"/>
  <c r="AE198" i="260"/>
  <c r="X63" i="267"/>
  <c r="X62" i="267"/>
  <c r="F365" i="88"/>
  <c r="F363" i="88"/>
  <c r="AE197" i="260"/>
  <c r="W63" i="267"/>
  <c r="W62" i="267"/>
  <c r="F384" i="88"/>
  <c r="F385" i="88"/>
  <c r="F383" i="88"/>
  <c r="F386" i="88"/>
  <c r="AE196" i="260"/>
  <c r="V63" i="267"/>
  <c r="V62" i="267"/>
  <c r="F387" i="88"/>
  <c r="F381" i="88"/>
  <c r="F380" i="88"/>
  <c r="AE195" i="260"/>
  <c r="U62" i="267"/>
  <c r="U57" i="267"/>
  <c r="U56" i="267"/>
  <c r="U50" i="267"/>
  <c r="U49" i="267"/>
  <c r="U48" i="267"/>
  <c r="U47" i="267"/>
  <c r="U46" i="267"/>
  <c r="AE194" i="260"/>
  <c r="U63" i="267"/>
  <c r="T94" i="267"/>
  <c r="T63" i="267"/>
  <c r="T62" i="267"/>
  <c r="F371" i="88"/>
  <c r="F379" i="88"/>
  <c r="U103" i="269" l="1"/>
  <c r="U108" i="269" s="1"/>
  <c r="T83" i="269"/>
  <c r="L83" i="269"/>
  <c r="T103" i="269"/>
  <c r="T108" i="269" s="1"/>
  <c r="F103" i="269"/>
  <c r="F108" i="269" s="1"/>
  <c r="Y83" i="269"/>
  <c r="Y103" i="269"/>
  <c r="Y108" i="269" s="1"/>
  <c r="Q109" i="269"/>
  <c r="Q103" i="269"/>
  <c r="Q108" i="269" s="1"/>
  <c r="F83" i="269"/>
  <c r="U83" i="269"/>
  <c r="P109" i="269"/>
  <c r="P103" i="269"/>
  <c r="P108" i="269" s="1"/>
  <c r="S99" i="269"/>
  <c r="S103" i="269" s="1"/>
  <c r="S108" i="269" s="1"/>
  <c r="S83" i="269"/>
  <c r="AC112" i="268"/>
  <c r="AA112" i="268"/>
  <c r="X112" i="268"/>
  <c r="V112" i="268"/>
  <c r="W112" i="268"/>
  <c r="F65" i="268"/>
  <c r="F83" i="268" s="1"/>
  <c r="AC89" i="268"/>
  <c r="K65" i="268"/>
  <c r="T89" i="268"/>
  <c r="T103" i="268" s="1"/>
  <c r="T108" i="268" s="1"/>
  <c r="L60" i="268"/>
  <c r="L83" i="268" s="1"/>
  <c r="V109" i="268"/>
  <c r="AG57" i="268"/>
  <c r="AH57" i="268"/>
  <c r="S89" i="268"/>
  <c r="T109" i="268"/>
  <c r="F110" i="268"/>
  <c r="N65" i="268"/>
  <c r="N83" i="268" s="1"/>
  <c r="R109" i="268"/>
  <c r="M65" i="268"/>
  <c r="Z83" i="268"/>
  <c r="AA109" i="268"/>
  <c r="AF46" i="268"/>
  <c r="AG46" i="268"/>
  <c r="P89" i="268"/>
  <c r="P103" i="268" s="1"/>
  <c r="P108" i="268" s="1"/>
  <c r="AH46" i="268"/>
  <c r="AF63" i="268"/>
  <c r="N89" i="268"/>
  <c r="O89" i="268"/>
  <c r="O103" i="268" s="1"/>
  <c r="O108" i="268" s="1"/>
  <c r="Q89" i="268"/>
  <c r="Q103" i="268" s="1"/>
  <c r="Q108" i="268" s="1"/>
  <c r="R89" i="268"/>
  <c r="R103" i="268" s="1"/>
  <c r="R108" i="268" s="1"/>
  <c r="I89" i="268"/>
  <c r="I103" i="268" s="1"/>
  <c r="I108" i="268" s="1"/>
  <c r="C83" i="268"/>
  <c r="G109" i="268"/>
  <c r="AB109" i="268"/>
  <c r="J83" i="268"/>
  <c r="K83" i="268"/>
  <c r="K91" i="268"/>
  <c r="K109" i="268" s="1"/>
  <c r="M91" i="268"/>
  <c r="M109" i="268" s="1"/>
  <c r="J89" i="268"/>
  <c r="Z91" i="268"/>
  <c r="Z109" i="268" s="1"/>
  <c r="V89" i="268"/>
  <c r="V103" i="268" s="1"/>
  <c r="V108" i="268" s="1"/>
  <c r="M89" i="268"/>
  <c r="W89" i="268"/>
  <c r="W103" i="268" s="1"/>
  <c r="W108" i="268" s="1"/>
  <c r="X89" i="268"/>
  <c r="F91" i="268"/>
  <c r="F109" i="268" s="1"/>
  <c r="M110" i="268"/>
  <c r="Y89" i="268"/>
  <c r="F89" i="268"/>
  <c r="Z89" i="268"/>
  <c r="AA83" i="268"/>
  <c r="H83" i="268"/>
  <c r="I110" i="268"/>
  <c r="AA89" i="268"/>
  <c r="AA103" i="268" s="1"/>
  <c r="AA108" i="268" s="1"/>
  <c r="U109" i="268"/>
  <c r="G110" i="268"/>
  <c r="H91" i="268"/>
  <c r="H109" i="268" s="1"/>
  <c r="U89" i="268"/>
  <c r="G89" i="268"/>
  <c r="G103" i="268" s="1"/>
  <c r="G108" i="268" s="1"/>
  <c r="J91" i="268"/>
  <c r="J109" i="268" s="1"/>
  <c r="K89" i="268"/>
  <c r="L89" i="268"/>
  <c r="Y110" i="268"/>
  <c r="Y83" i="268"/>
  <c r="Y96" i="268"/>
  <c r="Y112" i="268" s="1"/>
  <c r="O83" i="268"/>
  <c r="S65" i="268"/>
  <c r="AI61" i="268"/>
  <c r="AH62" i="268"/>
  <c r="AG62" i="268"/>
  <c r="AF62" i="268"/>
  <c r="Q83" i="268"/>
  <c r="AH63" i="268"/>
  <c r="R83" i="268"/>
  <c r="Q110" i="268"/>
  <c r="AI36" i="268"/>
  <c r="U60" i="268"/>
  <c r="U98" i="268" s="1"/>
  <c r="I109" i="268"/>
  <c r="AH47" i="268"/>
  <c r="L109" i="268"/>
  <c r="AG63" i="268"/>
  <c r="AG64" i="268"/>
  <c r="AH64" i="268"/>
  <c r="AF64" i="268"/>
  <c r="R110" i="268"/>
  <c r="AC83" i="268"/>
  <c r="N109" i="268"/>
  <c r="Q109" i="268"/>
  <c r="Y109" i="268"/>
  <c r="W109" i="268"/>
  <c r="AC109" i="268"/>
  <c r="AB83" i="268"/>
  <c r="AF47" i="268"/>
  <c r="O109" i="268"/>
  <c r="P83" i="268"/>
  <c r="S91" i="268"/>
  <c r="S109" i="268" s="1"/>
  <c r="S110" i="268"/>
  <c r="B83" i="268"/>
  <c r="X109" i="268"/>
  <c r="H89" i="268"/>
  <c r="AB89" i="268"/>
  <c r="AB103" i="268" s="1"/>
  <c r="AB108" i="268" s="1"/>
  <c r="X65" i="268"/>
  <c r="AC103" i="268"/>
  <c r="AC108" i="268" s="1"/>
  <c r="P109" i="268"/>
  <c r="N110" i="268"/>
  <c r="O110" i="268"/>
  <c r="P110" i="268"/>
  <c r="T110" i="268"/>
  <c r="AF48" i="268"/>
  <c r="T83" i="268"/>
  <c r="U110" i="268"/>
  <c r="AG48" i="268"/>
  <c r="V110" i="268"/>
  <c r="V83" i="268"/>
  <c r="W110" i="268"/>
  <c r="W83" i="268"/>
  <c r="X110" i="268"/>
  <c r="Z110" i="268"/>
  <c r="G83" i="268"/>
  <c r="H110" i="268"/>
  <c r="J110" i="268"/>
  <c r="AB110" i="268"/>
  <c r="I83" i="268"/>
  <c r="K110" i="268"/>
  <c r="AC110" i="268"/>
  <c r="AF56" i="268"/>
  <c r="AF50" i="268"/>
  <c r="AG50" i="268"/>
  <c r="AH56" i="268"/>
  <c r="L110" i="268"/>
  <c r="AA110" i="268"/>
  <c r="AE193" i="260"/>
  <c r="W193" i="260"/>
  <c r="F357" i="88"/>
  <c r="S94" i="267"/>
  <c r="S64" i="267"/>
  <c r="S62" i="267"/>
  <c r="AI35" i="261"/>
  <c r="AI36" i="261"/>
  <c r="AI35" i="262"/>
  <c r="AI35" i="263"/>
  <c r="AI35" i="264"/>
  <c r="AI35" i="265"/>
  <c r="AI35" i="266"/>
  <c r="AI35" i="267"/>
  <c r="AE192" i="260"/>
  <c r="W192" i="260"/>
  <c r="R64" i="267"/>
  <c r="R62" i="267"/>
  <c r="AE191" i="260"/>
  <c r="W191" i="260"/>
  <c r="Q94" i="267"/>
  <c r="Q64" i="267"/>
  <c r="Q62" i="267"/>
  <c r="AE190" i="260"/>
  <c r="W190" i="260"/>
  <c r="F375" i="88"/>
  <c r="AE189" i="260"/>
  <c r="W189" i="260"/>
  <c r="F373" i="88"/>
  <c r="F369" i="88"/>
  <c r="F372" i="88"/>
  <c r="F368" i="88"/>
  <c r="AE188" i="260"/>
  <c r="W188" i="260"/>
  <c r="F370" i="88"/>
  <c r="AE187" i="260"/>
  <c r="W38" i="253" a="1"/>
  <c r="Z103" i="268" l="1"/>
  <c r="Z108" i="268" s="1"/>
  <c r="F99" i="268"/>
  <c r="F103" i="268" s="1"/>
  <c r="F108" i="268" s="1"/>
  <c r="U103" i="268"/>
  <c r="U108" i="268" s="1"/>
  <c r="L98" i="268"/>
  <c r="L103" i="268" s="1"/>
  <c r="L108" i="268" s="1"/>
  <c r="K99" i="268"/>
  <c r="K103" i="268" s="1"/>
  <c r="K108" i="268" s="1"/>
  <c r="Y103" i="268"/>
  <c r="Y108" i="268" s="1"/>
  <c r="U83" i="268"/>
  <c r="M99" i="268"/>
  <c r="M103" i="268" s="1"/>
  <c r="M108" i="268" s="1"/>
  <c r="X99" i="268"/>
  <c r="X103" i="268" s="1"/>
  <c r="X108" i="268" s="1"/>
  <c r="N99" i="268"/>
  <c r="N103" i="268" s="1"/>
  <c r="N108" i="268" s="1"/>
  <c r="S99" i="268"/>
  <c r="S103" i="268" s="1"/>
  <c r="S108" i="268" s="1"/>
  <c r="M83" i="268"/>
  <c r="H103" i="268"/>
  <c r="H108" i="268" s="1"/>
  <c r="J103" i="268"/>
  <c r="J108" i="268" s="1"/>
  <c r="S83" i="268"/>
  <c r="X83" i="268"/>
  <c r="W38" i="253"/>
  <c r="F358" i="88"/>
  <c r="F367" i="88"/>
  <c r="F360" i="88"/>
  <c r="F361" i="88"/>
  <c r="F362" i="88"/>
  <c r="F364" i="88"/>
  <c r="F332" i="88"/>
  <c r="F356" i="88"/>
  <c r="F322" i="88"/>
  <c r="L64" i="267"/>
  <c r="L63" i="267"/>
  <c r="L57" i="267"/>
  <c r="L50" i="267"/>
  <c r="L49" i="267"/>
  <c r="AI36" i="267" s="1"/>
  <c r="K64" i="267"/>
  <c r="K63" i="267"/>
  <c r="K65" i="267" s="1"/>
  <c r="K98" i="267" s="1"/>
  <c r="J64" i="267"/>
  <c r="J63" i="267"/>
  <c r="J65" i="267" s="1"/>
  <c r="J98" i="267" s="1"/>
  <c r="I64" i="267"/>
  <c r="I63" i="267"/>
  <c r="I65" i="267" s="1"/>
  <c r="I98" i="267" s="1"/>
  <c r="H64" i="267"/>
  <c r="H63" i="267"/>
  <c r="H65" i="267" s="1"/>
  <c r="H98" i="267" s="1"/>
  <c r="G64" i="267"/>
  <c r="G63" i="267"/>
  <c r="G65" i="267" s="1"/>
  <c r="G98" i="267" s="1"/>
  <c r="F330" i="88"/>
  <c r="F348" i="88"/>
  <c r="F63" i="267"/>
  <c r="F323" i="88"/>
  <c r="AC63" i="266"/>
  <c r="AB63" i="266"/>
  <c r="AA63" i="266"/>
  <c r="Z63" i="266"/>
  <c r="AE180" i="260"/>
  <c r="F62" i="267"/>
  <c r="AE178" i="260"/>
  <c r="F334" i="88"/>
  <c r="F76" i="267"/>
  <c r="F99" i="267" s="1"/>
  <c r="F65" i="267"/>
  <c r="F98" i="267" s="1"/>
  <c r="F60" i="267"/>
  <c r="F97" i="267" s="1"/>
  <c r="F34" i="267"/>
  <c r="F95" i="267" s="1"/>
  <c r="F31" i="267"/>
  <c r="F93" i="267" s="1"/>
  <c r="F25" i="267"/>
  <c r="F22" i="267"/>
  <c r="F17" i="267"/>
  <c r="F91" i="267" s="1"/>
  <c r="AC128" i="267"/>
  <c r="AB128" i="267"/>
  <c r="AA128" i="267"/>
  <c r="Z128" i="267"/>
  <c r="Y128" i="267"/>
  <c r="X128" i="267"/>
  <c r="W128" i="267"/>
  <c r="V128" i="267"/>
  <c r="U128" i="267"/>
  <c r="T128" i="267"/>
  <c r="S128" i="267"/>
  <c r="R128" i="267"/>
  <c r="Q128" i="267"/>
  <c r="P128" i="267"/>
  <c r="O128" i="267"/>
  <c r="N128" i="267"/>
  <c r="M128" i="267"/>
  <c r="L128" i="267"/>
  <c r="K128" i="267"/>
  <c r="J128" i="267"/>
  <c r="I128" i="267"/>
  <c r="H128" i="267"/>
  <c r="G128" i="267"/>
  <c r="F128" i="267"/>
  <c r="AC106" i="267"/>
  <c r="AB106" i="267"/>
  <c r="AA106" i="267"/>
  <c r="Z106" i="267"/>
  <c r="Y106" i="267"/>
  <c r="X106" i="267"/>
  <c r="W106" i="267"/>
  <c r="V106" i="267"/>
  <c r="U106" i="267"/>
  <c r="T106" i="267"/>
  <c r="S106" i="267"/>
  <c r="R106" i="267"/>
  <c r="Q106" i="267"/>
  <c r="P106" i="267"/>
  <c r="O106" i="267"/>
  <c r="N106" i="267"/>
  <c r="M106" i="267"/>
  <c r="L106" i="267"/>
  <c r="K106" i="267"/>
  <c r="J106" i="267"/>
  <c r="I106" i="267"/>
  <c r="H106" i="267"/>
  <c r="G106" i="267"/>
  <c r="F106" i="267"/>
  <c r="AC101" i="267"/>
  <c r="AB101" i="267"/>
  <c r="AA101" i="267"/>
  <c r="Z101" i="267"/>
  <c r="Y101" i="267"/>
  <c r="X101" i="267"/>
  <c r="W101" i="267"/>
  <c r="V101" i="267"/>
  <c r="U101" i="267"/>
  <c r="T101" i="267"/>
  <c r="S101" i="267"/>
  <c r="R101" i="267"/>
  <c r="Q101" i="267"/>
  <c r="P101" i="267"/>
  <c r="O101" i="267"/>
  <c r="N101" i="267"/>
  <c r="M101" i="267"/>
  <c r="L101" i="267"/>
  <c r="K101" i="267"/>
  <c r="J101" i="267"/>
  <c r="I101" i="267"/>
  <c r="H101" i="267"/>
  <c r="G101" i="267"/>
  <c r="F101" i="267"/>
  <c r="M99" i="267"/>
  <c r="L99" i="267"/>
  <c r="J99" i="267"/>
  <c r="G99" i="267"/>
  <c r="O95" i="267"/>
  <c r="AC80" i="267"/>
  <c r="AC100" i="267" s="1"/>
  <c r="AB80" i="267"/>
  <c r="AB100" i="267" s="1"/>
  <c r="AA80" i="267"/>
  <c r="AA100" i="267" s="1"/>
  <c r="Z80" i="267"/>
  <c r="Z100" i="267" s="1"/>
  <c r="Y80" i="267"/>
  <c r="Y100" i="267" s="1"/>
  <c r="X80" i="267"/>
  <c r="X100" i="267" s="1"/>
  <c r="W80" i="267"/>
  <c r="W100" i="267" s="1"/>
  <c r="V80" i="267"/>
  <c r="V100" i="267" s="1"/>
  <c r="U80" i="267"/>
  <c r="U100" i="267" s="1"/>
  <c r="T80" i="267"/>
  <c r="T100" i="267" s="1"/>
  <c r="S80" i="267"/>
  <c r="S100" i="267" s="1"/>
  <c r="R80" i="267"/>
  <c r="R100" i="267" s="1"/>
  <c r="Q80" i="267"/>
  <c r="Q100" i="267" s="1"/>
  <c r="P80" i="267"/>
  <c r="P100" i="267" s="1"/>
  <c r="O80" i="267"/>
  <c r="O100" i="267" s="1"/>
  <c r="N80" i="267"/>
  <c r="N100" i="267" s="1"/>
  <c r="M80" i="267"/>
  <c r="M100" i="267" s="1"/>
  <c r="L80" i="267"/>
  <c r="L100" i="267" s="1"/>
  <c r="K80" i="267"/>
  <c r="K100" i="267" s="1"/>
  <c r="J80" i="267"/>
  <c r="J100" i="267" s="1"/>
  <c r="I80" i="267"/>
  <c r="I100" i="267" s="1"/>
  <c r="H80" i="267"/>
  <c r="H100" i="267" s="1"/>
  <c r="G80" i="267"/>
  <c r="G100" i="267" s="1"/>
  <c r="F80" i="267"/>
  <c r="F100" i="267" s="1"/>
  <c r="C80" i="267"/>
  <c r="AH79" i="267"/>
  <c r="AG79" i="267"/>
  <c r="AF79" i="267"/>
  <c r="AH78" i="267"/>
  <c r="AG78" i="267"/>
  <c r="AF78" i="267"/>
  <c r="AI77" i="267"/>
  <c r="AC76" i="267"/>
  <c r="AC99" i="267" s="1"/>
  <c r="AB76" i="267"/>
  <c r="AB99" i="267" s="1"/>
  <c r="AA76" i="267"/>
  <c r="AA99" i="267" s="1"/>
  <c r="Z76" i="267"/>
  <c r="Z99" i="267" s="1"/>
  <c r="Y76" i="267"/>
  <c r="Y99" i="267" s="1"/>
  <c r="X76" i="267"/>
  <c r="X99" i="267" s="1"/>
  <c r="W76" i="267"/>
  <c r="W99" i="267" s="1"/>
  <c r="V76" i="267"/>
  <c r="V99" i="267" s="1"/>
  <c r="U76" i="267"/>
  <c r="U99" i="267" s="1"/>
  <c r="T76" i="267"/>
  <c r="T99" i="267" s="1"/>
  <c r="S76" i="267"/>
  <c r="S99" i="267" s="1"/>
  <c r="R76" i="267"/>
  <c r="R99" i="267" s="1"/>
  <c r="Q76" i="267"/>
  <c r="Q99" i="267" s="1"/>
  <c r="P76" i="267"/>
  <c r="P99" i="267" s="1"/>
  <c r="O76" i="267"/>
  <c r="O99" i="267" s="1"/>
  <c r="N76" i="267"/>
  <c r="N99" i="267" s="1"/>
  <c r="M76" i="267"/>
  <c r="L76" i="267"/>
  <c r="K76" i="267"/>
  <c r="K99" i="267" s="1"/>
  <c r="J76" i="267"/>
  <c r="I76" i="267"/>
  <c r="I99" i="267" s="1"/>
  <c r="H76" i="267"/>
  <c r="H99" i="267" s="1"/>
  <c r="G76" i="267"/>
  <c r="C76" i="267"/>
  <c r="B76" i="267"/>
  <c r="B80" i="267" s="1"/>
  <c r="B25" i="267" s="1"/>
  <c r="AH75" i="267"/>
  <c r="AG75" i="267"/>
  <c r="AF75" i="267"/>
  <c r="AH74" i="267"/>
  <c r="AG74" i="267"/>
  <c r="AF74" i="267"/>
  <c r="AH73" i="267"/>
  <c r="AG73" i="267"/>
  <c r="AF73" i="267"/>
  <c r="AH72" i="267"/>
  <c r="AG72" i="267"/>
  <c r="AF72" i="267"/>
  <c r="AH71" i="267"/>
  <c r="AG71" i="267"/>
  <c r="AF71" i="267"/>
  <c r="AH70" i="267"/>
  <c r="AG70" i="267"/>
  <c r="AF70" i="267"/>
  <c r="AH69" i="267"/>
  <c r="AG69" i="267"/>
  <c r="AF69" i="267"/>
  <c r="AH68" i="267"/>
  <c r="AG68" i="267"/>
  <c r="AF68" i="267"/>
  <c r="AH67" i="267"/>
  <c r="AG67" i="267"/>
  <c r="AF67" i="267"/>
  <c r="AI66" i="267"/>
  <c r="AC65" i="267"/>
  <c r="AC98" i="267" s="1"/>
  <c r="Z65" i="267"/>
  <c r="Z98" i="267" s="1"/>
  <c r="X65" i="267"/>
  <c r="X98" i="267" s="1"/>
  <c r="W65" i="267"/>
  <c r="W98" i="267" s="1"/>
  <c r="V65" i="267"/>
  <c r="V98" i="267" s="1"/>
  <c r="U65" i="267"/>
  <c r="U98" i="267" s="1"/>
  <c r="L65" i="267"/>
  <c r="L98" i="267" s="1"/>
  <c r="C65" i="267"/>
  <c r="T65" i="267"/>
  <c r="T98" i="267" s="1"/>
  <c r="S65" i="267"/>
  <c r="S98" i="267" s="1"/>
  <c r="R65" i="267"/>
  <c r="R98" i="267" s="1"/>
  <c r="Q65" i="267"/>
  <c r="Q98" i="267" s="1"/>
  <c r="P65" i="267"/>
  <c r="P98" i="267" s="1"/>
  <c r="O65" i="267"/>
  <c r="O98" i="267" s="1"/>
  <c r="N65" i="267"/>
  <c r="N98" i="267" s="1"/>
  <c r="M65" i="267"/>
  <c r="M98" i="267" s="1"/>
  <c r="AB65" i="267"/>
  <c r="AB98" i="267" s="1"/>
  <c r="Y65" i="267"/>
  <c r="Y98" i="267" s="1"/>
  <c r="AC60" i="267"/>
  <c r="AC97" i="267" s="1"/>
  <c r="AB60" i="267"/>
  <c r="AB97" i="267" s="1"/>
  <c r="AA60" i="267"/>
  <c r="AA97" i="267" s="1"/>
  <c r="Z60" i="267"/>
  <c r="Z97" i="267" s="1"/>
  <c r="Y60" i="267"/>
  <c r="Y97" i="267" s="1"/>
  <c r="X60" i="267"/>
  <c r="X97" i="267" s="1"/>
  <c r="W60" i="267"/>
  <c r="W97" i="267" s="1"/>
  <c r="V60" i="267"/>
  <c r="V97" i="267" s="1"/>
  <c r="U60" i="267"/>
  <c r="U97" i="267" s="1"/>
  <c r="T60" i="267"/>
  <c r="T97" i="267" s="1"/>
  <c r="S60" i="267"/>
  <c r="S97" i="267" s="1"/>
  <c r="R60" i="267"/>
  <c r="R97" i="267" s="1"/>
  <c r="Q60" i="267"/>
  <c r="Q97" i="267" s="1"/>
  <c r="O60" i="267"/>
  <c r="O97" i="267" s="1"/>
  <c r="N60" i="267"/>
  <c r="N97" i="267" s="1"/>
  <c r="M60" i="267"/>
  <c r="M97" i="267" s="1"/>
  <c r="K60" i="267"/>
  <c r="K97" i="267" s="1"/>
  <c r="J60" i="267"/>
  <c r="J97" i="267" s="1"/>
  <c r="I60" i="267"/>
  <c r="I97" i="267" s="1"/>
  <c r="H60" i="267"/>
  <c r="H97" i="267" s="1"/>
  <c r="G60" i="267"/>
  <c r="G97" i="267" s="1"/>
  <c r="C60" i="267"/>
  <c r="B60" i="267"/>
  <c r="B65" i="267" s="1"/>
  <c r="AH59" i="267"/>
  <c r="AG59" i="267"/>
  <c r="AF59" i="267"/>
  <c r="AH58" i="267"/>
  <c r="AG58" i="267"/>
  <c r="AF58" i="267"/>
  <c r="AH57" i="267"/>
  <c r="AG57" i="267"/>
  <c r="AF57" i="267"/>
  <c r="AH56" i="267"/>
  <c r="AH55" i="267"/>
  <c r="AG55" i="267"/>
  <c r="AF55" i="267"/>
  <c r="AH54" i="267"/>
  <c r="AG54" i="267"/>
  <c r="AF54" i="267"/>
  <c r="AH53" i="267"/>
  <c r="AG53" i="267"/>
  <c r="AF53" i="267"/>
  <c r="AH52" i="267"/>
  <c r="AG52" i="267"/>
  <c r="AF52" i="267"/>
  <c r="AH51" i="267"/>
  <c r="AG51" i="267"/>
  <c r="AF51" i="267"/>
  <c r="AH50" i="267"/>
  <c r="AH49" i="267"/>
  <c r="AG49" i="267"/>
  <c r="AF49" i="267"/>
  <c r="AH48" i="267"/>
  <c r="AF47" i="267"/>
  <c r="AH46" i="267"/>
  <c r="AG46" i="267"/>
  <c r="AF46" i="267"/>
  <c r="AH45" i="267"/>
  <c r="AG45" i="267"/>
  <c r="AF45" i="267"/>
  <c r="AH44" i="267"/>
  <c r="AG44" i="267"/>
  <c r="AF44" i="267"/>
  <c r="AH43" i="267"/>
  <c r="AG43" i="267"/>
  <c r="AF43" i="267"/>
  <c r="AH42" i="267"/>
  <c r="AG42" i="267"/>
  <c r="AF42" i="267"/>
  <c r="AH41" i="267"/>
  <c r="AG41" i="267"/>
  <c r="AF41" i="267"/>
  <c r="AH40" i="267"/>
  <c r="AG40" i="267"/>
  <c r="AF40" i="267"/>
  <c r="AH39" i="267"/>
  <c r="AG39" i="267"/>
  <c r="AF39" i="267"/>
  <c r="AH38" i="267"/>
  <c r="AG38" i="267"/>
  <c r="AF38" i="267"/>
  <c r="AH37" i="267"/>
  <c r="AG37" i="267"/>
  <c r="AF37" i="267"/>
  <c r="AH36" i="267"/>
  <c r="AG36" i="267"/>
  <c r="AF36" i="267"/>
  <c r="AC34" i="267"/>
  <c r="AC95" i="267" s="1"/>
  <c r="AB34" i="267"/>
  <c r="AB95" i="267" s="1"/>
  <c r="AA34" i="267"/>
  <c r="AA95" i="267" s="1"/>
  <c r="Z34" i="267"/>
  <c r="Z95" i="267" s="1"/>
  <c r="Y34" i="267"/>
  <c r="Y95" i="267" s="1"/>
  <c r="X34" i="267"/>
  <c r="X95" i="267" s="1"/>
  <c r="W34" i="267"/>
  <c r="W95" i="267" s="1"/>
  <c r="V34" i="267"/>
  <c r="V95" i="267" s="1"/>
  <c r="U34" i="267"/>
  <c r="U95" i="267" s="1"/>
  <c r="T34" i="267"/>
  <c r="T95" i="267" s="1"/>
  <c r="S34" i="267"/>
  <c r="S95" i="267" s="1"/>
  <c r="R34" i="267"/>
  <c r="R95" i="267" s="1"/>
  <c r="Q34" i="267"/>
  <c r="Q95" i="267" s="1"/>
  <c r="P34" i="267"/>
  <c r="P95" i="267" s="1"/>
  <c r="O34" i="267"/>
  <c r="N34" i="267"/>
  <c r="N95" i="267" s="1"/>
  <c r="M34" i="267"/>
  <c r="M95" i="267" s="1"/>
  <c r="L34" i="267"/>
  <c r="L95" i="267" s="1"/>
  <c r="K34" i="267"/>
  <c r="K95" i="267" s="1"/>
  <c r="J34" i="267"/>
  <c r="J95" i="267" s="1"/>
  <c r="I34" i="267"/>
  <c r="I95" i="267" s="1"/>
  <c r="H34" i="267"/>
  <c r="H95" i="267" s="1"/>
  <c r="G34" i="267"/>
  <c r="G95" i="267" s="1"/>
  <c r="C34" i="267"/>
  <c r="B34" i="267"/>
  <c r="AH33" i="267"/>
  <c r="AG33" i="267"/>
  <c r="AF33" i="267"/>
  <c r="AI32" i="267"/>
  <c r="AC31" i="267"/>
  <c r="AC93" i="267" s="1"/>
  <c r="AB31" i="267"/>
  <c r="AB93" i="267" s="1"/>
  <c r="AA31" i="267"/>
  <c r="AA93" i="267" s="1"/>
  <c r="Z31" i="267"/>
  <c r="Z93" i="267" s="1"/>
  <c r="Y31" i="267"/>
  <c r="Y93" i="267" s="1"/>
  <c r="X31" i="267"/>
  <c r="X93" i="267" s="1"/>
  <c r="W31" i="267"/>
  <c r="W93" i="267" s="1"/>
  <c r="V31" i="267"/>
  <c r="V93" i="267" s="1"/>
  <c r="U31" i="267"/>
  <c r="U93" i="267" s="1"/>
  <c r="T31" i="267"/>
  <c r="T93" i="267" s="1"/>
  <c r="S31" i="267"/>
  <c r="S93" i="267" s="1"/>
  <c r="R31" i="267"/>
  <c r="R93" i="267" s="1"/>
  <c r="Q31" i="267"/>
  <c r="Q93" i="267" s="1"/>
  <c r="P31" i="267"/>
  <c r="P93" i="267" s="1"/>
  <c r="O31" i="267"/>
  <c r="O93" i="267" s="1"/>
  <c r="N31" i="267"/>
  <c r="N93" i="267" s="1"/>
  <c r="M31" i="267"/>
  <c r="M93" i="267" s="1"/>
  <c r="L31" i="267"/>
  <c r="L93" i="267" s="1"/>
  <c r="K31" i="267"/>
  <c r="K93" i="267" s="1"/>
  <c r="J31" i="267"/>
  <c r="J93" i="267" s="1"/>
  <c r="I31" i="267"/>
  <c r="I93" i="267" s="1"/>
  <c r="H31" i="267"/>
  <c r="H93" i="267" s="1"/>
  <c r="G31" i="267"/>
  <c r="G93" i="267" s="1"/>
  <c r="C31" i="267"/>
  <c r="B31" i="267"/>
  <c r="AI28" i="267"/>
  <c r="AH28" i="267"/>
  <c r="AG28" i="267"/>
  <c r="AF28" i="267"/>
  <c r="AH27" i="267"/>
  <c r="AG27" i="267"/>
  <c r="AF27" i="267"/>
  <c r="AI26" i="267"/>
  <c r="AC25" i="267"/>
  <c r="AB25" i="267"/>
  <c r="AA25" i="267"/>
  <c r="Z25" i="267"/>
  <c r="Y25" i="267"/>
  <c r="X25" i="267"/>
  <c r="W25" i="267"/>
  <c r="V25" i="267"/>
  <c r="U25" i="267"/>
  <c r="T25" i="267"/>
  <c r="S25" i="267"/>
  <c r="R25" i="267"/>
  <c r="Q25" i="267"/>
  <c r="P25" i="267"/>
  <c r="O25" i="267"/>
  <c r="N25" i="267"/>
  <c r="M25" i="267"/>
  <c r="L25" i="267"/>
  <c r="K25" i="267"/>
  <c r="J25" i="267"/>
  <c r="I25" i="267"/>
  <c r="H25" i="267"/>
  <c r="G25" i="267"/>
  <c r="C25" i="267"/>
  <c r="AH24" i="267"/>
  <c r="AG24" i="267"/>
  <c r="AF24" i="267"/>
  <c r="AI23" i="267"/>
  <c r="AC22" i="267"/>
  <c r="AB22" i="267"/>
  <c r="AA22" i="267"/>
  <c r="Z22" i="267"/>
  <c r="Y22" i="267"/>
  <c r="X22" i="267"/>
  <c r="W22" i="267"/>
  <c r="V22" i="267"/>
  <c r="U22" i="267"/>
  <c r="T22" i="267"/>
  <c r="S22" i="267"/>
  <c r="R22" i="267"/>
  <c r="Q22" i="267"/>
  <c r="Q89" i="267" s="1"/>
  <c r="P22" i="267"/>
  <c r="O22" i="267"/>
  <c r="O89" i="267" s="1"/>
  <c r="N22" i="267"/>
  <c r="N89" i="267" s="1"/>
  <c r="M22" i="267"/>
  <c r="L22" i="267"/>
  <c r="L89" i="267" s="1"/>
  <c r="K22" i="267"/>
  <c r="J22" i="267"/>
  <c r="I22" i="267"/>
  <c r="H22" i="267"/>
  <c r="G22" i="267"/>
  <c r="C22" i="267"/>
  <c r="B22" i="267"/>
  <c r="AH21" i="267"/>
  <c r="AG21" i="267"/>
  <c r="AF21" i="267"/>
  <c r="AH20" i="267"/>
  <c r="AG20" i="267"/>
  <c r="AF20" i="267"/>
  <c r="AH19" i="267"/>
  <c r="AG19" i="267"/>
  <c r="AF19" i="267"/>
  <c r="AI18" i="267"/>
  <c r="AC17" i="267"/>
  <c r="AC91" i="267" s="1"/>
  <c r="AB17" i="267"/>
  <c r="AB91" i="267" s="1"/>
  <c r="AA17" i="267"/>
  <c r="AA91" i="267" s="1"/>
  <c r="Z17" i="267"/>
  <c r="Z91" i="267" s="1"/>
  <c r="Z108" i="267" s="1"/>
  <c r="Y17" i="267"/>
  <c r="Y91" i="267" s="1"/>
  <c r="X17" i="267"/>
  <c r="X91" i="267" s="1"/>
  <c r="W17" i="267"/>
  <c r="W91" i="267" s="1"/>
  <c r="V17" i="267"/>
  <c r="V91" i="267" s="1"/>
  <c r="U17" i="267"/>
  <c r="U91" i="267" s="1"/>
  <c r="T17" i="267"/>
  <c r="T91" i="267" s="1"/>
  <c r="S17" i="267"/>
  <c r="S91" i="267" s="1"/>
  <c r="R17" i="267"/>
  <c r="R91" i="267" s="1"/>
  <c r="Q17" i="267"/>
  <c r="Q91" i="267" s="1"/>
  <c r="P17" i="267"/>
  <c r="P91" i="267" s="1"/>
  <c r="O17" i="267"/>
  <c r="N17" i="267"/>
  <c r="N91" i="267" s="1"/>
  <c r="M17" i="267"/>
  <c r="M91" i="267" s="1"/>
  <c r="L17" i="267"/>
  <c r="L91" i="267" s="1"/>
  <c r="K17" i="267"/>
  <c r="K91" i="267" s="1"/>
  <c r="J17" i="267"/>
  <c r="J91" i="267" s="1"/>
  <c r="I17" i="267"/>
  <c r="I91" i="267" s="1"/>
  <c r="H17" i="267"/>
  <c r="H91" i="267" s="1"/>
  <c r="G17" i="267"/>
  <c r="G91" i="267" s="1"/>
  <c r="C17" i="267"/>
  <c r="B17" i="267"/>
  <c r="AH16" i="267"/>
  <c r="AG16" i="267"/>
  <c r="AF16" i="267"/>
  <c r="AH15" i="267"/>
  <c r="AG15" i="267"/>
  <c r="AF15" i="267"/>
  <c r="AH14" i="267"/>
  <c r="AG14" i="267"/>
  <c r="AF14" i="267"/>
  <c r="AH13" i="267"/>
  <c r="AG13" i="267"/>
  <c r="AF13" i="267"/>
  <c r="AI12" i="267"/>
  <c r="M9" i="267" a="1"/>
  <c r="M9" i="267" s="1"/>
  <c r="AR4" i="267"/>
  <c r="AC62" i="266"/>
  <c r="AC65" i="266" s="1"/>
  <c r="AC98" i="266" s="1"/>
  <c r="F355" i="88"/>
  <c r="AE177" i="260"/>
  <c r="AB62" i="266"/>
  <c r="F354" i="88"/>
  <c r="F353" i="88"/>
  <c r="F344" i="88"/>
  <c r="AE176" i="260"/>
  <c r="AA62" i="266"/>
  <c r="AA65" i="266" s="1"/>
  <c r="AA98" i="266" s="1"/>
  <c r="F335" i="88"/>
  <c r="AE175" i="260"/>
  <c r="W175" i="260"/>
  <c r="Z62" i="266"/>
  <c r="Z65" i="266" s="1"/>
  <c r="Z98" i="266" s="1"/>
  <c r="F351" i="88"/>
  <c r="F352" i="88"/>
  <c r="F349" i="88"/>
  <c r="F350" i="88"/>
  <c r="AE174" i="260"/>
  <c r="W174" i="260"/>
  <c r="Y62" i="266"/>
  <c r="Y65" i="266" s="1"/>
  <c r="Y98" i="266" s="1"/>
  <c r="W173" i="260"/>
  <c r="F342" i="88"/>
  <c r="W172" i="260"/>
  <c r="W171" i="260"/>
  <c r="AE169" i="260"/>
  <c r="W169" i="260"/>
  <c r="U105" i="266"/>
  <c r="U106" i="266" s="1"/>
  <c r="T62" i="266"/>
  <c r="T64" i="266"/>
  <c r="W168" i="260"/>
  <c r="S64" i="266"/>
  <c r="S62" i="266"/>
  <c r="T65" i="266"/>
  <c r="T98" i="266" s="1"/>
  <c r="F302" i="88"/>
  <c r="F347" i="88"/>
  <c r="W167" i="260"/>
  <c r="R64" i="266"/>
  <c r="R63" i="266"/>
  <c r="R65" i="266" s="1"/>
  <c r="R98" i="266" s="1"/>
  <c r="W166" i="260"/>
  <c r="Q64" i="266"/>
  <c r="Q63" i="266"/>
  <c r="Q65" i="266" s="1"/>
  <c r="Q98" i="266" s="1"/>
  <c r="F341" i="88"/>
  <c r="F346" i="88"/>
  <c r="F343" i="88"/>
  <c r="F340" i="88"/>
  <c r="AE165" i="260"/>
  <c r="W165" i="260"/>
  <c r="P94" i="266"/>
  <c r="O94" i="266"/>
  <c r="P64" i="266"/>
  <c r="P63" i="266"/>
  <c r="P65" i="266" s="1"/>
  <c r="P98" i="266" s="1"/>
  <c r="P56" i="266"/>
  <c r="AH56" i="266" s="1"/>
  <c r="P50" i="266"/>
  <c r="AH50" i="266" s="1"/>
  <c r="P48" i="266"/>
  <c r="P47" i="266"/>
  <c r="AI36" i="266" s="1"/>
  <c r="F345" i="88"/>
  <c r="F339" i="88"/>
  <c r="AE164" i="260"/>
  <c r="W164" i="260"/>
  <c r="O64" i="266"/>
  <c r="O63" i="266"/>
  <c r="F338" i="88"/>
  <c r="F336" i="88"/>
  <c r="F337" i="88"/>
  <c r="O60" i="266"/>
  <c r="O97" i="266" s="1"/>
  <c r="AE163" i="260"/>
  <c r="W163" i="260"/>
  <c r="F333" i="88"/>
  <c r="F314" i="88"/>
  <c r="AE162" i="260"/>
  <c r="AE161" i="260"/>
  <c r="N63" i="266"/>
  <c r="N64" i="266"/>
  <c r="M64" i="266"/>
  <c r="M63" i="266"/>
  <c r="M65" i="266" s="1"/>
  <c r="M98" i="266" s="1"/>
  <c r="F331" i="88"/>
  <c r="F329" i="88"/>
  <c r="F328" i="88"/>
  <c r="F327" i="88"/>
  <c r="F307" i="88"/>
  <c r="K64" i="266"/>
  <c r="K63" i="266"/>
  <c r="K65" i="266" s="1"/>
  <c r="K98" i="266" s="1"/>
  <c r="J64" i="266"/>
  <c r="J63" i="266"/>
  <c r="J65" i="266" s="1"/>
  <c r="J98" i="266" s="1"/>
  <c r="F325" i="88"/>
  <c r="F324" i="88"/>
  <c r="I64" i="266"/>
  <c r="I63" i="266"/>
  <c r="AE156" i="260"/>
  <c r="F285" i="88"/>
  <c r="F289" i="88"/>
  <c r="F297" i="88"/>
  <c r="AE155" i="260"/>
  <c r="F63" i="266"/>
  <c r="F62" i="266"/>
  <c r="F295" i="88"/>
  <c r="W153" i="260"/>
  <c r="W152" i="260"/>
  <c r="F80" i="266"/>
  <c r="F100" i="266" s="1"/>
  <c r="F76" i="266"/>
  <c r="F99" i="266" s="1"/>
  <c r="F60" i="266"/>
  <c r="F97" i="266" s="1"/>
  <c r="F34" i="266"/>
  <c r="F95" i="266" s="1"/>
  <c r="F31" i="266"/>
  <c r="F93" i="266" s="1"/>
  <c r="F25" i="266"/>
  <c r="F22" i="266"/>
  <c r="F17" i="266"/>
  <c r="AC63" i="265"/>
  <c r="AC62" i="265"/>
  <c r="AB63" i="265"/>
  <c r="AB62" i="265"/>
  <c r="AA63" i="265"/>
  <c r="AA62" i="265"/>
  <c r="F321" i="88"/>
  <c r="AC128" i="266"/>
  <c r="AB128" i="266"/>
  <c r="AA128" i="266"/>
  <c r="Z128" i="266"/>
  <c r="Y128" i="266"/>
  <c r="X128" i="266"/>
  <c r="W128" i="266"/>
  <c r="V128" i="266"/>
  <c r="U128" i="266"/>
  <c r="T128" i="266"/>
  <c r="S128" i="266"/>
  <c r="R128" i="266"/>
  <c r="Q128" i="266"/>
  <c r="P128" i="266"/>
  <c r="O128" i="266"/>
  <c r="N128" i="266"/>
  <c r="M128" i="266"/>
  <c r="L128" i="266"/>
  <c r="K128" i="266"/>
  <c r="J128" i="266"/>
  <c r="I128" i="266"/>
  <c r="H128" i="266"/>
  <c r="G128" i="266"/>
  <c r="F128" i="266"/>
  <c r="AC106" i="266"/>
  <c r="AB106" i="266"/>
  <c r="AA106" i="266"/>
  <c r="Z106" i="266"/>
  <c r="Y106" i="266"/>
  <c r="X106" i="266"/>
  <c r="W106" i="266"/>
  <c r="V106" i="266"/>
  <c r="T106" i="266"/>
  <c r="S106" i="266"/>
  <c r="R106" i="266"/>
  <c r="Q106" i="266"/>
  <c r="P106" i="266"/>
  <c r="O106" i="266"/>
  <c r="N106" i="266"/>
  <c r="M106" i="266"/>
  <c r="L106" i="266"/>
  <c r="K106" i="266"/>
  <c r="J106" i="266"/>
  <c r="I106" i="266"/>
  <c r="H106" i="266"/>
  <c r="G106" i="266"/>
  <c r="F106" i="266"/>
  <c r="AC101" i="266"/>
  <c r="AB101" i="266"/>
  <c r="AA101" i="266"/>
  <c r="Z101" i="266"/>
  <c r="Y101" i="266"/>
  <c r="X101" i="266"/>
  <c r="W101" i="266"/>
  <c r="V101" i="266"/>
  <c r="U101" i="266"/>
  <c r="T101" i="266"/>
  <c r="S101" i="266"/>
  <c r="R101" i="266"/>
  <c r="Q101" i="266"/>
  <c r="P101" i="266"/>
  <c r="O101" i="266"/>
  <c r="N101" i="266"/>
  <c r="M101" i="266"/>
  <c r="L101" i="266"/>
  <c r="K101" i="266"/>
  <c r="J101" i="266"/>
  <c r="I101" i="266"/>
  <c r="H101" i="266"/>
  <c r="G101" i="266"/>
  <c r="F101" i="266"/>
  <c r="AA99" i="266"/>
  <c r="AC80" i="266"/>
  <c r="AC100" i="266" s="1"/>
  <c r="AB80" i="266"/>
  <c r="AB100" i="266" s="1"/>
  <c r="AA80" i="266"/>
  <c r="AA100" i="266" s="1"/>
  <c r="Z80" i="266"/>
  <c r="Z100" i="266" s="1"/>
  <c r="Y80" i="266"/>
  <c r="Y100" i="266" s="1"/>
  <c r="X80" i="266"/>
  <c r="X100" i="266" s="1"/>
  <c r="W80" i="266"/>
  <c r="W100" i="266" s="1"/>
  <c r="V80" i="266"/>
  <c r="V100" i="266" s="1"/>
  <c r="U80" i="266"/>
  <c r="U100" i="266" s="1"/>
  <c r="T80" i="266"/>
  <c r="T100" i="266" s="1"/>
  <c r="S80" i="266"/>
  <c r="S100" i="266" s="1"/>
  <c r="R80" i="266"/>
  <c r="R100" i="266" s="1"/>
  <c r="Q80" i="266"/>
  <c r="Q100" i="266" s="1"/>
  <c r="P80" i="266"/>
  <c r="P100" i="266" s="1"/>
  <c r="O80" i="266"/>
  <c r="O100" i="266" s="1"/>
  <c r="N80" i="266"/>
  <c r="N100" i="266" s="1"/>
  <c r="M80" i="266"/>
  <c r="M100" i="266" s="1"/>
  <c r="L80" i="266"/>
  <c r="L100" i="266" s="1"/>
  <c r="K80" i="266"/>
  <c r="K100" i="266" s="1"/>
  <c r="J80" i="266"/>
  <c r="J100" i="266" s="1"/>
  <c r="I80" i="266"/>
  <c r="I100" i="266" s="1"/>
  <c r="H80" i="266"/>
  <c r="H100" i="266" s="1"/>
  <c r="G80" i="266"/>
  <c r="G100" i="266" s="1"/>
  <c r="C80" i="266"/>
  <c r="AH79" i="266"/>
  <c r="AG79" i="266"/>
  <c r="AF79" i="266"/>
  <c r="AH78" i="266"/>
  <c r="AG78" i="266"/>
  <c r="AF78" i="266"/>
  <c r="AI77" i="266"/>
  <c r="AC76" i="266"/>
  <c r="AC99" i="266" s="1"/>
  <c r="AB76" i="266"/>
  <c r="AB99" i="266" s="1"/>
  <c r="AA76" i="266"/>
  <c r="Z76" i="266"/>
  <c r="Z99" i="266" s="1"/>
  <c r="Y76" i="266"/>
  <c r="Y99" i="266" s="1"/>
  <c r="X76" i="266"/>
  <c r="X99" i="266" s="1"/>
  <c r="W76" i="266"/>
  <c r="W99" i="266" s="1"/>
  <c r="V76" i="266"/>
  <c r="V99" i="266" s="1"/>
  <c r="U76" i="266"/>
  <c r="U99" i="266" s="1"/>
  <c r="T76" i="266"/>
  <c r="T99" i="266" s="1"/>
  <c r="S76" i="266"/>
  <c r="S99" i="266" s="1"/>
  <c r="R76" i="266"/>
  <c r="R99" i="266" s="1"/>
  <c r="Q76" i="266"/>
  <c r="Q99" i="266" s="1"/>
  <c r="P76" i="266"/>
  <c r="P99" i="266" s="1"/>
  <c r="O76" i="266"/>
  <c r="O99" i="266" s="1"/>
  <c r="N76" i="266"/>
  <c r="N99" i="266" s="1"/>
  <c r="M76" i="266"/>
  <c r="M99" i="266" s="1"/>
  <c r="L76" i="266"/>
  <c r="L99" i="266" s="1"/>
  <c r="K76" i="266"/>
  <c r="K99" i="266" s="1"/>
  <c r="J76" i="266"/>
  <c r="J99" i="266" s="1"/>
  <c r="I76" i="266"/>
  <c r="I99" i="266" s="1"/>
  <c r="H76" i="266"/>
  <c r="H99" i="266" s="1"/>
  <c r="G76" i="266"/>
  <c r="G99" i="266" s="1"/>
  <c r="C76" i="266"/>
  <c r="B76" i="266"/>
  <c r="B80" i="266" s="1"/>
  <c r="B25" i="266" s="1"/>
  <c r="AH75" i="266"/>
  <c r="AG75" i="266"/>
  <c r="AF75" i="266"/>
  <c r="AH74" i="266"/>
  <c r="AG74" i="266"/>
  <c r="AF74" i="266"/>
  <c r="AH73" i="266"/>
  <c r="AG73" i="266"/>
  <c r="AF73" i="266"/>
  <c r="AH72" i="266"/>
  <c r="AG72" i="266"/>
  <c r="AF72" i="266"/>
  <c r="AH71" i="266"/>
  <c r="AG71" i="266"/>
  <c r="AF71" i="266"/>
  <c r="AH70" i="266"/>
  <c r="AG70" i="266"/>
  <c r="AF70" i="266"/>
  <c r="AH69" i="266"/>
  <c r="AG69" i="266"/>
  <c r="AF69" i="266"/>
  <c r="AH68" i="266"/>
  <c r="AG68" i="266"/>
  <c r="AF68" i="266"/>
  <c r="AH67" i="266"/>
  <c r="AG67" i="266"/>
  <c r="AF67" i="266"/>
  <c r="AI66" i="266"/>
  <c r="W65" i="266"/>
  <c r="W98" i="266" s="1"/>
  <c r="S65" i="266"/>
  <c r="S98" i="266" s="1"/>
  <c r="L65" i="266"/>
  <c r="L98" i="266" s="1"/>
  <c r="H65" i="266"/>
  <c r="H98" i="266" s="1"/>
  <c r="G65" i="266"/>
  <c r="G98" i="266" s="1"/>
  <c r="C65" i="266"/>
  <c r="U65" i="266"/>
  <c r="U98" i="266" s="1"/>
  <c r="AB65" i="266"/>
  <c r="AB98" i="266" s="1"/>
  <c r="V65" i="266"/>
  <c r="V98" i="266" s="1"/>
  <c r="AC60" i="266"/>
  <c r="AC97" i="266" s="1"/>
  <c r="AB60" i="266"/>
  <c r="AB97" i="266" s="1"/>
  <c r="AA60" i="266"/>
  <c r="AA97" i="266" s="1"/>
  <c r="Z60" i="266"/>
  <c r="Z97" i="266" s="1"/>
  <c r="X60" i="266"/>
  <c r="X97" i="266" s="1"/>
  <c r="W60" i="266"/>
  <c r="W97" i="266" s="1"/>
  <c r="V60" i="266"/>
  <c r="V97" i="266" s="1"/>
  <c r="U60" i="266"/>
  <c r="U97" i="266" s="1"/>
  <c r="T60" i="266"/>
  <c r="R60" i="266"/>
  <c r="R97" i="266" s="1"/>
  <c r="Q60" i="266"/>
  <c r="Q97" i="266" s="1"/>
  <c r="N60" i="266"/>
  <c r="N97" i="266" s="1"/>
  <c r="M60" i="266"/>
  <c r="M97" i="266" s="1"/>
  <c r="L60" i="266"/>
  <c r="L97" i="266" s="1"/>
  <c r="K60" i="266"/>
  <c r="K97" i="266" s="1"/>
  <c r="J60" i="266"/>
  <c r="J97" i="266" s="1"/>
  <c r="I60" i="266"/>
  <c r="I97" i="266" s="1"/>
  <c r="H60" i="266"/>
  <c r="H97" i="266" s="1"/>
  <c r="G60" i="266"/>
  <c r="G97" i="266" s="1"/>
  <c r="C60" i="266"/>
  <c r="B60" i="266"/>
  <c r="B65" i="266" s="1"/>
  <c r="AH59" i="266"/>
  <c r="AG59" i="266"/>
  <c r="AF59" i="266"/>
  <c r="AH58" i="266"/>
  <c r="AG58" i="266"/>
  <c r="AF58" i="266"/>
  <c r="AH57" i="266"/>
  <c r="AG57" i="266"/>
  <c r="AF57" i="266"/>
  <c r="AG56" i="266"/>
  <c r="AF56" i="266"/>
  <c r="AH55" i="266"/>
  <c r="AG55" i="266"/>
  <c r="AF55" i="266"/>
  <c r="AH54" i="266"/>
  <c r="AG54" i="266"/>
  <c r="AF54" i="266"/>
  <c r="AH53" i="266"/>
  <c r="AG53" i="266"/>
  <c r="AF53" i="266"/>
  <c r="AH52" i="266"/>
  <c r="AG52" i="266"/>
  <c r="AF52" i="266"/>
  <c r="AH51" i="266"/>
  <c r="AG51" i="266"/>
  <c r="AF51" i="266"/>
  <c r="AH49" i="266"/>
  <c r="AG49" i="266"/>
  <c r="AF49" i="266"/>
  <c r="AH48" i="266"/>
  <c r="Y60" i="266"/>
  <c r="Y97" i="266" s="1"/>
  <c r="AH47" i="266"/>
  <c r="AH46" i="266"/>
  <c r="AG46" i="266"/>
  <c r="AF46" i="266"/>
  <c r="AH45" i="266"/>
  <c r="AG45" i="266"/>
  <c r="AF45" i="266"/>
  <c r="AH44" i="266"/>
  <c r="AG44" i="266"/>
  <c r="AF44" i="266"/>
  <c r="AH43" i="266"/>
  <c r="AG43" i="266"/>
  <c r="AF43" i="266"/>
  <c r="AH42" i="266"/>
  <c r="AG42" i="266"/>
  <c r="AF42" i="266"/>
  <c r="AH41" i="266"/>
  <c r="AG41" i="266"/>
  <c r="AF41" i="266"/>
  <c r="AH40" i="266"/>
  <c r="AG40" i="266"/>
  <c r="AF40" i="266"/>
  <c r="AH39" i="266"/>
  <c r="AG39" i="266"/>
  <c r="AF39" i="266"/>
  <c r="AH38" i="266"/>
  <c r="AG38" i="266"/>
  <c r="AF38" i="266"/>
  <c r="AH37" i="266"/>
  <c r="AG37" i="266"/>
  <c r="AF37" i="266"/>
  <c r="AH36" i="266"/>
  <c r="AG36" i="266"/>
  <c r="AF36" i="266"/>
  <c r="AC34" i="266"/>
  <c r="AC95" i="266" s="1"/>
  <c r="AB34" i="266"/>
  <c r="AB95" i="266" s="1"/>
  <c r="AA34" i="266"/>
  <c r="AA95" i="266" s="1"/>
  <c r="Z34" i="266"/>
  <c r="Z95" i="266" s="1"/>
  <c r="Y34" i="266"/>
  <c r="Y95" i="266" s="1"/>
  <c r="X34" i="266"/>
  <c r="X95" i="266" s="1"/>
  <c r="W34" i="266"/>
  <c r="W95" i="266" s="1"/>
  <c r="V34" i="266"/>
  <c r="V95" i="266" s="1"/>
  <c r="U34" i="266"/>
  <c r="U95" i="266" s="1"/>
  <c r="T34" i="266"/>
  <c r="T95" i="266" s="1"/>
  <c r="S34" i="266"/>
  <c r="S95" i="266" s="1"/>
  <c r="R34" i="266"/>
  <c r="R95" i="266" s="1"/>
  <c r="Q34" i="266"/>
  <c r="Q95" i="266" s="1"/>
  <c r="P34" i="266"/>
  <c r="P95" i="266" s="1"/>
  <c r="O34" i="266"/>
  <c r="O95" i="266" s="1"/>
  <c r="N34" i="266"/>
  <c r="N95" i="266" s="1"/>
  <c r="M34" i="266"/>
  <c r="M95" i="266" s="1"/>
  <c r="L34" i="266"/>
  <c r="L95" i="266" s="1"/>
  <c r="K34" i="266"/>
  <c r="K95" i="266" s="1"/>
  <c r="J34" i="266"/>
  <c r="J95" i="266" s="1"/>
  <c r="I34" i="266"/>
  <c r="I95" i="266" s="1"/>
  <c r="H34" i="266"/>
  <c r="H95" i="266" s="1"/>
  <c r="G34" i="266"/>
  <c r="G95" i="266" s="1"/>
  <c r="C34" i="266"/>
  <c r="B34" i="266"/>
  <c r="AH33" i="266"/>
  <c r="AG33" i="266"/>
  <c r="AF33" i="266"/>
  <c r="AI32" i="266"/>
  <c r="AC31" i="266"/>
  <c r="AC93" i="266" s="1"/>
  <c r="AB31" i="266"/>
  <c r="AB93" i="266" s="1"/>
  <c r="AA31" i="266"/>
  <c r="AA93" i="266" s="1"/>
  <c r="Z31" i="266"/>
  <c r="Z93" i="266" s="1"/>
  <c r="Y31" i="266"/>
  <c r="Y93" i="266" s="1"/>
  <c r="X31" i="266"/>
  <c r="X93" i="266" s="1"/>
  <c r="W31" i="266"/>
  <c r="W93" i="266" s="1"/>
  <c r="V31" i="266"/>
  <c r="V93" i="266" s="1"/>
  <c r="U31" i="266"/>
  <c r="U93" i="266" s="1"/>
  <c r="T31" i="266"/>
  <c r="T93" i="266" s="1"/>
  <c r="S31" i="266"/>
  <c r="S93" i="266" s="1"/>
  <c r="R31" i="266"/>
  <c r="R93" i="266" s="1"/>
  <c r="Q31" i="266"/>
  <c r="Q93" i="266" s="1"/>
  <c r="P31" i="266"/>
  <c r="P93" i="266" s="1"/>
  <c r="O31" i="266"/>
  <c r="O93" i="266" s="1"/>
  <c r="N31" i="266"/>
  <c r="N93" i="266" s="1"/>
  <c r="M31" i="266"/>
  <c r="M93" i="266" s="1"/>
  <c r="L31" i="266"/>
  <c r="L93" i="266" s="1"/>
  <c r="K31" i="266"/>
  <c r="K93" i="266" s="1"/>
  <c r="J31" i="266"/>
  <c r="J93" i="266" s="1"/>
  <c r="I31" i="266"/>
  <c r="I93" i="266" s="1"/>
  <c r="H31" i="266"/>
  <c r="H93" i="266" s="1"/>
  <c r="G31" i="266"/>
  <c r="G93" i="266" s="1"/>
  <c r="C31" i="266"/>
  <c r="B31" i="266"/>
  <c r="AI28" i="266"/>
  <c r="AH28" i="266"/>
  <c r="AG28" i="266"/>
  <c r="AF28" i="266"/>
  <c r="AH27" i="266"/>
  <c r="AG27" i="266"/>
  <c r="AF27" i="266"/>
  <c r="AI26" i="266"/>
  <c r="AC25" i="266"/>
  <c r="AB25" i="266"/>
  <c r="AA25" i="266"/>
  <c r="Z25" i="266"/>
  <c r="Y25" i="266"/>
  <c r="X25" i="266"/>
  <c r="W25" i="266"/>
  <c r="V25" i="266"/>
  <c r="U25" i="266"/>
  <c r="T25" i="266"/>
  <c r="S25" i="266"/>
  <c r="R25" i="266"/>
  <c r="Q25" i="266"/>
  <c r="P25" i="266"/>
  <c r="O25" i="266"/>
  <c r="N25" i="266"/>
  <c r="M25" i="266"/>
  <c r="L25" i="266"/>
  <c r="K25" i="266"/>
  <c r="J25" i="266"/>
  <c r="I25" i="266"/>
  <c r="H25" i="266"/>
  <c r="G25" i="266"/>
  <c r="C25" i="266"/>
  <c r="AH24" i="266"/>
  <c r="AG24" i="266"/>
  <c r="AF24" i="266"/>
  <c r="AI23" i="266"/>
  <c r="AC22" i="266"/>
  <c r="AB22" i="266"/>
  <c r="AA22" i="266"/>
  <c r="Z22" i="266"/>
  <c r="Y22" i="266"/>
  <c r="X22" i="266"/>
  <c r="W22" i="266"/>
  <c r="V22" i="266"/>
  <c r="U22" i="266"/>
  <c r="T22" i="266"/>
  <c r="S22" i="266"/>
  <c r="R22" i="266"/>
  <c r="Q22" i="266"/>
  <c r="P22" i="266"/>
  <c r="O22" i="266"/>
  <c r="N22" i="266"/>
  <c r="M22" i="266"/>
  <c r="L22" i="266"/>
  <c r="K22" i="266"/>
  <c r="J22" i="266"/>
  <c r="I22" i="266"/>
  <c r="H22" i="266"/>
  <c r="G22" i="266"/>
  <c r="C22" i="266"/>
  <c r="B22" i="266"/>
  <c r="AH21" i="266"/>
  <c r="AG21" i="266"/>
  <c r="AF21" i="266"/>
  <c r="AH20" i="266"/>
  <c r="AG20" i="266"/>
  <c r="AF20" i="266"/>
  <c r="AH19" i="266"/>
  <c r="AG19" i="266"/>
  <c r="AF19" i="266"/>
  <c r="AI18" i="266"/>
  <c r="AC17" i="266"/>
  <c r="AC91" i="266" s="1"/>
  <c r="AB17" i="266"/>
  <c r="AB91" i="266" s="1"/>
  <c r="AA17" i="266"/>
  <c r="AA91" i="266" s="1"/>
  <c r="Z17" i="266"/>
  <c r="Z91" i="266" s="1"/>
  <c r="Y17" i="266"/>
  <c r="Y91" i="266" s="1"/>
  <c r="X17" i="266"/>
  <c r="X91" i="266" s="1"/>
  <c r="W17" i="266"/>
  <c r="W91" i="266" s="1"/>
  <c r="V17" i="266"/>
  <c r="V91" i="266" s="1"/>
  <c r="U17" i="266"/>
  <c r="U91" i="266" s="1"/>
  <c r="T17" i="266"/>
  <c r="S17" i="266"/>
  <c r="S91" i="266" s="1"/>
  <c r="R17" i="266"/>
  <c r="R91" i="266" s="1"/>
  <c r="Q17" i="266"/>
  <c r="P17" i="266"/>
  <c r="P91" i="266" s="1"/>
  <c r="O17" i="266"/>
  <c r="O91" i="266" s="1"/>
  <c r="N17" i="266"/>
  <c r="N91" i="266" s="1"/>
  <c r="M17" i="266"/>
  <c r="L17" i="266"/>
  <c r="K17" i="266"/>
  <c r="J17" i="266"/>
  <c r="I17" i="266"/>
  <c r="I91" i="266" s="1"/>
  <c r="H17" i="266"/>
  <c r="G17" i="266"/>
  <c r="F91" i="266"/>
  <c r="C17" i="266"/>
  <c r="B17" i="266"/>
  <c r="AH16" i="266"/>
  <c r="AG16" i="266"/>
  <c r="AF16" i="266"/>
  <c r="AH15" i="266"/>
  <c r="AG15" i="266"/>
  <c r="AF15" i="266"/>
  <c r="AH14" i="266"/>
  <c r="AG14" i="266"/>
  <c r="AF14" i="266"/>
  <c r="AH13" i="266"/>
  <c r="AG13" i="266"/>
  <c r="AF13" i="266"/>
  <c r="AI12" i="266"/>
  <c r="M9" i="266" a="1"/>
  <c r="M9" i="266" s="1"/>
  <c r="AR4" i="266"/>
  <c r="F313" i="88"/>
  <c r="F284" i="88"/>
  <c r="W151" i="260"/>
  <c r="W150" i="260"/>
  <c r="Z64" i="265"/>
  <c r="Z63" i="265"/>
  <c r="Z62" i="265"/>
  <c r="F316" i="88"/>
  <c r="F320" i="88"/>
  <c r="F319" i="88"/>
  <c r="F318" i="88"/>
  <c r="F315" i="88"/>
  <c r="F317" i="88"/>
  <c r="W149" i="260"/>
  <c r="Y63" i="265"/>
  <c r="Y62" i="265"/>
  <c r="Y48" i="265"/>
  <c r="Y47" i="265"/>
  <c r="Y46" i="265"/>
  <c r="AE148" i="260"/>
  <c r="W148" i="260"/>
  <c r="X63" i="265"/>
  <c r="X62" i="265"/>
  <c r="F286" i="88"/>
  <c r="AE147" i="260"/>
  <c r="W147" i="260"/>
  <c r="W63" i="265"/>
  <c r="W62" i="265"/>
  <c r="AE146" i="260"/>
  <c r="W146" i="260"/>
  <c r="V63" i="265"/>
  <c r="V62" i="265"/>
  <c r="F312" i="88"/>
  <c r="F311" i="88"/>
  <c r="F306" i="88"/>
  <c r="F309" i="88"/>
  <c r="AE145" i="260"/>
  <c r="W145" i="260"/>
  <c r="U63" i="265"/>
  <c r="U62" i="265"/>
  <c r="F308" i="88"/>
  <c r="F310" i="88"/>
  <c r="AE144" i="260"/>
  <c r="W144" i="260"/>
  <c r="T60" i="265"/>
  <c r="F257" i="88"/>
  <c r="F305" i="88"/>
  <c r="F304" i="88"/>
  <c r="F303" i="88"/>
  <c r="F301" i="88"/>
  <c r="F300" i="88"/>
  <c r="AE143" i="260"/>
  <c r="W143" i="260"/>
  <c r="S56" i="265"/>
  <c r="S50" i="265"/>
  <c r="S48" i="265"/>
  <c r="S47" i="265"/>
  <c r="S46" i="265"/>
  <c r="AE142" i="260"/>
  <c r="W142" i="260"/>
  <c r="F279" i="88"/>
  <c r="F299" i="88"/>
  <c r="AE141" i="260"/>
  <c r="W141" i="260"/>
  <c r="F298" i="88"/>
  <c r="F226" i="88"/>
  <c r="C9" i="105" s="1"/>
  <c r="J89" i="267" l="1"/>
  <c r="AH62" i="266"/>
  <c r="K89" i="267"/>
  <c r="AB108" i="267"/>
  <c r="AG63" i="267"/>
  <c r="L60" i="267"/>
  <c r="H109" i="267"/>
  <c r="AF63" i="266"/>
  <c r="S89" i="267"/>
  <c r="R89" i="266"/>
  <c r="R102" i="266" s="1"/>
  <c r="R107" i="266" s="1"/>
  <c r="AI36" i="265"/>
  <c r="AF50" i="266"/>
  <c r="AC109" i="267"/>
  <c r="AG50" i="266"/>
  <c r="W89" i="267"/>
  <c r="W102" i="267" s="1"/>
  <c r="W107" i="267" s="1"/>
  <c r="F65" i="266"/>
  <c r="F98" i="266" s="1"/>
  <c r="L108" i="267"/>
  <c r="R89" i="267"/>
  <c r="R102" i="267" s="1"/>
  <c r="R107" i="267" s="1"/>
  <c r="F89" i="266"/>
  <c r="AC108" i="267"/>
  <c r="AB109" i="267"/>
  <c r="V89" i="267"/>
  <c r="V102" i="267" s="1"/>
  <c r="V107" i="267" s="1"/>
  <c r="U89" i="267"/>
  <c r="U102" i="267" s="1"/>
  <c r="U107" i="267" s="1"/>
  <c r="T89" i="267"/>
  <c r="T102" i="267" s="1"/>
  <c r="T107" i="267" s="1"/>
  <c r="P89" i="267"/>
  <c r="N102" i="267"/>
  <c r="N107" i="267" s="1"/>
  <c r="M108" i="267"/>
  <c r="I109" i="267"/>
  <c r="I108" i="267"/>
  <c r="AA108" i="267"/>
  <c r="K102" i="267"/>
  <c r="K107" i="267" s="1"/>
  <c r="N108" i="267"/>
  <c r="O109" i="267"/>
  <c r="O91" i="267"/>
  <c r="O108" i="267" s="1"/>
  <c r="P108" i="267"/>
  <c r="Q108" i="267"/>
  <c r="M83" i="267"/>
  <c r="V108" i="267"/>
  <c r="G108" i="267"/>
  <c r="W108" i="267"/>
  <c r="H108" i="267"/>
  <c r="X108" i="267"/>
  <c r="M89" i="267"/>
  <c r="M102" i="267" s="1"/>
  <c r="M107" i="267" s="1"/>
  <c r="S102" i="267"/>
  <c r="S107" i="267" s="1"/>
  <c r="X109" i="267"/>
  <c r="S108" i="267"/>
  <c r="K108" i="267"/>
  <c r="F109" i="267"/>
  <c r="Z109" i="267"/>
  <c r="Y108" i="267"/>
  <c r="R108" i="267"/>
  <c r="T108" i="267"/>
  <c r="F108" i="267"/>
  <c r="G109" i="267"/>
  <c r="AA109" i="267"/>
  <c r="U108" i="267"/>
  <c r="Q102" i="267"/>
  <c r="Q107" i="267" s="1"/>
  <c r="J102" i="267"/>
  <c r="J107" i="267" s="1"/>
  <c r="AG47" i="267"/>
  <c r="AH47" i="267"/>
  <c r="AF64" i="267"/>
  <c r="AH64" i="267"/>
  <c r="AG64" i="267"/>
  <c r="AG48" i="267"/>
  <c r="F83" i="267"/>
  <c r="AI61" i="267"/>
  <c r="G83" i="267"/>
  <c r="P60" i="267"/>
  <c r="N83" i="267"/>
  <c r="S109" i="267"/>
  <c r="H89" i="267"/>
  <c r="H102" i="267" s="1"/>
  <c r="H107" i="267" s="1"/>
  <c r="AB89" i="267"/>
  <c r="AB102" i="267" s="1"/>
  <c r="AB107" i="267" s="1"/>
  <c r="O83" i="267"/>
  <c r="AC89" i="267"/>
  <c r="AC102" i="267" s="1"/>
  <c r="AC107" i="267" s="1"/>
  <c r="AC83" i="267"/>
  <c r="AF62" i="267"/>
  <c r="U109" i="267"/>
  <c r="AG62" i="267"/>
  <c r="Q83" i="267"/>
  <c r="V109" i="267"/>
  <c r="AH62" i="267"/>
  <c r="R83" i="267"/>
  <c r="W109" i="267"/>
  <c r="AH63" i="267"/>
  <c r="AF63" i="267"/>
  <c r="S83" i="267"/>
  <c r="AF48" i="267"/>
  <c r="Q109" i="267"/>
  <c r="T83" i="267"/>
  <c r="J108" i="267"/>
  <c r="J109" i="267"/>
  <c r="J83" i="267"/>
  <c r="U83" i="267"/>
  <c r="N109" i="267"/>
  <c r="X89" i="267"/>
  <c r="X102" i="267" s="1"/>
  <c r="X107" i="267" s="1"/>
  <c r="X83" i="267"/>
  <c r="Y83" i="267"/>
  <c r="Y89" i="267"/>
  <c r="Y102" i="267" s="1"/>
  <c r="Y107" i="267" s="1"/>
  <c r="Z83" i="267"/>
  <c r="I83" i="267"/>
  <c r="Y109" i="267"/>
  <c r="K83" i="267"/>
  <c r="K109" i="267"/>
  <c r="V83" i="267"/>
  <c r="B83" i="267"/>
  <c r="P109" i="267"/>
  <c r="C83" i="267"/>
  <c r="R109" i="267"/>
  <c r="T109" i="267"/>
  <c r="L83" i="267"/>
  <c r="L109" i="267"/>
  <c r="AA65" i="267"/>
  <c r="AA98" i="267" s="1"/>
  <c r="W83" i="267"/>
  <c r="M109" i="267"/>
  <c r="I89" i="267"/>
  <c r="I102" i="267" s="1"/>
  <c r="I107" i="267" s="1"/>
  <c r="AF50" i="267"/>
  <c r="AG56" i="267"/>
  <c r="F89" i="267"/>
  <c r="F102" i="267" s="1"/>
  <c r="F107" i="267" s="1"/>
  <c r="Z89" i="267"/>
  <c r="Z102" i="267" s="1"/>
  <c r="Z107" i="267" s="1"/>
  <c r="AF56" i="267"/>
  <c r="AG50" i="267"/>
  <c r="G89" i="267"/>
  <c r="G102" i="267" s="1"/>
  <c r="G107" i="267" s="1"/>
  <c r="AA89" i="267"/>
  <c r="H83" i="267"/>
  <c r="AB83" i="267"/>
  <c r="T97" i="266"/>
  <c r="AB108" i="266"/>
  <c r="Z89" i="266"/>
  <c r="Z102" i="266" s="1"/>
  <c r="Z107" i="266" s="1"/>
  <c r="X108" i="266"/>
  <c r="AH64" i="266"/>
  <c r="S108" i="266"/>
  <c r="Q89" i="266"/>
  <c r="P60" i="266"/>
  <c r="P97" i="266" s="1"/>
  <c r="O65" i="266"/>
  <c r="O98" i="266" s="1"/>
  <c r="C83" i="266"/>
  <c r="B83" i="266"/>
  <c r="AC83" i="266"/>
  <c r="N65" i="266"/>
  <c r="N98" i="266" s="1"/>
  <c r="AF64" i="266"/>
  <c r="AG64" i="266"/>
  <c r="I65" i="266"/>
  <c r="I98" i="266" s="1"/>
  <c r="I83" i="266"/>
  <c r="G89" i="266"/>
  <c r="Z108" i="266"/>
  <c r="V108" i="266"/>
  <c r="F108" i="266"/>
  <c r="AA108" i="266"/>
  <c r="AC108" i="266"/>
  <c r="I108" i="266"/>
  <c r="Y108" i="266"/>
  <c r="W108" i="266"/>
  <c r="G83" i="266"/>
  <c r="H83" i="266"/>
  <c r="J109" i="266"/>
  <c r="K109" i="266"/>
  <c r="L109" i="266"/>
  <c r="AA109" i="266"/>
  <c r="H109" i="266"/>
  <c r="L83" i="266"/>
  <c r="Q83" i="266"/>
  <c r="U109" i="266"/>
  <c r="L89" i="266"/>
  <c r="G91" i="266"/>
  <c r="G108" i="266" s="1"/>
  <c r="N109" i="266"/>
  <c r="R108" i="266"/>
  <c r="V109" i="266"/>
  <c r="M89" i="266"/>
  <c r="H91" i="266"/>
  <c r="H108" i="266" s="1"/>
  <c r="O109" i="266"/>
  <c r="K83" i="266"/>
  <c r="AC109" i="266"/>
  <c r="J89" i="266"/>
  <c r="T109" i="266"/>
  <c r="W89" i="266"/>
  <c r="W102" i="266" s="1"/>
  <c r="W107" i="266" s="1"/>
  <c r="T83" i="266"/>
  <c r="X89" i="266"/>
  <c r="O89" i="266"/>
  <c r="O102" i="266" s="1"/>
  <c r="O107" i="266" s="1"/>
  <c r="J91" i="266"/>
  <c r="J108" i="266" s="1"/>
  <c r="M109" i="266"/>
  <c r="U108" i="266"/>
  <c r="Y89" i="266"/>
  <c r="Y102" i="266" s="1"/>
  <c r="Y107" i="266" s="1"/>
  <c r="P89" i="266"/>
  <c r="K91" i="266"/>
  <c r="K108" i="266" s="1"/>
  <c r="AB89" i="266"/>
  <c r="AB102" i="266" s="1"/>
  <c r="AB107" i="266" s="1"/>
  <c r="N108" i="266"/>
  <c r="I109" i="266"/>
  <c r="S89" i="266"/>
  <c r="F109" i="266"/>
  <c r="Z109" i="266"/>
  <c r="L91" i="266"/>
  <c r="L108" i="266" s="1"/>
  <c r="J83" i="266"/>
  <c r="K89" i="266"/>
  <c r="N89" i="266"/>
  <c r="P109" i="266"/>
  <c r="W83" i="266"/>
  <c r="Z83" i="266"/>
  <c r="AA83" i="266"/>
  <c r="AB83" i="266"/>
  <c r="Y83" i="266"/>
  <c r="V83" i="266"/>
  <c r="O108" i="266"/>
  <c r="P108" i="266"/>
  <c r="AA89" i="266"/>
  <c r="AA102" i="266" s="1"/>
  <c r="AA107" i="266" s="1"/>
  <c r="H89" i="266"/>
  <c r="H102" i="266" s="1"/>
  <c r="H107" i="266" s="1"/>
  <c r="I89" i="266"/>
  <c r="Q109" i="266"/>
  <c r="S60" i="266"/>
  <c r="S97" i="266" s="1"/>
  <c r="AF62" i="266"/>
  <c r="AG62" i="266"/>
  <c r="R83" i="266"/>
  <c r="G109" i="266"/>
  <c r="T89" i="266"/>
  <c r="AB109" i="266"/>
  <c r="V89" i="266"/>
  <c r="V102" i="266" s="1"/>
  <c r="V107" i="266" s="1"/>
  <c r="AC89" i="266"/>
  <c r="AC102" i="266" s="1"/>
  <c r="AC107" i="266" s="1"/>
  <c r="R109" i="266"/>
  <c r="AH63" i="266"/>
  <c r="W109" i="266"/>
  <c r="X109" i="266"/>
  <c r="AF48" i="266"/>
  <c r="U83" i="266"/>
  <c r="Y109" i="266"/>
  <c r="AG48" i="266"/>
  <c r="AI61" i="266"/>
  <c r="U89" i="266"/>
  <c r="U102" i="266" s="1"/>
  <c r="U107" i="266" s="1"/>
  <c r="Q91" i="266"/>
  <c r="Q108" i="266" s="1"/>
  <c r="AG63" i="266"/>
  <c r="S109" i="266"/>
  <c r="M91" i="266"/>
  <c r="M108" i="266" s="1"/>
  <c r="T91" i="266"/>
  <c r="T108" i="266" s="1"/>
  <c r="X65" i="266"/>
  <c r="X98" i="266" s="1"/>
  <c r="M83" i="266"/>
  <c r="O83" i="266"/>
  <c r="AF47" i="266"/>
  <c r="AG47" i="266"/>
  <c r="F293" i="88"/>
  <c r="F296" i="88"/>
  <c r="W140" i="260"/>
  <c r="F294" i="88"/>
  <c r="F292" i="88"/>
  <c r="W139" i="260"/>
  <c r="F140" i="88"/>
  <c r="F291" i="88"/>
  <c r="AC80" i="265"/>
  <c r="AC100" i="265" s="1"/>
  <c r="AE138" i="260"/>
  <c r="F288" i="88"/>
  <c r="F287" i="88"/>
  <c r="F266" i="88"/>
  <c r="L64" i="265"/>
  <c r="L62" i="265"/>
  <c r="F281" i="88"/>
  <c r="F260" i="88"/>
  <c r="F280" i="88"/>
  <c r="F249" i="88"/>
  <c r="AE135" i="260"/>
  <c r="K64" i="265"/>
  <c r="K63" i="265"/>
  <c r="K65" i="265" s="1"/>
  <c r="K98" i="265" s="1"/>
  <c r="F253" i="88"/>
  <c r="W134" i="260"/>
  <c r="J64" i="265"/>
  <c r="J63" i="265"/>
  <c r="AH63" i="265" s="1"/>
  <c r="W133" i="260"/>
  <c r="I64" i="265"/>
  <c r="I63" i="265"/>
  <c r="F282" i="88"/>
  <c r="AE132" i="260"/>
  <c r="W132" i="260"/>
  <c r="H64" i="265"/>
  <c r="H63" i="265"/>
  <c r="F283" i="88"/>
  <c r="F258" i="88"/>
  <c r="AE131" i="260"/>
  <c r="W131" i="260"/>
  <c r="G64" i="265"/>
  <c r="G63" i="265"/>
  <c r="F278" i="88"/>
  <c r="F277" i="88"/>
  <c r="AE130" i="260"/>
  <c r="W130" i="260"/>
  <c r="F64" i="265"/>
  <c r="F63" i="265"/>
  <c r="AC64" i="264"/>
  <c r="F246" i="88"/>
  <c r="F275" i="88"/>
  <c r="F276" i="88"/>
  <c r="F175" i="88"/>
  <c r="F270" i="88"/>
  <c r="F242" i="88"/>
  <c r="AC128" i="265"/>
  <c r="AB128" i="265"/>
  <c r="AA128" i="265"/>
  <c r="Z128" i="265"/>
  <c r="Y128" i="265"/>
  <c r="X128" i="265"/>
  <c r="W128" i="265"/>
  <c r="V128" i="265"/>
  <c r="U128" i="265"/>
  <c r="T128" i="265"/>
  <c r="S128" i="265"/>
  <c r="R128" i="265"/>
  <c r="Q128" i="265"/>
  <c r="P128" i="265"/>
  <c r="O128" i="265"/>
  <c r="N128" i="265"/>
  <c r="M128" i="265"/>
  <c r="L128" i="265"/>
  <c r="K128" i="265"/>
  <c r="J128" i="265"/>
  <c r="I128" i="265"/>
  <c r="H128" i="265"/>
  <c r="G128" i="265"/>
  <c r="F128" i="265"/>
  <c r="AC106" i="265"/>
  <c r="AB106" i="265"/>
  <c r="AA106" i="265"/>
  <c r="Z106" i="265"/>
  <c r="Y106" i="265"/>
  <c r="X106" i="265"/>
  <c r="W106" i="265"/>
  <c r="V106" i="265"/>
  <c r="U106" i="265"/>
  <c r="T106" i="265"/>
  <c r="S106" i="265"/>
  <c r="R106" i="265"/>
  <c r="Q106" i="265"/>
  <c r="P106" i="265"/>
  <c r="O106" i="265"/>
  <c r="N106" i="265"/>
  <c r="M106" i="265"/>
  <c r="L106" i="265"/>
  <c r="K106" i="265"/>
  <c r="J106" i="265"/>
  <c r="I106" i="265"/>
  <c r="H106" i="265"/>
  <c r="G106" i="265"/>
  <c r="F106" i="265"/>
  <c r="AC101" i="265"/>
  <c r="AB101" i="265"/>
  <c r="AA101" i="265"/>
  <c r="Z101" i="265"/>
  <c r="Y101" i="265"/>
  <c r="X101" i="265"/>
  <c r="W101" i="265"/>
  <c r="V101" i="265"/>
  <c r="U101" i="265"/>
  <c r="T101" i="265"/>
  <c r="S101" i="265"/>
  <c r="R101" i="265"/>
  <c r="Q101" i="265"/>
  <c r="P101" i="265"/>
  <c r="O101" i="265"/>
  <c r="N101" i="265"/>
  <c r="M101" i="265"/>
  <c r="L101" i="265"/>
  <c r="K101" i="265"/>
  <c r="J101" i="265"/>
  <c r="I101" i="265"/>
  <c r="H101" i="265"/>
  <c r="G101" i="265"/>
  <c r="F101" i="265"/>
  <c r="AB80" i="265"/>
  <c r="AB100" i="265" s="1"/>
  <c r="AA80" i="265"/>
  <c r="AA100" i="265" s="1"/>
  <c r="Z80" i="265"/>
  <c r="Z100" i="265" s="1"/>
  <c r="Y80" i="265"/>
  <c r="Y100" i="265" s="1"/>
  <c r="X80" i="265"/>
  <c r="X100" i="265" s="1"/>
  <c r="W80" i="265"/>
  <c r="W100" i="265" s="1"/>
  <c r="V80" i="265"/>
  <c r="V100" i="265" s="1"/>
  <c r="U80" i="265"/>
  <c r="U100" i="265" s="1"/>
  <c r="T80" i="265"/>
  <c r="T100" i="265" s="1"/>
  <c r="S80" i="265"/>
  <c r="S100" i="265" s="1"/>
  <c r="R80" i="265"/>
  <c r="R100" i="265" s="1"/>
  <c r="Q80" i="265"/>
  <c r="Q100" i="265" s="1"/>
  <c r="P80" i="265"/>
  <c r="P100" i="265" s="1"/>
  <c r="O80" i="265"/>
  <c r="O100" i="265" s="1"/>
  <c r="N80" i="265"/>
  <c r="N100" i="265" s="1"/>
  <c r="M80" i="265"/>
  <c r="M100" i="265" s="1"/>
  <c r="L80" i="265"/>
  <c r="L100" i="265" s="1"/>
  <c r="K80" i="265"/>
  <c r="K100" i="265" s="1"/>
  <c r="J80" i="265"/>
  <c r="J100" i="265" s="1"/>
  <c r="I80" i="265"/>
  <c r="I100" i="265" s="1"/>
  <c r="H80" i="265"/>
  <c r="H100" i="265" s="1"/>
  <c r="G80" i="265"/>
  <c r="G100" i="265" s="1"/>
  <c r="F80" i="265"/>
  <c r="F100" i="265" s="1"/>
  <c r="C80" i="265"/>
  <c r="B80" i="265"/>
  <c r="B25" i="265" s="1"/>
  <c r="AH79" i="265"/>
  <c r="AG79" i="265"/>
  <c r="AF79" i="265"/>
  <c r="AH78" i="265"/>
  <c r="AG78" i="265"/>
  <c r="AF78" i="265"/>
  <c r="AI77" i="265"/>
  <c r="AC76" i="265"/>
  <c r="AC99" i="265" s="1"/>
  <c r="AB76" i="265"/>
  <c r="AB99" i="265" s="1"/>
  <c r="AA76" i="265"/>
  <c r="AA99" i="265" s="1"/>
  <c r="Z76" i="265"/>
  <c r="Z99" i="265" s="1"/>
  <c r="Y76" i="265"/>
  <c r="Y99" i="265" s="1"/>
  <c r="X76" i="265"/>
  <c r="X99" i="265" s="1"/>
  <c r="W76" i="265"/>
  <c r="W99" i="265" s="1"/>
  <c r="V76" i="265"/>
  <c r="V99" i="265" s="1"/>
  <c r="U76" i="265"/>
  <c r="U99" i="265" s="1"/>
  <c r="T76" i="265"/>
  <c r="T99" i="265" s="1"/>
  <c r="S76" i="265"/>
  <c r="S99" i="265" s="1"/>
  <c r="R76" i="265"/>
  <c r="R99" i="265" s="1"/>
  <c r="Q76" i="265"/>
  <c r="Q99" i="265" s="1"/>
  <c r="P76" i="265"/>
  <c r="P99" i="265" s="1"/>
  <c r="O76" i="265"/>
  <c r="O99" i="265" s="1"/>
  <c r="N76" i="265"/>
  <c r="N99" i="265" s="1"/>
  <c r="M76" i="265"/>
  <c r="M99" i="265" s="1"/>
  <c r="L76" i="265"/>
  <c r="L99" i="265" s="1"/>
  <c r="K76" i="265"/>
  <c r="K99" i="265" s="1"/>
  <c r="J76" i="265"/>
  <c r="J99" i="265" s="1"/>
  <c r="I76" i="265"/>
  <c r="I99" i="265" s="1"/>
  <c r="H76" i="265"/>
  <c r="H99" i="265" s="1"/>
  <c r="G76" i="265"/>
  <c r="G99" i="265" s="1"/>
  <c r="F76" i="265"/>
  <c r="F99" i="265" s="1"/>
  <c r="C76" i="265"/>
  <c r="B76" i="265"/>
  <c r="AH75" i="265"/>
  <c r="AG75" i="265"/>
  <c r="AF75" i="265"/>
  <c r="AH74" i="265"/>
  <c r="AG74" i="265"/>
  <c r="AF74" i="265"/>
  <c r="AH73" i="265"/>
  <c r="AG73" i="265"/>
  <c r="AF73" i="265"/>
  <c r="AH72" i="265"/>
  <c r="AG72" i="265"/>
  <c r="AF72" i="265"/>
  <c r="AH71" i="265"/>
  <c r="AG71" i="265"/>
  <c r="AF71" i="265"/>
  <c r="AH70" i="265"/>
  <c r="AG70" i="265"/>
  <c r="AF70" i="265"/>
  <c r="AH69" i="265"/>
  <c r="AG69" i="265"/>
  <c r="AF69" i="265"/>
  <c r="AH68" i="265"/>
  <c r="AG68" i="265"/>
  <c r="AF68" i="265"/>
  <c r="AH67" i="265"/>
  <c r="AG67" i="265"/>
  <c r="AF67" i="265"/>
  <c r="AI66" i="265"/>
  <c r="AB65" i="265"/>
  <c r="AB98" i="265" s="1"/>
  <c r="AA65" i="265"/>
  <c r="AA98" i="265" s="1"/>
  <c r="Z65" i="265"/>
  <c r="Z98" i="265" s="1"/>
  <c r="Y65" i="265"/>
  <c r="Y98" i="265" s="1"/>
  <c r="X65" i="265"/>
  <c r="X98" i="265" s="1"/>
  <c r="W65" i="265"/>
  <c r="W98" i="265" s="1"/>
  <c r="V65" i="265"/>
  <c r="V98" i="265" s="1"/>
  <c r="Q65" i="265"/>
  <c r="Q98" i="265" s="1"/>
  <c r="P65" i="265"/>
  <c r="P98" i="265" s="1"/>
  <c r="O65" i="265"/>
  <c r="O98" i="265" s="1"/>
  <c r="N65" i="265"/>
  <c r="N98" i="265" s="1"/>
  <c r="M65" i="265"/>
  <c r="M98" i="265" s="1"/>
  <c r="C65" i="265"/>
  <c r="AC65" i="265"/>
  <c r="AC98" i="265" s="1"/>
  <c r="S65" i="265"/>
  <c r="S98" i="265" s="1"/>
  <c r="U65" i="265"/>
  <c r="U98" i="265" s="1"/>
  <c r="T65" i="265"/>
  <c r="T98" i="265" s="1"/>
  <c r="L65" i="265"/>
  <c r="L98" i="265" s="1"/>
  <c r="AG62" i="265"/>
  <c r="AC60" i="265"/>
  <c r="AC97" i="265" s="1"/>
  <c r="AB60" i="265"/>
  <c r="AB97" i="265" s="1"/>
  <c r="AA60" i="265"/>
  <c r="AA97" i="265" s="1"/>
  <c r="Z60" i="265"/>
  <c r="Z97" i="265" s="1"/>
  <c r="Y60" i="265"/>
  <c r="Y97" i="265" s="1"/>
  <c r="X60" i="265"/>
  <c r="X97" i="265" s="1"/>
  <c r="W60" i="265"/>
  <c r="W97" i="265" s="1"/>
  <c r="V60" i="265"/>
  <c r="V97" i="265" s="1"/>
  <c r="U60" i="265"/>
  <c r="U97" i="265" s="1"/>
  <c r="T97" i="265"/>
  <c r="S60" i="265"/>
  <c r="S97" i="265" s="1"/>
  <c r="R60" i="265"/>
  <c r="R97" i="265" s="1"/>
  <c r="Q60" i="265"/>
  <c r="Q97" i="265" s="1"/>
  <c r="P60" i="265"/>
  <c r="P97" i="265" s="1"/>
  <c r="O60" i="265"/>
  <c r="O97" i="265" s="1"/>
  <c r="N60" i="265"/>
  <c r="N97" i="265" s="1"/>
  <c r="M60" i="265"/>
  <c r="M97" i="265" s="1"/>
  <c r="L60" i="265"/>
  <c r="L97" i="265" s="1"/>
  <c r="K60" i="265"/>
  <c r="K97" i="265" s="1"/>
  <c r="J60" i="265"/>
  <c r="J97" i="265" s="1"/>
  <c r="I60" i="265"/>
  <c r="I97" i="265" s="1"/>
  <c r="H60" i="265"/>
  <c r="H97" i="265" s="1"/>
  <c r="G60" i="265"/>
  <c r="G97" i="265" s="1"/>
  <c r="F60" i="265"/>
  <c r="F97" i="265" s="1"/>
  <c r="C60" i="265"/>
  <c r="B60" i="265"/>
  <c r="B65" i="265" s="1"/>
  <c r="AH59" i="265"/>
  <c r="AG59" i="265"/>
  <c r="AF59" i="265"/>
  <c r="AH58" i="265"/>
  <c r="AG58" i="265"/>
  <c r="AF58" i="265"/>
  <c r="AH57" i="265"/>
  <c r="AG57" i="265"/>
  <c r="AF57" i="265"/>
  <c r="AH56" i="265"/>
  <c r="AG56" i="265"/>
  <c r="AF56" i="265"/>
  <c r="AH55" i="265"/>
  <c r="AG55" i="265"/>
  <c r="AF55" i="265"/>
  <c r="AH54" i="265"/>
  <c r="AG54" i="265"/>
  <c r="AF54" i="265"/>
  <c r="AH53" i="265"/>
  <c r="AG53" i="265"/>
  <c r="AF53" i="265"/>
  <c r="AH52" i="265"/>
  <c r="AG52" i="265"/>
  <c r="AF52" i="265"/>
  <c r="AH51" i="265"/>
  <c r="AG51" i="265"/>
  <c r="AF51" i="265"/>
  <c r="AH50" i="265"/>
  <c r="AG50" i="265"/>
  <c r="AF50" i="265"/>
  <c r="AH49" i="265"/>
  <c r="AG49" i="265"/>
  <c r="AF49" i="265"/>
  <c r="AH48" i="265"/>
  <c r="AG48" i="265"/>
  <c r="AF48" i="265"/>
  <c r="AH47" i="265"/>
  <c r="AG47" i="265"/>
  <c r="AF47" i="265"/>
  <c r="AH46" i="265"/>
  <c r="AH45" i="265"/>
  <c r="AG45" i="265"/>
  <c r="AF45" i="265"/>
  <c r="AH44" i="265"/>
  <c r="AG44" i="265"/>
  <c r="AF44" i="265"/>
  <c r="AH43" i="265"/>
  <c r="AG43" i="265"/>
  <c r="AF43" i="265"/>
  <c r="AH42" i="265"/>
  <c r="AG42" i="265"/>
  <c r="AF42" i="265"/>
  <c r="AH41" i="265"/>
  <c r="AG41" i="265"/>
  <c r="AF41" i="265"/>
  <c r="AH40" i="265"/>
  <c r="AG40" i="265"/>
  <c r="AF40" i="265"/>
  <c r="AH39" i="265"/>
  <c r="AG39" i="265"/>
  <c r="AF39" i="265"/>
  <c r="AH38" i="265"/>
  <c r="AG38" i="265"/>
  <c r="AF38" i="265"/>
  <c r="AH37" i="265"/>
  <c r="AG37" i="265"/>
  <c r="AF37" i="265"/>
  <c r="AH36" i="265"/>
  <c r="AG36" i="265"/>
  <c r="AF36" i="265"/>
  <c r="AC34" i="265"/>
  <c r="AC95" i="265" s="1"/>
  <c r="AB34" i="265"/>
  <c r="AB95" i="265" s="1"/>
  <c r="AA34" i="265"/>
  <c r="AA95" i="265" s="1"/>
  <c r="Z34" i="265"/>
  <c r="Z95" i="265" s="1"/>
  <c r="Y34" i="265"/>
  <c r="Y95" i="265" s="1"/>
  <c r="X34" i="265"/>
  <c r="X95" i="265" s="1"/>
  <c r="W34" i="265"/>
  <c r="W95" i="265" s="1"/>
  <c r="V34" i="265"/>
  <c r="V95" i="265" s="1"/>
  <c r="U34" i="265"/>
  <c r="U95" i="265" s="1"/>
  <c r="T34" i="265"/>
  <c r="T95" i="265" s="1"/>
  <c r="S34" i="265"/>
  <c r="S95" i="265" s="1"/>
  <c r="R34" i="265"/>
  <c r="R95" i="265" s="1"/>
  <c r="Q34" i="265"/>
  <c r="Q95" i="265" s="1"/>
  <c r="P34" i="265"/>
  <c r="P95" i="265" s="1"/>
  <c r="O34" i="265"/>
  <c r="N34" i="265"/>
  <c r="N95" i="265" s="1"/>
  <c r="M34" i="265"/>
  <c r="M95" i="265" s="1"/>
  <c r="L34" i="265"/>
  <c r="L95" i="265" s="1"/>
  <c r="K34" i="265"/>
  <c r="K95" i="265" s="1"/>
  <c r="J34" i="265"/>
  <c r="J95" i="265" s="1"/>
  <c r="I34" i="265"/>
  <c r="I95" i="265" s="1"/>
  <c r="H34" i="265"/>
  <c r="H95" i="265" s="1"/>
  <c r="G34" i="265"/>
  <c r="G95" i="265" s="1"/>
  <c r="F34" i="265"/>
  <c r="F95" i="265" s="1"/>
  <c r="C34" i="265"/>
  <c r="B34" i="265"/>
  <c r="AH33" i="265"/>
  <c r="AG33" i="265"/>
  <c r="AF33" i="265"/>
  <c r="AI32" i="265"/>
  <c r="AC31" i="265"/>
  <c r="AC93" i="265" s="1"/>
  <c r="AB31" i="265"/>
  <c r="AB93" i="265" s="1"/>
  <c r="AA31" i="265"/>
  <c r="AA93" i="265" s="1"/>
  <c r="Z31" i="265"/>
  <c r="Z93" i="265" s="1"/>
  <c r="Y31" i="265"/>
  <c r="Y93" i="265" s="1"/>
  <c r="X31" i="265"/>
  <c r="X93" i="265" s="1"/>
  <c r="W31" i="265"/>
  <c r="W93" i="265" s="1"/>
  <c r="V31" i="265"/>
  <c r="V93" i="265" s="1"/>
  <c r="U31" i="265"/>
  <c r="U93" i="265" s="1"/>
  <c r="T31" i="265"/>
  <c r="T93" i="265" s="1"/>
  <c r="S31" i="265"/>
  <c r="S93" i="265" s="1"/>
  <c r="R31" i="265"/>
  <c r="R93" i="265" s="1"/>
  <c r="Q31" i="265"/>
  <c r="Q93" i="265" s="1"/>
  <c r="P31" i="265"/>
  <c r="P93" i="265" s="1"/>
  <c r="O31" i="265"/>
  <c r="O93" i="265" s="1"/>
  <c r="N31" i="265"/>
  <c r="N93" i="265" s="1"/>
  <c r="M31" i="265"/>
  <c r="M93" i="265" s="1"/>
  <c r="L31" i="265"/>
  <c r="L93" i="265" s="1"/>
  <c r="K31" i="265"/>
  <c r="K93" i="265" s="1"/>
  <c r="J31" i="265"/>
  <c r="J93" i="265" s="1"/>
  <c r="I31" i="265"/>
  <c r="I93" i="265" s="1"/>
  <c r="H31" i="265"/>
  <c r="H93" i="265" s="1"/>
  <c r="G31" i="265"/>
  <c r="G93" i="265" s="1"/>
  <c r="F31" i="265"/>
  <c r="F93" i="265" s="1"/>
  <c r="C31" i="265"/>
  <c r="B31" i="265"/>
  <c r="AI28" i="265"/>
  <c r="AH28" i="265"/>
  <c r="AG28" i="265"/>
  <c r="AF28" i="265"/>
  <c r="AH27" i="265"/>
  <c r="AG27" i="265"/>
  <c r="AF27" i="265"/>
  <c r="AI26" i="265"/>
  <c r="AC25" i="265"/>
  <c r="AB25" i="265"/>
  <c r="AA25" i="265"/>
  <c r="Z25" i="265"/>
  <c r="Y25" i="265"/>
  <c r="X25" i="265"/>
  <c r="W25" i="265"/>
  <c r="V25" i="265"/>
  <c r="U25" i="265"/>
  <c r="T25" i="265"/>
  <c r="S25" i="265"/>
  <c r="R25" i="265"/>
  <c r="Q25" i="265"/>
  <c r="P25" i="265"/>
  <c r="O25" i="265"/>
  <c r="N25" i="265"/>
  <c r="M25" i="265"/>
  <c r="L25" i="265"/>
  <c r="K25" i="265"/>
  <c r="J25" i="265"/>
  <c r="I25" i="265"/>
  <c r="H25" i="265"/>
  <c r="G25" i="265"/>
  <c r="F25" i="265"/>
  <c r="C25" i="265"/>
  <c r="AH24" i="265"/>
  <c r="AG24" i="265"/>
  <c r="AF24" i="265"/>
  <c r="AI23" i="265"/>
  <c r="AC22" i="265"/>
  <c r="AB22" i="265"/>
  <c r="AA22" i="265"/>
  <c r="Z22" i="265"/>
  <c r="Y22" i="265"/>
  <c r="X22" i="265"/>
  <c r="W22" i="265"/>
  <c r="V22" i="265"/>
  <c r="U22" i="265"/>
  <c r="T22" i="265"/>
  <c r="S22" i="265"/>
  <c r="R22" i="265"/>
  <c r="Q22" i="265"/>
  <c r="P22" i="265"/>
  <c r="O22" i="265"/>
  <c r="N22" i="265"/>
  <c r="M22" i="265"/>
  <c r="L22" i="265"/>
  <c r="K22" i="265"/>
  <c r="J22" i="265"/>
  <c r="I22" i="265"/>
  <c r="H22" i="265"/>
  <c r="G22" i="265"/>
  <c r="F22" i="265"/>
  <c r="C22" i="265"/>
  <c r="B22" i="265"/>
  <c r="AH21" i="265"/>
  <c r="AG21" i="265"/>
  <c r="AF21" i="265"/>
  <c r="AH20" i="265"/>
  <c r="AG20" i="265"/>
  <c r="AF20" i="265"/>
  <c r="AH19" i="265"/>
  <c r="AG19" i="265"/>
  <c r="AF19" i="265"/>
  <c r="AI18" i="265"/>
  <c r="AC17" i="265"/>
  <c r="AB17" i="265"/>
  <c r="AB91" i="265" s="1"/>
  <c r="AA17" i="265"/>
  <c r="Z17" i="265"/>
  <c r="Z91" i="265" s="1"/>
  <c r="Z108" i="265" s="1"/>
  <c r="Y17" i="265"/>
  <c r="X17" i="265"/>
  <c r="W17" i="265"/>
  <c r="V17" i="265"/>
  <c r="V91" i="265" s="1"/>
  <c r="U17" i="265"/>
  <c r="U91" i="265" s="1"/>
  <c r="T17" i="265"/>
  <c r="T91" i="265" s="1"/>
  <c r="S17" i="265"/>
  <c r="S91" i="265" s="1"/>
  <c r="R17" i="265"/>
  <c r="R91" i="265" s="1"/>
  <c r="Q17" i="265"/>
  <c r="Q91" i="265" s="1"/>
  <c r="P17" i="265"/>
  <c r="P91" i="265" s="1"/>
  <c r="O17" i="265"/>
  <c r="O91" i="265" s="1"/>
  <c r="N17" i="265"/>
  <c r="N91" i="265" s="1"/>
  <c r="M17" i="265"/>
  <c r="L17" i="265"/>
  <c r="K17" i="265"/>
  <c r="J17" i="265"/>
  <c r="I17" i="265"/>
  <c r="H17" i="265"/>
  <c r="G17" i="265"/>
  <c r="F17" i="265"/>
  <c r="C17" i="265"/>
  <c r="B17" i="265"/>
  <c r="AH16" i="265"/>
  <c r="AG16" i="265"/>
  <c r="AF16" i="265"/>
  <c r="AH15" i="265"/>
  <c r="AG15" i="265"/>
  <c r="AF15" i="265"/>
  <c r="AH14" i="265"/>
  <c r="AG14" i="265"/>
  <c r="AF14" i="265"/>
  <c r="AH13" i="265"/>
  <c r="AG13" i="265"/>
  <c r="AF13" i="265"/>
  <c r="AI12" i="265"/>
  <c r="M9" i="265" a="1"/>
  <c r="M9" i="265" s="1"/>
  <c r="AR4" i="265"/>
  <c r="AE128" i="260"/>
  <c r="W128" i="260"/>
  <c r="AC62" i="264"/>
  <c r="F271" i="88"/>
  <c r="F273" i="88"/>
  <c r="AE127" i="260"/>
  <c r="W127" i="260"/>
  <c r="F272" i="88"/>
  <c r="F9" i="88"/>
  <c r="W126" i="260"/>
  <c r="W125" i="260"/>
  <c r="F269" i="88"/>
  <c r="F268" i="88"/>
  <c r="F267" i="88"/>
  <c r="W124" i="260"/>
  <c r="F259" i="88"/>
  <c r="AE123" i="260"/>
  <c r="W123" i="260"/>
  <c r="X63" i="264"/>
  <c r="X62" i="264"/>
  <c r="AE122" i="260"/>
  <c r="W122" i="260"/>
  <c r="W63" i="264"/>
  <c r="W62" i="264"/>
  <c r="AE121" i="260"/>
  <c r="W121" i="260"/>
  <c r="V63" i="264"/>
  <c r="V62" i="264"/>
  <c r="F265" i="88"/>
  <c r="F264" i="88"/>
  <c r="F263" i="88"/>
  <c r="F262" i="88"/>
  <c r="F244" i="88"/>
  <c r="F261" i="88"/>
  <c r="AE120" i="260"/>
  <c r="W120" i="260"/>
  <c r="U63" i="264"/>
  <c r="U62" i="264"/>
  <c r="W119" i="260"/>
  <c r="T63" i="264"/>
  <c r="T62" i="264"/>
  <c r="F247" i="88"/>
  <c r="W118" i="260"/>
  <c r="S63" i="264"/>
  <c r="W117" i="260"/>
  <c r="R64" i="264"/>
  <c r="R63" i="264"/>
  <c r="W116" i="260"/>
  <c r="Q64" i="264"/>
  <c r="Q63" i="264"/>
  <c r="F256" i="88"/>
  <c r="F255" i="88"/>
  <c r="F254" i="88"/>
  <c r="W115" i="260"/>
  <c r="P64" i="264"/>
  <c r="P63" i="264"/>
  <c r="P46" i="264"/>
  <c r="AI36" i="264" s="1"/>
  <c r="F251" i="88"/>
  <c r="F248" i="88"/>
  <c r="F250" i="88"/>
  <c r="W114" i="260"/>
  <c r="F245" i="88"/>
  <c r="F252" i="88"/>
  <c r="AE113" i="260"/>
  <c r="F241" i="88"/>
  <c r="F243" i="88"/>
  <c r="F233" i="88"/>
  <c r="L64" i="264"/>
  <c r="L62" i="264"/>
  <c r="F216" i="88"/>
  <c r="K64" i="264"/>
  <c r="K62" i="264"/>
  <c r="J64" i="264"/>
  <c r="J62" i="264"/>
  <c r="I64" i="264"/>
  <c r="I62" i="264"/>
  <c r="H64" i="264"/>
  <c r="H62" i="264"/>
  <c r="F182" i="88"/>
  <c r="N108" i="265" l="1"/>
  <c r="O108" i="265"/>
  <c r="P108" i="265"/>
  <c r="F83" i="266"/>
  <c r="F102" i="266"/>
  <c r="F107" i="266" s="1"/>
  <c r="AB108" i="265"/>
  <c r="AG64" i="265"/>
  <c r="F89" i="265"/>
  <c r="Q108" i="265"/>
  <c r="I102" i="266"/>
  <c r="I107" i="266" s="1"/>
  <c r="AH64" i="265"/>
  <c r="I65" i="265"/>
  <c r="I98" i="265" s="1"/>
  <c r="AI61" i="265"/>
  <c r="H65" i="265"/>
  <c r="H98" i="265" s="1"/>
  <c r="O102" i="267"/>
  <c r="O107" i="267" s="1"/>
  <c r="M102" i="266"/>
  <c r="M107" i="266" s="1"/>
  <c r="I89" i="265"/>
  <c r="T109" i="265"/>
  <c r="K89" i="265"/>
  <c r="AF64" i="265"/>
  <c r="L89" i="265"/>
  <c r="J65" i="265"/>
  <c r="J98" i="265" s="1"/>
  <c r="AC109" i="265"/>
  <c r="L97" i="267"/>
  <c r="L102" i="267" s="1"/>
  <c r="L107" i="267" s="1"/>
  <c r="O89" i="265"/>
  <c r="C83" i="265"/>
  <c r="J89" i="265"/>
  <c r="P97" i="267"/>
  <c r="P102" i="267" s="1"/>
  <c r="P107" i="267" s="1"/>
  <c r="AA83" i="267"/>
  <c r="AA102" i="267"/>
  <c r="AA107" i="267" s="1"/>
  <c r="P83" i="267"/>
  <c r="T102" i="266"/>
  <c r="T107" i="266" s="1"/>
  <c r="P102" i="266"/>
  <c r="P107" i="266" s="1"/>
  <c r="P83" i="266"/>
  <c r="S102" i="266"/>
  <c r="S107" i="266" s="1"/>
  <c r="N102" i="266"/>
  <c r="N107" i="266" s="1"/>
  <c r="N83" i="266"/>
  <c r="L102" i="266"/>
  <c r="L107" i="266" s="1"/>
  <c r="K102" i="266"/>
  <c r="K107" i="266" s="1"/>
  <c r="Q102" i="266"/>
  <c r="Q107" i="266" s="1"/>
  <c r="J102" i="266"/>
  <c r="J107" i="266" s="1"/>
  <c r="G102" i="266"/>
  <c r="G107" i="266" s="1"/>
  <c r="S83" i="266"/>
  <c r="X102" i="266"/>
  <c r="X107" i="266" s="1"/>
  <c r="X83" i="266"/>
  <c r="AC89" i="265"/>
  <c r="AB89" i="265"/>
  <c r="AA109" i="265"/>
  <c r="X109" i="265"/>
  <c r="V108" i="265"/>
  <c r="U108" i="265"/>
  <c r="B83" i="265"/>
  <c r="S83" i="265"/>
  <c r="Q89" i="265"/>
  <c r="Q102" i="265" s="1"/>
  <c r="Q107" i="265" s="1"/>
  <c r="P89" i="265"/>
  <c r="P102" i="265" s="1"/>
  <c r="P107" i="265" s="1"/>
  <c r="N89" i="265"/>
  <c r="M89" i="265"/>
  <c r="H89" i="265"/>
  <c r="G109" i="265"/>
  <c r="G89" i="265"/>
  <c r="F109" i="265"/>
  <c r="Y83" i="265"/>
  <c r="O83" i="265"/>
  <c r="N102" i="265"/>
  <c r="N107" i="265" s="1"/>
  <c r="O95" i="265"/>
  <c r="R108" i="265"/>
  <c r="S108" i="265"/>
  <c r="T108" i="265"/>
  <c r="R89" i="265"/>
  <c r="S89" i="265"/>
  <c r="S102" i="265" s="1"/>
  <c r="S107" i="265" s="1"/>
  <c r="T89" i="265"/>
  <c r="T102" i="265" s="1"/>
  <c r="T107" i="265" s="1"/>
  <c r="U89" i="265"/>
  <c r="U102" i="265" s="1"/>
  <c r="U107" i="265" s="1"/>
  <c r="V89" i="265"/>
  <c r="V102" i="265" s="1"/>
  <c r="V107" i="265" s="1"/>
  <c r="X89" i="265"/>
  <c r="Y89" i="265"/>
  <c r="W89" i="265"/>
  <c r="Z89" i="265"/>
  <c r="Z102" i="265" s="1"/>
  <c r="Z107" i="265" s="1"/>
  <c r="AA89" i="265"/>
  <c r="L109" i="265"/>
  <c r="M109" i="265"/>
  <c r="J109" i="265"/>
  <c r="AC83" i="265"/>
  <c r="K109" i="265"/>
  <c r="W83" i="265"/>
  <c r="Q109" i="265"/>
  <c r="K83" i="265"/>
  <c r="N109" i="265"/>
  <c r="O109" i="265"/>
  <c r="P109" i="265"/>
  <c r="R109" i="265"/>
  <c r="N83" i="265"/>
  <c r="U83" i="265"/>
  <c r="AB102" i="265"/>
  <c r="AB107" i="265" s="1"/>
  <c r="L83" i="265"/>
  <c r="X91" i="265"/>
  <c r="X108" i="265" s="1"/>
  <c r="Y91" i="265"/>
  <c r="Y108" i="265" s="1"/>
  <c r="F65" i="265"/>
  <c r="F98" i="265" s="1"/>
  <c r="Q83" i="265"/>
  <c r="AC91" i="265"/>
  <c r="AC108" i="265" s="1"/>
  <c r="J91" i="265"/>
  <c r="J108" i="265" s="1"/>
  <c r="AG63" i="265"/>
  <c r="K91" i="265"/>
  <c r="K108" i="265" s="1"/>
  <c r="T83" i="265"/>
  <c r="M91" i="265"/>
  <c r="M108" i="265" s="1"/>
  <c r="V83" i="265"/>
  <c r="X83" i="265"/>
  <c r="H109" i="265"/>
  <c r="AB109" i="265"/>
  <c r="M83" i="265"/>
  <c r="H91" i="265"/>
  <c r="H108" i="265" s="1"/>
  <c r="U109" i="265"/>
  <c r="L91" i="265"/>
  <c r="L108" i="265" s="1"/>
  <c r="AF62" i="265"/>
  <c r="R65" i="265"/>
  <c r="R98" i="265" s="1"/>
  <c r="Z83" i="265"/>
  <c r="W91" i="265"/>
  <c r="W108" i="265" s="1"/>
  <c r="F91" i="265"/>
  <c r="F108" i="265" s="1"/>
  <c r="G65" i="265"/>
  <c r="G98" i="265" s="1"/>
  <c r="P83" i="265"/>
  <c r="AG46" i="265"/>
  <c r="Y109" i="265"/>
  <c r="Z109" i="265"/>
  <c r="AH62" i="265"/>
  <c r="AA83" i="265"/>
  <c r="G91" i="265"/>
  <c r="G108" i="265" s="1"/>
  <c r="S109" i="265"/>
  <c r="I91" i="265"/>
  <c r="I108" i="265" s="1"/>
  <c r="AF63" i="265"/>
  <c r="V109" i="265"/>
  <c r="AF46" i="265"/>
  <c r="I109" i="265"/>
  <c r="AB83" i="265"/>
  <c r="AA91" i="265"/>
  <c r="AA108" i="265" s="1"/>
  <c r="W109" i="265"/>
  <c r="F211" i="88"/>
  <c r="AE106" i="260"/>
  <c r="G63" i="264"/>
  <c r="G62" i="264"/>
  <c r="G65" i="264" s="1"/>
  <c r="G98" i="264" s="1"/>
  <c r="F180" i="88"/>
  <c r="F63" i="264"/>
  <c r="F62" i="264"/>
  <c r="F65" i="264" s="1"/>
  <c r="F98" i="264" s="1"/>
  <c r="AE105" i="260"/>
  <c r="F239" i="88"/>
  <c r="AC128" i="264"/>
  <c r="AB128" i="264"/>
  <c r="AA128" i="264"/>
  <c r="Z128" i="264"/>
  <c r="Y128" i="264"/>
  <c r="X128" i="264"/>
  <c r="W128" i="264"/>
  <c r="V128" i="264"/>
  <c r="U128" i="264"/>
  <c r="T128" i="264"/>
  <c r="S128" i="264"/>
  <c r="R128" i="264"/>
  <c r="Q128" i="264"/>
  <c r="P128" i="264"/>
  <c r="O128" i="264"/>
  <c r="N128" i="264"/>
  <c r="M128" i="264"/>
  <c r="L128" i="264"/>
  <c r="K128" i="264"/>
  <c r="J128" i="264"/>
  <c r="I128" i="264"/>
  <c r="H128" i="264"/>
  <c r="G128" i="264"/>
  <c r="F128" i="264"/>
  <c r="AC106" i="264"/>
  <c r="AB106" i="264"/>
  <c r="AA106" i="264"/>
  <c r="Z106" i="264"/>
  <c r="Y106" i="264"/>
  <c r="X106" i="264"/>
  <c r="W106" i="264"/>
  <c r="V106" i="264"/>
  <c r="U106" i="264"/>
  <c r="T106" i="264"/>
  <c r="S106" i="264"/>
  <c r="R106" i="264"/>
  <c r="Q106" i="264"/>
  <c r="P106" i="264"/>
  <c r="O106" i="264"/>
  <c r="N106" i="264"/>
  <c r="M106" i="264"/>
  <c r="L106" i="264"/>
  <c r="K106" i="264"/>
  <c r="J106" i="264"/>
  <c r="I106" i="264"/>
  <c r="H106" i="264"/>
  <c r="G106" i="264"/>
  <c r="F106" i="264"/>
  <c r="AC101" i="264"/>
  <c r="AB101" i="264"/>
  <c r="AA101" i="264"/>
  <c r="Z101" i="264"/>
  <c r="Y101" i="264"/>
  <c r="X101" i="264"/>
  <c r="W101" i="264"/>
  <c r="V101" i="264"/>
  <c r="U101" i="264"/>
  <c r="T101" i="264"/>
  <c r="S101" i="264"/>
  <c r="R101" i="264"/>
  <c r="Q101" i="264"/>
  <c r="P101" i="264"/>
  <c r="O101" i="264"/>
  <c r="N101" i="264"/>
  <c r="M101" i="264"/>
  <c r="L101" i="264"/>
  <c r="K101" i="264"/>
  <c r="J101" i="264"/>
  <c r="I101" i="264"/>
  <c r="H101" i="264"/>
  <c r="G101" i="264"/>
  <c r="F101" i="264"/>
  <c r="AC100" i="264"/>
  <c r="AA99" i="264"/>
  <c r="Y99" i="264"/>
  <c r="X99" i="264"/>
  <c r="AB80" i="264"/>
  <c r="AB100" i="264" s="1"/>
  <c r="AA80" i="264"/>
  <c r="AA100" i="264" s="1"/>
  <c r="Z80" i="264"/>
  <c r="Z100" i="264" s="1"/>
  <c r="Y80" i="264"/>
  <c r="Y100" i="264" s="1"/>
  <c r="X80" i="264"/>
  <c r="X100" i="264" s="1"/>
  <c r="W80" i="264"/>
  <c r="W100" i="264" s="1"/>
  <c r="V80" i="264"/>
  <c r="V100" i="264" s="1"/>
  <c r="U80" i="264"/>
  <c r="U100" i="264" s="1"/>
  <c r="T80" i="264"/>
  <c r="T100" i="264" s="1"/>
  <c r="S80" i="264"/>
  <c r="S100" i="264" s="1"/>
  <c r="R80" i="264"/>
  <c r="R100" i="264" s="1"/>
  <c r="Q80" i="264"/>
  <c r="Q100" i="264" s="1"/>
  <c r="P80" i="264"/>
  <c r="P100" i="264" s="1"/>
  <c r="O80" i="264"/>
  <c r="O100" i="264" s="1"/>
  <c r="N80" i="264"/>
  <c r="N100" i="264" s="1"/>
  <c r="M80" i="264"/>
  <c r="M100" i="264" s="1"/>
  <c r="L80" i="264"/>
  <c r="L100" i="264" s="1"/>
  <c r="K80" i="264"/>
  <c r="K100" i="264" s="1"/>
  <c r="J80" i="264"/>
  <c r="J100" i="264" s="1"/>
  <c r="I80" i="264"/>
  <c r="I100" i="264" s="1"/>
  <c r="H80" i="264"/>
  <c r="H100" i="264" s="1"/>
  <c r="G80" i="264"/>
  <c r="G100" i="264" s="1"/>
  <c r="F80" i="264"/>
  <c r="F100" i="264" s="1"/>
  <c r="C80" i="264"/>
  <c r="B80" i="264"/>
  <c r="B25" i="264" s="1"/>
  <c r="AH79" i="264"/>
  <c r="AG79" i="264"/>
  <c r="AF79" i="264"/>
  <c r="AH78" i="264"/>
  <c r="AG78" i="264"/>
  <c r="AF78" i="264"/>
  <c r="AI77" i="264"/>
  <c r="AC76" i="264"/>
  <c r="AC99" i="264" s="1"/>
  <c r="AB76" i="264"/>
  <c r="AB99" i="264" s="1"/>
  <c r="AA76" i="264"/>
  <c r="Z76" i="264"/>
  <c r="Z99" i="264" s="1"/>
  <c r="Y76" i="264"/>
  <c r="X76" i="264"/>
  <c r="W76" i="264"/>
  <c r="W99" i="264" s="1"/>
  <c r="V76" i="264"/>
  <c r="V99" i="264" s="1"/>
  <c r="U76" i="264"/>
  <c r="U99" i="264" s="1"/>
  <c r="T76" i="264"/>
  <c r="T99" i="264" s="1"/>
  <c r="S76" i="264"/>
  <c r="S99" i="264" s="1"/>
  <c r="R76" i="264"/>
  <c r="R99" i="264" s="1"/>
  <c r="Q76" i="264"/>
  <c r="Q99" i="264" s="1"/>
  <c r="P76" i="264"/>
  <c r="P99" i="264" s="1"/>
  <c r="O76" i="264"/>
  <c r="O99" i="264" s="1"/>
  <c r="N76" i="264"/>
  <c r="N99" i="264" s="1"/>
  <c r="M76" i="264"/>
  <c r="M99" i="264" s="1"/>
  <c r="L76" i="264"/>
  <c r="L99" i="264" s="1"/>
  <c r="K76" i="264"/>
  <c r="K99" i="264" s="1"/>
  <c r="J76" i="264"/>
  <c r="J99" i="264" s="1"/>
  <c r="I76" i="264"/>
  <c r="I99" i="264" s="1"/>
  <c r="H76" i="264"/>
  <c r="H99" i="264" s="1"/>
  <c r="G76" i="264"/>
  <c r="G99" i="264" s="1"/>
  <c r="F76" i="264"/>
  <c r="F99" i="264" s="1"/>
  <c r="C76" i="264"/>
  <c r="B76" i="264"/>
  <c r="AH75" i="264"/>
  <c r="AG75" i="264"/>
  <c r="AF75" i="264"/>
  <c r="AH74" i="264"/>
  <c r="AG74" i="264"/>
  <c r="AF74" i="264"/>
  <c r="AH73" i="264"/>
  <c r="AG73" i="264"/>
  <c r="AF73" i="264"/>
  <c r="AH72" i="264"/>
  <c r="AG72" i="264"/>
  <c r="AF72" i="264"/>
  <c r="AH71" i="264"/>
  <c r="AG71" i="264"/>
  <c r="AF71" i="264"/>
  <c r="AH70" i="264"/>
  <c r="AG70" i="264"/>
  <c r="AF70" i="264"/>
  <c r="AH69" i="264"/>
  <c r="AG69" i="264"/>
  <c r="AF69" i="264"/>
  <c r="AH68" i="264"/>
  <c r="AG68" i="264"/>
  <c r="AF68" i="264"/>
  <c r="AH67" i="264"/>
  <c r="AG67" i="264"/>
  <c r="AF67" i="264"/>
  <c r="AI66" i="264"/>
  <c r="AB65" i="264"/>
  <c r="AB98" i="264" s="1"/>
  <c r="AA65" i="264"/>
  <c r="AA98" i="264" s="1"/>
  <c r="X65" i="264"/>
  <c r="X98" i="264" s="1"/>
  <c r="W65" i="264"/>
  <c r="W98" i="264" s="1"/>
  <c r="V65" i="264"/>
  <c r="V98" i="264" s="1"/>
  <c r="U65" i="264"/>
  <c r="U98" i="264" s="1"/>
  <c r="T65" i="264"/>
  <c r="T98" i="264" s="1"/>
  <c r="I65" i="264"/>
  <c r="I98" i="264" s="1"/>
  <c r="H65" i="264"/>
  <c r="H98" i="264" s="1"/>
  <c r="C65" i="264"/>
  <c r="AH64" i="264"/>
  <c r="AC65" i="264"/>
  <c r="AC98" i="264" s="1"/>
  <c r="Z65" i="264"/>
  <c r="Z98" i="264" s="1"/>
  <c r="Y65" i="264"/>
  <c r="Y98" i="264" s="1"/>
  <c r="R65" i="264"/>
  <c r="R98" i="264" s="1"/>
  <c r="Q65" i="264"/>
  <c r="Q98" i="264" s="1"/>
  <c r="P65" i="264"/>
  <c r="P98" i="264" s="1"/>
  <c r="O65" i="264"/>
  <c r="O98" i="264" s="1"/>
  <c r="N65" i="264"/>
  <c r="N98" i="264" s="1"/>
  <c r="M65" i="264"/>
  <c r="M98" i="264" s="1"/>
  <c r="L65" i="264"/>
  <c r="L98" i="264" s="1"/>
  <c r="K65" i="264"/>
  <c r="K98" i="264" s="1"/>
  <c r="J65" i="264"/>
  <c r="J98" i="264" s="1"/>
  <c r="AC60" i="264"/>
  <c r="AC97" i="264" s="1"/>
  <c r="AB60" i="264"/>
  <c r="AB97" i="264" s="1"/>
  <c r="AA60" i="264"/>
  <c r="AA97" i="264" s="1"/>
  <c r="Z60" i="264"/>
  <c r="Z97" i="264" s="1"/>
  <c r="Y60" i="264"/>
  <c r="Y97" i="264" s="1"/>
  <c r="X60" i="264"/>
  <c r="X97" i="264" s="1"/>
  <c r="W60" i="264"/>
  <c r="W97" i="264" s="1"/>
  <c r="S60" i="264"/>
  <c r="S97" i="264" s="1"/>
  <c r="N60" i="264"/>
  <c r="N97" i="264" s="1"/>
  <c r="M60" i="264"/>
  <c r="L60" i="264"/>
  <c r="L97" i="264" s="1"/>
  <c r="K60" i="264"/>
  <c r="K97" i="264" s="1"/>
  <c r="J60" i="264"/>
  <c r="J97" i="264" s="1"/>
  <c r="I60" i="264"/>
  <c r="I97" i="264" s="1"/>
  <c r="H60" i="264"/>
  <c r="H97" i="264" s="1"/>
  <c r="G60" i="264"/>
  <c r="G97" i="264" s="1"/>
  <c r="F60" i="264"/>
  <c r="F97" i="264" s="1"/>
  <c r="C60" i="264"/>
  <c r="B60" i="264"/>
  <c r="B65" i="264" s="1"/>
  <c r="AG58" i="264"/>
  <c r="AF57" i="264"/>
  <c r="AH56" i="264"/>
  <c r="AF55" i="264"/>
  <c r="AF54" i="264"/>
  <c r="AH53" i="264"/>
  <c r="AH52" i="264"/>
  <c r="AG52" i="264"/>
  <c r="AF52" i="264"/>
  <c r="AH51" i="264"/>
  <c r="AG51" i="264"/>
  <c r="AF51" i="264"/>
  <c r="AG50" i="264"/>
  <c r="AF49" i="264"/>
  <c r="P60" i="264"/>
  <c r="P97" i="264" s="1"/>
  <c r="AH47" i="264"/>
  <c r="AG47" i="264"/>
  <c r="AF47" i="264"/>
  <c r="AH46" i="264"/>
  <c r="R60" i="264"/>
  <c r="R97" i="264" s="1"/>
  <c r="AH44" i="264"/>
  <c r="AG44" i="264"/>
  <c r="AF44" i="264"/>
  <c r="AH43" i="264"/>
  <c r="AG43" i="264"/>
  <c r="AF43" i="264"/>
  <c r="AH42" i="264"/>
  <c r="AG42" i="264"/>
  <c r="AF42" i="264"/>
  <c r="AH41" i="264"/>
  <c r="AG41" i="264"/>
  <c r="AF41" i="264"/>
  <c r="AH39" i="264"/>
  <c r="AG39" i="264"/>
  <c r="AF39" i="264"/>
  <c r="AH38" i="264"/>
  <c r="AG38" i="264"/>
  <c r="AF38" i="264"/>
  <c r="AH37" i="264"/>
  <c r="AG37" i="264"/>
  <c r="AF37" i="264"/>
  <c r="AH36" i="264"/>
  <c r="AG36" i="264"/>
  <c r="AF36" i="264"/>
  <c r="AC34" i="264"/>
  <c r="AC95" i="264" s="1"/>
  <c r="AB34" i="264"/>
  <c r="AB95" i="264" s="1"/>
  <c r="AA34" i="264"/>
  <c r="AA95" i="264" s="1"/>
  <c r="Z34" i="264"/>
  <c r="Z95" i="264" s="1"/>
  <c r="Y34" i="264"/>
  <c r="Y95" i="264" s="1"/>
  <c r="X34" i="264"/>
  <c r="X95" i="264" s="1"/>
  <c r="W34" i="264"/>
  <c r="W95" i="264" s="1"/>
  <c r="V34" i="264"/>
  <c r="V95" i="264" s="1"/>
  <c r="U34" i="264"/>
  <c r="U95" i="264" s="1"/>
  <c r="T34" i="264"/>
  <c r="T95" i="264" s="1"/>
  <c r="S34" i="264"/>
  <c r="S95" i="264" s="1"/>
  <c r="R34" i="264"/>
  <c r="R95" i="264" s="1"/>
  <c r="Q34" i="264"/>
  <c r="Q95" i="264" s="1"/>
  <c r="P34" i="264"/>
  <c r="P95" i="264" s="1"/>
  <c r="O34" i="264"/>
  <c r="O95" i="264" s="1"/>
  <c r="N34" i="264"/>
  <c r="N95" i="264" s="1"/>
  <c r="M34" i="264"/>
  <c r="M95" i="264" s="1"/>
  <c r="L34" i="264"/>
  <c r="L95" i="264" s="1"/>
  <c r="K34" i="264"/>
  <c r="K95" i="264" s="1"/>
  <c r="J34" i="264"/>
  <c r="J95" i="264" s="1"/>
  <c r="I34" i="264"/>
  <c r="I95" i="264" s="1"/>
  <c r="H34" i="264"/>
  <c r="H95" i="264" s="1"/>
  <c r="G34" i="264"/>
  <c r="G95" i="264" s="1"/>
  <c r="F34" i="264"/>
  <c r="F95" i="264" s="1"/>
  <c r="C34" i="264"/>
  <c r="B34" i="264"/>
  <c r="AH33" i="264"/>
  <c r="AG33" i="264"/>
  <c r="AF33" i="264"/>
  <c r="AI32" i="264"/>
  <c r="AC31" i="264"/>
  <c r="AC93" i="264" s="1"/>
  <c r="AB31" i="264"/>
  <c r="AB93" i="264" s="1"/>
  <c r="AA31" i="264"/>
  <c r="AA93" i="264" s="1"/>
  <c r="Z31" i="264"/>
  <c r="Z93" i="264" s="1"/>
  <c r="Y31" i="264"/>
  <c r="Y93" i="264" s="1"/>
  <c r="X31" i="264"/>
  <c r="X93" i="264" s="1"/>
  <c r="W31" i="264"/>
  <c r="W93" i="264" s="1"/>
  <c r="V31" i="264"/>
  <c r="V93" i="264" s="1"/>
  <c r="U31" i="264"/>
  <c r="U93" i="264" s="1"/>
  <c r="T31" i="264"/>
  <c r="T93" i="264" s="1"/>
  <c r="S31" i="264"/>
  <c r="S93" i="264" s="1"/>
  <c r="R31" i="264"/>
  <c r="R93" i="264" s="1"/>
  <c r="Q31" i="264"/>
  <c r="Q93" i="264" s="1"/>
  <c r="P31" i="264"/>
  <c r="P93" i="264" s="1"/>
  <c r="O31" i="264"/>
  <c r="O93" i="264" s="1"/>
  <c r="N31" i="264"/>
  <c r="N93" i="264" s="1"/>
  <c r="M31" i="264"/>
  <c r="M93" i="264" s="1"/>
  <c r="L31" i="264"/>
  <c r="L93" i="264" s="1"/>
  <c r="K31" i="264"/>
  <c r="K93" i="264" s="1"/>
  <c r="J31" i="264"/>
  <c r="J93" i="264" s="1"/>
  <c r="I31" i="264"/>
  <c r="I93" i="264" s="1"/>
  <c r="H31" i="264"/>
  <c r="H93" i="264" s="1"/>
  <c r="G31" i="264"/>
  <c r="G93" i="264" s="1"/>
  <c r="F31" i="264"/>
  <c r="F93" i="264" s="1"/>
  <c r="C31" i="264"/>
  <c r="B31" i="264"/>
  <c r="AI28" i="264"/>
  <c r="AH28" i="264"/>
  <c r="AG28" i="264"/>
  <c r="AF28" i="264"/>
  <c r="AH27" i="264"/>
  <c r="AG27" i="264"/>
  <c r="AF27" i="264"/>
  <c r="AI26" i="264"/>
  <c r="AC25" i="264"/>
  <c r="AB25" i="264"/>
  <c r="AA25" i="264"/>
  <c r="Z25" i="264"/>
  <c r="Y25" i="264"/>
  <c r="X25" i="264"/>
  <c r="W25" i="264"/>
  <c r="V25" i="264"/>
  <c r="U25" i="264"/>
  <c r="T25" i="264"/>
  <c r="S25" i="264"/>
  <c r="R25" i="264"/>
  <c r="Q25" i="264"/>
  <c r="P25" i="264"/>
  <c r="O25" i="264"/>
  <c r="N25" i="264"/>
  <c r="M25" i="264"/>
  <c r="L25" i="264"/>
  <c r="K25" i="264"/>
  <c r="J25" i="264"/>
  <c r="I25" i="264"/>
  <c r="H25" i="264"/>
  <c r="G25" i="264"/>
  <c r="F25" i="264"/>
  <c r="C25" i="264"/>
  <c r="AH24" i="264"/>
  <c r="AG24" i="264"/>
  <c r="AF24" i="264"/>
  <c r="AI23" i="264"/>
  <c r="AC22" i="264"/>
  <c r="AB22" i="264"/>
  <c r="AA22" i="264"/>
  <c r="Z22" i="264"/>
  <c r="Y22" i="264"/>
  <c r="X22" i="264"/>
  <c r="W22" i="264"/>
  <c r="V22" i="264"/>
  <c r="U22" i="264"/>
  <c r="T22" i="264"/>
  <c r="S22" i="264"/>
  <c r="R22" i="264"/>
  <c r="Q22" i="264"/>
  <c r="P22" i="264"/>
  <c r="O22" i="264"/>
  <c r="N22" i="264"/>
  <c r="M22" i="264"/>
  <c r="L22" i="264"/>
  <c r="K22" i="264"/>
  <c r="J22" i="264"/>
  <c r="I22" i="264"/>
  <c r="H22" i="264"/>
  <c r="G22" i="264"/>
  <c r="F22" i="264"/>
  <c r="C22" i="264"/>
  <c r="B22" i="264"/>
  <c r="AH21" i="264"/>
  <c r="AG21" i="264"/>
  <c r="AF21" i="264"/>
  <c r="AH20" i="264"/>
  <c r="AG20" i="264"/>
  <c r="AF20" i="264"/>
  <c r="AH19" i="264"/>
  <c r="AG19" i="264"/>
  <c r="AF19" i="264"/>
  <c r="AI18" i="264"/>
  <c r="AC17" i="264"/>
  <c r="AC91" i="264" s="1"/>
  <c r="AB17" i="264"/>
  <c r="AB91" i="264" s="1"/>
  <c r="AA17" i="264"/>
  <c r="AA91" i="264" s="1"/>
  <c r="Z17" i="264"/>
  <c r="Z91" i="264" s="1"/>
  <c r="Y17" i="264"/>
  <c r="Y91" i="264" s="1"/>
  <c r="X17" i="264"/>
  <c r="X91" i="264" s="1"/>
  <c r="W17" i="264"/>
  <c r="W91" i="264" s="1"/>
  <c r="V17" i="264"/>
  <c r="U17" i="264"/>
  <c r="T17" i="264"/>
  <c r="T91" i="264" s="1"/>
  <c r="S17" i="264"/>
  <c r="R17" i="264"/>
  <c r="R91" i="264" s="1"/>
  <c r="Q17" i="264"/>
  <c r="Q91" i="264" s="1"/>
  <c r="P17" i="264"/>
  <c r="P91" i="264" s="1"/>
  <c r="O17" i="264"/>
  <c r="O91" i="264" s="1"/>
  <c r="N17" i="264"/>
  <c r="N91" i="264" s="1"/>
  <c r="M17" i="264"/>
  <c r="L17" i="264"/>
  <c r="L91" i="264" s="1"/>
  <c r="K17" i="264"/>
  <c r="K91" i="264" s="1"/>
  <c r="J17" i="264"/>
  <c r="J91" i="264" s="1"/>
  <c r="I17" i="264"/>
  <c r="I91" i="264" s="1"/>
  <c r="H17" i="264"/>
  <c r="H91" i="264" s="1"/>
  <c r="G17" i="264"/>
  <c r="F17" i="264"/>
  <c r="C17" i="264"/>
  <c r="B17" i="264"/>
  <c r="AH16" i="264"/>
  <c r="AG16" i="264"/>
  <c r="AF16" i="264"/>
  <c r="AH15" i="264"/>
  <c r="AG15" i="264"/>
  <c r="AF15" i="264"/>
  <c r="AH14" i="264"/>
  <c r="AG14" i="264"/>
  <c r="AF14" i="264"/>
  <c r="AH13" i="264"/>
  <c r="AG13" i="264"/>
  <c r="AF13" i="264"/>
  <c r="AI12" i="264"/>
  <c r="M9" i="264" a="1"/>
  <c r="M9" i="264" s="1"/>
  <c r="AR4" i="264"/>
  <c r="AE102" i="260"/>
  <c r="AE103" i="260"/>
  <c r="AC63" i="263"/>
  <c r="AC62" i="263"/>
  <c r="F240" i="88"/>
  <c r="F238" i="88"/>
  <c r="F120" i="88"/>
  <c r="F184" i="88"/>
  <c r="W101" i="260"/>
  <c r="F235" i="88"/>
  <c r="F214" i="88"/>
  <c r="F237" i="88"/>
  <c r="F236" i="88"/>
  <c r="W100" i="260"/>
  <c r="F231" i="88"/>
  <c r="Z64" i="263"/>
  <c r="Z63" i="263"/>
  <c r="Z62" i="263"/>
  <c r="Y63" i="263"/>
  <c r="Y62" i="263"/>
  <c r="Y64" i="263"/>
  <c r="F230" i="88"/>
  <c r="F234" i="88"/>
  <c r="W99" i="260"/>
  <c r="F229" i="88"/>
  <c r="F213" i="88"/>
  <c r="F232" i="88"/>
  <c r="F141" i="88"/>
  <c r="F181" i="88"/>
  <c r="F212" i="88"/>
  <c r="W98" i="260"/>
  <c r="F215" i="88"/>
  <c r="F190" i="88"/>
  <c r="W97" i="260"/>
  <c r="F189" i="88"/>
  <c r="F188" i="88"/>
  <c r="F218" i="88"/>
  <c r="F228" i="88"/>
  <c r="F227" i="88"/>
  <c r="F196" i="88"/>
  <c r="F195" i="88"/>
  <c r="AE96" i="260"/>
  <c r="W96" i="260"/>
  <c r="F193" i="88"/>
  <c r="F210" i="88"/>
  <c r="F217" i="88"/>
  <c r="F219" i="88"/>
  <c r="F224" i="88"/>
  <c r="F220" i="88"/>
  <c r="F208" i="88"/>
  <c r="O102" i="265" l="1"/>
  <c r="O107" i="265" s="1"/>
  <c r="J102" i="265"/>
  <c r="J107" i="265" s="1"/>
  <c r="I83" i="265"/>
  <c r="H83" i="265"/>
  <c r="R83" i="265"/>
  <c r="C83" i="264"/>
  <c r="O89" i="264"/>
  <c r="J83" i="265"/>
  <c r="P89" i="264"/>
  <c r="P102" i="264" s="1"/>
  <c r="P107" i="264" s="1"/>
  <c r="Q89" i="264"/>
  <c r="K89" i="264"/>
  <c r="K102" i="264" s="1"/>
  <c r="K107" i="264" s="1"/>
  <c r="J89" i="264"/>
  <c r="J102" i="264" s="1"/>
  <c r="J107" i="264" s="1"/>
  <c r="Y102" i="265"/>
  <c r="Y107" i="265" s="1"/>
  <c r="X102" i="265"/>
  <c r="X107" i="265" s="1"/>
  <c r="Z109" i="264"/>
  <c r="R102" i="265"/>
  <c r="R107" i="265" s="1"/>
  <c r="I102" i="265"/>
  <c r="I107" i="265" s="1"/>
  <c r="F102" i="265"/>
  <c r="F107" i="265" s="1"/>
  <c r="H102" i="265"/>
  <c r="H107" i="265" s="1"/>
  <c r="G102" i="265"/>
  <c r="G107" i="265" s="1"/>
  <c r="K102" i="265"/>
  <c r="K107" i="265" s="1"/>
  <c r="M102" i="265"/>
  <c r="M107" i="265" s="1"/>
  <c r="AC102" i="265"/>
  <c r="AC107" i="265" s="1"/>
  <c r="L102" i="265"/>
  <c r="L107" i="265" s="1"/>
  <c r="F83" i="265"/>
  <c r="W102" i="265"/>
  <c r="W107" i="265" s="1"/>
  <c r="G83" i="265"/>
  <c r="AA102" i="265"/>
  <c r="AA107" i="265" s="1"/>
  <c r="Y109" i="264"/>
  <c r="X89" i="264"/>
  <c r="X102" i="264" s="1"/>
  <c r="X107" i="264" s="1"/>
  <c r="X108" i="264"/>
  <c r="W109" i="264"/>
  <c r="V109" i="264"/>
  <c r="N89" i="264"/>
  <c r="N102" i="264" s="1"/>
  <c r="N107" i="264" s="1"/>
  <c r="K108" i="264"/>
  <c r="J108" i="264"/>
  <c r="I108" i="264"/>
  <c r="F89" i="264"/>
  <c r="F83" i="264"/>
  <c r="H108" i="264"/>
  <c r="AA108" i="264"/>
  <c r="AB108" i="264"/>
  <c r="AC108" i="264"/>
  <c r="R108" i="264"/>
  <c r="Z108" i="264"/>
  <c r="L108" i="264"/>
  <c r="Y108" i="264"/>
  <c r="T108" i="264"/>
  <c r="M89" i="264"/>
  <c r="L89" i="264"/>
  <c r="L102" i="264" s="1"/>
  <c r="L107" i="264" s="1"/>
  <c r="J83" i="264"/>
  <c r="AA83" i="264"/>
  <c r="H83" i="264"/>
  <c r="AB83" i="264"/>
  <c r="K83" i="264"/>
  <c r="G83" i="264"/>
  <c r="I83" i="264"/>
  <c r="M83" i="264"/>
  <c r="G109" i="264"/>
  <c r="I109" i="264"/>
  <c r="AC109" i="264"/>
  <c r="AA109" i="264"/>
  <c r="G91" i="264"/>
  <c r="G108" i="264" s="1"/>
  <c r="F91" i="264"/>
  <c r="F108" i="264" s="1"/>
  <c r="Z83" i="264"/>
  <c r="AH48" i="264"/>
  <c r="AG48" i="264"/>
  <c r="AF48" i="264"/>
  <c r="M97" i="264"/>
  <c r="AF58" i="264"/>
  <c r="AC83" i="264"/>
  <c r="Q60" i="264"/>
  <c r="Q97" i="264" s="1"/>
  <c r="Q102" i="264" s="1"/>
  <c r="Q107" i="264" s="1"/>
  <c r="AH40" i="264"/>
  <c r="N83" i="264"/>
  <c r="L83" i="264"/>
  <c r="AH50" i="264"/>
  <c r="P109" i="264"/>
  <c r="Y83" i="264"/>
  <c r="AH58" i="264"/>
  <c r="T60" i="264"/>
  <c r="T97" i="264" s="1"/>
  <c r="AF56" i="264"/>
  <c r="AG56" i="264"/>
  <c r="AF40" i="264"/>
  <c r="AG63" i="264"/>
  <c r="S65" i="264"/>
  <c r="S98" i="264" s="1"/>
  <c r="AH63" i="264"/>
  <c r="O108" i="264"/>
  <c r="AG40" i="264"/>
  <c r="AG54" i="264"/>
  <c r="AH54" i="264"/>
  <c r="I89" i="264"/>
  <c r="I102" i="264" s="1"/>
  <c r="I107" i="264" s="1"/>
  <c r="Q108" i="264"/>
  <c r="U89" i="264"/>
  <c r="U109" i="264"/>
  <c r="N109" i="264"/>
  <c r="AF63" i="264"/>
  <c r="O109" i="264"/>
  <c r="Q109" i="264"/>
  <c r="O60" i="264"/>
  <c r="M109" i="264"/>
  <c r="M91" i="264"/>
  <c r="M108" i="264" s="1"/>
  <c r="AG45" i="264"/>
  <c r="R109" i="264"/>
  <c r="R89" i="264"/>
  <c r="R102" i="264" s="1"/>
  <c r="R107" i="264" s="1"/>
  <c r="P108" i="264"/>
  <c r="T109" i="264"/>
  <c r="T89" i="264"/>
  <c r="AC89" i="264"/>
  <c r="AC102" i="264" s="1"/>
  <c r="AC107" i="264" s="1"/>
  <c r="V60" i="264"/>
  <c r="V97" i="264" s="1"/>
  <c r="AH59" i="264"/>
  <c r="AG59" i="264"/>
  <c r="AF59" i="264"/>
  <c r="AF45" i="264"/>
  <c r="U60" i="264"/>
  <c r="U97" i="264" s="1"/>
  <c r="P83" i="264"/>
  <c r="N108" i="264"/>
  <c r="AH45" i="264"/>
  <c r="S109" i="264"/>
  <c r="S89" i="264"/>
  <c r="AI61" i="264"/>
  <c r="AH62" i="264"/>
  <c r="AG62" i="264"/>
  <c r="AF62" i="264"/>
  <c r="F102" i="264"/>
  <c r="F107" i="264" s="1"/>
  <c r="AF50" i="264"/>
  <c r="W108" i="264"/>
  <c r="G89" i="264"/>
  <c r="G102" i="264" s="1"/>
  <c r="G107" i="264" s="1"/>
  <c r="AA89" i="264"/>
  <c r="AA102" i="264" s="1"/>
  <c r="AA107" i="264" s="1"/>
  <c r="B83" i="264"/>
  <c r="H89" i="264"/>
  <c r="H102" i="264" s="1"/>
  <c r="H107" i="264" s="1"/>
  <c r="AB89" i="264"/>
  <c r="AB102" i="264" s="1"/>
  <c r="AB107" i="264" s="1"/>
  <c r="R83" i="264"/>
  <c r="AG55" i="264"/>
  <c r="AG57" i="264"/>
  <c r="V89" i="264"/>
  <c r="AH55" i="264"/>
  <c r="AH57" i="264"/>
  <c r="W89" i="264"/>
  <c r="W102" i="264" s="1"/>
  <c r="W107" i="264" s="1"/>
  <c r="S91" i="264"/>
  <c r="S108" i="264" s="1"/>
  <c r="H109" i="264"/>
  <c r="AB109" i="264"/>
  <c r="AG49" i="264"/>
  <c r="AF53" i="264"/>
  <c r="AF64" i="264"/>
  <c r="Y89" i="264"/>
  <c r="Y102" i="264" s="1"/>
  <c r="Y107" i="264" s="1"/>
  <c r="U91" i="264"/>
  <c r="U108" i="264" s="1"/>
  <c r="J109" i="264"/>
  <c r="X109" i="264"/>
  <c r="F109" i="264"/>
  <c r="AH49" i="264"/>
  <c r="AG53" i="264"/>
  <c r="AG64" i="264"/>
  <c r="Z89" i="264"/>
  <c r="Z102" i="264" s="1"/>
  <c r="Z107" i="264" s="1"/>
  <c r="V91" i="264"/>
  <c r="V108" i="264" s="1"/>
  <c r="K109" i="264"/>
  <c r="AF46" i="264"/>
  <c r="W83" i="264"/>
  <c r="X83" i="264"/>
  <c r="L109" i="264"/>
  <c r="AG46" i="264"/>
  <c r="V56" i="263"/>
  <c r="V57" i="263"/>
  <c r="V58" i="263"/>
  <c r="V59" i="263"/>
  <c r="V60" i="263" s="1"/>
  <c r="V97" i="263" s="1"/>
  <c r="W95" i="260"/>
  <c r="F222" i="88"/>
  <c r="F221" i="88"/>
  <c r="F223" i="88"/>
  <c r="AE94" i="260"/>
  <c r="W94" i="260"/>
  <c r="U40" i="263"/>
  <c r="AH40" i="263" s="1"/>
  <c r="U60" i="263"/>
  <c r="U97" i="263" s="1"/>
  <c r="U54" i="263"/>
  <c r="U55" i="263"/>
  <c r="U56" i="263"/>
  <c r="U57" i="263"/>
  <c r="U58" i="263"/>
  <c r="U59" i="263"/>
  <c r="T94" i="263"/>
  <c r="T59" i="263"/>
  <c r="T58" i="263"/>
  <c r="T57" i="263"/>
  <c r="T56" i="263"/>
  <c r="T55" i="263"/>
  <c r="T54" i="263"/>
  <c r="T53" i="263"/>
  <c r="T50" i="263"/>
  <c r="T49" i="263"/>
  <c r="T48" i="263"/>
  <c r="T47" i="263"/>
  <c r="T46" i="263"/>
  <c r="T45" i="263"/>
  <c r="AH45" i="263" s="1"/>
  <c r="T40" i="263"/>
  <c r="F201" i="88"/>
  <c r="F204" i="88"/>
  <c r="S94" i="263"/>
  <c r="R94" i="263"/>
  <c r="AE93" i="260"/>
  <c r="W93" i="260"/>
  <c r="F192" i="88"/>
  <c r="F198" i="88"/>
  <c r="F187" i="88"/>
  <c r="F186" i="88"/>
  <c r="F185" i="88"/>
  <c r="F209" i="88"/>
  <c r="S63" i="263"/>
  <c r="AE92" i="260"/>
  <c r="W92" i="260"/>
  <c r="S64" i="263"/>
  <c r="S60" i="263"/>
  <c r="S97" i="263" s="1"/>
  <c r="R64" i="263"/>
  <c r="R62" i="263"/>
  <c r="R59" i="263"/>
  <c r="R58" i="263"/>
  <c r="R57" i="263"/>
  <c r="R56" i="263"/>
  <c r="R55" i="263"/>
  <c r="R54" i="263"/>
  <c r="R53" i="263"/>
  <c r="R50" i="263"/>
  <c r="R49" i="263"/>
  <c r="R48" i="263"/>
  <c r="R47" i="263"/>
  <c r="R46" i="263"/>
  <c r="R45" i="263"/>
  <c r="F183" i="88"/>
  <c r="AE91" i="260"/>
  <c r="W91" i="260"/>
  <c r="F199" i="88"/>
  <c r="F200" i="88"/>
  <c r="F194" i="88"/>
  <c r="F206" i="88"/>
  <c r="F205" i="88"/>
  <c r="Q64" i="263"/>
  <c r="Q62" i="263"/>
  <c r="Q59" i="263"/>
  <c r="Q58" i="263"/>
  <c r="Q57" i="263"/>
  <c r="Q56" i="263"/>
  <c r="Q55" i="263"/>
  <c r="Q54" i="263"/>
  <c r="Q53" i="263"/>
  <c r="Q50" i="263"/>
  <c r="Q49" i="263"/>
  <c r="Q48" i="263"/>
  <c r="Q47" i="263"/>
  <c r="Q46" i="263"/>
  <c r="Q45" i="263"/>
  <c r="Q40" i="263"/>
  <c r="AF40" i="263" s="1"/>
  <c r="F207" i="88"/>
  <c r="F203" i="88"/>
  <c r="F25" i="88"/>
  <c r="F17" i="88"/>
  <c r="AC60" i="263"/>
  <c r="AC97" i="263" s="1"/>
  <c r="AB60" i="263"/>
  <c r="AB97" i="263" s="1"/>
  <c r="AA60" i="263"/>
  <c r="AA97" i="263" s="1"/>
  <c r="Z60" i="263"/>
  <c r="Y60" i="263"/>
  <c r="X60" i="263"/>
  <c r="X97" i="263" s="1"/>
  <c r="W60" i="263"/>
  <c r="W97" i="263" s="1"/>
  <c r="N60" i="263"/>
  <c r="N97" i="263" s="1"/>
  <c r="M60" i="263"/>
  <c r="M97" i="263" s="1"/>
  <c r="L60" i="263"/>
  <c r="L97" i="263" s="1"/>
  <c r="K60" i="263"/>
  <c r="K97" i="263" s="1"/>
  <c r="J60" i="263"/>
  <c r="J97" i="263" s="1"/>
  <c r="I60" i="263"/>
  <c r="I97" i="263" s="1"/>
  <c r="H60" i="263"/>
  <c r="H97" i="263" s="1"/>
  <c r="G60" i="263"/>
  <c r="G97" i="263" s="1"/>
  <c r="F60" i="263"/>
  <c r="F97" i="263" s="1"/>
  <c r="F202" i="88"/>
  <c r="F155" i="88"/>
  <c r="F164" i="88"/>
  <c r="AE90" i="260"/>
  <c r="W90" i="260"/>
  <c r="P64" i="263"/>
  <c r="P62" i="263"/>
  <c r="P59" i="263"/>
  <c r="P58" i="263"/>
  <c r="P57" i="263"/>
  <c r="P56" i="263"/>
  <c r="P55" i="263"/>
  <c r="P54" i="263"/>
  <c r="P53" i="263"/>
  <c r="AG52" i="263"/>
  <c r="AH51" i="263"/>
  <c r="P50" i="263"/>
  <c r="P49" i="263"/>
  <c r="P48" i="263"/>
  <c r="P47" i="263"/>
  <c r="P46" i="263"/>
  <c r="P45" i="263"/>
  <c r="F197" i="88"/>
  <c r="F191" i="88"/>
  <c r="AE89" i="260"/>
  <c r="W89" i="260"/>
  <c r="O64" i="263"/>
  <c r="O62" i="263"/>
  <c r="O57" i="263"/>
  <c r="O56" i="263"/>
  <c r="O50" i="263"/>
  <c r="AH50" i="263" s="1"/>
  <c r="O49" i="263"/>
  <c r="O48" i="263"/>
  <c r="O47" i="263"/>
  <c r="O46" i="263"/>
  <c r="AE88" i="260"/>
  <c r="N64" i="263"/>
  <c r="N62" i="263"/>
  <c r="N65" i="263" s="1"/>
  <c r="N98" i="263" s="1"/>
  <c r="M64" i="263"/>
  <c r="M62" i="263"/>
  <c r="M65" i="263" s="1"/>
  <c r="M98" i="263" s="1"/>
  <c r="F179" i="88"/>
  <c r="F178" i="88"/>
  <c r="F177" i="88"/>
  <c r="F145" i="88"/>
  <c r="F176" i="88"/>
  <c r="L63" i="263"/>
  <c r="L62" i="263"/>
  <c r="F167" i="88"/>
  <c r="F170" i="88"/>
  <c r="F168" i="88"/>
  <c r="F165" i="88"/>
  <c r="F166" i="88"/>
  <c r="F172" i="88"/>
  <c r="F173" i="88"/>
  <c r="K63" i="263"/>
  <c r="K62" i="263"/>
  <c r="K65" i="263" s="1"/>
  <c r="K98" i="263" s="1"/>
  <c r="F174" i="88"/>
  <c r="F169" i="88"/>
  <c r="F157" i="88"/>
  <c r="F12" i="88"/>
  <c r="J63" i="263"/>
  <c r="J62" i="263"/>
  <c r="J65" i="263" s="1"/>
  <c r="J98" i="263" s="1"/>
  <c r="I63" i="263"/>
  <c r="I62" i="263"/>
  <c r="F7" i="88"/>
  <c r="F125" i="88"/>
  <c r="F158" i="88"/>
  <c r="F112" i="88"/>
  <c r="AE80" i="260"/>
  <c r="F152" i="88"/>
  <c r="F76" i="263"/>
  <c r="F65" i="263"/>
  <c r="F98" i="263" s="1"/>
  <c r="F34" i="263"/>
  <c r="F95" i="263" s="1"/>
  <c r="F31" i="263"/>
  <c r="F93" i="263" s="1"/>
  <c r="F25" i="263"/>
  <c r="F22" i="263"/>
  <c r="F89" i="263" s="1"/>
  <c r="F17" i="263"/>
  <c r="F91" i="263" s="1"/>
  <c r="F109" i="88"/>
  <c r="AC128" i="263"/>
  <c r="AB128" i="263"/>
  <c r="AA128" i="263"/>
  <c r="Z128" i="263"/>
  <c r="Y128" i="263"/>
  <c r="X128" i="263"/>
  <c r="W128" i="263"/>
  <c r="V128" i="263"/>
  <c r="U128" i="263"/>
  <c r="T128" i="263"/>
  <c r="S128" i="263"/>
  <c r="R128" i="263"/>
  <c r="Q128" i="263"/>
  <c r="P128" i="263"/>
  <c r="O128" i="263"/>
  <c r="N128" i="263"/>
  <c r="M128" i="263"/>
  <c r="L128" i="263"/>
  <c r="K128" i="263"/>
  <c r="J128" i="263"/>
  <c r="I128" i="263"/>
  <c r="H128" i="263"/>
  <c r="G128" i="263"/>
  <c r="F128" i="263"/>
  <c r="AC106" i="263"/>
  <c r="AB106" i="263"/>
  <c r="AA106" i="263"/>
  <c r="Z106" i="263"/>
  <c r="Y106" i="263"/>
  <c r="X106" i="263"/>
  <c r="W106" i="263"/>
  <c r="V106" i="263"/>
  <c r="U106" i="263"/>
  <c r="T106" i="263"/>
  <c r="S106" i="263"/>
  <c r="R106" i="263"/>
  <c r="Q106" i="263"/>
  <c r="P106" i="263"/>
  <c r="O106" i="263"/>
  <c r="N106" i="263"/>
  <c r="M106" i="263"/>
  <c r="L106" i="263"/>
  <c r="K106" i="263"/>
  <c r="J106" i="263"/>
  <c r="I106" i="263"/>
  <c r="H106" i="263"/>
  <c r="G106" i="263"/>
  <c r="F106" i="263"/>
  <c r="AC101" i="263"/>
  <c r="AB101" i="263"/>
  <c r="AA101" i="263"/>
  <c r="Z101" i="263"/>
  <c r="Y101" i="263"/>
  <c r="X101" i="263"/>
  <c r="W101" i="263"/>
  <c r="V101" i="263"/>
  <c r="U101" i="263"/>
  <c r="T101" i="263"/>
  <c r="S101" i="263"/>
  <c r="R101" i="263"/>
  <c r="Q101" i="263"/>
  <c r="P101" i="263"/>
  <c r="O101" i="263"/>
  <c r="N101" i="263"/>
  <c r="M101" i="263"/>
  <c r="L101" i="263"/>
  <c r="K101" i="263"/>
  <c r="J101" i="263"/>
  <c r="I101" i="263"/>
  <c r="H101" i="263"/>
  <c r="G101" i="263"/>
  <c r="F101" i="263"/>
  <c r="F99" i="263"/>
  <c r="P95" i="263"/>
  <c r="Y93" i="263"/>
  <c r="X93" i="263"/>
  <c r="AC100" i="263"/>
  <c r="AB80" i="263"/>
  <c r="AB100" i="263" s="1"/>
  <c r="AA80" i="263"/>
  <c r="AA100" i="263" s="1"/>
  <c r="Z80" i="263"/>
  <c r="Z100" i="263" s="1"/>
  <c r="Y80" i="263"/>
  <c r="Y100" i="263" s="1"/>
  <c r="X80" i="263"/>
  <c r="X100" i="263" s="1"/>
  <c r="W80" i="263"/>
  <c r="W100" i="263" s="1"/>
  <c r="V80" i="263"/>
  <c r="V100" i="263" s="1"/>
  <c r="U80" i="263"/>
  <c r="U100" i="263" s="1"/>
  <c r="T80" i="263"/>
  <c r="T100" i="263" s="1"/>
  <c r="S80" i="263"/>
  <c r="S100" i="263" s="1"/>
  <c r="R80" i="263"/>
  <c r="R100" i="263" s="1"/>
  <c r="Q80" i="263"/>
  <c r="Q100" i="263" s="1"/>
  <c r="P80" i="263"/>
  <c r="P100" i="263" s="1"/>
  <c r="O80" i="263"/>
  <c r="O100" i="263" s="1"/>
  <c r="N80" i="263"/>
  <c r="N100" i="263" s="1"/>
  <c r="M80" i="263"/>
  <c r="M100" i="263" s="1"/>
  <c r="L80" i="263"/>
  <c r="L100" i="263" s="1"/>
  <c r="K80" i="263"/>
  <c r="K100" i="263" s="1"/>
  <c r="J80" i="263"/>
  <c r="J100" i="263" s="1"/>
  <c r="I80" i="263"/>
  <c r="I100" i="263" s="1"/>
  <c r="H80" i="263"/>
  <c r="H100" i="263" s="1"/>
  <c r="G80" i="263"/>
  <c r="G100" i="263" s="1"/>
  <c r="F80" i="263"/>
  <c r="F100" i="263" s="1"/>
  <c r="C80" i="263"/>
  <c r="AH79" i="263"/>
  <c r="AG79" i="263"/>
  <c r="AF79" i="263"/>
  <c r="AH78" i="263"/>
  <c r="AG78" i="263"/>
  <c r="AF78" i="263"/>
  <c r="AI77" i="263"/>
  <c r="AC76" i="263"/>
  <c r="AC99" i="263" s="1"/>
  <c r="AB76" i="263"/>
  <c r="AB99" i="263" s="1"/>
  <c r="AA76" i="263"/>
  <c r="AA99" i="263" s="1"/>
  <c r="Z76" i="263"/>
  <c r="Z99" i="263" s="1"/>
  <c r="Y76" i="263"/>
  <c r="Y99" i="263" s="1"/>
  <c r="X76" i="263"/>
  <c r="X99" i="263" s="1"/>
  <c r="W76" i="263"/>
  <c r="W99" i="263" s="1"/>
  <c r="V76" i="263"/>
  <c r="V99" i="263" s="1"/>
  <c r="U76" i="263"/>
  <c r="U99" i="263" s="1"/>
  <c r="T76" i="263"/>
  <c r="T99" i="263" s="1"/>
  <c r="S76" i="263"/>
  <c r="S99" i="263" s="1"/>
  <c r="R76" i="263"/>
  <c r="R99" i="263" s="1"/>
  <c r="Q76" i="263"/>
  <c r="Q99" i="263" s="1"/>
  <c r="P76" i="263"/>
  <c r="P99" i="263" s="1"/>
  <c r="O76" i="263"/>
  <c r="O99" i="263" s="1"/>
  <c r="N76" i="263"/>
  <c r="N99" i="263" s="1"/>
  <c r="M76" i="263"/>
  <c r="M99" i="263" s="1"/>
  <c r="L76" i="263"/>
  <c r="L99" i="263" s="1"/>
  <c r="K76" i="263"/>
  <c r="K99" i="263" s="1"/>
  <c r="J76" i="263"/>
  <c r="J99" i="263" s="1"/>
  <c r="I76" i="263"/>
  <c r="I99" i="263" s="1"/>
  <c r="H76" i="263"/>
  <c r="H99" i="263" s="1"/>
  <c r="G76" i="263"/>
  <c r="G99" i="263" s="1"/>
  <c r="C76" i="263"/>
  <c r="B76" i="263"/>
  <c r="B80" i="263" s="1"/>
  <c r="B25" i="263" s="1"/>
  <c r="AH75" i="263"/>
  <c r="AG75" i="263"/>
  <c r="AF75" i="263"/>
  <c r="AH74" i="263"/>
  <c r="AG74" i="263"/>
  <c r="AF74" i="263"/>
  <c r="AH73" i="263"/>
  <c r="AG73" i="263"/>
  <c r="AF73" i="263"/>
  <c r="AH72" i="263"/>
  <c r="AG72" i="263"/>
  <c r="AF72" i="263"/>
  <c r="AH71" i="263"/>
  <c r="AG71" i="263"/>
  <c r="AF71" i="263"/>
  <c r="AH70" i="263"/>
  <c r="AG70" i="263"/>
  <c r="AF70" i="263"/>
  <c r="AH69" i="263"/>
  <c r="AG69" i="263"/>
  <c r="AF69" i="263"/>
  <c r="AH68" i="263"/>
  <c r="AG68" i="263"/>
  <c r="AF68" i="263"/>
  <c r="AH67" i="263"/>
  <c r="AG67" i="263"/>
  <c r="AF67" i="263"/>
  <c r="AI66" i="263"/>
  <c r="AB65" i="263"/>
  <c r="AB98" i="263" s="1"/>
  <c r="AA65" i="263"/>
  <c r="AA98" i="263" s="1"/>
  <c r="Z65" i="263"/>
  <c r="Z98" i="263" s="1"/>
  <c r="X65" i="263"/>
  <c r="X98" i="263" s="1"/>
  <c r="W65" i="263"/>
  <c r="W98" i="263" s="1"/>
  <c r="V65" i="263"/>
  <c r="V98" i="263" s="1"/>
  <c r="U65" i="263"/>
  <c r="U98" i="263" s="1"/>
  <c r="L65" i="263"/>
  <c r="L98" i="263" s="1"/>
  <c r="H65" i="263"/>
  <c r="H98" i="263" s="1"/>
  <c r="G65" i="263"/>
  <c r="G98" i="263" s="1"/>
  <c r="C65" i="263"/>
  <c r="AC65" i="263"/>
  <c r="AC98" i="263" s="1"/>
  <c r="Q65" i="263"/>
  <c r="Q98" i="263" s="1"/>
  <c r="Y65" i="263"/>
  <c r="Y98" i="263" s="1"/>
  <c r="T65" i="263"/>
  <c r="T98" i="263" s="1"/>
  <c r="C60" i="263"/>
  <c r="B60" i="263"/>
  <c r="B65" i="263" s="1"/>
  <c r="AH52" i="263"/>
  <c r="AF51" i="263"/>
  <c r="AH44" i="263"/>
  <c r="AG44" i="263"/>
  <c r="AF44" i="263"/>
  <c r="AH43" i="263"/>
  <c r="AG43" i="263"/>
  <c r="AF43" i="263"/>
  <c r="AH42" i="263"/>
  <c r="AG42" i="263"/>
  <c r="AF42" i="263"/>
  <c r="AH41" i="263"/>
  <c r="AG41" i="263"/>
  <c r="AF41" i="263"/>
  <c r="AH39" i="263"/>
  <c r="AG39" i="263"/>
  <c r="AF39" i="263"/>
  <c r="AH38" i="263"/>
  <c r="AG38" i="263"/>
  <c r="AF38" i="263"/>
  <c r="AH37" i="263"/>
  <c r="AG37" i="263"/>
  <c r="AF37" i="263"/>
  <c r="AH36" i="263"/>
  <c r="AG36" i="263"/>
  <c r="AF36" i="263"/>
  <c r="AC34" i="263"/>
  <c r="AC95" i="263" s="1"/>
  <c r="AB34" i="263"/>
  <c r="AB95" i="263" s="1"/>
  <c r="AA34" i="263"/>
  <c r="AA95" i="263" s="1"/>
  <c r="Z34" i="263"/>
  <c r="Z95" i="263" s="1"/>
  <c r="Y34" i="263"/>
  <c r="Y95" i="263" s="1"/>
  <c r="X34" i="263"/>
  <c r="X95" i="263" s="1"/>
  <c r="W34" i="263"/>
  <c r="W95" i="263" s="1"/>
  <c r="V34" i="263"/>
  <c r="V95" i="263" s="1"/>
  <c r="U34" i="263"/>
  <c r="U95" i="263" s="1"/>
  <c r="T34" i="263"/>
  <c r="T95" i="263" s="1"/>
  <c r="S34" i="263"/>
  <c r="S95" i="263" s="1"/>
  <c r="R34" i="263"/>
  <c r="R95" i="263" s="1"/>
  <c r="Q34" i="263"/>
  <c r="Q95" i="263" s="1"/>
  <c r="P34" i="263"/>
  <c r="O34" i="263"/>
  <c r="O95" i="263" s="1"/>
  <c r="N34" i="263"/>
  <c r="N95" i="263" s="1"/>
  <c r="M34" i="263"/>
  <c r="M95" i="263" s="1"/>
  <c r="L34" i="263"/>
  <c r="L95" i="263" s="1"/>
  <c r="K34" i="263"/>
  <c r="K95" i="263" s="1"/>
  <c r="J34" i="263"/>
  <c r="J95" i="263" s="1"/>
  <c r="I34" i="263"/>
  <c r="I95" i="263" s="1"/>
  <c r="H34" i="263"/>
  <c r="H95" i="263" s="1"/>
  <c r="G34" i="263"/>
  <c r="G95" i="263" s="1"/>
  <c r="C34" i="263"/>
  <c r="B34" i="263"/>
  <c r="AH33" i="263"/>
  <c r="AG33" i="263"/>
  <c r="AF33" i="263"/>
  <c r="AI32" i="263"/>
  <c r="AC31" i="263"/>
  <c r="AC93" i="263" s="1"/>
  <c r="AB31" i="263"/>
  <c r="AB93" i="263" s="1"/>
  <c r="AA31" i="263"/>
  <c r="AA93" i="263" s="1"/>
  <c r="Z31" i="263"/>
  <c r="Z93" i="263" s="1"/>
  <c r="Y31" i="263"/>
  <c r="X31" i="263"/>
  <c r="W31" i="263"/>
  <c r="W93" i="263" s="1"/>
  <c r="V31" i="263"/>
  <c r="V93" i="263" s="1"/>
  <c r="U31" i="263"/>
  <c r="U93" i="263" s="1"/>
  <c r="T31" i="263"/>
  <c r="T93" i="263" s="1"/>
  <c r="S31" i="263"/>
  <c r="S93" i="263" s="1"/>
  <c r="R31" i="263"/>
  <c r="R93" i="263" s="1"/>
  <c r="Q31" i="263"/>
  <c r="Q93" i="263" s="1"/>
  <c r="P31" i="263"/>
  <c r="P93" i="263" s="1"/>
  <c r="O31" i="263"/>
  <c r="O93" i="263" s="1"/>
  <c r="N31" i="263"/>
  <c r="N93" i="263" s="1"/>
  <c r="M31" i="263"/>
  <c r="M93" i="263" s="1"/>
  <c r="L31" i="263"/>
  <c r="L93" i="263" s="1"/>
  <c r="K31" i="263"/>
  <c r="K93" i="263" s="1"/>
  <c r="J31" i="263"/>
  <c r="J93" i="263" s="1"/>
  <c r="I31" i="263"/>
  <c r="I93" i="263" s="1"/>
  <c r="H31" i="263"/>
  <c r="H93" i="263" s="1"/>
  <c r="G31" i="263"/>
  <c r="G93" i="263" s="1"/>
  <c r="C31" i="263"/>
  <c r="B31" i="263"/>
  <c r="AI28" i="263"/>
  <c r="AH28" i="263"/>
  <c r="AG28" i="263"/>
  <c r="AF28" i="263"/>
  <c r="AH27" i="263"/>
  <c r="AG27" i="263"/>
  <c r="AF27" i="263"/>
  <c r="AI26" i="263"/>
  <c r="AC25" i="263"/>
  <c r="AB25" i="263"/>
  <c r="AA25" i="263"/>
  <c r="Z25" i="263"/>
  <c r="Y25" i="263"/>
  <c r="X25" i="263"/>
  <c r="W25" i="263"/>
  <c r="V25" i="263"/>
  <c r="U25" i="263"/>
  <c r="T25" i="263"/>
  <c r="S25" i="263"/>
  <c r="R25" i="263"/>
  <c r="Q25" i="263"/>
  <c r="P25" i="263"/>
  <c r="O25" i="263"/>
  <c r="N25" i="263"/>
  <c r="M25" i="263"/>
  <c r="L25" i="263"/>
  <c r="K25" i="263"/>
  <c r="J25" i="263"/>
  <c r="I25" i="263"/>
  <c r="H25" i="263"/>
  <c r="G25" i="263"/>
  <c r="C25" i="263"/>
  <c r="AH24" i="263"/>
  <c r="AG24" i="263"/>
  <c r="AF24" i="263"/>
  <c r="AI23" i="263"/>
  <c r="AC22" i="263"/>
  <c r="AB22" i="263"/>
  <c r="AB89" i="263" s="1"/>
  <c r="AA22" i="263"/>
  <c r="Z22" i="263"/>
  <c r="Y22" i="263"/>
  <c r="X22" i="263"/>
  <c r="W22" i="263"/>
  <c r="V22" i="263"/>
  <c r="U22" i="263"/>
  <c r="T22" i="263"/>
  <c r="S22" i="263"/>
  <c r="R22" i="263"/>
  <c r="Q22" i="263"/>
  <c r="P22" i="263"/>
  <c r="O22" i="263"/>
  <c r="N22" i="263"/>
  <c r="M22" i="263"/>
  <c r="L22" i="263"/>
  <c r="K22" i="263"/>
  <c r="J22" i="263"/>
  <c r="I22" i="263"/>
  <c r="H22" i="263"/>
  <c r="G22" i="263"/>
  <c r="C22" i="263"/>
  <c r="B22" i="263"/>
  <c r="AH21" i="263"/>
  <c r="AG21" i="263"/>
  <c r="AF21" i="263"/>
  <c r="AH20" i="263"/>
  <c r="AG20" i="263"/>
  <c r="AF20" i="263"/>
  <c r="AH19" i="263"/>
  <c r="AG19" i="263"/>
  <c r="AF19" i="263"/>
  <c r="AI18" i="263"/>
  <c r="AC17" i="263"/>
  <c r="AC91" i="263" s="1"/>
  <c r="AB17" i="263"/>
  <c r="AB91" i="263" s="1"/>
  <c r="AA17" i="263"/>
  <c r="AA91" i="263" s="1"/>
  <c r="Z17" i="263"/>
  <c r="Z91" i="263" s="1"/>
  <c r="Y17" i="263"/>
  <c r="Y91" i="263" s="1"/>
  <c r="X17" i="263"/>
  <c r="X91" i="263" s="1"/>
  <c r="W17" i="263"/>
  <c r="W91" i="263" s="1"/>
  <c r="V17" i="263"/>
  <c r="V91" i="263" s="1"/>
  <c r="U17" i="263"/>
  <c r="U91" i="263" s="1"/>
  <c r="T17" i="263"/>
  <c r="T91" i="263" s="1"/>
  <c r="S17" i="263"/>
  <c r="R17" i="263"/>
  <c r="Q17" i="263"/>
  <c r="P17" i="263"/>
  <c r="O17" i="263"/>
  <c r="O91" i="263" s="1"/>
  <c r="N17" i="263"/>
  <c r="N91" i="263" s="1"/>
  <c r="M17" i="263"/>
  <c r="L17" i="263"/>
  <c r="K17" i="263"/>
  <c r="K91" i="263" s="1"/>
  <c r="J17" i="263"/>
  <c r="J91" i="263" s="1"/>
  <c r="I17" i="263"/>
  <c r="I91" i="263" s="1"/>
  <c r="H17" i="263"/>
  <c r="H91" i="263" s="1"/>
  <c r="G17" i="263"/>
  <c r="G91" i="263" s="1"/>
  <c r="C17" i="263"/>
  <c r="B17" i="263"/>
  <c r="AH16" i="263"/>
  <c r="AG16" i="263"/>
  <c r="AF16" i="263"/>
  <c r="AH15" i="263"/>
  <c r="AG15" i="263"/>
  <c r="AF15" i="263"/>
  <c r="AH14" i="263"/>
  <c r="AG14" i="263"/>
  <c r="AF14" i="263"/>
  <c r="AH13" i="263"/>
  <c r="AG13" i="263"/>
  <c r="AF13" i="263"/>
  <c r="AI12" i="263"/>
  <c r="M9" i="263" a="1"/>
  <c r="M9" i="263" s="1"/>
  <c r="AR4" i="263"/>
  <c r="F163" i="88"/>
  <c r="F162" i="88"/>
  <c r="F161" i="88"/>
  <c r="F159" i="88"/>
  <c r="AE77" i="260"/>
  <c r="W77" i="260"/>
  <c r="AB64" i="262"/>
  <c r="AB63" i="262"/>
  <c r="F160" i="88"/>
  <c r="F151" i="88"/>
  <c r="F13" i="88"/>
  <c r="F150" i="88"/>
  <c r="F149" i="88"/>
  <c r="F147" i="88"/>
  <c r="AE76" i="260"/>
  <c r="W76" i="260"/>
  <c r="AA64" i="262"/>
  <c r="AA63" i="262"/>
  <c r="AA59" i="262"/>
  <c r="AA58" i="262"/>
  <c r="AA54" i="262"/>
  <c r="AA53" i="262"/>
  <c r="AA50" i="262"/>
  <c r="AA49" i="262"/>
  <c r="AA47" i="262"/>
  <c r="AA46" i="262"/>
  <c r="F146" i="88"/>
  <c r="F153" i="88"/>
  <c r="F143" i="88"/>
  <c r="F119" i="88"/>
  <c r="F135" i="88"/>
  <c r="F148" i="88"/>
  <c r="F136" i="88"/>
  <c r="AE75" i="260"/>
  <c r="W75" i="260"/>
  <c r="Z64" i="262"/>
  <c r="Z63" i="262"/>
  <c r="Z59" i="262"/>
  <c r="Z58" i="262"/>
  <c r="Z57" i="262"/>
  <c r="Z56" i="262"/>
  <c r="Z55" i="262"/>
  <c r="Z50" i="262"/>
  <c r="Z49" i="262"/>
  <c r="Z48" i="262"/>
  <c r="Z47" i="262"/>
  <c r="Z46" i="262"/>
  <c r="Y59" i="262"/>
  <c r="Y58" i="262"/>
  <c r="Y57" i="262"/>
  <c r="Y56" i="262"/>
  <c r="Y55" i="262"/>
  <c r="Y54" i="262"/>
  <c r="Y53" i="262"/>
  <c r="Y50" i="262"/>
  <c r="Y49" i="262"/>
  <c r="Y48" i="262"/>
  <c r="Y47" i="262"/>
  <c r="Y46" i="262"/>
  <c r="Y45" i="262"/>
  <c r="F144" i="88"/>
  <c r="F132" i="88"/>
  <c r="F156" i="88"/>
  <c r="F86" i="88"/>
  <c r="AE74" i="260"/>
  <c r="W74" i="260"/>
  <c r="AE73" i="260"/>
  <c r="Y64" i="262"/>
  <c r="Y63" i="262"/>
  <c r="Y62" i="262"/>
  <c r="F154" i="88"/>
  <c r="F137" i="88"/>
  <c r="F142" i="88"/>
  <c r="F110" i="88"/>
  <c r="F130" i="88"/>
  <c r="F129" i="88"/>
  <c r="F131" i="88"/>
  <c r="AE72" i="260"/>
  <c r="F111" i="88"/>
  <c r="F124" i="88"/>
  <c r="F122" i="88"/>
  <c r="F128" i="88"/>
  <c r="F126" i="88"/>
  <c r="F127" i="88"/>
  <c r="F113" i="88"/>
  <c r="F134" i="88"/>
  <c r="F138" i="88"/>
  <c r="AE71" i="260"/>
  <c r="F139" i="88"/>
  <c r="F3" i="88"/>
  <c r="AE69" i="260"/>
  <c r="F133" i="88"/>
  <c r="T64" i="262"/>
  <c r="T62" i="262"/>
  <c r="T59" i="262"/>
  <c r="T58" i="262"/>
  <c r="T57" i="262"/>
  <c r="T56" i="262"/>
  <c r="T55" i="262"/>
  <c r="T54" i="262"/>
  <c r="T53" i="262"/>
  <c r="T50" i="262"/>
  <c r="T49" i="262"/>
  <c r="T48" i="262"/>
  <c r="T47" i="262"/>
  <c r="T46" i="262"/>
  <c r="T45" i="262"/>
  <c r="T40" i="262"/>
  <c r="F117" i="88"/>
  <c r="W68" i="260"/>
  <c r="S64" i="262"/>
  <c r="S62" i="262"/>
  <c r="F106" i="88"/>
  <c r="F123" i="88"/>
  <c r="W67" i="260"/>
  <c r="R63" i="262"/>
  <c r="R62" i="262"/>
  <c r="F121" i="88"/>
  <c r="W66" i="260"/>
  <c r="Q62" i="262"/>
  <c r="W65" i="260"/>
  <c r="P63" i="262"/>
  <c r="P62" i="262"/>
  <c r="Q63" i="262"/>
  <c r="F116" i="88"/>
  <c r="F115" i="88"/>
  <c r="F114" i="88"/>
  <c r="F118" i="88"/>
  <c r="AE64" i="260"/>
  <c r="W64" i="260"/>
  <c r="O63" i="262"/>
  <c r="O62" i="262"/>
  <c r="O57" i="262"/>
  <c r="O50" i="262"/>
  <c r="O49" i="262"/>
  <c r="O48" i="262"/>
  <c r="O47" i="262"/>
  <c r="AE63" i="260"/>
  <c r="N60" i="262"/>
  <c r="AF64" i="263" l="1"/>
  <c r="AH48" i="263"/>
  <c r="AG40" i="263"/>
  <c r="AG46" i="263"/>
  <c r="I108" i="263"/>
  <c r="S65" i="263"/>
  <c r="S98" i="263" s="1"/>
  <c r="O60" i="263"/>
  <c r="O97" i="263" s="1"/>
  <c r="T89" i="263"/>
  <c r="U89" i="263"/>
  <c r="AH63" i="263"/>
  <c r="O65" i="263"/>
  <c r="O98" i="263" s="1"/>
  <c r="P60" i="263"/>
  <c r="P97" i="263" s="1"/>
  <c r="I65" i="263"/>
  <c r="I98" i="263" s="1"/>
  <c r="R60" i="263"/>
  <c r="R97" i="263" s="1"/>
  <c r="AH58" i="263"/>
  <c r="AH55" i="263"/>
  <c r="AH54" i="263"/>
  <c r="L89" i="263"/>
  <c r="M89" i="263"/>
  <c r="AI36" i="263"/>
  <c r="AH64" i="263"/>
  <c r="X89" i="263"/>
  <c r="X102" i="263" s="1"/>
  <c r="X107" i="263" s="1"/>
  <c r="AH47" i="263"/>
  <c r="AG48" i="263"/>
  <c r="AI36" i="262"/>
  <c r="AF48" i="263"/>
  <c r="S83" i="264"/>
  <c r="S102" i="264"/>
  <c r="S107" i="264" s="1"/>
  <c r="Q83" i="264"/>
  <c r="V102" i="264"/>
  <c r="V107" i="264" s="1"/>
  <c r="O97" i="264"/>
  <c r="O102" i="264" s="1"/>
  <c r="O107" i="264" s="1"/>
  <c r="O83" i="264"/>
  <c r="T83" i="264"/>
  <c r="T102" i="264"/>
  <c r="T107" i="264" s="1"/>
  <c r="V83" i="264"/>
  <c r="U83" i="264"/>
  <c r="M102" i="264"/>
  <c r="M107" i="264" s="1"/>
  <c r="U102" i="264"/>
  <c r="U107" i="264" s="1"/>
  <c r="AC89" i="263"/>
  <c r="AC102" i="263" s="1"/>
  <c r="AC107" i="263" s="1"/>
  <c r="AA89" i="263"/>
  <c r="AA102" i="263" s="1"/>
  <c r="AA107" i="263" s="1"/>
  <c r="Z89" i="263"/>
  <c r="Y89" i="263"/>
  <c r="T60" i="263"/>
  <c r="T97" i="263" s="1"/>
  <c r="T102" i="263" s="1"/>
  <c r="T107" i="263" s="1"/>
  <c r="AG64" i="263"/>
  <c r="AH57" i="263"/>
  <c r="S89" i="263"/>
  <c r="R89" i="263"/>
  <c r="AF55" i="263"/>
  <c r="AG55" i="263"/>
  <c r="AG57" i="263"/>
  <c r="Q60" i="263"/>
  <c r="Q97" i="263" s="1"/>
  <c r="AF58" i="263"/>
  <c r="AG58" i="263"/>
  <c r="P65" i="263"/>
  <c r="P98" i="263" s="1"/>
  <c r="AG51" i="263"/>
  <c r="AF52" i="263"/>
  <c r="O89" i="263"/>
  <c r="N108" i="263"/>
  <c r="N89" i="263"/>
  <c r="N102" i="263" s="1"/>
  <c r="N107" i="263" s="1"/>
  <c r="K83" i="263"/>
  <c r="K108" i="263"/>
  <c r="J89" i="263"/>
  <c r="J102" i="263" s="1"/>
  <c r="J107" i="263" s="1"/>
  <c r="J108" i="263"/>
  <c r="I89" i="263"/>
  <c r="H108" i="263"/>
  <c r="G108" i="263"/>
  <c r="G89" i="263"/>
  <c r="G102" i="263" s="1"/>
  <c r="G107" i="263" s="1"/>
  <c r="F108" i="263"/>
  <c r="T108" i="263"/>
  <c r="U108" i="263"/>
  <c r="V108" i="263"/>
  <c r="W108" i="263"/>
  <c r="O108" i="263"/>
  <c r="P109" i="263"/>
  <c r="P89" i="263"/>
  <c r="Q109" i="263"/>
  <c r="X108" i="263"/>
  <c r="Y108" i="263"/>
  <c r="X83" i="263"/>
  <c r="Y109" i="263"/>
  <c r="Q89" i="263"/>
  <c r="H89" i="263"/>
  <c r="H102" i="263" s="1"/>
  <c r="H107" i="263" s="1"/>
  <c r="K89" i="263"/>
  <c r="K102" i="263" s="1"/>
  <c r="K107" i="263" s="1"/>
  <c r="AB102" i="263"/>
  <c r="AB107" i="263" s="1"/>
  <c r="R65" i="263"/>
  <c r="R98" i="263" s="1"/>
  <c r="AI61" i="263"/>
  <c r="AH62" i="263"/>
  <c r="C83" i="263"/>
  <c r="AF63" i="263"/>
  <c r="AG63" i="263"/>
  <c r="AH53" i="263"/>
  <c r="AG53" i="263"/>
  <c r="AF53" i="263"/>
  <c r="AF62" i="263"/>
  <c r="AG62" i="263"/>
  <c r="J83" i="263"/>
  <c r="F83" i="263"/>
  <c r="N109" i="263"/>
  <c r="AF56" i="263"/>
  <c r="AH56" i="263"/>
  <c r="AG56" i="263"/>
  <c r="V83" i="263"/>
  <c r="V89" i="263"/>
  <c r="V102" i="263" s="1"/>
  <c r="V107" i="263" s="1"/>
  <c r="S91" i="263"/>
  <c r="S108" i="263" s="1"/>
  <c r="S83" i="263"/>
  <c r="S109" i="263"/>
  <c r="V109" i="263"/>
  <c r="B83" i="263"/>
  <c r="AA83" i="263"/>
  <c r="H83" i="263"/>
  <c r="AB83" i="263"/>
  <c r="AH49" i="263"/>
  <c r="AG49" i="263"/>
  <c r="AF49" i="263"/>
  <c r="M83" i="263"/>
  <c r="AC83" i="263"/>
  <c r="N83" i="263"/>
  <c r="W109" i="263"/>
  <c r="AH46" i="263"/>
  <c r="K109" i="263"/>
  <c r="Y97" i="263"/>
  <c r="F102" i="263"/>
  <c r="F107" i="263" s="1"/>
  <c r="Z108" i="263"/>
  <c r="P91" i="263"/>
  <c r="P108" i="263" s="1"/>
  <c r="P83" i="263"/>
  <c r="Q91" i="263"/>
  <c r="Q108" i="263" s="1"/>
  <c r="R91" i="263"/>
  <c r="R108" i="263" s="1"/>
  <c r="G83" i="263"/>
  <c r="J109" i="263"/>
  <c r="AF59" i="263"/>
  <c r="AH59" i="263"/>
  <c r="AG59" i="263"/>
  <c r="R109" i="263"/>
  <c r="L109" i="263"/>
  <c r="Z97" i="263"/>
  <c r="Z102" i="263" s="1"/>
  <c r="Z107" i="263" s="1"/>
  <c r="AA108" i="263"/>
  <c r="W89" i="263"/>
  <c r="W102" i="263" s="1"/>
  <c r="W107" i="263" s="1"/>
  <c r="W83" i="263"/>
  <c r="O109" i="263"/>
  <c r="M109" i="263"/>
  <c r="AB108" i="263"/>
  <c r="U102" i="263"/>
  <c r="U107" i="263" s="1"/>
  <c r="L83" i="263"/>
  <c r="AF46" i="263"/>
  <c r="AC108" i="263"/>
  <c r="T109" i="263"/>
  <c r="U109" i="263"/>
  <c r="L91" i="263"/>
  <c r="L108" i="263" s="1"/>
  <c r="X109" i="263"/>
  <c r="U83" i="263"/>
  <c r="M91" i="263"/>
  <c r="M108" i="263" s="1"/>
  <c r="Z109" i="263"/>
  <c r="AF47" i="263"/>
  <c r="G109" i="263"/>
  <c r="AA109" i="263"/>
  <c r="AG47" i="263"/>
  <c r="AF54" i="263"/>
  <c r="H109" i="263"/>
  <c r="AB109" i="263"/>
  <c r="F109" i="263"/>
  <c r="AF57" i="263"/>
  <c r="AG54" i="263"/>
  <c r="I109" i="263"/>
  <c r="AC109" i="263"/>
  <c r="AF50" i="263"/>
  <c r="AF45" i="263"/>
  <c r="AG50" i="263"/>
  <c r="AG45" i="263"/>
  <c r="F100" i="88"/>
  <c r="F97" i="88"/>
  <c r="M63" i="262"/>
  <c r="M65" i="262"/>
  <c r="M98" i="262" s="1"/>
  <c r="L64" i="262"/>
  <c r="L63" i="262"/>
  <c r="F108" i="88"/>
  <c r="K64" i="262"/>
  <c r="K63" i="262"/>
  <c r="F107" i="88"/>
  <c r="F101" i="88"/>
  <c r="J63" i="262"/>
  <c r="J65" i="262" s="1"/>
  <c r="J98" i="262" s="1"/>
  <c r="J64" i="262"/>
  <c r="I64" i="262"/>
  <c r="I63" i="262"/>
  <c r="I65" i="262" s="1"/>
  <c r="I98" i="262" s="1"/>
  <c r="AI12" i="262"/>
  <c r="H64" i="262"/>
  <c r="H65" i="262" s="1"/>
  <c r="H98" i="262" s="1"/>
  <c r="H63" i="262"/>
  <c r="F79" i="88"/>
  <c r="AE56" i="260"/>
  <c r="AE55" i="260"/>
  <c r="F91" i="88"/>
  <c r="F64" i="262"/>
  <c r="F62" i="262"/>
  <c r="F74" i="88"/>
  <c r="AE53" i="260"/>
  <c r="AC64" i="261"/>
  <c r="AC62" i="261"/>
  <c r="F103" i="88"/>
  <c r="F105" i="88"/>
  <c r="F102" i="88"/>
  <c r="AE52" i="260"/>
  <c r="AC128" i="262"/>
  <c r="AB128" i="262"/>
  <c r="AA128" i="262"/>
  <c r="Z128" i="262"/>
  <c r="Y128" i="262"/>
  <c r="X128" i="262"/>
  <c r="W128" i="262"/>
  <c r="V128" i="262"/>
  <c r="U128" i="262"/>
  <c r="T128" i="262"/>
  <c r="S128" i="262"/>
  <c r="R128" i="262"/>
  <c r="Q128" i="262"/>
  <c r="P128" i="262"/>
  <c r="O128" i="262"/>
  <c r="N128" i="262"/>
  <c r="M128" i="262"/>
  <c r="L128" i="262"/>
  <c r="K128" i="262"/>
  <c r="J128" i="262"/>
  <c r="I128" i="262"/>
  <c r="H128" i="262"/>
  <c r="G128" i="262"/>
  <c r="F128" i="262"/>
  <c r="AC106" i="262"/>
  <c r="AB106" i="262"/>
  <c r="AA106" i="262"/>
  <c r="Z106" i="262"/>
  <c r="Y106" i="262"/>
  <c r="X106" i="262"/>
  <c r="W106" i="262"/>
  <c r="V106" i="262"/>
  <c r="U106" i="262"/>
  <c r="T106" i="262"/>
  <c r="S106" i="262"/>
  <c r="R106" i="262"/>
  <c r="Q106" i="262"/>
  <c r="P106" i="262"/>
  <c r="O106" i="262"/>
  <c r="N106" i="262"/>
  <c r="M106" i="262"/>
  <c r="L106" i="262"/>
  <c r="K106" i="262"/>
  <c r="J106" i="262"/>
  <c r="I106" i="262"/>
  <c r="H106" i="262"/>
  <c r="G106" i="262"/>
  <c r="F106" i="262"/>
  <c r="AC101" i="262"/>
  <c r="AB101" i="262"/>
  <c r="AA101" i="262"/>
  <c r="Z101" i="262"/>
  <c r="Y101" i="262"/>
  <c r="X101" i="262"/>
  <c r="W101" i="262"/>
  <c r="V101" i="262"/>
  <c r="U101" i="262"/>
  <c r="T101" i="262"/>
  <c r="S101" i="262"/>
  <c r="R101" i="262"/>
  <c r="Q101" i="262"/>
  <c r="P101" i="262"/>
  <c r="O101" i="262"/>
  <c r="N101" i="262"/>
  <c r="M101" i="262"/>
  <c r="L101" i="262"/>
  <c r="K101" i="262"/>
  <c r="J101" i="262"/>
  <c r="I101" i="262"/>
  <c r="H101" i="262"/>
  <c r="G101" i="262"/>
  <c r="F101" i="262"/>
  <c r="W100" i="262"/>
  <c r="F100" i="262"/>
  <c r="AA95" i="262"/>
  <c r="Z95" i="262"/>
  <c r="V93" i="262"/>
  <c r="U93" i="262"/>
  <c r="T93" i="262"/>
  <c r="AC80" i="262"/>
  <c r="AC100" i="262" s="1"/>
  <c r="AB80" i="262"/>
  <c r="AB100" i="262" s="1"/>
  <c r="AA80" i="262"/>
  <c r="AA100" i="262" s="1"/>
  <c r="Z80" i="262"/>
  <c r="Z100" i="262" s="1"/>
  <c r="Y80" i="262"/>
  <c r="Y100" i="262" s="1"/>
  <c r="X80" i="262"/>
  <c r="X100" i="262" s="1"/>
  <c r="W80" i="262"/>
  <c r="V80" i="262"/>
  <c r="V100" i="262" s="1"/>
  <c r="U80" i="262"/>
  <c r="U100" i="262" s="1"/>
  <c r="T80" i="262"/>
  <c r="T100" i="262" s="1"/>
  <c r="S80" i="262"/>
  <c r="S100" i="262" s="1"/>
  <c r="R80" i="262"/>
  <c r="R100" i="262" s="1"/>
  <c r="Q80" i="262"/>
  <c r="Q100" i="262" s="1"/>
  <c r="P80" i="262"/>
  <c r="P100" i="262" s="1"/>
  <c r="O80" i="262"/>
  <c r="O100" i="262" s="1"/>
  <c r="N80" i="262"/>
  <c r="N100" i="262" s="1"/>
  <c r="M80" i="262"/>
  <c r="M100" i="262" s="1"/>
  <c r="L80" i="262"/>
  <c r="L100" i="262" s="1"/>
  <c r="K80" i="262"/>
  <c r="K100" i="262" s="1"/>
  <c r="J80" i="262"/>
  <c r="J100" i="262" s="1"/>
  <c r="I80" i="262"/>
  <c r="I100" i="262" s="1"/>
  <c r="H80" i="262"/>
  <c r="H100" i="262" s="1"/>
  <c r="G80" i="262"/>
  <c r="G100" i="262" s="1"/>
  <c r="F80" i="262"/>
  <c r="C80" i="262"/>
  <c r="AH79" i="262"/>
  <c r="AG79" i="262"/>
  <c r="AF79" i="262"/>
  <c r="AH78" i="262"/>
  <c r="AG78" i="262"/>
  <c r="AF78" i="262"/>
  <c r="AI77" i="262"/>
  <c r="AC76" i="262"/>
  <c r="AC99" i="262" s="1"/>
  <c r="AB76" i="262"/>
  <c r="AB99" i="262" s="1"/>
  <c r="AA76" i="262"/>
  <c r="AA99" i="262" s="1"/>
  <c r="Z76" i="262"/>
  <c r="Z99" i="262" s="1"/>
  <c r="Y76" i="262"/>
  <c r="Y99" i="262" s="1"/>
  <c r="X76" i="262"/>
  <c r="X99" i="262" s="1"/>
  <c r="W76" i="262"/>
  <c r="W99" i="262" s="1"/>
  <c r="V76" i="262"/>
  <c r="V99" i="262" s="1"/>
  <c r="U76" i="262"/>
  <c r="U99" i="262" s="1"/>
  <c r="T76" i="262"/>
  <c r="T99" i="262" s="1"/>
  <c r="S76" i="262"/>
  <c r="S99" i="262" s="1"/>
  <c r="R76" i="262"/>
  <c r="R99" i="262" s="1"/>
  <c r="Q76" i="262"/>
  <c r="Q99" i="262" s="1"/>
  <c r="P76" i="262"/>
  <c r="P99" i="262" s="1"/>
  <c r="O76" i="262"/>
  <c r="O99" i="262" s="1"/>
  <c r="N76" i="262"/>
  <c r="N99" i="262" s="1"/>
  <c r="M76" i="262"/>
  <c r="M99" i="262" s="1"/>
  <c r="L76" i="262"/>
  <c r="L99" i="262" s="1"/>
  <c r="K76" i="262"/>
  <c r="K99" i="262" s="1"/>
  <c r="J76" i="262"/>
  <c r="J99" i="262" s="1"/>
  <c r="I76" i="262"/>
  <c r="I99" i="262" s="1"/>
  <c r="H76" i="262"/>
  <c r="H99" i="262" s="1"/>
  <c r="G76" i="262"/>
  <c r="G99" i="262" s="1"/>
  <c r="F76" i="262"/>
  <c r="F99" i="262" s="1"/>
  <c r="C76" i="262"/>
  <c r="B76" i="262"/>
  <c r="B80" i="262" s="1"/>
  <c r="B25" i="262" s="1"/>
  <c r="AH75" i="262"/>
  <c r="AG75" i="262"/>
  <c r="AF75" i="262"/>
  <c r="AH74" i="262"/>
  <c r="AG74" i="262"/>
  <c r="AF74" i="262"/>
  <c r="AH73" i="262"/>
  <c r="AG73" i="262"/>
  <c r="AF73" i="262"/>
  <c r="AH72" i="262"/>
  <c r="AG72" i="262"/>
  <c r="AF72" i="262"/>
  <c r="AH71" i="262"/>
  <c r="AG71" i="262"/>
  <c r="AF71" i="262"/>
  <c r="AH70" i="262"/>
  <c r="AG70" i="262"/>
  <c r="AF70" i="262"/>
  <c r="AH69" i="262"/>
  <c r="AG69" i="262"/>
  <c r="AF69" i="262"/>
  <c r="AH68" i="262"/>
  <c r="AG68" i="262"/>
  <c r="AF68" i="262"/>
  <c r="AH67" i="262"/>
  <c r="AG67" i="262"/>
  <c r="AF67" i="262"/>
  <c r="AI66" i="262"/>
  <c r="AC65" i="262"/>
  <c r="AC98" i="262" s="1"/>
  <c r="AB65" i="262"/>
  <c r="AB98" i="262" s="1"/>
  <c r="AA65" i="262"/>
  <c r="AA98" i="262" s="1"/>
  <c r="Y65" i="262"/>
  <c r="Y98" i="262" s="1"/>
  <c r="R65" i="262"/>
  <c r="R98" i="262" s="1"/>
  <c r="P65" i="262"/>
  <c r="P98" i="262" s="1"/>
  <c r="G65" i="262"/>
  <c r="G98" i="262" s="1"/>
  <c r="C65" i="262"/>
  <c r="Q65" i="262"/>
  <c r="Q98" i="262" s="1"/>
  <c r="N65" i="262"/>
  <c r="Z65" i="262"/>
  <c r="Z98" i="262" s="1"/>
  <c r="U65" i="262"/>
  <c r="U98" i="262" s="1"/>
  <c r="O65" i="262"/>
  <c r="X65" i="262"/>
  <c r="X98" i="262" s="1"/>
  <c r="W65" i="262"/>
  <c r="W98" i="262" s="1"/>
  <c r="T65" i="262"/>
  <c r="T98" i="262" s="1"/>
  <c r="S65" i="262"/>
  <c r="S98" i="262" s="1"/>
  <c r="AC60" i="262"/>
  <c r="AC97" i="262" s="1"/>
  <c r="AB60" i="262"/>
  <c r="AB97" i="262" s="1"/>
  <c r="AA60" i="262"/>
  <c r="AA97" i="262" s="1"/>
  <c r="Z60" i="262"/>
  <c r="Z97" i="262" s="1"/>
  <c r="Y60" i="262"/>
  <c r="Y97" i="262" s="1"/>
  <c r="X60" i="262"/>
  <c r="X97" i="262" s="1"/>
  <c r="W60" i="262"/>
  <c r="W97" i="262" s="1"/>
  <c r="V60" i="262"/>
  <c r="V97" i="262" s="1"/>
  <c r="U60" i="262"/>
  <c r="U97" i="262" s="1"/>
  <c r="T97" i="262"/>
  <c r="S60" i="262"/>
  <c r="S97" i="262" s="1"/>
  <c r="R60" i="262"/>
  <c r="R97" i="262" s="1"/>
  <c r="Q60" i="262"/>
  <c r="Q97" i="262" s="1"/>
  <c r="P60" i="262"/>
  <c r="P97" i="262" s="1"/>
  <c r="O60" i="262"/>
  <c r="O97" i="262" s="1"/>
  <c r="N97" i="262"/>
  <c r="M60" i="262"/>
  <c r="M97" i="262" s="1"/>
  <c r="L60" i="262"/>
  <c r="L97" i="262" s="1"/>
  <c r="K60" i="262"/>
  <c r="K97" i="262" s="1"/>
  <c r="J60" i="262"/>
  <c r="J97" i="262" s="1"/>
  <c r="I60" i="262"/>
  <c r="I97" i="262" s="1"/>
  <c r="H60" i="262"/>
  <c r="H97" i="262" s="1"/>
  <c r="G60" i="262"/>
  <c r="G97" i="262" s="1"/>
  <c r="F60" i="262"/>
  <c r="F97" i="262" s="1"/>
  <c r="C60" i="262"/>
  <c r="B60" i="262"/>
  <c r="B65" i="262" s="1"/>
  <c r="AH59" i="262"/>
  <c r="AG59" i="262"/>
  <c r="AF59" i="262"/>
  <c r="AH58" i="262"/>
  <c r="AG58" i="262"/>
  <c r="AF58" i="262"/>
  <c r="AH57" i="262"/>
  <c r="AG57" i="262"/>
  <c r="AF57" i="262"/>
  <c r="AH56" i="262"/>
  <c r="AG56" i="262"/>
  <c r="AF56" i="262"/>
  <c r="AH55" i="262"/>
  <c r="AG55" i="262"/>
  <c r="AF55" i="262"/>
  <c r="AH54" i="262"/>
  <c r="AG54" i="262"/>
  <c r="AF54" i="262"/>
  <c r="AH53" i="262"/>
  <c r="AG53" i="262"/>
  <c r="AF53" i="262"/>
  <c r="AH52" i="262"/>
  <c r="AG52" i="262"/>
  <c r="AF52" i="262"/>
  <c r="AH51" i="262"/>
  <c r="AG51" i="262"/>
  <c r="AF51" i="262"/>
  <c r="AH50" i="262"/>
  <c r="AG50" i="262"/>
  <c r="AF50" i="262"/>
  <c r="AH49" i="262"/>
  <c r="AG49" i="262"/>
  <c r="AF49" i="262"/>
  <c r="AH48" i="262"/>
  <c r="AG48" i="262"/>
  <c r="AF48" i="262"/>
  <c r="AH47" i="262"/>
  <c r="AG47" i="262"/>
  <c r="AF47" i="262"/>
  <c r="AH46" i="262"/>
  <c r="AG46" i="262"/>
  <c r="AF46" i="262"/>
  <c r="AH45" i="262"/>
  <c r="AG45" i="262"/>
  <c r="AF45" i="262"/>
  <c r="AH44" i="262"/>
  <c r="AG44" i="262"/>
  <c r="AF44" i="262"/>
  <c r="AH43" i="262"/>
  <c r="AG43" i="262"/>
  <c r="AF43" i="262"/>
  <c r="AH42" i="262"/>
  <c r="AG42" i="262"/>
  <c r="AF42" i="262"/>
  <c r="AH41" i="262"/>
  <c r="AG41" i="262"/>
  <c r="AF41" i="262"/>
  <c r="AH40" i="262"/>
  <c r="AG40" i="262"/>
  <c r="AF40" i="262"/>
  <c r="AH39" i="262"/>
  <c r="AG39" i="262"/>
  <c r="AF39" i="262"/>
  <c r="AH38" i="262"/>
  <c r="AG38" i="262"/>
  <c r="AF38" i="262"/>
  <c r="AH37" i="262"/>
  <c r="AG37" i="262"/>
  <c r="AF37" i="262"/>
  <c r="AH36" i="262"/>
  <c r="AG36" i="262"/>
  <c r="AF36" i="262"/>
  <c r="AC34" i="262"/>
  <c r="AC95" i="262" s="1"/>
  <c r="AB34" i="262"/>
  <c r="AB95" i="262" s="1"/>
  <c r="AA34" i="262"/>
  <c r="Z34" i="262"/>
  <c r="Y34" i="262"/>
  <c r="Y95" i="262" s="1"/>
  <c r="X34" i="262"/>
  <c r="X95" i="262" s="1"/>
  <c r="W34" i="262"/>
  <c r="W95" i="262" s="1"/>
  <c r="V34" i="262"/>
  <c r="V95" i="262" s="1"/>
  <c r="U34" i="262"/>
  <c r="U95" i="262" s="1"/>
  <c r="T34" i="262"/>
  <c r="T95" i="262" s="1"/>
  <c r="S34" i="262"/>
  <c r="R34" i="262"/>
  <c r="Q34" i="262"/>
  <c r="P34" i="262"/>
  <c r="O34" i="262"/>
  <c r="O95" i="262" s="1"/>
  <c r="N34" i="262"/>
  <c r="N95" i="262" s="1"/>
  <c r="M34" i="262"/>
  <c r="M95" i="262" s="1"/>
  <c r="L34" i="262"/>
  <c r="L95" i="262" s="1"/>
  <c r="K34" i="262"/>
  <c r="K95" i="262" s="1"/>
  <c r="J34" i="262"/>
  <c r="J95" i="262" s="1"/>
  <c r="I34" i="262"/>
  <c r="I95" i="262" s="1"/>
  <c r="H34" i="262"/>
  <c r="H95" i="262" s="1"/>
  <c r="G34" i="262"/>
  <c r="G95" i="262" s="1"/>
  <c r="F34" i="262"/>
  <c r="F95" i="262" s="1"/>
  <c r="C34" i="262"/>
  <c r="B34" i="262"/>
  <c r="AH33" i="262"/>
  <c r="AG33" i="262"/>
  <c r="AF33" i="262"/>
  <c r="AI32" i="262"/>
  <c r="AC31" i="262"/>
  <c r="AC93" i="262" s="1"/>
  <c r="AB31" i="262"/>
  <c r="AB93" i="262" s="1"/>
  <c r="AA31" i="262"/>
  <c r="AA93" i="262" s="1"/>
  <c r="Z31" i="262"/>
  <c r="Z93" i="262" s="1"/>
  <c r="Y31" i="262"/>
  <c r="Y93" i="262" s="1"/>
  <c r="X31" i="262"/>
  <c r="X93" i="262" s="1"/>
  <c r="W31" i="262"/>
  <c r="W93" i="262" s="1"/>
  <c r="V31" i="262"/>
  <c r="U31" i="262"/>
  <c r="T31" i="262"/>
  <c r="S31" i="262"/>
  <c r="S93" i="262" s="1"/>
  <c r="R31" i="262"/>
  <c r="R93" i="262" s="1"/>
  <c r="Q31" i="262"/>
  <c r="Q93" i="262" s="1"/>
  <c r="P31" i="262"/>
  <c r="P93" i="262" s="1"/>
  <c r="O31" i="262"/>
  <c r="O93" i="262" s="1"/>
  <c r="N31" i="262"/>
  <c r="N93" i="262" s="1"/>
  <c r="M31" i="262"/>
  <c r="M93" i="262" s="1"/>
  <c r="L31" i="262"/>
  <c r="L93" i="262" s="1"/>
  <c r="K31" i="262"/>
  <c r="K93" i="262" s="1"/>
  <c r="J31" i="262"/>
  <c r="J93" i="262" s="1"/>
  <c r="I31" i="262"/>
  <c r="I93" i="262" s="1"/>
  <c r="H31" i="262"/>
  <c r="H93" i="262" s="1"/>
  <c r="G31" i="262"/>
  <c r="G93" i="262" s="1"/>
  <c r="F31" i="262"/>
  <c r="F93" i="262" s="1"/>
  <c r="C31" i="262"/>
  <c r="B31" i="262"/>
  <c r="AI28" i="262"/>
  <c r="AH28" i="262"/>
  <c r="AG28" i="262"/>
  <c r="AF28" i="262"/>
  <c r="AH27" i="262"/>
  <c r="AG27" i="262"/>
  <c r="AF27" i="262"/>
  <c r="AI26" i="262"/>
  <c r="AC25" i="262"/>
  <c r="AB25" i="262"/>
  <c r="AA25" i="262"/>
  <c r="Z25" i="262"/>
  <c r="Y25" i="262"/>
  <c r="X25" i="262"/>
  <c r="W25" i="262"/>
  <c r="V25" i="262"/>
  <c r="U25" i="262"/>
  <c r="T25" i="262"/>
  <c r="S25" i="262"/>
  <c r="R25" i="262"/>
  <c r="Q25" i="262"/>
  <c r="P25" i="262"/>
  <c r="O25" i="262"/>
  <c r="N25" i="262"/>
  <c r="M25" i="262"/>
  <c r="L25" i="262"/>
  <c r="K25" i="262"/>
  <c r="J25" i="262"/>
  <c r="I25" i="262"/>
  <c r="H25" i="262"/>
  <c r="G25" i="262"/>
  <c r="F25" i="262"/>
  <c r="C25" i="262"/>
  <c r="AH24" i="262"/>
  <c r="AG24" i="262"/>
  <c r="AF24" i="262"/>
  <c r="AI23" i="262"/>
  <c r="AC22" i="262"/>
  <c r="AB22" i="262"/>
  <c r="AA22" i="262"/>
  <c r="Z22" i="262"/>
  <c r="Y22" i="262"/>
  <c r="X22" i="262"/>
  <c r="W22" i="262"/>
  <c r="V22" i="262"/>
  <c r="U22" i="262"/>
  <c r="T22" i="262"/>
  <c r="S22" i="262"/>
  <c r="R22" i="262"/>
  <c r="Q22" i="262"/>
  <c r="P22" i="262"/>
  <c r="O22" i="262"/>
  <c r="N22" i="262"/>
  <c r="M22" i="262"/>
  <c r="L22" i="262"/>
  <c r="K22" i="262"/>
  <c r="J22" i="262"/>
  <c r="I22" i="262"/>
  <c r="H22" i="262"/>
  <c r="G22" i="262"/>
  <c r="F22" i="262"/>
  <c r="C22" i="262"/>
  <c r="B22" i="262"/>
  <c r="AH21" i="262"/>
  <c r="AG21" i="262"/>
  <c r="AF21" i="262"/>
  <c r="AH20" i="262"/>
  <c r="AG20" i="262"/>
  <c r="AF20" i="262"/>
  <c r="AH19" i="262"/>
  <c r="AG19" i="262"/>
  <c r="AF19" i="262"/>
  <c r="AI18" i="262"/>
  <c r="AC17" i="262"/>
  <c r="AB17" i="262"/>
  <c r="AA17" i="262"/>
  <c r="Z17" i="262"/>
  <c r="Y17" i="262"/>
  <c r="X17" i="262"/>
  <c r="X91" i="262" s="1"/>
  <c r="W17" i="262"/>
  <c r="W91" i="262" s="1"/>
  <c r="V17" i="262"/>
  <c r="V91" i="262" s="1"/>
  <c r="U17" i="262"/>
  <c r="U91" i="262" s="1"/>
  <c r="T17" i="262"/>
  <c r="T91" i="262" s="1"/>
  <c r="S17" i="262"/>
  <c r="S91" i="262" s="1"/>
  <c r="R17" i="262"/>
  <c r="R91" i="262" s="1"/>
  <c r="Q17" i="262"/>
  <c r="Q91" i="262" s="1"/>
  <c r="Q108" i="262" s="1"/>
  <c r="P17" i="262"/>
  <c r="O17" i="262"/>
  <c r="O91" i="262" s="1"/>
  <c r="N17" i="262"/>
  <c r="N91" i="262" s="1"/>
  <c r="M17" i="262"/>
  <c r="L17" i="262"/>
  <c r="K17" i="262"/>
  <c r="J17" i="262"/>
  <c r="I17" i="262"/>
  <c r="H17" i="262"/>
  <c r="G17" i="262"/>
  <c r="F17" i="262"/>
  <c r="C17" i="262"/>
  <c r="B17" i="262"/>
  <c r="AH16" i="262"/>
  <c r="AG16" i="262"/>
  <c r="AF16" i="262"/>
  <c r="AH15" i="262"/>
  <c r="AG15" i="262"/>
  <c r="AF15" i="262"/>
  <c r="AH14" i="262"/>
  <c r="AG14" i="262"/>
  <c r="AF14" i="262"/>
  <c r="AH13" i="262"/>
  <c r="AG13" i="262"/>
  <c r="AF13" i="262"/>
  <c r="M9" i="262" a="1"/>
  <c r="M9" i="262" s="1"/>
  <c r="AR4" i="262"/>
  <c r="F104" i="88"/>
  <c r="AB64" i="261"/>
  <c r="AB62" i="261"/>
  <c r="F77" i="88"/>
  <c r="F94" i="88"/>
  <c r="AE51" i="260"/>
  <c r="F80" i="88"/>
  <c r="F99" i="88"/>
  <c r="W50" i="260"/>
  <c r="F98" i="88"/>
  <c r="Z64" i="261"/>
  <c r="Z63" i="261"/>
  <c r="Z62" i="261"/>
  <c r="W49" i="260"/>
  <c r="Y64" i="261"/>
  <c r="Y63" i="261"/>
  <c r="Y62" i="261"/>
  <c r="F96" i="88"/>
  <c r="F78" i="88"/>
  <c r="F90" i="88"/>
  <c r="F95" i="88"/>
  <c r="AE48" i="260"/>
  <c r="W48" i="260"/>
  <c r="X63" i="261"/>
  <c r="X62" i="261"/>
  <c r="AE47" i="260"/>
  <c r="W47" i="260"/>
  <c r="W63" i="261"/>
  <c r="W62" i="261"/>
  <c r="AE46" i="260"/>
  <c r="W46" i="260"/>
  <c r="O108" i="262" l="1"/>
  <c r="O83" i="263"/>
  <c r="I83" i="263"/>
  <c r="O102" i="263"/>
  <c r="O107" i="263" s="1"/>
  <c r="Q83" i="263"/>
  <c r="I102" i="263"/>
  <c r="I107" i="263" s="1"/>
  <c r="R108" i="262"/>
  <c r="R83" i="263"/>
  <c r="F65" i="262"/>
  <c r="F98" i="262" s="1"/>
  <c r="T108" i="262"/>
  <c r="N83" i="262"/>
  <c r="C83" i="262"/>
  <c r="Y102" i="263"/>
  <c r="Y107" i="263" s="1"/>
  <c r="Y109" i="262"/>
  <c r="S89" i="262"/>
  <c r="T83" i="263"/>
  <c r="S102" i="263"/>
  <c r="S107" i="263" s="1"/>
  <c r="R102" i="263"/>
  <c r="R107" i="263" s="1"/>
  <c r="Q102" i="263"/>
  <c r="Q107" i="263" s="1"/>
  <c r="M102" i="263"/>
  <c r="M107" i="263" s="1"/>
  <c r="P102" i="263"/>
  <c r="P107" i="263" s="1"/>
  <c r="Y83" i="263"/>
  <c r="Z83" i="263"/>
  <c r="L102" i="263"/>
  <c r="L107" i="263" s="1"/>
  <c r="Y89" i="262"/>
  <c r="X89" i="262"/>
  <c r="V89" i="262"/>
  <c r="R89" i="262"/>
  <c r="Q89" i="262"/>
  <c r="P89" i="262"/>
  <c r="B83" i="262"/>
  <c r="AA89" i="262"/>
  <c r="AH64" i="262"/>
  <c r="L65" i="262"/>
  <c r="L83" i="262" s="1"/>
  <c r="H89" i="262"/>
  <c r="N108" i="262"/>
  <c r="V108" i="262"/>
  <c r="W108" i="262"/>
  <c r="X108" i="262"/>
  <c r="Z89" i="262"/>
  <c r="G89" i="262"/>
  <c r="AC89" i="262"/>
  <c r="J89" i="262"/>
  <c r="K89" i="262"/>
  <c r="L89" i="262"/>
  <c r="M89" i="262"/>
  <c r="N89" i="262"/>
  <c r="AB89" i="262"/>
  <c r="I89" i="262"/>
  <c r="O89" i="262"/>
  <c r="F89" i="262"/>
  <c r="L109" i="262"/>
  <c r="G109" i="262"/>
  <c r="J83" i="262"/>
  <c r="K109" i="262"/>
  <c r="Y83" i="262"/>
  <c r="P109" i="262"/>
  <c r="O109" i="262"/>
  <c r="P91" i="262"/>
  <c r="P108" i="262" s="1"/>
  <c r="R109" i="262"/>
  <c r="Q109" i="262"/>
  <c r="S109" i="262"/>
  <c r="V109" i="262"/>
  <c r="N109" i="262"/>
  <c r="P83" i="262"/>
  <c r="Y91" i="262"/>
  <c r="Y108" i="262" s="1"/>
  <c r="S108" i="262"/>
  <c r="M109" i="262"/>
  <c r="M83" i="262"/>
  <c r="S95" i="262"/>
  <c r="S83" i="262"/>
  <c r="N98" i="262"/>
  <c r="AH63" i="262"/>
  <c r="AG63" i="262"/>
  <c r="AC83" i="262"/>
  <c r="AC91" i="262"/>
  <c r="AC108" i="262" s="1"/>
  <c r="AC109" i="262"/>
  <c r="W83" i="262"/>
  <c r="W109" i="262"/>
  <c r="V65" i="262"/>
  <c r="V98" i="262" s="1"/>
  <c r="AH62" i="262"/>
  <c r="AG62" i="262"/>
  <c r="AF62" i="262"/>
  <c r="AF63" i="262"/>
  <c r="F109" i="262"/>
  <c r="F83" i="262"/>
  <c r="F91" i="262"/>
  <c r="F108" i="262" s="1"/>
  <c r="I83" i="262"/>
  <c r="I109" i="262"/>
  <c r="I91" i="262"/>
  <c r="I108" i="262" s="1"/>
  <c r="X102" i="262"/>
  <c r="X107" i="262" s="1"/>
  <c r="Y102" i="262"/>
  <c r="Y107" i="262" s="1"/>
  <c r="Z91" i="262"/>
  <c r="Z108" i="262" s="1"/>
  <c r="Z83" i="262"/>
  <c r="Z109" i="262"/>
  <c r="T89" i="262"/>
  <c r="T102" i="262" s="1"/>
  <c r="T107" i="262" s="1"/>
  <c r="T109" i="262"/>
  <c r="T83" i="262"/>
  <c r="G91" i="262"/>
  <c r="G108" i="262" s="1"/>
  <c r="G83" i="262"/>
  <c r="X83" i="262"/>
  <c r="O83" i="262"/>
  <c r="O98" i="262"/>
  <c r="W89" i="262"/>
  <c r="W102" i="262" s="1"/>
  <c r="W107" i="262" s="1"/>
  <c r="U108" i="262"/>
  <c r="AA83" i="262"/>
  <c r="AA109" i="262"/>
  <c r="AA91" i="262"/>
  <c r="AA108" i="262" s="1"/>
  <c r="U109" i="262"/>
  <c r="U89" i="262"/>
  <c r="U102" i="262" s="1"/>
  <c r="U107" i="262" s="1"/>
  <c r="U83" i="262"/>
  <c r="Q83" i="262"/>
  <c r="Q95" i="262"/>
  <c r="H83" i="262"/>
  <c r="H91" i="262"/>
  <c r="H108" i="262" s="1"/>
  <c r="H109" i="262"/>
  <c r="AB83" i="262"/>
  <c r="AB91" i="262"/>
  <c r="AB108" i="262" s="1"/>
  <c r="AB109" i="262"/>
  <c r="R83" i="262"/>
  <c r="R95" i="262"/>
  <c r="P95" i="262"/>
  <c r="K91" i="262"/>
  <c r="K108" i="262" s="1"/>
  <c r="L91" i="262"/>
  <c r="L108" i="262" s="1"/>
  <c r="M91" i="262"/>
  <c r="M108" i="262" s="1"/>
  <c r="X109" i="262"/>
  <c r="K65" i="262"/>
  <c r="J91" i="262"/>
  <c r="J108" i="262" s="1"/>
  <c r="AI61" i="262"/>
  <c r="J109" i="262"/>
  <c r="AF64" i="262"/>
  <c r="AG64" i="262"/>
  <c r="V63" i="261"/>
  <c r="V62" i="261"/>
  <c r="AE45" i="260"/>
  <c r="W45" i="260"/>
  <c r="U63" i="261"/>
  <c r="U62" i="261"/>
  <c r="AE44" i="260"/>
  <c r="W44" i="260"/>
  <c r="T94" i="261"/>
  <c r="F93" i="88"/>
  <c r="F92" i="88"/>
  <c r="F88" i="88"/>
  <c r="F89" i="88"/>
  <c r="AE43" i="260"/>
  <c r="W43" i="260"/>
  <c r="T62" i="261"/>
  <c r="T63" i="261"/>
  <c r="S63" i="261"/>
  <c r="S62" i="261"/>
  <c r="F71" i="88"/>
  <c r="Q63" i="261"/>
  <c r="P63" i="261"/>
  <c r="O63" i="261"/>
  <c r="N63" i="261"/>
  <c r="F57" i="88"/>
  <c r="M63" i="261"/>
  <c r="AE42" i="260"/>
  <c r="W42" i="260"/>
  <c r="F87" i="88"/>
  <c r="AE41" i="260"/>
  <c r="W41" i="260"/>
  <c r="Q64" i="261"/>
  <c r="W40" i="260"/>
  <c r="P64" i="261"/>
  <c r="F81" i="88"/>
  <c r="F84" i="88"/>
  <c r="F83" i="88"/>
  <c r="F85" i="88"/>
  <c r="F82" i="88"/>
  <c r="G9" i="254"/>
  <c r="W39" i="260"/>
  <c r="O64" i="261"/>
  <c r="N64" i="261"/>
  <c r="F56" i="88"/>
  <c r="M64" i="261"/>
  <c r="L64" i="261"/>
  <c r="L62" i="261"/>
  <c r="F76" i="88"/>
  <c r="F75" i="88"/>
  <c r="F63" i="88"/>
  <c r="K64" i="261"/>
  <c r="K62" i="261"/>
  <c r="Q102" i="262" l="1"/>
  <c r="Q107" i="262" s="1"/>
  <c r="S102" i="262"/>
  <c r="S107" i="262" s="1"/>
  <c r="H102" i="262"/>
  <c r="H107" i="262" s="1"/>
  <c r="P102" i="262"/>
  <c r="P107" i="262" s="1"/>
  <c r="V102" i="262"/>
  <c r="V107" i="262" s="1"/>
  <c r="AB102" i="262"/>
  <c r="AB107" i="262" s="1"/>
  <c r="V83" i="262"/>
  <c r="R102" i="262"/>
  <c r="R107" i="262" s="1"/>
  <c r="N102" i="262"/>
  <c r="N107" i="262" s="1"/>
  <c r="L98" i="262"/>
  <c r="L102" i="262" s="1"/>
  <c r="L107" i="262" s="1"/>
  <c r="O102" i="262"/>
  <c r="O107" i="262" s="1"/>
  <c r="Z102" i="262"/>
  <c r="Z107" i="262" s="1"/>
  <c r="F102" i="262"/>
  <c r="F107" i="262" s="1"/>
  <c r="G102" i="262"/>
  <c r="G107" i="262" s="1"/>
  <c r="AA102" i="262"/>
  <c r="AA107" i="262" s="1"/>
  <c r="AC102" i="262"/>
  <c r="AC107" i="262" s="1"/>
  <c r="I102" i="262"/>
  <c r="I107" i="262" s="1"/>
  <c r="M102" i="262"/>
  <c r="M107" i="262" s="1"/>
  <c r="K98" i="262"/>
  <c r="K102" i="262" s="1"/>
  <c r="K107" i="262" s="1"/>
  <c r="K83" i="262"/>
  <c r="J102" i="262"/>
  <c r="J107" i="262" s="1"/>
  <c r="F73" i="88"/>
  <c r="F72" i="88"/>
  <c r="F51" i="88"/>
  <c r="F45" i="88"/>
  <c r="W30" i="260"/>
  <c r="F50" i="88"/>
  <c r="F70" i="88"/>
  <c r="F42" i="88"/>
  <c r="W28" i="260"/>
  <c r="F69" i="88"/>
  <c r="F76" i="261"/>
  <c r="F99" i="261" s="1"/>
  <c r="F65" i="261"/>
  <c r="F98" i="261" s="1"/>
  <c r="F60" i="261"/>
  <c r="F97" i="261" s="1"/>
  <c r="F34" i="261"/>
  <c r="F95" i="261" s="1"/>
  <c r="F31" i="261"/>
  <c r="F93" i="261" s="1"/>
  <c r="F25" i="261"/>
  <c r="F22" i="261"/>
  <c r="F17" i="261"/>
  <c r="F91" i="261" s="1"/>
  <c r="F58" i="88"/>
  <c r="F68" i="88"/>
  <c r="F66" i="88"/>
  <c r="F67" i="88"/>
  <c r="F35" i="88"/>
  <c r="W27" i="260"/>
  <c r="C53" i="260"/>
  <c r="C78" i="260" s="1"/>
  <c r="C52" i="260"/>
  <c r="C77" i="260" s="1"/>
  <c r="C51" i="260"/>
  <c r="C76" i="260" s="1"/>
  <c r="C50" i="260"/>
  <c r="C75" i="260" s="1"/>
  <c r="C49" i="260"/>
  <c r="C74" i="260" s="1"/>
  <c r="C48" i="260"/>
  <c r="C73" i="260" s="1"/>
  <c r="C47" i="260"/>
  <c r="C72" i="260" s="1"/>
  <c r="C46" i="260"/>
  <c r="C45" i="260"/>
  <c r="C70" i="260" s="1"/>
  <c r="C44" i="260"/>
  <c r="C69" i="260" s="1"/>
  <c r="C43" i="260"/>
  <c r="C68" i="260" s="1"/>
  <c r="C42" i="260"/>
  <c r="C67" i="260" s="1"/>
  <c r="C41" i="260"/>
  <c r="C66" i="260" s="1"/>
  <c r="C40" i="260"/>
  <c r="C65" i="260" s="1"/>
  <c r="C39" i="260"/>
  <c r="C64" i="260" s="1"/>
  <c r="C38" i="260"/>
  <c r="C63" i="260" s="1"/>
  <c r="C37" i="260"/>
  <c r="C62" i="260" s="1"/>
  <c r="C36" i="260"/>
  <c r="C35" i="260"/>
  <c r="C60" i="260" s="1"/>
  <c r="C34" i="260"/>
  <c r="C59" i="260" s="1"/>
  <c r="C33" i="260"/>
  <c r="C58" i="260" s="1"/>
  <c r="C32" i="260"/>
  <c r="C57" i="260" s="1"/>
  <c r="C31" i="260"/>
  <c r="C56" i="260" s="1"/>
  <c r="C30" i="260"/>
  <c r="C55" i="260" s="1"/>
  <c r="AC128" i="261"/>
  <c r="AB128" i="261"/>
  <c r="AA128" i="261"/>
  <c r="Z128" i="261"/>
  <c r="Y128" i="261"/>
  <c r="X128" i="261"/>
  <c r="W128" i="261"/>
  <c r="V128" i="261"/>
  <c r="U128" i="261"/>
  <c r="T128" i="261"/>
  <c r="S128" i="261"/>
  <c r="R128" i="261"/>
  <c r="Q128" i="261"/>
  <c r="P128" i="261"/>
  <c r="O128" i="261"/>
  <c r="N128" i="261"/>
  <c r="M128" i="261"/>
  <c r="L128" i="261"/>
  <c r="K128" i="261"/>
  <c r="J128" i="261"/>
  <c r="I128" i="261"/>
  <c r="H128" i="261"/>
  <c r="G128" i="261"/>
  <c r="F128" i="261"/>
  <c r="AC106" i="261"/>
  <c r="AB106" i="261"/>
  <c r="AA106" i="261"/>
  <c r="Z106" i="261"/>
  <c r="Y106" i="261"/>
  <c r="X106" i="261"/>
  <c r="W106" i="261"/>
  <c r="V106" i="261"/>
  <c r="U106" i="261"/>
  <c r="S106" i="261"/>
  <c r="R106" i="261"/>
  <c r="Q106" i="261"/>
  <c r="P106" i="261"/>
  <c r="O106" i="261"/>
  <c r="N106" i="261"/>
  <c r="M106" i="261"/>
  <c r="L106" i="261"/>
  <c r="K106" i="261"/>
  <c r="J106" i="261"/>
  <c r="I106" i="261"/>
  <c r="H106" i="261"/>
  <c r="G106" i="261"/>
  <c r="F106" i="261"/>
  <c r="T106" i="261"/>
  <c r="AC101" i="261"/>
  <c r="AB101" i="261"/>
  <c r="AA101" i="261"/>
  <c r="Z101" i="261"/>
  <c r="Y101" i="261"/>
  <c r="X101" i="261"/>
  <c r="W101" i="261"/>
  <c r="V101" i="261"/>
  <c r="U101" i="261"/>
  <c r="T101" i="261"/>
  <c r="S101" i="261"/>
  <c r="R101" i="261"/>
  <c r="Q101" i="261"/>
  <c r="P101" i="261"/>
  <c r="O101" i="261"/>
  <c r="N101" i="261"/>
  <c r="M101" i="261"/>
  <c r="L101" i="261"/>
  <c r="K101" i="261"/>
  <c r="J101" i="261"/>
  <c r="I101" i="261"/>
  <c r="H101" i="261"/>
  <c r="G101" i="261"/>
  <c r="F101" i="261"/>
  <c r="AB99" i="261"/>
  <c r="X99" i="261"/>
  <c r="AC80" i="261"/>
  <c r="AC100" i="261" s="1"/>
  <c r="AB80" i="261"/>
  <c r="AB100" i="261" s="1"/>
  <c r="AA80" i="261"/>
  <c r="AA100" i="261" s="1"/>
  <c r="Z80" i="261"/>
  <c r="Z100" i="261" s="1"/>
  <c r="Y80" i="261"/>
  <c r="Y100" i="261" s="1"/>
  <c r="X80" i="261"/>
  <c r="X100" i="261" s="1"/>
  <c r="W80" i="261"/>
  <c r="W100" i="261" s="1"/>
  <c r="V80" i="261"/>
  <c r="V100" i="261" s="1"/>
  <c r="U80" i="261"/>
  <c r="U100" i="261" s="1"/>
  <c r="T80" i="261"/>
  <c r="T100" i="261" s="1"/>
  <c r="S80" i="261"/>
  <c r="S100" i="261" s="1"/>
  <c r="R80" i="261"/>
  <c r="R100" i="261" s="1"/>
  <c r="Q80" i="261"/>
  <c r="Q100" i="261" s="1"/>
  <c r="P80" i="261"/>
  <c r="P100" i="261" s="1"/>
  <c r="O80" i="261"/>
  <c r="O100" i="261" s="1"/>
  <c r="N80" i="261"/>
  <c r="N100" i="261" s="1"/>
  <c r="M80" i="261"/>
  <c r="M100" i="261" s="1"/>
  <c r="L80" i="261"/>
  <c r="L100" i="261" s="1"/>
  <c r="K80" i="261"/>
  <c r="K100" i="261" s="1"/>
  <c r="J80" i="261"/>
  <c r="J100" i="261" s="1"/>
  <c r="I80" i="261"/>
  <c r="I100" i="261" s="1"/>
  <c r="H80" i="261"/>
  <c r="H100" i="261" s="1"/>
  <c r="G80" i="261"/>
  <c r="G100" i="261" s="1"/>
  <c r="F80" i="261"/>
  <c r="F100" i="261" s="1"/>
  <c r="C80" i="261"/>
  <c r="AH79" i="261"/>
  <c r="AG79" i="261"/>
  <c r="AF79" i="261"/>
  <c r="AH78" i="261"/>
  <c r="AG78" i="261"/>
  <c r="AF78" i="261"/>
  <c r="AI77" i="261"/>
  <c r="AC76" i="261"/>
  <c r="AC99" i="261" s="1"/>
  <c r="AB76" i="261"/>
  <c r="AA76" i="261"/>
  <c r="AA99" i="261" s="1"/>
  <c r="Z76" i="261"/>
  <c r="Z99" i="261" s="1"/>
  <c r="Y76" i="261"/>
  <c r="Y99" i="261" s="1"/>
  <c r="X76" i="261"/>
  <c r="W76" i="261"/>
  <c r="W99" i="261" s="1"/>
  <c r="V76" i="261"/>
  <c r="V99" i="261" s="1"/>
  <c r="U76" i="261"/>
  <c r="U99" i="261" s="1"/>
  <c r="T76" i="261"/>
  <c r="T99" i="261" s="1"/>
  <c r="S76" i="261"/>
  <c r="S99" i="261" s="1"/>
  <c r="R76" i="261"/>
  <c r="R99" i="261" s="1"/>
  <c r="Q76" i="261"/>
  <c r="Q99" i="261" s="1"/>
  <c r="P76" i="261"/>
  <c r="P99" i="261" s="1"/>
  <c r="O76" i="261"/>
  <c r="O99" i="261" s="1"/>
  <c r="N76" i="261"/>
  <c r="N99" i="261" s="1"/>
  <c r="M76" i="261"/>
  <c r="M99" i="261" s="1"/>
  <c r="L76" i="261"/>
  <c r="L99" i="261" s="1"/>
  <c r="K76" i="261"/>
  <c r="K99" i="261" s="1"/>
  <c r="J76" i="261"/>
  <c r="J99" i="261" s="1"/>
  <c r="I76" i="261"/>
  <c r="I99" i="261" s="1"/>
  <c r="H76" i="261"/>
  <c r="H99" i="261" s="1"/>
  <c r="G76" i="261"/>
  <c r="G99" i="261" s="1"/>
  <c r="C76" i="261"/>
  <c r="B76" i="261"/>
  <c r="B80" i="261" s="1"/>
  <c r="B25" i="261" s="1"/>
  <c r="AH75" i="261"/>
  <c r="AG75" i="261"/>
  <c r="AF75" i="261"/>
  <c r="AH74" i="261"/>
  <c r="AG74" i="261"/>
  <c r="AF74" i="261"/>
  <c r="AH73" i="261"/>
  <c r="AG73" i="261"/>
  <c r="AF73" i="261"/>
  <c r="AH72" i="261"/>
  <c r="AG72" i="261"/>
  <c r="AF72" i="261"/>
  <c r="AH71" i="261"/>
  <c r="AG71" i="261"/>
  <c r="AF71" i="261"/>
  <c r="AH70" i="261"/>
  <c r="AG70" i="261"/>
  <c r="AF70" i="261"/>
  <c r="AH69" i="261"/>
  <c r="AG69" i="261"/>
  <c r="AF69" i="261"/>
  <c r="AH68" i="261"/>
  <c r="AG68" i="261"/>
  <c r="AF68" i="261"/>
  <c r="AH67" i="261"/>
  <c r="AG67" i="261"/>
  <c r="AF67" i="261"/>
  <c r="AI66" i="261"/>
  <c r="Y65" i="261"/>
  <c r="Y98" i="261" s="1"/>
  <c r="X65" i="261"/>
  <c r="X98" i="261" s="1"/>
  <c r="W65" i="261"/>
  <c r="W98" i="261" s="1"/>
  <c r="V65" i="261"/>
  <c r="V98" i="261" s="1"/>
  <c r="N65" i="261"/>
  <c r="N98" i="261" s="1"/>
  <c r="L65" i="261"/>
  <c r="L98" i="261" s="1"/>
  <c r="K65" i="261"/>
  <c r="K98" i="261" s="1"/>
  <c r="J65" i="261"/>
  <c r="J98" i="261" s="1"/>
  <c r="I65" i="261"/>
  <c r="I98" i="261" s="1"/>
  <c r="H65" i="261"/>
  <c r="H98" i="261" s="1"/>
  <c r="G65" i="261"/>
  <c r="G98" i="261" s="1"/>
  <c r="C65" i="261"/>
  <c r="U65" i="261"/>
  <c r="U98" i="261" s="1"/>
  <c r="S65" i="261"/>
  <c r="S98" i="261" s="1"/>
  <c r="Q65" i="261"/>
  <c r="Q98" i="261" s="1"/>
  <c r="P65" i="261"/>
  <c r="O65" i="261"/>
  <c r="O98" i="261" s="1"/>
  <c r="AG64" i="261"/>
  <c r="AH64" i="261"/>
  <c r="AH63" i="261"/>
  <c r="T65" i="261"/>
  <c r="T98" i="261" s="1"/>
  <c r="AC65" i="261"/>
  <c r="AC98" i="261" s="1"/>
  <c r="AB65" i="261"/>
  <c r="AB98" i="261" s="1"/>
  <c r="AA65" i="261"/>
  <c r="AA98" i="261" s="1"/>
  <c r="AG62" i="261"/>
  <c r="R65" i="261"/>
  <c r="R98" i="261" s="1"/>
  <c r="AC60" i="261"/>
  <c r="AC97" i="261" s="1"/>
  <c r="AB60" i="261"/>
  <c r="AB97" i="261" s="1"/>
  <c r="AA60" i="261"/>
  <c r="AA97" i="261" s="1"/>
  <c r="Z60" i="261"/>
  <c r="Z97" i="261" s="1"/>
  <c r="Y60" i="261"/>
  <c r="Y97" i="261" s="1"/>
  <c r="X60" i="261"/>
  <c r="X97" i="261" s="1"/>
  <c r="W60" i="261"/>
  <c r="W97" i="261" s="1"/>
  <c r="V60" i="261"/>
  <c r="V97" i="261" s="1"/>
  <c r="U60" i="261"/>
  <c r="U97" i="261" s="1"/>
  <c r="T60" i="261"/>
  <c r="T97" i="261" s="1"/>
  <c r="S60" i="261"/>
  <c r="S97" i="261" s="1"/>
  <c r="Q60" i="261"/>
  <c r="Q97" i="261" s="1"/>
  <c r="P60" i="261"/>
  <c r="P97" i="261" s="1"/>
  <c r="N60" i="261"/>
  <c r="M60" i="261"/>
  <c r="J60" i="261"/>
  <c r="J97" i="261" s="1"/>
  <c r="C60" i="261"/>
  <c r="B60" i="261"/>
  <c r="B65" i="261" s="1"/>
  <c r="AH59" i="261"/>
  <c r="AG59" i="261"/>
  <c r="AF59" i="261"/>
  <c r="AH58" i="261"/>
  <c r="AG58" i="261"/>
  <c r="AF58" i="261"/>
  <c r="AH57" i="261"/>
  <c r="L60" i="261"/>
  <c r="AG56" i="261"/>
  <c r="AH55" i="261"/>
  <c r="AG55" i="261"/>
  <c r="AF55" i="261"/>
  <c r="AH54" i="261"/>
  <c r="AG54" i="261"/>
  <c r="AF54" i="261"/>
  <c r="AH53" i="261"/>
  <c r="AG53" i="261"/>
  <c r="AF53" i="261"/>
  <c r="AH52" i="261"/>
  <c r="AG52" i="261"/>
  <c r="AF52" i="261"/>
  <c r="AH51" i="261"/>
  <c r="AG51" i="261"/>
  <c r="AF51" i="261"/>
  <c r="K60" i="261"/>
  <c r="I60" i="261"/>
  <c r="I97" i="261" s="1"/>
  <c r="AH50" i="261"/>
  <c r="AH49" i="261"/>
  <c r="AG49" i="261"/>
  <c r="AF49" i="261"/>
  <c r="AH48" i="261"/>
  <c r="R60" i="261"/>
  <c r="R97" i="261" s="1"/>
  <c r="AF47" i="261"/>
  <c r="O60" i="261"/>
  <c r="O97" i="261" s="1"/>
  <c r="AH45" i="261"/>
  <c r="AG45" i="261"/>
  <c r="AF45" i="261"/>
  <c r="AH44" i="261"/>
  <c r="AG44" i="261"/>
  <c r="AF44" i="261"/>
  <c r="AH43" i="261"/>
  <c r="AG43" i="261"/>
  <c r="AF43" i="261"/>
  <c r="AG42" i="261"/>
  <c r="AH41" i="261"/>
  <c r="AH40" i="261"/>
  <c r="AG40" i="261"/>
  <c r="AF40" i="261"/>
  <c r="AH39" i="261"/>
  <c r="AG39" i="261"/>
  <c r="AF39" i="261"/>
  <c r="AH38" i="261"/>
  <c r="AG38" i="261"/>
  <c r="AF38" i="261"/>
  <c r="AH37" i="261"/>
  <c r="AG37" i="261"/>
  <c r="AF37" i="261"/>
  <c r="AH36" i="261"/>
  <c r="AG36" i="261"/>
  <c r="AF36" i="261"/>
  <c r="AC34" i="261"/>
  <c r="AC95" i="261" s="1"/>
  <c r="AB34" i="261"/>
  <c r="AB95" i="261" s="1"/>
  <c r="AA34" i="261"/>
  <c r="AA95" i="261" s="1"/>
  <c r="Z34" i="261"/>
  <c r="Z95" i="261" s="1"/>
  <c r="Y34" i="261"/>
  <c r="Y95" i="261" s="1"/>
  <c r="X34" i="261"/>
  <c r="X95" i="261" s="1"/>
  <c r="W34" i="261"/>
  <c r="W95" i="261" s="1"/>
  <c r="V34" i="261"/>
  <c r="V95" i="261" s="1"/>
  <c r="U34" i="261"/>
  <c r="U95" i="261" s="1"/>
  <c r="T34" i="261"/>
  <c r="T95" i="261" s="1"/>
  <c r="S34" i="261"/>
  <c r="S95" i="261" s="1"/>
  <c r="R34" i="261"/>
  <c r="R95" i="261" s="1"/>
  <c r="Q34" i="261"/>
  <c r="Q95" i="261" s="1"/>
  <c r="P34" i="261"/>
  <c r="P95" i="261" s="1"/>
  <c r="O34" i="261"/>
  <c r="O95" i="261" s="1"/>
  <c r="N34" i="261"/>
  <c r="N95" i="261" s="1"/>
  <c r="M34" i="261"/>
  <c r="M95" i="261" s="1"/>
  <c r="L34" i="261"/>
  <c r="L95" i="261" s="1"/>
  <c r="K34" i="261"/>
  <c r="K95" i="261" s="1"/>
  <c r="J34" i="261"/>
  <c r="J95" i="261" s="1"/>
  <c r="I34" i="261"/>
  <c r="I95" i="261" s="1"/>
  <c r="H34" i="261"/>
  <c r="H95" i="261" s="1"/>
  <c r="G34" i="261"/>
  <c r="G95" i="261" s="1"/>
  <c r="C34" i="261"/>
  <c r="B34" i="261"/>
  <c r="AH33" i="261"/>
  <c r="AG33" i="261"/>
  <c r="AF33" i="261"/>
  <c r="AI32" i="261"/>
  <c r="AC31" i="261"/>
  <c r="AC93" i="261" s="1"/>
  <c r="AB31" i="261"/>
  <c r="AB93" i="261" s="1"/>
  <c r="AA31" i="261"/>
  <c r="AA93" i="261" s="1"/>
  <c r="Z31" i="261"/>
  <c r="Z93" i="261" s="1"/>
  <c r="Y31" i="261"/>
  <c r="Y93" i="261" s="1"/>
  <c r="X31" i="261"/>
  <c r="X93" i="261" s="1"/>
  <c r="W31" i="261"/>
  <c r="W93" i="261" s="1"/>
  <c r="V31" i="261"/>
  <c r="V93" i="261" s="1"/>
  <c r="U31" i="261"/>
  <c r="U93" i="261" s="1"/>
  <c r="T31" i="261"/>
  <c r="T93" i="261" s="1"/>
  <c r="S31" i="261"/>
  <c r="S93" i="261" s="1"/>
  <c r="R31" i="261"/>
  <c r="R93" i="261" s="1"/>
  <c r="Q31" i="261"/>
  <c r="Q93" i="261" s="1"/>
  <c r="P31" i="261"/>
  <c r="P93" i="261" s="1"/>
  <c r="O31" i="261"/>
  <c r="O93" i="261" s="1"/>
  <c r="N31" i="261"/>
  <c r="N93" i="261" s="1"/>
  <c r="M31" i="261"/>
  <c r="M93" i="261" s="1"/>
  <c r="L31" i="261"/>
  <c r="L93" i="261" s="1"/>
  <c r="K31" i="261"/>
  <c r="K93" i="261" s="1"/>
  <c r="J31" i="261"/>
  <c r="J93" i="261" s="1"/>
  <c r="I31" i="261"/>
  <c r="I93" i="261" s="1"/>
  <c r="H31" i="261"/>
  <c r="H93" i="261" s="1"/>
  <c r="G31" i="261"/>
  <c r="G93" i="261" s="1"/>
  <c r="C31" i="261"/>
  <c r="B31" i="261"/>
  <c r="AI28" i="261"/>
  <c r="AH28" i="261"/>
  <c r="AG28" i="261"/>
  <c r="AF28" i="261"/>
  <c r="AH27" i="261"/>
  <c r="AG27" i="261"/>
  <c r="AF27" i="261"/>
  <c r="AI26" i="261"/>
  <c r="AC25" i="261"/>
  <c r="AB25" i="261"/>
  <c r="AA25" i="261"/>
  <c r="Z25" i="261"/>
  <c r="Y25" i="261"/>
  <c r="X25" i="261"/>
  <c r="W25" i="261"/>
  <c r="V25" i="261"/>
  <c r="U25" i="261"/>
  <c r="T25" i="261"/>
  <c r="S25" i="261"/>
  <c r="R25" i="261"/>
  <c r="Q25" i="261"/>
  <c r="P25" i="261"/>
  <c r="O25" i="261"/>
  <c r="N25" i="261"/>
  <c r="M25" i="261"/>
  <c r="L25" i="261"/>
  <c r="K25" i="261"/>
  <c r="J25" i="261"/>
  <c r="I25" i="261"/>
  <c r="H25" i="261"/>
  <c r="G25" i="261"/>
  <c r="C25" i="261"/>
  <c r="AH24" i="261"/>
  <c r="AG24" i="261"/>
  <c r="AF24" i="261"/>
  <c r="AI23" i="261"/>
  <c r="AC22" i="261"/>
  <c r="AB22" i="261"/>
  <c r="AA22" i="261"/>
  <c r="Z22" i="261"/>
  <c r="Y22" i="261"/>
  <c r="X22" i="261"/>
  <c r="W22" i="261"/>
  <c r="V22" i="261"/>
  <c r="U22" i="261"/>
  <c r="T22" i="261"/>
  <c r="S22" i="261"/>
  <c r="R22" i="261"/>
  <c r="Q22" i="261"/>
  <c r="P22" i="261"/>
  <c r="O22" i="261"/>
  <c r="N22" i="261"/>
  <c r="M22" i="261"/>
  <c r="L22" i="261"/>
  <c r="K22" i="261"/>
  <c r="J22" i="261"/>
  <c r="I22" i="261"/>
  <c r="H22" i="261"/>
  <c r="G22" i="261"/>
  <c r="F89" i="261"/>
  <c r="C22" i="261"/>
  <c r="B22" i="261"/>
  <c r="AH21" i="261"/>
  <c r="AG21" i="261"/>
  <c r="AF21" i="261"/>
  <c r="AH20" i="261"/>
  <c r="AG20" i="261"/>
  <c r="AF20" i="261"/>
  <c r="AH19" i="261"/>
  <c r="AG19" i="261"/>
  <c r="AF19" i="261"/>
  <c r="AI18" i="261"/>
  <c r="AC17" i="261"/>
  <c r="AC91" i="261" s="1"/>
  <c r="AB17" i="261"/>
  <c r="AB91" i="261" s="1"/>
  <c r="AA17" i="261"/>
  <c r="AA91" i="261" s="1"/>
  <c r="Z17" i="261"/>
  <c r="Z91" i="261" s="1"/>
  <c r="Y17" i="261"/>
  <c r="Y91" i="261" s="1"/>
  <c r="X17" i="261"/>
  <c r="W17" i="261"/>
  <c r="V17" i="261"/>
  <c r="V91" i="261" s="1"/>
  <c r="U17" i="261"/>
  <c r="T17" i="261"/>
  <c r="S17" i="261"/>
  <c r="R17" i="261"/>
  <c r="R91" i="261" s="1"/>
  <c r="Q17" i="261"/>
  <c r="P17" i="261"/>
  <c r="O17" i="261"/>
  <c r="N17" i="261"/>
  <c r="M17" i="261"/>
  <c r="L17" i="261"/>
  <c r="K17" i="261"/>
  <c r="J17" i="261"/>
  <c r="J91" i="261" s="1"/>
  <c r="I17" i="261"/>
  <c r="I91" i="261" s="1"/>
  <c r="H17" i="261"/>
  <c r="H91" i="261" s="1"/>
  <c r="G17" i="261"/>
  <c r="G91" i="261" s="1"/>
  <c r="C17" i="261"/>
  <c r="B17" i="261"/>
  <c r="AH16" i="261"/>
  <c r="AG16" i="261"/>
  <c r="AF16" i="261"/>
  <c r="AH15" i="261"/>
  <c r="AG15" i="261"/>
  <c r="AF15" i="261"/>
  <c r="AH14" i="261"/>
  <c r="AG14" i="261"/>
  <c r="AF14" i="261"/>
  <c r="AH13" i="261"/>
  <c r="AG13" i="261"/>
  <c r="AF13" i="261"/>
  <c r="AI12" i="261"/>
  <c r="M9" i="261" a="1"/>
  <c r="M9" i="261" s="1"/>
  <c r="AR4" i="261"/>
  <c r="F65" i="88"/>
  <c r="F64" i="88"/>
  <c r="F61" i="88"/>
  <c r="G89" i="261" l="1"/>
  <c r="H89" i="261"/>
  <c r="J89" i="261"/>
  <c r="L89" i="261"/>
  <c r="O89" i="261"/>
  <c r="I89" i="261"/>
  <c r="M89" i="261"/>
  <c r="M97" i="261"/>
  <c r="N97" i="261"/>
  <c r="L97" i="261"/>
  <c r="P89" i="261"/>
  <c r="C83" i="261"/>
  <c r="B83" i="261"/>
  <c r="C94" i="260"/>
  <c r="C119" i="260" s="1"/>
  <c r="C144" i="260" s="1"/>
  <c r="C95" i="260"/>
  <c r="C120" i="260" s="1"/>
  <c r="C145" i="260" s="1"/>
  <c r="C98" i="260"/>
  <c r="C123" i="260" s="1"/>
  <c r="C148" i="260" s="1"/>
  <c r="C81" i="260"/>
  <c r="C82" i="260"/>
  <c r="C107" i="260" s="1"/>
  <c r="C132" i="260" s="1"/>
  <c r="C103" i="260"/>
  <c r="C128" i="260" s="1"/>
  <c r="C153" i="260" s="1"/>
  <c r="C85" i="260"/>
  <c r="C110" i="260" s="1"/>
  <c r="C135" i="260" s="1"/>
  <c r="C71" i="260"/>
  <c r="C99" i="260"/>
  <c r="C124" i="260" s="1"/>
  <c r="C149" i="260" s="1"/>
  <c r="C100" i="260"/>
  <c r="C125" i="260" s="1"/>
  <c r="C150" i="260" s="1"/>
  <c r="C83" i="260"/>
  <c r="C108" i="260" s="1"/>
  <c r="C133" i="260" s="1"/>
  <c r="C61" i="260"/>
  <c r="C87" i="260"/>
  <c r="C88" i="260"/>
  <c r="C113" i="260" s="1"/>
  <c r="C138" i="260" s="1"/>
  <c r="C89" i="260"/>
  <c r="C114" i="260" s="1"/>
  <c r="C139" i="260" s="1"/>
  <c r="C90" i="260"/>
  <c r="C115" i="260" s="1"/>
  <c r="C140" i="260" s="1"/>
  <c r="C97" i="260"/>
  <c r="C122" i="260" s="1"/>
  <c r="C147" i="260" s="1"/>
  <c r="C91" i="260"/>
  <c r="C116" i="260" s="1"/>
  <c r="C141" i="260" s="1"/>
  <c r="C102" i="260"/>
  <c r="C127" i="260" s="1"/>
  <c r="C152" i="260" s="1"/>
  <c r="C84" i="260"/>
  <c r="C109" i="260" s="1"/>
  <c r="C134" i="260" s="1"/>
  <c r="C92" i="260"/>
  <c r="C117" i="260" s="1"/>
  <c r="C142" i="260" s="1"/>
  <c r="C80" i="260"/>
  <c r="C105" i="260" s="1"/>
  <c r="C130" i="260" s="1"/>
  <c r="C101" i="260"/>
  <c r="C126" i="260" s="1"/>
  <c r="C151" i="260" s="1"/>
  <c r="C93" i="260"/>
  <c r="C118" i="260" s="1"/>
  <c r="C143" i="260" s="1"/>
  <c r="AC108" i="261"/>
  <c r="AC89" i="261"/>
  <c r="AC102" i="261" s="1"/>
  <c r="AC107" i="261" s="1"/>
  <c r="AB89" i="261"/>
  <c r="AB102" i="261" s="1"/>
  <c r="AB107" i="261" s="1"/>
  <c r="AA89" i="261"/>
  <c r="AA102" i="261" s="1"/>
  <c r="AA107" i="261" s="1"/>
  <c r="Z89" i="261"/>
  <c r="V108" i="261"/>
  <c r="P98" i="261"/>
  <c r="N89" i="261"/>
  <c r="O109" i="261"/>
  <c r="K89" i="261"/>
  <c r="J108" i="261"/>
  <c r="I108" i="261"/>
  <c r="Z108" i="261"/>
  <c r="AA108" i="261"/>
  <c r="AB108" i="261"/>
  <c r="F108" i="261"/>
  <c r="Y108" i="261"/>
  <c r="G108" i="261"/>
  <c r="H108" i="261"/>
  <c r="W83" i="261"/>
  <c r="X83" i="261"/>
  <c r="Z109" i="261"/>
  <c r="X91" i="261"/>
  <c r="X108" i="261" s="1"/>
  <c r="N83" i="261"/>
  <c r="AC109" i="261"/>
  <c r="S109" i="261"/>
  <c r="T109" i="261"/>
  <c r="N109" i="261"/>
  <c r="Y83" i="261"/>
  <c r="J83" i="261"/>
  <c r="F109" i="261"/>
  <c r="W91" i="261"/>
  <c r="W108" i="261" s="1"/>
  <c r="K109" i="261"/>
  <c r="M109" i="261"/>
  <c r="S83" i="261"/>
  <c r="W109" i="261"/>
  <c r="F102" i="261"/>
  <c r="F107" i="261" s="1"/>
  <c r="Q109" i="261"/>
  <c r="I109" i="261"/>
  <c r="Q83" i="261"/>
  <c r="V89" i="261"/>
  <c r="V102" i="261" s="1"/>
  <c r="V107" i="261" s="1"/>
  <c r="X89" i="261"/>
  <c r="K91" i="261"/>
  <c r="K108" i="261" s="1"/>
  <c r="L109" i="261"/>
  <c r="R89" i="261"/>
  <c r="R102" i="261" s="1"/>
  <c r="R107" i="261" s="1"/>
  <c r="U109" i="261"/>
  <c r="T83" i="261"/>
  <c r="U83" i="261"/>
  <c r="Y89" i="261"/>
  <c r="Y102" i="261" s="1"/>
  <c r="Y107" i="261" s="1"/>
  <c r="R108" i="261"/>
  <c r="AB83" i="261"/>
  <c r="I83" i="261"/>
  <c r="I102" i="261"/>
  <c r="I107" i="261" s="1"/>
  <c r="AA83" i="261"/>
  <c r="AC83" i="261"/>
  <c r="J102" i="261"/>
  <c r="J107" i="261" s="1"/>
  <c r="O83" i="261"/>
  <c r="K97" i="261"/>
  <c r="K83" i="261"/>
  <c r="P83" i="261"/>
  <c r="AF63" i="261"/>
  <c r="L83" i="261"/>
  <c r="AG63" i="261"/>
  <c r="AG46" i="261"/>
  <c r="AF62" i="261"/>
  <c r="R109" i="261"/>
  <c r="AH56" i="261"/>
  <c r="Q89" i="261"/>
  <c r="X109" i="261"/>
  <c r="AH42" i="261"/>
  <c r="V83" i="261"/>
  <c r="N91" i="261"/>
  <c r="Y109" i="261"/>
  <c r="AG47" i="261"/>
  <c r="AF57" i="261"/>
  <c r="S89" i="261"/>
  <c r="O91" i="261"/>
  <c r="AH47" i="261"/>
  <c r="AG57" i="261"/>
  <c r="T89" i="261"/>
  <c r="P91" i="261"/>
  <c r="P108" i="261" s="1"/>
  <c r="G109" i="261"/>
  <c r="AA109" i="261"/>
  <c r="U89" i="261"/>
  <c r="Q91" i="261"/>
  <c r="Q108" i="261" s="1"/>
  <c r="H109" i="261"/>
  <c r="AB109" i="261"/>
  <c r="G60" i="261"/>
  <c r="AH46" i="261"/>
  <c r="AI61" i="261"/>
  <c r="R83" i="261"/>
  <c r="AF56" i="261"/>
  <c r="V109" i="261"/>
  <c r="AF42" i="261"/>
  <c r="L91" i="261"/>
  <c r="F83" i="261"/>
  <c r="AF48" i="261"/>
  <c r="W89" i="261"/>
  <c r="S91" i="261"/>
  <c r="S108" i="261" s="1"/>
  <c r="J109" i="261"/>
  <c r="Z65" i="261"/>
  <c r="P109" i="261"/>
  <c r="AF46" i="261"/>
  <c r="AF41" i="261"/>
  <c r="H60" i="261"/>
  <c r="AH62" i="261"/>
  <c r="AF50" i="261"/>
  <c r="AG50" i="261"/>
  <c r="AG48" i="261"/>
  <c r="AF64" i="261"/>
  <c r="T91" i="261"/>
  <c r="T108" i="261" s="1"/>
  <c r="AG41" i="261"/>
  <c r="M65" i="261"/>
  <c r="M91" i="261"/>
  <c r="U91" i="261"/>
  <c r="U108" i="261" s="1"/>
  <c r="W26" i="260"/>
  <c r="F62" i="88"/>
  <c r="F60" i="88"/>
  <c r="F44" i="88"/>
  <c r="F59" i="88"/>
  <c r="AE25" i="260"/>
  <c r="W25" i="260"/>
  <c r="Z64" i="259"/>
  <c r="Z63" i="259"/>
  <c r="Z62" i="259"/>
  <c r="F33" i="88"/>
  <c r="Y62" i="259"/>
  <c r="F55" i="88"/>
  <c r="F21" i="88"/>
  <c r="F54" i="88"/>
  <c r="F53" i="88"/>
  <c r="F52" i="88"/>
  <c r="AE24" i="260"/>
  <c r="W24" i="260"/>
  <c r="Y63" i="259"/>
  <c r="W23" i="260"/>
  <c r="W22" i="260"/>
  <c r="AE21" i="260"/>
  <c r="W21" i="260"/>
  <c r="AE20" i="260"/>
  <c r="W20" i="260"/>
  <c r="AE19" i="260"/>
  <c r="W19" i="260"/>
  <c r="T64" i="259"/>
  <c r="T63" i="259"/>
  <c r="U64" i="259"/>
  <c r="T105" i="259"/>
  <c r="W18" i="260"/>
  <c r="S64" i="259"/>
  <c r="S63" i="259"/>
  <c r="F23" i="88"/>
  <c r="AE17" i="260"/>
  <c r="W17" i="260"/>
  <c r="R64" i="259"/>
  <c r="R62" i="259"/>
  <c r="R47" i="259"/>
  <c r="F49" i="88"/>
  <c r="F48" i="88"/>
  <c r="F47" i="88"/>
  <c r="F46" i="88"/>
  <c r="AE16" i="260"/>
  <c r="W16" i="260"/>
  <c r="Q64" i="259"/>
  <c r="Q62" i="259"/>
  <c r="AE15" i="260"/>
  <c r="W15" i="260"/>
  <c r="P62" i="259"/>
  <c r="F38" i="88"/>
  <c r="F40" i="88"/>
  <c r="F39" i="88"/>
  <c r="F37" i="88"/>
  <c r="F41" i="88"/>
  <c r="F43" i="88"/>
  <c r="F36" i="88"/>
  <c r="P64" i="259"/>
  <c r="O64" i="259"/>
  <c r="O62" i="259"/>
  <c r="O56" i="259"/>
  <c r="O50" i="259"/>
  <c r="O48" i="259"/>
  <c r="O47" i="259"/>
  <c r="O46" i="259"/>
  <c r="F32" i="88"/>
  <c r="C158" i="260" l="1"/>
  <c r="C168" i="260"/>
  <c r="C106" i="260"/>
  <c r="C131" i="260" s="1"/>
  <c r="C176" i="260"/>
  <c r="C173" i="260"/>
  <c r="C155" i="260"/>
  <c r="C170" i="260"/>
  <c r="C167" i="260"/>
  <c r="C169" i="260"/>
  <c r="C178" i="260"/>
  <c r="C157" i="260"/>
  <c r="C177" i="260"/>
  <c r="C159" i="260"/>
  <c r="C166" i="260"/>
  <c r="C172" i="260"/>
  <c r="C165" i="260"/>
  <c r="C163" i="260"/>
  <c r="C112" i="260"/>
  <c r="C137" i="260" s="1"/>
  <c r="C175" i="260"/>
  <c r="C174" i="260"/>
  <c r="C160" i="260"/>
  <c r="C164" i="260"/>
  <c r="C86" i="260"/>
  <c r="C111" i="260" s="1"/>
  <c r="C136" i="260" s="1"/>
  <c r="C96" i="260"/>
  <c r="C121" i="260" s="1"/>
  <c r="C146" i="260" s="1"/>
  <c r="Z98" i="261"/>
  <c r="Z102" i="261" s="1"/>
  <c r="Z107" i="261" s="1"/>
  <c r="X102" i="261"/>
  <c r="X107" i="261" s="1"/>
  <c r="U102" i="261"/>
  <c r="U107" i="261" s="1"/>
  <c r="M98" i="261"/>
  <c r="M102" i="261" s="1"/>
  <c r="M107" i="261" s="1"/>
  <c r="K102" i="261"/>
  <c r="K107" i="261" s="1"/>
  <c r="H97" i="261"/>
  <c r="H102" i="261" s="1"/>
  <c r="H107" i="261" s="1"/>
  <c r="G97" i="261"/>
  <c r="G102" i="261" s="1"/>
  <c r="G107" i="261" s="1"/>
  <c r="W102" i="261"/>
  <c r="W107" i="261" s="1"/>
  <c r="H83" i="261"/>
  <c r="P102" i="261"/>
  <c r="P107" i="261" s="1"/>
  <c r="Q102" i="261"/>
  <c r="Q107" i="261" s="1"/>
  <c r="M108" i="261"/>
  <c r="T102" i="261"/>
  <c r="T107" i="261" s="1"/>
  <c r="G83" i="261"/>
  <c r="L102" i="261"/>
  <c r="L107" i="261" s="1"/>
  <c r="L108" i="261"/>
  <c r="N108" i="261"/>
  <c r="N102" i="261"/>
  <c r="N107" i="261" s="1"/>
  <c r="M83" i="261"/>
  <c r="O102" i="261"/>
  <c r="O107" i="261" s="1"/>
  <c r="O108" i="261"/>
  <c r="Z83" i="261"/>
  <c r="S102" i="261"/>
  <c r="S107" i="261" s="1"/>
  <c r="C171" i="260" l="1"/>
  <c r="C184" i="260"/>
  <c r="C202" i="260"/>
  <c r="C182" i="260"/>
  <c r="C203" i="260"/>
  <c r="C194" i="260"/>
  <c r="C192" i="260"/>
  <c r="C195" i="260"/>
  <c r="C180" i="260"/>
  <c r="C198" i="260"/>
  <c r="C162" i="260"/>
  <c r="C197" i="260"/>
  <c r="C201" i="260"/>
  <c r="C188" i="260"/>
  <c r="C156" i="260"/>
  <c r="C189" i="260"/>
  <c r="C193" i="260"/>
  <c r="C185" i="260"/>
  <c r="C183" i="260"/>
  <c r="C191" i="260"/>
  <c r="C199" i="260"/>
  <c r="C190" i="260"/>
  <c r="C161" i="260"/>
  <c r="C200" i="260"/>
  <c r="AE13" i="260"/>
  <c r="AE12" i="260"/>
  <c r="AE11" i="260"/>
  <c r="M64" i="259"/>
  <c r="M62" i="259"/>
  <c r="F34" i="88"/>
  <c r="L57" i="259"/>
  <c r="F29" i="88"/>
  <c r="AC60" i="259"/>
  <c r="AB60" i="259"/>
  <c r="AA60" i="259"/>
  <c r="Z60" i="259"/>
  <c r="Y60" i="259"/>
  <c r="X60" i="259"/>
  <c r="W60" i="259"/>
  <c r="V60" i="259"/>
  <c r="U60" i="259"/>
  <c r="T60" i="259"/>
  <c r="S60" i="259"/>
  <c r="R60" i="259"/>
  <c r="Q60" i="259"/>
  <c r="P60" i="259"/>
  <c r="O60" i="259"/>
  <c r="N60" i="259"/>
  <c r="M60" i="259"/>
  <c r="K60" i="259"/>
  <c r="J60" i="259"/>
  <c r="G60" i="259"/>
  <c r="F60" i="259"/>
  <c r="F10" i="88"/>
  <c r="F31" i="88"/>
  <c r="F19" i="88"/>
  <c r="F30" i="88"/>
  <c r="L63" i="259"/>
  <c r="L62" i="259"/>
  <c r="L56" i="259"/>
  <c r="L48" i="259"/>
  <c r="L60" i="259" s="1"/>
  <c r="K62" i="259"/>
  <c r="K56" i="259"/>
  <c r="K50" i="259"/>
  <c r="K63" i="259"/>
  <c r="J63" i="259"/>
  <c r="J62" i="259"/>
  <c r="F28" i="88"/>
  <c r="I63" i="259"/>
  <c r="I62" i="259"/>
  <c r="I50" i="259"/>
  <c r="I47" i="259"/>
  <c r="I60" i="259" s="1"/>
  <c r="F27" i="88"/>
  <c r="F26" i="88"/>
  <c r="H63" i="259"/>
  <c r="H62" i="259"/>
  <c r="H50" i="259"/>
  <c r="H49" i="259"/>
  <c r="H47" i="259"/>
  <c r="H46" i="259"/>
  <c r="AI36" i="259" s="1"/>
  <c r="F16" i="88"/>
  <c r="F15" i="88"/>
  <c r="F8" i="88"/>
  <c r="G42" i="259"/>
  <c r="G41" i="259"/>
  <c r="AI35" i="259" s="1"/>
  <c r="G63" i="259"/>
  <c r="G62" i="259"/>
  <c r="F14" i="88"/>
  <c r="F24" i="88"/>
  <c r="F20" i="88"/>
  <c r="F22" i="88"/>
  <c r="F64" i="259"/>
  <c r="F63" i="259"/>
  <c r="F11" i="88"/>
  <c r="C181" i="260" l="1"/>
  <c r="C213" i="260"/>
  <c r="C226" i="260"/>
  <c r="C222" i="260"/>
  <c r="C217" i="260"/>
  <c r="C219" i="260"/>
  <c r="C228" i="260"/>
  <c r="C225" i="260"/>
  <c r="C207" i="260"/>
  <c r="C214" i="260"/>
  <c r="C227" i="260"/>
  <c r="C215" i="260"/>
  <c r="C209" i="260"/>
  <c r="C196" i="260"/>
  <c r="C216" i="260"/>
  <c r="C205" i="260"/>
  <c r="C186" i="260"/>
  <c r="C208" i="260"/>
  <c r="C187" i="260"/>
  <c r="C224" i="260"/>
  <c r="C210" i="260"/>
  <c r="C223" i="260"/>
  <c r="C220" i="260"/>
  <c r="C218" i="260"/>
  <c r="H60" i="259"/>
  <c r="A1" i="260"/>
  <c r="AB97" i="259"/>
  <c r="AG55" i="259"/>
  <c r="AF50" i="259"/>
  <c r="F80" i="259"/>
  <c r="F76" i="259"/>
  <c r="F99" i="259" s="1"/>
  <c r="F65" i="259"/>
  <c r="F98" i="259" s="1"/>
  <c r="F97" i="259"/>
  <c r="F34" i="259"/>
  <c r="F95" i="259" s="1"/>
  <c r="F31" i="259"/>
  <c r="F93" i="259" s="1"/>
  <c r="F25" i="259"/>
  <c r="F22" i="259"/>
  <c r="F17" i="259"/>
  <c r="AC128" i="259"/>
  <c r="AB128" i="259"/>
  <c r="AA128" i="259"/>
  <c r="Z128" i="259"/>
  <c r="Y128" i="259"/>
  <c r="X128" i="259"/>
  <c r="W128" i="259"/>
  <c r="V128" i="259"/>
  <c r="U128" i="259"/>
  <c r="T128" i="259"/>
  <c r="S128" i="259"/>
  <c r="R128" i="259"/>
  <c r="Q128" i="259"/>
  <c r="P128" i="259"/>
  <c r="O128" i="259"/>
  <c r="N128" i="259"/>
  <c r="M128" i="259"/>
  <c r="L128" i="259"/>
  <c r="K128" i="259"/>
  <c r="J128" i="259"/>
  <c r="I128" i="259"/>
  <c r="H128" i="259"/>
  <c r="G128" i="259"/>
  <c r="F128" i="259"/>
  <c r="AC106" i="259"/>
  <c r="AB106" i="259"/>
  <c r="AA106" i="259"/>
  <c r="Z106" i="259"/>
  <c r="Y106" i="259"/>
  <c r="X106" i="259"/>
  <c r="W106" i="259"/>
  <c r="V106" i="259"/>
  <c r="U106" i="259"/>
  <c r="T106" i="259"/>
  <c r="S106" i="259"/>
  <c r="R106" i="259"/>
  <c r="Q106" i="259"/>
  <c r="P106" i="259"/>
  <c r="O106" i="259"/>
  <c r="N106" i="259"/>
  <c r="M106" i="259"/>
  <c r="L106" i="259"/>
  <c r="K106" i="259"/>
  <c r="J106" i="259"/>
  <c r="I106" i="259"/>
  <c r="H106" i="259"/>
  <c r="G106" i="259"/>
  <c r="F106" i="259"/>
  <c r="AC101" i="259"/>
  <c r="AB101" i="259"/>
  <c r="AA101" i="259"/>
  <c r="Z101" i="259"/>
  <c r="Y101" i="259"/>
  <c r="X101" i="259"/>
  <c r="W101" i="259"/>
  <c r="V101" i="259"/>
  <c r="U101" i="259"/>
  <c r="T101" i="259"/>
  <c r="S101" i="259"/>
  <c r="R101" i="259"/>
  <c r="Q101" i="259"/>
  <c r="P101" i="259"/>
  <c r="O101" i="259"/>
  <c r="N101" i="259"/>
  <c r="M101" i="259"/>
  <c r="L101" i="259"/>
  <c r="K101" i="259"/>
  <c r="J101" i="259"/>
  <c r="I101" i="259"/>
  <c r="H101" i="259"/>
  <c r="G101" i="259"/>
  <c r="F101" i="259"/>
  <c r="Z99" i="259"/>
  <c r="X99" i="259"/>
  <c r="Q91" i="259"/>
  <c r="AC80" i="259"/>
  <c r="AB80" i="259"/>
  <c r="AA80" i="259"/>
  <c r="AA100" i="259" s="1"/>
  <c r="Z80" i="259"/>
  <c r="Y80" i="259"/>
  <c r="X80" i="259"/>
  <c r="W80" i="259"/>
  <c r="V80" i="259"/>
  <c r="U80" i="259"/>
  <c r="T80" i="259"/>
  <c r="S80" i="259"/>
  <c r="R80" i="259"/>
  <c r="Q80" i="259"/>
  <c r="P80" i="259"/>
  <c r="O80" i="259"/>
  <c r="N80" i="259"/>
  <c r="M80" i="259"/>
  <c r="L80" i="259"/>
  <c r="K80" i="259"/>
  <c r="J80" i="259"/>
  <c r="I80" i="259"/>
  <c r="H80" i="259"/>
  <c r="G80" i="259"/>
  <c r="C80" i="259"/>
  <c r="AH79" i="259"/>
  <c r="AG79" i="259"/>
  <c r="AF79" i="259"/>
  <c r="AH78" i="259"/>
  <c r="AG78" i="259"/>
  <c r="AF78" i="259"/>
  <c r="AI77" i="259"/>
  <c r="AC76" i="259"/>
  <c r="AC99" i="259" s="1"/>
  <c r="AB76" i="259"/>
  <c r="AB99" i="259" s="1"/>
  <c r="AA76" i="259"/>
  <c r="AA99" i="259" s="1"/>
  <c r="Z76" i="259"/>
  <c r="Y76" i="259"/>
  <c r="Y99" i="259" s="1"/>
  <c r="X76" i="259"/>
  <c r="W76" i="259"/>
  <c r="W99" i="259" s="1"/>
  <c r="V76" i="259"/>
  <c r="V99" i="259" s="1"/>
  <c r="U76" i="259"/>
  <c r="U99" i="259" s="1"/>
  <c r="T76" i="259"/>
  <c r="T99" i="259" s="1"/>
  <c r="S76" i="259"/>
  <c r="S99" i="259" s="1"/>
  <c r="R76" i="259"/>
  <c r="R99" i="259" s="1"/>
  <c r="Q76" i="259"/>
  <c r="Q99" i="259" s="1"/>
  <c r="P76" i="259"/>
  <c r="P99" i="259" s="1"/>
  <c r="O76" i="259"/>
  <c r="O99" i="259" s="1"/>
  <c r="N76" i="259"/>
  <c r="N99" i="259" s="1"/>
  <c r="M76" i="259"/>
  <c r="M99" i="259" s="1"/>
  <c r="L76" i="259"/>
  <c r="L99" i="259" s="1"/>
  <c r="K76" i="259"/>
  <c r="K99" i="259" s="1"/>
  <c r="J76" i="259"/>
  <c r="J99" i="259" s="1"/>
  <c r="I76" i="259"/>
  <c r="I99" i="259" s="1"/>
  <c r="H76" i="259"/>
  <c r="H99" i="259" s="1"/>
  <c r="G76" i="259"/>
  <c r="G99" i="259" s="1"/>
  <c r="C76" i="259"/>
  <c r="B76" i="259"/>
  <c r="B80" i="259" s="1"/>
  <c r="B25" i="259" s="1"/>
  <c r="AH75" i="259"/>
  <c r="AG75" i="259"/>
  <c r="AF75" i="259"/>
  <c r="AH74" i="259"/>
  <c r="AG74" i="259"/>
  <c r="AF74" i="259"/>
  <c r="AH73" i="259"/>
  <c r="AG73" i="259"/>
  <c r="AF73" i="259"/>
  <c r="AH72" i="259"/>
  <c r="AG72" i="259"/>
  <c r="AF72" i="259"/>
  <c r="AH71" i="259"/>
  <c r="AG71" i="259"/>
  <c r="AF71" i="259"/>
  <c r="AH70" i="259"/>
  <c r="AG70" i="259"/>
  <c r="AF70" i="259"/>
  <c r="AH69" i="259"/>
  <c r="AG69" i="259"/>
  <c r="AF69" i="259"/>
  <c r="AH68" i="259"/>
  <c r="AG68" i="259"/>
  <c r="AF68" i="259"/>
  <c r="AH67" i="259"/>
  <c r="AG67" i="259"/>
  <c r="AF67" i="259"/>
  <c r="AI66" i="259"/>
  <c r="Z65" i="259"/>
  <c r="Z98" i="259" s="1"/>
  <c r="Y65" i="259"/>
  <c r="Y98" i="259" s="1"/>
  <c r="X65" i="259"/>
  <c r="X98" i="259" s="1"/>
  <c r="W65" i="259"/>
  <c r="W98" i="259" s="1"/>
  <c r="T65" i="259"/>
  <c r="T98" i="259" s="1"/>
  <c r="S65" i="259"/>
  <c r="S98" i="259" s="1"/>
  <c r="R65" i="259"/>
  <c r="R98" i="259" s="1"/>
  <c r="Q65" i="259"/>
  <c r="Q98" i="259" s="1"/>
  <c r="P65" i="259"/>
  <c r="P98" i="259" s="1"/>
  <c r="O65" i="259"/>
  <c r="O98" i="259" s="1"/>
  <c r="M65" i="259"/>
  <c r="M98" i="259" s="1"/>
  <c r="L65" i="259"/>
  <c r="L98" i="259" s="1"/>
  <c r="G65" i="259"/>
  <c r="G98" i="259" s="1"/>
  <c r="C65" i="259"/>
  <c r="I65" i="259"/>
  <c r="I98" i="259" s="1"/>
  <c r="AC65" i="259"/>
  <c r="AC98" i="259" s="1"/>
  <c r="AF63" i="259"/>
  <c r="N65" i="259"/>
  <c r="N98" i="259" s="1"/>
  <c r="AA65" i="259"/>
  <c r="AA98" i="259" s="1"/>
  <c r="V65" i="259"/>
  <c r="V98" i="259" s="1"/>
  <c r="U65" i="259"/>
  <c r="U98" i="259" s="1"/>
  <c r="K65" i="259"/>
  <c r="K98" i="259" s="1"/>
  <c r="AI61" i="259"/>
  <c r="AH62" i="259"/>
  <c r="AC97" i="259"/>
  <c r="AA97" i="259"/>
  <c r="Z97" i="259"/>
  <c r="Y97" i="259"/>
  <c r="X97" i="259"/>
  <c r="W97" i="259"/>
  <c r="V97" i="259"/>
  <c r="T97" i="259"/>
  <c r="S97" i="259"/>
  <c r="R97" i="259"/>
  <c r="Q97" i="259"/>
  <c r="P97" i="259"/>
  <c r="O97" i="259"/>
  <c r="N97" i="259"/>
  <c r="J97" i="259"/>
  <c r="C60" i="259"/>
  <c r="B60" i="259"/>
  <c r="B65" i="259" s="1"/>
  <c r="AH59" i="259"/>
  <c r="AG59" i="259"/>
  <c r="AF59" i="259"/>
  <c r="AH58" i="259"/>
  <c r="AG58" i="259"/>
  <c r="AF58" i="259"/>
  <c r="AH57" i="259"/>
  <c r="AG57" i="259"/>
  <c r="AF57" i="259"/>
  <c r="AH56" i="259"/>
  <c r="AG56" i="259"/>
  <c r="AF56" i="259"/>
  <c r="AH55" i="259"/>
  <c r="AH54" i="259"/>
  <c r="AG54" i="259"/>
  <c r="AF54" i="259"/>
  <c r="AH53" i="259"/>
  <c r="AG53" i="259"/>
  <c r="AF53" i="259"/>
  <c r="AH52" i="259"/>
  <c r="AG52" i="259"/>
  <c r="AF52" i="259"/>
  <c r="AH51" i="259"/>
  <c r="AG51" i="259"/>
  <c r="AF51" i="259"/>
  <c r="AH50" i="259"/>
  <c r="AG50" i="259"/>
  <c r="AH49" i="259"/>
  <c r="AH48" i="259"/>
  <c r="AG48" i="259"/>
  <c r="AF48" i="259"/>
  <c r="AH47" i="259"/>
  <c r="AG47" i="259"/>
  <c r="AF47" i="259"/>
  <c r="AH46" i="259"/>
  <c r="AG46" i="259"/>
  <c r="AF46" i="259"/>
  <c r="AH45" i="259"/>
  <c r="AG45" i="259"/>
  <c r="AF45" i="259"/>
  <c r="AH44" i="259"/>
  <c r="AG44" i="259"/>
  <c r="AF44" i="259"/>
  <c r="AH43" i="259"/>
  <c r="AG43" i="259"/>
  <c r="AF43" i="259"/>
  <c r="AH42" i="259"/>
  <c r="AH41" i="259"/>
  <c r="AG41" i="259"/>
  <c r="AF41" i="259"/>
  <c r="U97" i="259"/>
  <c r="M97" i="259"/>
  <c r="L97" i="259"/>
  <c r="K97" i="259"/>
  <c r="AH40" i="259"/>
  <c r="AG40" i="259"/>
  <c r="AF40" i="259"/>
  <c r="I97" i="259"/>
  <c r="H97" i="259"/>
  <c r="G97" i="259"/>
  <c r="AH38" i="259"/>
  <c r="AG38" i="259"/>
  <c r="AF38" i="259"/>
  <c r="AH37" i="259"/>
  <c r="AG37" i="259"/>
  <c r="AF37" i="259"/>
  <c r="AH36" i="259"/>
  <c r="AG36" i="259"/>
  <c r="AF36" i="259"/>
  <c r="AC34" i="259"/>
  <c r="AC95" i="259" s="1"/>
  <c r="AB34" i="259"/>
  <c r="AB95" i="259" s="1"/>
  <c r="AA34" i="259"/>
  <c r="AA95" i="259" s="1"/>
  <c r="Z34" i="259"/>
  <c r="Z95" i="259" s="1"/>
  <c r="Y34" i="259"/>
  <c r="Y95" i="259" s="1"/>
  <c r="X34" i="259"/>
  <c r="X95" i="259" s="1"/>
  <c r="W34" i="259"/>
  <c r="W95" i="259" s="1"/>
  <c r="V34" i="259"/>
  <c r="V95" i="259" s="1"/>
  <c r="U34" i="259"/>
  <c r="U95" i="259" s="1"/>
  <c r="T34" i="259"/>
  <c r="T95" i="259" s="1"/>
  <c r="S34" i="259"/>
  <c r="S95" i="259" s="1"/>
  <c r="R34" i="259"/>
  <c r="R95" i="259" s="1"/>
  <c r="Q34" i="259"/>
  <c r="Q95" i="259" s="1"/>
  <c r="P34" i="259"/>
  <c r="P95" i="259" s="1"/>
  <c r="O34" i="259"/>
  <c r="O95" i="259" s="1"/>
  <c r="N34" i="259"/>
  <c r="N95" i="259" s="1"/>
  <c r="M34" i="259"/>
  <c r="M95" i="259" s="1"/>
  <c r="L34" i="259"/>
  <c r="L95" i="259" s="1"/>
  <c r="K34" i="259"/>
  <c r="K95" i="259" s="1"/>
  <c r="J34" i="259"/>
  <c r="J95" i="259" s="1"/>
  <c r="I34" i="259"/>
  <c r="I95" i="259" s="1"/>
  <c r="H34" i="259"/>
  <c r="H95" i="259" s="1"/>
  <c r="G34" i="259"/>
  <c r="G95" i="259" s="1"/>
  <c r="C34" i="259"/>
  <c r="B34" i="259"/>
  <c r="AH33" i="259"/>
  <c r="AG33" i="259"/>
  <c r="AF33" i="259"/>
  <c r="AI32" i="259"/>
  <c r="AC31" i="259"/>
  <c r="AC93" i="259" s="1"/>
  <c r="AB31" i="259"/>
  <c r="AB93" i="259" s="1"/>
  <c r="AA31" i="259"/>
  <c r="AA93" i="259" s="1"/>
  <c r="Z31" i="259"/>
  <c r="Z93" i="259" s="1"/>
  <c r="Y31" i="259"/>
  <c r="Y93" i="259" s="1"/>
  <c r="X31" i="259"/>
  <c r="X93" i="259" s="1"/>
  <c r="W31" i="259"/>
  <c r="W93" i="259" s="1"/>
  <c r="V31" i="259"/>
  <c r="V93" i="259" s="1"/>
  <c r="U31" i="259"/>
  <c r="U93" i="259" s="1"/>
  <c r="T31" i="259"/>
  <c r="T93" i="259" s="1"/>
  <c r="S31" i="259"/>
  <c r="S93" i="259" s="1"/>
  <c r="R31" i="259"/>
  <c r="R93" i="259" s="1"/>
  <c r="Q31" i="259"/>
  <c r="Q93" i="259" s="1"/>
  <c r="P31" i="259"/>
  <c r="P93" i="259" s="1"/>
  <c r="O31" i="259"/>
  <c r="O93" i="259" s="1"/>
  <c r="N31" i="259"/>
  <c r="N93" i="259" s="1"/>
  <c r="M31" i="259"/>
  <c r="M93" i="259" s="1"/>
  <c r="L31" i="259"/>
  <c r="L93" i="259" s="1"/>
  <c r="K31" i="259"/>
  <c r="K93" i="259" s="1"/>
  <c r="J31" i="259"/>
  <c r="J93" i="259" s="1"/>
  <c r="I31" i="259"/>
  <c r="I93" i="259" s="1"/>
  <c r="H31" i="259"/>
  <c r="H93" i="259" s="1"/>
  <c r="G31" i="259"/>
  <c r="G93" i="259" s="1"/>
  <c r="C31" i="259"/>
  <c r="B31" i="259"/>
  <c r="AI28" i="259"/>
  <c r="AH28" i="259"/>
  <c r="AG28" i="259"/>
  <c r="AF28" i="259"/>
  <c r="AH27" i="259"/>
  <c r="AG27" i="259"/>
  <c r="AF27" i="259"/>
  <c r="AI26" i="259"/>
  <c r="AC25" i="259"/>
  <c r="AB25" i="259"/>
  <c r="AA25" i="259"/>
  <c r="Z25" i="259"/>
  <c r="Y25" i="259"/>
  <c r="X25" i="259"/>
  <c r="W25" i="259"/>
  <c r="V25" i="259"/>
  <c r="U25" i="259"/>
  <c r="T25" i="259"/>
  <c r="S25" i="259"/>
  <c r="R25" i="259"/>
  <c r="Q25" i="259"/>
  <c r="P25" i="259"/>
  <c r="O25" i="259"/>
  <c r="N25" i="259"/>
  <c r="M25" i="259"/>
  <c r="L25" i="259"/>
  <c r="K25" i="259"/>
  <c r="J25" i="259"/>
  <c r="I25" i="259"/>
  <c r="H25" i="259"/>
  <c r="G25" i="259"/>
  <c r="C25" i="259"/>
  <c r="AH24" i="259"/>
  <c r="AG24" i="259"/>
  <c r="AF24" i="259"/>
  <c r="AI23" i="259"/>
  <c r="AC22" i="259"/>
  <c r="AB22" i="259"/>
  <c r="AA22" i="259"/>
  <c r="Z22" i="259"/>
  <c r="Y22" i="259"/>
  <c r="X22" i="259"/>
  <c r="W22" i="259"/>
  <c r="V22" i="259"/>
  <c r="U22" i="259"/>
  <c r="T22" i="259"/>
  <c r="S22" i="259"/>
  <c r="R22" i="259"/>
  <c r="Q22" i="259"/>
  <c r="P22" i="259"/>
  <c r="O22" i="259"/>
  <c r="N22" i="259"/>
  <c r="N89" i="259" s="1"/>
  <c r="M22" i="259"/>
  <c r="L22" i="259"/>
  <c r="K22" i="259"/>
  <c r="J22" i="259"/>
  <c r="I22" i="259"/>
  <c r="H22" i="259"/>
  <c r="G22" i="259"/>
  <c r="C22" i="259"/>
  <c r="B22" i="259"/>
  <c r="AH21" i="259"/>
  <c r="AG21" i="259"/>
  <c r="AF21" i="259"/>
  <c r="AH20" i="259"/>
  <c r="AG20" i="259"/>
  <c r="AF20" i="259"/>
  <c r="AH19" i="259"/>
  <c r="AG19" i="259"/>
  <c r="AF19" i="259"/>
  <c r="AI18" i="259"/>
  <c r="AC17" i="259"/>
  <c r="AB17" i="259"/>
  <c r="AA17" i="259"/>
  <c r="Z17" i="259"/>
  <c r="Y17" i="259"/>
  <c r="X17" i="259"/>
  <c r="X91" i="259" s="1"/>
  <c r="W17" i="259"/>
  <c r="W91" i="259" s="1"/>
  <c r="V17" i="259"/>
  <c r="V91" i="259" s="1"/>
  <c r="U17" i="259"/>
  <c r="U91" i="259" s="1"/>
  <c r="T17" i="259"/>
  <c r="T91" i="259" s="1"/>
  <c r="S17" i="259"/>
  <c r="S91" i="259" s="1"/>
  <c r="R17" i="259"/>
  <c r="R91" i="259" s="1"/>
  <c r="Q17" i="259"/>
  <c r="P17" i="259"/>
  <c r="P91" i="259" s="1"/>
  <c r="O17" i="259"/>
  <c r="O91" i="259" s="1"/>
  <c r="N17" i="259"/>
  <c r="N91" i="259" s="1"/>
  <c r="M17" i="259"/>
  <c r="L17" i="259"/>
  <c r="K17" i="259"/>
  <c r="J17" i="259"/>
  <c r="I17" i="259"/>
  <c r="H17" i="259"/>
  <c r="G17" i="259"/>
  <c r="C17" i="259"/>
  <c r="B17" i="259"/>
  <c r="AH16" i="259"/>
  <c r="AG16" i="259"/>
  <c r="AF16" i="259"/>
  <c r="AH15" i="259"/>
  <c r="AG15" i="259"/>
  <c r="AF15" i="259"/>
  <c r="AH14" i="259"/>
  <c r="AG14" i="259"/>
  <c r="AF14" i="259"/>
  <c r="AH13" i="259"/>
  <c r="AG13" i="259"/>
  <c r="AF13" i="259"/>
  <c r="AI12" i="259"/>
  <c r="M9" i="259" a="1"/>
  <c r="M9" i="259" s="1"/>
  <c r="AR4" i="259"/>
  <c r="AD173" i="260" a="1"/>
  <c r="Z30" i="260" a="1"/>
  <c r="AQ59" i="260" a="1"/>
  <c r="Z40" i="260" a="1"/>
  <c r="AZ38" i="260" a="1"/>
  <c r="BG74" i="260" a="1"/>
  <c r="AN143" i="260" a="1"/>
  <c r="BG76" i="260" a="1"/>
  <c r="AN138" i="260" a="1"/>
  <c r="BK34" i="260" a="1"/>
  <c r="Z68" i="260" a="1"/>
  <c r="Z38" i="260" a="1"/>
  <c r="G77" i="260" a="1"/>
  <c r="AH36" i="260" a="1"/>
  <c r="J63" i="260" a="1"/>
  <c r="AZ68" i="260" a="1"/>
  <c r="AH73" i="260" a="1"/>
  <c r="N150" i="260" a="1"/>
  <c r="AH53" i="260" a="1"/>
  <c r="Z168" i="260" a="1"/>
  <c r="N137" i="260" a="1"/>
  <c r="AZ143" i="260" a="1"/>
  <c r="AT27" i="260" a="1"/>
  <c r="J38" i="260" a="1"/>
  <c r="AZ163" i="260" a="1"/>
  <c r="AT17" i="260" a="1"/>
  <c r="AZ131" i="260" a="1"/>
  <c r="G40" i="260" a="1"/>
  <c r="BO30" i="260" a="1"/>
  <c r="BK138" i="260" a="1"/>
  <c r="V169" i="260" a="1"/>
  <c r="R87" i="260" a="1"/>
  <c r="J164" i="260" a="1"/>
  <c r="BG152" i="260" a="1"/>
  <c r="AT151" i="260" a="1"/>
  <c r="BO31" i="260" a="1"/>
  <c r="AQ139" i="260" a="1"/>
  <c r="N167" i="260" a="1"/>
  <c r="R58" i="260" a="1"/>
  <c r="V143" i="260" a="1"/>
  <c r="BO145" i="260" a="1"/>
  <c r="AZ144" i="260" a="1"/>
  <c r="BK165" i="260" a="1"/>
  <c r="AN30" i="260" a="1"/>
  <c r="V160" i="260" a="1"/>
  <c r="V138" i="260" a="1"/>
  <c r="Z183" i="260" a="1"/>
  <c r="Z113" i="260" a="1"/>
  <c r="BD40" i="260" a="1"/>
  <c r="BK37" i="260" a="1"/>
  <c r="BD157" i="260" a="1"/>
  <c r="AN95" i="260" a="1"/>
  <c r="BG176" i="260" a="1"/>
  <c r="AT150" i="260" a="1"/>
  <c r="BO61" i="260" a="1"/>
  <c r="BO133" i="260" a="1"/>
  <c r="AD158" i="260" a="1"/>
  <c r="AZ124" i="260" a="1"/>
  <c r="AH38" i="260" a="1"/>
  <c r="AZ60" i="260" a="1"/>
  <c r="AT53" i="260" a="1"/>
  <c r="AH124" i="260" a="1"/>
  <c r="AZ121" i="260" a="1"/>
  <c r="AD114" i="260" a="1"/>
  <c r="Z60" i="260" a="1"/>
  <c r="R119" i="260" a="1"/>
  <c r="AT22" i="260" a="1"/>
  <c r="R195" i="260" a="1"/>
  <c r="BK61" i="260" a="1"/>
  <c r="R40" i="260" a="1"/>
  <c r="AN166" i="260" a="1"/>
  <c r="AZ165" i="260" a="1"/>
  <c r="AQ56" i="260" a="1"/>
  <c r="V74" i="260" a="1"/>
  <c r="BD70" i="260" a="1"/>
  <c r="Z165" i="260" a="1"/>
  <c r="BK49" i="260" a="1"/>
  <c r="BO50" i="260" a="1"/>
  <c r="AH74" i="260" a="1"/>
  <c r="BG48" i="260" a="1"/>
  <c r="BK46" i="260" a="1"/>
  <c r="BK140" i="260" a="1"/>
  <c r="N75" i="260" a="1"/>
  <c r="AN64" i="260" a="1"/>
  <c r="AQ138" i="260" a="1"/>
  <c r="AD40" i="260" a="1"/>
  <c r="J77" i="260" a="1"/>
  <c r="Z138" i="260" a="1"/>
  <c r="BO52" i="260" a="1"/>
  <c r="AH52" i="260" a="1"/>
  <c r="AZ175" i="260" a="1"/>
  <c r="BO152" i="260" a="1"/>
  <c r="AT153" i="260" a="1"/>
  <c r="V131" i="260" a="1"/>
  <c r="R106" i="260" a="1"/>
  <c r="V149" i="260" a="1"/>
  <c r="AZ159" i="260" a="1"/>
  <c r="BD81" i="260" a="1"/>
  <c r="AH26" i="260" a="1"/>
  <c r="BO148" i="260" a="1"/>
  <c r="G50" i="260" a="1"/>
  <c r="Z58" i="260" a="1"/>
  <c r="AD50" i="260" a="1"/>
  <c r="AH135" i="260" a="1"/>
  <c r="AT26" i="260" a="1"/>
  <c r="J142" i="260" a="1"/>
  <c r="BK143" i="260" a="1"/>
  <c r="AT71" i="260" a="1"/>
  <c r="BO66" i="260" a="1"/>
  <c r="BO98" i="260" a="1"/>
  <c r="G151" i="260" a="1"/>
  <c r="BK76" i="260" a="1"/>
  <c r="N153" i="260" a="1"/>
  <c r="AD60" i="260" a="1"/>
  <c r="R130" i="260" a="1"/>
  <c r="G5" i="260" a="1"/>
  <c r="Z115" i="260" a="1"/>
  <c r="V56" i="260" a="1"/>
  <c r="V44" i="260" a="1"/>
  <c r="N140" i="260" a="1"/>
  <c r="AD67" i="260" a="1"/>
  <c r="AZ44" i="260" a="1"/>
  <c r="BG84" i="260" a="1"/>
  <c r="AH60" i="260" a="1"/>
  <c r="BO124" i="260" a="1"/>
  <c r="R33" i="260" a="1"/>
  <c r="AH122" i="260" a="1"/>
  <c r="AN173" i="260" a="1"/>
  <c r="BO39" i="260" a="1"/>
  <c r="R148" i="260" a="1"/>
  <c r="BG172" i="260" a="1"/>
  <c r="V66" i="260" a="1"/>
  <c r="N30" i="260" a="1"/>
  <c r="AT144" i="260" a="1"/>
  <c r="N33" i="260" a="1"/>
  <c r="AN136" i="260" a="1"/>
  <c r="AN52" i="260" a="1"/>
  <c r="AH77" i="260" a="1"/>
  <c r="AH41" i="260" a="1"/>
  <c r="BG190" i="260" a="1"/>
  <c r="N83" i="260" a="1"/>
  <c r="BD62" i="260" a="1"/>
  <c r="BK163" i="260" a="1"/>
  <c r="AN137" i="260" a="1"/>
  <c r="V178" i="260" a="1"/>
  <c r="BO40" i="260" a="1"/>
  <c r="AD143" i="260" a="1"/>
  <c r="AN172" i="260" a="1"/>
  <c r="AH49" i="260" a="1"/>
  <c r="AD38" i="260" a="1"/>
  <c r="N44" i="260" a="1"/>
  <c r="BG34" i="260" a="1"/>
  <c r="V35" i="260" a="1"/>
  <c r="J122" i="260" a="1"/>
  <c r="AZ83" i="260" a="1"/>
  <c r="BK60" i="260" a="1"/>
  <c r="BD141" i="260" a="1"/>
  <c r="N146" i="260" a="1"/>
  <c r="J132" i="260" a="1"/>
  <c r="V55" i="260" a="1"/>
  <c r="Z134" i="260" a="1"/>
  <c r="BG169" i="260" a="1"/>
  <c r="AT157" i="260" a="1"/>
  <c r="J40" i="260" a="1"/>
  <c r="BD71" i="260" a="1"/>
  <c r="J51" i="260" a="1"/>
  <c r="AD153" i="260" a="1"/>
  <c r="BK202" i="260" a="1"/>
  <c r="AQ80" i="260" a="1"/>
  <c r="BO149" i="260" a="1"/>
  <c r="AD56" i="260" a="1"/>
  <c r="AH46" i="260" a="1"/>
  <c r="Z98" i="260" a="1"/>
  <c r="AD183" i="260" a="1"/>
  <c r="R110" i="260" a="1"/>
  <c r="J149" i="260" a="1"/>
  <c r="BK96" i="260" a="1"/>
  <c r="AH172" i="260" a="1"/>
  <c r="J172" i="260" a="1"/>
  <c r="R146" i="260" a="1"/>
  <c r="G184" i="260" a="1"/>
  <c r="BK184" i="260" a="1"/>
  <c r="AT105" i="260" a="1"/>
  <c r="Z66" i="260" a="1"/>
  <c r="AH178" i="260" a="1"/>
  <c r="Z42" i="260" a="1"/>
  <c r="V59" i="260" a="1"/>
  <c r="AN78" i="260" a="1"/>
  <c r="AH168" i="260" a="1"/>
  <c r="BO76" i="260" a="1"/>
  <c r="J36" i="260" a="1"/>
  <c r="N71" i="260" a="1"/>
  <c r="AZ71" i="260" a="1"/>
  <c r="AZ34" i="260" a="1"/>
  <c r="V148" i="260" a="1"/>
  <c r="BK63" i="260" a="1"/>
  <c r="V152" i="260" a="1"/>
  <c r="AD132" i="260" a="1"/>
  <c r="BG160" i="260" a="1"/>
  <c r="AD53" i="260" a="1"/>
  <c r="AD175" i="260" a="1"/>
  <c r="R72" i="260" a="1"/>
  <c r="R166" i="260" a="1"/>
  <c r="BO35" i="260" a="1"/>
  <c r="AZ176" i="260" a="1"/>
  <c r="BD138" i="260" a="1"/>
  <c r="AQ144" i="260" a="1"/>
  <c r="AT74" i="260" a="1"/>
  <c r="AH174" i="260" a="1"/>
  <c r="AH90" i="260" a="1"/>
  <c r="BD85" i="260" a="1"/>
  <c r="BK36" i="260" a="1"/>
  <c r="BO58" i="260" a="1"/>
  <c r="V158" i="260" a="1"/>
  <c r="AQ69" i="260" a="1"/>
  <c r="AT51" i="260" a="1"/>
  <c r="BK176" i="260" a="1"/>
  <c r="N34" i="260" a="1"/>
  <c r="AZ55" i="260" a="1"/>
  <c r="AN148" i="260" a="1"/>
  <c r="BG49" i="260" a="1"/>
  <c r="AD138" i="260" a="1"/>
  <c r="BO41" i="260" a="1"/>
  <c r="BO47" i="260" a="1"/>
  <c r="AN131" i="260" a="1"/>
  <c r="AQ60" i="260" a="1"/>
  <c r="AT159" i="260" a="1"/>
  <c r="AZ56" i="260" a="1"/>
  <c r="AT42" i="260" a="1"/>
  <c r="N55" i="260" a="1"/>
  <c r="V147" i="260" a="1"/>
  <c r="N165" i="260" a="1"/>
  <c r="N152" i="260" a="1"/>
  <c r="AQ149" i="260" a="1"/>
  <c r="R31" i="260" a="1"/>
  <c r="AT36" i="260" a="1"/>
  <c r="AQ107" i="260" a="1"/>
  <c r="N123" i="260" a="1"/>
  <c r="BG31" i="260" a="1"/>
  <c r="BG175" i="260" a="1"/>
  <c r="AT192" i="260" a="1"/>
  <c r="AQ166" i="260" a="1"/>
  <c r="AZ102" i="260" a="1"/>
  <c r="BD60" i="260" a="1"/>
  <c r="BK127" i="260" a="1"/>
  <c r="AT99" i="260" a="1"/>
  <c r="R193" i="260" a="1"/>
  <c r="AT65" i="260" a="1"/>
  <c r="AH169" i="260" a="1"/>
  <c r="BK171" i="260" a="1"/>
  <c r="N174" i="260" a="1"/>
  <c r="G118" i="260" a="1"/>
  <c r="AN123" i="260" a="1"/>
  <c r="BO119" i="260" a="1"/>
  <c r="BD136" i="260" a="1"/>
  <c r="AN177" i="260" a="1"/>
  <c r="BK32" i="260" a="1"/>
  <c r="Z146" i="260" a="1"/>
  <c r="V75" i="260" a="1"/>
  <c r="AD131" i="260" a="1"/>
  <c r="BO164" i="260" a="1"/>
  <c r="AZ41" i="260" a="1"/>
  <c r="BO158" i="260" a="1"/>
  <c r="R68" i="260" a="1"/>
  <c r="AZ153" i="260" a="1"/>
  <c r="AD166" i="260" a="1"/>
  <c r="AT167" i="260" a="1"/>
  <c r="R136" i="260" a="1"/>
  <c r="AQ118" i="260" a="1"/>
  <c r="J159" i="260" a="1"/>
  <c r="BD69" i="260" a="1"/>
  <c r="AZ140" i="260" a="1"/>
  <c r="BK57" i="260" a="1"/>
  <c r="AQ50" i="260" a="1"/>
  <c r="AZ42" i="260" a="1"/>
  <c r="BD66" i="260" a="1"/>
  <c r="AZ142" i="260" a="1"/>
  <c r="J55" i="260" a="1"/>
  <c r="AT137" i="260" a="1"/>
  <c r="AZ66" i="260" a="1"/>
  <c r="BD148" i="260" a="1"/>
  <c r="AH160" i="260" a="1"/>
  <c r="BK75" i="260" a="1"/>
  <c r="AT21" i="260" a="1"/>
  <c r="AQ176" i="260" a="1"/>
  <c r="G98" i="260" a="1"/>
  <c r="Z174" i="260" a="1"/>
  <c r="AH119" i="260" a="1"/>
  <c r="AQ167" i="260" a="1"/>
  <c r="BK73" i="260" a="1"/>
  <c r="AN76" i="260" a="1"/>
  <c r="BD102" i="260" a="1"/>
  <c r="AT39" i="260" a="1"/>
  <c r="AH56" i="260" a="1"/>
  <c r="AZ158" i="260" a="1"/>
  <c r="G64" i="260" a="1"/>
  <c r="G45" i="260" a="1"/>
  <c r="AQ90" i="260" a="1"/>
  <c r="G170" i="260" a="1"/>
  <c r="R172" i="260" a="1"/>
  <c r="AT148" i="260" a="1"/>
  <c r="AQ49" i="260" a="1"/>
  <c r="AZ43" i="260" a="1"/>
  <c r="R51" i="260" a="1"/>
  <c r="AH170" i="260" a="1"/>
  <c r="G37" i="260" a="1"/>
  <c r="AZ151" i="260" a="1"/>
  <c r="J138" i="260" a="1"/>
  <c r="AT73" i="260" a="1"/>
  <c r="AD141" i="260" a="1"/>
  <c r="BK157" i="260" a="1"/>
  <c r="BD76" i="260" a="1"/>
  <c r="BO147" i="260" a="1"/>
  <c r="J152" i="260" a="1"/>
  <c r="Z144" i="260" a="1"/>
  <c r="AD75" i="260" a="1"/>
  <c r="J161" i="260" a="1"/>
  <c r="AN74" i="260" a="1"/>
  <c r="Z63" i="260" a="1"/>
  <c r="Z77" i="260" a="1"/>
  <c r="AQ48" i="260" a="1"/>
  <c r="AZ149" i="260" a="1"/>
  <c r="AT81" i="260" a="1"/>
  <c r="R48" i="260" a="1"/>
  <c r="BO70" i="260" a="1"/>
  <c r="G155" i="260" a="1"/>
  <c r="J135" i="260" a="1"/>
  <c r="R65" i="260" a="1"/>
  <c r="AD157" i="260" a="1"/>
  <c r="R57" i="260" a="1"/>
  <c r="AH151" i="260" a="1"/>
  <c r="AN110" i="260" a="1"/>
  <c r="AZ174" i="260" a="1"/>
  <c r="N175" i="260" a="1"/>
  <c r="N74" i="260" a="1"/>
  <c r="V41" i="260" a="1"/>
  <c r="AN77" i="260" a="1"/>
  <c r="AD144" i="260" a="1"/>
  <c r="V159" i="260" a="1"/>
  <c r="BO137" i="260" a="1"/>
  <c r="BK178" i="260" a="1"/>
  <c r="AH75" i="260" a="1"/>
  <c r="AT170" i="260" a="1"/>
  <c r="J47" i="260" a="1"/>
  <c r="BD149" i="260" a="1"/>
  <c r="BK74" i="260" a="1"/>
  <c r="R71" i="260" a="1"/>
  <c r="N125" i="260" a="1"/>
  <c r="G185" i="260" a="1"/>
  <c r="N168" i="260" a="1"/>
  <c r="R185" i="260" a="1"/>
  <c r="N195" i="260" a="1"/>
  <c r="G73" i="260" a="1"/>
  <c r="AT139" i="260" a="1"/>
  <c r="BD160" i="260" a="1"/>
  <c r="BO62" i="260" a="1"/>
  <c r="R47" i="260" a="1"/>
  <c r="R177" i="260" a="1"/>
  <c r="J158" i="260" a="1"/>
  <c r="Z142" i="260" a="1"/>
  <c r="AQ132" i="260" a="1"/>
  <c r="N37" i="260" a="1"/>
  <c r="AQ175" i="260" a="1"/>
  <c r="BK122" i="260" a="1"/>
  <c r="AH69" i="260" a="1"/>
  <c r="V166" i="260" a="1"/>
  <c r="N56" i="260" a="1"/>
  <c r="R175" i="260" a="1"/>
  <c r="AN49" i="260" a="1"/>
  <c r="BO182" i="260" a="1"/>
  <c r="J71" i="260" a="1"/>
  <c r="AN81" i="260" a="1"/>
  <c r="AZ37" i="260" a="1"/>
  <c r="AQ163" i="260" a="1"/>
  <c r="AQ143" i="260" a="1"/>
  <c r="G175" i="260" a="1"/>
  <c r="AD128" i="260" a="1"/>
  <c r="BG38" i="260" a="1"/>
  <c r="G122" i="260" a="1"/>
  <c r="BG188" i="260" a="1"/>
  <c r="G89" i="260" a="1"/>
  <c r="BK31" i="260" a="1"/>
  <c r="Z148" i="260" a="1"/>
  <c r="J74" i="260" a="1"/>
  <c r="BD49" i="260" a="1"/>
  <c r="AH138" i="260" a="1"/>
  <c r="BK151" i="260" a="1"/>
  <c r="AQ30" i="260" a="1"/>
  <c r="Z132" i="260" a="1"/>
  <c r="N177" i="260" a="1"/>
  <c r="V57" i="260" a="1"/>
  <c r="AD42" i="260" a="1"/>
  <c r="N133" i="260" a="1"/>
  <c r="V120" i="260" a="1"/>
  <c r="R77" i="260" a="1"/>
  <c r="BO157" i="260" a="1"/>
  <c r="AQ32" i="260" a="1"/>
  <c r="AQ61" i="260" a="1"/>
  <c r="BK35" i="260" a="1"/>
  <c r="AT169" i="260" a="1"/>
  <c r="BO43" i="260" a="1"/>
  <c r="Z76" i="260" a="1"/>
  <c r="AN73" i="260" a="1"/>
  <c r="R164" i="260" a="1"/>
  <c r="BK141" i="260" a="1"/>
  <c r="AQ153" i="260" a="1"/>
  <c r="J69" i="260" a="1"/>
  <c r="N192" i="260" a="1"/>
  <c r="BD172" i="260" a="1"/>
  <c r="G166" i="260" a="1"/>
  <c r="AN62" i="260" a="1"/>
  <c r="V39" i="260" a="1"/>
  <c r="AH91" i="260" a="1"/>
  <c r="BO177" i="260" a="1"/>
  <c r="AZ189" i="260" a="1"/>
  <c r="BD140" i="260" a="1"/>
  <c r="BD98" i="260" a="1"/>
  <c r="BD147" i="260" a="1"/>
  <c r="BD176" i="260" a="1"/>
  <c r="G59" i="260" a="1"/>
  <c r="BD119" i="260" a="1"/>
  <c r="J121" i="260" a="1"/>
  <c r="BG200" i="260" a="1"/>
  <c r="AQ38" i="260" a="1"/>
  <c r="AQ141" i="260" a="1"/>
  <c r="AZ169" i="260" a="1"/>
  <c r="AN39" i="260" a="1"/>
  <c r="N53" i="260" a="1"/>
  <c r="BG132" i="260" a="1"/>
  <c r="R34" i="260" a="1"/>
  <c r="R138" i="260" a="1"/>
  <c r="AN37" i="260" a="1"/>
  <c r="BD78" i="260" a="1"/>
  <c r="BD135" i="260" a="1"/>
  <c r="AQ37" i="260" a="1"/>
  <c r="BG119" i="260" a="1"/>
  <c r="AH33" i="260" a="1"/>
  <c r="N63" i="260" a="1"/>
  <c r="J130" i="260" a="1"/>
  <c r="R44" i="260" a="1"/>
  <c r="BK45" i="260" a="1"/>
  <c r="J147" i="260" a="1"/>
  <c r="AD65" i="260" a="1"/>
  <c r="V145" i="260" a="1"/>
  <c r="AH35" i="260" a="1"/>
  <c r="AQ158" i="260" a="1"/>
  <c r="G172" i="260" a="1"/>
  <c r="BD170" i="260" a="1"/>
  <c r="J141" i="260" a="1"/>
  <c r="R150" i="260" a="1"/>
  <c r="J163" i="260" a="1"/>
  <c r="AT138" i="260" a="1"/>
  <c r="J41" i="260" a="1"/>
  <c r="AZ77" i="260" a="1"/>
  <c r="Z163" i="260" a="1"/>
  <c r="BK168" i="260" a="1"/>
  <c r="BK33" i="260" a="1"/>
  <c r="BG61" i="260" a="1"/>
  <c r="V102" i="260" a="1"/>
  <c r="AH200" i="260" a="1"/>
  <c r="J57" i="260" a="1"/>
  <c r="AH78" i="260" a="1"/>
  <c r="BD53" i="260" a="1"/>
  <c r="G197" i="260" a="1"/>
  <c r="Z55" i="260" a="1"/>
  <c r="AD43" i="260" a="1"/>
  <c r="AD62" i="260" a="1"/>
  <c r="G72" i="260" a="1"/>
  <c r="AH42" i="260" a="1"/>
  <c r="AD63" i="260" a="1"/>
  <c r="AN47" i="260" a="1"/>
  <c r="R134" i="260" a="1"/>
  <c r="Z37" i="260" a="1"/>
  <c r="N59" i="260" a="1"/>
  <c r="BD168" i="260" a="1"/>
  <c r="N198" i="260" a="1"/>
  <c r="AT7" i="260" a="1"/>
  <c r="J177" i="260" a="1"/>
  <c r="AT37" i="260" a="1"/>
  <c r="AQ140" i="260" a="1"/>
  <c r="BO136" i="260" a="1"/>
  <c r="J168" i="260" a="1"/>
  <c r="J58" i="260" a="1"/>
  <c r="BO53" i="260" a="1"/>
  <c r="AT62" i="260" a="1"/>
  <c r="AT12" i="260" a="1"/>
  <c r="AH148" i="260" a="1"/>
  <c r="BO172" i="260" a="1"/>
  <c r="J174" i="260" a="1"/>
  <c r="R163" i="260" a="1"/>
  <c r="AD51" i="260" a="1"/>
  <c r="AH94" i="260" a="1"/>
  <c r="V176" i="260" a="1"/>
  <c r="AD148" i="260" a="1"/>
  <c r="Z99" i="260" a="1"/>
  <c r="Z143" i="260" a="1"/>
  <c r="AZ125" i="260" a="1"/>
  <c r="V64" i="260" a="1"/>
  <c r="BG83" i="260" a="1"/>
  <c r="N101" i="260" a="1"/>
  <c r="R85" i="260" a="1"/>
  <c r="BO159" i="260" a="1"/>
  <c r="AZ98" i="260" a="1"/>
  <c r="BO80" i="260" a="1"/>
  <c r="AZ171" i="260" a="1"/>
  <c r="AQ94" i="260" a="1"/>
  <c r="N114" i="260" a="1"/>
  <c r="G200" i="260" a="1"/>
  <c r="BO69" i="260" a="1"/>
  <c r="BG58" i="260" a="1"/>
  <c r="AD155" i="260" a="1"/>
  <c r="J131" i="260" a="1"/>
  <c r="J66" i="260" a="1"/>
  <c r="BD151" i="260" a="1"/>
  <c r="AZ135" i="260" a="1"/>
  <c r="AN170" i="260" a="1"/>
  <c r="AT61" i="260" a="1"/>
  <c r="J145" i="260" a="1"/>
  <c r="G70" i="260" a="1"/>
  <c r="BK149" i="260" a="1"/>
  <c r="BK133" i="260" a="1"/>
  <c r="AH51" i="260" a="1"/>
  <c r="AT190" i="260" a="1"/>
  <c r="AH61" i="260" a="1"/>
  <c r="AT48" i="260" a="1"/>
  <c r="AN139" i="260" a="1"/>
  <c r="BK58" i="260" a="1"/>
  <c r="BK90" i="260" a="1"/>
  <c r="V46" i="260" a="1"/>
  <c r="AZ148" i="260" a="1"/>
  <c r="BG65" i="260" a="1"/>
  <c r="BG32" i="260" a="1"/>
  <c r="J30" i="260" a="1"/>
  <c r="R169" i="260" a="1"/>
  <c r="V71" i="260" a="1"/>
  <c r="AH68" i="260" a="1"/>
  <c r="AZ67" i="260" a="1"/>
  <c r="R190" i="260" a="1"/>
  <c r="AQ43" i="260" a="1"/>
  <c r="Z52" i="260" a="1"/>
  <c r="AT68" i="260" a="1"/>
  <c r="V48" i="260" a="1"/>
  <c r="N159" i="260" a="1"/>
  <c r="AT60" i="260" a="1"/>
  <c r="AH166" i="260" a="1"/>
  <c r="AH31" i="260" a="1"/>
  <c r="J134" i="260" a="1"/>
  <c r="G34" i="260" a="1"/>
  <c r="R46" i="260" a="1"/>
  <c r="R151" i="260" a="1"/>
  <c r="G167" i="260" a="1"/>
  <c r="AT155" i="260" a="1"/>
  <c r="BD68" i="260" a="1"/>
  <c r="G132" i="260" a="1"/>
  <c r="AD39" i="260" a="1"/>
  <c r="J75" i="260" a="1"/>
  <c r="J62" i="260" a="1"/>
  <c r="AT41" i="260" a="1"/>
  <c r="AN56" i="260" a="1"/>
  <c r="Z51" i="260" a="1"/>
  <c r="BK153" i="260" a="1"/>
  <c r="R155" i="260" a="1"/>
  <c r="BD134" i="260" a="1"/>
  <c r="AD36" i="260" a="1"/>
  <c r="AZ136" i="260" a="1"/>
  <c r="AQ67" i="260" a="1"/>
  <c r="BD50" i="260" a="1"/>
  <c r="R64" i="260" a="1"/>
  <c r="V68" i="260" a="1"/>
  <c r="AQ116" i="260" a="1"/>
  <c r="V156" i="260" a="1"/>
  <c r="Z140" i="260" a="1"/>
  <c r="BO143" i="260" a="1"/>
  <c r="V65" i="260" a="1"/>
  <c r="G176" i="260" a="1"/>
  <c r="AT34" i="260" a="1"/>
  <c r="AN121" i="260" a="1"/>
  <c r="AZ172" i="260" a="1"/>
  <c r="BO74" i="260" a="1"/>
  <c r="J137" i="260" a="1"/>
  <c r="BO73" i="260" a="1"/>
  <c r="BK67" i="260" a="1"/>
  <c r="BK136" i="260" a="1"/>
  <c r="Z56" i="260" a="1"/>
  <c r="AT64" i="260" a="1"/>
  <c r="G188" i="260" a="1"/>
  <c r="G130" i="260" a="1"/>
  <c r="BK139" i="260" a="1"/>
  <c r="AH48" i="260" a="1"/>
  <c r="Z130" i="260" a="1"/>
  <c r="AD68" i="260" a="1"/>
  <c r="R141" i="260" a="1"/>
  <c r="AN51" i="260" a="1"/>
  <c r="R173" i="260" a="1"/>
  <c r="BK53" i="260" a="1"/>
  <c r="BK145" i="260" a="1"/>
  <c r="AN160" i="260" a="1"/>
  <c r="BO135" i="260" a="1"/>
  <c r="AD34" i="260" a="1"/>
  <c r="BG145" i="260" a="1"/>
  <c r="BD167" i="260" a="1"/>
  <c r="AQ185" i="260" a="1"/>
  <c r="G120" i="260" a="1"/>
  <c r="AT59" i="260" a="1"/>
  <c r="N107" i="260" a="1"/>
  <c r="N134" i="260" a="1"/>
  <c r="BD143" i="260" a="1"/>
  <c r="G67" i="260" a="1"/>
  <c r="AQ52" i="260" a="1"/>
  <c r="AH137" i="260" a="1"/>
  <c r="BD37" i="260" a="1"/>
  <c r="AN69" i="260" a="1"/>
  <c r="V173" i="260" a="1"/>
  <c r="BD35" i="260" a="1"/>
  <c r="BO100" i="260" a="1"/>
  <c r="BG174" i="260" a="1"/>
  <c r="BK43" i="260" a="1"/>
  <c r="R116" i="260" a="1"/>
  <c r="AN33" i="260" a="1"/>
  <c r="AD135" i="260" a="1"/>
  <c r="BO37" i="260" a="1"/>
  <c r="V40" i="260" a="1"/>
  <c r="N132" i="260" a="1"/>
  <c r="AN122" i="260" a="1"/>
  <c r="BO173" i="260" a="1"/>
  <c r="J192" i="260" a="1"/>
  <c r="N70" i="260" a="1"/>
  <c r="BO160" i="260" a="1"/>
  <c r="R183" i="260" a="1"/>
  <c r="BD169" i="260" a="1"/>
  <c r="AZ126" i="260" a="1"/>
  <c r="AN102" i="260" a="1"/>
  <c r="AN191" i="260" a="1"/>
  <c r="G99" i="260" a="1"/>
  <c r="BD36" i="260" a="1"/>
  <c r="AQ72" i="260" a="1"/>
  <c r="AD52" i="260" a="1"/>
  <c r="R69" i="260" a="1"/>
  <c r="AN130" i="260" a="1"/>
  <c r="BK134" i="260" a="1"/>
  <c r="G163" i="260" a="1"/>
  <c r="AT49" i="260" a="1"/>
  <c r="G33" i="260" a="1"/>
  <c r="N130" i="260" a="1"/>
  <c r="AD57" i="260" a="1"/>
  <c r="AT19" i="260" a="1"/>
  <c r="Z41" i="260" a="1"/>
  <c r="BO116" i="260" a="1"/>
  <c r="AD72" i="260" a="1"/>
  <c r="AH71" i="260" a="1"/>
  <c r="V86" i="260" a="1"/>
  <c r="Z67" i="260" a="1"/>
  <c r="G177" i="260" a="1"/>
  <c r="G66" i="260" a="1"/>
  <c r="Z44" i="260" a="1"/>
  <c r="V168" i="260" a="1"/>
  <c r="AT185" i="260" a="1"/>
  <c r="AN75" i="260" a="1"/>
  <c r="AN90" i="260" a="1"/>
  <c r="N31" i="260" a="1"/>
  <c r="V199" i="260" a="1"/>
  <c r="AD106" i="260" a="1"/>
  <c r="R114" i="260" a="1"/>
  <c r="AZ53" i="260" a="1"/>
  <c r="AQ31" i="260" a="1"/>
  <c r="G145" i="260" a="1"/>
  <c r="Z164" i="260" a="1"/>
  <c r="BD48" i="260" a="1"/>
  <c r="AQ66" i="260" a="1"/>
  <c r="BK78" i="260" a="1"/>
  <c r="Z72" i="260" a="1"/>
  <c r="J146" i="260" a="1"/>
  <c r="AN147" i="260" a="1"/>
  <c r="Z49" i="260" a="1"/>
  <c r="AD152" i="260" a="1"/>
  <c r="J88" i="260" a="1"/>
  <c r="BG131" i="260" a="1"/>
  <c r="G144" i="260" a="1"/>
  <c r="N48" i="260" a="1"/>
  <c r="BD77" i="260" a="1"/>
  <c r="BD161" i="260" a="1"/>
  <c r="BG68" i="260" a="1"/>
  <c r="N155" i="260" a="1"/>
  <c r="AD142" i="260" a="1"/>
  <c r="BK59" i="260" a="1"/>
  <c r="AD59" i="260" a="1"/>
  <c r="BD67" i="260" a="1"/>
  <c r="BK170" i="260" a="1"/>
  <c r="R165" i="260" a="1"/>
  <c r="AZ118" i="260" a="1"/>
  <c r="BO64" i="260" a="1"/>
  <c r="J169" i="260" a="1"/>
  <c r="AT14" i="260" a="1"/>
  <c r="AN40" i="260" a="1"/>
  <c r="AD31" i="260" a="1"/>
  <c r="Z173" i="260" a="1"/>
  <c r="BD173" i="260" a="1"/>
  <c r="AT83" i="260" a="1"/>
  <c r="G168" i="260" a="1"/>
  <c r="BO48" i="260" a="1"/>
  <c r="AD41" i="260" a="1"/>
  <c r="R176" i="260" a="1"/>
  <c r="G169" i="260" a="1"/>
  <c r="G153" i="260" a="1"/>
  <c r="AT135" i="260" a="1"/>
  <c r="AZ33" i="260" a="1"/>
  <c r="AT8" i="260" a="1"/>
  <c r="AT143" i="260" a="1"/>
  <c r="BO46" i="260" a="1"/>
  <c r="BO175" i="260" a="1"/>
  <c r="G152" i="260" a="1"/>
  <c r="AQ136" i="260" a="1"/>
  <c r="AZ193" i="260" a="1"/>
  <c r="J113" i="260" a="1"/>
  <c r="J68" i="260" a="1"/>
  <c r="N61" i="260" a="1"/>
  <c r="AN41" i="260" a="1"/>
  <c r="J193" i="260" a="1"/>
  <c r="AQ164" i="260" a="1"/>
  <c r="BO42" i="260" a="1"/>
  <c r="V153" i="260" a="1"/>
  <c r="BO45" i="260" a="1"/>
  <c r="R43" i="260" a="1"/>
  <c r="AD32" i="260" a="1"/>
  <c r="AN71" i="260" a="1"/>
  <c r="BO174" i="260" a="1"/>
  <c r="J136" i="260" a="1"/>
  <c r="BO101" i="260" a="1"/>
  <c r="R36" i="260" a="1"/>
  <c r="V180" i="260" a="1"/>
  <c r="BK39" i="260" a="1"/>
  <c r="G123" i="260" a="1"/>
  <c r="G138" i="260" a="1"/>
  <c r="AQ165" i="260" a="1"/>
  <c r="AD48" i="260" a="1"/>
  <c r="BK47" i="260" a="1"/>
  <c r="N58" i="260" a="1"/>
  <c r="G178" i="260" a="1"/>
  <c r="AQ40" i="260" a="1"/>
  <c r="J188" i="260" a="1"/>
  <c r="BG53" i="260" a="1"/>
  <c r="AZ198" i="260" a="1"/>
  <c r="BG164" i="260" a="1"/>
  <c r="V203" i="260" a="1"/>
  <c r="G139" i="260" a="1"/>
  <c r="AN151" i="260" a="1"/>
  <c r="AQ130" i="260" a="1"/>
  <c r="J190" i="260" a="1"/>
  <c r="AT93" i="260" a="1"/>
  <c r="V134" i="260" a="1"/>
  <c r="BO87" i="260" a="1"/>
  <c r="BD180" i="260" a="1"/>
  <c r="V91" i="260" a="1"/>
  <c r="N143" i="260" a="1"/>
  <c r="J94" i="260" a="1"/>
  <c r="AZ145" i="260" a="1"/>
  <c r="Z97" i="260" a="1"/>
  <c r="AT131" i="260" a="1"/>
  <c r="R111" i="260" a="1"/>
  <c r="Z88" i="260" a="1"/>
  <c r="G90" i="260" a="1"/>
  <c r="N160" i="260" a="1"/>
  <c r="BO68" i="260" a="1"/>
  <c r="R38" i="260" a="1"/>
  <c r="AH140" i="260" a="1"/>
  <c r="AQ34" i="260" a="1"/>
  <c r="BK175" i="260" a="1"/>
  <c r="BK188" i="260" a="1"/>
  <c r="AQ159" i="260" a="1"/>
  <c r="AQ35" i="260" a="1"/>
  <c r="BG146" i="260" a="1"/>
  <c r="AN178" i="260" a="1"/>
  <c r="AN146" i="260" a="1"/>
  <c r="J90" i="260" a="1"/>
  <c r="BO65" i="260" a="1"/>
  <c r="BK166" i="260" a="1"/>
  <c r="AT114" i="260" a="1"/>
  <c r="G53" i="260" a="1"/>
  <c r="V76" i="260" a="1"/>
  <c r="N163" i="260" a="1"/>
  <c r="G134" i="260" a="1"/>
  <c r="AQ155" i="260" a="1"/>
  <c r="AQ77" i="260" a="1"/>
  <c r="BG173" i="260" a="1"/>
  <c r="AZ141" i="260" a="1"/>
  <c r="AD151" i="260" a="1"/>
  <c r="R39" i="260" a="1"/>
  <c r="R139" i="260" a="1"/>
  <c r="AT5" i="260" a="1"/>
  <c r="AN61" i="260" a="1"/>
  <c r="AN57" i="260" a="1"/>
  <c r="BG45" i="260" a="1"/>
  <c r="AQ142" i="260" a="1"/>
  <c r="AH176" i="260" a="1"/>
  <c r="V141" i="260" a="1"/>
  <c r="AQ151" i="260" a="1"/>
  <c r="N69" i="260" a="1"/>
  <c r="AH47" i="260" a="1"/>
  <c r="BO56" i="260" a="1"/>
  <c r="AQ41" i="260" a="1"/>
  <c r="AZ62" i="260" a="1"/>
  <c r="AN134" i="260" a="1"/>
  <c r="Z61" i="260" a="1"/>
  <c r="V45" i="260" a="1"/>
  <c r="BO63" i="260" a="1"/>
  <c r="AZ138" i="260" a="1"/>
  <c r="BK55" i="260" a="1"/>
  <c r="AD108" i="260" a="1"/>
  <c r="G94" i="260" a="1"/>
  <c r="N135" i="260" a="1"/>
  <c r="BO155" i="260" a="1"/>
  <c r="AN142" i="260" a="1"/>
  <c r="BD74" i="260" a="1"/>
  <c r="N166" i="260" a="1"/>
  <c r="AT174" i="260" a="1"/>
  <c r="AN72" i="260" a="1"/>
  <c r="R70" i="260" a="1"/>
  <c r="AT52" i="260" a="1"/>
  <c r="BG168" i="260" a="1"/>
  <c r="BO60" i="260" a="1"/>
  <c r="G150" i="260" a="1"/>
  <c r="AH59" i="260" a="1"/>
  <c r="N145" i="260" a="1"/>
  <c r="AH183" i="260" a="1"/>
  <c r="AH93" i="260" a="1"/>
  <c r="R67" i="260" a="1"/>
  <c r="AH43" i="260" a="1"/>
  <c r="AZ72" i="260" a="1"/>
  <c r="G157" i="260" a="1"/>
  <c r="BD47" i="260" a="1"/>
  <c r="AT195" i="260" a="1"/>
  <c r="AN68" i="260" a="1"/>
  <c r="J65" i="260" a="1"/>
  <c r="BK169" i="260" a="1"/>
  <c r="N51" i="260" a="1"/>
  <c r="AT141" i="260" a="1"/>
  <c r="R42" i="260" a="1"/>
  <c r="BK148" i="260" a="1"/>
  <c r="AZ167" i="260" a="1"/>
  <c r="N88" i="260" a="1"/>
  <c r="N113" i="260" a="1"/>
  <c r="AH173" i="260" a="1"/>
  <c r="N64" i="260" a="1"/>
  <c r="N45" i="260" a="1"/>
  <c r="J110" i="260" a="1"/>
  <c r="AD33" i="260" a="1"/>
  <c r="BO130" i="260" a="1"/>
  <c r="R160" i="260" a="1"/>
  <c r="G137" i="260" a="1"/>
  <c r="Z39" i="260" a="1"/>
  <c r="BK125" i="260" a="1"/>
  <c r="Z47" i="260" a="1"/>
  <c r="AH115" i="260" a="1"/>
  <c r="J32" i="260" a="1"/>
  <c r="V82" i="260" a="1"/>
  <c r="BD100" i="260" a="1"/>
  <c r="BG220" i="260" a="1"/>
  <c r="Z176" i="260" a="1"/>
  <c r="BG156" i="260" a="1"/>
  <c r="G31" i="260" a="1"/>
  <c r="J37" i="260" a="1"/>
  <c r="BG163" i="260" a="1"/>
  <c r="AQ74" i="260" a="1"/>
  <c r="Z178" i="260" a="1"/>
  <c r="AZ173" i="260" a="1"/>
  <c r="BO138" i="260" a="1"/>
  <c r="BG33" i="260" a="1"/>
  <c r="BG150" i="260" a="1"/>
  <c r="BO49" i="260" a="1"/>
  <c r="AH132" i="260" a="1"/>
  <c r="R30" i="260" a="1"/>
  <c r="AN155" i="260" a="1"/>
  <c r="AH40" i="260" a="1"/>
  <c r="AZ48" i="260" a="1"/>
  <c r="AQ51" i="260" a="1"/>
  <c r="V133" i="260" a="1"/>
  <c r="AZ177" i="260" a="1"/>
  <c r="AQ68" i="260" a="1"/>
  <c r="BK44" i="260" a="1"/>
  <c r="R41" i="260" a="1"/>
  <c r="AD66" i="260" a="1"/>
  <c r="AH152" i="260" a="1"/>
  <c r="BG138" i="260" a="1"/>
  <c r="N38" i="260" a="1"/>
  <c r="AD95" i="260" a="1"/>
  <c r="BK113" i="260" a="1"/>
  <c r="R168" i="260" a="1"/>
  <c r="AD124" i="260" a="1"/>
  <c r="AT166" i="260" a="1"/>
  <c r="N189" i="260" a="1"/>
  <c r="AZ178" i="260" a="1"/>
  <c r="AZ78" i="260" a="1"/>
  <c r="V32" i="260" a="1"/>
  <c r="AT15" i="260" a="1"/>
  <c r="AH158" i="260" a="1"/>
  <c r="AH64" i="260" a="1"/>
  <c r="AD140" i="260" a="1"/>
  <c r="J53" i="260" a="1"/>
  <c r="AD172" i="260" a="1"/>
  <c r="AQ44" i="260" a="1"/>
  <c r="Z155" i="260" a="1"/>
  <c r="G76" i="260" a="1"/>
  <c r="G51" i="260" a="1"/>
  <c r="Z124" i="260" a="1"/>
  <c r="AZ63" i="260" a="1"/>
  <c r="AH145" i="260" a="1"/>
  <c r="G174" i="260" a="1"/>
  <c r="G35" i="260" a="1"/>
  <c r="J115" i="260" a="1"/>
  <c r="AZ107" i="260" a="1"/>
  <c r="N80" i="260" a="1"/>
  <c r="AD107" i="260" a="1"/>
  <c r="AZ36" i="260" a="1"/>
  <c r="G148" i="260" a="1"/>
  <c r="J61" i="260" a="1"/>
  <c r="AT96" i="260" a="1"/>
  <c r="AH58" i="260" a="1"/>
  <c r="AN195" i="260" a="1"/>
  <c r="BG199" i="260" a="1"/>
  <c r="Z43" i="260" a="1"/>
  <c r="N149" i="260" a="1"/>
  <c r="BK56" i="260" a="1"/>
  <c r="BK77" i="260" a="1"/>
  <c r="AT197" i="260" a="1"/>
  <c r="BD65" i="260" a="1"/>
  <c r="BD61" i="260" a="1"/>
  <c r="AN158" i="260" a="1"/>
  <c r="AT145" i="260" a="1"/>
  <c r="AZ156" i="260" a="1"/>
  <c r="AN48" i="260" a="1"/>
  <c r="V37" i="260" a="1"/>
  <c r="R158" i="260" a="1"/>
  <c r="V202" i="260" a="1"/>
  <c r="J178" i="260" a="1"/>
  <c r="AZ190" i="260" a="1"/>
  <c r="AT164" i="260" a="1"/>
  <c r="AT32" i="260" a="1"/>
  <c r="AN133" i="260" a="1"/>
  <c r="R145" i="260" a="1"/>
  <c r="AD102" i="260" a="1"/>
  <c r="BG39" i="260" a="1"/>
  <c r="BO105" i="260" a="1"/>
  <c r="BD115" i="260" a="1"/>
  <c r="AZ70" i="260" a="1"/>
  <c r="J92" i="260" a="1"/>
  <c r="AD112" i="260" a="1"/>
  <c r="AD205" i="260" a="1"/>
  <c r="V36" i="260" a="1"/>
  <c r="V227" i="260" a="1"/>
  <c r="AH85" i="260" a="1"/>
  <c r="BK187" i="260" a="1"/>
  <c r="BK172" i="260" a="1"/>
  <c r="G136" i="260" a="1"/>
  <c r="BG130" i="260" a="1"/>
  <c r="BO110" i="260" a="1"/>
  <c r="AT85" i="260" a="1"/>
  <c r="J189" i="260" a="1"/>
  <c r="AH118" i="260" a="1"/>
  <c r="AT142" i="260" a="1"/>
  <c r="BD182" i="260" a="1"/>
  <c r="BD57" i="260" a="1"/>
  <c r="BD214" i="260" a="1"/>
  <c r="N23" i="260" a="1"/>
  <c r="AQ196" i="260" a="1"/>
  <c r="AD146" i="260" a="1"/>
  <c r="J43" i="260" a="1"/>
  <c r="BD220" i="260" a="1"/>
  <c r="AQ150" i="260" a="1"/>
  <c r="N141" i="260" a="1"/>
  <c r="BG69" i="260" a="1"/>
  <c r="Z45" i="260" a="1"/>
  <c r="AZ99" i="260" a="1"/>
  <c r="R97" i="260" a="1"/>
  <c r="BO192" i="260" a="1"/>
  <c r="V43" i="260" a="1"/>
  <c r="R157" i="260" a="1"/>
  <c r="BD93" i="260" a="1"/>
  <c r="AT201" i="260" a="1"/>
  <c r="BO195" i="260" a="1"/>
  <c r="N92" i="260" a="1"/>
  <c r="BK128" i="260" a="1"/>
  <c r="R127" i="260" a="1"/>
  <c r="AT92" i="260" a="1"/>
  <c r="AN152" i="260" a="1"/>
  <c r="Z172" i="260" a="1"/>
  <c r="AT35" i="260" a="1"/>
  <c r="BD56" i="260" a="1"/>
  <c r="Z139" i="260" a="1"/>
  <c r="AQ148" i="260" a="1"/>
  <c r="Z87" i="260" a="1"/>
  <c r="AH165" i="260" a="1"/>
  <c r="AN106" i="260" a="1"/>
  <c r="BK16" i="260" a="1"/>
  <c r="AQ182" i="260" a="1"/>
  <c r="AT202" i="260" a="1"/>
  <c r="AN114" i="260" a="1"/>
  <c r="AD182" i="260" a="1"/>
  <c r="AQ55" i="260" a="1"/>
  <c r="Z141" i="260" a="1"/>
  <c r="V157" i="260" a="1"/>
  <c r="J199" i="260" a="1"/>
  <c r="AQ174" i="260" a="1"/>
  <c r="V184" i="260" a="1"/>
  <c r="AT102" i="260" a="1"/>
  <c r="AH123" i="260" a="1"/>
  <c r="BO180" i="260" a="1"/>
  <c r="R83" i="260" a="1"/>
  <c r="BO10" i="260" a="1"/>
  <c r="BK10" i="260" a="1"/>
  <c r="V213" i="260" a="1"/>
  <c r="AQ217" i="260" a="1"/>
  <c r="AN208" i="260" a="1"/>
  <c r="BO26" i="260" a="1"/>
  <c r="N223" i="260" a="1"/>
  <c r="AH150" i="260" a="1"/>
  <c r="BK114" i="260" a="1"/>
  <c r="AH66" i="260" a="1"/>
  <c r="BO78" i="260" a="1"/>
  <c r="AQ145" i="260" a="1"/>
  <c r="Z70" i="260" a="1"/>
  <c r="BK65" i="260" a="1"/>
  <c r="BD108" i="260" a="1"/>
  <c r="AT44" i="260" a="1"/>
  <c r="AN132" i="260" a="1"/>
  <c r="R188" i="260" a="1"/>
  <c r="AQ137" i="260" a="1"/>
  <c r="R82" i="260" a="1"/>
  <c r="BG149" i="260" a="1"/>
  <c r="R32" i="260" a="1"/>
  <c r="V62" i="260" a="1"/>
  <c r="AZ160" i="260" a="1"/>
  <c r="AQ124" i="260" a="1"/>
  <c r="R133" i="260" a="1"/>
  <c r="AQ46" i="260" a="1"/>
  <c r="AD119" i="260" a="1"/>
  <c r="AZ85" i="260" a="1"/>
  <c r="AN70" i="260" a="1"/>
  <c r="AZ155" i="260" a="1"/>
  <c r="AZ103" i="260" a="1"/>
  <c r="AD147" i="260" a="1"/>
  <c r="AN85" i="260" a="1"/>
  <c r="Z64" i="260" a="1"/>
  <c r="AN163" i="260" a="1"/>
  <c r="AZ161" i="260" a="1"/>
  <c r="V188" i="260" a="1"/>
  <c r="J123" i="260" a="1"/>
  <c r="G202" i="260" a="1"/>
  <c r="AT177" i="260" a="1"/>
  <c r="G142" i="260" a="1"/>
  <c r="BG36" i="260" a="1"/>
  <c r="AZ45" i="260" a="1"/>
  <c r="AH127" i="260" a="1"/>
  <c r="G57" i="260" a="1"/>
  <c r="AT128" i="260" a="1"/>
  <c r="R105" i="260" a="1"/>
  <c r="Z53" i="260" a="1"/>
  <c r="BG92" i="260" a="1"/>
  <c r="AD81" i="260" a="1"/>
  <c r="AQ114" i="260" a="1"/>
  <c r="AT88" i="260" a="1"/>
  <c r="AN18" i="260" a="1"/>
  <c r="AQ161" i="260" a="1"/>
  <c r="V90" i="260" a="1"/>
  <c r="BK160" i="260" a="1"/>
  <c r="BO140" i="260" a="1"/>
  <c r="BD96" i="260" a="1"/>
  <c r="Z102" i="260" a="1"/>
  <c r="Z151" i="260" a="1"/>
  <c r="BK51" i="260" a="1"/>
  <c r="V122" i="260" a="1"/>
  <c r="AD168" i="260" a="1"/>
  <c r="AD58" i="260" a="1"/>
  <c r="AT63" i="260" a="1"/>
  <c r="AT123" i="260" a="1"/>
  <c r="BG122" i="260" a="1"/>
  <c r="AH89" i="260" a="1"/>
  <c r="N200" i="260" a="1"/>
  <c r="BG126" i="260" a="1"/>
  <c r="V109" i="260" a="1"/>
  <c r="Z78" i="260" a="1"/>
  <c r="V105" i="260" a="1"/>
  <c r="BG165" i="260" a="1"/>
  <c r="G158" i="260" a="1"/>
  <c r="AQ168" i="260" a="1"/>
  <c r="BO165" i="260" a="1"/>
  <c r="R93" i="260" a="1"/>
  <c r="G71" i="260" a="1"/>
  <c r="AZ97" i="260" a="1"/>
  <c r="AD203" i="260" a="1"/>
  <c r="AT107" i="260" a="1"/>
  <c r="BG66" i="260" a="1"/>
  <c r="AN99" i="260" a="1"/>
  <c r="V165" i="260" a="1"/>
  <c r="AN111" i="260" a="1"/>
  <c r="BD32" i="260" a="1"/>
  <c r="AT50" i="260" a="1"/>
  <c r="AD177" i="260" a="1"/>
  <c r="G41" i="260" a="1"/>
  <c r="AT80" i="260" a="1"/>
  <c r="J73" i="260" a="1"/>
  <c r="AD69" i="260" a="1"/>
  <c r="N47" i="260" a="1"/>
  <c r="BG140" i="260" a="1"/>
  <c r="BK182" i="260" a="1"/>
  <c r="AQ187" i="260" a="1"/>
  <c r="AD74" i="260" a="1"/>
  <c r="BD87" i="260" a="1"/>
  <c r="BD88" i="260" a="1"/>
  <c r="AQ62" i="260" a="1"/>
  <c r="BD11" i="260" a="1"/>
  <c r="AD130" i="260" a="1"/>
  <c r="J33" i="260" a="1"/>
  <c r="V63" i="260" a="1"/>
  <c r="V53" i="260" a="1"/>
  <c r="N97" i="260" a="1"/>
  <c r="G69" i="260" a="1"/>
  <c r="BK155" i="260" a="1"/>
  <c r="AH157" i="260" a="1"/>
  <c r="AT23" i="260" a="1"/>
  <c r="AH188" i="260" a="1"/>
  <c r="AZ164" i="260" a="1"/>
  <c r="AT86" i="260" a="1"/>
  <c r="AQ53" i="260" a="1"/>
  <c r="BK123" i="260" a="1"/>
  <c r="BO203" i="260" a="1"/>
  <c r="G115" i="260" a="1"/>
  <c r="AZ47" i="260" a="1"/>
  <c r="BK98" i="260" a="1"/>
  <c r="AH39" i="260" a="1"/>
  <c r="AZ183" i="260" a="1"/>
  <c r="Z158" i="260" a="1"/>
  <c r="AQ195" i="260" a="1"/>
  <c r="BO77" i="260" a="1"/>
  <c r="AD195" i="260" a="1"/>
  <c r="AD46" i="260" a="1"/>
  <c r="Z171" i="260" a="1"/>
  <c r="Z186" i="260" a="1"/>
  <c r="AN20" i="260" a="1"/>
  <c r="BO6" i="260" a="1"/>
  <c r="Z18" i="260" a="1"/>
  <c r="J220" i="260" a="1"/>
  <c r="J223" i="260" a="1"/>
  <c r="AH50" i="260" a="1"/>
  <c r="BK109" i="260" a="1"/>
  <c r="AT122" i="260" a="1"/>
  <c r="AH202" i="260" a="1"/>
  <c r="BG75" i="260" a="1"/>
  <c r="AH139" i="260" a="1"/>
  <c r="AD159" i="260" a="1"/>
  <c r="AZ76" i="260" a="1"/>
  <c r="AQ134" i="260" a="1"/>
  <c r="AD176" i="260" a="1"/>
  <c r="AD178" i="260" a="1"/>
  <c r="Z73" i="260" a="1"/>
  <c r="AQ131" i="260" a="1"/>
  <c r="AH37" i="260" a="1"/>
  <c r="G56" i="260" a="1"/>
  <c r="V73" i="260" a="1"/>
  <c r="BG46" i="260" a="1"/>
  <c r="AQ171" i="260" a="1"/>
  <c r="AH32" i="260" a="1"/>
  <c r="BD155" i="260" a="1"/>
  <c r="BG67" i="260" a="1"/>
  <c r="R144" i="260" a="1"/>
  <c r="AN84" i="260" a="1"/>
  <c r="BO81" i="260" a="1"/>
  <c r="V162" i="260" a="1"/>
  <c r="BD193" i="260" a="1"/>
  <c r="BG41" i="260" a="1"/>
  <c r="BG170" i="260" a="1"/>
  <c r="R91" i="260" a="1"/>
  <c r="N106" i="260" a="1"/>
  <c r="AT103" i="260" a="1"/>
  <c r="AH161" i="260" a="1"/>
  <c r="AQ201" i="260" a="1"/>
  <c r="N173" i="260" a="1"/>
  <c r="R167" i="260" a="1"/>
  <c r="BK132" i="260" a="1"/>
  <c r="R137" i="260" a="1"/>
  <c r="BK95" i="260" a="1"/>
  <c r="G199" i="260" a="1"/>
  <c r="G49" i="260" a="1"/>
  <c r="AN141" i="260" a="1"/>
  <c r="AH114" i="260" a="1"/>
  <c r="R200" i="260" a="1"/>
  <c r="AD133" i="260" a="1"/>
  <c r="AH192" i="260" a="1"/>
  <c r="N39" i="260" a="1"/>
  <c r="BD122" i="260" a="1"/>
  <c r="J173" i="260" a="1"/>
  <c r="BK198" i="260" a="1"/>
  <c r="J155" i="260" a="1"/>
  <c r="AT178" i="260" a="1"/>
  <c r="N170" i="260" a="1"/>
  <c r="AT33" i="260" a="1"/>
  <c r="BK199" i="260" a="1"/>
  <c r="V198" i="260" a="1"/>
  <c r="AD117" i="260" a="1"/>
  <c r="BO88" i="260" a="1"/>
  <c r="BO86" i="260" a="1"/>
  <c r="N112" i="260" a="1"/>
  <c r="AZ116" i="260" a="1"/>
  <c r="BO226" i="260" a="1"/>
  <c r="G80" i="260" a="1"/>
  <c r="J23" i="260" a="1"/>
  <c r="AH112" i="260" a="1"/>
  <c r="AN182" i="260" a="1"/>
  <c r="N32" i="260" a="1"/>
  <c r="BK64" i="260" a="1"/>
  <c r="BO170" i="260" a="1"/>
  <c r="J114" i="260" a="1"/>
  <c r="BO5" i="260" a="1"/>
  <c r="V183" i="260" a="1"/>
  <c r="AZ64" i="260" a="1"/>
  <c r="AN168" i="260" a="1"/>
  <c r="BO90" i="260" a="1"/>
  <c r="BO15" i="260" a="1"/>
  <c r="V17" i="260" a="1"/>
  <c r="BO151" i="260" a="1"/>
  <c r="AQ181" i="260" a="1"/>
  <c r="N66" i="260" a="1"/>
  <c r="Z205" i="260" a="1"/>
  <c r="AH63" i="260" a="1"/>
  <c r="BD145" i="260" a="1"/>
  <c r="AD73" i="260" a="1"/>
  <c r="AH134" i="260" a="1"/>
  <c r="AD55" i="260" a="1"/>
  <c r="V70" i="260" a="1"/>
  <c r="BD156" i="260" a="1"/>
  <c r="J46" i="260" a="1"/>
  <c r="BG167" i="260" a="1"/>
  <c r="AN149" i="260" a="1"/>
  <c r="G61" i="260" a="1"/>
  <c r="AT125" i="260" a="1"/>
  <c r="AD47" i="260" a="1"/>
  <c r="BK162" i="260" a="1"/>
  <c r="BD59" i="260" a="1"/>
  <c r="G182" i="260" a="1"/>
  <c r="G42" i="260" a="1"/>
  <c r="G173" i="260" a="1"/>
  <c r="AZ30" i="260" a="1"/>
  <c r="AN59" i="260" a="1"/>
  <c r="G65" i="260" a="1"/>
  <c r="BK50" i="260" a="1"/>
  <c r="BO67" i="260" a="1"/>
  <c r="V140" i="260" a="1"/>
  <c r="G180" i="260" a="1"/>
  <c r="N42" i="260" a="1"/>
  <c r="BD64" i="260" a="1"/>
  <c r="BO51" i="260" a="1"/>
  <c r="N35" i="260" a="1"/>
  <c r="J80" i="260" a="1"/>
  <c r="G55" i="260" a="1"/>
  <c r="AN119" i="260" a="1"/>
  <c r="V50" i="260" a="1"/>
  <c r="AT180" i="260" a="1"/>
  <c r="AN197" i="260" a="1"/>
  <c r="AT133" i="260" a="1"/>
  <c r="AH167" i="260" a="1"/>
  <c r="N197" i="260" a="1"/>
  <c r="AN83" i="260" a="1"/>
  <c r="N93" i="260" a="1"/>
  <c r="G93" i="260" a="1"/>
  <c r="BO72" i="260" a="1"/>
  <c r="J72" i="260" a="1"/>
  <c r="N95" i="260" a="1"/>
  <c r="R189" i="260" a="1"/>
  <c r="AN210" i="260" a="1"/>
  <c r="V84" i="260" a="1"/>
  <c r="R205" i="260" a="1"/>
  <c r="AH121" i="260" a="1"/>
  <c r="G96" i="260" a="1"/>
  <c r="AT168" i="260" a="1"/>
  <c r="R78" i="260" a="1"/>
  <c r="BG56" i="260" a="1"/>
  <c r="AH101" i="260" a="1"/>
  <c r="BD38" i="260" a="1"/>
  <c r="J60" i="260" a="1"/>
  <c r="BD150" i="260" a="1"/>
  <c r="AQ76" i="260" a="1"/>
  <c r="BG40" i="260" a="1"/>
  <c r="R101" i="260" a="1"/>
  <c r="V136" i="260" a="1"/>
  <c r="V150" i="260" a="1"/>
  <c r="Z160" i="260" a="1"/>
  <c r="BD43" i="260" a="1"/>
  <c r="N190" i="260" a="1"/>
  <c r="AQ64" i="260" a="1"/>
  <c r="J133" i="260" a="1"/>
  <c r="AZ65" i="260" a="1"/>
  <c r="N148" i="260" a="1"/>
  <c r="BG135" i="260" a="1"/>
  <c r="G102" i="260" a="1"/>
  <c r="AH72" i="260" a="1"/>
  <c r="V139" i="260" a="1"/>
  <c r="BG133" i="260" a="1"/>
  <c r="AQ58" i="260" a="1"/>
  <c r="J198" i="260" a="1"/>
  <c r="BD99" i="260" a="1"/>
  <c r="AQ83" i="260" a="1"/>
  <c r="BG96" i="260" a="1"/>
  <c r="R192" i="260" a="1"/>
  <c r="N119" i="260" a="1"/>
  <c r="Z133" i="260" a="1"/>
  <c r="AQ75" i="260" a="1"/>
  <c r="AD170" i="260" a="1"/>
  <c r="R96" i="260" a="1"/>
  <c r="AQ120" i="260" a="1"/>
  <c r="BG62" i="260" a="1"/>
  <c r="BG184" i="260" a="1"/>
  <c r="BK195" i="260" a="1"/>
  <c r="AD85" i="260" a="1"/>
  <c r="AQ47" i="260" a="1"/>
  <c r="N176" i="260" a="1"/>
  <c r="Z227" i="260" a="1"/>
  <c r="AN150" i="260" a="1"/>
  <c r="BD219" i="260" a="1"/>
  <c r="BK189" i="260" a="1"/>
  <c r="AD101" i="260" a="1"/>
  <c r="AD164" i="260" a="1"/>
  <c r="BO139" i="260" a="1"/>
  <c r="AZ185" i="260" a="1"/>
  <c r="AZ184" i="260" a="1"/>
  <c r="AT45" i="260" a="1"/>
  <c r="V167" i="260" a="1"/>
  <c r="J85" i="260" a="1"/>
  <c r="Z31" i="260" a="1"/>
  <c r="BG30" i="260" a="1"/>
  <c r="AT67" i="260" a="1"/>
  <c r="AQ126" i="260" a="1"/>
  <c r="G105" i="260" a="1"/>
  <c r="AQ156" i="260" a="1"/>
  <c r="BD94" i="260" a="1"/>
  <c r="AZ127" i="260" a="1"/>
  <c r="AH45" i="260" a="1"/>
  <c r="V146" i="260" a="1"/>
  <c r="AQ178" i="260" a="1"/>
  <c r="AT6" i="260" a="1"/>
  <c r="J162" i="260" a="1"/>
  <c r="AZ57" i="260" a="1"/>
  <c r="V135" i="260" a="1"/>
  <c r="BD45" i="260" a="1"/>
  <c r="BK30" i="260" a="1"/>
  <c r="G198" i="260" a="1"/>
  <c r="AZ197" i="260" a="1"/>
  <c r="BK111" i="260" a="1"/>
  <c r="BO167" i="260" a="1"/>
  <c r="AQ203" i="260" a="1"/>
  <c r="BG195" i="260" a="1"/>
  <c r="BD195" i="260" a="1"/>
  <c r="V163" i="260" a="1"/>
  <c r="BO59" i="260" a="1"/>
  <c r="N180" i="260" a="1"/>
  <c r="AH182" i="260" a="1"/>
  <c r="AQ192" i="260" a="1"/>
  <c r="AZ32" i="260" a="1"/>
  <c r="AH141" i="260" a="1"/>
  <c r="Z36" i="260" a="1"/>
  <c r="AH199" i="260" a="1"/>
  <c r="R98" i="260" a="1"/>
  <c r="AQ91" i="260" a="1"/>
  <c r="Z185" i="260" a="1"/>
  <c r="BO185" i="260" a="1"/>
  <c r="BG64" i="260" a="1"/>
  <c r="BD92" i="260" a="1"/>
  <c r="R196" i="260" a="1"/>
  <c r="BO146" i="260" a="1"/>
  <c r="AN34" i="260" a="1"/>
  <c r="BK87" i="260" a="1"/>
  <c r="AD134" i="260" a="1"/>
  <c r="AD116" i="260" a="1"/>
  <c r="AQ45" i="260" a="1"/>
  <c r="AT78" i="260" a="1"/>
  <c r="BK48" i="260" a="1"/>
  <c r="G124" i="260" a="1"/>
  <c r="BG103" i="260" a="1"/>
  <c r="G63" i="260" a="1"/>
  <c r="J180" i="260" a="1"/>
  <c r="AT57" i="260" a="1"/>
  <c r="AD103" i="260" a="1"/>
  <c r="G165" i="260" a="1"/>
  <c r="AD118" i="260" a="1"/>
  <c r="V100" i="260" a="1"/>
  <c r="AZ93" i="260" a="1"/>
  <c r="AQ115" i="260" a="1"/>
  <c r="AQ89" i="260" a="1"/>
  <c r="AH87" i="260" a="1"/>
  <c r="AH97" i="260" a="1"/>
  <c r="AT199" i="260" a="1"/>
  <c r="G147" i="260" a="1"/>
  <c r="BG117" i="260" a="1"/>
  <c r="Z208" i="260" a="1"/>
  <c r="V177" i="260" a="1"/>
  <c r="AT205" i="260" a="1"/>
  <c r="G131" i="260" a="1"/>
  <c r="BD209" i="260" a="1"/>
  <c r="BO183" i="260" a="1"/>
  <c r="AQ220" i="260" a="1"/>
  <c r="BO188" i="260" a="1"/>
  <c r="V197" i="260" a="1"/>
  <c r="AT176" i="260" a="1"/>
  <c r="BK93" i="260" a="1"/>
  <c r="J70" i="260" a="1"/>
  <c r="AH44" i="260" a="1"/>
  <c r="N41" i="260" a="1"/>
  <c r="R59" i="260" a="1"/>
  <c r="AZ130" i="260" a="1"/>
  <c r="BO153" i="260" a="1"/>
  <c r="V144" i="260" a="1"/>
  <c r="BO169" i="260" a="1"/>
  <c r="Z135" i="260" a="1"/>
  <c r="AT46" i="260" a="1"/>
  <c r="BD52" i="260" a="1"/>
  <c r="AZ61" i="260" a="1"/>
  <c r="J151" i="260" a="1"/>
  <c r="AZ199" i="260" a="1"/>
  <c r="BO55" i="260" a="1"/>
  <c r="N99" i="260" a="1"/>
  <c r="Z177" i="260" a="1"/>
  <c r="R156" i="260" a="1"/>
  <c r="AH128" i="260" a="1"/>
  <c r="V189" i="260" a="1"/>
  <c r="G83" i="260" a="1"/>
  <c r="BD177" i="260" a="1"/>
  <c r="J144" i="260" a="1"/>
  <c r="G125" i="260" a="1"/>
  <c r="BO103" i="260" a="1"/>
  <c r="G97" i="260" a="1"/>
  <c r="BO161" i="260" a="1"/>
  <c r="AD93" i="260" a="1"/>
  <c r="G109" i="260" a="1"/>
  <c r="AQ160" i="260" a="1"/>
  <c r="N138" i="260" a="1"/>
  <c r="J34" i="260" a="1"/>
  <c r="BD175" i="260" a="1"/>
  <c r="BG202" i="260" a="1"/>
  <c r="Z169" i="260" a="1"/>
  <c r="AZ40" i="260" a="1"/>
  <c r="AT132" i="260" a="1"/>
  <c r="R113" i="260" a="1"/>
  <c r="Z153" i="260" a="1"/>
  <c r="AQ169" i="260" a="1"/>
  <c r="AN112" i="260" a="1"/>
  <c r="BO109" i="260" a="1"/>
  <c r="J191" i="260" a="1"/>
  <c r="R86" i="260" a="1"/>
  <c r="V83" i="260" a="1"/>
  <c r="Z175" i="260" a="1"/>
  <c r="V31" i="260" a="1"/>
  <c r="BD131" i="260" a="1"/>
  <c r="V69" i="260" a="1"/>
  <c r="AZ86" i="260" a="1"/>
  <c r="G108" i="260" a="1"/>
  <c r="AN193" i="260" a="1"/>
  <c r="AQ194" i="260" a="1"/>
  <c r="BK191" i="260" a="1"/>
  <c r="AT182" i="260" a="1"/>
  <c r="BO120" i="260" a="1"/>
  <c r="AQ23" i="260" a="1"/>
  <c r="AQ121" i="260" a="1"/>
  <c r="G19" i="260" a="1"/>
  <c r="V117" i="260" a="1"/>
  <c r="R149" i="260" a="1"/>
  <c r="AT149" i="260" a="1"/>
  <c r="J56" i="260" a="1"/>
  <c r="V111" i="260" a="1"/>
  <c r="G95" i="260" a="1"/>
  <c r="AZ92" i="260" a="1"/>
  <c r="BD189" i="260" a="1"/>
  <c r="AT72" i="260" a="1"/>
  <c r="J157" i="260" a="1"/>
  <c r="J170" i="260" a="1"/>
  <c r="BD202" i="260" a="1"/>
  <c r="AH22" i="260" a="1"/>
  <c r="J103" i="260" a="1"/>
  <c r="BD17" i="260" a="1"/>
  <c r="J50" i="260" a="1"/>
  <c r="AH205" i="260" a="1"/>
  <c r="BG59" i="260" a="1"/>
  <c r="AH142" i="260" a="1"/>
  <c r="V123" i="260" a="1"/>
  <c r="AQ113" i="260" a="1"/>
  <c r="J67" i="260" a="1"/>
  <c r="G48" i="260" a="1"/>
  <c r="R120" i="260" a="1"/>
  <c r="BO178" i="260" a="1"/>
  <c r="AN60" i="260" a="1"/>
  <c r="AZ58" i="260" a="1"/>
  <c r="BO71" i="260" a="1"/>
  <c r="N111" i="260" a="1"/>
  <c r="BD44" i="260" a="1"/>
  <c r="BK94" i="260" a="1"/>
  <c r="Z117" i="260" a="1"/>
  <c r="BK137" i="260" a="1"/>
  <c r="Z71" i="260" a="1"/>
  <c r="G62" i="260" a="1"/>
  <c r="G146" i="260" a="1"/>
  <c r="AD160" i="260" a="1"/>
  <c r="AD139" i="260" a="1"/>
  <c r="BG178" i="260" a="1"/>
  <c r="BD139" i="260" a="1"/>
  <c r="R75" i="260" a="1"/>
  <c r="AT97" i="260" a="1"/>
  <c r="AT56" i="260" a="1"/>
  <c r="Z152" i="260" a="1"/>
  <c r="BG94" i="260" a="1"/>
  <c r="AQ33" i="260" a="1"/>
  <c r="AT25" i="260" a="1"/>
  <c r="N158" i="260" a="1"/>
  <c r="BO142" i="260" a="1"/>
  <c r="J148" i="260" a="1"/>
  <c r="V185" i="260" a="1"/>
  <c r="BG98" i="260" a="1"/>
  <c r="AT87" i="260" a="1"/>
  <c r="AZ194" i="260" a="1"/>
  <c r="AN100" i="260" a="1"/>
  <c r="AT66" i="260" a="1"/>
  <c r="R63" i="260" a="1"/>
  <c r="R50" i="260" a="1"/>
  <c r="BK207" i="260" a="1"/>
  <c r="AH109" i="260" a="1"/>
  <c r="AQ207" i="260" a="1"/>
  <c r="AQ200" i="260" a="1"/>
  <c r="AH19" i="260" a="1"/>
  <c r="AT118" i="260" a="1"/>
  <c r="AN10" i="260" a="1"/>
  <c r="AT191" i="260" a="1"/>
  <c r="G112" i="260" a="1"/>
  <c r="V72" i="260" a="1"/>
  <c r="AH190" i="260" a="1"/>
  <c r="AN31" i="260" a="1"/>
  <c r="AH147" i="260" a="1"/>
  <c r="V47" i="260" a="1"/>
  <c r="V34" i="260" a="1"/>
  <c r="BG35" i="260" a="1"/>
  <c r="AZ95" i="260" a="1"/>
  <c r="V38" i="260" a="1"/>
  <c r="AD80" i="260" a="1"/>
  <c r="N50" i="260" a="1"/>
  <c r="AD76" i="260" a="1"/>
  <c r="Z136" i="260" a="1"/>
  <c r="N85" i="260" a="1"/>
  <c r="BO94" i="260" a="1"/>
  <c r="AZ195" i="260" a="1"/>
  <c r="G30" i="260" a="1"/>
  <c r="V142" i="260" a="1"/>
  <c r="J76" i="260" a="1"/>
  <c r="AD137" i="260" a="1"/>
  <c r="AT75" i="260" a="1"/>
  <c r="G110" i="260" a="1"/>
  <c r="AT30" i="260" a="1"/>
  <c r="AD163" i="260" a="1"/>
  <c r="BD137" i="260" a="1"/>
  <c r="BD152" i="260" a="1"/>
  <c r="G189" i="260" a="1"/>
  <c r="Z59" i="260" a="1"/>
  <c r="Z91" i="260" a="1"/>
  <c r="AN55" i="260" a="1"/>
  <c r="G101" i="260" a="1"/>
  <c r="AN140" i="260" a="1"/>
  <c r="Z74" i="260" a="1"/>
  <c r="BG72" i="260" a="1"/>
  <c r="AZ128" i="260" a="1"/>
  <c r="AQ111" i="260" a="1"/>
  <c r="AN108" i="260" a="1"/>
  <c r="AH113" i="260" a="1"/>
  <c r="R199" i="260" a="1"/>
  <c r="BD101" i="260" a="1"/>
  <c r="R45" i="260" a="1"/>
  <c r="AN180" i="260" a="1"/>
  <c r="AH181" i="260" a="1"/>
  <c r="AT38" i="260" a="1"/>
  <c r="AH20" i="260" a="1"/>
  <c r="AQ100" i="260" a="1"/>
  <c r="BO93" i="260" a="1"/>
  <c r="AZ139" i="260" a="1"/>
  <c r="BK130" i="260" a="1"/>
  <c r="AT31" i="260" a="1"/>
  <c r="AZ59" i="260" a="1"/>
  <c r="AN109" i="260" a="1"/>
  <c r="AD202" i="260" a="1"/>
  <c r="BG144" i="260" a="1"/>
  <c r="BG60" i="260" a="1"/>
  <c r="AH67" i="260" a="1"/>
  <c r="BD127" i="260" a="1"/>
  <c r="AQ197" i="260" a="1"/>
  <c r="AN125" i="260" a="1"/>
  <c r="V115" i="260" a="1"/>
  <c r="J100" i="260" a="1"/>
  <c r="Z95" i="260" a="1"/>
  <c r="BK66" i="260" a="1"/>
  <c r="N78" i="260" a="1"/>
  <c r="J31" i="260" a="1"/>
  <c r="AN44" i="260" a="1"/>
  <c r="G194" i="260" a="1"/>
  <c r="N157" i="260" a="1"/>
  <c r="R62" i="260" a="1"/>
  <c r="BG157" i="260" a="1"/>
  <c r="AD94" i="260" a="1"/>
  <c r="Z105" i="260" a="1"/>
  <c r="R194" i="260" a="1"/>
  <c r="AN92" i="260" a="1"/>
  <c r="V93" i="260" a="1"/>
  <c r="V98" i="260" a="1"/>
  <c r="Z100" i="260" a="1"/>
  <c r="AZ82" i="260" a="1"/>
  <c r="AT24" i="260" a="1"/>
  <c r="V67" i="260" a="1"/>
  <c r="BK106" i="260" a="1"/>
  <c r="AT40" i="260" a="1"/>
  <c r="V190" i="260" a="1"/>
  <c r="AH155" i="260" a="1"/>
  <c r="Z145" i="260" a="1"/>
  <c r="AT28" i="260" a="1"/>
  <c r="BK190" i="260" a="1"/>
  <c r="AN127" i="260" a="1"/>
  <c r="N169" i="260" a="1"/>
  <c r="BG78" i="260" a="1"/>
  <c r="N131" i="260" a="1"/>
  <c r="AZ49" i="260" a="1"/>
  <c r="BK91" i="260" a="1"/>
  <c r="AQ177" i="260" a="1"/>
  <c r="AD174" i="260" a="1"/>
  <c r="BG162" i="260" a="1"/>
  <c r="J81" i="260" a="1"/>
  <c r="Z35" i="260" a="1"/>
  <c r="AT82" i="260" a="1"/>
  <c r="R37" i="260" a="1"/>
  <c r="BG52" i="260" a="1"/>
  <c r="AT183" i="260" a="1"/>
  <c r="AT91" i="260" a="1"/>
  <c r="V58" i="260" a="1"/>
  <c r="AT198" i="260" a="1"/>
  <c r="BG191" i="260" a="1"/>
  <c r="BD117" i="260" a="1"/>
  <c r="J82" i="260" a="1"/>
  <c r="AQ92" i="260" a="1"/>
  <c r="BK197" i="260" a="1"/>
  <c r="AZ146" i="260" a="1"/>
  <c r="AD185" i="260" a="1"/>
  <c r="AD109" i="260" a="1"/>
  <c r="AH126" i="260" a="1"/>
  <c r="BK192" i="260" a="1"/>
  <c r="AD189" i="260" a="1"/>
  <c r="R152" i="260" a="1"/>
  <c r="V119" i="260" a="1"/>
  <c r="AD87" i="260" a="1"/>
  <c r="N12" i="260" a="1"/>
  <c r="AT101" i="260" a="1"/>
  <c r="AN220" i="260" a="1"/>
  <c r="R209" i="260" a="1"/>
  <c r="R11" i="260" a="1"/>
  <c r="BG25" i="260" a="1"/>
  <c r="J27" i="260" a="1"/>
  <c r="AH153" i="260" a="1"/>
  <c r="AT121" i="260" a="1"/>
  <c r="AH164" i="260" a="1"/>
  <c r="R66" i="260" a="1"/>
  <c r="AT47" i="260" a="1"/>
  <c r="AZ74" i="260" a="1"/>
  <c r="BK150" i="260" a="1"/>
  <c r="AT100" i="260" a="1"/>
  <c r="AN169" i="260" a="1"/>
  <c r="AN159" i="260" a="1"/>
  <c r="AN36" i="260" a="1"/>
  <c r="N139" i="260" a="1"/>
  <c r="BD41" i="260" a="1"/>
  <c r="BD174" i="260" a="1"/>
  <c r="AN66" i="260" a="1"/>
  <c r="BK142" i="260" a="1"/>
  <c r="BK174" i="260" a="1"/>
  <c r="AN161" i="260" a="1"/>
  <c r="AN65" i="260" a="1"/>
  <c r="AH159" i="260" a="1"/>
  <c r="AQ57" i="260" a="1"/>
  <c r="AN103" i="260" a="1"/>
  <c r="N142" i="260" a="1"/>
  <c r="J128" i="260" a="1"/>
  <c r="BO36" i="260" a="1"/>
  <c r="BO32" i="260" a="1"/>
  <c r="G68" i="260" a="1"/>
  <c r="N77" i="260" a="1"/>
  <c r="BD82" i="260" a="1"/>
  <c r="AT172" i="260" a="1"/>
  <c r="J156" i="260" a="1"/>
  <c r="AD45" i="260" a="1"/>
  <c r="BK185" i="260" a="1"/>
  <c r="AD44" i="260" a="1"/>
  <c r="BO75" i="260" a="1"/>
  <c r="BO34" i="260" a="1"/>
  <c r="BD133" i="260" a="1"/>
  <c r="Z127" i="260" a="1"/>
  <c r="J140" i="260" a="1"/>
  <c r="N203" i="260" a="1"/>
  <c r="BD42" i="260" a="1"/>
  <c r="AT113" i="260" a="1"/>
  <c r="AD194" i="260" a="1"/>
  <c r="BK52" i="260" a="1"/>
  <c r="BD103" i="260" a="1"/>
  <c r="AT124" i="260" a="1"/>
  <c r="BG183" i="260" a="1"/>
  <c r="BD95" i="260" a="1"/>
  <c r="G44" i="260" a="1"/>
  <c r="R142" i="260" a="1"/>
  <c r="BG151" i="260" a="1"/>
  <c r="BG137" i="260" a="1"/>
  <c r="N110" i="260" a="1"/>
  <c r="AD225" i="260" a="1"/>
  <c r="BO108" i="260" a="1"/>
  <c r="BG28" i="260" a="1"/>
  <c r="G43" i="260" a="1"/>
  <c r="AQ117" i="260" a="1"/>
  <c r="Z199" i="260" a="1"/>
  <c r="AD213" i="260" a="1"/>
  <c r="BG5" i="260" a="1"/>
  <c r="AD207" i="260" a="1"/>
  <c r="G22" i="260" a="1"/>
  <c r="N8" i="260" a="1"/>
  <c r="V137" i="260" a="1"/>
  <c r="AQ173" i="260" a="1"/>
  <c r="Z149" i="260" a="1"/>
  <c r="BK201" i="260" a="1"/>
  <c r="BD84" i="260" a="1"/>
  <c r="AN50" i="260" a="1"/>
  <c r="AZ168" i="260" a="1"/>
  <c r="J52" i="260" a="1"/>
  <c r="AQ189" i="260" a="1"/>
  <c r="AN174" i="260" a="1"/>
  <c r="G162" i="260" a="1"/>
  <c r="N10" i="260" a="1"/>
  <c r="Z94" i="260" a="1"/>
  <c r="R216" i="260" a="1"/>
  <c r="Z116" i="260" a="1"/>
  <c r="BO11" i="260" a="1"/>
  <c r="V51" i="260" a="1"/>
  <c r="BG136" i="260" a="1"/>
  <c r="N43" i="260" a="1"/>
  <c r="G159" i="260" a="1"/>
  <c r="AZ51" i="260" a="1"/>
  <c r="J45" i="260" a="1"/>
  <c r="V107" i="260" a="1"/>
  <c r="AN167" i="260" a="1"/>
  <c r="Z34" i="260" a="1"/>
  <c r="AT43" i="260" a="1"/>
  <c r="G86" i="260" a="1"/>
  <c r="BK84" i="260" a="1"/>
  <c r="AN128" i="260" a="1"/>
  <c r="AH111" i="260" a="1"/>
  <c r="BO190" i="260" a="1"/>
  <c r="BO150" i="260" a="1"/>
  <c r="G135" i="260" a="1"/>
  <c r="BD146" i="260" a="1"/>
  <c r="G46" i="260" a="1"/>
  <c r="BK40" i="260" a="1"/>
  <c r="Z167" i="260" a="1"/>
  <c r="J150" i="260" a="1"/>
  <c r="AN96" i="260" a="1"/>
  <c r="BG171" i="260" a="1"/>
  <c r="AN117" i="260" a="1"/>
  <c r="J119" i="260" a="1"/>
  <c r="Z197" i="260" a="1"/>
  <c r="R107" i="260" a="1"/>
  <c r="AN88" i="260" a="1"/>
  <c r="BO198" i="260" a="1"/>
  <c r="BO166" i="260" a="1"/>
  <c r="AT147" i="260" a="1"/>
  <c r="BK173" i="260" a="1"/>
  <c r="V225" i="260" a="1"/>
  <c r="BG147" i="260" a="1"/>
  <c r="AH171" i="260" a="1"/>
  <c r="J84" i="260" a="1"/>
  <c r="R35" i="260" a="1"/>
  <c r="J105" i="260" a="1"/>
  <c r="AQ97" i="260" a="1"/>
  <c r="V113" i="260" a="1"/>
  <c r="AN217" i="260" a="1"/>
  <c r="BK177" i="260" a="1"/>
  <c r="BD10" i="260" a="1"/>
  <c r="R112" i="260" a="1"/>
  <c r="AZ23" i="260" a="1"/>
  <c r="AH100" i="260" a="1"/>
  <c r="AZ31" i="260" a="1"/>
  <c r="AN135" i="260" a="1"/>
  <c r="AH203" i="260" a="1"/>
  <c r="AT70" i="260" a="1"/>
  <c r="N60" i="260" a="1"/>
  <c r="AQ88" i="260" a="1"/>
  <c r="R55" i="260" a="1"/>
  <c r="G78" i="260" a="1"/>
  <c r="BG153" i="260" a="1"/>
  <c r="AH62" i="260" a="1"/>
  <c r="BG105" i="260" a="1"/>
  <c r="R170" i="260" a="1"/>
  <c r="N120" i="260" a="1"/>
  <c r="AQ146" i="260" a="1"/>
  <c r="AN185" i="260" a="1"/>
  <c r="AT20" i="260" a="1"/>
  <c r="AZ222" i="260" a="1"/>
  <c r="V125" i="260" a="1"/>
  <c r="N81" i="260" a="1"/>
  <c r="N124" i="260" a="1"/>
  <c r="AD84" i="260" a="1"/>
  <c r="AZ188" i="260" a="1"/>
  <c r="G140" i="260" a="1"/>
  <c r="J200" i="260" a="1"/>
  <c r="J171" i="260" a="1"/>
  <c r="AD8" i="260" a="1"/>
  <c r="J112" i="260" a="1"/>
  <c r="BG15" i="260" a="1"/>
  <c r="AZ110" i="260" a="1"/>
  <c r="AH25" i="260" a="1"/>
  <c r="AQ162" i="260" a="1"/>
  <c r="BG158" i="260" a="1"/>
  <c r="R161" i="260" a="1"/>
  <c r="R94" i="260" a="1"/>
  <c r="AN203" i="260" a="1"/>
  <c r="BD163" i="260" a="1"/>
  <c r="Z93" i="260" a="1"/>
  <c r="AQ36" i="260" a="1"/>
  <c r="BK167" i="260" a="1"/>
  <c r="AZ122" i="260" a="1"/>
  <c r="AQ9" i="260" a="1"/>
  <c r="G186" i="260" a="1"/>
  <c r="AQ216" i="260" a="1"/>
  <c r="AH207" i="260" a="1"/>
  <c r="BG207" i="260" a="1"/>
  <c r="BO156" i="260" a="1"/>
  <c r="V18" i="260" a="1"/>
  <c r="R203" i="260" a="1"/>
  <c r="AZ111" i="260" a="1"/>
  <c r="AN184" i="260" a="1"/>
  <c r="AZ6" i="260" a="1"/>
  <c r="N126" i="260" a="1"/>
  <c r="BK85" i="260" a="1"/>
  <c r="BG177" i="260" a="1"/>
  <c r="AQ152" i="260" a="1"/>
  <c r="BK105" i="260" a="1"/>
  <c r="N16" i="260" a="1"/>
  <c r="AQ6" i="260" a="1"/>
  <c r="BK15" i="260" a="1"/>
  <c r="V103" i="260" a="1"/>
  <c r="AH24" i="260" a="1"/>
  <c r="G75" i="260" a="1"/>
  <c r="V78" i="260" a="1"/>
  <c r="BG100" i="260" a="1"/>
  <c r="BO121" i="260" a="1"/>
  <c r="AH96" i="260" a="1"/>
  <c r="AQ27" i="260" a="1"/>
  <c r="R126" i="260" a="1"/>
  <c r="N9" i="260" a="1"/>
  <c r="AN215" i="260" a="1"/>
  <c r="AD88" i="260" a="1"/>
  <c r="V81" i="260" a="1"/>
  <c r="BO18" i="260" a="1"/>
  <c r="BD191" i="260" a="1"/>
  <c r="AH15" i="260" a="1"/>
  <c r="AZ94" i="260" a="1"/>
  <c r="BG223" i="260" a="1"/>
  <c r="J182" i="260" a="1"/>
  <c r="BO22" i="260" a="1"/>
  <c r="R178" i="260" a="1"/>
  <c r="AZ108" i="260" a="1"/>
  <c r="V175" i="260" a="1"/>
  <c r="AQ85" i="260" a="1"/>
  <c r="BG63" i="260" a="1"/>
  <c r="BK38" i="260" a="1"/>
  <c r="R180" i="260" a="1"/>
  <c r="J201" i="260" a="1"/>
  <c r="BG80" i="260" a="1"/>
  <c r="J28" i="260" a="1"/>
  <c r="V121" i="260" a="1"/>
  <c r="BK21" i="260" a="1"/>
  <c r="V110" i="260" a="1"/>
  <c r="V27" i="260" a="1"/>
  <c r="AZ113" i="260" a="1"/>
  <c r="AD169" i="260" a="1"/>
  <c r="BO106" i="260" a="1"/>
  <c r="R213" i="260" a="1"/>
  <c r="J93" i="260" a="1"/>
  <c r="AN32" i="260" a="1"/>
  <c r="V9" i="260" a="1"/>
  <c r="Z62" i="260" a="1"/>
  <c r="BG108" i="260" a="1"/>
  <c r="BK226" i="260" a="1"/>
  <c r="BO107" i="260" a="1"/>
  <c r="AZ87" i="260" a="1"/>
  <c r="G217" i="260" a="1"/>
  <c r="AQ10" i="260" a="1"/>
  <c r="G13" i="260" a="1"/>
  <c r="AQ103" i="260" a="1"/>
  <c r="AQ13" i="260" a="1"/>
  <c r="AD86" i="260" a="1"/>
  <c r="R131" i="260" a="1"/>
  <c r="Z6" i="260" a="1"/>
  <c r="AD9" i="260" a="1"/>
  <c r="Z226" i="260" a="1"/>
  <c r="AQ208" i="260" a="1"/>
  <c r="AN25" i="260" a="1"/>
  <c r="N172" i="260" a="1"/>
  <c r="R10" i="260" a="1"/>
  <c r="AQ157" i="260" a="1"/>
  <c r="AD25" i="260" a="1"/>
  <c r="BD14" i="260" a="1"/>
  <c r="AH6" i="260" a="1"/>
  <c r="R92" i="260" a="1"/>
  <c r="AQ93" i="260" a="1"/>
  <c r="N19" i="260" a="1"/>
  <c r="AN199" i="260" a="1"/>
  <c r="AT217" i="260" a="1"/>
  <c r="AT130" i="260" a="1"/>
  <c r="AZ224" i="260" a="1"/>
  <c r="R207" i="260" a="1"/>
  <c r="BG185" i="260" a="1"/>
  <c r="BG187" i="260" a="1"/>
  <c r="AH16" i="260" a="1"/>
  <c r="BG106" i="260" a="1"/>
  <c r="J228" i="260" a="1"/>
  <c r="AZ109" i="260" a="1"/>
  <c r="BO218" i="260" a="1"/>
  <c r="N228" i="260" a="1"/>
  <c r="BO208" i="260" a="1"/>
  <c r="AH13" i="260" a="1"/>
  <c r="V21" i="260" a="1"/>
  <c r="G187" i="260" a="1"/>
  <c r="AH213" i="260" a="1"/>
  <c r="AQ24" i="260" a="1"/>
  <c r="BD196" i="260" a="1"/>
  <c r="AD61" i="260" a="1"/>
  <c r="BO216" i="260" a="1"/>
  <c r="BO16" i="260" a="1"/>
  <c r="BO191" i="260" a="1"/>
  <c r="BD126" i="260" a="1"/>
  <c r="BK180" i="260" a="1"/>
  <c r="BD120" i="260" a="1"/>
  <c r="V214" i="260" a="1"/>
  <c r="AN97" i="260" a="1"/>
  <c r="BO196" i="260" a="1"/>
  <c r="AD21" i="260" a="1"/>
  <c r="AZ9" i="260" a="1"/>
  <c r="AZ7" i="260" a="1"/>
  <c r="BO125" i="260" a="1"/>
  <c r="BD203" i="260" a="1"/>
  <c r="AD23" i="260" a="1"/>
  <c r="AD191" i="260" a="1"/>
  <c r="BG95" i="260" a="1"/>
  <c r="BO220" i="260" a="1"/>
  <c r="BD34" i="260" a="1"/>
  <c r="AD226" i="260" a="1"/>
  <c r="BG128" i="260" a="1"/>
  <c r="BO209" i="260" a="1"/>
  <c r="N28" i="260" a="1"/>
  <c r="AZ226" i="260" a="1"/>
  <c r="Z14" i="260" a="1"/>
  <c r="J217" i="260" a="1"/>
  <c r="N90" i="260" a="1"/>
  <c r="V30" i="260" a="1"/>
  <c r="G84" i="260" a="1"/>
  <c r="AQ133" i="260" a="1"/>
  <c r="AZ223" i="260" a="1"/>
  <c r="AQ73" i="260" a="1"/>
  <c r="G18" i="260" a="1"/>
  <c r="J117" i="260" a="1"/>
  <c r="R208" i="260" a="1"/>
  <c r="AQ5" i="260" a="1"/>
  <c r="BD228" i="260" a="1"/>
  <c r="Z219" i="260" a="1"/>
  <c r="Z196" i="260" a="1"/>
  <c r="AN222" i="260" a="1"/>
  <c r="AQ225" i="260" a="1"/>
  <c r="AT196" i="260" a="1"/>
  <c r="AH198" i="260" a="1"/>
  <c r="AT189" i="260" a="1"/>
  <c r="BO95" i="260" a="1"/>
  <c r="Z25" i="260" a="1"/>
  <c r="G126" i="260" a="1"/>
  <c r="BK214" i="260" a="1"/>
  <c r="AQ226" i="260" a="1"/>
  <c r="V194" i="260" a="1"/>
  <c r="BD218" i="260" a="1"/>
  <c r="N219" i="260" a="1"/>
  <c r="R100" i="260" a="1"/>
  <c r="BK70" i="260" a="1"/>
  <c r="Z181" i="260" a="1"/>
  <c r="R17" i="260" a="1"/>
  <c r="AT214" i="260" a="1"/>
  <c r="BK131" i="260" a="1"/>
  <c r="V106" i="260" a="1"/>
  <c r="BK164" i="260" a="1"/>
  <c r="BO57" i="260" a="1"/>
  <c r="AQ198" i="260" a="1"/>
  <c r="BD164" i="260" a="1"/>
  <c r="BG216" i="260" a="1"/>
  <c r="AN87" i="260" a="1"/>
  <c r="AD196" i="260" a="1"/>
  <c r="J176" i="260" a="1"/>
  <c r="AT10" i="260" a="1"/>
  <c r="N115" i="260" a="1"/>
  <c r="V164" i="260" a="1"/>
  <c r="BK8" i="260" a="1"/>
  <c r="BD80" i="260" a="1"/>
  <c r="BO19" i="260" a="1"/>
  <c r="Z106" i="260" a="1"/>
  <c r="AD5" i="260" a="1"/>
  <c r="J184" i="260" a="1"/>
  <c r="N213" i="260" a="1"/>
  <c r="Z83" i="260" a="1"/>
  <c r="V220" i="260" a="1"/>
  <c r="BD20" i="260" a="1"/>
  <c r="AT220" i="260" a="1"/>
  <c r="AT156" i="260" a="1"/>
  <c r="BK25" i="260" a="1"/>
  <c r="Z22" i="260" a="1"/>
  <c r="Z15" i="260" a="1"/>
  <c r="R76" i="260" a="1"/>
  <c r="R15" i="260" a="1"/>
  <c r="BD188" i="260" a="1"/>
  <c r="AT55" i="260" a="1"/>
  <c r="V49" i="260" a="1"/>
  <c r="AT158" i="260" a="1"/>
  <c r="AN183" i="260" a="1"/>
  <c r="AN145" i="260" a="1"/>
  <c r="R174" i="260" a="1"/>
  <c r="G38" i="260" a="1"/>
  <c r="AT69" i="260" a="1"/>
  <c r="V61" i="260" a="1"/>
  <c r="AD92" i="260" a="1"/>
  <c r="BG124" i="260" a="1"/>
  <c r="BD185" i="260" a="1"/>
  <c r="AQ199" i="260" a="1"/>
  <c r="AZ150" i="260" a="1"/>
  <c r="N171" i="260" a="1"/>
  <c r="J185" i="260" a="1"/>
  <c r="N199" i="260" a="1"/>
  <c r="N96" i="260" a="1"/>
  <c r="R60" i="260" a="1"/>
  <c r="AN107" i="260" a="1"/>
  <c r="BO89" i="260" a="1"/>
  <c r="AD200" i="260" a="1"/>
  <c r="Z198" i="260" a="1"/>
  <c r="J83" i="260" a="1"/>
  <c r="AZ12" i="260" a="1"/>
  <c r="AD7" i="260" a="1"/>
  <c r="AT224" i="260" a="1"/>
  <c r="AH27" i="260" a="1"/>
  <c r="BK158" i="260" a="1"/>
  <c r="AD188" i="260" a="1"/>
  <c r="AN101" i="260" a="1"/>
  <c r="N109" i="260" a="1"/>
  <c r="AT203" i="260" a="1"/>
  <c r="N136" i="260" a="1"/>
  <c r="J48" i="260" a="1"/>
  <c r="N161" i="260" a="1"/>
  <c r="AQ219" i="260" a="1"/>
  <c r="AN219" i="260" a="1"/>
  <c r="AN89" i="260" a="1"/>
  <c r="BG214" i="260" a="1"/>
  <c r="AT109" i="260" a="1"/>
  <c r="R27" i="260" a="1"/>
  <c r="AH98" i="260" a="1"/>
  <c r="BG208" i="260" a="1"/>
  <c r="AN165" i="260" a="1"/>
  <c r="BK115" i="260" a="1"/>
  <c r="AD98" i="260" a="1"/>
  <c r="BK86" i="260" a="1"/>
  <c r="V60" i="260" a="1"/>
  <c r="Z147" i="260" a="1"/>
  <c r="AH191" i="260" a="1"/>
  <c r="J153" i="260" a="1"/>
  <c r="N57" i="260" a="1"/>
  <c r="BK203" i="260" a="1"/>
  <c r="BO91" i="260" a="1"/>
  <c r="N94" i="260" a="1"/>
  <c r="BD201" i="260" a="1"/>
  <c r="N17" i="260" a="1"/>
  <c r="J183" i="260" a="1"/>
  <c r="AN153" i="260" a="1"/>
  <c r="BG43" i="260" a="1"/>
  <c r="N68" i="260" a="1"/>
  <c r="BG86" i="260" a="1"/>
  <c r="AT146" i="260" a="1"/>
  <c r="BG180" i="260" a="1"/>
  <c r="BD90" i="260" a="1"/>
  <c r="BG192" i="260" a="1"/>
  <c r="BK117" i="260" a="1"/>
  <c r="J218" i="260" a="1"/>
  <c r="AQ222" i="260" a="1"/>
  <c r="AD217" i="260" a="1"/>
  <c r="AQ214" i="260" a="1"/>
  <c r="Z220" i="260" a="1"/>
  <c r="BG13" i="260" a="1"/>
  <c r="Z28" i="260" a="1"/>
  <c r="BO184" i="260" a="1"/>
  <c r="J175" i="260" a="1"/>
  <c r="AD162" i="260" a="1"/>
  <c r="G10" i="260" a="1"/>
  <c r="AD167" i="260" a="1"/>
  <c r="BK13" i="260" a="1"/>
  <c r="Z224" i="260" a="1"/>
  <c r="AQ218" i="260" a="1"/>
  <c r="AT115" i="260" a="1"/>
  <c r="J91" i="260" a="1"/>
  <c r="BK24" i="260" a="1"/>
  <c r="BG121" i="260" a="1"/>
  <c r="R81" i="260" a="1"/>
  <c r="AT213" i="260" a="1"/>
  <c r="BK205" i="260" a="1"/>
  <c r="AD210" i="260" a="1"/>
  <c r="BO163" i="260" a="1"/>
  <c r="AQ78" i="260" a="1"/>
  <c r="G183" i="260" a="1"/>
  <c r="J124" i="260" a="1"/>
  <c r="AQ98" i="260" a="1"/>
  <c r="AN46" i="260" a="1"/>
  <c r="V92" i="260" a="1"/>
  <c r="BD125" i="260" a="1"/>
  <c r="V42" i="260" a="1"/>
  <c r="N215" i="260" a="1"/>
  <c r="G9" i="260" a="1"/>
  <c r="BG225" i="260" a="1"/>
  <c r="AH227" i="260" a="1"/>
  <c r="AZ207" i="260" a="1"/>
  <c r="AZ10" i="260" a="1"/>
  <c r="J227" i="260" a="1"/>
  <c r="J87" i="260" a="1"/>
  <c r="R25" i="260" a="1"/>
  <c r="AH21" i="260" a="1"/>
  <c r="AN9" i="260" a="1"/>
  <c r="BG23" i="260" a="1"/>
  <c r="AQ11" i="260" a="1"/>
  <c r="Z210" i="260" a="1"/>
  <c r="AD17" i="260" a="1"/>
  <c r="Z11" i="260" a="1"/>
  <c r="N121" i="260" a="1"/>
  <c r="V215" i="260" a="1"/>
  <c r="AQ19" i="260" a="1"/>
  <c r="V13" i="260" a="1"/>
  <c r="AT188" i="260" a="1"/>
  <c r="BD15" i="260" a="1"/>
  <c r="N226" i="260" a="1"/>
  <c r="AN201" i="260" a="1"/>
  <c r="G228" i="260" a="1"/>
  <c r="G113" i="260" a="1"/>
  <c r="BK7" i="260" a="1"/>
  <c r="AN23" i="260" a="1"/>
  <c r="R14" i="260" a="1"/>
  <c r="BD21" i="260" a="1"/>
  <c r="J127" i="260" a="1"/>
  <c r="AH10" i="260" a="1"/>
  <c r="AH86" i="260" a="1"/>
  <c r="AN175" i="260" a="1"/>
  <c r="R95" i="260" a="1"/>
  <c r="BK223" i="260" a="1"/>
  <c r="AH214" i="260" a="1"/>
  <c r="BD223" i="260" a="1"/>
  <c r="AD15" i="260" a="1"/>
  <c r="G24" i="260" a="1"/>
  <c r="G100" i="260" a="1"/>
  <c r="AD197" i="260" a="1"/>
  <c r="BG24" i="260" a="1"/>
  <c r="BK23" i="260" a="1"/>
  <c r="R80" i="260" a="1"/>
  <c r="R162" i="260" a="1"/>
  <c r="N144" i="260" a="1"/>
  <c r="BG142" i="260" a="1"/>
  <c r="BO210" i="260" a="1"/>
  <c r="BD91" i="260" a="1"/>
  <c r="AZ216" i="260" a="1"/>
  <c r="BO201" i="260" a="1"/>
  <c r="J207" i="260" a="1"/>
  <c r="N15" i="260" a="1"/>
  <c r="AH88" i="260" a="1"/>
  <c r="AN6" i="260" a="1"/>
  <c r="BO13" i="260" a="1"/>
  <c r="N209" i="260" a="1"/>
  <c r="J24" i="260" a="1"/>
  <c r="AT106" i="260" a="1"/>
  <c r="BO199" i="260" a="1"/>
  <c r="Z187" i="260" a="1"/>
  <c r="AZ200" i="260" a="1"/>
  <c r="BK17" i="260" a="1"/>
  <c r="R99" i="260" a="1"/>
  <c r="BD224" i="260" a="1"/>
  <c r="AN58" i="260" a="1"/>
  <c r="G156" i="260" a="1"/>
  <c r="V187" i="260" a="1"/>
  <c r="N73" i="260" a="1"/>
  <c r="AT225" i="260" a="1"/>
  <c r="BO223" i="260" a="1"/>
  <c r="AH210" i="260" a="1"/>
  <c r="BO82" i="260" a="1"/>
  <c r="R181" i="260" a="1"/>
  <c r="J106" i="260" a="1"/>
  <c r="J10" i="260" a="1"/>
  <c r="BG161" i="260" a="1"/>
  <c r="Z24" i="260" a="1"/>
  <c r="AD208" i="260" a="1"/>
  <c r="AD214" i="260" a="1"/>
  <c r="AT173" i="260" a="1"/>
  <c r="N91" i="260" a="1"/>
  <c r="R74" i="260" a="1"/>
  <c r="AT187" i="260" a="1"/>
  <c r="AZ73" i="260" a="1"/>
  <c r="AZ96" i="260" a="1"/>
  <c r="AT227" i="260" a="1"/>
  <c r="AQ123" i="260" a="1"/>
  <c r="AD100" i="260" a="1"/>
  <c r="AH117" i="260" a="1"/>
  <c r="BD86" i="260" a="1"/>
  <c r="J6" i="260" a="1"/>
  <c r="V132" i="260" a="1"/>
  <c r="R89" i="260" a="1"/>
  <c r="BD5" i="260" a="1"/>
  <c r="V186" i="260" a="1"/>
  <c r="BG196" i="260" a="1"/>
  <c r="G103" i="260" a="1"/>
  <c r="BD58" i="260" a="1"/>
  <c r="AT140" i="260" a="1"/>
  <c r="AH92" i="260" a="1"/>
  <c r="N202" i="260" a="1"/>
  <c r="J186" i="260" a="1"/>
  <c r="AZ35" i="260" a="1"/>
  <c r="AZ166" i="260" a="1"/>
  <c r="BG99" i="260" a="1"/>
  <c r="N52" i="260" a="1"/>
  <c r="AT94" i="260" a="1"/>
  <c r="R128" i="260" a="1"/>
  <c r="AN198" i="260" a="1"/>
  <c r="AZ24" i="260" a="1"/>
  <c r="AN38" i="260" a="1"/>
  <c r="N181" i="260" a="1"/>
  <c r="AT193" i="260" a="1"/>
  <c r="Z157" i="260" a="1"/>
  <c r="AT89" i="260" a="1"/>
  <c r="AT218" i="260" a="1"/>
  <c r="N18" i="260" a="1"/>
  <c r="R228" i="260" a="1"/>
  <c r="AT216" i="260" a="1"/>
  <c r="Z84" i="260" a="1"/>
  <c r="BK213" i="260" a="1"/>
  <c r="AT136" i="260" a="1"/>
  <c r="N187" i="260" a="1"/>
  <c r="AQ39" i="260" a="1"/>
  <c r="AD10" i="260" a="1"/>
  <c r="Z170" i="260" a="1"/>
  <c r="BK69" i="260" a="1"/>
  <c r="AT18" i="260" a="1"/>
  <c r="N178" i="260" a="1"/>
  <c r="BG44" i="260" a="1"/>
  <c r="G92" i="260" a="1"/>
  <c r="G39" i="260" a="1"/>
  <c r="N183" i="260" a="1"/>
  <c r="AH130" i="260" a="1"/>
  <c r="V171" i="260" a="1"/>
  <c r="BO114" i="260" a="1"/>
  <c r="J49" i="260" a="1"/>
  <c r="V112" i="260" a="1"/>
  <c r="AD123" i="260" a="1"/>
  <c r="AQ96" i="260" a="1"/>
  <c r="BD121" i="260" a="1"/>
  <c r="Z192" i="260" a="1"/>
  <c r="BK112" i="260" a="1"/>
  <c r="AH83" i="260" a="1"/>
  <c r="BK89" i="260" a="1"/>
  <c r="AH76" i="260" a="1"/>
  <c r="AH82" i="260" a="1"/>
  <c r="V88" i="260" a="1"/>
  <c r="V181" i="260" a="1"/>
  <c r="G215" i="260" a="1"/>
  <c r="N210" i="260" a="1"/>
  <c r="AZ209" i="260" a="1"/>
  <c r="BG20" i="260" a="1"/>
  <c r="BD9" i="260" a="1"/>
  <c r="BO214" i="260" a="1"/>
  <c r="AT58" i="260" a="1"/>
  <c r="BK121" i="260" a="1"/>
  <c r="R88" i="260" a="1"/>
  <c r="R102" i="260" a="1"/>
  <c r="R198" i="260" a="1"/>
  <c r="AN162" i="260" a="1"/>
  <c r="AH95" i="260" a="1"/>
  <c r="BG57" i="260" a="1"/>
  <c r="G141" i="260" a="1"/>
  <c r="BG227" i="260" a="1"/>
  <c r="G203" i="260" a="1"/>
  <c r="AH222" i="260" a="1"/>
  <c r="BD114" i="260" a="1"/>
  <c r="AT222" i="260" a="1"/>
  <c r="V97" i="260" a="1"/>
  <c r="AH133" i="260" a="1"/>
  <c r="AT13" i="260" a="1"/>
  <c r="Z194" i="260" a="1"/>
  <c r="N182" i="260" a="1"/>
  <c r="BO27" i="260" a="1"/>
  <c r="BG111" i="260" a="1"/>
  <c r="AH99" i="260" a="1"/>
  <c r="BK92" i="260" a="1"/>
  <c r="BD123" i="260" a="1"/>
  <c r="J64" i="260" a="1"/>
  <c r="AD28" i="260" a="1"/>
  <c r="J108" i="260" a="1"/>
  <c r="BO21" i="260" a="1"/>
  <c r="AD110" i="260" a="1"/>
  <c r="Z5" i="260" a="1"/>
  <c r="AD201" i="260" a="1"/>
  <c r="AN188" i="260" a="1"/>
  <c r="BD31" i="260" a="1"/>
  <c r="Z222" i="260" a="1"/>
  <c r="AH217" i="260" a="1"/>
  <c r="V23" i="260" a="1"/>
  <c r="AD220" i="260" a="1"/>
  <c r="BG11" i="260" a="1"/>
  <c r="R16" i="260" a="1"/>
  <c r="Z92" i="260" a="1"/>
  <c r="R24" i="260" a="1"/>
  <c r="BO171" i="260" a="1"/>
  <c r="G222" i="260" a="1"/>
  <c r="AZ17" i="260" a="1"/>
  <c r="G210" i="260" a="1"/>
  <c r="V151" i="260" a="1"/>
  <c r="AD222" i="260" a="1"/>
  <c r="AZ91" i="260" a="1"/>
  <c r="N164" i="260" a="1"/>
  <c r="BD128" i="260" a="1"/>
  <c r="AD77" i="260" a="1"/>
  <c r="Z202" i="260" a="1"/>
  <c r="J109" i="260" a="1"/>
  <c r="BD51" i="260" a="1"/>
  <c r="BG194" i="260" a="1"/>
  <c r="AD171" i="260" a="1"/>
  <c r="AH225" i="260" a="1"/>
  <c r="AZ5" i="260" a="1"/>
  <c r="J224" i="260" a="1"/>
  <c r="Z16" i="260" a="1"/>
  <c r="V16" i="260" a="1"/>
  <c r="AN224" i="260" a="1"/>
  <c r="Z10" i="260" a="1"/>
  <c r="J97" i="260" a="1"/>
  <c r="V174" i="260" a="1"/>
  <c r="Z123" i="260" a="1"/>
  <c r="BG197" i="260" a="1"/>
  <c r="AN113" i="260" a="1"/>
  <c r="BG70" i="260" a="1"/>
  <c r="R52" i="260" a="1"/>
  <c r="BK116" i="260" a="1"/>
  <c r="V26" i="260" a="1"/>
  <c r="AN15" i="260" a="1"/>
  <c r="BK103" i="260" a="1"/>
  <c r="AD122" i="260" a="1"/>
  <c r="BK97" i="260" a="1"/>
  <c r="AN98" i="260" a="1"/>
  <c r="AQ12" i="260" a="1"/>
  <c r="N82" i="260" a="1"/>
  <c r="Z137" i="260" a="1"/>
  <c r="BD199" i="260" a="1"/>
  <c r="AD105" i="260" a="1"/>
  <c r="G224" i="260" a="1"/>
  <c r="Z182" i="260" a="1"/>
  <c r="AH5" i="260" a="1"/>
  <c r="BO102" i="260" a="1"/>
  <c r="AN27" i="260" a="1"/>
  <c r="AD89" i="260" a="1"/>
  <c r="BO7" i="260" a="1"/>
  <c r="R222" i="260" a="1"/>
  <c r="AZ132" i="260" a="1"/>
  <c r="BK108" i="260" a="1"/>
  <c r="BD171" i="260" a="1"/>
  <c r="BK119" i="260" a="1"/>
  <c r="AQ7" i="260" a="1"/>
  <c r="BK27" i="260" a="1"/>
  <c r="AD20" i="260" a="1"/>
  <c r="BO215" i="260" a="1"/>
  <c r="AN28" i="260" a="1"/>
  <c r="Z13" i="260" a="1"/>
  <c r="N22" i="260" a="1"/>
  <c r="J187" i="260" a="1"/>
  <c r="BD13" i="260" a="1"/>
  <c r="R153" i="260" a="1"/>
  <c r="BD22" i="260" a="1"/>
  <c r="BG203" i="260" a="1"/>
  <c r="AH12" i="260" a="1"/>
  <c r="R124" i="260" a="1"/>
  <c r="BO200" i="260" a="1"/>
  <c r="AH194" i="260" a="1"/>
  <c r="N116" i="260" a="1"/>
  <c r="AN181" i="260" a="1"/>
  <c r="R26" i="260" a="1"/>
  <c r="AZ15" i="260" a="1"/>
  <c r="AZ191" i="260" a="1"/>
  <c r="BK20" i="260" a="1"/>
  <c r="Z223" i="260" a="1"/>
  <c r="AZ16" i="260" a="1"/>
  <c r="N46" i="260" a="1"/>
  <c r="V11" i="260" a="1"/>
  <c r="AN5" i="260" a="1"/>
  <c r="AN42" i="260" a="1"/>
  <c r="AN218" i="260" a="1"/>
  <c r="BD73" i="260" a="1"/>
  <c r="V218" i="260" a="1"/>
  <c r="R227" i="260" a="1"/>
  <c r="Z180" i="260" a="1"/>
  <c r="N21" i="260" a="1"/>
  <c r="G114" i="260" a="1"/>
  <c r="Z218" i="260" a="1"/>
  <c r="BK219" i="260" a="1"/>
  <c r="N151" i="260" a="1"/>
  <c r="BD181" i="260" a="1"/>
  <c r="V5" i="260" a="1"/>
  <c r="AZ106" i="260" a="1"/>
  <c r="AQ17" i="260" a="1"/>
  <c r="BK110" i="260" a="1"/>
  <c r="AZ21" i="260" a="1"/>
  <c r="BO187" i="260" a="1"/>
  <c r="BO112" i="260" a="1"/>
  <c r="N86" i="260" a="1"/>
  <c r="AH184" i="260" a="1"/>
  <c r="J181" i="260" a="1"/>
  <c r="AH7" i="260" a="1"/>
  <c r="BO9" i="260" a="1"/>
  <c r="BG89" i="260" a="1"/>
  <c r="V12" i="260" a="1"/>
  <c r="J126" i="260" a="1"/>
  <c r="R9" i="260" a="1"/>
  <c r="J202" i="260" a="1"/>
  <c r="BD207" i="260" a="1"/>
  <c r="AH224" i="260" a="1"/>
  <c r="BG71" i="260" a="1"/>
  <c r="G192" i="260" a="1"/>
  <c r="AQ228" i="260" a="1"/>
  <c r="Z156" i="260" a="1"/>
  <c r="J95" i="260" a="1"/>
  <c r="G58" i="260" a="1"/>
  <c r="BD208" i="260" a="1"/>
  <c r="AD219" i="260" a="1"/>
  <c r="BG113" i="260" a="1"/>
  <c r="AD16" i="260" a="1"/>
  <c r="AT134" i="260" a="1"/>
  <c r="BG186" i="260" a="1"/>
  <c r="N186" i="260" a="1"/>
  <c r="N227" i="260" a="1"/>
  <c r="AN228" i="260" a="1"/>
  <c r="R108" i="260" a="1"/>
  <c r="J226" i="260" a="1"/>
  <c r="V20" i="260" a="1"/>
  <c r="G149" i="260" a="1"/>
  <c r="R202" i="260" a="1"/>
  <c r="Z108" i="260" a="1"/>
  <c r="BD113" i="260" a="1"/>
  <c r="G8" i="260" a="1"/>
  <c r="BD97" i="260" a="1"/>
  <c r="BO28" i="260" a="1"/>
  <c r="AQ102" i="260" a="1"/>
  <c r="R118" i="260" a="1"/>
  <c r="AN80" i="260" a="1"/>
  <c r="BD194" i="260" a="1"/>
  <c r="V210" i="260" a="1"/>
  <c r="BD213" i="260" a="1"/>
  <c r="BO97" i="260" a="1"/>
  <c r="AH215" i="260" a="1"/>
  <c r="AT186" i="260" a="1"/>
  <c r="BD210" i="260" a="1"/>
  <c r="J13" i="260" a="1"/>
  <c r="AZ22" i="260" a="1"/>
  <c r="G11" i="260" a="1"/>
  <c r="AT76" i="260" a="1"/>
  <c r="BG10" i="260" a="1"/>
  <c r="AQ147" i="260" a="1"/>
  <c r="V8" i="260" a="1"/>
  <c r="J111" i="260" a="1"/>
  <c r="AN157" i="260" a="1"/>
  <c r="R159" i="260" a="1"/>
  <c r="AD161" i="260" a="1"/>
  <c r="Z33" i="260" a="1"/>
  <c r="BG116" i="260" a="1"/>
  <c r="AQ65" i="260" a="1"/>
  <c r="BO194" i="260" a="1"/>
  <c r="BG51" i="260" a="1"/>
  <c r="BO44" i="260" a="1"/>
  <c r="BD132" i="260" a="1"/>
  <c r="BO193" i="260" a="1"/>
  <c r="AZ75" i="260" a="1"/>
  <c r="AQ108" i="260" a="1"/>
  <c r="BD30" i="260" a="1"/>
  <c r="BD183" i="260" a="1"/>
  <c r="J44" i="260" a="1"/>
  <c r="Z114" i="260" a="1"/>
  <c r="BK88" i="260" a="1"/>
  <c r="BK42" i="260" a="1"/>
  <c r="BD197" i="260" a="1"/>
  <c r="BO17" i="260" a="1"/>
  <c r="AD218" i="260" a="1"/>
  <c r="R220" i="260" a="1"/>
  <c r="G205" i="260" a="1"/>
  <c r="BD225" i="260" a="1"/>
  <c r="AZ25" i="260" a="1"/>
  <c r="AQ15" i="260" a="1"/>
  <c r="R115" i="260" a="1"/>
  <c r="BG166" i="260" a="1"/>
  <c r="BD184" i="260" a="1"/>
  <c r="Z193" i="260" a="1"/>
  <c r="J86" i="260" a="1"/>
  <c r="Z161" i="260" a="1"/>
  <c r="AH144" i="260" a="1"/>
  <c r="AZ170" i="260" a="1"/>
  <c r="AN82" i="260" a="1"/>
  <c r="V209" i="260" a="1"/>
  <c r="AZ89" i="260" a="1"/>
  <c r="AZ217" i="260" a="1"/>
  <c r="Z17" i="260" a="1"/>
  <c r="V6" i="260" a="1"/>
  <c r="R219" i="260" a="1"/>
  <c r="R125" i="260" a="1"/>
  <c r="J42" i="260" a="1"/>
  <c r="J116" i="260" a="1"/>
  <c r="AT126" i="260" a="1"/>
  <c r="AT127" i="260" a="1"/>
  <c r="Z190" i="260" a="1"/>
  <c r="BG55" i="260" a="1"/>
  <c r="BG107" i="260" a="1"/>
  <c r="AT90" i="260" a="1"/>
  <c r="R215" i="260" a="1"/>
  <c r="N225" i="260" a="1"/>
  <c r="N24" i="260" a="1"/>
  <c r="AH219" i="260" a="1"/>
  <c r="AZ18" i="260" a="1"/>
  <c r="Z12" i="260" a="1"/>
  <c r="AH23" i="260" a="1"/>
  <c r="AH55" i="260" a="1"/>
  <c r="AD113" i="260" a="1"/>
  <c r="R109" i="260" a="1"/>
  <c r="V116" i="260" a="1"/>
  <c r="AD64" i="260" a="1"/>
  <c r="BG88" i="260" a="1"/>
  <c r="BK82" i="260" a="1"/>
  <c r="Z46" i="260" a="1"/>
  <c r="BG37" i="260" a="1"/>
  <c r="BD25" i="260" a="1"/>
  <c r="AT184" i="260" a="1"/>
  <c r="V25" i="260" a="1"/>
  <c r="N67" i="260" a="1"/>
  <c r="AD24" i="260" a="1"/>
  <c r="AQ71" i="260" a="1"/>
  <c r="AZ186" i="260" a="1"/>
  <c r="BO83" i="260" a="1"/>
  <c r="J160" i="260" a="1"/>
  <c r="AT9" i="260" a="1"/>
  <c r="AT181" i="260" a="1"/>
  <c r="AT16" i="260" a="1"/>
  <c r="Z225" i="260" a="1"/>
  <c r="AH216" i="260" a="1"/>
  <c r="AD78" i="260" a="1"/>
  <c r="AZ218" i="260" a="1"/>
  <c r="V10" i="260" a="1"/>
  <c r="Z19" i="260" a="1"/>
  <c r="AD224" i="260" a="1"/>
  <c r="AQ191" i="260" a="1"/>
  <c r="AQ190" i="260" a="1"/>
  <c r="AZ120" i="260" a="1"/>
  <c r="Z85" i="260" a="1"/>
  <c r="BD178" i="260" a="1"/>
  <c r="AT108" i="260" a="1"/>
  <c r="J118" i="260" a="1"/>
  <c r="AQ82" i="260" a="1"/>
  <c r="J39" i="260" a="1"/>
  <c r="AH30" i="260" a="1"/>
  <c r="BG73" i="260" a="1"/>
  <c r="AZ202" i="260" a="1"/>
  <c r="AQ127" i="260" a="1"/>
  <c r="BG228" i="260" a="1"/>
  <c r="Z48" i="260" a="1"/>
  <c r="G12" i="260" a="1"/>
  <c r="BD72" i="260" a="1"/>
  <c r="Z200" i="260" a="1"/>
  <c r="R56" i="260" a="1"/>
  <c r="BG125" i="260" a="1"/>
  <c r="R197" i="260" a="1"/>
  <c r="Z27" i="260" a="1"/>
  <c r="BO111" i="260" a="1"/>
  <c r="AD27" i="260" a="1"/>
  <c r="BD166" i="260" a="1"/>
  <c r="BD215" i="260" a="1"/>
  <c r="BK146" i="260" a="1"/>
  <c r="J17" i="260" a="1"/>
  <c r="AT162" i="260" a="1"/>
  <c r="BG219" i="260" a="1"/>
  <c r="AZ8" i="260" a="1"/>
  <c r="AZ215" i="260" a="1"/>
  <c r="N127" i="260" a="1"/>
  <c r="AQ193" i="260" a="1"/>
  <c r="R225" i="260" a="1"/>
  <c r="AH189" i="260" a="1"/>
  <c r="G6" i="260" a="1"/>
  <c r="BD142" i="260" a="1"/>
  <c r="BG19" i="260" a="1"/>
  <c r="AD184" i="260" a="1"/>
  <c r="BO228" i="260" a="1"/>
  <c r="G85" i="260" a="1"/>
  <c r="BD190" i="260" a="1"/>
  <c r="G195" i="260" a="1"/>
  <c r="AZ115" i="260" a="1"/>
  <c r="J5" i="260" a="1"/>
  <c r="R201" i="260" a="1"/>
  <c r="BO38" i="260" a="1"/>
  <c r="J143" i="260" a="1"/>
  <c r="AD18" i="260" a="1"/>
  <c r="BD158" i="260" a="1"/>
  <c r="J25" i="260" a="1"/>
  <c r="BD200" i="260" a="1"/>
  <c r="Z209" i="260" a="1"/>
  <c r="AH80" i="260" a="1"/>
  <c r="AZ26" i="260" a="1"/>
  <c r="G23" i="260" a="1"/>
  <c r="AH116" i="260" a="1"/>
  <c r="AZ14" i="260" a="1"/>
  <c r="BK101" i="260" a="1"/>
  <c r="BD205" i="260" a="1"/>
  <c r="AH177" i="260" a="1"/>
  <c r="R6" i="260" a="1"/>
  <c r="N128" i="260" a="1"/>
  <c r="BO168" i="260" a="1"/>
  <c r="AZ46" i="260" a="1"/>
  <c r="BK19" i="260" a="1"/>
  <c r="J14" i="260" a="1"/>
  <c r="BG16" i="260" a="1"/>
  <c r="BO99" i="260" a="1"/>
  <c r="Z215" i="260" a="1"/>
  <c r="AZ81" i="260" a="1"/>
  <c r="N191" i="260" a="1"/>
  <c r="BO12" i="260" a="1"/>
  <c r="AH195" i="260" a="1"/>
  <c r="G111" i="260" a="1"/>
  <c r="AZ100" i="260" a="1"/>
  <c r="AN189" i="260" a="1"/>
  <c r="AZ105" i="260" a="1"/>
  <c r="V124" i="260" a="1"/>
  <c r="AN225" i="260" a="1"/>
  <c r="BK222" i="260" a="1"/>
  <c r="AQ86" i="260" a="1"/>
  <c r="Z213" i="260" a="1"/>
  <c r="R23" i="260" a="1"/>
  <c r="R135" i="260" a="1"/>
  <c r="BO131" i="260" a="1"/>
  <c r="AZ208" i="260" a="1"/>
  <c r="AH223" i="260" a="1"/>
  <c r="BD55" i="260" a="1"/>
  <c r="AT207" i="260" a="1"/>
  <c r="AN45" i="260" a="1"/>
  <c r="AZ196" i="260" a="1"/>
  <c r="AQ188" i="260" a="1"/>
  <c r="R18" i="260" a="1"/>
  <c r="BG143" i="260" a="1"/>
  <c r="J225" i="260" a="1"/>
  <c r="BD222" i="260" a="1"/>
  <c r="R122" i="260" a="1"/>
  <c r="AD136" i="260" a="1"/>
  <c r="BG26" i="260" a="1"/>
  <c r="AZ187" i="260" a="1"/>
  <c r="AT223" i="260" a="1"/>
  <c r="R5" i="260" a="1"/>
  <c r="BG209" i="260" a="1"/>
  <c r="G60" i="260" a="1"/>
  <c r="AN14" i="260" a="1"/>
  <c r="AD14" i="260" a="1"/>
  <c r="BK210" i="260" a="1"/>
  <c r="N216" i="260" a="1"/>
  <c r="AH65" i="260" a="1"/>
  <c r="BO134" i="260" a="1"/>
  <c r="AN176" i="260" a="1"/>
  <c r="BD63" i="260" a="1"/>
  <c r="AQ84" i="260" a="1"/>
  <c r="AN214" i="260" a="1"/>
  <c r="R132" i="260" a="1"/>
  <c r="AT160" i="260" a="1"/>
  <c r="J196" i="260" a="1"/>
  <c r="N201" i="260" a="1"/>
  <c r="AQ28" i="260" a="1"/>
  <c r="BK159" i="260" a="1"/>
  <c r="Z96" i="260" a="1"/>
  <c r="AZ147" i="260" a="1"/>
  <c r="BK68" i="260" a="1"/>
  <c r="AH57" i="260" a="1"/>
  <c r="G82" i="260" a="1"/>
  <c r="BO118" i="260" a="1"/>
  <c r="AH14" i="260" a="1"/>
  <c r="AQ183" i="260" a="1"/>
  <c r="BG224" i="260" a="1"/>
  <c r="BO224" i="260" a="1"/>
  <c r="AD6" i="260" a="1"/>
  <c r="N103" i="260" a="1"/>
  <c r="BO127" i="260" a="1"/>
  <c r="J89" i="260" a="1"/>
  <c r="BG226" i="260" a="1"/>
  <c r="AZ220" i="260" a="1"/>
  <c r="G143" i="260" a="1"/>
  <c r="V172" i="260" a="1"/>
  <c r="AZ19" i="260" a="1"/>
  <c r="AH163" i="260" a="1"/>
  <c r="AN63" i="260" a="1"/>
  <c r="AN86" i="260" a="1"/>
  <c r="AT95" i="260" a="1"/>
  <c r="AN93" i="260" a="1"/>
  <c r="BK5" i="260" a="1"/>
  <c r="AZ134" i="260" a="1"/>
  <c r="AZ123" i="260" a="1"/>
  <c r="BD105" i="260" a="1"/>
  <c r="AD192" i="260" a="1"/>
  <c r="J101" i="260" a="1"/>
  <c r="AZ192" i="260" a="1"/>
  <c r="N87" i="260" a="1"/>
  <c r="BO126" i="260" a="1"/>
  <c r="BK107" i="260" a="1"/>
  <c r="AT208" i="260" a="1"/>
  <c r="G36" i="260" a="1"/>
  <c r="AQ81" i="260" a="1"/>
  <c r="AD115" i="260" a="1"/>
  <c r="BD89" i="260" a="1"/>
  <c r="J139" i="260" a="1"/>
  <c r="BO117" i="260" a="1"/>
  <c r="BG87" i="260" a="1"/>
  <c r="Z110" i="260" a="1"/>
  <c r="V201" i="260" a="1"/>
  <c r="BD216" i="260" a="1"/>
  <c r="AH81" i="260" a="1"/>
  <c r="AN187" i="260" a="1"/>
  <c r="BG82" i="260" a="1"/>
  <c r="AT210" i="260" a="1"/>
  <c r="J167" i="260" a="1"/>
  <c r="BG81" i="260" a="1"/>
  <c r="Z112" i="260" a="1"/>
  <c r="AD99" i="260" a="1"/>
  <c r="R73" i="260" a="1"/>
  <c r="BO92" i="260" a="1"/>
  <c r="AZ39" i="260" a="1"/>
  <c r="N65" i="260" a="1"/>
  <c r="AD209" i="260" a="1"/>
  <c r="R12" i="260" a="1"/>
  <c r="BK147" i="260" a="1"/>
  <c r="G191" i="260" a="1"/>
  <c r="BG182" i="260" a="1"/>
  <c r="G227" i="260" a="1"/>
  <c r="AZ80" i="260" a="1"/>
  <c r="BG148" i="260" a="1"/>
  <c r="AH108" i="260" a="1"/>
  <c r="BO20" i="260" a="1"/>
  <c r="AH28" i="260" a="1"/>
  <c r="V223" i="260" a="1"/>
  <c r="BK183" i="260" a="1"/>
  <c r="BO189" i="260" a="1"/>
  <c r="AQ20" i="260" a="1"/>
  <c r="AZ101" i="260" a="1"/>
  <c r="AQ209" i="260" a="1"/>
  <c r="AZ20" i="260" a="1"/>
  <c r="AT228" i="260" a="1"/>
  <c r="N220" i="260" a="1"/>
  <c r="V19" i="260" a="1"/>
  <c r="V219" i="260" a="1"/>
  <c r="J215" i="260" a="1"/>
  <c r="BD75" i="260" a="1"/>
  <c r="J165" i="260" a="1"/>
  <c r="AD70" i="260" a="1"/>
  <c r="G225" i="260" a="1"/>
  <c r="BD130" i="260" a="1"/>
  <c r="J12" i="260" a="1"/>
  <c r="AH185" i="260" a="1"/>
  <c r="AD149" i="260" a="1"/>
  <c r="AD181" i="260" a="1"/>
  <c r="AD216" i="260" a="1"/>
  <c r="AT112" i="260" a="1"/>
  <c r="AN213" i="260" a="1"/>
  <c r="BO197" i="260" a="1"/>
  <c r="AH17" i="260" a="1"/>
  <c r="AQ109" i="260" a="1"/>
  <c r="BG181" i="260" a="1"/>
  <c r="AT98" i="260" a="1"/>
  <c r="BG193" i="260" a="1"/>
  <c r="AT77" i="260" a="1"/>
  <c r="AH70" i="260" a="1"/>
  <c r="BO96" i="260" a="1"/>
  <c r="N162" i="260" a="1"/>
  <c r="AQ70" i="260" a="1"/>
  <c r="J197" i="260" a="1"/>
  <c r="AH103" i="260" a="1"/>
  <c r="R186" i="260" a="1"/>
  <c r="AD82" i="260" a="1"/>
  <c r="BD7" i="260" a="1"/>
  <c r="Z131" i="260" a="1"/>
  <c r="BD24" i="260" a="1"/>
  <c r="Z69" i="260" a="1"/>
  <c r="Z26" i="260" a="1"/>
  <c r="N40" i="260" a="1"/>
  <c r="AQ170" i="260" a="1"/>
  <c r="AZ84" i="260" a="1"/>
  <c r="AZ69" i="260" a="1"/>
  <c r="G121" i="260" a="1"/>
  <c r="BO176" i="260" a="1"/>
  <c r="Z166" i="260" a="1"/>
  <c r="V99" i="260" a="1"/>
  <c r="AZ90" i="260" a="1"/>
  <c r="AD223" i="260" a="1"/>
  <c r="AT84" i="260" a="1"/>
  <c r="AQ8" i="260" a="1"/>
  <c r="V228" i="260" a="1"/>
  <c r="V217" i="260" a="1"/>
  <c r="BK181" i="260" a="1"/>
  <c r="V226" i="260" a="1"/>
  <c r="N72" i="260" a="1"/>
  <c r="AH106" i="260" a="1"/>
  <c r="AD83" i="260" a="1"/>
  <c r="G223" i="260" a="1"/>
  <c r="BG118" i="260" a="1"/>
  <c r="AD30" i="260" a="1"/>
  <c r="BG12" i="260" a="1"/>
  <c r="BO217" i="260" a="1"/>
  <c r="BG114" i="260" a="1"/>
  <c r="J205" i="260" a="1"/>
  <c r="AD120" i="260" a="1"/>
  <c r="BG222" i="260" a="1"/>
  <c r="AT120" i="260" a="1"/>
  <c r="AT163" i="260" a="1"/>
  <c r="BG201" i="260" a="1"/>
  <c r="AH136" i="260" a="1"/>
  <c r="BO14" i="260" a="1"/>
  <c r="AN67" i="260" a="1"/>
  <c r="BK186" i="260" a="1"/>
  <c r="R103" i="260" a="1"/>
  <c r="BD162" i="260" a="1"/>
  <c r="BO23" i="260" a="1"/>
  <c r="AN21" i="260" a="1"/>
  <c r="AH9" i="260" a="1"/>
  <c r="N36" i="260" a="1"/>
  <c r="BK228" i="260" a="1"/>
  <c r="J125" i="260" a="1"/>
  <c r="Z216" i="260" a="1"/>
  <c r="R123" i="260" a="1"/>
  <c r="AH228" i="260" a="1"/>
  <c r="AH197" i="260" a="1"/>
  <c r="AN13" i="260" a="1"/>
  <c r="AN12" i="260" a="1"/>
  <c r="N205" i="260" a="1"/>
  <c r="V200" i="260" a="1"/>
  <c r="J20" i="260" a="1"/>
  <c r="V127" i="260" a="1"/>
  <c r="J59" i="260" a="1"/>
  <c r="N208" i="260" a="1"/>
  <c r="Z86" i="260" a="1"/>
  <c r="AH11" i="260" a="1"/>
  <c r="J216" i="260" a="1"/>
  <c r="N13" i="260" a="1"/>
  <c r="AZ27" i="260" a="1"/>
  <c r="Z207" i="260" a="1"/>
  <c r="BK18" i="260" a="1"/>
  <c r="AZ52" i="260" a="1"/>
  <c r="BG21" i="260" a="1"/>
  <c r="BO186" i="260" a="1"/>
  <c r="N76" i="260" a="1"/>
  <c r="N117" i="260" a="1"/>
  <c r="AQ202" i="260" a="1"/>
  <c r="AT110" i="260" a="1"/>
  <c r="AN22" i="260" a="1"/>
  <c r="BG6" i="260" a="1"/>
  <c r="R226" i="260" a="1"/>
  <c r="BD227" i="260" a="1"/>
  <c r="AN227" i="260" a="1"/>
  <c r="AQ215" i="260" a="1"/>
  <c r="N5" i="260" a="1"/>
  <c r="R187" i="260" a="1"/>
  <c r="N14" i="260" a="1"/>
  <c r="BO219" i="260" a="1"/>
  <c r="BD46" i="260" a="1"/>
  <c r="AZ28" i="260" a="1"/>
  <c r="BK124" i="260" a="1"/>
  <c r="Z122" i="260" a="1"/>
  <c r="R7" i="260" a="1"/>
  <c r="AH110" i="260" a="1"/>
  <c r="BG213" i="260" a="1"/>
  <c r="Z80" i="260" a="1"/>
  <c r="AQ14" i="260" a="1"/>
  <c r="AZ219" i="260" a="1"/>
  <c r="Z191" i="260" a="1"/>
  <c r="AN209" i="260" a="1"/>
  <c r="V130" i="260" a="1"/>
  <c r="J15" i="260" a="1"/>
  <c r="Z21" i="260" a="1"/>
  <c r="AN105" i="260" a="1"/>
  <c r="Z90" i="260" a="1"/>
  <c r="AN216" i="260" a="1"/>
  <c r="AZ225" i="260" a="1"/>
  <c r="BO225" i="260" a="1"/>
  <c r="AN205" i="260" a="1"/>
  <c r="AN8" i="260" a="1"/>
  <c r="AN190" i="260" a="1"/>
  <c r="BO207" i="260" a="1"/>
  <c r="V80" i="260" a="1"/>
  <c r="G20" i="260" a="1"/>
  <c r="BO222" i="260" a="1"/>
  <c r="BO227" i="260" a="1"/>
  <c r="AZ205" i="260" a="1"/>
  <c r="R184" i="260" a="1"/>
  <c r="Z111" i="260" a="1"/>
  <c r="AN194" i="260" a="1"/>
  <c r="V191" i="260" a="1"/>
  <c r="N184" i="260" a="1"/>
  <c r="Z201" i="260" a="1"/>
  <c r="G27" i="260" a="1"/>
  <c r="AQ87" i="260" a="1"/>
  <c r="J166" i="260" a="1"/>
  <c r="J21" i="260" a="1"/>
  <c r="BG97" i="260" a="1"/>
  <c r="G128" i="260" a="1"/>
  <c r="N147" i="260" a="1"/>
  <c r="BK102" i="260" a="1"/>
  <c r="AZ112" i="260" a="1"/>
  <c r="Z128" i="260" a="1"/>
  <c r="BG120" i="260" a="1"/>
  <c r="BK216" i="260" a="1"/>
  <c r="R224" i="260" a="1"/>
  <c r="Z109" i="260" a="1"/>
  <c r="AN226" i="260" a="1"/>
  <c r="AH105" i="260" a="1"/>
  <c r="R8" i="260" a="1"/>
  <c r="BK227" i="260" a="1"/>
  <c r="G17" i="260" a="1"/>
  <c r="AD12" i="260" a="1"/>
  <c r="V114" i="260" a="1"/>
  <c r="R214" i="260" a="1"/>
  <c r="AQ95" i="260" a="1"/>
  <c r="AD97" i="260" a="1"/>
  <c r="BD165" i="260" a="1"/>
  <c r="AH149" i="260" a="1"/>
  <c r="AD49" i="260" a="1"/>
  <c r="Z150" i="260" a="1"/>
  <c r="V193" i="260" a="1"/>
  <c r="J213" i="260" a="1"/>
  <c r="R61" i="260" a="1"/>
  <c r="AD96" i="260" a="1"/>
  <c r="Z50" i="260" a="1"/>
  <c r="BD39" i="260" a="1"/>
  <c r="AD150" i="260" a="1"/>
  <c r="G52" i="260" a="1"/>
  <c r="BK135" i="260" a="1"/>
  <c r="AD198" i="260" a="1"/>
  <c r="N188" i="260" a="1"/>
  <c r="R210" i="260" a="1"/>
  <c r="BD106" i="260" a="1"/>
  <c r="BD118" i="260" a="1"/>
  <c r="V96" i="260" a="1"/>
  <c r="BO202" i="260" a="1"/>
  <c r="AZ201" i="260" a="1"/>
  <c r="BG91" i="260" a="1"/>
  <c r="AZ162" i="260" a="1"/>
  <c r="AZ13" i="260" a="1"/>
  <c r="BK41" i="260" a="1"/>
  <c r="G226" i="260" a="1"/>
  <c r="BK100" i="260" a="1"/>
  <c r="BK220" i="260" a="1"/>
  <c r="Z103" i="260" a="1"/>
  <c r="AT165" i="260" a="1"/>
  <c r="G161" i="260" a="1"/>
  <c r="AD156" i="260" a="1"/>
  <c r="BK194" i="260" a="1"/>
  <c r="R182" i="260" a="1"/>
  <c r="V108" i="260" a="1"/>
  <c r="Z118" i="260" a="1"/>
  <c r="BD112" i="260" a="1"/>
  <c r="BG85" i="260" a="1"/>
  <c r="G88" i="260" a="1"/>
  <c r="AH187" i="260" a="1"/>
  <c r="AH180" i="260" a="1"/>
  <c r="AQ26" i="260" a="1"/>
  <c r="Z162" i="260" a="1"/>
  <c r="BD26" i="260" a="1"/>
  <c r="BG189" i="260" a="1"/>
  <c r="AQ172" i="260" a="1"/>
  <c r="N193" i="260" a="1"/>
  <c r="BD111" i="260" a="1"/>
  <c r="AZ182" i="260" a="1"/>
  <c r="AZ152" i="260" a="1"/>
  <c r="BD107" i="260" a="1"/>
  <c r="AQ42" i="260" a="1"/>
  <c r="BO141" i="260" a="1"/>
  <c r="BK83" i="260" a="1"/>
  <c r="J7" i="260" a="1"/>
  <c r="J8" i="260" a="1"/>
  <c r="N214" i="260" a="1"/>
  <c r="BG102" i="260" a="1"/>
  <c r="V216" i="260" a="1"/>
  <c r="AH84" i="260" a="1"/>
  <c r="G219" i="260" a="1"/>
  <c r="J35" i="260" a="1"/>
  <c r="AT111" i="260" a="1"/>
  <c r="Z120" i="260" a="1"/>
  <c r="AT119" i="260" a="1"/>
  <c r="BG112" i="260" a="1"/>
  <c r="G117" i="260" a="1"/>
  <c r="AQ135" i="260" a="1"/>
  <c r="BD33" i="260" a="1"/>
  <c r="AQ112" i="260" a="1"/>
  <c r="V7" i="260" a="1"/>
  <c r="BG198" i="260" a="1"/>
  <c r="BK217" i="260" a="1"/>
  <c r="BG218" i="260" a="1"/>
  <c r="G107" i="260" a="1"/>
  <c r="BO8" i="260" a="1"/>
  <c r="G91" i="260" a="1"/>
  <c r="AN144" i="260" a="1"/>
  <c r="AT152" i="260" a="1"/>
  <c r="G201" i="260" a="1"/>
  <c r="BD159" i="260" a="1"/>
  <c r="BG127" i="260" a="1"/>
  <c r="V207" i="260" a="1"/>
  <c r="J99" i="260" a="1"/>
  <c r="Z125" i="260" a="1"/>
  <c r="G133" i="260" a="1"/>
  <c r="AD228" i="260" a="1"/>
  <c r="J98" i="260" a="1"/>
  <c r="N224" i="260" a="1"/>
  <c r="BD109" i="260" a="1"/>
  <c r="AD19" i="260" a="1"/>
  <c r="J107" i="260" a="1"/>
  <c r="N20" i="260" a="1"/>
  <c r="R53" i="260" a="1"/>
  <c r="BG109" i="260" a="1"/>
  <c r="BO132" i="260" a="1"/>
  <c r="BO162" i="260" a="1"/>
  <c r="AT116" i="260" a="1"/>
  <c r="AQ125" i="260" a="1"/>
  <c r="BG159" i="260" a="1"/>
  <c r="AQ99" i="260" a="1"/>
  <c r="AQ128" i="260" a="1"/>
  <c r="AN171" i="260" a="1"/>
  <c r="Z89" i="260" a="1"/>
  <c r="AD90" i="260" a="1"/>
  <c r="G87" i="260" a="1"/>
  <c r="J19" i="260" a="1"/>
  <c r="BK156" i="260" a="1"/>
  <c r="BG8" i="260" a="1"/>
  <c r="BK120" i="260" a="1"/>
  <c r="AN124" i="260" a="1"/>
  <c r="AQ180" i="260" a="1"/>
  <c r="BD23" i="260" a="1"/>
  <c r="AH162" i="260" a="1"/>
  <c r="R223" i="260" a="1"/>
  <c r="N102" i="260" a="1"/>
  <c r="V205" i="260" a="1"/>
  <c r="G196" i="260" a="1"/>
  <c r="AH209" i="260" a="1"/>
  <c r="AT11" i="260" a="1"/>
  <c r="G216" i="260" a="1"/>
  <c r="V22" i="260" a="1"/>
  <c r="N49" i="260" a="1"/>
  <c r="G207" i="260" a="1"/>
  <c r="AN116" i="260" a="1"/>
  <c r="BG210" i="260" a="1"/>
  <c r="AN156" i="260" a="1"/>
  <c r="J18" i="260" a="1"/>
  <c r="BO85" i="260" a="1"/>
  <c r="AQ25" i="260" a="1"/>
  <c r="V118" i="260" a="1"/>
  <c r="BD186" i="260" a="1"/>
  <c r="AD11" i="260" a="1"/>
  <c r="N84" i="260" a="1"/>
  <c r="AT215" i="260" a="1"/>
  <c r="BO128" i="260" a="1"/>
  <c r="AZ157" i="260" a="1"/>
  <c r="BK144" i="260" a="1"/>
  <c r="R20" i="260" a="1"/>
  <c r="AN202" i="260" a="1"/>
  <c r="R217" i="260" a="1"/>
  <c r="BD83" i="260" a="1"/>
  <c r="BK9" i="260" a="1"/>
  <c r="G181" i="260" a="1"/>
  <c r="BO25" i="260" a="1"/>
  <c r="R191" i="260" a="1"/>
  <c r="G7" i="260" a="1"/>
  <c r="Z184" i="260" a="1"/>
  <c r="AQ101" i="260" a="1"/>
  <c r="G127" i="260" a="1"/>
  <c r="BD12" i="260" a="1"/>
  <c r="BG115" i="260" a="1"/>
  <c r="AZ228" i="260" a="1"/>
  <c r="AH196" i="260" a="1"/>
  <c r="R21" i="260" a="1"/>
  <c r="BK224" i="260" a="1"/>
  <c r="N218" i="260" a="1"/>
  <c r="AN118" i="260" a="1"/>
  <c r="AN16" i="260" a="1"/>
  <c r="BG217" i="260" a="1"/>
  <c r="Z20" i="260" a="1"/>
  <c r="AD71" i="260" a="1"/>
  <c r="Z23" i="260" a="1"/>
  <c r="N6" i="260" a="1"/>
  <c r="BO181" i="260" a="1"/>
  <c r="J22" i="260" a="1"/>
  <c r="BG22" i="260" a="1"/>
  <c r="AH220" i="260" a="1"/>
  <c r="J208" i="260" a="1"/>
  <c r="N196" i="260" a="1"/>
  <c r="AD193" i="260" a="1"/>
  <c r="BG205" i="260" a="1"/>
  <c r="AH175" i="260" a="1"/>
  <c r="BD6" i="260" a="1"/>
  <c r="N105" i="260" a="1"/>
  <c r="J102" i="260" a="1"/>
  <c r="J209" i="260" a="1"/>
  <c r="N11" i="260" a="1"/>
  <c r="AN24" i="260" a="1"/>
  <c r="BK218" i="260" a="1"/>
  <c r="AN26" i="260" a="1"/>
  <c r="J78" i="260" a="1"/>
  <c r="AH226" i="260" a="1"/>
  <c r="AN223" i="260" a="1"/>
  <c r="V85" i="260" a="1"/>
  <c r="G220" i="260" a="1"/>
  <c r="AD227" i="260" a="1"/>
  <c r="R140" i="260" a="1"/>
  <c r="AH120" i="260" a="1"/>
  <c r="AN17" i="260" a="1"/>
  <c r="BD19" i="260" a="1"/>
  <c r="V196" i="260" a="1"/>
  <c r="BK26" i="260" a="1"/>
  <c r="BD110" i="260" a="1"/>
  <c r="J222" i="260" a="1"/>
  <c r="G14" i="260" a="1"/>
  <c r="V87" i="260" a="1"/>
  <c r="R28" i="260" a="1"/>
  <c r="Z101" i="260" a="1"/>
  <c r="N118" i="260" a="1"/>
  <c r="N62" i="260" a="1"/>
  <c r="BD153" i="260" a="1"/>
  <c r="R22" i="260" a="1"/>
  <c r="BK200" i="260" a="1"/>
  <c r="AT117" i="260" a="1"/>
  <c r="AT209" i="260" a="1"/>
  <c r="R117" i="260" a="1"/>
  <c r="G190" i="260" a="1"/>
  <c r="R49" i="260" a="1"/>
  <c r="V192" i="260" a="1"/>
  <c r="AH208" i="260" a="1"/>
  <c r="J214" i="260" a="1"/>
  <c r="Z189" i="260" a="1"/>
  <c r="N185" i="260" a="1"/>
  <c r="AQ105" i="260" a="1"/>
  <c r="G28" i="260" a="1"/>
  <c r="AT219" i="260" a="1"/>
  <c r="BD187" i="260" a="1"/>
  <c r="BK14" i="260" a="1"/>
  <c r="Z119" i="260" a="1"/>
  <c r="BO122" i="260" a="1"/>
  <c r="BK28" i="260" a="1"/>
  <c r="G81" i="260" a="1"/>
  <c r="AN192" i="260" a="1"/>
  <c r="N25" i="260" a="1"/>
  <c r="BK225" i="260" a="1"/>
  <c r="BG90" i="260" a="1"/>
  <c r="AN115" i="260" a="1"/>
  <c r="AN196" i="260" a="1"/>
  <c r="BG50" i="260" a="1"/>
  <c r="G32" i="260" a="1"/>
  <c r="BG141" i="260" a="1"/>
  <c r="AD125" i="260" a="1"/>
  <c r="AQ106" i="260" a="1"/>
  <c r="Z214" i="260" a="1"/>
  <c r="AN120" i="260" a="1"/>
  <c r="BG123" i="260" a="1"/>
  <c r="Z75" i="260" a="1"/>
  <c r="V94" i="260" a="1"/>
  <c r="AT194" i="260" a="1"/>
  <c r="BD27" i="260" a="1"/>
  <c r="BD124" i="260" a="1"/>
  <c r="J96" i="260" a="1"/>
  <c r="Z126" i="260" a="1"/>
  <c r="AD215" i="260" a="1"/>
  <c r="V161" i="260" a="1"/>
  <c r="AD180" i="260" a="1"/>
  <c r="N156" i="260" a="1"/>
  <c r="G193" i="260" a="1"/>
  <c r="V33" i="260" a="1"/>
  <c r="BK152" i="260" a="1"/>
  <c r="AH107" i="260" a="1"/>
  <c r="BO24" i="260" a="1"/>
  <c r="V95" i="260" a="1"/>
  <c r="AH8" i="260" a="1"/>
  <c r="BK118" i="260" a="1"/>
  <c r="Z217" i="260" a="1"/>
  <c r="G119" i="260" a="1"/>
  <c r="AT175" i="260" a="1"/>
  <c r="BG77" i="260" a="1"/>
  <c r="BK80" i="260" a="1"/>
  <c r="AQ110" i="260" a="1"/>
  <c r="AN35" i="260" a="1"/>
  <c r="V128" i="260" a="1"/>
  <c r="N194" i="260" a="1"/>
  <c r="AN200" i="260" a="1"/>
  <c r="R84" i="260" a="1"/>
  <c r="N89" i="260" a="1"/>
  <c r="AQ227" i="260" a="1"/>
  <c r="BK12" i="260" a="1"/>
  <c r="BK22" i="260" a="1"/>
  <c r="BK6" i="260" a="1"/>
  <c r="BK215" i="260" a="1"/>
  <c r="AD22" i="260" a="1"/>
  <c r="G47" i="260" a="1"/>
  <c r="R171" i="260" a="1"/>
  <c r="V52" i="260" a="1"/>
  <c r="J26" i="260" a="1"/>
  <c r="AT200" i="260" a="1"/>
  <c r="V195" i="260" a="1"/>
  <c r="G160" i="260" a="1"/>
  <c r="AD91" i="260" a="1"/>
  <c r="BG139" i="260" a="1"/>
  <c r="BD18" i="260" a="1"/>
  <c r="AH102" i="260" a="1"/>
  <c r="BK11" i="260" a="1"/>
  <c r="Z195" i="260" a="1"/>
  <c r="AQ186" i="260" a="1"/>
  <c r="AD111" i="260" a="1"/>
  <c r="J9" i="260" a="1"/>
  <c r="AN126" i="260" a="1"/>
  <c r="BK62" i="260" a="1"/>
  <c r="G106" i="260" a="1"/>
  <c r="BG14" i="260" a="1"/>
  <c r="AZ117" i="260" a="1"/>
  <c r="AQ16" i="260" a="1"/>
  <c r="BG134" i="260" a="1"/>
  <c r="BO144" i="260" a="1"/>
  <c r="R13" i="260" a="1"/>
  <c r="J16" i="260" a="1"/>
  <c r="V155" i="260" a="1"/>
  <c r="AQ21" i="260" a="1"/>
  <c r="N100" i="260" a="1"/>
  <c r="AZ210" i="260" a="1"/>
  <c r="BK126" i="260" a="1"/>
  <c r="BK209" i="260" a="1"/>
  <c r="R147" i="260" a="1"/>
  <c r="AD121" i="260" a="1"/>
  <c r="BD116" i="260" a="1"/>
  <c r="G164" i="260" a="1"/>
  <c r="BG93" i="260" a="1"/>
  <c r="AD165" i="260" a="1"/>
  <c r="AN53" i="260" a="1"/>
  <c r="G171" i="260" a="1"/>
  <c r="BK193" i="260" a="1"/>
  <c r="G209" i="260" a="1"/>
  <c r="AH186" i="260" a="1"/>
  <c r="AH156" i="260" a="1"/>
  <c r="BK71" i="260" a="1"/>
  <c r="AD190" i="260" a="1"/>
  <c r="AQ122" i="260" a="1"/>
  <c r="N222" i="260" a="1"/>
  <c r="J120" i="260" a="1"/>
  <c r="BK81" i="260" a="1"/>
  <c r="BG155" i="260" a="1"/>
  <c r="AN43" i="260" a="1"/>
  <c r="Z159" i="260" a="1"/>
  <c r="R143" i="260" a="1"/>
  <c r="AD37" i="260" a="1"/>
  <c r="R90" i="260" a="1"/>
  <c r="AH131" i="260" a="1"/>
  <c r="AN186" i="260" a="1"/>
  <c r="V182" i="260" a="1"/>
  <c r="AZ213" i="260" a="1"/>
  <c r="Z203" i="260" a="1"/>
  <c r="R19" i="260" a="1"/>
  <c r="AH201" i="260" a="1"/>
  <c r="AH34" i="260" a="1"/>
  <c r="BG42" i="260" a="1"/>
  <c r="G74" i="260" a="1"/>
  <c r="BO113" i="260" a="1"/>
  <c r="AN7" i="260" a="1"/>
  <c r="BD198" i="260" a="1"/>
  <c r="R218" i="260" a="1"/>
  <c r="G16" i="260" a="1"/>
  <c r="AH193" i="260" a="1"/>
  <c r="AQ223" i="260" a="1"/>
  <c r="BD28" i="260" a="1"/>
  <c r="AT226" i="260" a="1"/>
  <c r="V208" i="260" a="1"/>
  <c r="BO205" i="260" a="1"/>
  <c r="AZ133" i="260" a="1"/>
  <c r="AH143" i="260" a="1"/>
  <c r="AH18" i="260" a="1"/>
  <c r="N108" i="260" a="1"/>
  <c r="AN19" i="260" a="1"/>
  <c r="V77" i="260" a="1"/>
  <c r="Z228" i="260" a="1"/>
  <c r="Z8" i="260" a="1"/>
  <c r="J11" i="260" a="1"/>
  <c r="AZ11" i="260" a="1"/>
  <c r="AD127" i="260" a="1"/>
  <c r="N26" i="260" a="1"/>
  <c r="BD217" i="260" a="1"/>
  <c r="AD35" i="260" a="1"/>
  <c r="AN207" i="260" a="1"/>
  <c r="BK99" i="260" a="1"/>
  <c r="V222" i="260" a="1"/>
  <c r="AZ88" i="260" a="1"/>
  <c r="G208" i="260" a="1"/>
  <c r="G15" i="260" a="1"/>
  <c r="AZ181" i="260" a="1"/>
  <c r="Z81" i="260" a="1"/>
  <c r="N7" i="260" a="1"/>
  <c r="BO213" i="260" a="1"/>
  <c r="AD126" i="260" a="1"/>
  <c r="J210" i="260" a="1"/>
  <c r="AD145" i="260" a="1"/>
  <c r="V101" i="260" a="1"/>
  <c r="AZ50" i="260" a="1"/>
  <c r="AZ114" i="260" a="1"/>
  <c r="AH146" i="260" a="1"/>
  <c r="N98" i="260" a="1"/>
  <c r="J194" i="260" a="1"/>
  <c r="N207" i="260" a="1"/>
  <c r="BG17" i="260" a="1"/>
  <c r="BK196" i="260" a="1"/>
  <c r="G25" i="260" a="1"/>
  <c r="G26" i="260" a="1"/>
  <c r="AT161" i="260" a="1"/>
  <c r="BO123" i="260" a="1"/>
  <c r="G21" i="260" a="1"/>
  <c r="BD192" i="260" a="1"/>
  <c r="BK161" i="260" a="1"/>
  <c r="Z121" i="260" a="1"/>
  <c r="AQ22" i="260" a="1"/>
  <c r="AZ180" i="260" a="1"/>
  <c r="N122" i="260" a="1"/>
  <c r="V14" i="260" a="1"/>
  <c r="BO33" i="260" a="1"/>
  <c r="AD13" i="260" a="1"/>
  <c r="BD16" i="260" a="1"/>
  <c r="N217" i="260" a="1"/>
  <c r="AN94" i="260" a="1"/>
  <c r="AZ203" i="260" a="1"/>
  <c r="V15" i="260" a="1"/>
  <c r="J219" i="260" a="1"/>
  <c r="AN11" i="260" a="1"/>
  <c r="BG18" i="260" a="1"/>
  <c r="AQ18" i="260" a="1"/>
  <c r="BD144" i="260" a="1"/>
  <c r="N27" i="260" a="1"/>
  <c r="AH218" i="260" a="1"/>
  <c r="BG215" i="260" a="1"/>
  <c r="V224" i="260" a="1"/>
  <c r="AD26" i="260" a="1"/>
  <c r="AH125" i="260" a="1"/>
  <c r="V126" i="260" a="1"/>
  <c r="G116" i="260" a="1"/>
  <c r="G218" i="260" a="1"/>
  <c r="BO84" i="260" a="1"/>
  <c r="AZ227" i="260" a="1"/>
  <c r="BG110" i="260" a="1"/>
  <c r="AD187" i="260" a="1"/>
  <c r="BD226" i="260" a="1"/>
  <c r="BD8" i="260" a="1"/>
  <c r="Z9" i="260" a="1"/>
  <c r="AZ119" i="260" a="1"/>
  <c r="BG101" i="260" a="1"/>
  <c r="AZ137" i="260" a="1"/>
  <c r="BG47" i="260" a="1"/>
  <c r="R121" i="260" a="1"/>
  <c r="AQ210" i="260" a="1"/>
  <c r="AQ63" i="260" a="1"/>
  <c r="BK208" i="260" a="1"/>
  <c r="V28" i="260" a="1"/>
  <c r="AN164" i="260" a="1"/>
  <c r="BO115" i="260" a="1"/>
  <c r="BK72" i="260" a="1"/>
  <c r="AQ213" i="260" a="1"/>
  <c r="AQ184" i="260" a="1"/>
  <c r="G213" i="260" a="1"/>
  <c r="AQ205" i="260" a="1"/>
  <c r="AD199" i="260" a="1"/>
  <c r="AQ224" i="260" a="1"/>
  <c r="Z188" i="260" a="1"/>
  <c r="G214" i="260" a="1"/>
  <c r="AZ214" i="260" a="1"/>
  <c r="AN91" i="260" a="1"/>
  <c r="V170" i="260" a="1"/>
  <c r="Z65" i="260" a="1"/>
  <c r="AQ119" i="260" a="1"/>
  <c r="V24" i="260" a="1"/>
  <c r="AT171" i="260" a="1"/>
  <c r="AD186" i="260" a="1"/>
  <c r="J203" i="260" a="1"/>
  <c r="J195" i="260" a="1"/>
  <c r="V89" i="260" a="1"/>
  <c r="Z81" i="260" l="1"/>
  <c r="Z191" i="260"/>
  <c r="N90" i="260"/>
  <c r="AN118" i="260"/>
  <c r="AQ128" i="260"/>
  <c r="AQ114" i="260"/>
  <c r="AD161" i="260"/>
  <c r="AH96" i="260"/>
  <c r="AH194" i="260"/>
  <c r="AQ202" i="260"/>
  <c r="BO189" i="260"/>
  <c r="AT171" i="260"/>
  <c r="BD200" i="260"/>
  <c r="BG117" i="260"/>
  <c r="AT162" i="260"/>
  <c r="G83" i="260"/>
  <c r="AZ105" i="260"/>
  <c r="G113" i="260"/>
  <c r="Z201" i="260"/>
  <c r="AH99" i="260"/>
  <c r="AD127" i="260"/>
  <c r="N121" i="260"/>
  <c r="Z92" i="260"/>
  <c r="V193" i="260"/>
  <c r="N94" i="260"/>
  <c r="AN201" i="260"/>
  <c r="BK200" i="260"/>
  <c r="R182" i="260"/>
  <c r="BK85" i="260"/>
  <c r="V118" i="260"/>
  <c r="AT160" i="260"/>
  <c r="J43" i="260"/>
  <c r="AD190" i="260"/>
  <c r="J182" i="260"/>
  <c r="AD93" i="260"/>
  <c r="BO93" i="260"/>
  <c r="Z193" i="260"/>
  <c r="V195" i="260"/>
  <c r="BK183" i="260"/>
  <c r="AD114" i="260"/>
  <c r="BK161" i="260"/>
  <c r="AZ94" i="260"/>
  <c r="G97" i="260"/>
  <c r="AH161" i="260"/>
  <c r="AD101" i="260"/>
  <c r="N109" i="260"/>
  <c r="N202" i="260"/>
  <c r="AQ121" i="260"/>
  <c r="BG115" i="260"/>
  <c r="BG121" i="260"/>
  <c r="R99" i="260"/>
  <c r="N106" i="260"/>
  <c r="AN195" i="260"/>
  <c r="V90" i="260"/>
  <c r="R184" i="260"/>
  <c r="Z199" i="260"/>
  <c r="J83" i="260"/>
  <c r="BO107" i="260"/>
  <c r="AZ200" i="260"/>
  <c r="G126" i="260"/>
  <c r="AT96" i="260"/>
  <c r="J156" i="260"/>
  <c r="BO161" i="260"/>
  <c r="BO120" i="260"/>
  <c r="BO171" i="260"/>
  <c r="BK146" i="260"/>
  <c r="AH143" i="260"/>
  <c r="BO95" i="260"/>
  <c r="BG118" i="260"/>
  <c r="BD82" i="260"/>
  <c r="BO103" i="260"/>
  <c r="AZ81" i="260"/>
  <c r="R124" i="260"/>
  <c r="AD191" i="260"/>
  <c r="Z108" i="260"/>
  <c r="G119" i="260"/>
  <c r="AD83" i="260"/>
  <c r="AH197" i="260"/>
  <c r="BO84" i="260"/>
  <c r="V91" i="260"/>
  <c r="AZ100" i="260"/>
  <c r="Z188" i="260"/>
  <c r="AH83" i="260"/>
  <c r="Z118" i="260"/>
  <c r="BG99" i="260"/>
  <c r="R123" i="260"/>
  <c r="AZ101" i="260"/>
  <c r="AH128" i="260"/>
  <c r="AT94" i="260"/>
  <c r="AT193" i="260"/>
  <c r="Z192" i="260"/>
  <c r="N124" i="260"/>
  <c r="Z161" i="260"/>
  <c r="J107" i="260"/>
  <c r="AH82" i="260"/>
  <c r="AT115" i="260"/>
  <c r="AD90" i="260"/>
  <c r="AD201" i="260"/>
  <c r="Z88" i="260"/>
  <c r="AD162" i="260"/>
  <c r="AD180" i="260"/>
  <c r="N136" i="260"/>
  <c r="BD164" i="260"/>
  <c r="N99" i="260"/>
  <c r="AT189" i="260"/>
  <c r="AD110" i="260"/>
  <c r="AT131" i="260"/>
  <c r="AQ94" i="260"/>
  <c r="AZ109" i="260"/>
  <c r="AQ81" i="260"/>
  <c r="BK112" i="260"/>
  <c r="BK92" i="260"/>
  <c r="N82" i="260"/>
  <c r="BD191" i="260"/>
  <c r="BG201" i="260"/>
  <c r="BO80" i="260"/>
  <c r="G118" i="260"/>
  <c r="BK185" i="260"/>
  <c r="G109" i="260"/>
  <c r="G92" i="260"/>
  <c r="N89" i="260"/>
  <c r="J91" i="260"/>
  <c r="AT101" i="260"/>
  <c r="BK118" i="260"/>
  <c r="BK171" i="260"/>
  <c r="AZ199" i="260"/>
  <c r="R111" i="260"/>
  <c r="R126" i="260"/>
  <c r="R81" i="260"/>
  <c r="AQ86" i="260"/>
  <c r="V191" i="260"/>
  <c r="AZ89" i="260"/>
  <c r="BO115" i="260"/>
  <c r="AQ171" i="260"/>
  <c r="Z97" i="260"/>
  <c r="N182" i="260"/>
  <c r="AZ120" i="260"/>
  <c r="BD46" i="260"/>
  <c r="AH76" i="260"/>
  <c r="BK105" i="260"/>
  <c r="BG198" i="260"/>
  <c r="BD109" i="260"/>
  <c r="G116" i="260"/>
  <c r="AT191" i="260"/>
  <c r="AH195" i="260"/>
  <c r="R162" i="260"/>
  <c r="V184" i="260"/>
  <c r="AZ188" i="260"/>
  <c r="BK193" i="260"/>
  <c r="AT84" i="260"/>
  <c r="AT117" i="260"/>
  <c r="BO87" i="260"/>
  <c r="N91" i="260"/>
  <c r="AD126" i="260"/>
  <c r="J199" i="260"/>
  <c r="AH171" i="260"/>
  <c r="G193" i="260"/>
  <c r="AZ119" i="260"/>
  <c r="BO180" i="260"/>
  <c r="V117" i="260"/>
  <c r="Z106" i="260"/>
  <c r="BG189" i="260"/>
  <c r="V197" i="260"/>
  <c r="G200" i="260"/>
  <c r="AT87" i="260"/>
  <c r="BD89" i="260"/>
  <c r="BK89" i="260"/>
  <c r="J190" i="260"/>
  <c r="V126" i="260"/>
  <c r="Z162" i="260"/>
  <c r="BK109" i="260"/>
  <c r="BO118" i="260"/>
  <c r="BO119" i="260"/>
  <c r="AT133" i="260"/>
  <c r="AQ174" i="260"/>
  <c r="AT38" i="260"/>
  <c r="AN98" i="260"/>
  <c r="J108" i="260"/>
  <c r="J127" i="260"/>
  <c r="G58" i="260"/>
  <c r="AD121" i="260"/>
  <c r="AN161" i="260"/>
  <c r="G90" i="260"/>
  <c r="G125" i="260"/>
  <c r="BO85" i="260"/>
  <c r="V81" i="260"/>
  <c r="V194" i="260"/>
  <c r="AH193" i="260"/>
  <c r="BG193" i="260"/>
  <c r="AQ87" i="260"/>
  <c r="G96" i="260"/>
  <c r="AN180" i="260"/>
  <c r="R80" i="260"/>
  <c r="G84" i="260"/>
  <c r="BO201" i="260"/>
  <c r="G100" i="260"/>
  <c r="R108" i="260"/>
  <c r="N193" i="260"/>
  <c r="BK114" i="260"/>
  <c r="V89" i="260"/>
  <c r="BK97" i="260"/>
  <c r="BG114" i="260"/>
  <c r="AH123" i="260"/>
  <c r="J202" i="260"/>
  <c r="BK108" i="260"/>
  <c r="AQ188" i="260"/>
  <c r="BG82" i="260"/>
  <c r="BD124" i="260"/>
  <c r="N103" i="260"/>
  <c r="AT134" i="260"/>
  <c r="AD71" i="260"/>
  <c r="R35" i="260"/>
  <c r="BO97" i="260"/>
  <c r="BG101" i="260"/>
  <c r="V88" i="260"/>
  <c r="AH121" i="260"/>
  <c r="R89" i="260"/>
  <c r="BG113" i="260"/>
  <c r="N191" i="260"/>
  <c r="BG203" i="260"/>
  <c r="AN100" i="260"/>
  <c r="AN156" i="260"/>
  <c r="BG95" i="260"/>
  <c r="AD88" i="260"/>
  <c r="Z184" i="260"/>
  <c r="AQ162" i="260"/>
  <c r="AD198" i="260"/>
  <c r="BO121" i="260"/>
  <c r="J87" i="260"/>
  <c r="N197" i="260"/>
  <c r="AT102" i="260"/>
  <c r="AN194" i="260"/>
  <c r="N95" i="260"/>
  <c r="AZ110" i="260"/>
  <c r="BO193" i="260"/>
  <c r="J82" i="260"/>
  <c r="AZ112" i="260"/>
  <c r="AN105" i="260"/>
  <c r="AT110" i="260"/>
  <c r="BD112" i="260"/>
  <c r="AZ203" i="260"/>
  <c r="AH180" i="260"/>
  <c r="BD91" i="260"/>
  <c r="BG191" i="260"/>
  <c r="AD103" i="260"/>
  <c r="BK115" i="260"/>
  <c r="G112" i="260"/>
  <c r="AZ145" i="260"/>
  <c r="AT11" i="260"/>
  <c r="J64" i="260"/>
  <c r="AH201" i="260"/>
  <c r="J126" i="260"/>
  <c r="J180" i="260"/>
  <c r="BK123" i="260"/>
  <c r="BO126" i="260"/>
  <c r="BG111" i="260"/>
  <c r="AN115" i="260"/>
  <c r="BO112" i="260"/>
  <c r="Z203" i="260"/>
  <c r="AT118" i="260"/>
  <c r="N84" i="260"/>
  <c r="AT86" i="260"/>
  <c r="AD123" i="260"/>
  <c r="BK194" i="260"/>
  <c r="J102" i="260"/>
  <c r="AN190" i="260"/>
  <c r="AT156" i="260"/>
  <c r="AQ200" i="260"/>
  <c r="V97" i="260"/>
  <c r="AN116" i="260"/>
  <c r="AH81" i="260"/>
  <c r="BO192" i="260"/>
  <c r="AQ108" i="260"/>
  <c r="Z80" i="260"/>
  <c r="AQ98" i="260"/>
  <c r="J125" i="260"/>
  <c r="BD114" i="260"/>
  <c r="AQ109" i="260"/>
  <c r="R83" i="260"/>
  <c r="N87" i="260"/>
  <c r="BD86" i="260"/>
  <c r="AH110" i="260"/>
  <c r="G183" i="260"/>
  <c r="N185" i="260"/>
  <c r="R197" i="260"/>
  <c r="BO197" i="260"/>
  <c r="BD125" i="260"/>
  <c r="AQ100" i="260"/>
  <c r="BD162" i="260"/>
  <c r="AH100" i="260"/>
  <c r="BK128" i="260"/>
  <c r="BK197" i="260"/>
  <c r="BO162" i="260"/>
  <c r="AH125" i="260"/>
  <c r="BO123" i="260"/>
  <c r="BG124" i="260"/>
  <c r="Z110" i="260"/>
  <c r="R112" i="260"/>
  <c r="BO195" i="260"/>
  <c r="AH111" i="260"/>
  <c r="AD118" i="260"/>
  <c r="AQ82" i="260"/>
  <c r="J124" i="260"/>
  <c r="AT103" i="260"/>
  <c r="Z171" i="260"/>
  <c r="J112" i="260"/>
  <c r="BK119" i="260"/>
  <c r="BK84" i="260"/>
  <c r="BK94" i="260"/>
  <c r="G115" i="260"/>
  <c r="J96" i="260"/>
  <c r="V125" i="260"/>
  <c r="AN189" i="260"/>
  <c r="G88" i="260"/>
  <c r="AD87" i="260"/>
  <c r="V95" i="260"/>
  <c r="N111" i="260"/>
  <c r="BK162" i="260"/>
  <c r="N92" i="260"/>
  <c r="R91" i="260"/>
  <c r="G195" i="260"/>
  <c r="AH86" i="260"/>
  <c r="AD193" i="260"/>
  <c r="AN82" i="260"/>
  <c r="G190" i="260"/>
  <c r="AT125" i="260"/>
  <c r="AT201" i="260"/>
  <c r="Z121" i="260"/>
  <c r="G85" i="260"/>
  <c r="R100" i="260"/>
  <c r="V92" i="260"/>
  <c r="J194" i="260"/>
  <c r="AQ112" i="260"/>
  <c r="J98" i="260"/>
  <c r="AN89" i="260"/>
  <c r="R93" i="260"/>
  <c r="Z198" i="260"/>
  <c r="BK110" i="260"/>
  <c r="Z202" i="260"/>
  <c r="AN80" i="260"/>
  <c r="BD190" i="260"/>
  <c r="AZ90" i="260"/>
  <c r="BO199" i="260"/>
  <c r="AZ99" i="260"/>
  <c r="AD100" i="260"/>
  <c r="AZ106" i="260"/>
  <c r="BD128" i="260"/>
  <c r="AQ85" i="260"/>
  <c r="AQ125" i="260"/>
  <c r="BO102" i="260"/>
  <c r="BG194" i="260"/>
  <c r="BD123" i="260"/>
  <c r="V77" i="260"/>
  <c r="AZ157" i="260"/>
  <c r="V165" i="260"/>
  <c r="BO150" i="260"/>
  <c r="G164" i="260"/>
  <c r="AH30" i="260"/>
  <c r="AN46" i="260"/>
  <c r="AN33" i="260"/>
  <c r="N76" i="260"/>
  <c r="BO38" i="260"/>
  <c r="BG66" i="260"/>
  <c r="BD39" i="260"/>
  <c r="BK137" i="260"/>
  <c r="AH70" i="260"/>
  <c r="AD77" i="260"/>
  <c r="G140" i="260"/>
  <c r="BO33" i="260"/>
  <c r="BK177" i="260"/>
  <c r="AT173" i="260"/>
  <c r="BO194" i="260"/>
  <c r="V98" i="260"/>
  <c r="G182" i="260"/>
  <c r="R127" i="260"/>
  <c r="BD185" i="260"/>
  <c r="G111" i="260"/>
  <c r="J171" i="260"/>
  <c r="AZ88" i="260"/>
  <c r="R191" i="260"/>
  <c r="AN92" i="260"/>
  <c r="AQ203" i="260"/>
  <c r="AN99" i="260"/>
  <c r="V108" i="260"/>
  <c r="AZ87" i="260"/>
  <c r="BO99" i="260"/>
  <c r="BK99" i="260"/>
  <c r="BG128" i="260"/>
  <c r="V200" i="260"/>
  <c r="BK111" i="260"/>
  <c r="AT107" i="260"/>
  <c r="N81" i="260"/>
  <c r="AQ119" i="260"/>
  <c r="BG143" i="260"/>
  <c r="BD51" i="260"/>
  <c r="BD34" i="260"/>
  <c r="V172" i="260"/>
  <c r="G149" i="260"/>
  <c r="BG139" i="260"/>
  <c r="BG144" i="260"/>
  <c r="G143" i="260"/>
  <c r="BD73" i="260"/>
  <c r="AT146" i="260"/>
  <c r="BK38" i="260"/>
  <c r="R76" i="260"/>
  <c r="BD166" i="260"/>
  <c r="V42" i="260"/>
  <c r="AQ168" i="260"/>
  <c r="G74" i="260"/>
  <c r="AN42" i="260"/>
  <c r="N68" i="260"/>
  <c r="N52" i="260"/>
  <c r="AD165" i="260"/>
  <c r="BO111" i="260"/>
  <c r="BG192" i="260"/>
  <c r="AQ201" i="260"/>
  <c r="N108" i="260"/>
  <c r="BD194" i="260"/>
  <c r="J100" i="260"/>
  <c r="Z111" i="260"/>
  <c r="AT119" i="260"/>
  <c r="N162" i="260"/>
  <c r="J109" i="260"/>
  <c r="V180" i="260"/>
  <c r="V127" i="260"/>
  <c r="BG120" i="260"/>
  <c r="AN125" i="260"/>
  <c r="BD94" i="260"/>
  <c r="AZ82" i="260"/>
  <c r="V116" i="260"/>
  <c r="BG86" i="260"/>
  <c r="AZ171" i="260"/>
  <c r="G192" i="260"/>
  <c r="R95" i="260"/>
  <c r="R118" i="260"/>
  <c r="G105" i="260"/>
  <c r="N200" i="260"/>
  <c r="BD195" i="260"/>
  <c r="AN111" i="260"/>
  <c r="BD93" i="260"/>
  <c r="BK180" i="260"/>
  <c r="V113" i="260"/>
  <c r="Z189" i="260"/>
  <c r="AH106" i="260"/>
  <c r="BG122" i="260"/>
  <c r="AD96" i="260"/>
  <c r="V115" i="260"/>
  <c r="AZ98" i="260"/>
  <c r="BO125" i="260"/>
  <c r="V87" i="260"/>
  <c r="V182" i="260"/>
  <c r="BD199" i="260"/>
  <c r="Z103" i="260"/>
  <c r="BG116" i="260"/>
  <c r="AQ197" i="260"/>
  <c r="BD192" i="260"/>
  <c r="AD184" i="260"/>
  <c r="AT120" i="260"/>
  <c r="BD90" i="260"/>
  <c r="AH109" i="260"/>
  <c r="BK100" i="260"/>
  <c r="AD111" i="260"/>
  <c r="G156" i="260"/>
  <c r="N203" i="260"/>
  <c r="G81" i="260"/>
  <c r="AH105" i="260"/>
  <c r="AT127" i="260"/>
  <c r="BD97" i="260"/>
  <c r="G203" i="260"/>
  <c r="Z195" i="260"/>
  <c r="AD171" i="260"/>
  <c r="AN109" i="260"/>
  <c r="N184" i="260"/>
  <c r="Z119" i="260"/>
  <c r="J116" i="260"/>
  <c r="BK86" i="260"/>
  <c r="G117" i="260"/>
  <c r="AT112" i="260"/>
  <c r="BG107" i="260"/>
  <c r="BG85" i="260"/>
  <c r="G91" i="260"/>
  <c r="AZ113" i="260"/>
  <c r="BG183" i="260"/>
  <c r="Z194" i="260"/>
  <c r="BD113" i="260"/>
  <c r="BG88" i="260"/>
  <c r="BG180" i="260"/>
  <c r="N113" i="260"/>
  <c r="N98" i="260"/>
  <c r="V110" i="260"/>
  <c r="BD103" i="260"/>
  <c r="J191" i="260"/>
  <c r="V109" i="260"/>
  <c r="AZ182" i="260"/>
  <c r="AT126" i="260"/>
  <c r="J105" i="260"/>
  <c r="N116" i="260"/>
  <c r="AQ105" i="260"/>
  <c r="AQ93" i="260"/>
  <c r="AN112" i="260"/>
  <c r="BD122" i="260"/>
  <c r="V106" i="260"/>
  <c r="Z95" i="260"/>
  <c r="AD203" i="260"/>
  <c r="V101" i="260"/>
  <c r="AN91" i="260"/>
  <c r="BG185" i="260"/>
  <c r="AH107" i="260"/>
  <c r="AH192" i="260"/>
  <c r="V202" i="260"/>
  <c r="AT124" i="260"/>
  <c r="AD84" i="260"/>
  <c r="BO191" i="260"/>
  <c r="Z180" i="260"/>
  <c r="AZ52" i="260"/>
  <c r="AQ39" i="260"/>
  <c r="J166" i="260"/>
  <c r="V37" i="260"/>
  <c r="BK52" i="260"/>
  <c r="BG147" i="260"/>
  <c r="BD142" i="260"/>
  <c r="BD144" i="260"/>
  <c r="BG55" i="260"/>
  <c r="N73" i="260"/>
  <c r="V132" i="260"/>
  <c r="G133" i="260"/>
  <c r="G60" i="260"/>
  <c r="V139" i="260"/>
  <c r="AZ46" i="260"/>
  <c r="AT130" i="260"/>
  <c r="AN35" i="260"/>
  <c r="Z147" i="260"/>
  <c r="N172" i="260"/>
  <c r="BG37" i="260"/>
  <c r="BK117" i="260"/>
  <c r="Z127" i="260"/>
  <c r="G191" i="260"/>
  <c r="AN199" i="260"/>
  <c r="BK80" i="260"/>
  <c r="AD99" i="260"/>
  <c r="N201" i="260"/>
  <c r="AH184" i="260"/>
  <c r="AN200" i="260"/>
  <c r="N114" i="260"/>
  <c r="G107" i="260"/>
  <c r="N115" i="260"/>
  <c r="R192" i="260"/>
  <c r="V83" i="260"/>
  <c r="R102" i="260"/>
  <c r="BD107" i="260"/>
  <c r="Z190" i="260"/>
  <c r="BD188" i="260"/>
  <c r="AZ114" i="260"/>
  <c r="G128" i="260"/>
  <c r="AQ83" i="260"/>
  <c r="J123" i="260"/>
  <c r="BK198" i="260"/>
  <c r="AN203" i="260"/>
  <c r="AQ110" i="260"/>
  <c r="Z101" i="260"/>
  <c r="BO200" i="260"/>
  <c r="V121" i="260"/>
  <c r="Z109" i="260"/>
  <c r="AZ161" i="260"/>
  <c r="AD125" i="260"/>
  <c r="AZ190" i="260"/>
  <c r="BD95" i="260"/>
  <c r="BD127" i="260"/>
  <c r="BD121" i="260"/>
  <c r="G82" i="260"/>
  <c r="AT89" i="260"/>
  <c r="AN97" i="260"/>
  <c r="AT95" i="260"/>
  <c r="Z91" i="260"/>
  <c r="BG96" i="260"/>
  <c r="BK124" i="260"/>
  <c r="J195" i="260"/>
  <c r="BG110" i="260"/>
  <c r="BK126" i="260"/>
  <c r="BD120" i="260"/>
  <c r="BG161" i="260"/>
  <c r="G189" i="260"/>
  <c r="BD99" i="260"/>
  <c r="AQ95" i="260"/>
  <c r="AH189" i="260"/>
  <c r="Z156" i="260"/>
  <c r="N194" i="260"/>
  <c r="BK156" i="260"/>
  <c r="J106" i="260"/>
  <c r="AD89" i="260"/>
  <c r="J117" i="260"/>
  <c r="J192" i="260"/>
  <c r="N128" i="260"/>
  <c r="BD198" i="260"/>
  <c r="N199" i="260"/>
  <c r="BO92" i="260"/>
  <c r="BO183" i="260"/>
  <c r="BK83" i="260"/>
  <c r="AT90" i="260"/>
  <c r="G102" i="260"/>
  <c r="BK203" i="260"/>
  <c r="BO113" i="260"/>
  <c r="N171" i="260"/>
  <c r="AQ84" i="260"/>
  <c r="AN162" i="260"/>
  <c r="J95" i="260"/>
  <c r="AN107" i="260"/>
  <c r="J200" i="260"/>
  <c r="AH156" i="260"/>
  <c r="J183" i="260"/>
  <c r="AN191" i="260"/>
  <c r="AD156" i="260"/>
  <c r="BD118" i="260"/>
  <c r="Z93" i="260"/>
  <c r="V128" i="260"/>
  <c r="R110" i="260"/>
  <c r="BG125" i="260"/>
  <c r="BD201" i="260"/>
  <c r="AZ126" i="260"/>
  <c r="G122" i="260"/>
  <c r="AZ108" i="260"/>
  <c r="BD183" i="260"/>
  <c r="J185" i="260"/>
  <c r="BO128" i="260"/>
  <c r="Z85" i="260"/>
  <c r="Z96" i="260"/>
  <c r="N100" i="260"/>
  <c r="AD128" i="260"/>
  <c r="BO124" i="260"/>
  <c r="G101" i="260"/>
  <c r="N119" i="260"/>
  <c r="AD194" i="260"/>
  <c r="AD200" i="260"/>
  <c r="BG80" i="260"/>
  <c r="BK102" i="260"/>
  <c r="G87" i="260"/>
  <c r="BG84" i="260"/>
  <c r="BK113" i="260"/>
  <c r="AN102" i="260"/>
  <c r="J84" i="260"/>
  <c r="N102" i="260"/>
  <c r="AD61" i="260"/>
  <c r="AH131" i="260"/>
  <c r="R131" i="260"/>
  <c r="G131" i="260"/>
  <c r="N38" i="260"/>
  <c r="BD169" i="260"/>
  <c r="AN175" i="260"/>
  <c r="V151" i="260"/>
  <c r="AQ157" i="260"/>
  <c r="R60" i="260"/>
  <c r="R50" i="260"/>
  <c r="BK41" i="260"/>
  <c r="V30" i="260"/>
  <c r="AQ73" i="260"/>
  <c r="AZ146" i="260"/>
  <c r="AH177" i="260"/>
  <c r="AH65" i="260"/>
  <c r="AZ75" i="260"/>
  <c r="BD153" i="260"/>
  <c r="G141" i="260"/>
  <c r="AZ122" i="260"/>
  <c r="R84" i="260"/>
  <c r="AN122" i="260"/>
  <c r="AD197" i="260"/>
  <c r="Z84" i="260"/>
  <c r="AQ199" i="260"/>
  <c r="AH126" i="260"/>
  <c r="BO202" i="260"/>
  <c r="AD195" i="260"/>
  <c r="Z126" i="260"/>
  <c r="AT188" i="260"/>
  <c r="AN171" i="260"/>
  <c r="AZ80" i="260"/>
  <c r="V185" i="260"/>
  <c r="G89" i="260"/>
  <c r="AQ89" i="260"/>
  <c r="Z114" i="260"/>
  <c r="N96" i="260"/>
  <c r="AH91" i="260"/>
  <c r="Z200" i="260"/>
  <c r="BG182" i="260"/>
  <c r="AT180" i="260"/>
  <c r="BG109" i="260"/>
  <c r="AH122" i="260"/>
  <c r="AZ183" i="260"/>
  <c r="AQ96" i="260"/>
  <c r="BD117" i="260"/>
  <c r="AQ190" i="260"/>
  <c r="BO91" i="260"/>
  <c r="AZ180" i="260"/>
  <c r="AT108" i="260"/>
  <c r="AT111" i="260"/>
  <c r="AD124" i="260"/>
  <c r="G99" i="260"/>
  <c r="J198" i="260"/>
  <c r="V85" i="260"/>
  <c r="V192" i="260"/>
  <c r="BD203" i="260"/>
  <c r="AZ191" i="260"/>
  <c r="AD113" i="260"/>
  <c r="BK121" i="260"/>
  <c r="AZ93" i="260"/>
  <c r="AT198" i="260"/>
  <c r="AN124" i="260"/>
  <c r="J203" i="260"/>
  <c r="AH162" i="260"/>
  <c r="BO127" i="260"/>
  <c r="R103" i="260"/>
  <c r="R161" i="260"/>
  <c r="BK98" i="260"/>
  <c r="AH120" i="260"/>
  <c r="AQ191" i="260"/>
  <c r="V114" i="260"/>
  <c r="N188" i="260"/>
  <c r="AN202" i="260"/>
  <c r="AD120" i="260"/>
  <c r="AH98" i="260"/>
  <c r="V84" i="260"/>
  <c r="AN96" i="260"/>
  <c r="AQ103" i="260"/>
  <c r="AD97" i="260"/>
  <c r="AQ101" i="260"/>
  <c r="AD189" i="260"/>
  <c r="AN192" i="260"/>
  <c r="BD197" i="260"/>
  <c r="BO89" i="260"/>
  <c r="V100" i="260"/>
  <c r="N122" i="260"/>
  <c r="AD182" i="260"/>
  <c r="BK101" i="260"/>
  <c r="AQ193" i="260"/>
  <c r="AH97" i="260"/>
  <c r="BG89" i="260"/>
  <c r="BD126" i="260"/>
  <c r="AQ97" i="260"/>
  <c r="BD83" i="260"/>
  <c r="AT202" i="260"/>
  <c r="BO198" i="260"/>
  <c r="AT121" i="260"/>
  <c r="N117" i="260"/>
  <c r="AQ195" i="260"/>
  <c r="AD95" i="260"/>
  <c r="BK107" i="260"/>
  <c r="V86" i="260"/>
  <c r="V190" i="260"/>
  <c r="BD189" i="260"/>
  <c r="AZ84" i="260"/>
  <c r="AQ124" i="260"/>
  <c r="BO106" i="260"/>
  <c r="R114" i="260"/>
  <c r="Z90" i="260"/>
  <c r="AH94" i="260"/>
  <c r="AQ183" i="260"/>
  <c r="AQ192" i="260"/>
  <c r="V183" i="260"/>
  <c r="AQ194" i="260"/>
  <c r="AZ197" i="260"/>
  <c r="BG200" i="260"/>
  <c r="AH117" i="260"/>
  <c r="R180" i="260"/>
  <c r="N123" i="260"/>
  <c r="BK120" i="260"/>
  <c r="AT80" i="260"/>
  <c r="J189" i="260"/>
  <c r="BO88" i="260"/>
  <c r="AT105" i="260"/>
  <c r="R107" i="260"/>
  <c r="J119" i="260"/>
  <c r="AQ102" i="260"/>
  <c r="BK142" i="260"/>
  <c r="Z177" i="260"/>
  <c r="BG51" i="260"/>
  <c r="AN50" i="260"/>
  <c r="R40" i="260"/>
  <c r="AT25" i="260"/>
  <c r="AN38" i="260"/>
  <c r="AT56" i="260"/>
  <c r="AN53" i="260"/>
  <c r="G139" i="260"/>
  <c r="BG67" i="260"/>
  <c r="AT40" i="260"/>
  <c r="V136" i="260"/>
  <c r="R49" i="260"/>
  <c r="V175" i="260"/>
  <c r="Z159" i="260"/>
  <c r="N42" i="260"/>
  <c r="G55" i="260"/>
  <c r="AD51" i="260"/>
  <c r="G174" i="260"/>
  <c r="BG156" i="260"/>
  <c r="AN94" i="260"/>
  <c r="AN193" i="260"/>
  <c r="AQ184" i="260"/>
  <c r="AT116" i="260"/>
  <c r="AN106" i="260"/>
  <c r="AD105" i="260"/>
  <c r="AQ107" i="260"/>
  <c r="BG100" i="260"/>
  <c r="Z86" i="260"/>
  <c r="AT85" i="260"/>
  <c r="AD117" i="260"/>
  <c r="BD116" i="260"/>
  <c r="BO185" i="260"/>
  <c r="AN117" i="260"/>
  <c r="AH103" i="260"/>
  <c r="AT106" i="260"/>
  <c r="AD199" i="260"/>
  <c r="BO190" i="260"/>
  <c r="BD84" i="260"/>
  <c r="BO105" i="260"/>
  <c r="AQ91" i="260"/>
  <c r="N161" i="260"/>
  <c r="AT97" i="260"/>
  <c r="BK93" i="260"/>
  <c r="AD122" i="260"/>
  <c r="G120" i="260"/>
  <c r="BK91" i="260"/>
  <c r="G95" i="260"/>
  <c r="BO108" i="260"/>
  <c r="R199" i="260"/>
  <c r="AZ202" i="260"/>
  <c r="V199" i="260"/>
  <c r="AQ123" i="260"/>
  <c r="AD192" i="260"/>
  <c r="G185" i="260"/>
  <c r="Z117" i="260"/>
  <c r="J114" i="260"/>
  <c r="G108" i="260"/>
  <c r="BK195" i="260"/>
  <c r="BD119" i="260"/>
  <c r="AQ180" i="260"/>
  <c r="AD92" i="260"/>
  <c r="Z94" i="260"/>
  <c r="R106" i="260"/>
  <c r="AT93" i="260"/>
  <c r="BO110" i="260"/>
  <c r="V198" i="260"/>
  <c r="G184" i="260"/>
  <c r="BG94" i="260"/>
  <c r="V171" i="260"/>
  <c r="AN127" i="260"/>
  <c r="V93" i="260"/>
  <c r="BD100" i="260"/>
  <c r="Z99" i="260"/>
  <c r="BK201" i="260"/>
  <c r="R195" i="260"/>
  <c r="J80" i="260"/>
  <c r="BG87" i="260"/>
  <c r="G162" i="260"/>
  <c r="R98" i="260"/>
  <c r="AD82" i="260"/>
  <c r="AQ185" i="260"/>
  <c r="AT192" i="260"/>
  <c r="R82" i="260"/>
  <c r="BG81" i="260"/>
  <c r="AH113" i="260"/>
  <c r="G93" i="260"/>
  <c r="R194" i="260"/>
  <c r="BK182" i="260"/>
  <c r="AN83" i="260"/>
  <c r="N125" i="260"/>
  <c r="G161" i="260"/>
  <c r="AD185" i="260"/>
  <c r="AZ86" i="260"/>
  <c r="BG184" i="260"/>
  <c r="AZ96" i="260"/>
  <c r="AZ115" i="260"/>
  <c r="N120" i="260"/>
  <c r="BK82" i="260"/>
  <c r="V203" i="260"/>
  <c r="R183" i="260"/>
  <c r="Z128" i="260"/>
  <c r="BK199" i="260"/>
  <c r="AT128" i="260"/>
  <c r="J99" i="260"/>
  <c r="AD115" i="260"/>
  <c r="BK190" i="260"/>
  <c r="AZ91" i="260"/>
  <c r="AH80" i="260"/>
  <c r="J113" i="260"/>
  <c r="R90" i="260"/>
  <c r="AD102" i="260"/>
  <c r="AQ106" i="260"/>
  <c r="BD193" i="260"/>
  <c r="BO96" i="260"/>
  <c r="AH202" i="260"/>
  <c r="AQ198" i="260"/>
  <c r="BG97" i="260"/>
  <c r="AH200" i="260"/>
  <c r="AQ99" i="260"/>
  <c r="N110" i="260"/>
  <c r="AN108" i="260"/>
  <c r="AD107" i="260"/>
  <c r="AN90" i="260"/>
  <c r="G75" i="260"/>
  <c r="BD57" i="260"/>
  <c r="BG134" i="260"/>
  <c r="BD138" i="260"/>
  <c r="AH150" i="260"/>
  <c r="V69" i="260"/>
  <c r="BG62" i="260"/>
  <c r="BD176" i="260"/>
  <c r="BK144" i="260"/>
  <c r="BG63" i="260"/>
  <c r="AN174" i="260"/>
  <c r="AQ135" i="260"/>
  <c r="N139" i="260"/>
  <c r="R135" i="260"/>
  <c r="AT33" i="260"/>
  <c r="J172" i="260"/>
  <c r="BO51" i="260"/>
  <c r="BK159" i="260"/>
  <c r="V164" i="260"/>
  <c r="J170" i="260"/>
  <c r="G121" i="260"/>
  <c r="AZ193" i="260"/>
  <c r="BO83" i="260"/>
  <c r="R119" i="260"/>
  <c r="AN114" i="260"/>
  <c r="V162" i="260"/>
  <c r="G106" i="260"/>
  <c r="BG93" i="260"/>
  <c r="BO90" i="260"/>
  <c r="AN197" i="260"/>
  <c r="V102" i="260"/>
  <c r="BD115" i="260"/>
  <c r="AN88" i="260"/>
  <c r="AQ111" i="260"/>
  <c r="N80" i="260"/>
  <c r="Z120" i="260"/>
  <c r="G201" i="260"/>
  <c r="BD182" i="260"/>
  <c r="R109" i="260"/>
  <c r="V82" i="260"/>
  <c r="R201" i="260"/>
  <c r="V94" i="260"/>
  <c r="AQ120" i="260"/>
  <c r="J128" i="260"/>
  <c r="BD92" i="260"/>
  <c r="AZ195" i="260"/>
  <c r="AQ189" i="260"/>
  <c r="AZ198" i="260"/>
  <c r="N86" i="260"/>
  <c r="AH93" i="260"/>
  <c r="Z116" i="260"/>
  <c r="AH127" i="260"/>
  <c r="V189" i="260"/>
  <c r="N101" i="260"/>
  <c r="BG195" i="260"/>
  <c r="R125" i="260"/>
  <c r="AH92" i="260"/>
  <c r="AQ156" i="260"/>
  <c r="V156" i="260"/>
  <c r="Z100" i="260"/>
  <c r="AN93" i="260"/>
  <c r="BO81" i="260"/>
  <c r="AT99" i="260"/>
  <c r="N189" i="260"/>
  <c r="V103" i="260"/>
  <c r="AT182" i="260"/>
  <c r="G80" i="260"/>
  <c r="J161" i="260"/>
  <c r="V112" i="260"/>
  <c r="AZ128" i="260"/>
  <c r="AZ107" i="260"/>
  <c r="AT185" i="260"/>
  <c r="AQ122" i="260"/>
  <c r="AQ126" i="260"/>
  <c r="N112" i="260"/>
  <c r="AH89" i="260"/>
  <c r="AZ121" i="260"/>
  <c r="J81" i="260"/>
  <c r="R96" i="260"/>
  <c r="BD98" i="260"/>
  <c r="J89" i="260"/>
  <c r="G114" i="260"/>
  <c r="AZ116" i="260"/>
  <c r="J92" i="260"/>
  <c r="J103" i="260"/>
  <c r="AH183" i="260"/>
  <c r="BK87" i="260"/>
  <c r="BK96" i="260"/>
  <c r="AQ182" i="260"/>
  <c r="BG83" i="260"/>
  <c r="V80" i="260"/>
  <c r="AT123" i="260"/>
  <c r="AQ117" i="260"/>
  <c r="R171" i="260"/>
  <c r="AQ116" i="260"/>
  <c r="AZ92" i="260"/>
  <c r="Z197" i="260"/>
  <c r="AN84" i="260"/>
  <c r="BK127" i="260"/>
  <c r="AH88" i="260"/>
  <c r="BD202" i="260"/>
  <c r="BK191" i="260"/>
  <c r="AZ123" i="260"/>
  <c r="AD80" i="260"/>
  <c r="BD80" i="260"/>
  <c r="J201" i="260"/>
  <c r="J115" i="260"/>
  <c r="BO94" i="260"/>
  <c r="AQ127" i="260"/>
  <c r="AH108" i="260"/>
  <c r="BO86" i="260"/>
  <c r="AH115" i="260"/>
  <c r="BK103" i="260"/>
  <c r="Z113" i="260"/>
  <c r="AN198" i="260"/>
  <c r="AN103" i="260"/>
  <c r="BD180" i="260"/>
  <c r="Z83" i="260"/>
  <c r="N183" i="260"/>
  <c r="J188" i="260"/>
  <c r="AN113" i="260"/>
  <c r="AH191" i="260"/>
  <c r="G94" i="260"/>
  <c r="G171" i="260"/>
  <c r="R156" i="260"/>
  <c r="V64" i="260"/>
  <c r="R178" i="260"/>
  <c r="AZ31" i="260"/>
  <c r="Z65" i="260"/>
  <c r="R45" i="260"/>
  <c r="BG177" i="260"/>
  <c r="AD39" i="260"/>
  <c r="BG69" i="260"/>
  <c r="R144" i="260"/>
  <c r="BD60" i="260"/>
  <c r="AH164" i="260"/>
  <c r="BK71" i="260"/>
  <c r="BK72" i="260"/>
  <c r="AQ47" i="260"/>
  <c r="AN164" i="260"/>
  <c r="AT148" i="260"/>
  <c r="N43" i="260"/>
  <c r="G35" i="260"/>
  <c r="Z44" i="260"/>
  <c r="N36" i="260"/>
  <c r="AD98" i="260"/>
  <c r="AZ117" i="260"/>
  <c r="BG92" i="260"/>
  <c r="V99" i="260"/>
  <c r="Z183" i="260"/>
  <c r="V123" i="260"/>
  <c r="AZ189" i="260"/>
  <c r="AT109" i="260"/>
  <c r="R92" i="260"/>
  <c r="AN184" i="260"/>
  <c r="BG112" i="260"/>
  <c r="AN183" i="260"/>
  <c r="AH84" i="260"/>
  <c r="AD108" i="260"/>
  <c r="AH182" i="260"/>
  <c r="R189" i="260"/>
  <c r="AZ125" i="260"/>
  <c r="R128" i="260"/>
  <c r="AN87" i="260"/>
  <c r="AH185" i="260"/>
  <c r="BD101" i="260"/>
  <c r="BO122" i="260"/>
  <c r="AH124" i="260"/>
  <c r="AT194" i="260"/>
  <c r="AZ127" i="260"/>
  <c r="AZ102" i="260"/>
  <c r="R203" i="260"/>
  <c r="BG127" i="260"/>
  <c r="BO117" i="260"/>
  <c r="AD85" i="260"/>
  <c r="R101" i="260"/>
  <c r="G127" i="260"/>
  <c r="G98" i="260"/>
  <c r="AH112" i="260"/>
  <c r="N190" i="260"/>
  <c r="BO188" i="260"/>
  <c r="AT183" i="260"/>
  <c r="J197" i="260"/>
  <c r="BK125" i="260"/>
  <c r="Z123" i="260"/>
  <c r="BO109" i="260"/>
  <c r="R87" i="260"/>
  <c r="BG126" i="260"/>
  <c r="V134" i="260"/>
  <c r="AH34" i="260"/>
  <c r="BK48" i="260"/>
  <c r="G178" i="260"/>
  <c r="AN32" i="260"/>
  <c r="BG170" i="260"/>
  <c r="AN150" i="260"/>
  <c r="AQ142" i="260"/>
  <c r="BG165" i="260"/>
  <c r="Z143" i="260"/>
  <c r="R147" i="260"/>
  <c r="N144" i="260"/>
  <c r="N49" i="260"/>
  <c r="AQ169" i="260"/>
  <c r="G148" i="260"/>
  <c r="N39" i="260"/>
  <c r="AQ43" i="260"/>
  <c r="AH130" i="260"/>
  <c r="AQ166" i="260"/>
  <c r="AT176" i="260"/>
  <c r="J59" i="260"/>
  <c r="BG71" i="260"/>
  <c r="N176" i="260"/>
  <c r="G68" i="260"/>
  <c r="AD70" i="260"/>
  <c r="AQ176" i="260"/>
  <c r="J31" i="260"/>
  <c r="G177" i="260"/>
  <c r="AD46" i="260"/>
  <c r="BG52" i="260"/>
  <c r="AT136" i="260"/>
  <c r="AD133" i="260"/>
  <c r="J144" i="260"/>
  <c r="AT76" i="260"/>
  <c r="V169" i="260"/>
  <c r="AH159" i="260"/>
  <c r="BD58" i="260"/>
  <c r="R153" i="260"/>
  <c r="AT78" i="260"/>
  <c r="J78" i="260"/>
  <c r="J50" i="260"/>
  <c r="BG41" i="260"/>
  <c r="AQ42" i="260"/>
  <c r="R172" i="260"/>
  <c r="Z167" i="260"/>
  <c r="AT10" i="260"/>
  <c r="AN144" i="260"/>
  <c r="BK155" i="260"/>
  <c r="V36" i="260"/>
  <c r="AH167" i="260"/>
  <c r="AZ36" i="260"/>
  <c r="AZ60" i="260"/>
  <c r="AN45" i="260"/>
  <c r="AH61" i="260"/>
  <c r="BO144" i="260"/>
  <c r="G47" i="260"/>
  <c r="BK135" i="260"/>
  <c r="AN167" i="260"/>
  <c r="AD64" i="260"/>
  <c r="AQ137" i="260"/>
  <c r="AQ62" i="260"/>
  <c r="AZ39" i="260"/>
  <c r="J159" i="260"/>
  <c r="BD33" i="260"/>
  <c r="AH50" i="260"/>
  <c r="R37" i="260"/>
  <c r="BO178" i="260"/>
  <c r="G137" i="260"/>
  <c r="AT147" i="260"/>
  <c r="BO159" i="260"/>
  <c r="AH144" i="260"/>
  <c r="AZ68" i="260"/>
  <c r="AT31" i="260"/>
  <c r="AZ73" i="260"/>
  <c r="AQ45" i="260"/>
  <c r="BK47" i="260"/>
  <c r="AN43" i="260"/>
  <c r="V60" i="260"/>
  <c r="AT65" i="260"/>
  <c r="AH95" i="260"/>
  <c r="AT114" i="260"/>
  <c r="AZ185" i="260"/>
  <c r="AT98" i="260"/>
  <c r="BO184" i="260"/>
  <c r="AH116" i="260"/>
  <c r="Z112" i="260"/>
  <c r="N126" i="260"/>
  <c r="Z124" i="260"/>
  <c r="AD112" i="260"/>
  <c r="AT190" i="260"/>
  <c r="BD96" i="260"/>
  <c r="AT122" i="260"/>
  <c r="BK116" i="260"/>
  <c r="V107" i="260"/>
  <c r="BD184" i="260"/>
  <c r="R117" i="260"/>
  <c r="J94" i="260"/>
  <c r="R122" i="260"/>
  <c r="AQ118" i="260"/>
  <c r="N85" i="260"/>
  <c r="BG108" i="260"/>
  <c r="AT82" i="260"/>
  <c r="R120" i="260"/>
  <c r="R88" i="260"/>
  <c r="BD110" i="260"/>
  <c r="R85" i="260"/>
  <c r="BD111" i="260"/>
  <c r="R190" i="260"/>
  <c r="AQ92" i="260"/>
  <c r="R86" i="260"/>
  <c r="AD116" i="260"/>
  <c r="BD156" i="260"/>
  <c r="Z125" i="260"/>
  <c r="AZ111" i="260"/>
  <c r="R193" i="260"/>
  <c r="AQ90" i="260"/>
  <c r="BG106" i="260"/>
  <c r="V105" i="260"/>
  <c r="BK189" i="260"/>
  <c r="N97" i="260"/>
  <c r="R97" i="260"/>
  <c r="G103" i="260"/>
  <c r="BG123" i="260"/>
  <c r="AZ124" i="260"/>
  <c r="BD87" i="260"/>
  <c r="V188" i="260"/>
  <c r="BO75" i="260"/>
  <c r="J173" i="260"/>
  <c r="BD132" i="260"/>
  <c r="J45" i="260"/>
  <c r="BG157" i="260"/>
  <c r="BK69" i="260"/>
  <c r="G52" i="260"/>
  <c r="N151" i="260"/>
  <c r="AH58" i="260"/>
  <c r="BO37" i="260"/>
  <c r="BO34" i="260"/>
  <c r="Z35" i="260"/>
  <c r="G48" i="260"/>
  <c r="BO130" i="260"/>
  <c r="BO142" i="260"/>
  <c r="AN163" i="260"/>
  <c r="N164" i="260"/>
  <c r="Z150" i="260"/>
  <c r="BD146" i="260"/>
  <c r="J34" i="260"/>
  <c r="AD134" i="260"/>
  <c r="AQ165" i="260"/>
  <c r="AZ69" i="260"/>
  <c r="AH146" i="260"/>
  <c r="J61" i="260"/>
  <c r="J42" i="260"/>
  <c r="G160" i="260"/>
  <c r="G136" i="260"/>
  <c r="BK132" i="260"/>
  <c r="AH133" i="260"/>
  <c r="AQ133" i="260"/>
  <c r="Z75" i="260"/>
  <c r="BD158" i="260"/>
  <c r="AN157" i="260"/>
  <c r="AN135" i="260"/>
  <c r="AQ53" i="260"/>
  <c r="Z74" i="260"/>
  <c r="BG138" i="260"/>
  <c r="AD145" i="260"/>
  <c r="AZ51" i="260"/>
  <c r="R62" i="260"/>
  <c r="AN67" i="260"/>
  <c r="BD130" i="260"/>
  <c r="N46" i="260"/>
  <c r="R158" i="260"/>
  <c r="BK166" i="260"/>
  <c r="N141" i="260"/>
  <c r="J153" i="260"/>
  <c r="J67" i="260"/>
  <c r="V135" i="260"/>
  <c r="V52" i="260"/>
  <c r="AZ164" i="260"/>
  <c r="J175" i="260"/>
  <c r="AH68" i="260"/>
  <c r="BO72" i="260"/>
  <c r="AH69" i="260"/>
  <c r="AQ152" i="260"/>
  <c r="AD55" i="260"/>
  <c r="BO165" i="260"/>
  <c r="Z31" i="260"/>
  <c r="AN48" i="260"/>
  <c r="G64" i="260"/>
  <c r="BK147" i="260"/>
  <c r="BO57" i="260"/>
  <c r="G151" i="260"/>
  <c r="AZ166" i="260"/>
  <c r="Z45" i="260"/>
  <c r="Z50" i="260"/>
  <c r="AD168" i="260"/>
  <c r="BO133" i="260"/>
  <c r="BO44" i="260"/>
  <c r="V58" i="260"/>
  <c r="V33" i="260"/>
  <c r="AN155" i="260"/>
  <c r="N148" i="260"/>
  <c r="G159" i="260"/>
  <c r="N157" i="260"/>
  <c r="V38" i="260"/>
  <c r="AZ49" i="260"/>
  <c r="R73" i="260"/>
  <c r="BG103" i="260"/>
  <c r="AZ201" i="260"/>
  <c r="R116" i="260"/>
  <c r="AD119" i="260"/>
  <c r="AQ113" i="260"/>
  <c r="J110" i="260"/>
  <c r="AN119" i="260"/>
  <c r="R121" i="260"/>
  <c r="J86" i="260"/>
  <c r="AH188" i="260"/>
  <c r="AH85" i="260"/>
  <c r="BK122" i="260"/>
  <c r="J111" i="260"/>
  <c r="G123" i="260"/>
  <c r="BG197" i="260"/>
  <c r="J85" i="260"/>
  <c r="V161" i="260"/>
  <c r="R198" i="260"/>
  <c r="AN185" i="260"/>
  <c r="BG102" i="260"/>
  <c r="BO98" i="260"/>
  <c r="G180" i="260"/>
  <c r="J93" i="260"/>
  <c r="BD105" i="260"/>
  <c r="V122" i="260"/>
  <c r="BD106" i="260"/>
  <c r="AT88" i="260"/>
  <c r="AT91" i="260"/>
  <c r="AT161" i="260"/>
  <c r="BG162" i="260"/>
  <c r="AN128" i="260"/>
  <c r="G202" i="260"/>
  <c r="G194" i="260"/>
  <c r="AN120" i="260"/>
  <c r="AD81" i="260"/>
  <c r="N93" i="260"/>
  <c r="G124" i="260"/>
  <c r="J90" i="260"/>
  <c r="Z122" i="260"/>
  <c r="N198" i="260"/>
  <c r="BG199" i="260"/>
  <c r="J162" i="260"/>
  <c r="AD202" i="260"/>
  <c r="AT132" i="260"/>
  <c r="Z46" i="260"/>
  <c r="R169" i="260"/>
  <c r="N57" i="260"/>
  <c r="BG38" i="260"/>
  <c r="AD138" i="260"/>
  <c r="AZ137" i="260"/>
  <c r="G158" i="260"/>
  <c r="V167" i="260"/>
  <c r="AN141" i="260"/>
  <c r="AH56" i="260"/>
  <c r="V155" i="260"/>
  <c r="AT43" i="260"/>
  <c r="N174" i="260"/>
  <c r="BD174" i="260"/>
  <c r="V40" i="260"/>
  <c r="AQ65" i="260"/>
  <c r="BK51" i="260"/>
  <c r="AT150" i="260"/>
  <c r="BG78" i="260"/>
  <c r="G175" i="260"/>
  <c r="AZ58" i="260"/>
  <c r="AH60" i="260"/>
  <c r="R36" i="260"/>
  <c r="R175" i="260"/>
  <c r="AN44" i="260"/>
  <c r="BG40" i="260"/>
  <c r="BG64" i="260"/>
  <c r="AZ50" i="260"/>
  <c r="AH169" i="260"/>
  <c r="AN149" i="260"/>
  <c r="R74" i="260"/>
  <c r="BD168" i="260"/>
  <c r="AD60" i="260"/>
  <c r="N64" i="260"/>
  <c r="AQ55" i="260"/>
  <c r="AZ40" i="260"/>
  <c r="J143" i="260"/>
  <c r="AZ44" i="260"/>
  <c r="R157" i="260"/>
  <c r="BG73" i="260"/>
  <c r="BG49" i="260"/>
  <c r="AH165" i="260"/>
  <c r="BO166" i="260"/>
  <c r="AT45" i="260"/>
  <c r="G49" i="260"/>
  <c r="AH136" i="260"/>
  <c r="AD149" i="260"/>
  <c r="Z34" i="260"/>
  <c r="AQ36" i="260"/>
  <c r="BK43" i="260"/>
  <c r="V157" i="260"/>
  <c r="N65" i="260"/>
  <c r="Z151" i="260"/>
  <c r="BD61" i="260"/>
  <c r="J48" i="260"/>
  <c r="R140" i="260"/>
  <c r="AN60" i="260"/>
  <c r="AN34" i="260"/>
  <c r="BO168" i="260"/>
  <c r="G130" i="260"/>
  <c r="AZ170" i="260"/>
  <c r="AZ134" i="260"/>
  <c r="J140" i="260"/>
  <c r="AD147" i="260"/>
  <c r="AZ152" i="260"/>
  <c r="AN178" i="260"/>
  <c r="V170" i="260"/>
  <c r="R152" i="260"/>
  <c r="AZ174" i="260"/>
  <c r="BG57" i="260"/>
  <c r="AZ59" i="260"/>
  <c r="Z169" i="260"/>
  <c r="N60" i="260"/>
  <c r="BG32" i="260"/>
  <c r="BK68" i="260"/>
  <c r="AT69" i="260"/>
  <c r="AT66" i="260"/>
  <c r="AH74" i="260"/>
  <c r="AZ47" i="260"/>
  <c r="AZ184" i="260"/>
  <c r="G199" i="260"/>
  <c r="BD102" i="260"/>
  <c r="Z89" i="260"/>
  <c r="R202" i="260"/>
  <c r="Z105" i="260"/>
  <c r="AT199" i="260"/>
  <c r="N88" i="260"/>
  <c r="J97" i="260"/>
  <c r="Z102" i="260"/>
  <c r="AN95" i="260"/>
  <c r="Z185" i="260"/>
  <c r="AD109" i="260"/>
  <c r="N156" i="260"/>
  <c r="G198" i="260"/>
  <c r="AT200" i="260"/>
  <c r="G188" i="260"/>
  <c r="AN188" i="260"/>
  <c r="R188" i="260"/>
  <c r="BD88" i="260"/>
  <c r="AZ103" i="260"/>
  <c r="BG98" i="260"/>
  <c r="V96" i="260"/>
  <c r="AZ97" i="260"/>
  <c r="J118" i="260"/>
  <c r="AN110" i="260"/>
  <c r="R105" i="260"/>
  <c r="AZ192" i="260"/>
  <c r="BG202" i="260"/>
  <c r="N118" i="260"/>
  <c r="AQ115" i="260"/>
  <c r="AN101" i="260"/>
  <c r="BG105" i="260"/>
  <c r="R94" i="260"/>
  <c r="BO101" i="260"/>
  <c r="G86" i="260"/>
  <c r="BG188" i="260"/>
  <c r="BK95" i="260"/>
  <c r="G110" i="260"/>
  <c r="AQ161" i="260"/>
  <c r="BO203" i="260"/>
  <c r="AD94" i="260"/>
  <c r="BO100" i="260"/>
  <c r="V124" i="260"/>
  <c r="AT83" i="260"/>
  <c r="AN123" i="260"/>
  <c r="AT197" i="260"/>
  <c r="AH72" i="260"/>
  <c r="AZ37" i="260"/>
  <c r="J178" i="260"/>
  <c r="J33" i="260"/>
  <c r="R52" i="260"/>
  <c r="AQ170" i="260"/>
  <c r="V145" i="260"/>
  <c r="R33" i="260"/>
  <c r="BD133" i="260"/>
  <c r="AZ155" i="260"/>
  <c r="V44" i="260"/>
  <c r="AQ35" i="260"/>
  <c r="Z157" i="260"/>
  <c r="AT67" i="260"/>
  <c r="AT152" i="260"/>
  <c r="BO76" i="260"/>
  <c r="G46" i="260"/>
  <c r="BD175" i="260"/>
  <c r="BG141" i="260"/>
  <c r="AZ148" i="260"/>
  <c r="BG42" i="260"/>
  <c r="V174" i="260"/>
  <c r="AT63" i="260"/>
  <c r="J165" i="260"/>
  <c r="AN159" i="260"/>
  <c r="G146" i="260"/>
  <c r="R137" i="260"/>
  <c r="BK73" i="260"/>
  <c r="V177" i="260"/>
  <c r="R56" i="260"/>
  <c r="J160" i="260"/>
  <c r="R174" i="260"/>
  <c r="AT172" i="260"/>
  <c r="BD173" i="260"/>
  <c r="AZ30" i="260"/>
  <c r="BK37" i="260"/>
  <c r="AD74" i="260"/>
  <c r="AN81" i="260"/>
  <c r="Z69" i="260"/>
  <c r="BD31" i="260"/>
  <c r="AH67" i="260"/>
  <c r="AD47" i="260"/>
  <c r="AD65" i="260"/>
  <c r="BG39" i="260"/>
  <c r="J49" i="260"/>
  <c r="AN70" i="260"/>
  <c r="V56" i="260"/>
  <c r="AQ71" i="260"/>
  <c r="N77" i="260"/>
  <c r="BG30" i="260"/>
  <c r="Z59" i="260"/>
  <c r="AZ167" i="260"/>
  <c r="J72" i="260"/>
  <c r="AT140" i="260"/>
  <c r="AD49" i="260"/>
  <c r="BK44" i="260"/>
  <c r="BK173" i="260"/>
  <c r="G61" i="260"/>
  <c r="AD58" i="260"/>
  <c r="BO174" i="260"/>
  <c r="AN58" i="260"/>
  <c r="BO134" i="260"/>
  <c r="BK152" i="260"/>
  <c r="AD137" i="260"/>
  <c r="BO173" i="260"/>
  <c r="AH57" i="260"/>
  <c r="BD152" i="260"/>
  <c r="V173" i="260"/>
  <c r="AT16" i="260"/>
  <c r="AZ133" i="260"/>
  <c r="BG68" i="260"/>
  <c r="G41" i="260"/>
  <c r="BG135" i="260"/>
  <c r="J71" i="260"/>
  <c r="J176" i="260"/>
  <c r="AQ146" i="260"/>
  <c r="Z62" i="260"/>
  <c r="Z153" i="260"/>
  <c r="N72" i="260"/>
  <c r="N53" i="260"/>
  <c r="BO114" i="260"/>
  <c r="AZ85" i="260"/>
  <c r="Z115" i="260"/>
  <c r="BK188" i="260"/>
  <c r="N127" i="260"/>
  <c r="BK192" i="260"/>
  <c r="R200" i="260"/>
  <c r="BG91" i="260"/>
  <c r="AD183" i="260"/>
  <c r="BK106" i="260"/>
  <c r="AN86" i="260"/>
  <c r="BK90" i="260"/>
  <c r="AZ162" i="260"/>
  <c r="BD171" i="260"/>
  <c r="AZ194" i="260"/>
  <c r="AZ156" i="260"/>
  <c r="Z182" i="260"/>
  <c r="AT100" i="260"/>
  <c r="N180" i="260"/>
  <c r="AH119" i="260"/>
  <c r="AH102" i="260"/>
  <c r="J120" i="260"/>
  <c r="AD86" i="260"/>
  <c r="BG90" i="260"/>
  <c r="AT113" i="260"/>
  <c r="AT184" i="260"/>
  <c r="BD161" i="260"/>
  <c r="V111" i="260"/>
  <c r="V201" i="260"/>
  <c r="BO182" i="260"/>
  <c r="AN126" i="260"/>
  <c r="AH87" i="260"/>
  <c r="AD91" i="260"/>
  <c r="R113" i="260"/>
  <c r="J184" i="260"/>
  <c r="AZ95" i="260"/>
  <c r="AH118" i="260"/>
  <c r="BK81" i="260"/>
  <c r="G5" i="260"/>
  <c r="R115" i="260"/>
  <c r="BG171" i="260"/>
  <c r="AH198" i="260"/>
  <c r="AH114" i="260"/>
  <c r="R42" i="260"/>
  <c r="AZ150" i="260"/>
  <c r="J132" i="260"/>
  <c r="AZ147" i="260"/>
  <c r="AZ177" i="260"/>
  <c r="J148" i="260"/>
  <c r="R75" i="260"/>
  <c r="BO141" i="260"/>
  <c r="AD32" i="260"/>
  <c r="AT9" i="260"/>
  <c r="AQ33" i="260"/>
  <c r="BD165" i="260"/>
  <c r="BO170" i="260"/>
  <c r="N132" i="260"/>
  <c r="R53" i="260"/>
  <c r="V140" i="260"/>
  <c r="BD37" i="260"/>
  <c r="AD167" i="260"/>
  <c r="Z64" i="260"/>
  <c r="AT57" i="260"/>
  <c r="G145" i="260"/>
  <c r="BG130" i="260"/>
  <c r="AN49" i="260"/>
  <c r="J35" i="260"/>
  <c r="AD174" i="260"/>
  <c r="R143" i="260"/>
  <c r="Z152" i="260"/>
  <c r="N178" i="260"/>
  <c r="AH175" i="260"/>
  <c r="V39" i="260"/>
  <c r="Z149" i="260"/>
  <c r="R130" i="260"/>
  <c r="AQ34" i="260"/>
  <c r="V130" i="260"/>
  <c r="BD72" i="260"/>
  <c r="G63" i="260"/>
  <c r="BD137" i="260"/>
  <c r="J139" i="260"/>
  <c r="N146" i="260"/>
  <c r="J56" i="260"/>
  <c r="AN139" i="260"/>
  <c r="BO131" i="260"/>
  <c r="BD139" i="260"/>
  <c r="Z131" i="260"/>
  <c r="BK62" i="260"/>
  <c r="AQ58" i="260"/>
  <c r="AQ70" i="260"/>
  <c r="AZ74" i="260"/>
  <c r="AZ160" i="260"/>
  <c r="BG142" i="260"/>
  <c r="G73" i="260"/>
  <c r="BK36" i="260"/>
  <c r="AN166" i="260"/>
  <c r="AH64" i="260"/>
  <c r="AZ76" i="260"/>
  <c r="AH44" i="260"/>
  <c r="N40" i="260"/>
  <c r="BK70" i="260"/>
  <c r="AH45" i="260"/>
  <c r="AH26" i="260"/>
  <c r="Z135" i="260"/>
  <c r="AN68" i="260"/>
  <c r="BO64" i="260"/>
  <c r="BG131" i="260"/>
  <c r="BO67" i="260"/>
  <c r="AD72" i="260"/>
  <c r="BO77" i="260"/>
  <c r="Z43" i="260"/>
  <c r="G31" i="260"/>
  <c r="AQ164" i="260"/>
  <c r="AZ172" i="260"/>
  <c r="AH33" i="260"/>
  <c r="N35" i="260"/>
  <c r="BD172" i="260"/>
  <c r="R77" i="260"/>
  <c r="AH39" i="260"/>
  <c r="AH40" i="260"/>
  <c r="N134" i="260"/>
  <c r="Z55" i="260"/>
  <c r="R48" i="260"/>
  <c r="AT203" i="260"/>
  <c r="AQ80" i="260"/>
  <c r="AZ83" i="260"/>
  <c r="N83" i="260"/>
  <c r="AD188" i="260"/>
  <c r="AT92" i="260"/>
  <c r="N195" i="260"/>
  <c r="BD85" i="260"/>
  <c r="AN85" i="260"/>
  <c r="AH203" i="260"/>
  <c r="BD108" i="260"/>
  <c r="AH101" i="260"/>
  <c r="AH190" i="260"/>
  <c r="BO156" i="260"/>
  <c r="AN182" i="260"/>
  <c r="BD81" i="260"/>
  <c r="BK88" i="260"/>
  <c r="AT195" i="260"/>
  <c r="AZ118" i="260"/>
  <c r="J88" i="260"/>
  <c r="AD106" i="260"/>
  <c r="BO116" i="260"/>
  <c r="BO82" i="260"/>
  <c r="AQ88" i="260"/>
  <c r="Z98" i="260"/>
  <c r="J193" i="260"/>
  <c r="AN121" i="260"/>
  <c r="BG119" i="260"/>
  <c r="J121" i="260"/>
  <c r="N192" i="260"/>
  <c r="V120" i="260"/>
  <c r="N105" i="260"/>
  <c r="J101" i="260"/>
  <c r="N107" i="260"/>
  <c r="G197" i="260"/>
  <c r="AT81" i="260"/>
  <c r="BK184" i="260"/>
  <c r="BK202" i="260"/>
  <c r="J122" i="260"/>
  <c r="BG190" i="260"/>
  <c r="V119" i="260"/>
  <c r="AH199" i="260"/>
  <c r="R185" i="260"/>
  <c r="AH90" i="260"/>
  <c r="BK61" i="260"/>
  <c r="AN169" i="260"/>
  <c r="AT15" i="260"/>
  <c r="AH139" i="260"/>
  <c r="BD75" i="260"/>
  <c r="BG136" i="260"/>
  <c r="AZ70" i="260"/>
  <c r="AZ159" i="260"/>
  <c r="AQ131" i="260"/>
  <c r="BD47" i="260"/>
  <c r="R165" i="260"/>
  <c r="AD152" i="260"/>
  <c r="AQ148" i="260"/>
  <c r="Z41" i="260"/>
  <c r="BO139" i="260"/>
  <c r="BO32" i="260"/>
  <c r="Z176" i="260"/>
  <c r="AN41" i="260"/>
  <c r="AT34" i="260"/>
  <c r="AQ37" i="260"/>
  <c r="BG47" i="260"/>
  <c r="J69" i="260"/>
  <c r="N133" i="260"/>
  <c r="AQ46" i="260"/>
  <c r="AT13" i="260"/>
  <c r="AT59" i="260"/>
  <c r="BD53" i="260"/>
  <c r="AZ149" i="260"/>
  <c r="J39" i="260"/>
  <c r="AD153" i="260"/>
  <c r="V35" i="260"/>
  <c r="AH41" i="260"/>
  <c r="BO163" i="260"/>
  <c r="BG167" i="260"/>
  <c r="N168" i="260"/>
  <c r="AH174" i="260"/>
  <c r="V49" i="260"/>
  <c r="BG35" i="260"/>
  <c r="BG50" i="260"/>
  <c r="Z70" i="260"/>
  <c r="R78" i="260"/>
  <c r="V67" i="260"/>
  <c r="BG153" i="260"/>
  <c r="V149" i="260"/>
  <c r="AQ76" i="260"/>
  <c r="G157" i="260"/>
  <c r="BK170" i="260"/>
  <c r="Z49" i="260"/>
  <c r="N31" i="260"/>
  <c r="AT19" i="260"/>
  <c r="AT178" i="260"/>
  <c r="AD163" i="260"/>
  <c r="BD55" i="260"/>
  <c r="N61" i="260"/>
  <c r="G176" i="260"/>
  <c r="BD135" i="260"/>
  <c r="G59" i="260"/>
  <c r="AQ153" i="260"/>
  <c r="AD42" i="260"/>
  <c r="AH145" i="260"/>
  <c r="AQ32" i="260"/>
  <c r="BG140" i="260"/>
  <c r="AH78" i="260"/>
  <c r="AQ48" i="260"/>
  <c r="R146" i="260"/>
  <c r="J51" i="260"/>
  <c r="BG34" i="260"/>
  <c r="AH77" i="260"/>
  <c r="R63" i="260"/>
  <c r="R163" i="260"/>
  <c r="G43" i="260"/>
  <c r="AT74" i="260"/>
  <c r="AT22" i="260"/>
  <c r="AZ130" i="260"/>
  <c r="BK150" i="260"/>
  <c r="AZ78" i="260"/>
  <c r="BK158" i="260"/>
  <c r="AH142" i="260"/>
  <c r="AT36" i="260"/>
  <c r="BD177" i="260"/>
  <c r="AD172" i="260"/>
  <c r="AZ72" i="260"/>
  <c r="BD67" i="260"/>
  <c r="AN147" i="260"/>
  <c r="J150" i="260"/>
  <c r="AD57" i="260"/>
  <c r="BO140" i="260"/>
  <c r="AZ61" i="260"/>
  <c r="AH153" i="260"/>
  <c r="J68" i="260"/>
  <c r="V65" i="260"/>
  <c r="BD78" i="260"/>
  <c r="AT28" i="260"/>
  <c r="BK141" i="260"/>
  <c r="V57" i="260"/>
  <c r="AT18" i="260"/>
  <c r="BG164" i="260"/>
  <c r="V43" i="260"/>
  <c r="J57" i="260"/>
  <c r="Z77" i="260"/>
  <c r="BD163" i="260"/>
  <c r="BD71" i="260"/>
  <c r="N44" i="260"/>
  <c r="AN52" i="260"/>
  <c r="AN153" i="260"/>
  <c r="J174" i="260"/>
  <c r="BG60" i="260"/>
  <c r="AQ144" i="260"/>
  <c r="N51" i="260"/>
  <c r="BD150" i="260"/>
  <c r="V47" i="260"/>
  <c r="AH163" i="260"/>
  <c r="BO78" i="260"/>
  <c r="BO59" i="260"/>
  <c r="R31" i="260"/>
  <c r="BG133" i="260"/>
  <c r="N66" i="260"/>
  <c r="AH43" i="260"/>
  <c r="AD59" i="260"/>
  <c r="J146" i="260"/>
  <c r="AN75" i="260"/>
  <c r="N130" i="260"/>
  <c r="AT32" i="260"/>
  <c r="BD43" i="260"/>
  <c r="AD37" i="260"/>
  <c r="BO36" i="260"/>
  <c r="BO143" i="260"/>
  <c r="AN37" i="260"/>
  <c r="BD147" i="260"/>
  <c r="R164" i="260"/>
  <c r="N177" i="260"/>
  <c r="AN65" i="260"/>
  <c r="BK163" i="260"/>
  <c r="BD167" i="260"/>
  <c r="AN165" i="260"/>
  <c r="Z63" i="260"/>
  <c r="AH172" i="260"/>
  <c r="J40" i="260"/>
  <c r="AD38" i="260"/>
  <c r="AN136" i="260"/>
  <c r="BG137" i="260"/>
  <c r="BO172" i="260"/>
  <c r="R71" i="260"/>
  <c r="J46" i="260"/>
  <c r="Z60" i="260"/>
  <c r="AQ134" i="260"/>
  <c r="N41" i="260"/>
  <c r="AT47" i="260"/>
  <c r="V50" i="260"/>
  <c r="BD145" i="260"/>
  <c r="AQ149" i="260"/>
  <c r="AT153" i="260"/>
  <c r="AN176" i="260"/>
  <c r="R67" i="260"/>
  <c r="BK59" i="260"/>
  <c r="Z72" i="260"/>
  <c r="BG178" i="260"/>
  <c r="G33" i="260"/>
  <c r="AN145" i="260"/>
  <c r="V73" i="260"/>
  <c r="J32" i="260"/>
  <c r="AT30" i="260"/>
  <c r="Z140" i="260"/>
  <c r="R138" i="260"/>
  <c r="Z36" i="260"/>
  <c r="AN73" i="260"/>
  <c r="Z132" i="260"/>
  <c r="G30" i="260"/>
  <c r="BG53" i="260"/>
  <c r="BG145" i="260"/>
  <c r="J167" i="260"/>
  <c r="AN74" i="260"/>
  <c r="BO45" i="260"/>
  <c r="AT157" i="260"/>
  <c r="AH49" i="260"/>
  <c r="N33" i="260"/>
  <c r="AT175" i="260"/>
  <c r="AH148" i="260"/>
  <c r="BK74" i="260"/>
  <c r="N47" i="260"/>
  <c r="BD63" i="260"/>
  <c r="AT44" i="260"/>
  <c r="BD38" i="260"/>
  <c r="AN31" i="260"/>
  <c r="Z170" i="260"/>
  <c r="AT50" i="260"/>
  <c r="N152" i="260"/>
  <c r="BO152" i="260"/>
  <c r="AQ143" i="260"/>
  <c r="G57" i="260"/>
  <c r="AD142" i="260"/>
  <c r="BK78" i="260"/>
  <c r="V168" i="260"/>
  <c r="AT49" i="260"/>
  <c r="R142" i="260"/>
  <c r="V62" i="260"/>
  <c r="BG159" i="260"/>
  <c r="AQ136" i="260"/>
  <c r="J151" i="260"/>
  <c r="R34" i="260"/>
  <c r="BD140" i="260"/>
  <c r="Z76" i="260"/>
  <c r="AQ30" i="260"/>
  <c r="BO55" i="260"/>
  <c r="AQ147" i="260"/>
  <c r="AD34" i="260"/>
  <c r="BG61" i="260"/>
  <c r="G69" i="260"/>
  <c r="J149" i="260"/>
  <c r="BG169" i="260"/>
  <c r="AN172" i="260"/>
  <c r="AT144" i="260"/>
  <c r="BD131" i="260"/>
  <c r="AT12" i="260"/>
  <c r="BD149" i="260"/>
  <c r="BO35" i="260"/>
  <c r="AZ57" i="260"/>
  <c r="AH158" i="260"/>
  <c r="AD159" i="260"/>
  <c r="J70" i="260"/>
  <c r="BD178" i="260"/>
  <c r="AQ150" i="260"/>
  <c r="N165" i="260"/>
  <c r="AZ175" i="260"/>
  <c r="BO169" i="260"/>
  <c r="BD65" i="260"/>
  <c r="N155" i="260"/>
  <c r="AQ66" i="260"/>
  <c r="BK50" i="260"/>
  <c r="G163" i="260"/>
  <c r="AZ139" i="260"/>
  <c r="G76" i="260"/>
  <c r="Z47" i="260"/>
  <c r="G152" i="260"/>
  <c r="AQ68" i="260"/>
  <c r="BG132" i="260"/>
  <c r="AQ52" i="260"/>
  <c r="BO43" i="260"/>
  <c r="BK151" i="260"/>
  <c r="J133" i="260"/>
  <c r="AQ40" i="260"/>
  <c r="BO135" i="260"/>
  <c r="BK33" i="260"/>
  <c r="Z139" i="260"/>
  <c r="N147" i="260"/>
  <c r="Z134" i="260"/>
  <c r="AD143" i="260"/>
  <c r="N30" i="260"/>
  <c r="BK164" i="260"/>
  <c r="AT62" i="260"/>
  <c r="J47" i="260"/>
  <c r="R166" i="260"/>
  <c r="AT163" i="260"/>
  <c r="R145" i="260"/>
  <c r="BK65" i="260"/>
  <c r="BG56" i="260"/>
  <c r="V72" i="260"/>
  <c r="R170" i="260"/>
  <c r="V147" i="260"/>
  <c r="AH52" i="260"/>
  <c r="AD67" i="260"/>
  <c r="N145" i="260"/>
  <c r="AQ57" i="260"/>
  <c r="BD48" i="260"/>
  <c r="G66" i="260"/>
  <c r="BK134" i="260"/>
  <c r="Z175" i="260"/>
  <c r="G32" i="260"/>
  <c r="BD64" i="260"/>
  <c r="BO175" i="260"/>
  <c r="V68" i="260"/>
  <c r="AQ172" i="260"/>
  <c r="BO177" i="260"/>
  <c r="AT169" i="260"/>
  <c r="AH138" i="260"/>
  <c r="AH32" i="260"/>
  <c r="AH71" i="260"/>
  <c r="AN160" i="260"/>
  <c r="BK168" i="260"/>
  <c r="Z144" i="260"/>
  <c r="AH134" i="260"/>
  <c r="V55" i="260"/>
  <c r="BO40" i="260"/>
  <c r="V66" i="260"/>
  <c r="N170" i="260"/>
  <c r="BO53" i="260"/>
  <c r="AT170" i="260"/>
  <c r="R72" i="260"/>
  <c r="AT53" i="260"/>
  <c r="Z33" i="260"/>
  <c r="V32" i="260"/>
  <c r="BG75" i="260"/>
  <c r="AH55" i="260"/>
  <c r="V51" i="260"/>
  <c r="N55" i="260"/>
  <c r="BO52" i="260"/>
  <c r="Z73" i="260"/>
  <c r="AH59" i="260"/>
  <c r="J76" i="260"/>
  <c r="Z164" i="260"/>
  <c r="BO146" i="260"/>
  <c r="AN130" i="260"/>
  <c r="AD164" i="260"/>
  <c r="AN66" i="260"/>
  <c r="Z39" i="260"/>
  <c r="BO46" i="260"/>
  <c r="R64" i="260"/>
  <c r="BG158" i="260"/>
  <c r="BO176" i="260"/>
  <c r="BK35" i="260"/>
  <c r="BD49" i="260"/>
  <c r="R133" i="260"/>
  <c r="N58" i="260"/>
  <c r="BK145" i="260"/>
  <c r="Z163" i="260"/>
  <c r="J152" i="260"/>
  <c r="BG155" i="260"/>
  <c r="BG148" i="260"/>
  <c r="V178" i="260"/>
  <c r="BG172" i="260"/>
  <c r="AD169" i="260"/>
  <c r="J58" i="260"/>
  <c r="AH75" i="260"/>
  <c r="AD175" i="260"/>
  <c r="Z137" i="260"/>
  <c r="V138" i="260"/>
  <c r="AD73" i="260"/>
  <c r="AQ145" i="260"/>
  <c r="AT168" i="260"/>
  <c r="AT24" i="260"/>
  <c r="AT42" i="260"/>
  <c r="Z138" i="260"/>
  <c r="AH152" i="260"/>
  <c r="G150" i="260"/>
  <c r="BK55" i="260"/>
  <c r="G39" i="260"/>
  <c r="Z67" i="260"/>
  <c r="R69" i="260"/>
  <c r="J155" i="260"/>
  <c r="Z136" i="260"/>
  <c r="G36" i="260"/>
  <c r="AT143" i="260"/>
  <c r="BD50" i="260"/>
  <c r="BD68" i="260"/>
  <c r="V142" i="260"/>
  <c r="AQ61" i="260"/>
  <c r="J74" i="260"/>
  <c r="AZ63" i="260"/>
  <c r="BO157" i="260"/>
  <c r="BK53" i="260"/>
  <c r="AZ77" i="260"/>
  <c r="BO147" i="260"/>
  <c r="G170" i="260"/>
  <c r="AQ63" i="260"/>
  <c r="AN137" i="260"/>
  <c r="R148" i="260"/>
  <c r="AN133" i="260"/>
  <c r="J168" i="260"/>
  <c r="BK178" i="260"/>
  <c r="AD53" i="260"/>
  <c r="AH38" i="260"/>
  <c r="V160" i="260"/>
  <c r="AD177" i="260"/>
  <c r="AZ178" i="260"/>
  <c r="R38" i="260"/>
  <c r="BG59" i="260"/>
  <c r="AZ56" i="260"/>
  <c r="J77" i="260"/>
  <c r="J53" i="260"/>
  <c r="BO60" i="260"/>
  <c r="AZ138" i="260"/>
  <c r="BG151" i="260"/>
  <c r="AD78" i="260"/>
  <c r="AD52" i="260"/>
  <c r="BK160" i="260"/>
  <c r="BD52" i="260"/>
  <c r="R160" i="260"/>
  <c r="AT8" i="260"/>
  <c r="AQ67" i="260"/>
  <c r="AT155" i="260"/>
  <c r="Z145" i="260"/>
  <c r="AZ176" i="260"/>
  <c r="Z148" i="260"/>
  <c r="AT55" i="260"/>
  <c r="AD48" i="260"/>
  <c r="R173" i="260"/>
  <c r="J41" i="260"/>
  <c r="BD76" i="260"/>
  <c r="BO132" i="260"/>
  <c r="AT21" i="260"/>
  <c r="G132" i="260"/>
  <c r="BO39" i="260"/>
  <c r="V78" i="260"/>
  <c r="BO136" i="260"/>
  <c r="BO137" i="260"/>
  <c r="BG160" i="260"/>
  <c r="N67" i="260"/>
  <c r="AN30" i="260"/>
  <c r="BK138" i="260"/>
  <c r="J63" i="260"/>
  <c r="AH66" i="260"/>
  <c r="V163" i="260"/>
  <c r="AT159" i="260"/>
  <c r="AD40" i="260"/>
  <c r="BO160" i="260"/>
  <c r="BG168" i="260"/>
  <c r="BO63" i="260"/>
  <c r="AN57" i="260"/>
  <c r="R30" i="260"/>
  <c r="AQ72" i="260"/>
  <c r="AT164" i="260"/>
  <c r="Z160" i="260"/>
  <c r="AT77" i="260"/>
  <c r="AZ33" i="260"/>
  <c r="AZ136" i="260"/>
  <c r="G167" i="260"/>
  <c r="AZ67" i="260"/>
  <c r="BO50" i="260"/>
  <c r="BK31" i="260"/>
  <c r="AT166" i="260"/>
  <c r="BD62" i="260"/>
  <c r="AN51" i="260"/>
  <c r="AT138" i="260"/>
  <c r="BK157" i="260"/>
  <c r="G45" i="260"/>
  <c r="BK75" i="260"/>
  <c r="AN39" i="260"/>
  <c r="AN173" i="260"/>
  <c r="V131" i="260"/>
  <c r="AQ140" i="260"/>
  <c r="V159" i="260"/>
  <c r="AD132" i="260"/>
  <c r="AD158" i="260"/>
  <c r="BK165" i="260"/>
  <c r="BO30" i="260"/>
  <c r="R66" i="260"/>
  <c r="AN151" i="260"/>
  <c r="AH63" i="260"/>
  <c r="AQ60" i="260"/>
  <c r="AQ138" i="260"/>
  <c r="AN36" i="260"/>
  <c r="AT52" i="260"/>
  <c r="V45" i="260"/>
  <c r="AN61" i="260"/>
  <c r="AD139" i="260"/>
  <c r="BK167" i="260"/>
  <c r="G78" i="260"/>
  <c r="G56" i="260"/>
  <c r="AD33" i="260"/>
  <c r="AT135" i="260"/>
  <c r="AD36" i="260"/>
  <c r="R151" i="260"/>
  <c r="AH141" i="260"/>
  <c r="AH51" i="260"/>
  <c r="J44" i="260"/>
  <c r="N160" i="260"/>
  <c r="G138" i="260"/>
  <c r="R141" i="260"/>
  <c r="J163" i="260"/>
  <c r="AD141" i="260"/>
  <c r="G147" i="260"/>
  <c r="AH160" i="260"/>
  <c r="R136" i="260"/>
  <c r="R168" i="260"/>
  <c r="AT165" i="260"/>
  <c r="AT37" i="260"/>
  <c r="AD144" i="260"/>
  <c r="V152" i="260"/>
  <c r="AD45" i="260"/>
  <c r="AZ144" i="260"/>
  <c r="G40" i="260"/>
  <c r="AH36" i="260"/>
  <c r="R132" i="260"/>
  <c r="BD32" i="260"/>
  <c r="AN131" i="260"/>
  <c r="AN64" i="260"/>
  <c r="AQ163" i="260"/>
  <c r="R70" i="260"/>
  <c r="Z61" i="260"/>
  <c r="AT5" i="260"/>
  <c r="BO65" i="260"/>
  <c r="BK42" i="260"/>
  <c r="G44" i="260"/>
  <c r="R32" i="260"/>
  <c r="BD30" i="260"/>
  <c r="G153" i="260"/>
  <c r="BD134" i="260"/>
  <c r="R46" i="260"/>
  <c r="V71" i="260"/>
  <c r="BK133" i="260"/>
  <c r="Z158" i="260"/>
  <c r="BD36" i="260"/>
  <c r="AN62" i="260"/>
  <c r="AD68" i="260"/>
  <c r="R150" i="260"/>
  <c r="AT73" i="260"/>
  <c r="AZ158" i="260"/>
  <c r="BD148" i="260"/>
  <c r="AT167" i="260"/>
  <c r="BG166" i="260"/>
  <c r="AD35" i="260"/>
  <c r="J177" i="260"/>
  <c r="AN77" i="260"/>
  <c r="BK63" i="260"/>
  <c r="BO61" i="260"/>
  <c r="BO145" i="260"/>
  <c r="AZ131" i="260"/>
  <c r="G77" i="260"/>
  <c r="N158" i="260"/>
  <c r="J157" i="260"/>
  <c r="BO47" i="260"/>
  <c r="N75" i="260"/>
  <c r="V144" i="260"/>
  <c r="AN72" i="260"/>
  <c r="AN134" i="260"/>
  <c r="R139" i="260"/>
  <c r="G65" i="260"/>
  <c r="G38" i="260"/>
  <c r="Z53" i="260"/>
  <c r="Z155" i="260"/>
  <c r="N45" i="260"/>
  <c r="G169" i="260"/>
  <c r="R155" i="260"/>
  <c r="G34" i="260"/>
  <c r="AD69" i="260"/>
  <c r="BK149" i="260"/>
  <c r="N138" i="260"/>
  <c r="AT70" i="260"/>
  <c r="BK39" i="260"/>
  <c r="Z130" i="260"/>
  <c r="J141" i="260"/>
  <c r="J138" i="260"/>
  <c r="AT142" i="260"/>
  <c r="AZ66" i="260"/>
  <c r="AD166" i="260"/>
  <c r="N56" i="260"/>
  <c r="AT23" i="260"/>
  <c r="AT7" i="260"/>
  <c r="V41" i="260"/>
  <c r="V148" i="260"/>
  <c r="BD59" i="260"/>
  <c r="V143" i="260"/>
  <c r="AT17" i="260"/>
  <c r="Z38" i="260"/>
  <c r="G62" i="260"/>
  <c r="BK30" i="260"/>
  <c r="BO41" i="260"/>
  <c r="BK140" i="260"/>
  <c r="N140" i="260"/>
  <c r="AT174" i="260"/>
  <c r="AZ62" i="260"/>
  <c r="R39" i="260"/>
  <c r="AN146" i="260"/>
  <c r="AQ173" i="260"/>
  <c r="AT145" i="260"/>
  <c r="AH149" i="260"/>
  <c r="AD56" i="260"/>
  <c r="R176" i="260"/>
  <c r="BK153" i="260"/>
  <c r="J134" i="260"/>
  <c r="J30" i="260"/>
  <c r="G70" i="260"/>
  <c r="AQ75" i="260"/>
  <c r="AD66" i="260"/>
  <c r="AD30" i="260"/>
  <c r="AH48" i="260"/>
  <c r="BD170" i="260"/>
  <c r="AZ151" i="260"/>
  <c r="AT39" i="260"/>
  <c r="AT137" i="260"/>
  <c r="AZ153" i="260"/>
  <c r="BG175" i="260"/>
  <c r="BK130" i="260"/>
  <c r="AN168" i="260"/>
  <c r="N74" i="260"/>
  <c r="AZ34" i="260"/>
  <c r="BG176" i="260"/>
  <c r="R58" i="260"/>
  <c r="AZ163" i="260"/>
  <c r="Z68" i="260"/>
  <c r="G165" i="260"/>
  <c r="AQ175" i="260"/>
  <c r="R55" i="260"/>
  <c r="BK46" i="260"/>
  <c r="AD178" i="260"/>
  <c r="N166" i="260"/>
  <c r="AQ41" i="260"/>
  <c r="AD151" i="260"/>
  <c r="BD56" i="260"/>
  <c r="N78" i="260"/>
  <c r="BO66" i="260"/>
  <c r="N143" i="260"/>
  <c r="AH173" i="260"/>
  <c r="AD41" i="260"/>
  <c r="Z51" i="260"/>
  <c r="AH31" i="260"/>
  <c r="AD150" i="260"/>
  <c r="J145" i="260"/>
  <c r="R167" i="260"/>
  <c r="AH132" i="260"/>
  <c r="N62" i="260"/>
  <c r="BK139" i="260"/>
  <c r="G172" i="260"/>
  <c r="G37" i="260"/>
  <c r="J52" i="260"/>
  <c r="J55" i="260"/>
  <c r="R68" i="260"/>
  <c r="N153" i="260"/>
  <c r="BG174" i="260"/>
  <c r="G71" i="260"/>
  <c r="N175" i="260"/>
  <c r="AZ71" i="260"/>
  <c r="AN55" i="260"/>
  <c r="N167" i="260"/>
  <c r="J38" i="260"/>
  <c r="BK34" i="260"/>
  <c r="G173" i="260"/>
  <c r="N37" i="260"/>
  <c r="BD42" i="260"/>
  <c r="BG48" i="260"/>
  <c r="AN132" i="260"/>
  <c r="BD74" i="260"/>
  <c r="BO56" i="260"/>
  <c r="AZ141" i="260"/>
  <c r="BG146" i="260"/>
  <c r="AT149" i="260"/>
  <c r="AT71" i="260"/>
  <c r="N70" i="260"/>
  <c r="BO151" i="260"/>
  <c r="BO48" i="260"/>
  <c r="AN56" i="260"/>
  <c r="AH166" i="260"/>
  <c r="BG65" i="260"/>
  <c r="AT61" i="260"/>
  <c r="G142" i="260"/>
  <c r="BO49" i="260"/>
  <c r="N131" i="260"/>
  <c r="BK174" i="260"/>
  <c r="AQ158" i="260"/>
  <c r="AH170" i="260"/>
  <c r="AN76" i="260"/>
  <c r="AZ142" i="260"/>
  <c r="BO158" i="260"/>
  <c r="G51" i="260"/>
  <c r="AZ65" i="260"/>
  <c r="N59" i="260"/>
  <c r="AH157" i="260"/>
  <c r="N71" i="260"/>
  <c r="BD157" i="260"/>
  <c r="AQ139" i="260"/>
  <c r="AT27" i="260"/>
  <c r="AN138" i="260"/>
  <c r="R159" i="260"/>
  <c r="AQ132" i="260"/>
  <c r="AN148" i="260"/>
  <c r="BD45" i="260"/>
  <c r="AD140" i="260"/>
  <c r="AN142" i="260"/>
  <c r="AH47" i="260"/>
  <c r="BG173" i="260"/>
  <c r="BK40" i="260"/>
  <c r="V146" i="260"/>
  <c r="BK143" i="260"/>
  <c r="AT46" i="260"/>
  <c r="AN158" i="260"/>
  <c r="G168" i="260"/>
  <c r="AT41" i="260"/>
  <c r="AT60" i="260"/>
  <c r="AH155" i="260"/>
  <c r="AN170" i="260"/>
  <c r="N149" i="260"/>
  <c r="BG150" i="260"/>
  <c r="J136" i="260"/>
  <c r="R41" i="260"/>
  <c r="AH35" i="260"/>
  <c r="R51" i="260"/>
  <c r="AT72" i="260"/>
  <c r="BD66" i="260"/>
  <c r="AZ41" i="260"/>
  <c r="AZ48" i="260"/>
  <c r="BD35" i="260"/>
  <c r="Z37" i="260"/>
  <c r="Z87" i="260"/>
  <c r="J36" i="260"/>
  <c r="J65" i="260"/>
  <c r="BO31" i="260"/>
  <c r="AZ143" i="260"/>
  <c r="BG76" i="260"/>
  <c r="AN152" i="260"/>
  <c r="Z142" i="260"/>
  <c r="AZ55" i="260"/>
  <c r="AZ64" i="260"/>
  <c r="AD146" i="260"/>
  <c r="BO155" i="260"/>
  <c r="N69" i="260"/>
  <c r="AQ77" i="260"/>
  <c r="AQ159" i="260"/>
  <c r="N32" i="260"/>
  <c r="J142" i="260"/>
  <c r="V150" i="260"/>
  <c r="AQ78" i="260"/>
  <c r="N142" i="260"/>
  <c r="J62" i="260"/>
  <c r="N159" i="260"/>
  <c r="V46" i="260"/>
  <c r="AZ135" i="260"/>
  <c r="AT158" i="260"/>
  <c r="BG33" i="260"/>
  <c r="BD44" i="260"/>
  <c r="AT64" i="260"/>
  <c r="AZ35" i="260"/>
  <c r="AZ43" i="260"/>
  <c r="AQ167" i="260"/>
  <c r="AZ42" i="260"/>
  <c r="BO164" i="260"/>
  <c r="AQ130" i="260"/>
  <c r="Z141" i="260"/>
  <c r="R134" i="260"/>
  <c r="AH151" i="260"/>
  <c r="V70" i="260"/>
  <c r="BD40" i="260"/>
  <c r="AT151" i="260"/>
  <c r="N137" i="260"/>
  <c r="AN143" i="260"/>
  <c r="BG72" i="260"/>
  <c r="J158" i="260"/>
  <c r="N34" i="260"/>
  <c r="BK49" i="260"/>
  <c r="R61" i="260"/>
  <c r="N135" i="260"/>
  <c r="AQ151" i="260"/>
  <c r="AQ155" i="260"/>
  <c r="AD160" i="260"/>
  <c r="Z78" i="260"/>
  <c r="AT26" i="260"/>
  <c r="AH37" i="260"/>
  <c r="BK148" i="260"/>
  <c r="AT75" i="260"/>
  <c r="J75" i="260"/>
  <c r="V48" i="260"/>
  <c r="AZ32" i="260"/>
  <c r="BD151" i="260"/>
  <c r="AD44" i="260"/>
  <c r="BO138" i="260"/>
  <c r="AN71" i="260"/>
  <c r="Z56" i="260"/>
  <c r="AT58" i="260"/>
  <c r="AQ49" i="260"/>
  <c r="BO42" i="260"/>
  <c r="AQ50" i="260"/>
  <c r="AD131" i="260"/>
  <c r="AD135" i="260"/>
  <c r="AN69" i="260"/>
  <c r="AN47" i="260"/>
  <c r="R57" i="260"/>
  <c r="J73" i="260"/>
  <c r="AQ177" i="260"/>
  <c r="BG152" i="260"/>
  <c r="Z168" i="260"/>
  <c r="BG74" i="260"/>
  <c r="G135" i="260"/>
  <c r="R177" i="260"/>
  <c r="BK176" i="260"/>
  <c r="Z165" i="260"/>
  <c r="N169" i="260"/>
  <c r="AZ45" i="260"/>
  <c r="V141" i="260"/>
  <c r="G134" i="260"/>
  <c r="BK175" i="260"/>
  <c r="BK172" i="260"/>
  <c r="AH135" i="260"/>
  <c r="BG149" i="260"/>
  <c r="BG43" i="260"/>
  <c r="Z173" i="260"/>
  <c r="BG46" i="260"/>
  <c r="AT68" i="260"/>
  <c r="BK58" i="260"/>
  <c r="J66" i="260"/>
  <c r="AN140" i="260"/>
  <c r="AZ173" i="260"/>
  <c r="Z166" i="260"/>
  <c r="BK136" i="260"/>
  <c r="J147" i="260"/>
  <c r="V53" i="260"/>
  <c r="Z174" i="260"/>
  <c r="BK57" i="260"/>
  <c r="V75" i="260"/>
  <c r="V176" i="260"/>
  <c r="V61" i="260"/>
  <c r="AD63" i="260"/>
  <c r="AD157" i="260"/>
  <c r="AN78" i="260"/>
  <c r="AT6" i="260"/>
  <c r="J164" i="260"/>
  <c r="AH53" i="260"/>
  <c r="AZ38" i="260"/>
  <c r="AD170" i="260"/>
  <c r="R47" i="260"/>
  <c r="AT51" i="260"/>
  <c r="BD70" i="260"/>
  <c r="BO153" i="260"/>
  <c r="BK77" i="260"/>
  <c r="AH176" i="260"/>
  <c r="N163" i="260"/>
  <c r="AN59" i="260"/>
  <c r="AH62" i="260"/>
  <c r="AD50" i="260"/>
  <c r="AQ44" i="260"/>
  <c r="AT141" i="260"/>
  <c r="AD31" i="260"/>
  <c r="V133" i="260"/>
  <c r="Z52" i="260"/>
  <c r="BD143" i="260"/>
  <c r="J131" i="260"/>
  <c r="AQ160" i="260"/>
  <c r="Z178" i="260"/>
  <c r="R43" i="260"/>
  <c r="BK67" i="260"/>
  <c r="BK45" i="260"/>
  <c r="AT35" i="260"/>
  <c r="BD159" i="260"/>
  <c r="AZ140" i="260"/>
  <c r="Z146" i="260"/>
  <c r="V166" i="260"/>
  <c r="AH137" i="260"/>
  <c r="AH42" i="260"/>
  <c r="R65" i="260"/>
  <c r="V59" i="260"/>
  <c r="AD136" i="260"/>
  <c r="V63" i="260"/>
  <c r="N150" i="260"/>
  <c r="Z40" i="260"/>
  <c r="Z71" i="260"/>
  <c r="BO62" i="260"/>
  <c r="AQ69" i="260"/>
  <c r="V74" i="260"/>
  <c r="BO71" i="260"/>
  <c r="V34" i="260"/>
  <c r="AQ178" i="260"/>
  <c r="V76" i="260"/>
  <c r="AH140" i="260"/>
  <c r="V137" i="260"/>
  <c r="Z58" i="260"/>
  <c r="AN63" i="260"/>
  <c r="BG77" i="260"/>
  <c r="AN40" i="260"/>
  <c r="BD77" i="260"/>
  <c r="BK56" i="260"/>
  <c r="AT48" i="260"/>
  <c r="AD155" i="260"/>
  <c r="Z133" i="260"/>
  <c r="AQ74" i="260"/>
  <c r="AQ64" i="260"/>
  <c r="BO73" i="260"/>
  <c r="R44" i="260"/>
  <c r="AZ169" i="260"/>
  <c r="AQ51" i="260"/>
  <c r="BD69" i="260"/>
  <c r="BK32" i="260"/>
  <c r="BG31" i="260"/>
  <c r="V31" i="260"/>
  <c r="G72" i="260"/>
  <c r="J135" i="260"/>
  <c r="Z42" i="260"/>
  <c r="AH46" i="260"/>
  <c r="Z172" i="260"/>
  <c r="AH73" i="260"/>
  <c r="AQ59" i="260"/>
  <c r="BG36" i="260"/>
  <c r="BD160" i="260"/>
  <c r="V158" i="260"/>
  <c r="AQ56" i="260"/>
  <c r="AD176" i="260"/>
  <c r="R59" i="260"/>
  <c r="BK64" i="260"/>
  <c r="G53" i="260"/>
  <c r="AD130" i="260"/>
  <c r="BK66" i="260"/>
  <c r="G50" i="260"/>
  <c r="BD41" i="260"/>
  <c r="BK169" i="260"/>
  <c r="AT14" i="260"/>
  <c r="N48" i="260"/>
  <c r="BG44" i="260"/>
  <c r="BG70" i="260"/>
  <c r="BG58" i="260"/>
  <c r="N173" i="260"/>
  <c r="BG163" i="260"/>
  <c r="V153" i="260"/>
  <c r="J137" i="260"/>
  <c r="J130" i="260"/>
  <c r="AQ141" i="260"/>
  <c r="AZ168" i="260"/>
  <c r="AD75" i="260"/>
  <c r="AN177" i="260"/>
  <c r="BK76" i="260"/>
  <c r="G67" i="260"/>
  <c r="AD62" i="260"/>
  <c r="G155" i="260"/>
  <c r="AH178" i="260"/>
  <c r="Z48" i="260"/>
  <c r="BD141" i="260"/>
  <c r="BG45" i="260"/>
  <c r="Z30" i="260"/>
  <c r="G42" i="260"/>
  <c r="AT139" i="260"/>
  <c r="BO58" i="260"/>
  <c r="AZ165" i="260"/>
  <c r="AZ132" i="260"/>
  <c r="J60" i="260"/>
  <c r="AH147" i="260"/>
  <c r="AD148" i="260"/>
  <c r="BO68" i="260"/>
  <c r="R149" i="260"/>
  <c r="BO148" i="260"/>
  <c r="N50" i="260"/>
  <c r="AT20" i="260"/>
  <c r="J169" i="260"/>
  <c r="G144" i="260"/>
  <c r="AZ53" i="260"/>
  <c r="AD76" i="260"/>
  <c r="BO69" i="260"/>
  <c r="AT177" i="260"/>
  <c r="J37" i="260"/>
  <c r="BO167" i="260"/>
  <c r="BO74" i="260"/>
  <c r="N63" i="260"/>
  <c r="AQ38" i="260"/>
  <c r="G166" i="260"/>
  <c r="AH168" i="260"/>
  <c r="BD136" i="260"/>
  <c r="BK131" i="260"/>
  <c r="BD155" i="260"/>
  <c r="AD43" i="260"/>
  <c r="BO70" i="260"/>
  <c r="Z66" i="260"/>
  <c r="BO149" i="260"/>
  <c r="BK60" i="260"/>
  <c r="AQ31" i="260"/>
  <c r="AD173" i="260"/>
  <c r="J215" i="260"/>
  <c r="BD215" i="260"/>
  <c r="AZ215" i="260"/>
  <c r="BO215" i="260"/>
  <c r="N215" i="260"/>
  <c r="R215" i="260"/>
  <c r="Z215" i="260"/>
  <c r="AD215" i="260"/>
  <c r="AN215" i="260"/>
  <c r="V215" i="260"/>
  <c r="AQ215" i="260"/>
  <c r="BK215" i="260"/>
  <c r="G215" i="260"/>
  <c r="AH215" i="260"/>
  <c r="BG215" i="260"/>
  <c r="AT215" i="260"/>
  <c r="BK225" i="260"/>
  <c r="AH225" i="260"/>
  <c r="AZ225" i="260"/>
  <c r="V225" i="260"/>
  <c r="J225" i="260"/>
  <c r="AN225" i="260"/>
  <c r="AQ225" i="260"/>
  <c r="Z225" i="260"/>
  <c r="R225" i="260"/>
  <c r="BG225" i="260"/>
  <c r="BD225" i="260"/>
  <c r="BO225" i="260"/>
  <c r="G225" i="260"/>
  <c r="AT225" i="260"/>
  <c r="AD225" i="260"/>
  <c r="N225" i="260"/>
  <c r="J219" i="260"/>
  <c r="AQ219" i="260"/>
  <c r="AZ219" i="260"/>
  <c r="R219" i="260"/>
  <c r="BG219" i="260"/>
  <c r="N219" i="260"/>
  <c r="AN219" i="260"/>
  <c r="AD219" i="260"/>
  <c r="G219" i="260"/>
  <c r="AH219" i="260"/>
  <c r="BK219" i="260"/>
  <c r="BD219" i="260"/>
  <c r="AT219" i="260"/>
  <c r="V219" i="260"/>
  <c r="Z219" i="260"/>
  <c r="BO219" i="260"/>
  <c r="N217" i="260"/>
  <c r="AN217" i="260"/>
  <c r="V217" i="260"/>
  <c r="BD217" i="260"/>
  <c r="Z217" i="260"/>
  <c r="AQ217" i="260"/>
  <c r="AD217" i="260"/>
  <c r="AT217" i="260"/>
  <c r="BG217" i="260"/>
  <c r="J217" i="260"/>
  <c r="AH217" i="260"/>
  <c r="BO217" i="260"/>
  <c r="BK217" i="260"/>
  <c r="G217" i="260"/>
  <c r="AZ217" i="260"/>
  <c r="R217" i="260"/>
  <c r="AN218" i="260"/>
  <c r="AQ218" i="260"/>
  <c r="V218" i="260"/>
  <c r="AT218" i="260"/>
  <c r="AD218" i="260"/>
  <c r="AH218" i="260"/>
  <c r="AZ218" i="260"/>
  <c r="BK218" i="260"/>
  <c r="R218" i="260"/>
  <c r="N218" i="260"/>
  <c r="BO218" i="260"/>
  <c r="J218" i="260"/>
  <c r="G218" i="260"/>
  <c r="BG218" i="260"/>
  <c r="BD218" i="260"/>
  <c r="Z218" i="260"/>
  <c r="AZ222" i="260"/>
  <c r="BG222" i="260"/>
  <c r="BK222" i="260"/>
  <c r="Z222" i="260"/>
  <c r="AD222" i="260"/>
  <c r="AN222" i="260"/>
  <c r="AH222" i="260"/>
  <c r="V222" i="260"/>
  <c r="BO222" i="260"/>
  <c r="R222" i="260"/>
  <c r="BD222" i="260"/>
  <c r="N222" i="260"/>
  <c r="G222" i="260"/>
  <c r="AQ222" i="260"/>
  <c r="J222" i="260"/>
  <c r="AT222" i="260"/>
  <c r="J220" i="260"/>
  <c r="AH220" i="260"/>
  <c r="AD220" i="260"/>
  <c r="AQ220" i="260"/>
  <c r="BK220" i="260"/>
  <c r="N220" i="260"/>
  <c r="BD220" i="260"/>
  <c r="BG220" i="260"/>
  <c r="BO220" i="260"/>
  <c r="Z220" i="260"/>
  <c r="AZ220" i="260"/>
  <c r="AN220" i="260"/>
  <c r="AT220" i="260"/>
  <c r="V220" i="260"/>
  <c r="G220" i="260"/>
  <c r="R220" i="260"/>
  <c r="J226" i="260"/>
  <c r="AH226" i="260"/>
  <c r="AZ226" i="260"/>
  <c r="V226" i="260"/>
  <c r="R226" i="260"/>
  <c r="BD226" i="260"/>
  <c r="N226" i="260"/>
  <c r="AQ226" i="260"/>
  <c r="AT226" i="260"/>
  <c r="BK226" i="260"/>
  <c r="Z226" i="260"/>
  <c r="BO226" i="260"/>
  <c r="BG226" i="260"/>
  <c r="AN226" i="260"/>
  <c r="G226" i="260"/>
  <c r="AD226" i="260"/>
  <c r="BD223" i="260"/>
  <c r="Z223" i="260"/>
  <c r="AH223" i="260"/>
  <c r="BK223" i="260"/>
  <c r="R223" i="260"/>
  <c r="G223" i="260"/>
  <c r="BO223" i="260"/>
  <c r="AD223" i="260"/>
  <c r="J223" i="260"/>
  <c r="AT223" i="260"/>
  <c r="AZ223" i="260"/>
  <c r="N223" i="260"/>
  <c r="V223" i="260"/>
  <c r="AN223" i="260"/>
  <c r="BG223" i="260"/>
  <c r="AQ223" i="260"/>
  <c r="J213" i="260"/>
  <c r="BO213" i="260"/>
  <c r="AT213" i="260"/>
  <c r="G213" i="260"/>
  <c r="AN213" i="260"/>
  <c r="BD213" i="260"/>
  <c r="N213" i="260"/>
  <c r="AH213" i="260"/>
  <c r="AZ213" i="260"/>
  <c r="V213" i="260"/>
  <c r="AD213" i="260"/>
  <c r="Z213" i="260"/>
  <c r="BK213" i="260"/>
  <c r="AQ213" i="260"/>
  <c r="R213" i="260"/>
  <c r="BG213" i="260"/>
  <c r="Z210" i="260"/>
  <c r="AZ210" i="260"/>
  <c r="AD210" i="260"/>
  <c r="G210" i="260"/>
  <c r="BO210" i="260"/>
  <c r="AQ210" i="260"/>
  <c r="BD210" i="260"/>
  <c r="AH210" i="260"/>
  <c r="V210" i="260"/>
  <c r="N210" i="260"/>
  <c r="J210" i="260"/>
  <c r="BK210" i="260"/>
  <c r="AN210" i="260"/>
  <c r="AT210" i="260"/>
  <c r="BG210" i="260"/>
  <c r="R210" i="260"/>
  <c r="J181" i="260"/>
  <c r="BD181" i="260"/>
  <c r="AQ181" i="260"/>
  <c r="BK181" i="260"/>
  <c r="AZ181" i="260"/>
  <c r="BO181" i="260"/>
  <c r="AD181" i="260"/>
  <c r="Z181" i="260"/>
  <c r="G181" i="260"/>
  <c r="AT181" i="260"/>
  <c r="BG181" i="260"/>
  <c r="V181" i="260"/>
  <c r="N181" i="260"/>
  <c r="R181" i="260"/>
  <c r="AH181" i="260"/>
  <c r="AN181" i="260"/>
  <c r="N224" i="260"/>
  <c r="AT224" i="260"/>
  <c r="BK224" i="260"/>
  <c r="BO224" i="260"/>
  <c r="AZ224" i="260"/>
  <c r="BD224" i="260"/>
  <c r="AN224" i="260"/>
  <c r="BG224" i="260"/>
  <c r="R224" i="260"/>
  <c r="J224" i="260"/>
  <c r="AD224" i="260"/>
  <c r="Z224" i="260"/>
  <c r="AH224" i="260"/>
  <c r="G224" i="260"/>
  <c r="V224" i="260"/>
  <c r="AQ224" i="260"/>
  <c r="J216" i="260"/>
  <c r="AZ216" i="260"/>
  <c r="R216" i="260"/>
  <c r="N216" i="260"/>
  <c r="AT216" i="260"/>
  <c r="BG216" i="260"/>
  <c r="BD216" i="260"/>
  <c r="Z216" i="260"/>
  <c r="V216" i="260"/>
  <c r="BO216" i="260"/>
  <c r="BK216" i="260"/>
  <c r="AQ216" i="260"/>
  <c r="AN216" i="260"/>
  <c r="AH216" i="260"/>
  <c r="G216" i="260"/>
  <c r="AD216" i="260"/>
  <c r="R196" i="260"/>
  <c r="AQ196" i="260"/>
  <c r="BG196" i="260"/>
  <c r="BK196" i="260"/>
  <c r="Z196" i="260"/>
  <c r="AN196" i="260"/>
  <c r="BD196" i="260"/>
  <c r="V196" i="260"/>
  <c r="N196" i="260"/>
  <c r="AZ196" i="260"/>
  <c r="AH196" i="260"/>
  <c r="BO196" i="260"/>
  <c r="AD196" i="260"/>
  <c r="G196" i="260"/>
  <c r="AT196" i="260"/>
  <c r="J196" i="260"/>
  <c r="BG214" i="260"/>
  <c r="AH214" i="260"/>
  <c r="AD214" i="260"/>
  <c r="AQ214" i="260"/>
  <c r="AN214" i="260"/>
  <c r="V214" i="260"/>
  <c r="AT214" i="260"/>
  <c r="J214" i="260"/>
  <c r="G214" i="260"/>
  <c r="BD214" i="260"/>
  <c r="AZ214" i="260"/>
  <c r="R214" i="260"/>
  <c r="BK214" i="260"/>
  <c r="BO214" i="260"/>
  <c r="N214" i="260"/>
  <c r="Z214" i="260"/>
  <c r="V228" i="260"/>
  <c r="G228" i="260"/>
  <c r="BD228" i="260"/>
  <c r="N228" i="260"/>
  <c r="AT228" i="260"/>
  <c r="R228" i="260"/>
  <c r="AH228" i="260"/>
  <c r="AZ228" i="260"/>
  <c r="AD228" i="260"/>
  <c r="BK228" i="260"/>
  <c r="BG228" i="260"/>
  <c r="AQ228" i="260"/>
  <c r="AN228" i="260"/>
  <c r="J228" i="260"/>
  <c r="BO228" i="260"/>
  <c r="Z228" i="260"/>
  <c r="G187" i="260"/>
  <c r="BG187" i="260"/>
  <c r="AH187" i="260"/>
  <c r="AT187" i="260"/>
  <c r="V187" i="260"/>
  <c r="J187" i="260"/>
  <c r="AN187" i="260"/>
  <c r="BD187" i="260"/>
  <c r="R187" i="260"/>
  <c r="BK187" i="260"/>
  <c r="AQ187" i="260"/>
  <c r="AD187" i="260"/>
  <c r="Z187" i="260"/>
  <c r="AZ187" i="260"/>
  <c r="N187" i="260"/>
  <c r="BO187" i="260"/>
  <c r="AT205" i="260"/>
  <c r="AQ205" i="260"/>
  <c r="G205" i="260"/>
  <c r="BK205" i="260"/>
  <c r="AZ205" i="260"/>
  <c r="R205" i="260"/>
  <c r="BG205" i="260"/>
  <c r="AH205" i="260"/>
  <c r="BO205" i="260"/>
  <c r="J205" i="260"/>
  <c r="N205" i="260"/>
  <c r="Z205" i="260"/>
  <c r="AN205" i="260"/>
  <c r="AD205" i="260"/>
  <c r="V205" i="260"/>
  <c r="BD205" i="260"/>
  <c r="AH209" i="260"/>
  <c r="Z209" i="260"/>
  <c r="AZ209" i="260"/>
  <c r="G209" i="260"/>
  <c r="AD209" i="260"/>
  <c r="BG209" i="260"/>
  <c r="N209" i="260"/>
  <c r="AN209" i="260"/>
  <c r="AT209" i="260"/>
  <c r="BO209" i="260"/>
  <c r="BK209" i="260"/>
  <c r="BD209" i="260"/>
  <c r="J209" i="260"/>
  <c r="V209" i="260"/>
  <c r="AQ209" i="260"/>
  <c r="R209" i="260"/>
  <c r="BG207" i="260"/>
  <c r="R207" i="260"/>
  <c r="AH207" i="260"/>
  <c r="V207" i="260"/>
  <c r="Z207" i="260"/>
  <c r="AN207" i="260"/>
  <c r="AD207" i="260"/>
  <c r="AZ207" i="260"/>
  <c r="AQ207" i="260"/>
  <c r="N207" i="260"/>
  <c r="BK207" i="260"/>
  <c r="J207" i="260"/>
  <c r="G207" i="260"/>
  <c r="BD207" i="260"/>
  <c r="BO207" i="260"/>
  <c r="AT207" i="260"/>
  <c r="G208" i="260"/>
  <c r="V208" i="260"/>
  <c r="BK208" i="260"/>
  <c r="BG208" i="260"/>
  <c r="R208" i="260"/>
  <c r="BO208" i="260"/>
  <c r="AH208" i="260"/>
  <c r="N208" i="260"/>
  <c r="AQ208" i="260"/>
  <c r="Z208" i="260"/>
  <c r="AD208" i="260"/>
  <c r="AZ208" i="260"/>
  <c r="AN208" i="260"/>
  <c r="AT208" i="260"/>
  <c r="J208" i="260"/>
  <c r="BD208" i="260"/>
  <c r="J227" i="260"/>
  <c r="AZ227" i="260"/>
  <c r="G227" i="260"/>
  <c r="BG227" i="260"/>
  <c r="AT227" i="260"/>
  <c r="AH227" i="260"/>
  <c r="BD227" i="260"/>
  <c r="AD227" i="260"/>
  <c r="AN227" i="260"/>
  <c r="BK227" i="260"/>
  <c r="R227" i="260"/>
  <c r="BO227" i="260"/>
  <c r="Z227" i="260"/>
  <c r="V227" i="260"/>
  <c r="N227" i="260"/>
  <c r="AQ227" i="260"/>
  <c r="BG186" i="260"/>
  <c r="N186" i="260"/>
  <c r="R186" i="260"/>
  <c r="V186" i="260"/>
  <c r="AQ186" i="260"/>
  <c r="AT186" i="260"/>
  <c r="BK186" i="260"/>
  <c r="BD186" i="260"/>
  <c r="AN186" i="260"/>
  <c r="BO186" i="260"/>
  <c r="J186" i="260"/>
  <c r="AD186" i="260"/>
  <c r="G186" i="260"/>
  <c r="AH186" i="260"/>
  <c r="AZ186" i="260"/>
  <c r="Z186" i="260"/>
  <c r="C240" i="260"/>
  <c r="C265" i="260" s="1"/>
  <c r="C250" i="260"/>
  <c r="C275" i="260" s="1"/>
  <c r="C244" i="260"/>
  <c r="C269" i="260" s="1"/>
  <c r="C242" i="260"/>
  <c r="C267" i="260" s="1"/>
  <c r="C243" i="260"/>
  <c r="C268" i="260" s="1"/>
  <c r="C247" i="260"/>
  <c r="C272" i="260" s="1"/>
  <c r="C245" i="260"/>
  <c r="C270" i="260" s="1"/>
  <c r="C251" i="260"/>
  <c r="C276" i="260" s="1"/>
  <c r="C248" i="260"/>
  <c r="C273" i="260" s="1"/>
  <c r="C238" i="260"/>
  <c r="C263" i="260" s="1"/>
  <c r="C235" i="260"/>
  <c r="C260" i="260" s="1"/>
  <c r="C206" i="260"/>
  <c r="C249" i="260"/>
  <c r="C274" i="260" s="1"/>
  <c r="C241" i="260"/>
  <c r="C266" i="260" s="1"/>
  <c r="C221" i="260"/>
  <c r="C239" i="260"/>
  <c r="C264" i="260" s="1"/>
  <c r="C253" i="260"/>
  <c r="C278" i="260" s="1"/>
  <c r="C212" i="260"/>
  <c r="C230" i="260"/>
  <c r="C255" i="260" s="1"/>
  <c r="C234" i="260"/>
  <c r="C259" i="260" s="1"/>
  <c r="C232" i="260"/>
  <c r="C233" i="260"/>
  <c r="C258" i="260" s="1"/>
  <c r="C252" i="260"/>
  <c r="C277" i="260" s="1"/>
  <c r="C211" i="260"/>
  <c r="BK6" i="260"/>
  <c r="BK5" i="260"/>
  <c r="W89" i="259"/>
  <c r="X89" i="259"/>
  <c r="F100" i="259"/>
  <c r="G89" i="259"/>
  <c r="H89" i="259"/>
  <c r="AB89" i="259"/>
  <c r="BK28" i="260"/>
  <c r="AC100" i="259"/>
  <c r="BK27" i="260"/>
  <c r="AB100" i="259"/>
  <c r="BK26" i="260"/>
  <c r="AA89" i="259"/>
  <c r="Z89" i="259"/>
  <c r="BK8" i="260"/>
  <c r="BK9" i="260"/>
  <c r="BK10" i="260"/>
  <c r="BK11" i="260"/>
  <c r="BK12" i="260"/>
  <c r="M100" i="259"/>
  <c r="BK7" i="260"/>
  <c r="BK25" i="260"/>
  <c r="Z100" i="259"/>
  <c r="BK24" i="260"/>
  <c r="Y100" i="259"/>
  <c r="BK23" i="260"/>
  <c r="X100" i="259"/>
  <c r="BK22" i="260"/>
  <c r="W100" i="259"/>
  <c r="BK21" i="260"/>
  <c r="V100" i="259"/>
  <c r="BK20" i="260"/>
  <c r="U100" i="259"/>
  <c r="BK19" i="260"/>
  <c r="T100" i="259"/>
  <c r="BK18" i="260"/>
  <c r="S100" i="259"/>
  <c r="BK17" i="260"/>
  <c r="R100" i="259"/>
  <c r="BK16" i="260"/>
  <c r="Q100" i="259"/>
  <c r="BK15" i="260"/>
  <c r="P100" i="259"/>
  <c r="BK14" i="260"/>
  <c r="O100" i="259"/>
  <c r="BK13" i="260"/>
  <c r="N100" i="259"/>
  <c r="N102" i="259" s="1"/>
  <c r="N107" i="259" s="1"/>
  <c r="B83" i="259"/>
  <c r="C83" i="259"/>
  <c r="L100" i="259"/>
  <c r="K100" i="259"/>
  <c r="J100" i="259"/>
  <c r="I100" i="259"/>
  <c r="H100" i="259"/>
  <c r="G100" i="259"/>
  <c r="AD7" i="260"/>
  <c r="BD27" i="260"/>
  <c r="AQ25" i="260"/>
  <c r="N20" i="260"/>
  <c r="BG16" i="260"/>
  <c r="Z14" i="260"/>
  <c r="J6" i="260"/>
  <c r="BD26" i="260"/>
  <c r="Z24" i="260"/>
  <c r="BD16" i="260"/>
  <c r="V14" i="260"/>
  <c r="BO6" i="260"/>
  <c r="BG28" i="260"/>
  <c r="V24" i="260"/>
  <c r="N22" i="260"/>
  <c r="BG18" i="260"/>
  <c r="AD16" i="260"/>
  <c r="R14" i="260"/>
  <c r="N8" i="260"/>
  <c r="AQ5" i="260"/>
  <c r="BD28" i="260"/>
  <c r="AN27" i="260"/>
  <c r="Z26" i="260"/>
  <c r="AD25" i="260"/>
  <c r="R24" i="260"/>
  <c r="G23" i="260"/>
  <c r="J22" i="260"/>
  <c r="AZ19" i="260"/>
  <c r="BD18" i="260"/>
  <c r="AN17" i="260"/>
  <c r="Z16" i="260"/>
  <c r="AD15" i="260"/>
  <c r="N14" i="260"/>
  <c r="AQ11" i="260"/>
  <c r="Z10" i="260"/>
  <c r="J9" i="260"/>
  <c r="BG6" i="260"/>
  <c r="BG14" i="260"/>
  <c r="AN13" i="260"/>
  <c r="V12" i="260"/>
  <c r="G11" i="260"/>
  <c r="BO26" i="260"/>
  <c r="AQ23" i="260"/>
  <c r="AD22" i="260"/>
  <c r="AH21" i="260"/>
  <c r="V20" i="260"/>
  <c r="J19" i="260"/>
  <c r="N18" i="260"/>
  <c r="BO16" i="260"/>
  <c r="BD15" i="260"/>
  <c r="R6" i="260"/>
  <c r="BD14" i="260"/>
  <c r="AH13" i="260"/>
  <c r="R12" i="260"/>
  <c r="BO10" i="260"/>
  <c r="J28" i="260"/>
  <c r="AZ25" i="260"/>
  <c r="BD24" i="260"/>
  <c r="AN23" i="260"/>
  <c r="Z22" i="260"/>
  <c r="AZ15" i="260"/>
  <c r="AD14" i="260"/>
  <c r="N6" i="260"/>
  <c r="AD13" i="260"/>
  <c r="BO28" i="260"/>
  <c r="BG26" i="260"/>
  <c r="V22" i="260"/>
  <c r="BD17" i="260"/>
  <c r="AQ15" i="260"/>
  <c r="J13" i="260"/>
  <c r="G7" i="260"/>
  <c r="AZ27" i="260"/>
  <c r="AN25" i="260"/>
  <c r="R22" i="260"/>
  <c r="AZ17" i="260"/>
  <c r="AN15" i="260"/>
  <c r="G13" i="260"/>
  <c r="G6" i="260"/>
  <c r="AZ5" i="260"/>
  <c r="AD26" i="260"/>
  <c r="J23" i="260"/>
  <c r="BD19" i="260"/>
  <c r="AQ17" i="260"/>
  <c r="AH15" i="260"/>
  <c r="AZ11" i="260"/>
  <c r="AD9" i="260"/>
  <c r="J15" i="260"/>
  <c r="AN5" i="260"/>
  <c r="AD28" i="260"/>
  <c r="AH27" i="260"/>
  <c r="V26" i="260"/>
  <c r="J25" i="260"/>
  <c r="N24" i="260"/>
  <c r="BO22" i="260"/>
  <c r="BD21" i="260"/>
  <c r="BG20" i="260"/>
  <c r="AQ19" i="260"/>
  <c r="AD18" i="260"/>
  <c r="AH17" i="260"/>
  <c r="V16" i="260"/>
  <c r="J14" i="260"/>
  <c r="BG12" i="260"/>
  <c r="AN11" i="260"/>
  <c r="V10" i="260"/>
  <c r="G9" i="260"/>
  <c r="BD6" i="260"/>
  <c r="G15" i="260"/>
  <c r="BD13" i="260"/>
  <c r="BD7" i="260"/>
  <c r="AH5" i="260"/>
  <c r="BG24" i="260"/>
  <c r="AZ9" i="260"/>
  <c r="R20" i="260"/>
  <c r="J21" i="260"/>
  <c r="BG10" i="260"/>
  <c r="G21" i="260"/>
  <c r="BD10" i="260"/>
  <c r="BO12" i="260"/>
  <c r="Z28" i="260"/>
  <c r="G25" i="260"/>
  <c r="BD20" i="260"/>
  <c r="Z18" i="260"/>
  <c r="AD17" i="260"/>
  <c r="R16" i="260"/>
  <c r="AH11" i="260"/>
  <c r="BO8" i="260"/>
  <c r="AZ6" i="260"/>
  <c r="BO14" i="260"/>
  <c r="AZ13" i="260"/>
  <c r="AD12" i="260"/>
  <c r="AZ7" i="260"/>
  <c r="AD5" i="260"/>
  <c r="AD21" i="260"/>
  <c r="Z8" i="260"/>
  <c r="AH23" i="260"/>
  <c r="AN9" i="260"/>
  <c r="AD23" i="260"/>
  <c r="R8" i="260"/>
  <c r="AH25" i="260"/>
  <c r="R26" i="260"/>
  <c r="AN19" i="260"/>
  <c r="J27" i="260"/>
  <c r="N26" i="260"/>
  <c r="BO24" i="260"/>
  <c r="BG22" i="260"/>
  <c r="AQ21" i="260"/>
  <c r="AD20" i="260"/>
  <c r="AH19" i="260"/>
  <c r="V18" i="260"/>
  <c r="J17" i="260"/>
  <c r="N16" i="260"/>
  <c r="AD11" i="260"/>
  <c r="N10" i="260"/>
  <c r="Z6" i="260"/>
  <c r="BD9" i="260"/>
  <c r="N28" i="260"/>
  <c r="BD8" i="260"/>
  <c r="AD8" i="260"/>
  <c r="G19" i="260"/>
  <c r="N12" i="260"/>
  <c r="BO18" i="260"/>
  <c r="J12" i="260"/>
  <c r="BD11" i="260"/>
  <c r="AD10" i="260"/>
  <c r="AD27" i="260"/>
  <c r="AZ21" i="260"/>
  <c r="BD12" i="260"/>
  <c r="V28" i="260"/>
  <c r="BD23" i="260"/>
  <c r="AQ13" i="260"/>
  <c r="Z12" i="260"/>
  <c r="J11" i="260"/>
  <c r="AQ7" i="260"/>
  <c r="Z5" i="260"/>
  <c r="AN7" i="260"/>
  <c r="BD25" i="260"/>
  <c r="AH7" i="260"/>
  <c r="J18" i="260"/>
  <c r="AQ9" i="260"/>
  <c r="AD24" i="260"/>
  <c r="V8" i="260"/>
  <c r="J20" i="260"/>
  <c r="AH9" i="260"/>
  <c r="AQ27" i="260"/>
  <c r="BO20" i="260"/>
  <c r="J8" i="260"/>
  <c r="J24" i="260"/>
  <c r="R10" i="260"/>
  <c r="R28" i="260"/>
  <c r="G27" i="260"/>
  <c r="J26" i="260"/>
  <c r="AZ23" i="260"/>
  <c r="BD22" i="260"/>
  <c r="AN21" i="260"/>
  <c r="Z20" i="260"/>
  <c r="AD19" i="260"/>
  <c r="R18" i="260"/>
  <c r="G17" i="260"/>
  <c r="J16" i="260"/>
  <c r="J10" i="260"/>
  <c r="BG8" i="260"/>
  <c r="V6" i="260"/>
  <c r="AZ28" i="260"/>
  <c r="G28" i="260"/>
  <c r="Z27" i="260"/>
  <c r="AZ26" i="260"/>
  <c r="G26" i="260"/>
  <c r="Z25" i="260"/>
  <c r="AZ24" i="260"/>
  <c r="G24" i="260"/>
  <c r="Z23" i="260"/>
  <c r="AZ22" i="260"/>
  <c r="G22" i="260"/>
  <c r="Z21" i="260"/>
  <c r="AZ20" i="260"/>
  <c r="G20" i="260"/>
  <c r="Z19" i="260"/>
  <c r="AZ18" i="260"/>
  <c r="G18" i="260"/>
  <c r="Z17" i="260"/>
  <c r="AZ16" i="260"/>
  <c r="G16" i="260"/>
  <c r="Z15" i="260"/>
  <c r="AZ14" i="260"/>
  <c r="G14" i="260"/>
  <c r="Z13" i="260"/>
  <c r="AZ12" i="260"/>
  <c r="G12" i="260"/>
  <c r="Z11" i="260"/>
  <c r="AZ10" i="260"/>
  <c r="G10" i="260"/>
  <c r="Z9" i="260"/>
  <c r="AZ8" i="260"/>
  <c r="G8" i="260"/>
  <c r="V7" i="260"/>
  <c r="AQ6" i="260"/>
  <c r="BO5" i="260"/>
  <c r="V5" i="260"/>
  <c r="AQ28" i="260"/>
  <c r="V27" i="260"/>
  <c r="AQ26" i="260"/>
  <c r="BO25" i="260"/>
  <c r="V25" i="260"/>
  <c r="AQ24" i="260"/>
  <c r="BO23" i="260"/>
  <c r="V23" i="260"/>
  <c r="AQ22" i="260"/>
  <c r="BO21" i="260"/>
  <c r="V21" i="260"/>
  <c r="AQ20" i="260"/>
  <c r="BO19" i="260"/>
  <c r="V19" i="260"/>
  <c r="AQ18" i="260"/>
  <c r="BO17" i="260"/>
  <c r="V17" i="260"/>
  <c r="AQ16" i="260"/>
  <c r="BO15" i="260"/>
  <c r="V15" i="260"/>
  <c r="AQ14" i="260"/>
  <c r="BO13" i="260"/>
  <c r="V13" i="260"/>
  <c r="AQ12" i="260"/>
  <c r="BO11" i="260"/>
  <c r="V11" i="260"/>
  <c r="AQ10" i="260"/>
  <c r="BO9" i="260"/>
  <c r="V9" i="260"/>
  <c r="AQ8" i="260"/>
  <c r="BO7" i="260"/>
  <c r="R7" i="260"/>
  <c r="AN6" i="260"/>
  <c r="R5" i="260"/>
  <c r="BO27" i="260"/>
  <c r="N5" i="260"/>
  <c r="BG5" i="260"/>
  <c r="AN28" i="260"/>
  <c r="AN20" i="260"/>
  <c r="AH18" i="260"/>
  <c r="AH12" i="260"/>
  <c r="N11" i="260"/>
  <c r="AH10" i="260"/>
  <c r="N9" i="260"/>
  <c r="AH8" i="260"/>
  <c r="J7" i="260"/>
  <c r="AD6" i="260"/>
  <c r="BD5" i="260"/>
  <c r="J5" i="260"/>
  <c r="R27" i="260"/>
  <c r="AN26" i="260"/>
  <c r="R25" i="260"/>
  <c r="AN24" i="260"/>
  <c r="R23" i="260"/>
  <c r="AN22" i="260"/>
  <c r="R21" i="260"/>
  <c r="R19" i="260"/>
  <c r="AN18" i="260"/>
  <c r="R17" i="260"/>
  <c r="AN16" i="260"/>
  <c r="R15" i="260"/>
  <c r="AN14" i="260"/>
  <c r="R13" i="260"/>
  <c r="AN12" i="260"/>
  <c r="R11" i="260"/>
  <c r="AN10" i="260"/>
  <c r="R9" i="260"/>
  <c r="AN8" i="260"/>
  <c r="N7" i="260"/>
  <c r="AH6" i="260"/>
  <c r="AH28" i="260"/>
  <c r="N27" i="260"/>
  <c r="BG25" i="260"/>
  <c r="N25" i="260"/>
  <c r="AH24" i="260"/>
  <c r="BG23" i="260"/>
  <c r="N23" i="260"/>
  <c r="AH22" i="260"/>
  <c r="BG21" i="260"/>
  <c r="N21" i="260"/>
  <c r="AH20" i="260"/>
  <c r="BG19" i="260"/>
  <c r="N19" i="260"/>
  <c r="BG17" i="260"/>
  <c r="N17" i="260"/>
  <c r="AH16" i="260"/>
  <c r="BG15" i="260"/>
  <c r="N15" i="260"/>
  <c r="AH14" i="260"/>
  <c r="BG13" i="260"/>
  <c r="N13" i="260"/>
  <c r="BG11" i="260"/>
  <c r="P109" i="259"/>
  <c r="Q89" i="259"/>
  <c r="O89" i="259"/>
  <c r="O102" i="259" s="1"/>
  <c r="O107" i="259" s="1"/>
  <c r="F83" i="259"/>
  <c r="F89" i="259"/>
  <c r="R89" i="259"/>
  <c r="X108" i="259"/>
  <c r="V89" i="259"/>
  <c r="U89" i="259"/>
  <c r="T89" i="259"/>
  <c r="T102" i="259" s="1"/>
  <c r="T107" i="259" s="1"/>
  <c r="S89" i="259"/>
  <c r="Q108" i="259"/>
  <c r="AF55" i="259"/>
  <c r="J109" i="259"/>
  <c r="H65" i="259"/>
  <c r="AH64" i="259"/>
  <c r="AG64" i="259"/>
  <c r="M109" i="259"/>
  <c r="V108" i="259"/>
  <c r="W108" i="259"/>
  <c r="Q83" i="259"/>
  <c r="U108" i="259"/>
  <c r="W83" i="259"/>
  <c r="X83" i="259"/>
  <c r="K109" i="259"/>
  <c r="L109" i="259"/>
  <c r="Y83" i="259"/>
  <c r="Z83" i="259"/>
  <c r="J89" i="259"/>
  <c r="AC109" i="259"/>
  <c r="G83" i="259"/>
  <c r="AA83" i="259"/>
  <c r="K89" i="259"/>
  <c r="R108" i="259"/>
  <c r="T108" i="259"/>
  <c r="I109" i="259"/>
  <c r="H83" i="259"/>
  <c r="L89" i="259"/>
  <c r="S108" i="259"/>
  <c r="Y89" i="259"/>
  <c r="M89" i="259"/>
  <c r="P108" i="259"/>
  <c r="N108" i="259"/>
  <c r="W102" i="259"/>
  <c r="W107" i="259" s="1"/>
  <c r="X102" i="259"/>
  <c r="X107" i="259" s="1"/>
  <c r="V83" i="259"/>
  <c r="Q102" i="259"/>
  <c r="Q107" i="259" s="1"/>
  <c r="F102" i="259"/>
  <c r="F107" i="259" s="1"/>
  <c r="O108" i="259"/>
  <c r="I83" i="259"/>
  <c r="AC83" i="259"/>
  <c r="N109" i="259"/>
  <c r="AG63" i="259"/>
  <c r="M83" i="259"/>
  <c r="I89" i="259"/>
  <c r="AC89" i="259"/>
  <c r="Y91" i="259"/>
  <c r="Y108" i="259" s="1"/>
  <c r="AH63" i="259"/>
  <c r="N83" i="259"/>
  <c r="F91" i="259"/>
  <c r="F108" i="259" s="1"/>
  <c r="Z91" i="259"/>
  <c r="Z108" i="259" s="1"/>
  <c r="AF39" i="259"/>
  <c r="AB65" i="259"/>
  <c r="O83" i="259"/>
  <c r="G91" i="259"/>
  <c r="G108" i="259" s="1"/>
  <c r="AA91" i="259"/>
  <c r="AA108" i="259" s="1"/>
  <c r="AG39" i="259"/>
  <c r="P83" i="259"/>
  <c r="H91" i="259"/>
  <c r="H108" i="259" s="1"/>
  <c r="AB91" i="259"/>
  <c r="AB108" i="259" s="1"/>
  <c r="T109" i="259"/>
  <c r="Q109" i="259"/>
  <c r="R109" i="259"/>
  <c r="S109" i="259"/>
  <c r="AH39" i="259"/>
  <c r="J65" i="259"/>
  <c r="I91" i="259"/>
  <c r="I108" i="259" s="1"/>
  <c r="AC91" i="259"/>
  <c r="AC108" i="259" s="1"/>
  <c r="U109" i="259"/>
  <c r="O109" i="259"/>
  <c r="L83" i="259"/>
  <c r="J91" i="259"/>
  <c r="J108" i="259" s="1"/>
  <c r="AF62" i="259"/>
  <c r="K91" i="259"/>
  <c r="K108" i="259" s="1"/>
  <c r="AF42" i="259"/>
  <c r="AG62" i="259"/>
  <c r="T83" i="259"/>
  <c r="P89" i="259"/>
  <c r="P102" i="259" s="1"/>
  <c r="P107" i="259" s="1"/>
  <c r="X109" i="259"/>
  <c r="AG42" i="259"/>
  <c r="U83" i="259"/>
  <c r="M91" i="259"/>
  <c r="M108" i="259" s="1"/>
  <c r="Y109" i="259"/>
  <c r="V109" i="259"/>
  <c r="W109" i="259"/>
  <c r="L91" i="259"/>
  <c r="L108" i="259" s="1"/>
  <c r="F109" i="259"/>
  <c r="Z109" i="259"/>
  <c r="R83" i="259"/>
  <c r="S83" i="259"/>
  <c r="G109" i="259"/>
  <c r="AA109" i="259"/>
  <c r="H109" i="259"/>
  <c r="AB109" i="259"/>
  <c r="K83" i="259"/>
  <c r="AF49" i="259"/>
  <c r="AG49" i="259"/>
  <c r="AF64" i="259"/>
  <c r="BD266" i="260" a="1"/>
  <c r="BO270" i="260" a="1"/>
  <c r="R267" i="260" a="1"/>
  <c r="N206" i="260" a="1"/>
  <c r="BO264" i="260" a="1"/>
  <c r="N258" i="260" a="1"/>
  <c r="R264" i="260" a="1"/>
  <c r="G278" i="260" a="1"/>
  <c r="AT277" i="260" a="1"/>
  <c r="V270" i="260" a="1"/>
  <c r="AN264" i="260" a="1"/>
  <c r="BK259" i="260" a="1"/>
  <c r="BK258" i="260" a="1"/>
  <c r="Z276" i="260" a="1"/>
  <c r="BD272" i="260" a="1"/>
  <c r="AT259" i="260" a="1"/>
  <c r="V277" i="260" a="1"/>
  <c r="V259" i="260" a="1"/>
  <c r="N264" i="260" a="1"/>
  <c r="Z260" i="260" a="1"/>
  <c r="Z273" i="260" a="1"/>
  <c r="BD267" i="260" a="1"/>
  <c r="AN212" i="260" a="1"/>
  <c r="AT268" i="260" a="1"/>
  <c r="V206" i="260" a="1"/>
  <c r="G263" i="260" a="1"/>
  <c r="BG206" i="260" a="1"/>
  <c r="Z274" i="260" a="1"/>
  <c r="AZ266" i="260" a="1"/>
  <c r="AT260" i="260" a="1"/>
  <c r="AN259" i="260" a="1"/>
  <c r="AD259" i="260" a="1"/>
  <c r="BO278" i="260" a="1"/>
  <c r="AT255" i="260" a="1"/>
  <c r="G274" i="260" a="1"/>
  <c r="J270" i="260" a="1"/>
  <c r="G258" i="260" a="1"/>
  <c r="BK263" i="260" a="1"/>
  <c r="Z278" i="260" a="1"/>
  <c r="AZ258" i="260" a="1"/>
  <c r="G268" i="260" a="1"/>
  <c r="BD268" i="260" a="1"/>
  <c r="BK266" i="260" a="1"/>
  <c r="G211" i="260" a="1"/>
  <c r="AQ206" i="260" a="1"/>
  <c r="BD212" i="260" a="1"/>
  <c r="N263" i="260" a="1"/>
  <c r="AD260" i="260" a="1"/>
  <c r="AH269" i="260" a="1"/>
  <c r="Z206" i="260" a="1"/>
  <c r="AD266" i="260" a="1"/>
  <c r="BD270" i="260" a="1"/>
  <c r="AN278" i="260" a="1"/>
  <c r="V255" i="260" a="1"/>
  <c r="Z266" i="260" a="1"/>
  <c r="AD258" i="260" a="1"/>
  <c r="AQ276" i="260" a="1"/>
  <c r="G277" i="260" a="1"/>
  <c r="AT264" i="260" a="1"/>
  <c r="BD277" i="260" a="1"/>
  <c r="BD264" i="260" a="1"/>
  <c r="V276" i="260" a="1"/>
  <c r="G272" i="260" a="1"/>
  <c r="AQ278" i="260" a="1"/>
  <c r="N277" i="260" a="1"/>
  <c r="AQ268" i="260" a="1"/>
  <c r="G267" i="260" a="1"/>
  <c r="J278" i="260" a="1"/>
  <c r="AN265" i="260" a="1"/>
  <c r="Z268" i="260" a="1"/>
  <c r="V212" i="260" a="1"/>
  <c r="R277" i="260" a="1"/>
  <c r="BD276" i="260" a="1"/>
  <c r="N272" i="260" a="1"/>
  <c r="BG273" i="260" a="1"/>
  <c r="AZ272" i="260" a="1"/>
  <c r="BO206" i="260" a="1"/>
  <c r="BD265" i="260" a="1"/>
  <c r="AZ267" i="260" a="1"/>
  <c r="G266" i="260" a="1"/>
  <c r="R259" i="260" a="1"/>
  <c r="BD278" i="260" a="1"/>
  <c r="R255" i="260" a="1"/>
  <c r="BO221" i="260" a="1"/>
  <c r="AZ268" i="260" a="1"/>
  <c r="AN276" i="260" a="1"/>
  <c r="BD273" i="260" a="1"/>
  <c r="AD221" i="260" a="1"/>
  <c r="R269" i="260" a="1"/>
  <c r="BO272" i="260" a="1"/>
  <c r="AD265" i="260" a="1"/>
  <c r="AN267" i="260" a="1"/>
  <c r="AQ265" i="260" a="1"/>
  <c r="R260" i="260" a="1"/>
  <c r="AT278" i="260" a="1"/>
  <c r="Z269" i="260" a="1"/>
  <c r="BK274" i="260" a="1"/>
  <c r="V272" i="260" a="1"/>
  <c r="AZ269" i="260" a="1"/>
  <c r="AD272" i="260" a="1"/>
  <c r="G212" i="260" a="1"/>
  <c r="AN211" i="260" a="1"/>
  <c r="N255" i="260" a="1"/>
  <c r="AQ263" i="260" a="1"/>
  <c r="Z211" i="260" a="1"/>
  <c r="N260" i="260" a="1"/>
  <c r="BG265" i="260" a="1"/>
  <c r="N265" i="260" a="1"/>
  <c r="V266" i="260" a="1"/>
  <c r="Z267" i="260" a="1"/>
  <c r="G206" i="260" a="1"/>
  <c r="BD206" i="260" a="1"/>
  <c r="AH266" i="260" a="1"/>
  <c r="AN206" i="260" a="1"/>
  <c r="BK278" i="260" a="1"/>
  <c r="AT266" i="260" a="1"/>
  <c r="N266" i="260" a="1"/>
  <c r="J260" i="260" a="1"/>
  <c r="J276" i="260" a="1"/>
  <c r="AN269" i="260" a="1"/>
  <c r="AQ255" i="260" a="1"/>
  <c r="R278" i="260" a="1"/>
  <c r="BG259" i="260" a="1"/>
  <c r="AQ266" i="260" a="1"/>
  <c r="V278" i="260" a="1"/>
  <c r="AD273" i="260" a="1"/>
  <c r="G221" i="260" a="1"/>
  <c r="V211" i="260" a="1"/>
  <c r="AZ264" i="260" a="1"/>
  <c r="AZ259" i="260" a="1"/>
  <c r="AQ259" i="260" a="1"/>
  <c r="AZ211" i="260" a="1"/>
  <c r="BK273" i="260" a="1"/>
  <c r="AQ273" i="260" a="1"/>
  <c r="N267" i="260" a="1"/>
  <c r="AN221" i="260" a="1"/>
  <c r="BD274" i="260" a="1"/>
  <c r="Z221" i="260" a="1"/>
  <c r="J272" i="260" a="1"/>
  <c r="R273" i="260" a="1"/>
  <c r="AH206" i="260" a="1"/>
  <c r="AD211" i="260" a="1"/>
  <c r="J211" i="260" a="1"/>
  <c r="AH258" i="260" a="1"/>
  <c r="AD274" i="260" a="1"/>
  <c r="AT272" i="260" a="1"/>
  <c r="AZ263" i="260" a="1"/>
  <c r="BG255" i="260" a="1"/>
  <c r="BK211" i="260" a="1"/>
  <c r="AN258" i="260" a="1"/>
  <c r="V269" i="260" a="1"/>
  <c r="V263" i="260" a="1"/>
  <c r="J267" i="260" a="1"/>
  <c r="BD275" i="260" a="1"/>
  <c r="G259" i="260" a="1"/>
  <c r="AD270" i="260" a="1"/>
  <c r="J258" i="260" a="1"/>
  <c r="BG275" i="260" a="1"/>
  <c r="AQ277" i="260" a="1"/>
  <c r="AQ211" i="260" a="1"/>
  <c r="AD278" i="260" a="1"/>
  <c r="BO211" i="260" a="1"/>
  <c r="AH274" i="260" a="1"/>
  <c r="AH265" i="260" a="1"/>
  <c r="Z264" i="260" a="1"/>
  <c r="J212" i="260" a="1"/>
  <c r="N212" i="260" a="1"/>
  <c r="AN273" i="260" a="1"/>
  <c r="AZ275" i="260" a="1"/>
  <c r="BK275" i="260" a="1"/>
  <c r="BK270" i="260" a="1"/>
  <c r="AT276" i="260" a="1"/>
  <c r="AQ270" i="260" a="1"/>
  <c r="AD267" i="260" a="1"/>
  <c r="J275" i="260" a="1"/>
  <c r="N259" i="260" a="1"/>
  <c r="N221" i="260" a="1"/>
  <c r="BO259" i="260" a="1"/>
  <c r="BG7" i="260" a="1"/>
  <c r="BO266" i="260" a="1"/>
  <c r="AD268" i="260" a="1"/>
  <c r="AH275" i="260" a="1"/>
  <c r="AQ269" i="260" a="1"/>
  <c r="AD269" i="260" a="1"/>
  <c r="R206" i="260" a="1"/>
  <c r="AZ265" i="260" a="1"/>
  <c r="AQ264" i="260" a="1"/>
  <c r="J259" i="260" a="1"/>
  <c r="AH277" i="260" a="1"/>
  <c r="BG267" i="260" a="1"/>
  <c r="G276" i="260" a="1"/>
  <c r="BK269" i="260" a="1"/>
  <c r="AZ274" i="260" a="1"/>
  <c r="AT263" i="260" a="1"/>
  <c r="AH221" i="260" a="1"/>
  <c r="BO276" i="260" a="1"/>
  <c r="BG27" i="260" a="1"/>
  <c r="BG221" i="260" a="1"/>
  <c r="N278" i="260" a="1"/>
  <c r="BG278" i="260" a="1"/>
  <c r="BD259" i="260" a="1"/>
  <c r="BG268" i="260" a="1"/>
  <c r="V274" i="260" a="1"/>
  <c r="AH268" i="260" a="1"/>
  <c r="BG269" i="260" a="1"/>
  <c r="G270" i="260" a="1"/>
  <c r="AZ212" i="260" a="1"/>
  <c r="G260" i="260" a="1"/>
  <c r="R272" i="260" a="1"/>
  <c r="V275" i="260" a="1"/>
  <c r="V273" i="260" a="1"/>
  <c r="AZ221" i="260" a="1"/>
  <c r="BK264" i="260" a="1"/>
  <c r="AN270" i="260" a="1"/>
  <c r="BO258" i="260" a="1"/>
  <c r="J273" i="260" a="1"/>
  <c r="BG260" i="260" a="1"/>
  <c r="R276" i="260" a="1"/>
  <c r="BD258" i="260" a="1"/>
  <c r="AH263" i="260" a="1"/>
  <c r="BG263" i="260" a="1"/>
  <c r="J206" i="260" a="1"/>
  <c r="AT269" i="260" a="1"/>
  <c r="AD255" i="260" a="1"/>
  <c r="V265" i="260" a="1"/>
  <c r="Z265" i="260" a="1"/>
  <c r="BG264" i="260" a="1"/>
  <c r="AZ206" i="260" a="1"/>
  <c r="BO267" i="260" a="1"/>
  <c r="N211" i="260" a="1"/>
  <c r="AD276" i="260" a="1"/>
  <c r="AH273" i="260" a="1"/>
  <c r="AD212" i="260" a="1"/>
  <c r="Z263" i="260" a="1"/>
  <c r="V264" i="260" a="1"/>
  <c r="AD264" i="260" a="1"/>
  <c r="R212" i="260" a="1"/>
  <c r="G275" i="260" a="1"/>
  <c r="AN268" i="260" a="1"/>
  <c r="J266" i="260" a="1"/>
  <c r="AZ277" i="260" a="1"/>
  <c r="AN274" i="260" a="1"/>
  <c r="AH267" i="260" a="1"/>
  <c r="R266" i="260" a="1"/>
  <c r="BG211" i="260" a="1"/>
  <c r="AQ212" i="260" a="1"/>
  <c r="AN255" i="260" a="1"/>
  <c r="AH259" i="260" a="1"/>
  <c r="BK221" i="260" a="1"/>
  <c r="J277" i="260" a="1"/>
  <c r="AQ272" i="260" a="1"/>
  <c r="AT212" i="260" a="1"/>
  <c r="R268" i="260" a="1"/>
  <c r="BG9" i="260" a="1"/>
  <c r="BO260" i="260" a="1"/>
  <c r="R270" i="260" a="1"/>
  <c r="BO273" i="260" a="1"/>
  <c r="AQ274" i="260" a="1"/>
  <c r="J265" i="260" a="1"/>
  <c r="AH260" i="260" a="1"/>
  <c r="BK265" i="260" a="1"/>
  <c r="R275" i="260" a="1"/>
  <c r="Z270" i="260" a="1"/>
  <c r="G273" i="260" a="1"/>
  <c r="AH212" i="260" a="1"/>
  <c r="V258" i="260" a="1"/>
  <c r="AT267" i="260" a="1"/>
  <c r="Z255" i="260" a="1"/>
  <c r="R263" i="260" a="1"/>
  <c r="N274" i="260" a="1"/>
  <c r="J264" i="260" a="1"/>
  <c r="BK277" i="260" a="1"/>
  <c r="AN277" i="260" a="1"/>
  <c r="BD260" i="260" a="1"/>
  <c r="J274" i="260" a="1"/>
  <c r="AZ273" i="260" a="1"/>
  <c r="AH272" i="260" a="1"/>
  <c r="BG272" i="260" a="1"/>
  <c r="BK260" i="260" a="1"/>
  <c r="AH255" i="260" a="1"/>
  <c r="J269" i="260" a="1"/>
  <c r="BG266" i="260" a="1"/>
  <c r="J255" i="260" a="1"/>
  <c r="BG270" i="260" a="1"/>
  <c r="BO277" i="260" a="1"/>
  <c r="N275" i="260" a="1"/>
  <c r="V267" i="260" a="1"/>
  <c r="BG274" i="260" a="1"/>
  <c r="AD263" i="260" a="1"/>
  <c r="G265" i="260" a="1"/>
  <c r="AT258" i="260" a="1"/>
  <c r="BO268" i="260" a="1"/>
  <c r="AQ275" i="260" a="1"/>
  <c r="AH276" i="260" a="1"/>
  <c r="N270" i="260" a="1"/>
  <c r="AZ270" i="260" a="1"/>
  <c r="N269" i="260" a="1"/>
  <c r="AN266" i="260" a="1"/>
  <c r="G255" i="260" a="1"/>
  <c r="BO265" i="260" a="1"/>
  <c r="BK267" i="260" a="1"/>
  <c r="AT211" i="260" a="1"/>
  <c r="AQ260" i="260" a="1"/>
  <c r="AZ255" i="260" a="1"/>
  <c r="R221" i="260" a="1"/>
  <c r="G264" i="260" a="1"/>
  <c r="R274" i="260" a="1"/>
  <c r="V221" i="260" a="1"/>
  <c r="BD211" i="260" a="1"/>
  <c r="AN260" i="260" a="1"/>
  <c r="Z272" i="260" a="1"/>
  <c r="AN272" i="260" a="1"/>
  <c r="BD255" i="260" a="1"/>
  <c r="AH270" i="260" a="1"/>
  <c r="AH278" i="260" a="1"/>
  <c r="Z275" i="260" a="1"/>
  <c r="Z232" i="260" a="1"/>
  <c r="BO275" i="260" a="1"/>
  <c r="AT270" i="260" a="1"/>
  <c r="BD269" i="260" a="1"/>
  <c r="BG258" i="260" a="1"/>
  <c r="BK276" i="260" a="1"/>
  <c r="BK206" i="260" a="1"/>
  <c r="R265" i="260" a="1"/>
  <c r="BO263" i="260" a="1"/>
  <c r="AQ221" i="260" a="1"/>
  <c r="J221" i="260" a="1"/>
  <c r="J268" i="260" a="1"/>
  <c r="N268" i="260" a="1"/>
  <c r="BK272" i="260" a="1"/>
  <c r="BG277" i="260" a="1"/>
  <c r="AN263" i="260" a="1"/>
  <c r="BK212" i="260" a="1"/>
  <c r="Z259" i="260" a="1"/>
  <c r="N273" i="260" a="1"/>
  <c r="AT221" i="260" a="1"/>
  <c r="AZ276" i="260" a="1"/>
  <c r="Z277" i="260" a="1"/>
  <c r="AD206" i="260" a="1"/>
  <c r="R211" i="260" a="1"/>
  <c r="BO212" i="260" a="1"/>
  <c r="BK255" i="260" a="1"/>
  <c r="BK268" i="260" a="1"/>
  <c r="AT206" i="260" a="1"/>
  <c r="AH211" i="260" a="1"/>
  <c r="AZ260" i="260" a="1"/>
  <c r="J263" i="260" a="1"/>
  <c r="V268" i="260" a="1"/>
  <c r="Z212" i="260" a="1"/>
  <c r="BG276" i="260" a="1"/>
  <c r="AT273" i="260" a="1"/>
  <c r="AD277" i="260" a="1"/>
  <c r="BD263" i="260" a="1"/>
  <c r="BG212" i="260" a="1"/>
  <c r="Z258" i="260" a="1"/>
  <c r="BO255" i="260" a="1"/>
  <c r="BO274" i="260" a="1"/>
  <c r="AQ267" i="260" a="1"/>
  <c r="AH264" i="260" a="1"/>
  <c r="N276" i="260" a="1"/>
  <c r="AT265" i="260" a="1"/>
  <c r="AZ278" i="260" a="1"/>
  <c r="AD275" i="260" a="1"/>
  <c r="AT275" i="260" a="1"/>
  <c r="AN275" i="260" a="1"/>
  <c r="R258" i="260" a="1"/>
  <c r="AT274" i="260" a="1"/>
  <c r="BO269" i="260" a="1"/>
  <c r="AQ258" i="260" a="1"/>
  <c r="G269" i="260" a="1"/>
  <c r="BD221" i="260" a="1"/>
  <c r="V260" i="260" a="1"/>
  <c r="AZ266" i="260" l="1"/>
  <c r="AT266" i="260"/>
  <c r="V266" i="260"/>
  <c r="AH266" i="260"/>
  <c r="Z266" i="260"/>
  <c r="J266" i="260"/>
  <c r="BG266" i="260"/>
  <c r="N266" i="260"/>
  <c r="BD266" i="260"/>
  <c r="G266" i="260"/>
  <c r="R266" i="260"/>
  <c r="AN266" i="260"/>
  <c r="AQ266" i="260"/>
  <c r="AD266" i="260"/>
  <c r="BK266" i="260"/>
  <c r="BO266" i="260"/>
  <c r="N273" i="260"/>
  <c r="AZ273" i="260"/>
  <c r="BD273" i="260"/>
  <c r="V273" i="260"/>
  <c r="Z273" i="260"/>
  <c r="BK273" i="260"/>
  <c r="AT273" i="260"/>
  <c r="BO273" i="260"/>
  <c r="AD273" i="260"/>
  <c r="J273" i="260"/>
  <c r="R273" i="260"/>
  <c r="BG273" i="260"/>
  <c r="AH273" i="260"/>
  <c r="AN273" i="260"/>
  <c r="AQ273" i="260"/>
  <c r="G273" i="260"/>
  <c r="AT270" i="260"/>
  <c r="AQ270" i="260"/>
  <c r="R270" i="260"/>
  <c r="BO270" i="260"/>
  <c r="V270" i="260"/>
  <c r="AZ270" i="260"/>
  <c r="G270" i="260"/>
  <c r="AD270" i="260"/>
  <c r="BK270" i="260"/>
  <c r="Z270" i="260"/>
  <c r="BG270" i="260"/>
  <c r="J270" i="260"/>
  <c r="AN270" i="260"/>
  <c r="N270" i="260"/>
  <c r="AH270" i="260"/>
  <c r="BD270" i="260"/>
  <c r="AT272" i="260"/>
  <c r="AN272" i="260"/>
  <c r="AZ272" i="260"/>
  <c r="AQ272" i="260"/>
  <c r="R272" i="260"/>
  <c r="Z272" i="260"/>
  <c r="BK272" i="260"/>
  <c r="BO272" i="260"/>
  <c r="J272" i="260"/>
  <c r="G272" i="260"/>
  <c r="V272" i="260"/>
  <c r="AD272" i="260"/>
  <c r="BG272" i="260"/>
  <c r="AH272" i="260"/>
  <c r="N272" i="260"/>
  <c r="BD272" i="260"/>
  <c r="AN268" i="260"/>
  <c r="BO268" i="260"/>
  <c r="AQ268" i="260"/>
  <c r="Z268" i="260"/>
  <c r="AT268" i="260"/>
  <c r="J268" i="260"/>
  <c r="AZ268" i="260"/>
  <c r="N268" i="260"/>
  <c r="G268" i="260"/>
  <c r="V268" i="260"/>
  <c r="AH268" i="260"/>
  <c r="AD268" i="260"/>
  <c r="BK268" i="260"/>
  <c r="BD268" i="260"/>
  <c r="BG268" i="260"/>
  <c r="R268" i="260"/>
  <c r="BO264" i="260"/>
  <c r="G264" i="260"/>
  <c r="AQ264" i="260"/>
  <c r="AT264" i="260"/>
  <c r="BG264" i="260"/>
  <c r="BK264" i="260"/>
  <c r="R264" i="260"/>
  <c r="BD264" i="260"/>
  <c r="AZ264" i="260"/>
  <c r="N264" i="260"/>
  <c r="Z264" i="260"/>
  <c r="AH264" i="260"/>
  <c r="AD264" i="260"/>
  <c r="J264" i="260"/>
  <c r="AN264" i="260"/>
  <c r="V264" i="260"/>
  <c r="AD274" i="260"/>
  <c r="BO274" i="260"/>
  <c r="AQ274" i="260"/>
  <c r="AN274" i="260"/>
  <c r="AH274" i="260"/>
  <c r="Z274" i="260"/>
  <c r="BK274" i="260"/>
  <c r="BG274" i="260"/>
  <c r="AZ274" i="260"/>
  <c r="J274" i="260"/>
  <c r="BD274" i="260"/>
  <c r="G274" i="260"/>
  <c r="N274" i="260"/>
  <c r="AT274" i="260"/>
  <c r="V274" i="260"/>
  <c r="R274" i="260"/>
  <c r="N260" i="260"/>
  <c r="BG260" i="260"/>
  <c r="AH260" i="260"/>
  <c r="BD260" i="260"/>
  <c r="BO260" i="260"/>
  <c r="AZ260" i="260"/>
  <c r="BK260" i="260"/>
  <c r="AD260" i="260"/>
  <c r="J260" i="260"/>
  <c r="G260" i="260"/>
  <c r="AT260" i="260"/>
  <c r="AN260" i="260"/>
  <c r="R260" i="260"/>
  <c r="Z260" i="260"/>
  <c r="V260" i="260"/>
  <c r="AQ260" i="260"/>
  <c r="AZ263" i="260"/>
  <c r="R263" i="260"/>
  <c r="BO263" i="260"/>
  <c r="BK263" i="260"/>
  <c r="Z263" i="260"/>
  <c r="N263" i="260"/>
  <c r="AT263" i="260"/>
  <c r="V263" i="260"/>
  <c r="BD263" i="260"/>
  <c r="AH263" i="260"/>
  <c r="J263" i="260"/>
  <c r="AD263" i="260"/>
  <c r="G263" i="260"/>
  <c r="AQ263" i="260"/>
  <c r="AN263" i="260"/>
  <c r="BG263" i="260"/>
  <c r="G276" i="260"/>
  <c r="AT276" i="260"/>
  <c r="R276" i="260"/>
  <c r="AH276" i="260"/>
  <c r="BO276" i="260"/>
  <c r="BG276" i="260"/>
  <c r="AQ276" i="260"/>
  <c r="AD276" i="260"/>
  <c r="J276" i="260"/>
  <c r="AN276" i="260"/>
  <c r="BD276" i="260"/>
  <c r="N276" i="260"/>
  <c r="Z276" i="260"/>
  <c r="BK276" i="260"/>
  <c r="V276" i="260"/>
  <c r="AZ276" i="260"/>
  <c r="AT267" i="260"/>
  <c r="R267" i="260"/>
  <c r="Z267" i="260"/>
  <c r="BK267" i="260"/>
  <c r="AH267" i="260"/>
  <c r="BD267" i="260"/>
  <c r="AD267" i="260"/>
  <c r="N267" i="260"/>
  <c r="BG267" i="260"/>
  <c r="AZ267" i="260"/>
  <c r="V267" i="260"/>
  <c r="BO267" i="260"/>
  <c r="G267" i="260"/>
  <c r="AQ267" i="260"/>
  <c r="J267" i="260"/>
  <c r="AN267" i="260"/>
  <c r="R277" i="260"/>
  <c r="AN277" i="260"/>
  <c r="BK277" i="260"/>
  <c r="BD277" i="260"/>
  <c r="AH277" i="260"/>
  <c r="V277" i="260"/>
  <c r="BG277" i="260"/>
  <c r="BO277" i="260"/>
  <c r="AD277" i="260"/>
  <c r="Z277" i="260"/>
  <c r="AQ277" i="260"/>
  <c r="AT277" i="260"/>
  <c r="G277" i="260"/>
  <c r="AZ277" i="260"/>
  <c r="N277" i="260"/>
  <c r="J277" i="260"/>
  <c r="BD269" i="260"/>
  <c r="AZ269" i="260"/>
  <c r="AQ269" i="260"/>
  <c r="BG269" i="260"/>
  <c r="AT269" i="260"/>
  <c r="BO269" i="260"/>
  <c r="V269" i="260"/>
  <c r="AD269" i="260"/>
  <c r="G269" i="260"/>
  <c r="Z269" i="260"/>
  <c r="AH269" i="260"/>
  <c r="R269" i="260"/>
  <c r="J269" i="260"/>
  <c r="N269" i="260"/>
  <c r="BK269" i="260"/>
  <c r="AN269" i="260"/>
  <c r="AT258" i="260"/>
  <c r="AQ258" i="260"/>
  <c r="BO258" i="260"/>
  <c r="R258" i="260"/>
  <c r="G258" i="260"/>
  <c r="AN258" i="260"/>
  <c r="N258" i="260"/>
  <c r="V258" i="260"/>
  <c r="Z258" i="260"/>
  <c r="BG258" i="260"/>
  <c r="AZ258" i="260"/>
  <c r="AD258" i="260"/>
  <c r="J258" i="260"/>
  <c r="AH258" i="260"/>
  <c r="BK258" i="260"/>
  <c r="BD258" i="260"/>
  <c r="G275" i="260"/>
  <c r="R275" i="260"/>
  <c r="AN275" i="260"/>
  <c r="AQ275" i="260"/>
  <c r="AH275" i="260"/>
  <c r="AT275" i="260"/>
  <c r="AZ275" i="260"/>
  <c r="BO275" i="260"/>
  <c r="BK275" i="260"/>
  <c r="J275" i="260"/>
  <c r="BD275" i="260"/>
  <c r="AD275" i="260"/>
  <c r="V275" i="260"/>
  <c r="Z275" i="260"/>
  <c r="N275" i="260"/>
  <c r="BG275" i="260"/>
  <c r="Z232" i="260"/>
  <c r="AT259" i="260"/>
  <c r="AZ259" i="260"/>
  <c r="AN259" i="260"/>
  <c r="BD259" i="260"/>
  <c r="AD259" i="260"/>
  <c r="AQ259" i="260"/>
  <c r="BK259" i="260"/>
  <c r="BG259" i="260"/>
  <c r="J259" i="260"/>
  <c r="Z259" i="260"/>
  <c r="N259" i="260"/>
  <c r="BO259" i="260"/>
  <c r="G259" i="260"/>
  <c r="AH259" i="260"/>
  <c r="R259" i="260"/>
  <c r="V259" i="260"/>
  <c r="G255" i="260"/>
  <c r="BO255" i="260"/>
  <c r="AH255" i="260"/>
  <c r="BK255" i="260"/>
  <c r="AD255" i="260"/>
  <c r="BG255" i="260"/>
  <c r="J255" i="260"/>
  <c r="AQ255" i="260"/>
  <c r="Z255" i="260"/>
  <c r="N255" i="260"/>
  <c r="R255" i="260"/>
  <c r="V255" i="260"/>
  <c r="BD255" i="260"/>
  <c r="AN255" i="260"/>
  <c r="AT255" i="260"/>
  <c r="AZ255" i="260"/>
  <c r="BD265" i="260"/>
  <c r="BK265" i="260"/>
  <c r="N265" i="260"/>
  <c r="J265" i="260"/>
  <c r="BG265" i="260"/>
  <c r="AH265" i="260"/>
  <c r="AQ265" i="260"/>
  <c r="V265" i="260"/>
  <c r="R265" i="260"/>
  <c r="AD265" i="260"/>
  <c r="Z265" i="260"/>
  <c r="AN265" i="260"/>
  <c r="AT265" i="260"/>
  <c r="G265" i="260"/>
  <c r="AZ265" i="260"/>
  <c r="BO265" i="260"/>
  <c r="BK278" i="260"/>
  <c r="AT278" i="260"/>
  <c r="AZ278" i="260"/>
  <c r="BO278" i="260"/>
  <c r="AH278" i="260"/>
  <c r="AQ278" i="260"/>
  <c r="AD278" i="260"/>
  <c r="AN278" i="260"/>
  <c r="Z278" i="260"/>
  <c r="BD278" i="260"/>
  <c r="N278" i="260"/>
  <c r="BG278" i="260"/>
  <c r="J278" i="260"/>
  <c r="R278" i="260"/>
  <c r="V278" i="260"/>
  <c r="G278" i="260"/>
  <c r="C291" i="260"/>
  <c r="C298" i="260"/>
  <c r="C295" i="260"/>
  <c r="C297" i="260"/>
  <c r="C293" i="260"/>
  <c r="C289" i="260"/>
  <c r="C299" i="260"/>
  <c r="C285" i="260"/>
  <c r="C288" i="260"/>
  <c r="C301" i="260"/>
  <c r="C292" i="260"/>
  <c r="C302" i="260"/>
  <c r="C294" i="260"/>
  <c r="C283" i="260"/>
  <c r="C300" i="260"/>
  <c r="C257" i="260"/>
  <c r="C284" i="260"/>
  <c r="C280" i="260"/>
  <c r="C290" i="260"/>
  <c r="C303" i="260"/>
  <c r="AH206" i="260"/>
  <c r="AD206" i="260"/>
  <c r="AT206" i="260"/>
  <c r="AN206" i="260"/>
  <c r="AZ206" i="260"/>
  <c r="N206" i="260"/>
  <c r="BG206" i="260"/>
  <c r="BD206" i="260"/>
  <c r="BO206" i="260"/>
  <c r="J206" i="260"/>
  <c r="G206" i="260"/>
  <c r="BK206" i="260"/>
  <c r="V206" i="260"/>
  <c r="AQ206" i="260"/>
  <c r="R206" i="260"/>
  <c r="Z206" i="260"/>
  <c r="BO211" i="260"/>
  <c r="V211" i="260"/>
  <c r="J211" i="260"/>
  <c r="N211" i="260"/>
  <c r="AQ211" i="260"/>
  <c r="Z211" i="260"/>
  <c r="AH211" i="260"/>
  <c r="BK211" i="260"/>
  <c r="BD211" i="260"/>
  <c r="R211" i="260"/>
  <c r="AN211" i="260"/>
  <c r="AD211" i="260"/>
  <c r="G211" i="260"/>
  <c r="AT211" i="260"/>
  <c r="BG211" i="260"/>
  <c r="AZ211" i="260"/>
  <c r="BD221" i="260"/>
  <c r="AQ221" i="260"/>
  <c r="BK221" i="260"/>
  <c r="BO221" i="260"/>
  <c r="N221" i="260"/>
  <c r="G221" i="260"/>
  <c r="AZ221" i="260"/>
  <c r="R221" i="260"/>
  <c r="AD221" i="260"/>
  <c r="Z221" i="260"/>
  <c r="AT221" i="260"/>
  <c r="BG221" i="260"/>
  <c r="AH221" i="260"/>
  <c r="J221" i="260"/>
  <c r="V221" i="260"/>
  <c r="AN221" i="260"/>
  <c r="AN212" i="260"/>
  <c r="J212" i="260"/>
  <c r="V212" i="260"/>
  <c r="BO212" i="260"/>
  <c r="Z212" i="260"/>
  <c r="AT212" i="260"/>
  <c r="AD212" i="260"/>
  <c r="BK212" i="260"/>
  <c r="N212" i="260"/>
  <c r="R212" i="260"/>
  <c r="G212" i="260"/>
  <c r="BD212" i="260"/>
  <c r="AH212" i="260"/>
  <c r="AZ212" i="260"/>
  <c r="AQ212" i="260"/>
  <c r="BG212" i="260"/>
  <c r="C231" i="260"/>
  <c r="C256" i="260" s="1"/>
  <c r="C236" i="260"/>
  <c r="C261" i="260" s="1"/>
  <c r="C246" i="260"/>
  <c r="C271" i="260" s="1"/>
  <c r="C237" i="260"/>
  <c r="C262" i="260" s="1"/>
  <c r="R102" i="259"/>
  <c r="R107" i="259" s="1"/>
  <c r="BG27" i="260"/>
  <c r="AB98" i="259"/>
  <c r="U102" i="259"/>
  <c r="U107" i="259" s="1"/>
  <c r="V102" i="259"/>
  <c r="V107" i="259" s="1"/>
  <c r="S102" i="259"/>
  <c r="S107" i="259" s="1"/>
  <c r="BG9" i="260"/>
  <c r="J98" i="259"/>
  <c r="BG7" i="260"/>
  <c r="H98" i="259"/>
  <c r="H102" i="259" s="1"/>
  <c r="H107" i="259" s="1"/>
  <c r="AA102" i="259"/>
  <c r="AA107" i="259" s="1"/>
  <c r="AC102" i="259"/>
  <c r="AC107" i="259" s="1"/>
  <c r="AB83" i="259"/>
  <c r="K102" i="259"/>
  <c r="K107" i="259" s="1"/>
  <c r="G102" i="259"/>
  <c r="G107" i="259" s="1"/>
  <c r="J102" i="259"/>
  <c r="J107" i="259" s="1"/>
  <c r="AB102" i="259"/>
  <c r="AB107" i="259" s="1"/>
  <c r="I102" i="259"/>
  <c r="I107" i="259" s="1"/>
  <c r="M102" i="259"/>
  <c r="M107" i="259" s="1"/>
  <c r="J83" i="259"/>
  <c r="Y102" i="259"/>
  <c r="Y107" i="259" s="1"/>
  <c r="Z102" i="259"/>
  <c r="Z107" i="259" s="1"/>
  <c r="L102" i="259"/>
  <c r="L107" i="259" s="1"/>
  <c r="BK243" i="260" a="1"/>
  <c r="G245" i="260" a="1"/>
  <c r="AD247" i="260" a="1"/>
  <c r="BG295" i="260" a="1"/>
  <c r="G302" i="260" a="1"/>
  <c r="Z257" i="260" a="1"/>
  <c r="AT290" i="260" a="1"/>
  <c r="AZ241" i="260" a="1"/>
  <c r="AZ238" i="260" a="1"/>
  <c r="N240" i="260" a="1"/>
  <c r="BD291" i="260" a="1"/>
  <c r="G243" i="260" a="1"/>
  <c r="J234" i="260" a="1"/>
  <c r="AH232" i="260" a="1"/>
  <c r="R244" i="260" a="1"/>
  <c r="AZ253" i="260" a="1"/>
  <c r="G233" i="260" a="1"/>
  <c r="AH253" i="260" a="1"/>
  <c r="BD232" i="260" a="1"/>
  <c r="N284" i="260" a="1"/>
  <c r="BK234" i="260" a="1"/>
  <c r="BK250" i="260" a="1"/>
  <c r="R300" i="260" a="1"/>
  <c r="AZ262" i="260" a="1"/>
  <c r="R294" i="260" a="1"/>
  <c r="AD288" i="260" a="1"/>
  <c r="AZ248" i="260" a="1"/>
  <c r="V247" i="260" a="1"/>
  <c r="BG256" i="260" a="1"/>
  <c r="Z252" i="260" a="1"/>
  <c r="AD300" i="260" a="1"/>
  <c r="R297" i="260" a="1"/>
  <c r="AQ241" i="260" a="1"/>
  <c r="G293" i="260" a="1"/>
  <c r="AT301" i="260" a="1"/>
  <c r="BD257" i="260" a="1"/>
  <c r="Z288" i="260" a="1"/>
  <c r="Z271" i="260" a="1"/>
  <c r="BO249" i="260" a="1"/>
  <c r="BK292" i="260" a="1"/>
  <c r="AT288" i="260" a="1"/>
  <c r="J257" i="260" a="1"/>
  <c r="J303" i="260" a="1"/>
  <c r="AN240" i="260" a="1"/>
  <c r="BK232" i="260" a="1"/>
  <c r="J235" i="260" a="1"/>
  <c r="V250" i="260" a="1"/>
  <c r="G280" i="260" a="1"/>
  <c r="R230" i="260" a="1"/>
  <c r="Z250" i="260" a="1"/>
  <c r="BG261" i="260" a="1"/>
  <c r="AQ284" i="260" a="1"/>
  <c r="AD245" i="260" a="1"/>
  <c r="AT232" i="260" a="1"/>
  <c r="BO250" i="260" a="1"/>
  <c r="V300" i="260" a="1"/>
  <c r="AT238" i="260" a="1"/>
  <c r="BO247" i="260" a="1"/>
  <c r="G248" i="260" a="1"/>
  <c r="BK262" i="260" a="1"/>
  <c r="R249" i="260" a="1"/>
  <c r="AN233" i="260" a="1"/>
  <c r="G249" i="260" a="1"/>
  <c r="AH243" i="260" a="1"/>
  <c r="Z235" i="260" a="1"/>
  <c r="AN302" i="260" a="1"/>
  <c r="BG252" i="260" a="1"/>
  <c r="V245" i="260" a="1"/>
  <c r="BK298" i="260" a="1"/>
  <c r="Z234" i="260" a="1"/>
  <c r="Z303" i="260" a="1"/>
  <c r="AQ261" i="260" a="1"/>
  <c r="N294" i="260" a="1"/>
  <c r="J249" i="260" a="1"/>
  <c r="AN239" i="260" a="1"/>
  <c r="AT248" i="260" a="1"/>
  <c r="AZ243" i="260" a="1"/>
  <c r="G299" i="260" a="1"/>
  <c r="BG241" i="260" a="1"/>
  <c r="G256" i="260" a="1"/>
  <c r="BD301" i="260" a="1"/>
  <c r="BG244" i="260" a="1"/>
  <c r="G288" i="260" a="1"/>
  <c r="BK245" i="260" a="1"/>
  <c r="AT253" i="260" a="1"/>
  <c r="AN297" i="260" a="1"/>
  <c r="R295" i="260" a="1"/>
  <c r="AD293" i="260" a="1"/>
  <c r="AD233" i="260" a="1"/>
  <c r="AN238" i="260" a="1"/>
  <c r="AD252" i="260" a="1"/>
  <c r="BD297" i="260" a="1"/>
  <c r="AD271" i="260" a="1"/>
  <c r="G247" i="260" a="1"/>
  <c r="AT280" i="260" a="1"/>
  <c r="J239" i="260" a="1"/>
  <c r="BO262" i="260" a="1"/>
  <c r="BK239" i="260" a="1"/>
  <c r="AH233" i="260" a="1"/>
  <c r="BG232" i="260" a="1"/>
  <c r="N253" i="260" a="1"/>
  <c r="BO261" i="260" a="1"/>
  <c r="J289" i="260" a="1"/>
  <c r="N235" i="260" a="1"/>
  <c r="N252" i="260" a="1"/>
  <c r="AH245" i="260" a="1"/>
  <c r="R298" i="260" a="1"/>
  <c r="AD301" i="260" a="1"/>
  <c r="BK233" i="260" a="1"/>
  <c r="AD261" i="260" a="1"/>
  <c r="Z238" i="260" a="1"/>
  <c r="G250" i="260" a="1"/>
  <c r="G283" i="260" a="1"/>
  <c r="AD283" i="260" a="1"/>
  <c r="AN299" i="260" a="1"/>
  <c r="J299" i="260" a="1"/>
  <c r="J292" i="260" a="1"/>
  <c r="BD242" i="260" a="1"/>
  <c r="J291" i="260" a="1"/>
  <c r="AQ299" i="260" a="1"/>
  <c r="N243" i="260" a="1"/>
  <c r="AN248" i="260" a="1"/>
  <c r="AQ303" i="260" a="1"/>
  <c r="BK242" i="260" a="1"/>
  <c r="AN243" i="260" a="1"/>
  <c r="BD290" i="260" a="1"/>
  <c r="AT242" i="260" a="1"/>
  <c r="G271" i="260" a="1"/>
  <c r="R302" i="260" a="1"/>
  <c r="AN235" i="260" a="1"/>
  <c r="R252" i="260" a="1"/>
  <c r="AH298" i="260" a="1"/>
  <c r="R251" i="260" a="1"/>
  <c r="AQ271" i="260" a="1"/>
  <c r="N280" i="260" a="1"/>
  <c r="AZ251" i="260" a="1"/>
  <c r="BD247" i="260" a="1"/>
  <c r="BD294" i="260" a="1"/>
  <c r="AH241" i="260" a="1"/>
  <c r="AQ290" i="260" a="1"/>
  <c r="R283" i="260" a="1"/>
  <c r="BO242" i="260" a="1"/>
  <c r="AT241" i="260" a="1"/>
  <c r="G297" i="260" a="1"/>
  <c r="Z253" i="260" a="1"/>
  <c r="AN303" i="260" a="1"/>
  <c r="J245" i="260" a="1"/>
  <c r="V284" i="260" a="1"/>
  <c r="AN288" i="260" a="1"/>
  <c r="AN247" i="260" a="1"/>
  <c r="BD288" i="260" a="1"/>
  <c r="AH238" i="260" a="1"/>
  <c r="AH285" i="260" a="1"/>
  <c r="BO284" i="260" a="1"/>
  <c r="AN257" i="260" a="1"/>
  <c r="BK288" i="260" a="1"/>
  <c r="AD290" i="260" a="1"/>
  <c r="N248" i="260" a="1"/>
  <c r="G295" i="260" a="1"/>
  <c r="J285" i="260" a="1"/>
  <c r="G239" i="260" a="1"/>
  <c r="AN291" i="260" a="1"/>
  <c r="G234" i="260" a="1"/>
  <c r="AH300" i="260" a="1"/>
  <c r="BK257" i="260" a="1"/>
  <c r="R250" i="260" a="1"/>
  <c r="AH284" i="260" a="1"/>
  <c r="AZ257" i="260" a="1"/>
  <c r="BG245" i="260" a="1"/>
  <c r="G289" i="260" a="1"/>
  <c r="Z294" i="260" a="1"/>
  <c r="R243" i="260" a="1"/>
  <c r="AT294" i="260" a="1"/>
  <c r="Z284" i="260" a="1"/>
  <c r="AT289" i="260" a="1"/>
  <c r="AZ256" i="260" a="1"/>
  <c r="AH280" i="260" a="1"/>
  <c r="J295" i="260" a="1"/>
  <c r="V294" i="260" a="1"/>
  <c r="N244" i="260" a="1"/>
  <c r="BD235" i="260" a="1"/>
  <c r="BO239" i="260" a="1"/>
  <c r="G303" i="260" a="1"/>
  <c r="V261" i="260" a="1"/>
  <c r="AT240" i="260" a="1"/>
  <c r="AQ300" i="260" a="1"/>
  <c r="BO301" i="260" a="1"/>
  <c r="R240" i="260" a="1"/>
  <c r="AZ230" i="260" a="1"/>
  <c r="Z299" i="260" a="1"/>
  <c r="AT250" i="260" a="1"/>
  <c r="BG289" i="260" a="1"/>
  <c r="AN295" i="260" a="1"/>
  <c r="AD295" i="260" a="1"/>
  <c r="AH295" i="260" a="1"/>
  <c r="BG242" i="260" a="1"/>
  <c r="N293" i="260" a="1"/>
  <c r="AD262" i="260" a="1"/>
  <c r="BD299" i="260" a="1"/>
  <c r="AN241" i="260" a="1"/>
  <c r="AN283" i="260" a="1"/>
  <c r="AZ294" i="260" a="1"/>
  <c r="AN232" i="260" a="1"/>
  <c r="R289" i="260" a="1"/>
  <c r="Z239" i="260" a="1"/>
  <c r="Z245" i="260" a="1"/>
  <c r="Z289" i="260" a="1"/>
  <c r="AQ301" i="260" a="1"/>
  <c r="R292" i="260" a="1"/>
  <c r="AD238" i="260" a="1"/>
  <c r="Z261" i="260" a="1"/>
  <c r="N241" i="260" a="1"/>
  <c r="AD234" i="260" a="1"/>
  <c r="AH244" i="260" a="1"/>
  <c r="N290" i="260" a="1"/>
  <c r="AQ232" i="260" a="1"/>
  <c r="AZ302" i="260" a="1"/>
  <c r="BK253" i="260" a="1"/>
  <c r="BK249" i="260" a="1"/>
  <c r="G235" i="260" a="1"/>
  <c r="AQ242" i="260" a="1"/>
  <c r="V240" i="260" a="1"/>
  <c r="BD303" i="260" a="1"/>
  <c r="AN285" i="260" a="1"/>
  <c r="BD230" i="260" a="1"/>
  <c r="J230" i="260" a="1"/>
  <c r="G242" i="260" a="1"/>
  <c r="AQ234" i="260" a="1"/>
  <c r="BG239" i="260" a="1"/>
  <c r="AT249" i="260" a="1"/>
  <c r="BO252" i="260" a="1"/>
  <c r="R233" i="260" a="1"/>
  <c r="BK294" i="260" a="1"/>
  <c r="AH256" i="260" a="1"/>
  <c r="AZ290" i="260" a="1"/>
  <c r="AQ283" i="260" a="1"/>
  <c r="AN298" i="260" a="1"/>
  <c r="AZ249" i="260" a="1"/>
  <c r="BG280" i="260" a="1"/>
  <c r="V256" i="260" a="1"/>
  <c r="BK297" i="260" a="1"/>
  <c r="AT297" i="260" a="1"/>
  <c r="BD251" i="260" a="1"/>
  <c r="J261" i="260" a="1"/>
  <c r="R241" i="260" a="1"/>
  <c r="AT302" i="260" a="1"/>
  <c r="AN271" i="260" a="1"/>
  <c r="Z242" i="260" a="1"/>
  <c r="AH301" i="260" a="1"/>
  <c r="AD244" i="260" a="1"/>
  <c r="BD245" i="260" a="1"/>
  <c r="AZ292" i="260" a="1"/>
  <c r="AQ245" i="260" a="1"/>
  <c r="BG248" i="260" a="1"/>
  <c r="BD252" i="260" a="1"/>
  <c r="G257" i="260" a="1"/>
  <c r="V242" i="260" a="1"/>
  <c r="J293" i="260" a="1"/>
  <c r="BK247" i="260" a="1"/>
  <c r="G240" i="260" a="1"/>
  <c r="Z297" i="260" a="1"/>
  <c r="V291" i="260" a="1"/>
  <c r="BO289" i="260" a="1"/>
  <c r="Z244" i="260" a="1"/>
  <c r="N257" i="260" a="1"/>
  <c r="AH242" i="260" a="1"/>
  <c r="BG291" i="260" a="1"/>
  <c r="BO288" i="260" a="1"/>
  <c r="G238" i="260" a="1"/>
  <c r="BO290" i="260" a="1"/>
  <c r="AQ238" i="260" a="1"/>
  <c r="BK251" i="260" a="1"/>
  <c r="R284" i="260" a="1"/>
  <c r="BO257" i="260" a="1"/>
  <c r="BK300" i="260" a="1"/>
  <c r="R238" i="260" a="1"/>
  <c r="V302" i="260" a="1"/>
  <c r="AN292" i="260" a="1"/>
  <c r="V238" i="260" a="1"/>
  <c r="J243" i="260" a="1"/>
  <c r="AH247" i="260" a="1"/>
  <c r="BO241" i="260" a="1"/>
  <c r="Z241" i="260" a="1"/>
  <c r="AH299" i="260" a="1"/>
  <c r="V234" i="260" a="1"/>
  <c r="AQ257" i="260" a="1"/>
  <c r="AH261" i="260" a="1"/>
  <c r="BO285" i="260" a="1"/>
  <c r="BD238" i="260" a="1"/>
  <c r="BO303" i="260" a="1"/>
  <c r="BO240" i="260" a="1"/>
  <c r="R301" i="260" a="1"/>
  <c r="AH235" i="260" a="1"/>
  <c r="V251" i="260" a="1"/>
  <c r="AD253" i="260" a="1"/>
  <c r="BK256" i="260" a="1"/>
  <c r="Z248" i="260" a="1"/>
  <c r="AT256" i="260" a="1"/>
  <c r="AH240" i="260" a="1"/>
  <c r="N291" i="260" a="1"/>
  <c r="V297" i="260" a="1"/>
  <c r="AD302" i="260" a="1"/>
  <c r="AD294" i="260" a="1"/>
  <c r="AT261" i="260" a="1"/>
  <c r="J271" i="260" a="1"/>
  <c r="BK302" i="260" a="1"/>
  <c r="BO256" i="260" a="1"/>
  <c r="BG303" i="260" a="1"/>
  <c r="AZ232" i="260" a="1"/>
  <c r="AT252" i="260" a="1"/>
  <c r="V295" i="260" a="1"/>
  <c r="AZ252" i="260" a="1"/>
  <c r="AD239" i="260" a="1"/>
  <c r="J280" i="260" a="1"/>
  <c r="Z262" i="260" a="1"/>
  <c r="Z256" i="260" a="1"/>
  <c r="J297" i="260" a="1"/>
  <c r="AD256" i="260" a="1"/>
  <c r="AZ261" i="260" a="1"/>
  <c r="N261" i="260" a="1"/>
  <c r="AH294" i="260" a="1"/>
  <c r="N271" i="260" a="1"/>
  <c r="J238" i="260" a="1"/>
  <c r="AH230" i="260" a="1"/>
  <c r="AZ233" i="260" a="1"/>
  <c r="BD234" i="260" a="1"/>
  <c r="N234" i="260" a="1"/>
  <c r="N233" i="260" a="1"/>
  <c r="AZ289" i="260" a="1"/>
  <c r="AN280" i="260" a="1"/>
  <c r="BO245" i="260" a="1"/>
  <c r="BO244" i="260" a="1"/>
  <c r="G292" i="260" a="1"/>
  <c r="R261" i="260" a="1"/>
  <c r="BD253" i="260" a="1"/>
  <c r="G298" i="260" a="1"/>
  <c r="J294" i="260" a="1"/>
  <c r="N242" i="260" a="1"/>
  <c r="R285" i="260" a="1"/>
  <c r="G262" i="260" a="1"/>
  <c r="N303" i="260" a="1"/>
  <c r="V253" i="260" a="1"/>
  <c r="AH291" i="260" a="1"/>
  <c r="V283" i="260" a="1"/>
  <c r="AH251" i="260" a="1"/>
  <c r="BO253" i="260" a="1"/>
  <c r="AT239" i="260" a="1"/>
  <c r="BG240" i="260" a="1"/>
  <c r="AN290" i="260" a="1"/>
  <c r="R290" i="260" a="1"/>
  <c r="BK252" i="260" a="1"/>
  <c r="V239" i="260" a="1"/>
  <c r="BO233" i="260" a="1"/>
  <c r="R248" i="260" a="1"/>
  <c r="AT234" i="260" a="1"/>
  <c r="Z240" i="260" a="1"/>
  <c r="AZ299" i="260" a="1"/>
  <c r="AD251" i="260" a="1"/>
  <c r="BG262" i="260" a="1"/>
  <c r="AD232" i="260" a="1"/>
  <c r="AZ284" i="260" a="1"/>
  <c r="AT284" i="260" a="1"/>
  <c r="BO294" i="260" a="1"/>
  <c r="AZ234" i="260" a="1"/>
  <c r="AZ288" i="260" a="1"/>
  <c r="BG283" i="260" a="1"/>
  <c r="AQ253" i="260" a="1"/>
  <c r="G300" i="260" a="1"/>
  <c r="Z251" i="260" a="1"/>
  <c r="AT243" i="260" a="1"/>
  <c r="AZ283" i="260" a="1"/>
  <c r="Z233" i="260" a="1"/>
  <c r="AZ235" i="260" a="1"/>
  <c r="J298" i="260" a="1"/>
  <c r="BD240" i="260" a="1"/>
  <c r="AQ233" i="260" a="1"/>
  <c r="BG294" i="260" a="1"/>
  <c r="BK248" i="260" a="1"/>
  <c r="V244" i="260" a="1"/>
  <c r="J241" i="260" a="1"/>
  <c r="AN230" i="260" a="1"/>
  <c r="AN251" i="260" a="1"/>
  <c r="AZ301" i="260" a="1"/>
  <c r="R303" i="260" a="1"/>
  <c r="AQ291" i="260" a="1"/>
  <c r="AZ298" i="260" a="1"/>
  <c r="AN262" i="260" a="1"/>
  <c r="BK303" i="260" a="1"/>
  <c r="J244" i="260" a="1"/>
  <c r="V241" i="260" a="1"/>
  <c r="AZ300" i="260" a="1"/>
  <c r="N256" i="260" a="1"/>
  <c r="BO234" i="260" a="1"/>
  <c r="AT298" i="260" a="1"/>
  <c r="V243" i="260" a="1"/>
  <c r="Z283" i="260" a="1"/>
  <c r="N249" i="260" a="1"/>
  <c r="N302" i="260" a="1"/>
  <c r="BO248" i="260" a="1"/>
  <c r="BK289" i="260" a="1"/>
  <c r="Z291" i="260" a="1"/>
  <c r="AQ249" i="260" a="1"/>
  <c r="BK285" i="260" a="1"/>
  <c r="N297" i="260" a="1"/>
  <c r="AZ242" i="260" a="1"/>
  <c r="J242" i="260" a="1"/>
  <c r="J251" i="260" a="1"/>
  <c r="J283" i="260" a="1"/>
  <c r="AN300" i="260" a="1"/>
  <c r="AH234" i="260" a="1"/>
  <c r="BD241" i="260" a="1"/>
  <c r="AD241" i="260" a="1"/>
  <c r="G284" i="260" a="1"/>
  <c r="BG297" i="260" a="1"/>
  <c r="AT262" i="260" a="1"/>
  <c r="AD303" i="260" a="1"/>
  <c r="R293" i="260" a="1"/>
  <c r="AH239" i="260" a="1"/>
  <c r="N283" i="260" a="1"/>
  <c r="AT247" i="260" a="1"/>
  <c r="AT293" i="260" a="1"/>
  <c r="BG302" i="260" a="1"/>
  <c r="N285" i="260" a="1"/>
  <c r="BD250" i="260" a="1"/>
  <c r="BK261" i="260" a="1"/>
  <c r="N245" i="260" a="1"/>
  <c r="BD289" i="260" a="1"/>
  <c r="AN252" i="260" a="1"/>
  <c r="AH302" i="260" a="1"/>
  <c r="AQ251" i="260" a="1"/>
  <c r="J252" i="260" a="1"/>
  <c r="BG253" i="260" a="1"/>
  <c r="BK240" i="260" a="1"/>
  <c r="Z302" i="260" a="1"/>
  <c r="BG235" i="260" a="1"/>
  <c r="G301" i="260" a="1"/>
  <c r="AQ240" i="260" a="1"/>
  <c r="J240" i="260" a="1"/>
  <c r="V292" i="260" a="1"/>
  <c r="AT283" i="260" a="1"/>
  <c r="V293" i="260" a="1"/>
  <c r="Z249" i="260" a="1"/>
  <c r="AN244" i="260" a="1"/>
  <c r="BO271" i="260" a="1"/>
  <c r="AH297" i="260" a="1"/>
  <c r="R247" i="260" a="1"/>
  <c r="R271" i="260" a="1"/>
  <c r="BK244" i="260" a="1"/>
  <c r="BO238" i="260" a="1"/>
  <c r="AN250" i="260" a="1"/>
  <c r="AT233" i="260" a="1"/>
  <c r="G261" i="260" a="1"/>
  <c r="R291" i="260" a="1"/>
  <c r="J253" i="260" a="1"/>
  <c r="AZ240" i="260" a="1"/>
  <c r="AQ288" i="260" a="1"/>
  <c r="BG285" i="260" a="1"/>
  <c r="R280" i="260" a="1"/>
  <c r="BK238" i="260" a="1"/>
  <c r="BO243" i="260" a="1"/>
  <c r="AH290" i="260" a="1"/>
  <c r="AQ262" i="260" a="1"/>
  <c r="AQ239" i="260" a="1"/>
  <c r="BO283" i="260" a="1"/>
  <c r="J232" i="260" a="1"/>
  <c r="AQ235" i="260" a="1"/>
  <c r="AN234" i="260" a="1"/>
  <c r="AT299" i="260" a="1"/>
  <c r="V252" i="260" a="1"/>
  <c r="N232" i="260" a="1"/>
  <c r="AH262" i="260" a="1"/>
  <c r="G285" i="260" a="1"/>
  <c r="AZ247" i="260" a="1"/>
  <c r="AD230" i="260" a="1"/>
  <c r="J247" i="260" a="1"/>
  <c r="AD243" i="260" a="1"/>
  <c r="AD285" i="260" a="1"/>
  <c r="BG271" i="260" a="1"/>
  <c r="BO299" i="260" a="1"/>
  <c r="BO230" i="260" a="1"/>
  <c r="AD250" i="260" a="1"/>
  <c r="AZ280" i="260" a="1"/>
  <c r="AN301" i="260" a="1"/>
  <c r="R262" i="260" a="1"/>
  <c r="BG247" i="260" a="1"/>
  <c r="AT230" i="260" a="1"/>
  <c r="Z300" i="260" a="1"/>
  <c r="AQ280" i="260" a="1"/>
  <c r="BG300" i="260" a="1"/>
  <c r="BD292" i="260" a="1"/>
  <c r="BD284" i="260" a="1"/>
  <c r="BG251" i="260" a="1"/>
  <c r="J302" i="260" a="1"/>
  <c r="G252" i="260" a="1"/>
  <c r="AQ250" i="260" a="1"/>
  <c r="AN242" i="260" a="1"/>
  <c r="V289" i="260" a="1"/>
  <c r="BD271" i="260" a="1"/>
  <c r="R234" i="260" a="1"/>
  <c r="AT257" i="260" a="1"/>
  <c r="BG249" i="260" a="1"/>
  <c r="AD291" i="260" a="1"/>
  <c r="BG230" i="260" a="1"/>
  <c r="AH288" i="260" a="1"/>
  <c r="AQ230" i="260" a="1"/>
  <c r="BG250" i="260" a="1"/>
  <c r="AN245" i="260" a="1"/>
  <c r="AH248" i="260" a="1"/>
  <c r="AZ239" i="260" a="1"/>
  <c r="AD235" i="260" a="1"/>
  <c r="BK299" i="260" a="1"/>
  <c r="BO251" i="260" a="1"/>
  <c r="BK280" i="260" a="1"/>
  <c r="BK283" i="260" a="1"/>
  <c r="BG238" i="260" a="1"/>
  <c r="BK291" i="260" a="1"/>
  <c r="AT291" i="260" a="1"/>
  <c r="BO293" i="260" a="1"/>
  <c r="J284" i="260" a="1"/>
  <c r="BD239" i="260" a="1"/>
  <c r="AD242" i="260" a="1"/>
  <c r="BG298" i="260" a="1"/>
  <c r="Z230" i="260" a="1"/>
  <c r="Z293" i="260" a="1"/>
  <c r="AN261" i="260" a="1"/>
  <c r="G230" i="260" a="1"/>
  <c r="AT271" i="260" a="1"/>
  <c r="BO235" i="260" a="1"/>
  <c r="AQ243" i="260" a="1"/>
  <c r="J256" i="260" a="1"/>
  <c r="AT295" i="260" a="1"/>
  <c r="AN289" i="260" a="1"/>
  <c r="AD297" i="260" a="1"/>
  <c r="BG257" i="260" a="1"/>
  <c r="N230" i="260" a="1"/>
  <c r="J300" i="260" a="1"/>
  <c r="V299" i="260" a="1"/>
  <c r="J250" i="260" a="1"/>
  <c r="BD261" i="260" a="1"/>
  <c r="BO291" i="260" a="1"/>
  <c r="V232" i="260" a="1"/>
  <c r="BD256" i="260" a="1"/>
  <c r="BD249" i="260" a="1"/>
  <c r="AD298" i="260" a="1"/>
  <c r="BG234" i="260" a="1"/>
  <c r="AQ285" i="260" a="1"/>
  <c r="AZ271" i="260" a="1"/>
  <c r="AH257" i="260" a="1"/>
  <c r="BG299" i="260" a="1"/>
  <c r="N239" i="260" a="1"/>
  <c r="BO292" i="260" a="1"/>
  <c r="AH252" i="260" a="1"/>
  <c r="N295" i="260" a="1"/>
  <c r="N250" i="260" a="1"/>
  <c r="BD262" i="260" a="1"/>
  <c r="V290" i="260" a="1"/>
  <c r="AD289" i="260" a="1"/>
  <c r="AN256" i="260" a="1"/>
  <c r="J233" i="260" a="1"/>
  <c r="G294" i="260" a="1"/>
  <c r="G241" i="260" a="1"/>
  <c r="AZ297" i="260" a="1"/>
  <c r="AT245" i="260" a="1"/>
  <c r="N288" i="260" a="1"/>
  <c r="Z280" i="260" a="1"/>
  <c r="N299" i="260" a="1"/>
  <c r="R288" i="260" a="1"/>
  <c r="G253" i="260" a="1"/>
  <c r="BG288" i="260" a="1"/>
  <c r="V233" i="260" a="1"/>
  <c r="AN249" i="260" a="1"/>
  <c r="AT285" i="260" a="1"/>
  <c r="AQ292" i="260" a="1"/>
  <c r="AT292" i="260" a="1"/>
  <c r="AH283" i="260" a="1"/>
  <c r="AQ252" i="260" a="1"/>
  <c r="AD257" i="260" a="1"/>
  <c r="Z292" i="260" a="1"/>
  <c r="BG293" i="260" a="1"/>
  <c r="AZ285" i="260" a="1"/>
  <c r="Z243" i="260" a="1"/>
  <c r="Z290" i="260" a="1"/>
  <c r="BD244" i="260" a="1"/>
  <c r="R256" i="260" a="1"/>
  <c r="AQ289" i="260" a="1"/>
  <c r="BK284" i="260" a="1"/>
  <c r="AD280" i="260" a="1"/>
  <c r="AH292" i="260" a="1"/>
  <c r="AT303" i="260" a="1"/>
  <c r="N292" i="260" a="1"/>
  <c r="V230" i="260" a="1"/>
  <c r="V271" i="260" a="1"/>
  <c r="AD249" i="260" a="1"/>
  <c r="AQ247" i="260" a="1"/>
  <c r="G232" i="260" a="1"/>
  <c r="BK241" i="260" a="1"/>
  <c r="Z247" i="260" a="1"/>
  <c r="V298" i="260" a="1"/>
  <c r="G251" i="260" a="1"/>
  <c r="R235" i="260" a="1"/>
  <c r="R257" i="260" a="1"/>
  <c r="AH249" i="260" a="1"/>
  <c r="J248" i="260" a="1"/>
  <c r="BO300" i="260" a="1"/>
  <c r="AT251" i="260" a="1"/>
  <c r="AH271" i="260" a="1"/>
  <c r="N238" i="260" a="1"/>
  <c r="V248" i="260" a="1"/>
  <c r="BD280" i="260" a="1"/>
  <c r="V301" i="260" a="1"/>
  <c r="BG284" i="260" a="1"/>
  <c r="BD298" i="260" a="1"/>
  <c r="BD248" i="260" a="1"/>
  <c r="BG243" i="260" a="1"/>
  <c r="AD299" i="260" a="1"/>
  <c r="J262" i="260" a="1"/>
  <c r="V288" i="260" a="1"/>
  <c r="AH293" i="260" a="1"/>
  <c r="V285" i="260" a="1"/>
  <c r="BG301" i="260" a="1"/>
  <c r="BD295" i="260" a="1"/>
  <c r="AN293" i="260" a="1"/>
  <c r="AH303" i="260" a="1"/>
  <c r="R299" i="260" a="1"/>
  <c r="N301" i="260" a="1"/>
  <c r="N289" i="260" a="1"/>
  <c r="N298" i="260" a="1"/>
  <c r="R232" i="260" a="1"/>
  <c r="Z298" i="260" a="1"/>
  <c r="N300" i="260" a="1"/>
  <c r="G291" i="260" a="1"/>
  <c r="BK235" i="260" a="1"/>
  <c r="AQ295" i="260" a="1"/>
  <c r="AQ248" i="260" a="1"/>
  <c r="BG233" i="260" a="1"/>
  <c r="AZ293" i="260" a="1"/>
  <c r="J290" i="260" a="1"/>
  <c r="BD243" i="260" a="1"/>
  <c r="V235" i="260" a="1"/>
  <c r="G244" i="260" a="1"/>
  <c r="AT244" i="260" a="1"/>
  <c r="AQ297" i="260" a="1"/>
  <c r="Z301" i="260" a="1"/>
  <c r="N247" i="260" a="1"/>
  <c r="BD233" i="260" a="1"/>
  <c r="J288" i="260" a="1"/>
  <c r="Z285" i="260" a="1"/>
  <c r="AD284" i="260" a="1"/>
  <c r="AT235" i="260" a="1"/>
  <c r="BO298" i="260" a="1"/>
  <c r="V262" i="260" a="1"/>
  <c r="V257" i="260" a="1"/>
  <c r="AN284" i="260" a="1"/>
  <c r="R245" i="260" a="1"/>
  <c r="AQ294" i="260" a="1"/>
  <c r="AQ244" i="260" a="1"/>
  <c r="BD293" i="260" a="1"/>
  <c r="BK271" i="260" a="1"/>
  <c r="BD283" i="260" a="1"/>
  <c r="V249" i="260" a="1"/>
  <c r="V303" i="260" a="1"/>
  <c r="AH250" i="260" a="1"/>
  <c r="BK293" i="260" a="1"/>
  <c r="G290" i="260" a="1"/>
  <c r="R239" i="260" a="1"/>
  <c r="R242" i="260" a="1"/>
  <c r="N251" i="260" a="1"/>
  <c r="AZ295" i="260" a="1"/>
  <c r="AZ245" i="260" a="1"/>
  <c r="BO232" i="260" a="1"/>
  <c r="V280" i="260" a="1"/>
  <c r="AN294" i="260" a="1"/>
  <c r="BK230" i="260" a="1"/>
  <c r="AD248" i="260" a="1"/>
  <c r="R253" i="260" a="1"/>
  <c r="BK301" i="260" a="1"/>
  <c r="N262" i="260" a="1"/>
  <c r="BG290" i="260" a="1"/>
  <c r="BO297" i="260" a="1"/>
  <c r="AZ291" i="260" a="1"/>
  <c r="BO295" i="260" a="1"/>
  <c r="BD285" i="260" a="1"/>
  <c r="J301" i="260" a="1"/>
  <c r="AQ256" i="260" a="1"/>
  <c r="AQ302" i="260" a="1"/>
  <c r="AN253" i="260" a="1"/>
  <c r="AQ293" i="260" a="1"/>
  <c r="BG292" i="260" a="1"/>
  <c r="AZ244" i="260" a="1"/>
  <c r="AH289" i="260" a="1"/>
  <c r="BD302" i="260" a="1"/>
  <c r="BK295" i="260" a="1"/>
  <c r="AD240" i="260" a="1"/>
  <c r="AT300" i="260" a="1"/>
  <c r="Z295" i="260" a="1"/>
  <c r="BO302" i="260" a="1"/>
  <c r="AZ250" i="260" a="1"/>
  <c r="AZ303" i="260" a="1"/>
  <c r="BK290" i="260" a="1"/>
  <c r="BO280" i="260" a="1"/>
  <c r="AQ298" i="260" a="1"/>
  <c r="BD300" i="260" a="1"/>
  <c r="AD292" i="260" a="1"/>
  <c r="BG302" i="260" l="1"/>
  <c r="V302" i="260"/>
  <c r="AH302" i="260"/>
  <c r="BK302" i="260"/>
  <c r="AQ302" i="260"/>
  <c r="AT302" i="260"/>
  <c r="R302" i="260"/>
  <c r="N302" i="260"/>
  <c r="BD302" i="260"/>
  <c r="BO302" i="260"/>
  <c r="G302" i="260"/>
  <c r="J302" i="260"/>
  <c r="AD302" i="260"/>
  <c r="AZ302" i="260"/>
  <c r="AN302" i="260"/>
  <c r="Z302" i="260"/>
  <c r="J262" i="260"/>
  <c r="V262" i="260"/>
  <c r="AN262" i="260"/>
  <c r="AZ262" i="260"/>
  <c r="AQ262" i="260"/>
  <c r="AT262" i="260"/>
  <c r="BG262" i="260"/>
  <c r="AH262" i="260"/>
  <c r="N262" i="260"/>
  <c r="R262" i="260"/>
  <c r="BK262" i="260"/>
  <c r="AD262" i="260"/>
  <c r="Z262" i="260"/>
  <c r="BO262" i="260"/>
  <c r="G262" i="260"/>
  <c r="BD262" i="260"/>
  <c r="AN271" i="260"/>
  <c r="BO271" i="260"/>
  <c r="AT271" i="260"/>
  <c r="AH271" i="260"/>
  <c r="AQ271" i="260"/>
  <c r="BK271" i="260"/>
  <c r="BD271" i="260"/>
  <c r="Z271" i="260"/>
  <c r="BG271" i="260"/>
  <c r="AD271" i="260"/>
  <c r="J271" i="260"/>
  <c r="R271" i="260"/>
  <c r="N271" i="260"/>
  <c r="V271" i="260"/>
  <c r="G271" i="260"/>
  <c r="AZ271" i="260"/>
  <c r="BD289" i="260"/>
  <c r="J289" i="260"/>
  <c r="BK289" i="260"/>
  <c r="AQ289" i="260"/>
  <c r="R289" i="260"/>
  <c r="AT289" i="260"/>
  <c r="BG289" i="260"/>
  <c r="AH289" i="260"/>
  <c r="N289" i="260"/>
  <c r="AD289" i="260"/>
  <c r="AZ289" i="260"/>
  <c r="BO289" i="260"/>
  <c r="V289" i="260"/>
  <c r="AN289" i="260"/>
  <c r="Z289" i="260"/>
  <c r="G289" i="260"/>
  <c r="J298" i="260"/>
  <c r="AT298" i="260"/>
  <c r="Z298" i="260"/>
  <c r="R298" i="260"/>
  <c r="BD298" i="260"/>
  <c r="BG298" i="260"/>
  <c r="AQ298" i="260"/>
  <c r="AN298" i="260"/>
  <c r="BK298" i="260"/>
  <c r="BO298" i="260"/>
  <c r="N298" i="260"/>
  <c r="AD298" i="260"/>
  <c r="G298" i="260"/>
  <c r="AZ298" i="260"/>
  <c r="V298" i="260"/>
  <c r="AH298" i="260"/>
  <c r="J300" i="260"/>
  <c r="G300" i="260"/>
  <c r="AN300" i="260"/>
  <c r="BG300" i="260"/>
  <c r="BD300" i="260"/>
  <c r="AD300" i="260"/>
  <c r="BO300" i="260"/>
  <c r="N300" i="260"/>
  <c r="R300" i="260"/>
  <c r="AZ300" i="260"/>
  <c r="Z300" i="260"/>
  <c r="AT300" i="260"/>
  <c r="BK300" i="260"/>
  <c r="AQ300" i="260"/>
  <c r="V300" i="260"/>
  <c r="AH300" i="260"/>
  <c r="N285" i="260"/>
  <c r="AD285" i="260"/>
  <c r="R285" i="260"/>
  <c r="BK285" i="260"/>
  <c r="AH285" i="260"/>
  <c r="AN285" i="260"/>
  <c r="V285" i="260"/>
  <c r="J285" i="260"/>
  <c r="G285" i="260"/>
  <c r="AT285" i="260"/>
  <c r="BD285" i="260"/>
  <c r="BG285" i="260"/>
  <c r="AQ285" i="260"/>
  <c r="BO285" i="260"/>
  <c r="Z285" i="260"/>
  <c r="AZ285" i="260"/>
  <c r="J291" i="260"/>
  <c r="BD291" i="260"/>
  <c r="AH291" i="260"/>
  <c r="BG291" i="260"/>
  <c r="R291" i="260"/>
  <c r="BK291" i="260"/>
  <c r="AN291" i="260"/>
  <c r="V291" i="260"/>
  <c r="AD291" i="260"/>
  <c r="AT291" i="260"/>
  <c r="Z291" i="260"/>
  <c r="G291" i="260"/>
  <c r="BO291" i="260"/>
  <c r="N291" i="260"/>
  <c r="AZ291" i="260"/>
  <c r="AQ291" i="260"/>
  <c r="V290" i="260"/>
  <c r="G290" i="260"/>
  <c r="Z290" i="260"/>
  <c r="AZ290" i="260"/>
  <c r="AQ290" i="260"/>
  <c r="AD290" i="260"/>
  <c r="BK290" i="260"/>
  <c r="N290" i="260"/>
  <c r="BG290" i="260"/>
  <c r="R290" i="260"/>
  <c r="AT290" i="260"/>
  <c r="BO290" i="260"/>
  <c r="AN290" i="260"/>
  <c r="AH290" i="260"/>
  <c r="J290" i="260"/>
  <c r="BD290" i="260"/>
  <c r="AD294" i="260"/>
  <c r="BG294" i="260"/>
  <c r="AH294" i="260"/>
  <c r="BD294" i="260"/>
  <c r="AN294" i="260"/>
  <c r="AQ294" i="260"/>
  <c r="N294" i="260"/>
  <c r="AT294" i="260"/>
  <c r="BO294" i="260"/>
  <c r="AZ294" i="260"/>
  <c r="Z294" i="260"/>
  <c r="V294" i="260"/>
  <c r="J294" i="260"/>
  <c r="BK294" i="260"/>
  <c r="G294" i="260"/>
  <c r="R294" i="260"/>
  <c r="BO301" i="260"/>
  <c r="AD301" i="260"/>
  <c r="AT301" i="260"/>
  <c r="Z301" i="260"/>
  <c r="AZ301" i="260"/>
  <c r="BG301" i="260"/>
  <c r="AQ301" i="260"/>
  <c r="BD301" i="260"/>
  <c r="V301" i="260"/>
  <c r="N301" i="260"/>
  <c r="BK301" i="260"/>
  <c r="G301" i="260"/>
  <c r="J301" i="260"/>
  <c r="R301" i="260"/>
  <c r="AN301" i="260"/>
  <c r="AH301" i="260"/>
  <c r="AT288" i="260"/>
  <c r="BK288" i="260"/>
  <c r="N288" i="260"/>
  <c r="V288" i="260"/>
  <c r="BO288" i="260"/>
  <c r="AN288" i="260"/>
  <c r="G288" i="260"/>
  <c r="R288" i="260"/>
  <c r="BD288" i="260"/>
  <c r="AH288" i="260"/>
  <c r="AQ288" i="260"/>
  <c r="J288" i="260"/>
  <c r="Z288" i="260"/>
  <c r="BG288" i="260"/>
  <c r="AD288" i="260"/>
  <c r="AZ288" i="260"/>
  <c r="AZ261" i="260"/>
  <c r="AT261" i="260"/>
  <c r="BO261" i="260"/>
  <c r="AQ261" i="260"/>
  <c r="AH261" i="260"/>
  <c r="AN261" i="260"/>
  <c r="R261" i="260"/>
  <c r="BK261" i="260"/>
  <c r="BD261" i="260"/>
  <c r="N261" i="260"/>
  <c r="Z261" i="260"/>
  <c r="J261" i="260"/>
  <c r="V261" i="260"/>
  <c r="G261" i="260"/>
  <c r="AD261" i="260"/>
  <c r="BG261" i="260"/>
  <c r="BD280" i="260"/>
  <c r="V280" i="260"/>
  <c r="BG280" i="260"/>
  <c r="AT280" i="260"/>
  <c r="Z280" i="260"/>
  <c r="AD280" i="260"/>
  <c r="BO280" i="260"/>
  <c r="BK280" i="260"/>
  <c r="N280" i="260"/>
  <c r="AN280" i="260"/>
  <c r="AQ280" i="260"/>
  <c r="AH280" i="260"/>
  <c r="J280" i="260"/>
  <c r="R280" i="260"/>
  <c r="G280" i="260"/>
  <c r="AZ280" i="260"/>
  <c r="AQ283" i="260"/>
  <c r="AT283" i="260"/>
  <c r="AZ283" i="260"/>
  <c r="BK283" i="260"/>
  <c r="AD283" i="260"/>
  <c r="V283" i="260"/>
  <c r="AN283" i="260"/>
  <c r="N283" i="260"/>
  <c r="J283" i="260"/>
  <c r="AH283" i="260"/>
  <c r="G283" i="260"/>
  <c r="Z283" i="260"/>
  <c r="R283" i="260"/>
  <c r="BD283" i="260"/>
  <c r="BO283" i="260"/>
  <c r="BG283" i="260"/>
  <c r="AZ293" i="260"/>
  <c r="R293" i="260"/>
  <c r="BD293" i="260"/>
  <c r="AN293" i="260"/>
  <c r="BG293" i="260"/>
  <c r="V293" i="260"/>
  <c r="AQ293" i="260"/>
  <c r="BK293" i="260"/>
  <c r="BO293" i="260"/>
  <c r="Z293" i="260"/>
  <c r="AT293" i="260"/>
  <c r="G293" i="260"/>
  <c r="J293" i="260"/>
  <c r="AH293" i="260"/>
  <c r="N293" i="260"/>
  <c r="AD293" i="260"/>
  <c r="BG297" i="260"/>
  <c r="N297" i="260"/>
  <c r="R297" i="260"/>
  <c r="BD297" i="260"/>
  <c r="AH297" i="260"/>
  <c r="BO297" i="260"/>
  <c r="AN297" i="260"/>
  <c r="BK297" i="260"/>
  <c r="G297" i="260"/>
  <c r="V297" i="260"/>
  <c r="AQ297" i="260"/>
  <c r="J297" i="260"/>
  <c r="AT297" i="260"/>
  <c r="AD297" i="260"/>
  <c r="AZ297" i="260"/>
  <c r="Z297" i="260"/>
  <c r="AD295" i="260"/>
  <c r="BG295" i="260"/>
  <c r="BO295" i="260"/>
  <c r="AQ295" i="260"/>
  <c r="AZ295" i="260"/>
  <c r="V295" i="260"/>
  <c r="AT295" i="260"/>
  <c r="BD295" i="260"/>
  <c r="R295" i="260"/>
  <c r="BK295" i="260"/>
  <c r="G295" i="260"/>
  <c r="Z295" i="260"/>
  <c r="J295" i="260"/>
  <c r="N295" i="260"/>
  <c r="AN295" i="260"/>
  <c r="AH295" i="260"/>
  <c r="J284" i="260"/>
  <c r="G284" i="260"/>
  <c r="AD284" i="260"/>
  <c r="R284" i="260"/>
  <c r="N284" i="260"/>
  <c r="AQ284" i="260"/>
  <c r="BK284" i="260"/>
  <c r="AT284" i="260"/>
  <c r="AZ284" i="260"/>
  <c r="AH284" i="260"/>
  <c r="BD284" i="260"/>
  <c r="BO284" i="260"/>
  <c r="Z284" i="260"/>
  <c r="AN284" i="260"/>
  <c r="V284" i="260"/>
  <c r="BG284" i="260"/>
  <c r="AQ292" i="260"/>
  <c r="AT292" i="260"/>
  <c r="G292" i="260"/>
  <c r="AZ292" i="260"/>
  <c r="BO292" i="260"/>
  <c r="BG292" i="260"/>
  <c r="Z292" i="260"/>
  <c r="AD292" i="260"/>
  <c r="R292" i="260"/>
  <c r="BD292" i="260"/>
  <c r="BK292" i="260"/>
  <c r="AN292" i="260"/>
  <c r="AH292" i="260"/>
  <c r="V292" i="260"/>
  <c r="N292" i="260"/>
  <c r="J292" i="260"/>
  <c r="V299" i="260"/>
  <c r="AH299" i="260"/>
  <c r="BO299" i="260"/>
  <c r="N299" i="260"/>
  <c r="BG299" i="260"/>
  <c r="AN299" i="260"/>
  <c r="AD299" i="260"/>
  <c r="AQ299" i="260"/>
  <c r="BD299" i="260"/>
  <c r="AZ299" i="260"/>
  <c r="R299" i="260"/>
  <c r="G299" i="260"/>
  <c r="Z299" i="260"/>
  <c r="J299" i="260"/>
  <c r="BK299" i="260"/>
  <c r="AT299" i="260"/>
  <c r="AN256" i="260"/>
  <c r="AT256" i="260"/>
  <c r="AQ256" i="260"/>
  <c r="BO256" i="260"/>
  <c r="AD256" i="260"/>
  <c r="R256" i="260"/>
  <c r="Z256" i="260"/>
  <c r="J256" i="260"/>
  <c r="AZ256" i="260"/>
  <c r="BD256" i="260"/>
  <c r="V256" i="260"/>
  <c r="AH256" i="260"/>
  <c r="N256" i="260"/>
  <c r="BK256" i="260"/>
  <c r="G256" i="260"/>
  <c r="BG256" i="260"/>
  <c r="BK303" i="260"/>
  <c r="G303" i="260"/>
  <c r="AH303" i="260"/>
  <c r="AT303" i="260"/>
  <c r="AZ303" i="260"/>
  <c r="BG303" i="260"/>
  <c r="N303" i="260"/>
  <c r="AD303" i="260"/>
  <c r="R303" i="260"/>
  <c r="BD303" i="260"/>
  <c r="Z303" i="260"/>
  <c r="BO303" i="260"/>
  <c r="V303" i="260"/>
  <c r="AN303" i="260"/>
  <c r="J303" i="260"/>
  <c r="AQ303" i="260"/>
  <c r="Z257" i="260"/>
  <c r="BK257" i="260"/>
  <c r="BG257" i="260"/>
  <c r="BO257" i="260"/>
  <c r="V257" i="260"/>
  <c r="AD257" i="260"/>
  <c r="AH257" i="260"/>
  <c r="J257" i="260"/>
  <c r="R257" i="260"/>
  <c r="AT257" i="260"/>
  <c r="BD257" i="260"/>
  <c r="N257" i="260"/>
  <c r="AZ257" i="260"/>
  <c r="AN257" i="260"/>
  <c r="AQ257" i="260"/>
  <c r="G257" i="260"/>
  <c r="C327" i="260"/>
  <c r="C287" i="260"/>
  <c r="C296" i="260"/>
  <c r="C314" i="260"/>
  <c r="C323" i="260"/>
  <c r="C325" i="260"/>
  <c r="C310" i="260"/>
  <c r="C316" i="260"/>
  <c r="C315" i="260"/>
  <c r="C319" i="260"/>
  <c r="C326" i="260"/>
  <c r="C313" i="260"/>
  <c r="C286" i="260"/>
  <c r="C305" i="260"/>
  <c r="C308" i="260"/>
  <c r="C318" i="260"/>
  <c r="C322" i="260"/>
  <c r="C320" i="260"/>
  <c r="C309" i="260"/>
  <c r="C317" i="260"/>
  <c r="C324" i="260"/>
  <c r="C281" i="260"/>
  <c r="C328" i="260"/>
  <c r="C282" i="260"/>
  <c r="J234" i="260"/>
  <c r="AQ252" i="260"/>
  <c r="Z249" i="260"/>
  <c r="N234" i="260"/>
  <c r="AH243" i="260"/>
  <c r="V253" i="260"/>
  <c r="J240" i="260"/>
  <c r="Z245" i="260"/>
  <c r="AT235" i="260"/>
  <c r="AT248" i="260"/>
  <c r="Z241" i="260"/>
  <c r="R251" i="260"/>
  <c r="AN232" i="260"/>
  <c r="AD241" i="260"/>
  <c r="Z253" i="260"/>
  <c r="BD244" i="260"/>
  <c r="AZ235" i="260"/>
  <c r="N248" i="260"/>
  <c r="R252" i="260"/>
  <c r="BD235" i="260"/>
  <c r="R232" i="260"/>
  <c r="AH244" i="260"/>
  <c r="AN239" i="260"/>
  <c r="V240" i="260"/>
  <c r="V252" i="260"/>
  <c r="BD251" i="260"/>
  <c r="Z240" i="260"/>
  <c r="AQ244" i="260"/>
  <c r="N239" i="260"/>
  <c r="AD240" i="260"/>
  <c r="J245" i="260"/>
  <c r="AH251" i="260"/>
  <c r="BO232" i="260"/>
  <c r="J244" i="260"/>
  <c r="J253" i="260"/>
  <c r="AN249" i="260"/>
  <c r="AT239" i="260"/>
  <c r="AN251" i="260"/>
  <c r="Z235" i="260"/>
  <c r="AH238" i="260"/>
  <c r="BG234" i="260"/>
  <c r="AT240" i="260"/>
  <c r="N250" i="260"/>
  <c r="BD233" i="260"/>
  <c r="N245" i="260"/>
  <c r="AT244" i="260"/>
  <c r="J242" i="260"/>
  <c r="V243" i="260"/>
  <c r="BK247" i="260"/>
  <c r="AZ241" i="260"/>
  <c r="AH232" i="260"/>
  <c r="V251" i="260"/>
  <c r="V242" i="260"/>
  <c r="AT232" i="260"/>
  <c r="N251" i="260"/>
  <c r="BO242" i="260"/>
  <c r="AH250" i="260"/>
  <c r="AZ252" i="260"/>
  <c r="BD239" i="260"/>
  <c r="BD252" i="260"/>
  <c r="AN244" i="260"/>
  <c r="BG252" i="260"/>
  <c r="AZ242" i="260"/>
  <c r="R239" i="260"/>
  <c r="AZ245" i="260"/>
  <c r="AQ249" i="260"/>
  <c r="AN238" i="260"/>
  <c r="BO234" i="260"/>
  <c r="BD240" i="260"/>
  <c r="AD232" i="260"/>
  <c r="V250" i="260"/>
  <c r="Z233" i="260"/>
  <c r="BD245" i="260"/>
  <c r="AZ244" i="260"/>
  <c r="AH242" i="260"/>
  <c r="N243" i="260"/>
  <c r="AD247" i="260"/>
  <c r="BD241" i="260"/>
  <c r="BK248" i="260"/>
  <c r="BD238" i="260"/>
  <c r="BO230" i="260"/>
  <c r="BG253" i="260"/>
  <c r="N247" i="260"/>
  <c r="J248" i="260"/>
  <c r="BO240" i="260"/>
  <c r="AH241" i="260"/>
  <c r="BD232" i="260"/>
  <c r="AZ251" i="260"/>
  <c r="BG241" i="260"/>
  <c r="R234" i="260"/>
  <c r="AQ239" i="260"/>
  <c r="Z247" i="260"/>
  <c r="G244" i="260"/>
  <c r="AD238" i="260"/>
  <c r="BD247" i="260"/>
  <c r="AQ251" i="260"/>
  <c r="Z230" i="260"/>
  <c r="AQ238" i="260"/>
  <c r="BK234" i="260"/>
  <c r="AH240" i="260"/>
  <c r="V248" i="260"/>
  <c r="AQ250" i="260"/>
  <c r="BG233" i="260"/>
  <c r="R245" i="260"/>
  <c r="G252" i="260"/>
  <c r="AN242" i="260"/>
  <c r="AQ243" i="260"/>
  <c r="AH247" i="260"/>
  <c r="N241" i="260"/>
  <c r="BG242" i="260"/>
  <c r="R244" i="260"/>
  <c r="BK242" i="260"/>
  <c r="AT252" i="260"/>
  <c r="AH245" i="260"/>
  <c r="N235" i="260"/>
  <c r="AD242" i="260"/>
  <c r="V233" i="260"/>
  <c r="AH239" i="260"/>
  <c r="BG243" i="260"/>
  <c r="BO245" i="260"/>
  <c r="J243" i="260"/>
  <c r="BD243" i="260"/>
  <c r="V235" i="260"/>
  <c r="G242" i="260"/>
  <c r="AH253" i="260"/>
  <c r="AQ234" i="260"/>
  <c r="AN240" i="260"/>
  <c r="Z248" i="260"/>
  <c r="AT250" i="260"/>
  <c r="G233" i="260"/>
  <c r="V245" i="260"/>
  <c r="BO252" i="260"/>
  <c r="AQ242" i="260"/>
  <c r="AT243" i="260"/>
  <c r="AN247" i="260"/>
  <c r="R241" i="260"/>
  <c r="BK249" i="260"/>
  <c r="AD243" i="260"/>
  <c r="AQ232" i="260"/>
  <c r="BO249" i="260"/>
  <c r="AN243" i="260"/>
  <c r="AZ232" i="260"/>
  <c r="BO235" i="260"/>
  <c r="J247" i="260"/>
  <c r="AN250" i="260"/>
  <c r="AD251" i="260"/>
  <c r="BO247" i="260"/>
  <c r="BD248" i="260"/>
  <c r="R235" i="260"/>
  <c r="AZ247" i="260"/>
  <c r="V232" i="260"/>
  <c r="N249" i="260"/>
  <c r="BG247" i="260"/>
  <c r="AZ233" i="260"/>
  <c r="N253" i="260"/>
  <c r="AT251" i="260"/>
  <c r="AQ240" i="260"/>
  <c r="AD248" i="260"/>
  <c r="BD250" i="260"/>
  <c r="J233" i="260"/>
  <c r="BG245" i="260"/>
  <c r="AD252" i="260"/>
  <c r="AT242" i="260"/>
  <c r="AZ243" i="260"/>
  <c r="AQ247" i="260"/>
  <c r="AH235" i="260"/>
  <c r="BK250" i="260"/>
  <c r="BK241" i="260"/>
  <c r="R253" i="260"/>
  <c r="AQ248" i="260"/>
  <c r="BO241" i="260"/>
  <c r="BO251" i="260"/>
  <c r="G248" i="260"/>
  <c r="J252" i="260"/>
  <c r="BK230" i="260"/>
  <c r="AD245" i="260"/>
  <c r="G239" i="260"/>
  <c r="BK240" i="260"/>
  <c r="N252" i="260"/>
  <c r="Z251" i="260"/>
  <c r="AN245" i="260"/>
  <c r="BG240" i="260"/>
  <c r="AN241" i="260"/>
  <c r="R240" i="260"/>
  <c r="G230" i="260"/>
  <c r="N233" i="260"/>
  <c r="G241" i="260"/>
  <c r="G249" i="260"/>
  <c r="AD234" i="260"/>
  <c r="AT245" i="260"/>
  <c r="Z238" i="260"/>
  <c r="AT233" i="260"/>
  <c r="BD234" i="260"/>
  <c r="J241" i="260"/>
  <c r="AZ239" i="260"/>
  <c r="BG239" i="260"/>
  <c r="J251" i="260"/>
  <c r="AN253" i="260"/>
  <c r="G234" i="260"/>
  <c r="AQ253" i="260"/>
  <c r="BD249" i="260"/>
  <c r="Z239" i="260"/>
  <c r="G235" i="260"/>
  <c r="AZ230" i="260"/>
  <c r="J238" i="260"/>
  <c r="AT234" i="260"/>
  <c r="G240" i="260"/>
  <c r="AH248" i="260"/>
  <c r="AZ250" i="260"/>
  <c r="BK233" i="260"/>
  <c r="BK245" i="260"/>
  <c r="AH252" i="260"/>
  <c r="N242" i="260"/>
  <c r="BK243" i="260"/>
  <c r="G247" i="260"/>
  <c r="BD253" i="260"/>
  <c r="N238" i="260"/>
  <c r="AH233" i="260"/>
  <c r="N230" i="260"/>
  <c r="AN233" i="260"/>
  <c r="AQ235" i="260"/>
  <c r="BO250" i="260"/>
  <c r="V241" i="260"/>
  <c r="AD249" i="260"/>
  <c r="R238" i="260"/>
  <c r="AD250" i="260"/>
  <c r="BK253" i="260"/>
  <c r="R230" i="260"/>
  <c r="AD244" i="260"/>
  <c r="J239" i="260"/>
  <c r="G232" i="260"/>
  <c r="AN230" i="260"/>
  <c r="G245" i="260"/>
  <c r="AD253" i="260"/>
  <c r="V234" i="260"/>
  <c r="AQ245" i="260"/>
  <c r="BG251" i="260"/>
  <c r="BG232" i="260"/>
  <c r="G243" i="260"/>
  <c r="BG235" i="260"/>
  <c r="AQ233" i="260"/>
  <c r="BK235" i="260"/>
  <c r="AH234" i="260"/>
  <c r="BK232" i="260"/>
  <c r="AT241" i="260"/>
  <c r="J250" i="260"/>
  <c r="G251" i="260"/>
  <c r="AT249" i="260"/>
  <c r="V239" i="260"/>
  <c r="V230" i="260"/>
  <c r="R249" i="260"/>
  <c r="BO238" i="260"/>
  <c r="AT253" i="260"/>
  <c r="V249" i="260"/>
  <c r="BO239" i="260"/>
  <c r="J235" i="260"/>
  <c r="BD230" i="260"/>
  <c r="AT238" i="260"/>
  <c r="AZ234" i="260"/>
  <c r="J232" i="260"/>
  <c r="AN248" i="260"/>
  <c r="G250" i="260"/>
  <c r="BO233" i="260"/>
  <c r="N244" i="260"/>
  <c r="AN252" i="260"/>
  <c r="BD242" i="260"/>
  <c r="Z243" i="260"/>
  <c r="AT247" i="260"/>
  <c r="J230" i="260"/>
  <c r="BO244" i="260"/>
  <c r="AN235" i="260"/>
  <c r="Z250" i="260"/>
  <c r="BK252" i="260"/>
  <c r="BG238" i="260"/>
  <c r="V244" i="260"/>
  <c r="N240" i="260"/>
  <c r="Z244" i="260"/>
  <c r="V238" i="260"/>
  <c r="Z242" i="260"/>
  <c r="AH230" i="260"/>
  <c r="AZ248" i="260"/>
  <c r="R247" i="260"/>
  <c r="BO253" i="260"/>
  <c r="Z234" i="260"/>
  <c r="BG244" i="260"/>
  <c r="AQ230" i="260"/>
  <c r="R233" i="260"/>
  <c r="V247" i="260"/>
  <c r="J249" i="260"/>
  <c r="R248" i="260"/>
  <c r="G238" i="260"/>
  <c r="BG248" i="260"/>
  <c r="AQ241" i="260"/>
  <c r="BK251" i="260"/>
  <c r="R250" i="260"/>
  <c r="AH249" i="260"/>
  <c r="AZ240" i="260"/>
  <c r="R243" i="260"/>
  <c r="G253" i="260"/>
  <c r="AD230" i="260"/>
  <c r="AZ249" i="260"/>
  <c r="BK238" i="260"/>
  <c r="BK239" i="260"/>
  <c r="AT230" i="260"/>
  <c r="AZ253" i="260"/>
  <c r="BG249" i="260"/>
  <c r="AD239" i="260"/>
  <c r="AD235" i="260"/>
  <c r="BG230" i="260"/>
  <c r="AZ238" i="260"/>
  <c r="AN234" i="260"/>
  <c r="N232" i="260"/>
  <c r="BO248" i="260"/>
  <c r="BG250" i="260"/>
  <c r="AD233" i="260"/>
  <c r="BK244" i="260"/>
  <c r="Z252" i="260"/>
  <c r="R242" i="260"/>
  <c r="BO243" i="260"/>
  <c r="D9" i="253"/>
  <c r="G13" i="254"/>
  <c r="G12" i="254"/>
  <c r="G11" i="254"/>
  <c r="G10" i="254"/>
  <c r="G7" i="254"/>
  <c r="AB30" i="253"/>
  <c r="H35" i="253"/>
  <c r="D35" i="253"/>
  <c r="V35" i="253" s="1"/>
  <c r="H25" i="253"/>
  <c r="D25" i="253"/>
  <c r="V25" i="253" s="1"/>
  <c r="H17" i="253"/>
  <c r="E17" i="253"/>
  <c r="D17" i="253"/>
  <c r="V17" i="253" s="1"/>
  <c r="H9" i="253"/>
  <c r="E9" i="253"/>
  <c r="AI5" i="253"/>
  <c r="AI3" i="253"/>
  <c r="G21" i="226"/>
  <c r="G20" i="226"/>
  <c r="G19" i="226"/>
  <c r="G18" i="226"/>
  <c r="T37" i="251"/>
  <c r="H37" i="251"/>
  <c r="D37" i="251"/>
  <c r="E37" i="251" s="1"/>
  <c r="H25" i="251"/>
  <c r="D25" i="251"/>
  <c r="T25" i="251" s="1"/>
  <c r="T17" i="251"/>
  <c r="H17" i="251"/>
  <c r="E17" i="251"/>
  <c r="D17" i="251"/>
  <c r="T9" i="251"/>
  <c r="H9" i="251"/>
  <c r="E9" i="251"/>
  <c r="D9" i="251"/>
  <c r="AG5" i="251"/>
  <c r="AG3" i="251"/>
  <c r="I37" i="251" s="1"/>
  <c r="AD231" i="260" a="1"/>
  <c r="BK282" i="260" a="1"/>
  <c r="V323" i="260" a="1"/>
  <c r="R319" i="260" a="1"/>
  <c r="AQ319" i="260" a="1"/>
  <c r="AN308" i="260" a="1"/>
  <c r="AZ310" i="260" a="1"/>
  <c r="AH324" i="260" a="1"/>
  <c r="AN327" i="260" a="1"/>
  <c r="BO236" i="260" a="1"/>
  <c r="AN310" i="260" a="1"/>
  <c r="V326" i="260" a="1"/>
  <c r="V309" i="260" a="1"/>
  <c r="AQ323" i="260" a="1"/>
  <c r="BO308" i="260" a="1"/>
  <c r="AH316" i="260" a="1"/>
  <c r="BD281" i="260" a="1"/>
  <c r="AZ296" i="260" a="1"/>
  <c r="Z309" i="260" a="1"/>
  <c r="AZ237" i="260" a="1"/>
  <c r="AN319" i="260" a="1"/>
  <c r="AH246" i="260" a="1"/>
  <c r="G305" i="260" a="1"/>
  <c r="V318" i="260" a="1"/>
  <c r="AZ320" i="260" a="1"/>
  <c r="G319" i="260" a="1"/>
  <c r="W39" i="253" a="1"/>
  <c r="J236" i="260" a="1"/>
  <c r="AN231" i="260" a="1"/>
  <c r="BG320" i="260" a="1"/>
  <c r="Z324" i="260" a="1"/>
  <c r="AH237" i="260" a="1"/>
  <c r="AH313" i="260" a="1"/>
  <c r="J305" i="260" a="1"/>
  <c r="BO327" i="260" a="1"/>
  <c r="G325" i="260" a="1"/>
  <c r="AZ313" i="260" a="1"/>
  <c r="AH315" i="260" a="1"/>
  <c r="AQ286" i="260" a="1"/>
  <c r="BO317" i="260" a="1"/>
  <c r="R327" i="260" a="1"/>
  <c r="AZ286" i="260" a="1"/>
  <c r="AQ315" i="260" a="1"/>
  <c r="BG328" i="260" a="1"/>
  <c r="R305" i="260" a="1"/>
  <c r="V319" i="260" a="1"/>
  <c r="Z287" i="260" a="1"/>
  <c r="BO282" i="260" a="1"/>
  <c r="AZ317" i="260" a="1"/>
  <c r="AD322" i="260" a="1"/>
  <c r="Z286" i="260" a="1"/>
  <c r="AT327" i="260" a="1"/>
  <c r="BD246" i="260" a="1"/>
  <c r="AH326" i="260" a="1"/>
  <c r="BO310" i="260" a="1"/>
  <c r="BO315" i="260" a="1"/>
  <c r="Z236" i="260" a="1"/>
  <c r="AZ305" i="260" a="1"/>
  <c r="AH320" i="260" a="1"/>
  <c r="BO231" i="260" a="1"/>
  <c r="AQ308" i="260" a="1"/>
  <c r="AN296" i="260" a="1"/>
  <c r="N322" i="260" a="1"/>
  <c r="AT320" i="260" a="1"/>
  <c r="BK313" i="260" a="1"/>
  <c r="BG236" i="260" a="1"/>
  <c r="AH325" i="260" a="1"/>
  <c r="AT315" i="260" a="1"/>
  <c r="Z282" i="260" a="1"/>
  <c r="AT319" i="260" a="1"/>
  <c r="AH309" i="260" a="1"/>
  <c r="AD314" i="260" a="1"/>
  <c r="AH236" i="260" a="1"/>
  <c r="BO237" i="260" a="1"/>
  <c r="AT296" i="260" a="1"/>
  <c r="AT313" i="260" a="1"/>
  <c r="AQ305" i="260" a="1"/>
  <c r="AZ315" i="260" a="1"/>
  <c r="J231" i="260" a="1"/>
  <c r="V246" i="260" a="1"/>
  <c r="R326" i="260" a="1"/>
  <c r="AZ308" i="260" a="1"/>
  <c r="BD328" i="260" a="1"/>
  <c r="N320" i="260" a="1"/>
  <c r="AH286" i="260" a="1"/>
  <c r="J326" i="260" a="1"/>
  <c r="AT318" i="260" a="1"/>
  <c r="AH327" i="260" a="1"/>
  <c r="AD323" i="260" a="1"/>
  <c r="Z305" i="260" a="1"/>
  <c r="BD305" i="260" a="1"/>
  <c r="AQ322" i="260" a="1"/>
  <c r="BD308" i="260" a="1"/>
  <c r="AQ246" i="260" a="1"/>
  <c r="Z322" i="260" a="1"/>
  <c r="BD309" i="260" a="1"/>
  <c r="V231" i="260" a="1"/>
  <c r="BK286" i="260" a="1"/>
  <c r="AT325" i="260" a="1"/>
  <c r="R287" i="260" a="1"/>
  <c r="J286" i="260" a="1"/>
  <c r="AH231" i="260" a="1"/>
  <c r="AN314" i="260" a="1"/>
  <c r="Z315" i="260" a="1"/>
  <c r="J287" i="260" a="1"/>
  <c r="Z325" i="260" a="1"/>
  <c r="J319" i="260" a="1"/>
  <c r="BK237" i="260" a="1"/>
  <c r="AQ324" i="260" a="1"/>
  <c r="Z314" i="260" a="1"/>
  <c r="BK318" i="260" a="1"/>
  <c r="BO314" i="260" a="1"/>
  <c r="R316" i="260" a="1"/>
  <c r="BD310" i="260" a="1"/>
  <c r="BO326" i="260" a="1"/>
  <c r="BK322" i="260" a="1"/>
  <c r="BD282" i="260" a="1"/>
  <c r="V308" i="260" a="1"/>
  <c r="AH310" i="260" a="1"/>
  <c r="G323" i="260" a="1"/>
  <c r="AZ322" i="260" a="1"/>
  <c r="V316" i="260" a="1"/>
  <c r="AQ236" i="260" a="1"/>
  <c r="AH296" i="260" a="1"/>
  <c r="AD316" i="260" a="1"/>
  <c r="BG309" i="260" a="1"/>
  <c r="BK236" i="260" a="1"/>
  <c r="BG319" i="260" a="1"/>
  <c r="AZ327" i="260" a="1"/>
  <c r="BG322" i="260" a="1"/>
  <c r="BK296" i="260" a="1"/>
  <c r="BD286" i="260" a="1"/>
  <c r="V310" i="260" a="1"/>
  <c r="AN318" i="260" a="1"/>
  <c r="BK314" i="260" a="1"/>
  <c r="Z281" i="260" a="1"/>
  <c r="BG296" i="260" a="1"/>
  <c r="BG246" i="260" a="1"/>
  <c r="N328" i="260" a="1"/>
  <c r="J316" i="260" a="1"/>
  <c r="BD323" i="260" a="1"/>
  <c r="R237" i="260" a="1"/>
  <c r="AQ231" i="260" a="1"/>
  <c r="AD328" i="260" a="1"/>
  <c r="BG313" i="260" a="1"/>
  <c r="R323" i="260" a="1"/>
  <c r="G296" i="260" a="1"/>
  <c r="BG327" i="260" a="1"/>
  <c r="BO287" i="260" a="1"/>
  <c r="AQ327" i="260" a="1"/>
  <c r="Z316" i="260" a="1"/>
  <c r="R286" i="260" a="1"/>
  <c r="BD287" i="260" a="1"/>
  <c r="G246" i="260" a="1"/>
  <c r="AD320" i="260" a="1"/>
  <c r="BG315" i="260" a="1"/>
  <c r="N286" i="260" a="1"/>
  <c r="AD315" i="260" a="1"/>
  <c r="J281" i="260" a="1"/>
  <c r="J317" i="260" a="1"/>
  <c r="N237" i="260" a="1"/>
  <c r="AZ287" i="260" a="1"/>
  <c r="AD313" i="260" a="1"/>
  <c r="G237" i="260" a="1"/>
  <c r="AT287" i="260" a="1"/>
  <c r="R318" i="260" a="1"/>
  <c r="BD313" i="260" a="1"/>
  <c r="BO313" i="260" a="1"/>
  <c r="V305" i="260" a="1"/>
  <c r="J324" i="260" a="1"/>
  <c r="AH318" i="260" a="1"/>
  <c r="AN237" i="260" a="1"/>
  <c r="BK319" i="260" a="1"/>
  <c r="BO320" i="260" a="1"/>
  <c r="BD316" i="260" a="1"/>
  <c r="AT314" i="260" a="1"/>
  <c r="AH282" i="260" a="1"/>
  <c r="BG231" i="260" a="1"/>
  <c r="AN326" i="260" a="1"/>
  <c r="Z323" i="260" a="1"/>
  <c r="V236" i="260" a="1"/>
  <c r="N281" i="260" a="1"/>
  <c r="R320" i="260" a="1"/>
  <c r="AH305" i="260" a="1"/>
  <c r="BG310" i="260" a="1"/>
  <c r="G317" i="260" a="1"/>
  <c r="AH287" i="260" a="1"/>
  <c r="AN328" i="260" a="1"/>
  <c r="BD236" i="260" a="1"/>
  <c r="BO318" i="260" a="1"/>
  <c r="AD287" i="260" a="1"/>
  <c r="AN323" i="260" a="1"/>
  <c r="R314" i="260" a="1"/>
  <c r="Z320" i="260" a="1"/>
  <c r="AD309" i="260" a="1"/>
  <c r="BG316" i="260" a="1"/>
  <c r="N287" i="260" a="1"/>
  <c r="AD246" i="260" a="1"/>
  <c r="R313" i="260" a="1"/>
  <c r="N296" i="260" a="1"/>
  <c r="W21" i="253" a="1"/>
  <c r="AN322" i="260" a="1"/>
  <c r="J320" i="260" a="1"/>
  <c r="Z246" i="260" a="1"/>
  <c r="BG237" i="260" a="1"/>
  <c r="N313" i="260" a="1"/>
  <c r="R324" i="260" a="1"/>
  <c r="V237" i="260" a="1"/>
  <c r="BK309" i="260" a="1"/>
  <c r="BD326" i="260" a="1"/>
  <c r="J315" i="260" a="1"/>
  <c r="V313" i="260" a="1"/>
  <c r="BK317" i="260" a="1"/>
  <c r="BD322" i="260" a="1"/>
  <c r="BO281" i="260" a="1"/>
  <c r="R281" i="260" a="1"/>
  <c r="Z296" i="260" a="1"/>
  <c r="BO246" i="260" a="1"/>
  <c r="G328" i="260" a="1"/>
  <c r="R322" i="260" a="1"/>
  <c r="R328" i="260" a="1"/>
  <c r="BO286" i="260" a="1"/>
  <c r="R310" i="260" a="1"/>
  <c r="AN305" i="260" a="1"/>
  <c r="BG318" i="260" a="1"/>
  <c r="BD318" i="260" a="1"/>
  <c r="Z310" i="260" a="1"/>
  <c r="W20" i="253" a="1"/>
  <c r="AZ326" i="260" a="1"/>
  <c r="AQ281" i="260" a="1"/>
  <c r="N327" i="260" a="1"/>
  <c r="AD325" i="260" a="1"/>
  <c r="U40" i="251" a="1"/>
  <c r="G281" i="260" a="1"/>
  <c r="AH322" i="260" a="1"/>
  <c r="AQ320" i="260" a="1"/>
  <c r="BK315" i="260" a="1"/>
  <c r="R296" i="260" a="1"/>
  <c r="AN287" i="260" a="1"/>
  <c r="AZ319" i="260" a="1"/>
  <c r="V286" i="260" a="1"/>
  <c r="AN281" i="260" a="1"/>
  <c r="V324" i="260" a="1"/>
  <c r="Z317" i="260" a="1"/>
  <c r="BK325" i="260" a="1"/>
  <c r="BD325" i="260" a="1"/>
  <c r="BD314" i="260" a="1"/>
  <c r="N314" i="260" a="1"/>
  <c r="G326" i="260" a="1"/>
  <c r="BO296" i="260" a="1"/>
  <c r="AH323" i="260" a="1"/>
  <c r="J327" i="260" a="1"/>
  <c r="AN317" i="260" a="1"/>
  <c r="AT282" i="260" a="1"/>
  <c r="BD324" i="260" a="1"/>
  <c r="U29" i="251" a="1"/>
  <c r="BO319" i="260" a="1"/>
  <c r="AQ325" i="260" a="1"/>
  <c r="AN246" i="260" a="1"/>
  <c r="AD319" i="260" a="1"/>
  <c r="G309" i="260" a="1"/>
  <c r="J310" i="260" a="1"/>
  <c r="V296" i="260" a="1"/>
  <c r="AQ310" i="260" a="1"/>
  <c r="BD231" i="260" a="1"/>
  <c r="AD281" i="260" a="1"/>
  <c r="N282" i="260" a="1"/>
  <c r="J325" i="260" a="1"/>
  <c r="BK328" i="260" a="1"/>
  <c r="BG326" i="260" a="1"/>
  <c r="AN236" i="260" a="1"/>
  <c r="N315" i="260" a="1"/>
  <c r="G313" i="260" a="1"/>
  <c r="BG287" i="260" a="1"/>
  <c r="AZ328" i="260" a="1"/>
  <c r="BG282" i="260" a="1"/>
  <c r="U30" i="251" a="1"/>
  <c r="AN313" i="260" a="1"/>
  <c r="BG305" i="260" a="1"/>
  <c r="AD318" i="260" a="1"/>
  <c r="BO323" i="260" a="1"/>
  <c r="BK326" i="260" a="1"/>
  <c r="N318" i="260" a="1"/>
  <c r="V325" i="260" a="1"/>
  <c r="Z231" i="260" a="1"/>
  <c r="AZ314" i="260" a="1"/>
  <c r="AZ323" i="260" a="1"/>
  <c r="BG323" i="260" a="1"/>
  <c r="AZ325" i="260" a="1"/>
  <c r="W41" i="253" a="1"/>
  <c r="BO324" i="260" a="1"/>
  <c r="J282" i="260" a="1"/>
  <c r="BD320" i="260" a="1"/>
  <c r="BG281" i="260" a="1"/>
  <c r="AH308" i="260" a="1"/>
  <c r="N309" i="260" a="1"/>
  <c r="R236" i="260" a="1"/>
  <c r="BK310" i="260" a="1"/>
  <c r="W9" i="253" a="1"/>
  <c r="AN325" i="260" a="1"/>
  <c r="AD308" i="260" a="1"/>
  <c r="AQ328" i="260" a="1"/>
  <c r="AZ246" i="260" a="1"/>
  <c r="V328" i="260" a="1"/>
  <c r="G314" i="260" a="1"/>
  <c r="BK320" i="260" a="1"/>
  <c r="R325" i="260" a="1"/>
  <c r="N231" i="260" a="1"/>
  <c r="AN320" i="260" a="1"/>
  <c r="AN309" i="260" a="1"/>
  <c r="BK308" i="260" a="1"/>
  <c r="AD305" i="260" a="1"/>
  <c r="J322" i="260" a="1"/>
  <c r="N236" i="260" a="1"/>
  <c r="J314" i="260" a="1"/>
  <c r="AD317" i="260" a="1"/>
  <c r="R308" i="260" a="1"/>
  <c r="AH281" i="260" a="1"/>
  <c r="G282" i="260" a="1"/>
  <c r="BG286" i="260" a="1"/>
  <c r="AD310" i="260" a="1"/>
  <c r="BD327" i="260" a="1"/>
  <c r="V281" i="260" a="1"/>
  <c r="BK316" i="260" a="1"/>
  <c r="G322" i="260" a="1"/>
  <c r="AQ287" i="260" a="1"/>
  <c r="BO305" i="260" a="1"/>
  <c r="BG308" i="260" a="1"/>
  <c r="BD315" i="260" a="1"/>
  <c r="BG325" i="260" a="1"/>
  <c r="N325" i="260" a="1"/>
  <c r="U41" i="251" a="1"/>
  <c r="AQ314" i="260" a="1"/>
  <c r="R246" i="260" a="1"/>
  <c r="AT326" i="260" a="1"/>
  <c r="G287" i="260" a="1"/>
  <c r="AZ236" i="260" a="1"/>
  <c r="AZ281" i="260" a="1"/>
  <c r="BK327" i="260" a="1"/>
  <c r="G231" i="260" a="1"/>
  <c r="V282" i="260" a="1"/>
  <c r="AD286" i="260" a="1"/>
  <c r="AQ317" i="260" a="1"/>
  <c r="BO316" i="260" a="1"/>
  <c r="BO322" i="260" a="1"/>
  <c r="AN315" i="260" a="1"/>
  <c r="AZ282" i="260" a="1"/>
  <c r="J318" i="260" a="1"/>
  <c r="R309" i="260" a="1"/>
  <c r="W31" i="253" a="1"/>
  <c r="AN282" i="260" a="1"/>
  <c r="AN324" i="260" a="1"/>
  <c r="Z326" i="260" a="1"/>
  <c r="Z308" i="260" a="1"/>
  <c r="N324" i="260" a="1"/>
  <c r="J309" i="260" a="1"/>
  <c r="G286" i="260" a="1"/>
  <c r="AT237" i="260" a="1"/>
  <c r="G310" i="260" a="1"/>
  <c r="BD296" i="260" a="1"/>
  <c r="G318" i="260" a="1"/>
  <c r="AN286" i="260" a="1"/>
  <c r="AQ309" i="260" a="1"/>
  <c r="AZ231" i="260" a="1"/>
  <c r="BK323" i="260" a="1"/>
  <c r="AT286" i="260" a="1"/>
  <c r="AT231" i="260" a="1"/>
  <c r="Z328" i="260" a="1"/>
  <c r="G327" i="260" a="1"/>
  <c r="BO328" i="260" a="1"/>
  <c r="BK305" i="260" a="1"/>
  <c r="J323" i="260" a="1"/>
  <c r="BK246" i="260" a="1"/>
  <c r="G324" i="260" a="1"/>
  <c r="BK287" i="260" a="1"/>
  <c r="AZ309" i="260" a="1"/>
  <c r="V322" i="260" a="1"/>
  <c r="AQ237" i="260" a="1"/>
  <c r="AT309" i="260" a="1"/>
  <c r="R315" i="260" a="1"/>
  <c r="AT305" i="260" a="1"/>
  <c r="N326" i="260" a="1"/>
  <c r="J237" i="260" a="1"/>
  <c r="AT236" i="260" a="1"/>
  <c r="R317" i="260" a="1"/>
  <c r="AT246" i="260" a="1"/>
  <c r="N246" i="260" a="1"/>
  <c r="BO325" i="260" a="1"/>
  <c r="AT328" i="260" a="1"/>
  <c r="V327" i="260" a="1"/>
  <c r="AT316" i="260" a="1"/>
  <c r="J296" i="260" a="1"/>
  <c r="AD324" i="260" a="1"/>
  <c r="AD327" i="260" a="1"/>
  <c r="AZ316" i="260" a="1"/>
  <c r="AT324" i="260" a="1"/>
  <c r="W28" i="253" a="1"/>
  <c r="N310" i="260" a="1"/>
  <c r="AQ326" i="260" a="1"/>
  <c r="BK231" i="260" a="1"/>
  <c r="J308" i="260" a="1"/>
  <c r="N316" i="260" a="1"/>
  <c r="V320" i="260" a="1"/>
  <c r="BD319" i="260" a="1"/>
  <c r="AQ282" i="260" a="1"/>
  <c r="BG317" i="260" a="1"/>
  <c r="AH319" i="260" a="1"/>
  <c r="G316" i="260" a="1"/>
  <c r="BK324" i="260" a="1"/>
  <c r="G315" i="260" a="1"/>
  <c r="R231" i="260" a="1"/>
  <c r="Z319" i="260" a="1"/>
  <c r="Z313" i="260" a="1"/>
  <c r="AT322" i="260" a="1"/>
  <c r="AQ313" i="260" a="1"/>
  <c r="BG314" i="260" a="1"/>
  <c r="Z318" i="260" a="1"/>
  <c r="AQ318" i="260" a="1"/>
  <c r="AH317" i="260" a="1"/>
  <c r="AQ296" i="260" a="1"/>
  <c r="J313" i="260" a="1"/>
  <c r="V317" i="260" a="1"/>
  <c r="AH328" i="260" a="1"/>
  <c r="BK281" i="260" a="1"/>
  <c r="AZ324" i="260" a="1"/>
  <c r="R282" i="260" a="1"/>
  <c r="AT310" i="260" a="1"/>
  <c r="V314" i="260" a="1"/>
  <c r="N305" i="260" a="1"/>
  <c r="AZ318" i="260" a="1"/>
  <c r="AD237" i="260" a="1"/>
  <c r="N323" i="260" a="1"/>
  <c r="G320" i="260" a="1"/>
  <c r="AT317" i="260" a="1"/>
  <c r="Z237" i="260" a="1"/>
  <c r="N317" i="260" a="1"/>
  <c r="Z327" i="260" a="1"/>
  <c r="AT308" i="260" a="1"/>
  <c r="AT323" i="260" a="1"/>
  <c r="BO309" i="260" a="1"/>
  <c r="AH314" i="260" a="1"/>
  <c r="W29" i="253" a="1"/>
  <c r="BD317" i="260" a="1"/>
  <c r="G308" i="260" a="1"/>
  <c r="V315" i="260" a="1"/>
  <c r="AT281" i="260" a="1"/>
  <c r="J328" i="260" a="1"/>
  <c r="N319" i="260" a="1"/>
  <c r="N308" i="260" a="1"/>
  <c r="BG324" i="260" a="1"/>
  <c r="V287" i="260" a="1"/>
  <c r="AQ316" i="260" a="1"/>
  <c r="AN316" i="260" a="1"/>
  <c r="AD282" i="260" a="1"/>
  <c r="AD236" i="260" a="1"/>
  <c r="AD326" i="260" a="1"/>
  <c r="J246" i="260" a="1"/>
  <c r="G236" i="260" a="1"/>
  <c r="BD237" i="260" a="1"/>
  <c r="AD296" i="260" a="1"/>
  <c r="V308" i="260" l="1"/>
  <c r="R308" i="260"/>
  <c r="BO308" i="260"/>
  <c r="AD308" i="260"/>
  <c r="G308" i="260"/>
  <c r="Z308" i="260"/>
  <c r="N308" i="260"/>
  <c r="BG308" i="260"/>
  <c r="AZ308" i="260"/>
  <c r="AT308" i="260"/>
  <c r="AH308" i="260"/>
  <c r="AN308" i="260"/>
  <c r="BD308" i="260"/>
  <c r="BK308" i="260"/>
  <c r="AQ308" i="260"/>
  <c r="J308" i="260"/>
  <c r="G313" i="260"/>
  <c r="AN313" i="260"/>
  <c r="Z313" i="260"/>
  <c r="AH313" i="260"/>
  <c r="J313" i="260"/>
  <c r="N313" i="260"/>
  <c r="AT313" i="260"/>
  <c r="R313" i="260"/>
  <c r="AD313" i="260"/>
  <c r="BK313" i="260"/>
  <c r="AZ313" i="260"/>
  <c r="BO313" i="260"/>
  <c r="BD313" i="260"/>
  <c r="BG313" i="260"/>
  <c r="V313" i="260"/>
  <c r="AQ313" i="260"/>
  <c r="AD310" i="260"/>
  <c r="BK310" i="260"/>
  <c r="AN310" i="260"/>
  <c r="AH310" i="260"/>
  <c r="AT310" i="260"/>
  <c r="BG310" i="260"/>
  <c r="N310" i="260"/>
  <c r="BD310" i="260"/>
  <c r="AZ310" i="260"/>
  <c r="Z310" i="260"/>
  <c r="G310" i="260"/>
  <c r="J310" i="260"/>
  <c r="V310" i="260"/>
  <c r="R310" i="260"/>
  <c r="BO310" i="260"/>
  <c r="AQ310" i="260"/>
  <c r="BK325" i="260"/>
  <c r="AQ325" i="260"/>
  <c r="R325" i="260"/>
  <c r="BO325" i="260"/>
  <c r="AN325" i="260"/>
  <c r="BG325" i="260"/>
  <c r="J325" i="260"/>
  <c r="BD325" i="260"/>
  <c r="G325" i="260"/>
  <c r="V325" i="260"/>
  <c r="AZ325" i="260"/>
  <c r="AD325" i="260"/>
  <c r="N325" i="260"/>
  <c r="Z325" i="260"/>
  <c r="AT325" i="260"/>
  <c r="AH325" i="260"/>
  <c r="BO323" i="260"/>
  <c r="AT323" i="260"/>
  <c r="AN323" i="260"/>
  <c r="BG323" i="260"/>
  <c r="R323" i="260"/>
  <c r="AZ323" i="260"/>
  <c r="AH323" i="260"/>
  <c r="N323" i="260"/>
  <c r="G323" i="260"/>
  <c r="BD323" i="260"/>
  <c r="V323" i="260"/>
  <c r="AQ323" i="260"/>
  <c r="BK323" i="260"/>
  <c r="Z323" i="260"/>
  <c r="AD323" i="260"/>
  <c r="J323" i="260"/>
  <c r="BD282" i="260"/>
  <c r="AN282" i="260"/>
  <c r="BG282" i="260"/>
  <c r="V282" i="260"/>
  <c r="Z282" i="260"/>
  <c r="AQ282" i="260"/>
  <c r="R282" i="260"/>
  <c r="N282" i="260"/>
  <c r="G282" i="260"/>
  <c r="AZ282" i="260"/>
  <c r="BO282" i="260"/>
  <c r="BK282" i="260"/>
  <c r="AH282" i="260"/>
  <c r="AD282" i="260"/>
  <c r="AT282" i="260"/>
  <c r="J282" i="260"/>
  <c r="G314" i="260"/>
  <c r="BK314" i="260"/>
  <c r="AQ314" i="260"/>
  <c r="AH314" i="260"/>
  <c r="BD314" i="260"/>
  <c r="BO314" i="260"/>
  <c r="N314" i="260"/>
  <c r="BG314" i="260"/>
  <c r="AD314" i="260"/>
  <c r="AN314" i="260"/>
  <c r="R314" i="260"/>
  <c r="V314" i="260"/>
  <c r="AZ314" i="260"/>
  <c r="J314" i="260"/>
  <c r="Z314" i="260"/>
  <c r="AT314" i="260"/>
  <c r="J328" i="260"/>
  <c r="AN328" i="260"/>
  <c r="Z328" i="260"/>
  <c r="V328" i="260"/>
  <c r="BO328" i="260"/>
  <c r="AZ328" i="260"/>
  <c r="AT328" i="260"/>
  <c r="AD328" i="260"/>
  <c r="AH328" i="260"/>
  <c r="N328" i="260"/>
  <c r="BG328" i="260"/>
  <c r="BK328" i="260"/>
  <c r="AQ328" i="260"/>
  <c r="G328" i="260"/>
  <c r="BD328" i="260"/>
  <c r="R328" i="260"/>
  <c r="AQ296" i="260"/>
  <c r="J296" i="260"/>
  <c r="R296" i="260"/>
  <c r="N296" i="260"/>
  <c r="BO296" i="260"/>
  <c r="AZ296" i="260"/>
  <c r="AH296" i="260"/>
  <c r="BG296" i="260"/>
  <c r="AT296" i="260"/>
  <c r="Z296" i="260"/>
  <c r="V296" i="260"/>
  <c r="AN296" i="260"/>
  <c r="BK296" i="260"/>
  <c r="G296" i="260"/>
  <c r="AD296" i="260"/>
  <c r="BD296" i="260"/>
  <c r="AQ281" i="260"/>
  <c r="R281" i="260"/>
  <c r="AT281" i="260"/>
  <c r="N281" i="260"/>
  <c r="BD281" i="260"/>
  <c r="AH281" i="260"/>
  <c r="BG281" i="260"/>
  <c r="BK281" i="260"/>
  <c r="V281" i="260"/>
  <c r="AD281" i="260"/>
  <c r="BO281" i="260"/>
  <c r="AN281" i="260"/>
  <c r="AZ281" i="260"/>
  <c r="Z281" i="260"/>
  <c r="G281" i="260"/>
  <c r="J281" i="260"/>
  <c r="BD287" i="260"/>
  <c r="BG287" i="260"/>
  <c r="AD287" i="260"/>
  <c r="V287" i="260"/>
  <c r="Z287" i="260"/>
  <c r="BK287" i="260"/>
  <c r="AT287" i="260"/>
  <c r="AZ287" i="260"/>
  <c r="R287" i="260"/>
  <c r="J287" i="260"/>
  <c r="N287" i="260"/>
  <c r="AN287" i="260"/>
  <c r="G287" i="260"/>
  <c r="BO287" i="260"/>
  <c r="AH287" i="260"/>
  <c r="AQ287" i="260"/>
  <c r="G324" i="260"/>
  <c r="AZ324" i="260"/>
  <c r="V324" i="260"/>
  <c r="J324" i="260"/>
  <c r="AD324" i="260"/>
  <c r="AN324" i="260"/>
  <c r="BD324" i="260"/>
  <c r="N324" i="260"/>
  <c r="BG324" i="260"/>
  <c r="AH324" i="260"/>
  <c r="Z324" i="260"/>
  <c r="BK324" i="260"/>
  <c r="AT324" i="260"/>
  <c r="AQ324" i="260"/>
  <c r="BO324" i="260"/>
  <c r="R324" i="260"/>
  <c r="V327" i="260"/>
  <c r="BG327" i="260"/>
  <c r="BD327" i="260"/>
  <c r="J327" i="260"/>
  <c r="G327" i="260"/>
  <c r="AD327" i="260"/>
  <c r="AT327" i="260"/>
  <c r="R327" i="260"/>
  <c r="AN327" i="260"/>
  <c r="N327" i="260"/>
  <c r="BO327" i="260"/>
  <c r="Z327" i="260"/>
  <c r="AZ327" i="260"/>
  <c r="AQ327" i="260"/>
  <c r="BK327" i="260"/>
  <c r="AH327" i="260"/>
  <c r="AQ318" i="260"/>
  <c r="N318" i="260"/>
  <c r="BO318" i="260"/>
  <c r="AZ318" i="260"/>
  <c r="R318" i="260"/>
  <c r="AT318" i="260"/>
  <c r="J318" i="260"/>
  <c r="V318" i="260"/>
  <c r="Z318" i="260"/>
  <c r="G318" i="260"/>
  <c r="AH318" i="260"/>
  <c r="AD318" i="260"/>
  <c r="BD318" i="260"/>
  <c r="BG318" i="260"/>
  <c r="BK318" i="260"/>
  <c r="AN318" i="260"/>
  <c r="BK317" i="260"/>
  <c r="J317" i="260"/>
  <c r="V317" i="260"/>
  <c r="BG317" i="260"/>
  <c r="N317" i="260"/>
  <c r="AN317" i="260"/>
  <c r="AQ317" i="260"/>
  <c r="AD317" i="260"/>
  <c r="AH317" i="260"/>
  <c r="AT317" i="260"/>
  <c r="BO317" i="260"/>
  <c r="BD317" i="260"/>
  <c r="R317" i="260"/>
  <c r="G317" i="260"/>
  <c r="Z317" i="260"/>
  <c r="AZ317" i="260"/>
  <c r="AN309" i="260"/>
  <c r="AT309" i="260"/>
  <c r="AZ309" i="260"/>
  <c r="G309" i="260"/>
  <c r="BK309" i="260"/>
  <c r="N309" i="260"/>
  <c r="BG309" i="260"/>
  <c r="AQ309" i="260"/>
  <c r="V309" i="260"/>
  <c r="AD309" i="260"/>
  <c r="J309" i="260"/>
  <c r="BO309" i="260"/>
  <c r="AH309" i="260"/>
  <c r="BD309" i="260"/>
  <c r="Z309" i="260"/>
  <c r="R309" i="260"/>
  <c r="AT286" i="260"/>
  <c r="AN286" i="260"/>
  <c r="AD286" i="260"/>
  <c r="BO286" i="260"/>
  <c r="Z286" i="260"/>
  <c r="V286" i="260"/>
  <c r="J286" i="260"/>
  <c r="G286" i="260"/>
  <c r="BG286" i="260"/>
  <c r="BD286" i="260"/>
  <c r="BK286" i="260"/>
  <c r="N286" i="260"/>
  <c r="AQ286" i="260"/>
  <c r="AZ286" i="260"/>
  <c r="AH286" i="260"/>
  <c r="R286" i="260"/>
  <c r="AT319" i="260"/>
  <c r="AN319" i="260"/>
  <c r="G319" i="260"/>
  <c r="AD319" i="260"/>
  <c r="N319" i="260"/>
  <c r="R319" i="260"/>
  <c r="BK319" i="260"/>
  <c r="Z319" i="260"/>
  <c r="AZ319" i="260"/>
  <c r="AQ319" i="260"/>
  <c r="AH319" i="260"/>
  <c r="BD319" i="260"/>
  <c r="BG319" i="260"/>
  <c r="J319" i="260"/>
  <c r="BO319" i="260"/>
  <c r="V319" i="260"/>
  <c r="AZ320" i="260"/>
  <c r="Z320" i="260"/>
  <c r="J320" i="260"/>
  <c r="AH320" i="260"/>
  <c r="BK320" i="260"/>
  <c r="AN320" i="260"/>
  <c r="AQ320" i="260"/>
  <c r="R320" i="260"/>
  <c r="N320" i="260"/>
  <c r="AD320" i="260"/>
  <c r="BO320" i="260"/>
  <c r="BD320" i="260"/>
  <c r="G320" i="260"/>
  <c r="V320" i="260"/>
  <c r="AT320" i="260"/>
  <c r="BG320" i="260"/>
  <c r="BD305" i="260"/>
  <c r="BO305" i="260"/>
  <c r="AD305" i="260"/>
  <c r="N305" i="260"/>
  <c r="Z305" i="260"/>
  <c r="AT305" i="260"/>
  <c r="R305" i="260"/>
  <c r="BG305" i="260"/>
  <c r="AN305" i="260"/>
  <c r="J305" i="260"/>
  <c r="V305" i="260"/>
  <c r="AH305" i="260"/>
  <c r="BK305" i="260"/>
  <c r="G305" i="260"/>
  <c r="AQ305" i="260"/>
  <c r="AZ305" i="260"/>
  <c r="AH326" i="260"/>
  <c r="AT326" i="260"/>
  <c r="BG326" i="260"/>
  <c r="AQ326" i="260"/>
  <c r="J326" i="260"/>
  <c r="V326" i="260"/>
  <c r="N326" i="260"/>
  <c r="R326" i="260"/>
  <c r="AZ326" i="260"/>
  <c r="AN326" i="260"/>
  <c r="Z326" i="260"/>
  <c r="AD326" i="260"/>
  <c r="BO326" i="260"/>
  <c r="BK326" i="260"/>
  <c r="BD326" i="260"/>
  <c r="G326" i="260"/>
  <c r="N315" i="260"/>
  <c r="AZ315" i="260"/>
  <c r="R315" i="260"/>
  <c r="AQ315" i="260"/>
  <c r="V315" i="260"/>
  <c r="G315" i="260"/>
  <c r="Z315" i="260"/>
  <c r="AN315" i="260"/>
  <c r="BD315" i="260"/>
  <c r="BG315" i="260"/>
  <c r="BO315" i="260"/>
  <c r="J315" i="260"/>
  <c r="BK315" i="260"/>
  <c r="AT315" i="260"/>
  <c r="AH315" i="260"/>
  <c r="AD315" i="260"/>
  <c r="J316" i="260"/>
  <c r="G316" i="260"/>
  <c r="BO316" i="260"/>
  <c r="R316" i="260"/>
  <c r="AD316" i="260"/>
  <c r="AZ316" i="260"/>
  <c r="BK316" i="260"/>
  <c r="BG316" i="260"/>
  <c r="N316" i="260"/>
  <c r="Z316" i="260"/>
  <c r="BD316" i="260"/>
  <c r="AN316" i="260"/>
  <c r="AT316" i="260"/>
  <c r="AQ316" i="260"/>
  <c r="V316" i="260"/>
  <c r="AH316" i="260"/>
  <c r="Z322" i="260"/>
  <c r="AQ322" i="260"/>
  <c r="BK322" i="260"/>
  <c r="V322" i="260"/>
  <c r="R322" i="260"/>
  <c r="AT322" i="260"/>
  <c r="BO322" i="260"/>
  <c r="G322" i="260"/>
  <c r="N322" i="260"/>
  <c r="J322" i="260"/>
  <c r="BG322" i="260"/>
  <c r="BD322" i="260"/>
  <c r="AN322" i="260"/>
  <c r="AZ322" i="260"/>
  <c r="AH322" i="260"/>
  <c r="AD322" i="260"/>
  <c r="C333" i="260"/>
  <c r="C338" i="260"/>
  <c r="C335" i="260"/>
  <c r="C350" i="260"/>
  <c r="C348" i="260"/>
  <c r="C307" i="260"/>
  <c r="C339" i="260"/>
  <c r="C353" i="260"/>
  <c r="C321" i="260"/>
  <c r="C306" i="260"/>
  <c r="C312" i="260"/>
  <c r="C349" i="260"/>
  <c r="C352" i="260"/>
  <c r="C343" i="260"/>
  <c r="C342" i="260"/>
  <c r="C334" i="260"/>
  <c r="C311" i="260"/>
  <c r="C344" i="260"/>
  <c r="C345" i="260"/>
  <c r="C330" i="260"/>
  <c r="C351" i="260"/>
  <c r="C340" i="260"/>
  <c r="C341" i="260"/>
  <c r="C347" i="260"/>
  <c r="G27" i="254"/>
  <c r="G28" i="254" s="1"/>
  <c r="AN231" i="260"/>
  <c r="BG231" i="260"/>
  <c r="BG236" i="260"/>
  <c r="BK236" i="260"/>
  <c r="R237" i="260"/>
  <c r="G231" i="260"/>
  <c r="BO237" i="260"/>
  <c r="AT231" i="260"/>
  <c r="AH236" i="260"/>
  <c r="AZ231" i="260"/>
  <c r="Z237" i="260"/>
  <c r="BD231" i="260"/>
  <c r="J246" i="260"/>
  <c r="N231" i="260"/>
  <c r="N246" i="260"/>
  <c r="AZ237" i="260"/>
  <c r="R231" i="260"/>
  <c r="R246" i="260"/>
  <c r="BG237" i="260"/>
  <c r="J236" i="260"/>
  <c r="AQ246" i="260"/>
  <c r="BD237" i="260"/>
  <c r="N236" i="260"/>
  <c r="AN246" i="260"/>
  <c r="BK237" i="260"/>
  <c r="Z246" i="260"/>
  <c r="G236" i="260"/>
  <c r="R236" i="260"/>
  <c r="AT246" i="260"/>
  <c r="AH237" i="260"/>
  <c r="AD237" i="260"/>
  <c r="V236" i="260"/>
  <c r="AZ246" i="260"/>
  <c r="AN237" i="260"/>
  <c r="BD246" i="260"/>
  <c r="AQ237" i="260"/>
  <c r="AD246" i="260"/>
  <c r="Z236" i="260"/>
  <c r="V231" i="260"/>
  <c r="Z231" i="260"/>
  <c r="AQ236" i="260"/>
  <c r="BG246" i="260"/>
  <c r="AT237" i="260"/>
  <c r="AZ236" i="260"/>
  <c r="BO246" i="260"/>
  <c r="BK231" i="260"/>
  <c r="BO231" i="260"/>
  <c r="AH246" i="260"/>
  <c r="AQ231" i="260"/>
  <c r="AN236" i="260"/>
  <c r="AD231" i="260"/>
  <c r="AT236" i="260"/>
  <c r="V246" i="260"/>
  <c r="G237" i="260"/>
  <c r="BO236" i="260"/>
  <c r="AD236" i="260"/>
  <c r="N237" i="260"/>
  <c r="J231" i="260"/>
  <c r="V237" i="260"/>
  <c r="G246" i="260"/>
  <c r="AH231" i="260"/>
  <c r="BD236" i="260"/>
  <c r="BK246" i="260"/>
  <c r="J237" i="260"/>
  <c r="I9" i="253"/>
  <c r="AB41" i="253"/>
  <c r="W41" i="253"/>
  <c r="W39" i="253"/>
  <c r="W31" i="253"/>
  <c r="W29" i="253"/>
  <c r="W28" i="253"/>
  <c r="W9" i="253"/>
  <c r="V9" i="253"/>
  <c r="I25" i="253"/>
  <c r="I35" i="253"/>
  <c r="I17" i="253"/>
  <c r="W20" i="253"/>
  <c r="W21" i="253"/>
  <c r="E35" i="253"/>
  <c r="I9" i="251"/>
  <c r="I17" i="251"/>
  <c r="I25" i="251"/>
  <c r="U29" i="251"/>
  <c r="U40" i="251"/>
  <c r="U30" i="251"/>
  <c r="U41" i="251"/>
  <c r="V307" i="260" a="1"/>
  <c r="BK353" i="260" a="1"/>
  <c r="BO349" i="260" a="1"/>
  <c r="BK338" i="260" a="1"/>
  <c r="BG352" i="260" a="1"/>
  <c r="R348" i="260" a="1"/>
  <c r="AN335" i="260" a="1"/>
  <c r="R347" i="260" a="1"/>
  <c r="G347" i="260" a="1"/>
  <c r="Z312" i="260" a="1"/>
  <c r="AH349" i="260" a="1"/>
  <c r="AZ350" i="260" a="1"/>
  <c r="BD342" i="260" a="1"/>
  <c r="G342" i="260" a="1"/>
  <c r="AT307" i="260" a="1"/>
  <c r="R342" i="260" a="1"/>
  <c r="AH307" i="260" a="1"/>
  <c r="R330" i="260" a="1"/>
  <c r="AH335" i="260" a="1"/>
  <c r="BD307" i="260" a="1"/>
  <c r="BG306" i="260" a="1"/>
  <c r="AQ352" i="260" a="1"/>
  <c r="AH347" i="260" a="1"/>
  <c r="AN334" i="260" a="1"/>
  <c r="AZ340" i="260" a="1"/>
  <c r="J350" i="260" a="1"/>
  <c r="AQ333" i="260" a="1"/>
  <c r="AH344" i="260" a="1"/>
  <c r="AH330" i="260" a="1"/>
  <c r="J339" i="260" a="1"/>
  <c r="G312" i="260" a="1"/>
  <c r="AD347" i="260" a="1"/>
  <c r="AD312" i="260" a="1"/>
  <c r="V341" i="260" a="1"/>
  <c r="AN345" i="260" a="1"/>
  <c r="AD340" i="260" a="1"/>
  <c r="BD330" i="260" a="1"/>
  <c r="V343" i="260" a="1"/>
  <c r="BK350" i="260" a="1"/>
  <c r="BG330" i="260" a="1"/>
  <c r="Z306" i="260" a="1"/>
  <c r="Z321" i="260" a="1"/>
  <c r="G333" i="260" a="1"/>
  <c r="BK334" i="260" a="1"/>
  <c r="AT340" i="260" a="1"/>
  <c r="AN306" i="260" a="1"/>
  <c r="AZ334" i="260" a="1"/>
  <c r="BG343" i="260" a="1"/>
  <c r="J342" i="260" a="1"/>
  <c r="BD312" i="260" a="1"/>
  <c r="AQ338" i="260" a="1"/>
  <c r="AQ321" i="260" a="1"/>
  <c r="AH342" i="260" a="1"/>
  <c r="R321" i="260" a="1"/>
  <c r="AN311" i="260" a="1"/>
  <c r="G343" i="260" a="1"/>
  <c r="AT351" i="260" a="1"/>
  <c r="AT344" i="260" a="1"/>
  <c r="Z350" i="260" a="1"/>
  <c r="AH345" i="260" a="1"/>
  <c r="R350" i="260" a="1"/>
  <c r="J333" i="260" a="1"/>
  <c r="AT350" i="260" a="1"/>
  <c r="G350" i="260" a="1"/>
  <c r="G334" i="260" a="1"/>
  <c r="BO312" i="260" a="1"/>
  <c r="AT330" i="260" a="1"/>
  <c r="BK340" i="260" a="1"/>
  <c r="BO339" i="260" a="1"/>
  <c r="Z345" i="260" a="1"/>
  <c r="V333" i="260" a="1"/>
  <c r="BK339" i="260" a="1"/>
  <c r="AH306" i="260" a="1"/>
  <c r="BG345" i="260" a="1"/>
  <c r="Z307" i="260" a="1"/>
  <c r="AT312" i="260" a="1"/>
  <c r="N344" i="260" a="1"/>
  <c r="AT334" i="260" a="1"/>
  <c r="BK344" i="260" a="1"/>
  <c r="BO347" i="260" a="1"/>
  <c r="AD338" i="260" a="1"/>
  <c r="G321" i="260" a="1"/>
  <c r="J330" i="260" a="1"/>
  <c r="AQ349" i="260" a="1"/>
  <c r="BG348" i="260" a="1"/>
  <c r="AN350" i="260" a="1"/>
  <c r="BG349" i="260" a="1"/>
  <c r="BO333" i="260" a="1"/>
  <c r="R339" i="260" a="1"/>
  <c r="BO330" i="260" a="1"/>
  <c r="BD341" i="260" a="1"/>
  <c r="BD339" i="260" a="1"/>
  <c r="J343" i="260" a="1"/>
  <c r="AN343" i="260" a="1"/>
  <c r="J307" i="260" a="1"/>
  <c r="N349" i="260" a="1"/>
  <c r="J353" i="260" a="1"/>
  <c r="BD333" i="260" a="1"/>
  <c r="BK351" i="260" a="1"/>
  <c r="R312" i="260" a="1"/>
  <c r="J347" i="260" a="1"/>
  <c r="N341" i="260" a="1"/>
  <c r="AH341" i="260" a="1"/>
  <c r="AD352" i="260" a="1"/>
  <c r="V340" i="260" a="1"/>
  <c r="AH311" i="260" a="1"/>
  <c r="G307" i="260" a="1"/>
  <c r="BO321" i="260" a="1"/>
  <c r="J351" i="260" a="1"/>
  <c r="V353" i="260" a="1"/>
  <c r="AT311" i="260" a="1"/>
  <c r="N333" i="260" a="1"/>
  <c r="G338" i="260" a="1"/>
  <c r="AH351" i="260" a="1"/>
  <c r="BG350" i="260" a="1"/>
  <c r="N311" i="260" a="1"/>
  <c r="N345" i="260" a="1"/>
  <c r="BK312" i="260" a="1"/>
  <c r="AH353" i="260" a="1"/>
  <c r="Z347" i="260" a="1"/>
  <c r="V339" i="260" a="1"/>
  <c r="R344" i="260" a="1"/>
  <c r="AQ311" i="260" a="1"/>
  <c r="V335" i="260" a="1"/>
  <c r="V349" i="260" a="1"/>
  <c r="BK347" i="260" a="1"/>
  <c r="AN352" i="260" a="1"/>
  <c r="AT333" i="260" a="1"/>
  <c r="BG311" i="260" a="1"/>
  <c r="V321" i="260" a="1"/>
  <c r="AH348" i="260" a="1"/>
  <c r="AQ339" i="260" a="1"/>
  <c r="Z349" i="260" a="1"/>
  <c r="J352" i="260" a="1"/>
  <c r="AZ330" i="260" a="1"/>
  <c r="R351" i="260" a="1"/>
  <c r="AH350" i="260" a="1"/>
  <c r="AZ353" i="260" a="1"/>
  <c r="J335" i="260" a="1"/>
  <c r="AH352" i="260" a="1"/>
  <c r="AH343" i="260" a="1"/>
  <c r="N347" i="260" a="1"/>
  <c r="J348" i="260" a="1"/>
  <c r="BG307" i="260" a="1"/>
  <c r="BK341" i="260" a="1"/>
  <c r="AN330" i="260" a="1"/>
  <c r="V312" i="260" a="1"/>
  <c r="G348" i="260" a="1"/>
  <c r="N353" i="260" a="1"/>
  <c r="AQ340" i="260" a="1"/>
  <c r="J345" i="260" a="1"/>
  <c r="AZ344" i="260" a="1"/>
  <c r="AH312" i="260" a="1"/>
  <c r="BO311" i="260" a="1"/>
  <c r="AT348" i="260" a="1"/>
  <c r="BG342" i="260" a="1"/>
  <c r="BK345" i="260" a="1"/>
  <c r="BK321" i="260" a="1"/>
  <c r="BO340" i="260" a="1"/>
  <c r="J340" i="260" a="1"/>
  <c r="BO345" i="260" a="1"/>
  <c r="BD350" i="260" a="1"/>
  <c r="AZ345" i="260" a="1"/>
  <c r="AZ311" i="260" a="1"/>
  <c r="Z352" i="260" a="1"/>
  <c r="R307" i="260" a="1"/>
  <c r="BD348" i="260" a="1"/>
  <c r="AN339" i="260" a="1"/>
  <c r="AH339" i="260" a="1"/>
  <c r="R341" i="260" a="1"/>
  <c r="AD330" i="260" a="1"/>
  <c r="J306" i="260" a="1"/>
  <c r="AD307" i="260" a="1"/>
  <c r="G345" i="260" a="1"/>
  <c r="V344" i="260" a="1"/>
  <c r="AT338" i="260" a="1"/>
  <c r="AD344" i="260" a="1"/>
  <c r="BG335" i="260" a="1"/>
  <c r="AT353" i="260" a="1"/>
  <c r="AD321" i="260" a="1"/>
  <c r="N343" i="260" a="1"/>
  <c r="BK335" i="260" a="1"/>
  <c r="Z311" i="260" a="1"/>
  <c r="BK306" i="260" a="1"/>
  <c r="AN348" i="260" a="1"/>
  <c r="N307" i="260" a="1"/>
  <c r="AN351" i="260" a="1"/>
  <c r="AZ335" i="260" a="1"/>
  <c r="V342" i="260" a="1"/>
  <c r="AT349" i="260" a="1"/>
  <c r="Z353" i="260" a="1"/>
  <c r="Z335" i="260" a="1"/>
  <c r="AZ333" i="260" a="1"/>
  <c r="AQ348" i="260" a="1"/>
  <c r="Z340" i="260" a="1"/>
  <c r="BD340" i="260" a="1"/>
  <c r="BG347" i="260" a="1"/>
  <c r="AT306" i="260" a="1"/>
  <c r="N339" i="260" a="1"/>
  <c r="BO350" i="260" a="1"/>
  <c r="BG312" i="260" a="1"/>
  <c r="AQ347" i="260" a="1"/>
  <c r="R345" i="260" a="1"/>
  <c r="BO341" i="260" a="1"/>
  <c r="BG333" i="260" a="1"/>
  <c r="AZ306" i="260" a="1"/>
  <c r="AH333" i="260" a="1"/>
  <c r="AD351" i="260" a="1"/>
  <c r="AQ307" i="260" a="1"/>
  <c r="AZ307" i="260" a="1"/>
  <c r="G311" i="260" a="1"/>
  <c r="BG340" i="260" a="1"/>
  <c r="AZ349" i="260" a="1"/>
  <c r="BD344" i="260" a="1"/>
  <c r="G335" i="260" a="1"/>
  <c r="AZ347" i="260" a="1"/>
  <c r="AN312" i="260" a="1"/>
  <c r="BG341" i="260" a="1"/>
  <c r="AZ351" i="260" a="1"/>
  <c r="BD352" i="260" a="1"/>
  <c r="N321" i="260" a="1"/>
  <c r="AD342" i="260" a="1"/>
  <c r="R335" i="260" a="1"/>
  <c r="Z330" i="260" a="1"/>
  <c r="N306" i="260" a="1"/>
  <c r="BD349" i="260" a="1"/>
  <c r="AQ330" i="260" a="1"/>
  <c r="BD343" i="260" a="1"/>
  <c r="BK342" i="260" a="1"/>
  <c r="AQ341" i="260" a="1"/>
  <c r="Z334" i="260" a="1"/>
  <c r="N350" i="260" a="1"/>
  <c r="BD345" i="260" a="1"/>
  <c r="BK311" i="260" a="1"/>
  <c r="AT343" i="260" a="1"/>
  <c r="J311" i="260" a="1"/>
  <c r="BO343" i="260" a="1"/>
  <c r="AD333" i="260" a="1"/>
  <c r="Z333" i="260" a="1"/>
  <c r="BD347" i="260" a="1"/>
  <c r="AZ321" i="260" a="1"/>
  <c r="AN349" i="260" a="1"/>
  <c r="BG321" i="260" a="1"/>
  <c r="AT335" i="260" a="1"/>
  <c r="AD341" i="260" a="1"/>
  <c r="BK343" i="260" a="1"/>
  <c r="AT347" i="260" a="1"/>
  <c r="AD349" i="260" a="1"/>
  <c r="G306" i="260" a="1"/>
  <c r="AQ342" i="260" a="1"/>
  <c r="AD311" i="260" a="1"/>
  <c r="AZ348" i="260" a="1"/>
  <c r="AH338" i="260" a="1"/>
  <c r="AT342" i="260" a="1"/>
  <c r="N352" i="260" a="1"/>
  <c r="G353" i="260" a="1"/>
  <c r="N342" i="260" a="1"/>
  <c r="R349" i="260" a="1"/>
  <c r="Z342" i="260" a="1"/>
  <c r="R333" i="260" a="1"/>
  <c r="AN341" i="260" a="1"/>
  <c r="AN353" i="260" a="1"/>
  <c r="V306" i="260" a="1"/>
  <c r="N351" i="260" a="1"/>
  <c r="BO344" i="260" a="1"/>
  <c r="J341" i="260" a="1"/>
  <c r="AQ353" i="260" a="1"/>
  <c r="BG351" i="260" a="1"/>
  <c r="BK349" i="260" a="1"/>
  <c r="BD335" i="260" a="1"/>
  <c r="V334" i="260" a="1"/>
  <c r="N340" i="260" a="1"/>
  <c r="BG344" i="260" a="1"/>
  <c r="AN347" i="260" a="1"/>
  <c r="AQ306" i="260" a="1"/>
  <c r="J334" i="260" a="1"/>
  <c r="BO306" i="260" a="1"/>
  <c r="BO351" i="260" a="1"/>
  <c r="N334" i="260" a="1"/>
  <c r="N330" i="260" a="1"/>
  <c r="G352" i="260" a="1"/>
  <c r="J312" i="260" a="1"/>
  <c r="BK352" i="260" a="1"/>
  <c r="V351" i="260" a="1"/>
  <c r="AQ351" i="260" a="1"/>
  <c r="BG339" i="260" a="1"/>
  <c r="AD334" i="260" a="1"/>
  <c r="AN344" i="260" a="1"/>
  <c r="AD345" i="260" a="1"/>
  <c r="R353" i="260" a="1"/>
  <c r="AD343" i="260" a="1"/>
  <c r="AZ338" i="260" a="1"/>
  <c r="N312" i="260" a="1"/>
  <c r="G349" i="260" a="1"/>
  <c r="AT341" i="260" a="1"/>
  <c r="R306" i="260" a="1"/>
  <c r="BO307" i="260" a="1"/>
  <c r="V350" i="260" a="1"/>
  <c r="Z341" i="260" a="1"/>
  <c r="AT345" i="260" a="1"/>
  <c r="V352" i="260" a="1"/>
  <c r="V348" i="260" a="1"/>
  <c r="AZ343" i="260" a="1"/>
  <c r="AD350" i="260" a="1"/>
  <c r="AD348" i="260" a="1"/>
  <c r="Z348" i="260" a="1"/>
  <c r="AN307" i="260" a="1"/>
  <c r="AQ344" i="260" a="1"/>
  <c r="AQ343" i="260" a="1"/>
  <c r="N338" i="260" a="1"/>
  <c r="BO334" i="260" a="1"/>
  <c r="Z339" i="260" a="1"/>
  <c r="G339" i="260" a="1"/>
  <c r="AZ352" i="260" a="1"/>
  <c r="AN333" i="260" a="1"/>
  <c r="Z344" i="260" a="1"/>
  <c r="AQ350" i="260" a="1"/>
  <c r="R340" i="260" a="1"/>
  <c r="BK307" i="260" a="1"/>
  <c r="BO353" i="260" a="1"/>
  <c r="BO335" i="260" a="1"/>
  <c r="V330" i="260" a="1"/>
  <c r="BD338" i="260" a="1"/>
  <c r="AD353" i="260" a="1"/>
  <c r="AT339" i="260" a="1"/>
  <c r="AQ345" i="260" a="1"/>
  <c r="AN342" i="260" a="1"/>
  <c r="J349" i="260" a="1"/>
  <c r="V347" i="260" a="1"/>
  <c r="R338" i="260" a="1"/>
  <c r="AD339" i="260" a="1"/>
  <c r="AH334" i="260" a="1"/>
  <c r="Z343" i="260" a="1"/>
  <c r="N348" i="260" a="1"/>
  <c r="AT321" i="260" a="1"/>
  <c r="J344" i="260" a="1"/>
  <c r="AH321" i="260" a="1"/>
  <c r="Z351" i="260" a="1"/>
  <c r="BD306" i="260" a="1"/>
  <c r="AN321" i="260" a="1"/>
  <c r="BO352" i="260" a="1"/>
  <c r="BK330" i="260" a="1"/>
  <c r="R311" i="260" a="1"/>
  <c r="R343" i="260" a="1"/>
  <c r="BD353" i="260" a="1"/>
  <c r="G344" i="260" a="1"/>
  <c r="AQ334" i="260" a="1"/>
  <c r="BK348" i="260" a="1"/>
  <c r="G340" i="260" a="1"/>
  <c r="V338" i="260" a="1"/>
  <c r="AN340" i="260" a="1"/>
  <c r="N335" i="260" a="1"/>
  <c r="AQ312" i="260" a="1"/>
  <c r="BG334" i="260" a="1"/>
  <c r="AZ339" i="260" a="1"/>
  <c r="G341" i="260" a="1"/>
  <c r="BG338" i="260" a="1"/>
  <c r="J338" i="260" a="1"/>
  <c r="AZ342" i="260" a="1"/>
  <c r="BO342" i="260" a="1"/>
  <c r="R352" i="260" a="1"/>
  <c r="AD335" i="260" a="1"/>
  <c r="BD321" i="260" a="1"/>
  <c r="AZ341" i="260" a="1"/>
  <c r="AQ335" i="260" a="1"/>
  <c r="G330" i="260" a="1"/>
  <c r="BK333" i="260" a="1"/>
  <c r="AD306" i="260" a="1"/>
  <c r="AZ312" i="260" a="1"/>
  <c r="BO338" i="260" a="1"/>
  <c r="R334" i="260" a="1"/>
  <c r="BD351" i="260" a="1"/>
  <c r="V345" i="260" a="1"/>
  <c r="AN338" i="260" a="1"/>
  <c r="BD311" i="260" a="1"/>
  <c r="V311" i="260" a="1"/>
  <c r="AH340" i="260" a="1"/>
  <c r="BG353" i="260" a="1"/>
  <c r="Z338" i="260" a="1"/>
  <c r="BD334" i="260" a="1"/>
  <c r="BO348" i="260" a="1"/>
  <c r="J321" i="260" a="1"/>
  <c r="G351" i="260" a="1"/>
  <c r="AT352" i="260" a="1"/>
  <c r="V312" i="260" l="1"/>
  <c r="BD312" i="260"/>
  <c r="AN312" i="260"/>
  <c r="J312" i="260"/>
  <c r="Z312" i="260"/>
  <c r="R312" i="260"/>
  <c r="AT312" i="260"/>
  <c r="BK312" i="260"/>
  <c r="AQ312" i="260"/>
  <c r="AD312" i="260"/>
  <c r="BG312" i="260"/>
  <c r="N312" i="260"/>
  <c r="G312" i="260"/>
  <c r="BO312" i="260"/>
  <c r="AH312" i="260"/>
  <c r="AZ312" i="260"/>
  <c r="AH306" i="260"/>
  <c r="R306" i="260"/>
  <c r="J306" i="260"/>
  <c r="V306" i="260"/>
  <c r="BK306" i="260"/>
  <c r="Z306" i="260"/>
  <c r="AQ306" i="260"/>
  <c r="AZ306" i="260"/>
  <c r="BO306" i="260"/>
  <c r="BD306" i="260"/>
  <c r="AD306" i="260"/>
  <c r="N306" i="260"/>
  <c r="AT306" i="260"/>
  <c r="BG306" i="260"/>
  <c r="G306" i="260"/>
  <c r="AN306" i="260"/>
  <c r="BD321" i="260"/>
  <c r="R321" i="260"/>
  <c r="AN321" i="260"/>
  <c r="AT321" i="260"/>
  <c r="AD321" i="260"/>
  <c r="AH321" i="260"/>
  <c r="Z321" i="260"/>
  <c r="AQ321" i="260"/>
  <c r="BG321" i="260"/>
  <c r="N321" i="260"/>
  <c r="BO321" i="260"/>
  <c r="AZ321" i="260"/>
  <c r="BK321" i="260"/>
  <c r="G321" i="260"/>
  <c r="J321" i="260"/>
  <c r="V321" i="260"/>
  <c r="AZ339" i="260"/>
  <c r="J339" i="260"/>
  <c r="R339" i="260"/>
  <c r="BO339" i="260"/>
  <c r="AQ339" i="260"/>
  <c r="Z339" i="260"/>
  <c r="BG339" i="260"/>
  <c r="AH339" i="260"/>
  <c r="BD339" i="260"/>
  <c r="G339" i="260"/>
  <c r="BK339" i="260"/>
  <c r="AT339" i="260"/>
  <c r="V339" i="260"/>
  <c r="N339" i="260"/>
  <c r="AN339" i="260"/>
  <c r="AD339" i="260"/>
  <c r="BG348" i="260"/>
  <c r="AQ348" i="260"/>
  <c r="J348" i="260"/>
  <c r="AT348" i="260"/>
  <c r="V348" i="260"/>
  <c r="AZ348" i="260"/>
  <c r="AD348" i="260"/>
  <c r="BO348" i="260"/>
  <c r="BD348" i="260"/>
  <c r="Z348" i="260"/>
  <c r="N348" i="260"/>
  <c r="R348" i="260"/>
  <c r="AN348" i="260"/>
  <c r="BK348" i="260"/>
  <c r="AH348" i="260"/>
  <c r="G348" i="260"/>
  <c r="AZ347" i="260"/>
  <c r="AQ347" i="260"/>
  <c r="Z347" i="260"/>
  <c r="BG347" i="260"/>
  <c r="V347" i="260"/>
  <c r="G347" i="260"/>
  <c r="AT347" i="260"/>
  <c r="AN347" i="260"/>
  <c r="BK347" i="260"/>
  <c r="R347" i="260"/>
  <c r="AH347" i="260"/>
  <c r="N347" i="260"/>
  <c r="J347" i="260"/>
  <c r="BD347" i="260"/>
  <c r="AD347" i="260"/>
  <c r="BO347" i="260"/>
  <c r="J350" i="260"/>
  <c r="AN350" i="260"/>
  <c r="N350" i="260"/>
  <c r="AT350" i="260"/>
  <c r="AZ350" i="260"/>
  <c r="AH350" i="260"/>
  <c r="AQ350" i="260"/>
  <c r="V350" i="260"/>
  <c r="BG350" i="260"/>
  <c r="AD350" i="260"/>
  <c r="BO350" i="260"/>
  <c r="BD350" i="260"/>
  <c r="BK350" i="260"/>
  <c r="R350" i="260"/>
  <c r="G350" i="260"/>
  <c r="Z350" i="260"/>
  <c r="BG341" i="260"/>
  <c r="J341" i="260"/>
  <c r="BK341" i="260"/>
  <c r="Z341" i="260"/>
  <c r="AN341" i="260"/>
  <c r="V341" i="260"/>
  <c r="AH341" i="260"/>
  <c r="R341" i="260"/>
  <c r="AD341" i="260"/>
  <c r="BO341" i="260"/>
  <c r="N341" i="260"/>
  <c r="AQ341" i="260"/>
  <c r="G341" i="260"/>
  <c r="AZ341" i="260"/>
  <c r="BD341" i="260"/>
  <c r="AT341" i="260"/>
  <c r="AN335" i="260"/>
  <c r="AH335" i="260"/>
  <c r="BO335" i="260"/>
  <c r="BK335" i="260"/>
  <c r="Z335" i="260"/>
  <c r="AD335" i="260"/>
  <c r="AQ335" i="260"/>
  <c r="R335" i="260"/>
  <c r="V335" i="260"/>
  <c r="G335" i="260"/>
  <c r="BD335" i="260"/>
  <c r="J335" i="260"/>
  <c r="AZ335" i="260"/>
  <c r="BG335" i="260"/>
  <c r="N335" i="260"/>
  <c r="AT335" i="260"/>
  <c r="AT340" i="260"/>
  <c r="BD340" i="260"/>
  <c r="J340" i="260"/>
  <c r="R340" i="260"/>
  <c r="BK340" i="260"/>
  <c r="Z340" i="260"/>
  <c r="G340" i="260"/>
  <c r="AD340" i="260"/>
  <c r="AZ340" i="260"/>
  <c r="V340" i="260"/>
  <c r="N340" i="260"/>
  <c r="BG340" i="260"/>
  <c r="BO340" i="260"/>
  <c r="AQ340" i="260"/>
  <c r="AN340" i="260"/>
  <c r="AH340" i="260"/>
  <c r="AN338" i="260"/>
  <c r="BK338" i="260"/>
  <c r="AH338" i="260"/>
  <c r="AD338" i="260"/>
  <c r="Z338" i="260"/>
  <c r="BO338" i="260"/>
  <c r="AT338" i="260"/>
  <c r="R338" i="260"/>
  <c r="V338" i="260"/>
  <c r="N338" i="260"/>
  <c r="BD338" i="260"/>
  <c r="AQ338" i="260"/>
  <c r="AZ338" i="260"/>
  <c r="J338" i="260"/>
  <c r="G338" i="260"/>
  <c r="BG338" i="260"/>
  <c r="AH353" i="260"/>
  <c r="BK353" i="260"/>
  <c r="AN353" i="260"/>
  <c r="BO353" i="260"/>
  <c r="J353" i="260"/>
  <c r="G353" i="260"/>
  <c r="AT353" i="260"/>
  <c r="N353" i="260"/>
  <c r="Z353" i="260"/>
  <c r="AQ353" i="260"/>
  <c r="R353" i="260"/>
  <c r="AD353" i="260"/>
  <c r="BD353" i="260"/>
  <c r="V353" i="260"/>
  <c r="AZ353" i="260"/>
  <c r="BG353" i="260"/>
  <c r="AT330" i="260"/>
  <c r="AH330" i="260"/>
  <c r="J330" i="260"/>
  <c r="AQ330" i="260"/>
  <c r="AN330" i="260"/>
  <c r="AZ330" i="260"/>
  <c r="BO330" i="260"/>
  <c r="BD330" i="260"/>
  <c r="Z330" i="260"/>
  <c r="G330" i="260"/>
  <c r="V330" i="260"/>
  <c r="N330" i="260"/>
  <c r="BK330" i="260"/>
  <c r="BG330" i="260"/>
  <c r="AD330" i="260"/>
  <c r="R330" i="260"/>
  <c r="AT343" i="260"/>
  <c r="J343" i="260"/>
  <c r="AZ343" i="260"/>
  <c r="BD343" i="260"/>
  <c r="AQ343" i="260"/>
  <c r="AH343" i="260"/>
  <c r="BO343" i="260"/>
  <c r="R343" i="260"/>
  <c r="V343" i="260"/>
  <c r="BK343" i="260"/>
  <c r="BG343" i="260"/>
  <c r="AN343" i="260"/>
  <c r="N343" i="260"/>
  <c r="Z343" i="260"/>
  <c r="G343" i="260"/>
  <c r="AD343" i="260"/>
  <c r="AN352" i="260"/>
  <c r="AT352" i="260"/>
  <c r="BG352" i="260"/>
  <c r="AH352" i="260"/>
  <c r="V352" i="260"/>
  <c r="N352" i="260"/>
  <c r="R352" i="260"/>
  <c r="AQ352" i="260"/>
  <c r="BK352" i="260"/>
  <c r="AD352" i="260"/>
  <c r="BO352" i="260"/>
  <c r="J352" i="260"/>
  <c r="AZ352" i="260"/>
  <c r="BD352" i="260"/>
  <c r="Z352" i="260"/>
  <c r="G352" i="260"/>
  <c r="AZ333" i="260"/>
  <c r="AT333" i="260"/>
  <c r="BD333" i="260"/>
  <c r="Z333" i="260"/>
  <c r="BK333" i="260"/>
  <c r="BG333" i="260"/>
  <c r="AH333" i="260"/>
  <c r="R333" i="260"/>
  <c r="N333" i="260"/>
  <c r="V333" i="260"/>
  <c r="G333" i="260"/>
  <c r="J333" i="260"/>
  <c r="BO333" i="260"/>
  <c r="AQ333" i="260"/>
  <c r="AD333" i="260"/>
  <c r="AN333" i="260"/>
  <c r="AH345" i="260"/>
  <c r="BG345" i="260"/>
  <c r="AD345" i="260"/>
  <c r="AN345" i="260"/>
  <c r="Z345" i="260"/>
  <c r="BK345" i="260"/>
  <c r="BO345" i="260"/>
  <c r="G345" i="260"/>
  <c r="J345" i="260"/>
  <c r="AT345" i="260"/>
  <c r="BD345" i="260"/>
  <c r="AZ345" i="260"/>
  <c r="V345" i="260"/>
  <c r="N345" i="260"/>
  <c r="R345" i="260"/>
  <c r="AQ345" i="260"/>
  <c r="J334" i="260"/>
  <c r="BD334" i="260"/>
  <c r="BO334" i="260"/>
  <c r="AZ334" i="260"/>
  <c r="BK334" i="260"/>
  <c r="Z334" i="260"/>
  <c r="BG334" i="260"/>
  <c r="N334" i="260"/>
  <c r="AT334" i="260"/>
  <c r="AD334" i="260"/>
  <c r="G334" i="260"/>
  <c r="AN334" i="260"/>
  <c r="AQ334" i="260"/>
  <c r="R334" i="260"/>
  <c r="V334" i="260"/>
  <c r="AH334" i="260"/>
  <c r="V344" i="260"/>
  <c r="BO344" i="260"/>
  <c r="AT344" i="260"/>
  <c r="BK344" i="260"/>
  <c r="BG344" i="260"/>
  <c r="AQ344" i="260"/>
  <c r="N344" i="260"/>
  <c r="BD344" i="260"/>
  <c r="Z344" i="260"/>
  <c r="AZ344" i="260"/>
  <c r="AD344" i="260"/>
  <c r="J344" i="260"/>
  <c r="AN344" i="260"/>
  <c r="R344" i="260"/>
  <c r="AH344" i="260"/>
  <c r="G344" i="260"/>
  <c r="AT342" i="260"/>
  <c r="AN342" i="260"/>
  <c r="AQ342" i="260"/>
  <c r="AH342" i="260"/>
  <c r="G342" i="260"/>
  <c r="BD342" i="260"/>
  <c r="Z342" i="260"/>
  <c r="J342" i="260"/>
  <c r="AD342" i="260"/>
  <c r="BG342" i="260"/>
  <c r="AZ342" i="260"/>
  <c r="R342" i="260"/>
  <c r="N342" i="260"/>
  <c r="V342" i="260"/>
  <c r="BK342" i="260"/>
  <c r="BO342" i="260"/>
  <c r="BO349" i="260"/>
  <c r="Z349" i="260"/>
  <c r="BK349" i="260"/>
  <c r="AN349" i="260"/>
  <c r="AH349" i="260"/>
  <c r="V349" i="260"/>
  <c r="AD349" i="260"/>
  <c r="N349" i="260"/>
  <c r="R349" i="260"/>
  <c r="BG349" i="260"/>
  <c r="AT349" i="260"/>
  <c r="AZ349" i="260"/>
  <c r="J349" i="260"/>
  <c r="G349" i="260"/>
  <c r="BD349" i="260"/>
  <c r="AQ349" i="260"/>
  <c r="AQ307" i="260"/>
  <c r="BO307" i="260"/>
  <c r="R307" i="260"/>
  <c r="AT307" i="260"/>
  <c r="BK307" i="260"/>
  <c r="AZ307" i="260"/>
  <c r="AH307" i="260"/>
  <c r="J307" i="260"/>
  <c r="V307" i="260"/>
  <c r="N307" i="260"/>
  <c r="BG307" i="260"/>
  <c r="AN307" i="260"/>
  <c r="BD307" i="260"/>
  <c r="Z307" i="260"/>
  <c r="AD307" i="260"/>
  <c r="G307" i="260"/>
  <c r="AZ351" i="260"/>
  <c r="AT351" i="260"/>
  <c r="G351" i="260"/>
  <c r="BD351" i="260"/>
  <c r="J351" i="260"/>
  <c r="BO351" i="260"/>
  <c r="BG351" i="260"/>
  <c r="BK351" i="260"/>
  <c r="V351" i="260"/>
  <c r="Z351" i="260"/>
  <c r="N351" i="260"/>
  <c r="R351" i="260"/>
  <c r="AD351" i="260"/>
  <c r="AQ351" i="260"/>
  <c r="AH351" i="260"/>
  <c r="AN351" i="260"/>
  <c r="V311" i="260"/>
  <c r="AT311" i="260"/>
  <c r="J311" i="260"/>
  <c r="AN311" i="260"/>
  <c r="G311" i="260"/>
  <c r="R311" i="260"/>
  <c r="BD311" i="260"/>
  <c r="AZ311" i="260"/>
  <c r="AQ311" i="260"/>
  <c r="AH311" i="260"/>
  <c r="BK311" i="260"/>
  <c r="AD311" i="260"/>
  <c r="BO311" i="260"/>
  <c r="BG311" i="260"/>
  <c r="Z311" i="260"/>
  <c r="N311" i="260"/>
  <c r="C337" i="260"/>
  <c r="C331" i="260"/>
  <c r="C346" i="260"/>
  <c r="C364" i="260"/>
  <c r="C373" i="260"/>
  <c r="C372" i="260"/>
  <c r="C375" i="260"/>
  <c r="C366" i="260"/>
  <c r="C360" i="260"/>
  <c r="C365" i="260"/>
  <c r="C363" i="260"/>
  <c r="C378" i="260"/>
  <c r="C355" i="260"/>
  <c r="C368" i="260"/>
  <c r="C377" i="260"/>
  <c r="C358" i="260"/>
  <c r="C370" i="260"/>
  <c r="C359" i="260"/>
  <c r="C369" i="260"/>
  <c r="C367" i="260"/>
  <c r="C374" i="260"/>
  <c r="C332" i="260"/>
  <c r="C376" i="260"/>
  <c r="C336" i="260"/>
  <c r="W17" i="253"/>
  <c r="W25" i="253"/>
  <c r="U37" i="251"/>
  <c r="BO355" i="260" a="1"/>
  <c r="BG332" i="260" a="1"/>
  <c r="AN374" i="260" a="1"/>
  <c r="J373" i="260" a="1"/>
  <c r="R364" i="260" a="1"/>
  <c r="V346" i="260" a="1"/>
  <c r="BG374" i="260" a="1"/>
  <c r="BK331" i="260" a="1"/>
  <c r="AN355" i="260" a="1"/>
  <c r="V364" i="260" a="1"/>
  <c r="J372" i="260" a="1"/>
  <c r="AQ375" i="260" a="1"/>
  <c r="U9" i="251" a="1"/>
  <c r="AH373" i="260" a="1"/>
  <c r="N374" i="260" a="1"/>
  <c r="BK363" i="260" a="1"/>
  <c r="J375" i="260" a="1"/>
  <c r="AN373" i="260" a="1"/>
  <c r="Z378" i="260" a="1"/>
  <c r="R369" i="260" a="1"/>
  <c r="N375" i="260" a="1"/>
  <c r="AD346" i="260" a="1"/>
  <c r="AQ377" i="260" a="1"/>
  <c r="J358" i="260" a="1"/>
  <c r="BG360" i="260" a="1"/>
  <c r="V370" i="260" a="1"/>
  <c r="BK336" i="260" a="1"/>
  <c r="AH367" i="260" a="1"/>
  <c r="BG346" i="260" a="1"/>
  <c r="J355" i="260" a="1"/>
  <c r="AD366" i="260" a="1"/>
  <c r="V358" i="260" a="1"/>
  <c r="V337" i="260" a="1"/>
  <c r="AT377" i="260" a="1"/>
  <c r="BK370" i="260" a="1"/>
  <c r="N369" i="260" a="1"/>
  <c r="AZ378" i="260" a="1"/>
  <c r="Z365" i="260" a="1"/>
  <c r="G370" i="260" a="1"/>
  <c r="AD331" i="260" a="1"/>
  <c r="BD366" i="260" a="1"/>
  <c r="AZ375" i="260" a="1"/>
  <c r="R372" i="260" a="1"/>
  <c r="BK360" i="260" a="1"/>
  <c r="V355" i="260" a="1"/>
  <c r="AZ346" i="260" a="1"/>
  <c r="N332" i="260" a="1"/>
  <c r="BO373" i="260" a="1"/>
  <c r="BG355" i="260" a="1"/>
  <c r="BO363" i="260" a="1"/>
  <c r="AZ369" i="260" a="1"/>
  <c r="AD364" i="260" a="1"/>
  <c r="G375" i="260" a="1"/>
  <c r="AT363" i="260" a="1"/>
  <c r="G360" i="260" a="1"/>
  <c r="R337" i="260" a="1"/>
  <c r="Z367" i="260" a="1"/>
  <c r="R374" i="260" a="1"/>
  <c r="G332" i="260" a="1"/>
  <c r="BG375" i="260" a="1"/>
  <c r="AQ370" i="260" a="1"/>
  <c r="AQ367" i="260" a="1"/>
  <c r="J337" i="260" a="1"/>
  <c r="AD376" i="260" a="1"/>
  <c r="AH346" i="260" a="1"/>
  <c r="BO358" i="260" a="1"/>
  <c r="AQ363" i="260" a="1"/>
  <c r="N337" i="260" a="1"/>
  <c r="AD337" i="260" a="1"/>
  <c r="G346" i="260" a="1"/>
  <c r="G367" i="260" a="1"/>
  <c r="AH332" i="260" a="1"/>
  <c r="BO378" i="260" a="1"/>
  <c r="AH370" i="260" a="1"/>
  <c r="J331" i="260" a="1"/>
  <c r="BK367" i="260" a="1"/>
  <c r="AN364" i="260" a="1"/>
  <c r="AD332" i="260" a="1"/>
  <c r="BD377" i="260" a="1"/>
  <c r="AZ358" i="260" a="1"/>
  <c r="J367" i="260" a="1"/>
  <c r="V360" i="260" a="1"/>
  <c r="AQ355" i="260" a="1"/>
  <c r="Z370" i="260" a="1"/>
  <c r="R363" i="260" a="1"/>
  <c r="BD378" i="260" a="1"/>
  <c r="AQ337" i="260" a="1"/>
  <c r="BG372" i="260" a="1"/>
  <c r="BO374" i="260" a="1"/>
  <c r="U28" i="251" a="1"/>
  <c r="R336" i="260" a="1"/>
  <c r="V374" i="260" a="1"/>
  <c r="R375" i="260" a="1"/>
  <c r="AD363" i="260" a="1"/>
  <c r="BK373" i="260" a="1"/>
  <c r="AN376" i="260" a="1"/>
  <c r="AH363" i="260" a="1"/>
  <c r="AN368" i="260" a="1"/>
  <c r="G337" i="260" a="1"/>
  <c r="N367" i="260" a="1"/>
  <c r="AT337" i="260" a="1"/>
  <c r="AT375" i="260" a="1"/>
  <c r="R359" i="260" a="1"/>
  <c r="AT368" i="260" a="1"/>
  <c r="BG365" i="260" a="1"/>
  <c r="G376" i="260" a="1"/>
  <c r="N331" i="260" a="1"/>
  <c r="R373" i="260" a="1"/>
  <c r="AH365" i="260" a="1"/>
  <c r="N359" i="260" a="1"/>
  <c r="J359" i="260" a="1"/>
  <c r="R346" i="260" a="1"/>
  <c r="AQ331" i="260" a="1"/>
  <c r="AT376" i="260" a="1"/>
  <c r="BD369" i="260" a="1"/>
  <c r="R331" i="260" a="1"/>
  <c r="R358" i="260" a="1"/>
  <c r="V375" i="260" a="1"/>
  <c r="G359" i="260" a="1"/>
  <c r="V365" i="260" a="1"/>
  <c r="AZ337" i="260" a="1"/>
  <c r="BO377" i="260" a="1"/>
  <c r="J332" i="260" a="1"/>
  <c r="AT359" i="260" a="1"/>
  <c r="N372" i="260" a="1"/>
  <c r="Z336" i="260" a="1"/>
  <c r="J365" i="260" a="1"/>
  <c r="AN337" i="260" a="1"/>
  <c r="AN372" i="260" a="1"/>
  <c r="N376" i="260" a="1"/>
  <c r="V367" i="260" a="1"/>
  <c r="AT366" i="260" a="1"/>
  <c r="J363" i="260" a="1"/>
  <c r="BO360" i="260" a="1"/>
  <c r="AH376" i="260" a="1"/>
  <c r="Z368" i="260" a="1"/>
  <c r="J360" i="260" a="1"/>
  <c r="J370" i="260" a="1"/>
  <c r="AQ369" i="260" a="1"/>
  <c r="AT370" i="260" a="1"/>
  <c r="BG366" i="260" a="1"/>
  <c r="AQ336" i="260" a="1"/>
  <c r="AN346" i="260" a="1"/>
  <c r="J368" i="260" a="1"/>
  <c r="AH369" i="260" a="1"/>
  <c r="G336" i="260" a="1"/>
  <c r="AD375" i="260" a="1"/>
  <c r="Z375" i="260" a="1"/>
  <c r="V373" i="260" a="1"/>
  <c r="AD336" i="260" a="1"/>
  <c r="AZ359" i="260" a="1"/>
  <c r="AH377" i="260" a="1"/>
  <c r="N360" i="260" a="1"/>
  <c r="AD369" i="260" a="1"/>
  <c r="G365" i="260" a="1"/>
  <c r="BO337" i="260" a="1"/>
  <c r="BG331" i="260" a="1"/>
  <c r="BK366" i="260" a="1"/>
  <c r="AQ358" i="260" a="1"/>
  <c r="BO359" i="260" a="1"/>
  <c r="BK358" i="260" a="1"/>
  <c r="AZ336" i="260" a="1"/>
  <c r="AT374" i="260" a="1"/>
  <c r="BD374" i="260" a="1"/>
  <c r="AZ372" i="260" a="1"/>
  <c r="BG377" i="260" a="1"/>
  <c r="BD337" i="260" a="1"/>
  <c r="N358" i="260" a="1"/>
  <c r="AQ374" i="260" a="1"/>
  <c r="AD373" i="260" a="1"/>
  <c r="BD358" i="260" a="1"/>
  <c r="J336" i="260" a="1"/>
  <c r="AN370" i="260" a="1"/>
  <c r="BD336" i="260" a="1"/>
  <c r="Z376" i="260" a="1"/>
  <c r="J369" i="260" a="1"/>
  <c r="BD364" i="260" a="1"/>
  <c r="AQ332" i="260" a="1"/>
  <c r="J374" i="260" a="1"/>
  <c r="BG369" i="260" a="1"/>
  <c r="AH372" i="260" a="1"/>
  <c r="AD359" i="260" a="1"/>
  <c r="AT367" i="260" a="1"/>
  <c r="BG376" i="260" a="1"/>
  <c r="V368" i="260" a="1"/>
  <c r="AN331" i="260" a="1"/>
  <c r="AN375" i="260" a="1"/>
  <c r="AD360" i="260" a="1"/>
  <c r="AD378" i="260" a="1"/>
  <c r="AQ372" i="260" a="1"/>
  <c r="Z369" i="260" a="1"/>
  <c r="AQ366" i="260" a="1"/>
  <c r="R360" i="260" a="1"/>
  <c r="AT336" i="260" a="1"/>
  <c r="BD363" i="260" a="1"/>
  <c r="AZ377" i="260" a="1"/>
  <c r="V359" i="260" a="1"/>
  <c r="BG363" i="260" a="1"/>
  <c r="BO375" i="260" a="1"/>
  <c r="R332" i="260" a="1"/>
  <c r="Z355" i="260" a="1"/>
  <c r="AN378" i="260" a="1"/>
  <c r="N378" i="260" a="1"/>
  <c r="BD368" i="260" a="1"/>
  <c r="V336" i="260" a="1"/>
  <c r="AZ364" i="260" a="1"/>
  <c r="BK359" i="260" a="1"/>
  <c r="BK337" i="260" a="1"/>
  <c r="BG359" i="260" a="1"/>
  <c r="N363" i="260" a="1"/>
  <c r="BD376" i="260" a="1"/>
  <c r="V331" i="260" a="1"/>
  <c r="U20" i="251" a="1"/>
  <c r="BK375" i="260" a="1"/>
  <c r="AD355" i="260" a="1"/>
  <c r="AT360" i="260" a="1"/>
  <c r="AT355" i="260" a="1"/>
  <c r="BG336" i="260" a="1"/>
  <c r="N368" i="260" a="1"/>
  <c r="BK346" i="260" a="1"/>
  <c r="V376" i="260" a="1"/>
  <c r="AN369" i="260" a="1"/>
  <c r="BO368" i="260" a="1"/>
  <c r="J377" i="260" a="1"/>
  <c r="AT373" i="260" a="1"/>
  <c r="W40" i="253" a="1"/>
  <c r="AQ376" i="260" a="1"/>
  <c r="R378" i="260" a="1"/>
  <c r="N336" i="260" a="1"/>
  <c r="AH337" i="260" a="1"/>
  <c r="R355" i="260" a="1"/>
  <c r="R370" i="260" a="1"/>
  <c r="AZ332" i="260" a="1"/>
  <c r="AN336" i="260" a="1"/>
  <c r="AZ366" i="260" a="1"/>
  <c r="N373" i="260" a="1"/>
  <c r="BG368" i="260" a="1"/>
  <c r="BO365" i="260" a="1"/>
  <c r="AQ378" i="260" a="1"/>
  <c r="AQ360" i="260" a="1"/>
  <c r="V377" i="260" a="1"/>
  <c r="Z364" i="260" a="1"/>
  <c r="BK365" i="260" a="1"/>
  <c r="BK369" i="260" a="1"/>
  <c r="Z373" i="260" a="1"/>
  <c r="AQ373" i="260" a="1"/>
  <c r="BK374" i="260" a="1"/>
  <c r="AH359" i="260" a="1"/>
  <c r="V369" i="260" a="1"/>
  <c r="BO366" i="260" a="1"/>
  <c r="BK355" i="260" a="1"/>
  <c r="J378" i="260" a="1"/>
  <c r="AQ346" i="260" a="1"/>
  <c r="Z377" i="260" a="1"/>
  <c r="AZ368" i="260" a="1"/>
  <c r="BD370" i="260" a="1"/>
  <c r="BO346" i="260" a="1"/>
  <c r="V332" i="260" a="1"/>
  <c r="AQ368" i="260" a="1"/>
  <c r="R377" i="260" a="1"/>
  <c r="AT364" i="260" a="1"/>
  <c r="BK368" i="260" a="1"/>
  <c r="AH364" i="260" a="1"/>
  <c r="N370" i="260" a="1"/>
  <c r="G363" i="260" a="1"/>
  <c r="AT369" i="260" a="1"/>
  <c r="G331" i="260" a="1"/>
  <c r="BG358" i="260" a="1"/>
  <c r="V366" i="260" a="1"/>
  <c r="N355" i="260" a="1"/>
  <c r="R367" i="260" a="1"/>
  <c r="AH358" i="260" a="1"/>
  <c r="BD331" i="260" a="1"/>
  <c r="AZ367" i="260" a="1"/>
  <c r="BK376" i="260" a="1"/>
  <c r="J366" i="260" a="1"/>
  <c r="N365" i="260" a="1"/>
  <c r="AD365" i="260" a="1"/>
  <c r="BO376" i="260" a="1"/>
  <c r="BD372" i="260" a="1"/>
  <c r="AT365" i="260" a="1"/>
  <c r="AZ331" i="260" a="1"/>
  <c r="AD377" i="260" a="1"/>
  <c r="AH355" i="260" a="1"/>
  <c r="AZ370" i="260" a="1"/>
  <c r="G374" i="260" a="1"/>
  <c r="J364" i="260" a="1"/>
  <c r="BO331" i="260" a="1"/>
  <c r="AZ374" i="260" a="1"/>
  <c r="V372" i="260" a="1"/>
  <c r="R376" i="260" a="1"/>
  <c r="AH366" i="260" a="1"/>
  <c r="G355" i="260" a="1"/>
  <c r="AN365" i="260" a="1"/>
  <c r="BK372" i="260" a="1"/>
  <c r="BO332" i="260" a="1"/>
  <c r="BO336" i="260" a="1"/>
  <c r="G377" i="260" a="1"/>
  <c r="G369" i="260" a="1"/>
  <c r="G372" i="260" a="1"/>
  <c r="G358" i="260" a="1"/>
  <c r="G366" i="260" a="1"/>
  <c r="Z374" i="260" a="1"/>
  <c r="BK377" i="260" a="1"/>
  <c r="Z332" i="260" a="1"/>
  <c r="N377" i="260" a="1"/>
  <c r="AT378" i="260" a="1"/>
  <c r="AD370" i="260" a="1"/>
  <c r="BD375" i="260" a="1"/>
  <c r="AH375" i="260" a="1"/>
  <c r="AN367" i="260" a="1"/>
  <c r="AN377" i="260" a="1"/>
  <c r="AQ359" i="260" a="1"/>
  <c r="BO372" i="260" a="1"/>
  <c r="AH378" i="260" a="1"/>
  <c r="Z346" i="260" a="1"/>
  <c r="G368" i="260" a="1"/>
  <c r="AZ376" i="260" a="1"/>
  <c r="AT372" i="260" a="1"/>
  <c r="AH360" i="260" a="1"/>
  <c r="AD374" i="260" a="1"/>
  <c r="BD367" i="260" a="1"/>
  <c r="BG378" i="260" a="1"/>
  <c r="AN363" i="260" a="1"/>
  <c r="G364" i="260" a="1"/>
  <c r="Z337" i="260" a="1"/>
  <c r="Z372" i="260" a="1"/>
  <c r="R366" i="260" a="1"/>
  <c r="BD332" i="260" a="1"/>
  <c r="AT331" i="260" a="1"/>
  <c r="R365" i="260" a="1"/>
  <c r="AN332" i="260" a="1"/>
  <c r="BD365" i="260" a="1"/>
  <c r="AT346" i="260" a="1"/>
  <c r="N346" i="260" a="1"/>
  <c r="BD360" i="260" a="1"/>
  <c r="AZ365" i="260" a="1"/>
  <c r="AZ360" i="260" a="1"/>
  <c r="AD368" i="260" a="1"/>
  <c r="AD358" i="260" a="1"/>
  <c r="J376" i="260" a="1"/>
  <c r="Z359" i="260" a="1"/>
  <c r="BD373" i="260" a="1"/>
  <c r="V363" i="260" a="1"/>
  <c r="Z331" i="260" a="1"/>
  <c r="G373" i="260" a="1"/>
  <c r="AD372" i="260" a="1"/>
  <c r="BG337" i="260" a="1"/>
  <c r="AH331" i="260" a="1"/>
  <c r="BD355" i="260" a="1"/>
  <c r="AN360" i="260" a="1"/>
  <c r="R368" i="260" a="1"/>
  <c r="N364" i="260" a="1"/>
  <c r="BD346" i="260" a="1"/>
  <c r="BO369" i="260" a="1"/>
  <c r="U31" i="251" a="1"/>
  <c r="BG364" i="260" a="1"/>
  <c r="BG373" i="260" a="1"/>
  <c r="BG367" i="260" a="1"/>
  <c r="BO364" i="260" a="1"/>
  <c r="BK378" i="260" a="1"/>
  <c r="Z366" i="260" a="1"/>
  <c r="BO370" i="260" a="1"/>
  <c r="AD367" i="260" a="1"/>
  <c r="AZ373" i="260" a="1"/>
  <c r="Z358" i="260" a="1"/>
  <c r="U21" i="251" a="1"/>
  <c r="BO367" i="260" a="1"/>
  <c r="V378" i="260" a="1"/>
  <c r="AH368" i="260" a="1"/>
  <c r="AT358" i="260" a="1"/>
  <c r="J346" i="260" a="1"/>
  <c r="Z363" i="260" a="1"/>
  <c r="BD359" i="260" a="1"/>
  <c r="BG370" i="260" a="1"/>
  <c r="AN366" i="260" a="1"/>
  <c r="G378" i="260" a="1"/>
  <c r="AQ365" i="260" a="1"/>
  <c r="AN358" i="260" a="1"/>
  <c r="AZ363" i="260" a="1"/>
  <c r="AZ355" i="260" a="1"/>
  <c r="AN359" i="260" a="1"/>
  <c r="AH336" i="260" a="1"/>
  <c r="BK332" i="260" a="1"/>
  <c r="N366" i="260" a="1"/>
  <c r="Z360" i="260" a="1"/>
  <c r="AT332" i="260" a="1"/>
  <c r="AH374" i="260" a="1"/>
  <c r="AQ364" i="260" a="1"/>
  <c r="BK364" i="260" a="1"/>
  <c r="BD368" i="260" l="1"/>
  <c r="AQ368" i="260"/>
  <c r="AZ368" i="260"/>
  <c r="BG368" i="260"/>
  <c r="R368" i="260"/>
  <c r="N368" i="260"/>
  <c r="J368" i="260"/>
  <c r="G368" i="260"/>
  <c r="AH368" i="260"/>
  <c r="AN368" i="260"/>
  <c r="AT368" i="260"/>
  <c r="Z368" i="260"/>
  <c r="V368" i="260"/>
  <c r="AD368" i="260"/>
  <c r="BK368" i="260"/>
  <c r="BO368" i="260"/>
  <c r="Z355" i="260"/>
  <c r="BK355" i="260"/>
  <c r="AD355" i="260"/>
  <c r="N355" i="260"/>
  <c r="BD355" i="260"/>
  <c r="V355" i="260"/>
  <c r="AN355" i="260"/>
  <c r="AT355" i="260"/>
  <c r="AZ355" i="260"/>
  <c r="AH355" i="260"/>
  <c r="BO355" i="260"/>
  <c r="BG355" i="260"/>
  <c r="G355" i="260"/>
  <c r="AQ355" i="260"/>
  <c r="R355" i="260"/>
  <c r="J355" i="260"/>
  <c r="AT363" i="260"/>
  <c r="AN363" i="260"/>
  <c r="J363" i="260"/>
  <c r="BD363" i="260"/>
  <c r="AH363" i="260"/>
  <c r="R363" i="260"/>
  <c r="Z363" i="260"/>
  <c r="AZ363" i="260"/>
  <c r="G363" i="260"/>
  <c r="BK363" i="260"/>
  <c r="BO363" i="260"/>
  <c r="V363" i="260"/>
  <c r="BG363" i="260"/>
  <c r="AD363" i="260"/>
  <c r="AQ363" i="260"/>
  <c r="N363" i="260"/>
  <c r="AH365" i="260"/>
  <c r="BG365" i="260"/>
  <c r="BD365" i="260"/>
  <c r="J365" i="260"/>
  <c r="G365" i="260"/>
  <c r="AT365" i="260"/>
  <c r="V365" i="260"/>
  <c r="AD365" i="260"/>
  <c r="AN365" i="260"/>
  <c r="BK365" i="260"/>
  <c r="AZ365" i="260"/>
  <c r="R365" i="260"/>
  <c r="AQ365" i="260"/>
  <c r="N365" i="260"/>
  <c r="Z365" i="260"/>
  <c r="BO365" i="260"/>
  <c r="AT360" i="260"/>
  <c r="N360" i="260"/>
  <c r="BK360" i="260"/>
  <c r="Z360" i="260"/>
  <c r="BD360" i="260"/>
  <c r="AZ360" i="260"/>
  <c r="BG360" i="260"/>
  <c r="V360" i="260"/>
  <c r="AD360" i="260"/>
  <c r="AH360" i="260"/>
  <c r="R360" i="260"/>
  <c r="J360" i="260"/>
  <c r="BO360" i="260"/>
  <c r="G360" i="260"/>
  <c r="AN360" i="260"/>
  <c r="AQ360" i="260"/>
  <c r="Z366" i="260"/>
  <c r="BG366" i="260"/>
  <c r="AN366" i="260"/>
  <c r="AH366" i="260"/>
  <c r="BO366" i="260"/>
  <c r="BK366" i="260"/>
  <c r="AD366" i="260"/>
  <c r="AT366" i="260"/>
  <c r="AZ366" i="260"/>
  <c r="G366" i="260"/>
  <c r="BD366" i="260"/>
  <c r="R366" i="260"/>
  <c r="V366" i="260"/>
  <c r="N366" i="260"/>
  <c r="J366" i="260"/>
  <c r="AQ366" i="260"/>
  <c r="AH375" i="260"/>
  <c r="AN375" i="260"/>
  <c r="N375" i="260"/>
  <c r="AQ375" i="260"/>
  <c r="AZ375" i="260"/>
  <c r="J375" i="260"/>
  <c r="BG375" i="260"/>
  <c r="Z375" i="260"/>
  <c r="AT375" i="260"/>
  <c r="G375" i="260"/>
  <c r="BO375" i="260"/>
  <c r="BK375" i="260"/>
  <c r="R375" i="260"/>
  <c r="BD375" i="260"/>
  <c r="AD375" i="260"/>
  <c r="V375" i="260"/>
  <c r="N372" i="260"/>
  <c r="BG372" i="260"/>
  <c r="R372" i="260"/>
  <c r="AN372" i="260"/>
  <c r="AT372" i="260"/>
  <c r="BD372" i="260"/>
  <c r="J372" i="260"/>
  <c r="BO372" i="260"/>
  <c r="Z372" i="260"/>
  <c r="G372" i="260"/>
  <c r="BK372" i="260"/>
  <c r="AQ372" i="260"/>
  <c r="AD372" i="260"/>
  <c r="V372" i="260"/>
  <c r="AZ372" i="260"/>
  <c r="AH372" i="260"/>
  <c r="N373" i="260"/>
  <c r="AZ373" i="260"/>
  <c r="AT373" i="260"/>
  <c r="AH373" i="260"/>
  <c r="G373" i="260"/>
  <c r="AQ373" i="260"/>
  <c r="BD373" i="260"/>
  <c r="AN373" i="260"/>
  <c r="V373" i="260"/>
  <c r="AD373" i="260"/>
  <c r="Z373" i="260"/>
  <c r="BK373" i="260"/>
  <c r="BO373" i="260"/>
  <c r="BG373" i="260"/>
  <c r="J373" i="260"/>
  <c r="R373" i="260"/>
  <c r="AN336" i="260"/>
  <c r="AZ336" i="260"/>
  <c r="N336" i="260"/>
  <c r="J336" i="260"/>
  <c r="AQ336" i="260"/>
  <c r="BD336" i="260"/>
  <c r="AT336" i="260"/>
  <c r="G336" i="260"/>
  <c r="AD336" i="260"/>
  <c r="BG336" i="260"/>
  <c r="R336" i="260"/>
  <c r="AH336" i="260"/>
  <c r="V336" i="260"/>
  <c r="BK336" i="260"/>
  <c r="BO336" i="260"/>
  <c r="Z336" i="260"/>
  <c r="G364" i="260"/>
  <c r="N364" i="260"/>
  <c r="R364" i="260"/>
  <c r="AQ364" i="260"/>
  <c r="AZ364" i="260"/>
  <c r="V364" i="260"/>
  <c r="BG364" i="260"/>
  <c r="J364" i="260"/>
  <c r="BD364" i="260"/>
  <c r="AT364" i="260"/>
  <c r="BO364" i="260"/>
  <c r="Z364" i="260"/>
  <c r="AD364" i="260"/>
  <c r="AN364" i="260"/>
  <c r="BK364" i="260"/>
  <c r="AH364" i="260"/>
  <c r="N376" i="260"/>
  <c r="AH376" i="260"/>
  <c r="AD376" i="260"/>
  <c r="BD376" i="260"/>
  <c r="Z376" i="260"/>
  <c r="BG376" i="260"/>
  <c r="V376" i="260"/>
  <c r="AN376" i="260"/>
  <c r="G376" i="260"/>
  <c r="AT376" i="260"/>
  <c r="AZ376" i="260"/>
  <c r="BO376" i="260"/>
  <c r="J376" i="260"/>
  <c r="R376" i="260"/>
  <c r="BK376" i="260"/>
  <c r="AQ376" i="260"/>
  <c r="AQ346" i="260"/>
  <c r="AN346" i="260"/>
  <c r="AT346" i="260"/>
  <c r="BD346" i="260"/>
  <c r="R346" i="260"/>
  <c r="V346" i="260"/>
  <c r="BG346" i="260"/>
  <c r="BK346" i="260"/>
  <c r="BO346" i="260"/>
  <c r="G346" i="260"/>
  <c r="J346" i="260"/>
  <c r="AH346" i="260"/>
  <c r="Z346" i="260"/>
  <c r="N346" i="260"/>
  <c r="AD346" i="260"/>
  <c r="AZ346" i="260"/>
  <c r="AH332" i="260"/>
  <c r="AN332" i="260"/>
  <c r="AD332" i="260"/>
  <c r="AQ332" i="260"/>
  <c r="AZ332" i="260"/>
  <c r="BK332" i="260"/>
  <c r="V332" i="260"/>
  <c r="J332" i="260"/>
  <c r="BO332" i="260"/>
  <c r="R332" i="260"/>
  <c r="BD332" i="260"/>
  <c r="BG332" i="260"/>
  <c r="Z332" i="260"/>
  <c r="G332" i="260"/>
  <c r="N332" i="260"/>
  <c r="AT332" i="260"/>
  <c r="R331" i="260"/>
  <c r="BO331" i="260"/>
  <c r="AT331" i="260"/>
  <c r="AZ331" i="260"/>
  <c r="V331" i="260"/>
  <c r="BG331" i="260"/>
  <c r="BK331" i="260"/>
  <c r="Z331" i="260"/>
  <c r="J331" i="260"/>
  <c r="N331" i="260"/>
  <c r="BD331" i="260"/>
  <c r="G331" i="260"/>
  <c r="AH331" i="260"/>
  <c r="AD331" i="260"/>
  <c r="AN331" i="260"/>
  <c r="AQ331" i="260"/>
  <c r="AH337" i="260"/>
  <c r="BD337" i="260"/>
  <c r="BK337" i="260"/>
  <c r="R337" i="260"/>
  <c r="AD337" i="260"/>
  <c r="AQ337" i="260"/>
  <c r="J337" i="260"/>
  <c r="V337" i="260"/>
  <c r="AT337" i="260"/>
  <c r="Z337" i="260"/>
  <c r="BO337" i="260"/>
  <c r="AZ337" i="260"/>
  <c r="G337" i="260"/>
  <c r="BG337" i="260"/>
  <c r="N337" i="260"/>
  <c r="AN337" i="260"/>
  <c r="BO369" i="260"/>
  <c r="BD369" i="260"/>
  <c r="AT369" i="260"/>
  <c r="AZ369" i="260"/>
  <c r="V369" i="260"/>
  <c r="J369" i="260"/>
  <c r="AD369" i="260"/>
  <c r="Z369" i="260"/>
  <c r="BK369" i="260"/>
  <c r="AN369" i="260"/>
  <c r="AQ369" i="260"/>
  <c r="N369" i="260"/>
  <c r="R369" i="260"/>
  <c r="AH369" i="260"/>
  <c r="G369" i="260"/>
  <c r="BG369" i="260"/>
  <c r="AZ358" i="260"/>
  <c r="BK358" i="260"/>
  <c r="Z358" i="260"/>
  <c r="R358" i="260"/>
  <c r="BG358" i="260"/>
  <c r="V358" i="260"/>
  <c r="AT358" i="260"/>
  <c r="BD358" i="260"/>
  <c r="BO358" i="260"/>
  <c r="J358" i="260"/>
  <c r="N358" i="260"/>
  <c r="AQ358" i="260"/>
  <c r="AN358" i="260"/>
  <c r="AH358" i="260"/>
  <c r="AD358" i="260"/>
  <c r="G358" i="260"/>
  <c r="Z377" i="260"/>
  <c r="BG377" i="260"/>
  <c r="AN377" i="260"/>
  <c r="BK377" i="260"/>
  <c r="AT377" i="260"/>
  <c r="V377" i="260"/>
  <c r="R377" i="260"/>
  <c r="BO377" i="260"/>
  <c r="AZ377" i="260"/>
  <c r="AH377" i="260"/>
  <c r="BD377" i="260"/>
  <c r="AD377" i="260"/>
  <c r="G377" i="260"/>
  <c r="N377" i="260"/>
  <c r="J377" i="260"/>
  <c r="AQ377" i="260"/>
  <c r="V374" i="260"/>
  <c r="BK374" i="260"/>
  <c r="AD374" i="260"/>
  <c r="BD374" i="260"/>
  <c r="BO374" i="260"/>
  <c r="AN374" i="260"/>
  <c r="Z374" i="260"/>
  <c r="AT374" i="260"/>
  <c r="AZ374" i="260"/>
  <c r="AH374" i="260"/>
  <c r="N374" i="260"/>
  <c r="AQ374" i="260"/>
  <c r="G374" i="260"/>
  <c r="R374" i="260"/>
  <c r="J374" i="260"/>
  <c r="BG374" i="260"/>
  <c r="AH378" i="260"/>
  <c r="Z378" i="260"/>
  <c r="AT378" i="260"/>
  <c r="BG378" i="260"/>
  <c r="J378" i="260"/>
  <c r="AD378" i="260"/>
  <c r="AN378" i="260"/>
  <c r="AZ378" i="260"/>
  <c r="BK378" i="260"/>
  <c r="G378" i="260"/>
  <c r="BO378" i="260"/>
  <c r="AQ378" i="260"/>
  <c r="V378" i="260"/>
  <c r="BD378" i="260"/>
  <c r="R378" i="260"/>
  <c r="N378" i="260"/>
  <c r="AH367" i="260"/>
  <c r="AT367" i="260"/>
  <c r="AN367" i="260"/>
  <c r="J367" i="260"/>
  <c r="BK367" i="260"/>
  <c r="G367" i="260"/>
  <c r="BG367" i="260"/>
  <c r="BO367" i="260"/>
  <c r="AZ367" i="260"/>
  <c r="AD367" i="260"/>
  <c r="V367" i="260"/>
  <c r="BD367" i="260"/>
  <c r="N367" i="260"/>
  <c r="AQ367" i="260"/>
  <c r="Z367" i="260"/>
  <c r="R367" i="260"/>
  <c r="J359" i="260"/>
  <c r="BD359" i="260"/>
  <c r="N359" i="260"/>
  <c r="AD359" i="260"/>
  <c r="BG359" i="260"/>
  <c r="AN359" i="260"/>
  <c r="BO359" i="260"/>
  <c r="Z359" i="260"/>
  <c r="BK359" i="260"/>
  <c r="V359" i="260"/>
  <c r="AH359" i="260"/>
  <c r="G359" i="260"/>
  <c r="AZ359" i="260"/>
  <c r="R359" i="260"/>
  <c r="AT359" i="260"/>
  <c r="AQ359" i="260"/>
  <c r="Z370" i="260"/>
  <c r="BG370" i="260"/>
  <c r="BO370" i="260"/>
  <c r="AN370" i="260"/>
  <c r="BK370" i="260"/>
  <c r="AD370" i="260"/>
  <c r="AH370" i="260"/>
  <c r="AT370" i="260"/>
  <c r="AZ370" i="260"/>
  <c r="BD370" i="260"/>
  <c r="G370" i="260"/>
  <c r="V370" i="260"/>
  <c r="J370" i="260"/>
  <c r="AQ370" i="260"/>
  <c r="R370" i="260"/>
  <c r="N370" i="260"/>
  <c r="C393" i="260"/>
  <c r="C380" i="260"/>
  <c r="C388" i="260"/>
  <c r="C390" i="260"/>
  <c r="C385" i="260"/>
  <c r="C391" i="260"/>
  <c r="C400" i="260"/>
  <c r="C397" i="260"/>
  <c r="C398" i="260"/>
  <c r="C361" i="260"/>
  <c r="C389" i="260"/>
  <c r="C401" i="260"/>
  <c r="C371" i="260"/>
  <c r="C357" i="260"/>
  <c r="C356" i="260"/>
  <c r="C362" i="260"/>
  <c r="C394" i="260"/>
  <c r="C383" i="260"/>
  <c r="C402" i="260"/>
  <c r="C399" i="260"/>
  <c r="C403" i="260"/>
  <c r="C392" i="260"/>
  <c r="C384" i="260"/>
  <c r="C395" i="260"/>
  <c r="W40" i="253"/>
  <c r="U28" i="251"/>
  <c r="U21" i="251"/>
  <c r="U9" i="251"/>
  <c r="U31" i="251"/>
  <c r="U20" i="251"/>
  <c r="R385" i="260" a="1"/>
  <c r="AT394" i="260" a="1"/>
  <c r="AZ362" i="260" a="1"/>
  <c r="AT400" i="260" a="1"/>
  <c r="AD390" i="260" a="1"/>
  <c r="Z395" i="260" a="1"/>
  <c r="V403" i="260" a="1"/>
  <c r="R394" i="260" a="1"/>
  <c r="AH388" i="260" a="1"/>
  <c r="AT390" i="260" a="1"/>
  <c r="V391" i="260" a="1"/>
  <c r="J356" i="260" a="1"/>
  <c r="AD361" i="260" a="1"/>
  <c r="BG389" i="260" a="1"/>
  <c r="V395" i="260" a="1"/>
  <c r="R399" i="260" a="1"/>
  <c r="V361" i="260" a="1"/>
  <c r="Z388" i="260" a="1"/>
  <c r="AZ398" i="260" a="1"/>
  <c r="BD402" i="260" a="1"/>
  <c r="AZ361" i="260" a="1"/>
  <c r="AH361" i="260" a="1"/>
  <c r="AN390" i="260" a="1"/>
  <c r="AD389" i="260" a="1"/>
  <c r="V400" i="260" a="1"/>
  <c r="N391" i="260" a="1"/>
  <c r="AT380" i="260" a="1"/>
  <c r="BG402" i="260" a="1"/>
  <c r="AN397" i="260" a="1"/>
  <c r="BD361" i="260" a="1"/>
  <c r="AH384" i="260" a="1"/>
  <c r="BD388" i="260" a="1"/>
  <c r="AQ380" i="260" a="1"/>
  <c r="AH362" i="260" a="1"/>
  <c r="BD362" i="260" a="1"/>
  <c r="G403" i="260" a="1"/>
  <c r="BG399" i="260" a="1"/>
  <c r="BG392" i="260" a="1"/>
  <c r="G402" i="260" a="1"/>
  <c r="N394" i="260" a="1"/>
  <c r="AZ388" i="260" a="1"/>
  <c r="AD397" i="260" a="1"/>
  <c r="AQ402" i="260" a="1"/>
  <c r="BD403" i="260" a="1"/>
  <c r="AQ395" i="260" a="1"/>
  <c r="AZ391" i="260" a="1"/>
  <c r="AZ403" i="260" a="1"/>
  <c r="Z397" i="260" a="1"/>
  <c r="AQ357" i="260" a="1"/>
  <c r="BK402" i="260" a="1"/>
  <c r="N371" i="260" a="1"/>
  <c r="G395" i="260" a="1"/>
  <c r="BK394" i="260" a="1"/>
  <c r="AN399" i="260" a="1"/>
  <c r="AQ393" i="260" a="1"/>
  <c r="AH371" i="260" a="1"/>
  <c r="BG394" i="260" a="1"/>
  <c r="AH401" i="260" a="1"/>
  <c r="R383" i="260" a="1"/>
  <c r="Z384" i="260" a="1"/>
  <c r="G394" i="260" a="1"/>
  <c r="BD357" i="260" a="1"/>
  <c r="G385" i="260" a="1"/>
  <c r="V385" i="260" a="1"/>
  <c r="R362" i="260" a="1"/>
  <c r="N402" i="260" a="1"/>
  <c r="AT371" i="260" a="1"/>
  <c r="AQ389" i="260" a="1"/>
  <c r="BD393" i="260" a="1"/>
  <c r="V392" i="260" a="1"/>
  <c r="AZ385" i="260" a="1"/>
  <c r="BK389" i="260" a="1"/>
  <c r="Z400" i="260" a="1"/>
  <c r="AN398" i="260" a="1"/>
  <c r="BG357" i="260" a="1"/>
  <c r="BO371" i="260" a="1"/>
  <c r="G400" i="260" a="1"/>
  <c r="BD394" i="260" a="1"/>
  <c r="BD391" i="260" a="1"/>
  <c r="J384" i="260" a="1"/>
  <c r="AD362" i="260" a="1"/>
  <c r="R356" i="260" a="1"/>
  <c r="AT361" i="260" a="1"/>
  <c r="BG362" i="260" a="1"/>
  <c r="G389" i="260" a="1"/>
  <c r="AD392" i="260" a="1"/>
  <c r="N384" i="260" a="1"/>
  <c r="AH393" i="260" a="1"/>
  <c r="AT389" i="260" a="1"/>
  <c r="BG391" i="260" a="1"/>
  <c r="AQ361" i="260" a="1"/>
  <c r="R384" i="260" a="1"/>
  <c r="BK393" i="260" a="1"/>
  <c r="BD392" i="260" a="1"/>
  <c r="J371" i="260" a="1"/>
  <c r="BD384" i="260" a="1"/>
  <c r="AT383" i="260" a="1"/>
  <c r="AZ371" i="260" a="1"/>
  <c r="BK403" i="260" a="1"/>
  <c r="N380" i="260" a="1"/>
  <c r="BO356" i="260" a="1"/>
  <c r="AN393" i="260" a="1"/>
  <c r="AD400" i="260" a="1"/>
  <c r="AT398" i="260" a="1"/>
  <c r="AZ393" i="260" a="1"/>
  <c r="AZ384" i="260" a="1"/>
  <c r="AQ394" i="260" a="1"/>
  <c r="AH380" i="260" a="1"/>
  <c r="BD383" i="260" a="1"/>
  <c r="AH383" i="260" a="1"/>
  <c r="AN403" i="260" a="1"/>
  <c r="G398" i="260" a="1"/>
  <c r="R390" i="260" a="1"/>
  <c r="J392" i="260" a="1"/>
  <c r="Z357" i="260" a="1"/>
  <c r="N385" i="260" a="1"/>
  <c r="AN388" i="260" a="1"/>
  <c r="AD385" i="260" a="1"/>
  <c r="R397" i="260" a="1"/>
  <c r="Z383" i="260" a="1"/>
  <c r="N398" i="260" a="1"/>
  <c r="N403" i="260" a="1"/>
  <c r="J402" i="260" a="1"/>
  <c r="J394" i="260" a="1"/>
  <c r="N399" i="260" a="1"/>
  <c r="V357" i="260" a="1"/>
  <c r="Z393" i="260" a="1"/>
  <c r="AQ401" i="260" a="1"/>
  <c r="AD371" i="260" a="1"/>
  <c r="J385" i="260" a="1"/>
  <c r="R401" i="260" a="1"/>
  <c r="R391" i="260" a="1"/>
  <c r="AZ400" i="260" a="1"/>
  <c r="J395" i="260" a="1"/>
  <c r="AT402" i="260" a="1"/>
  <c r="BD385" i="260" a="1"/>
  <c r="AN402" i="260" a="1"/>
  <c r="BK383" i="260" a="1"/>
  <c r="AH357" i="260" a="1"/>
  <c r="AD395" i="260" a="1"/>
  <c r="BK380" i="260" a="1"/>
  <c r="BG400" i="260" a="1"/>
  <c r="V398" i="260" a="1"/>
  <c r="BG361" i="260" a="1"/>
  <c r="Z399" i="260" a="1"/>
  <c r="G390" i="260" a="1"/>
  <c r="AT392" i="260" a="1"/>
  <c r="AD388" i="260" a="1"/>
  <c r="AN383" i="260" a="1"/>
  <c r="BO361" i="260" a="1"/>
  <c r="G361" i="260" a="1"/>
  <c r="N389" i="260" a="1"/>
  <c r="J391" i="260" a="1"/>
  <c r="R389" i="260" a="1"/>
  <c r="Z401" i="260" a="1"/>
  <c r="BK398" i="260" a="1"/>
  <c r="V402" i="260" a="1"/>
  <c r="AD356" i="260" a="1"/>
  <c r="AN371" i="260" a="1"/>
  <c r="AN401" i="260" a="1"/>
  <c r="AH390" i="260" a="1"/>
  <c r="AZ390" i="260" a="1"/>
  <c r="BK371" i="260" a="1"/>
  <c r="AT393" i="260" a="1"/>
  <c r="AD402" i="260" a="1"/>
  <c r="BD380" i="260" a="1"/>
  <c r="BK400" i="260" a="1"/>
  <c r="J357" i="260" a="1"/>
  <c r="BD399" i="260" a="1"/>
  <c r="BK362" i="260" a="1"/>
  <c r="AN356" i="260" a="1"/>
  <c r="AZ397" i="260" a="1"/>
  <c r="AQ383" i="260" a="1"/>
  <c r="G393" i="260" a="1"/>
  <c r="BG403" i="260" a="1"/>
  <c r="BD371" i="260" a="1"/>
  <c r="AH403" i="260" a="1"/>
  <c r="AQ356" i="260" a="1"/>
  <c r="AD383" i="260" a="1"/>
  <c r="AQ398" i="260" a="1"/>
  <c r="AT399" i="260" a="1"/>
  <c r="BK392" i="260" a="1"/>
  <c r="AT403" i="260" a="1"/>
  <c r="V397" i="260" a="1"/>
  <c r="Z403" i="260" a="1"/>
  <c r="AH402" i="260" a="1"/>
  <c r="AN384" i="260" a="1"/>
  <c r="BG356" i="260" a="1"/>
  <c r="G357" i="260" a="1"/>
  <c r="N395" i="260" a="1"/>
  <c r="BG390" i="260" a="1"/>
  <c r="AZ357" i="260" a="1"/>
  <c r="N388" i="260" a="1"/>
  <c r="J380" i="260" a="1"/>
  <c r="N393" i="260" a="1"/>
  <c r="G384" i="260" a="1"/>
  <c r="AQ388" i="260" a="1"/>
  <c r="AN400" i="260" a="1"/>
  <c r="Z385" i="260" a="1"/>
  <c r="R392" i="260" a="1"/>
  <c r="AH397" i="260" a="1"/>
  <c r="R402" i="260" a="1"/>
  <c r="AD380" i="260" a="1"/>
  <c r="AT362" i="260" a="1"/>
  <c r="Z391" i="260" a="1"/>
  <c r="R393" i="260" a="1"/>
  <c r="G391" i="260" a="1"/>
  <c r="BD389" i="260" a="1"/>
  <c r="V393" i="260" a="1"/>
  <c r="BG385" i="260" a="1"/>
  <c r="J403" i="260" a="1"/>
  <c r="BG398" i="260" a="1"/>
  <c r="AQ362" i="260" a="1"/>
  <c r="AQ392" i="260" a="1"/>
  <c r="AH356" i="260" a="1"/>
  <c r="N356" i="260" a="1"/>
  <c r="AQ384" i="260" a="1"/>
  <c r="AZ392" i="260" a="1"/>
  <c r="R400" i="260" a="1"/>
  <c r="Z389" i="260" a="1"/>
  <c r="BK388" i="260" a="1"/>
  <c r="BD356" i="260" a="1"/>
  <c r="BD395" i="260" a="1"/>
  <c r="AT385" i="260" a="1"/>
  <c r="Z371" i="260" a="1"/>
  <c r="AN357" i="260" a="1"/>
  <c r="BD397" i="260" a="1"/>
  <c r="N400" i="260" a="1"/>
  <c r="AN362" i="260" a="1"/>
  <c r="V389" i="260" a="1"/>
  <c r="J390" i="260" a="1"/>
  <c r="R357" i="260" a="1"/>
  <c r="AH391" i="260" a="1"/>
  <c r="J397" i="260" a="1"/>
  <c r="V399" i="260" a="1"/>
  <c r="J400" i="260" a="1"/>
  <c r="BG380" i="260" a="1"/>
  <c r="AZ402" i="260" a="1"/>
  <c r="J399" i="260" a="1"/>
  <c r="G392" i="260" a="1"/>
  <c r="N362" i="260" a="1"/>
  <c r="AD384" i="260" a="1"/>
  <c r="AT397" i="260" a="1"/>
  <c r="BD401" i="260" a="1"/>
  <c r="J398" i="260" a="1"/>
  <c r="J362" i="260" a="1"/>
  <c r="AT357" i="260" a="1"/>
  <c r="AN394" i="260" a="1"/>
  <c r="AD391" i="260" a="1"/>
  <c r="AN395" i="260" a="1"/>
  <c r="AD399" i="260" a="1"/>
  <c r="J393" i="260" a="1"/>
  <c r="BK401" i="260" a="1"/>
  <c r="AD393" i="260" a="1"/>
  <c r="AN391" i="260" a="1"/>
  <c r="AN389" i="260" a="1"/>
  <c r="AQ399" i="260" a="1"/>
  <c r="R371" i="260" a="1"/>
  <c r="AN361" i="260" a="1"/>
  <c r="V362" i="260" a="1"/>
  <c r="G356" i="260" a="1"/>
  <c r="AD394" i="260" a="1"/>
  <c r="Z392" i="260" a="1"/>
  <c r="N397" i="260" a="1"/>
  <c r="AD403" i="260" a="1"/>
  <c r="AH398" i="260" a="1"/>
  <c r="AZ399" i="260" a="1"/>
  <c r="V383" i="260" a="1"/>
  <c r="BG383" i="260" a="1"/>
  <c r="V388" i="260" a="1"/>
  <c r="BK384" i="260" a="1"/>
  <c r="V401" i="260" a="1"/>
  <c r="AZ401" i="260" a="1"/>
  <c r="Z380" i="260" a="1"/>
  <c r="BG384" i="260" a="1"/>
  <c r="AT384" i="260" a="1"/>
  <c r="G388" i="260" a="1"/>
  <c r="BK357" i="260" a="1"/>
  <c r="J361" i="260" a="1"/>
  <c r="AQ390" i="260" a="1"/>
  <c r="BK356" i="260" a="1"/>
  <c r="G401" i="260" a="1"/>
  <c r="AD398" i="260" a="1"/>
  <c r="V384" i="260" a="1"/>
  <c r="BG388" i="260" a="1"/>
  <c r="BG401" i="260" a="1"/>
  <c r="AQ403" i="260" a="1"/>
  <c r="V390" i="260" a="1"/>
  <c r="BD398" i="260" a="1"/>
  <c r="R361" i="260" a="1"/>
  <c r="N390" i="260" a="1"/>
  <c r="V356" i="260" a="1"/>
  <c r="BK395" i="260" a="1"/>
  <c r="BG393" i="260" a="1"/>
  <c r="BK385" i="260" a="1"/>
  <c r="V371" i="260" a="1"/>
  <c r="G380" i="260" a="1"/>
  <c r="BK390" i="260" a="1"/>
  <c r="AH400" i="260" a="1"/>
  <c r="AZ383" i="260" a="1"/>
  <c r="BK399" i="260" a="1"/>
  <c r="R398" i="260" a="1"/>
  <c r="AZ356" i="260" a="1"/>
  <c r="G362" i="260" a="1"/>
  <c r="Z361" i="260" a="1"/>
  <c r="AT401" i="260" a="1"/>
  <c r="N401" i="260" a="1"/>
  <c r="AH392" i="260" a="1"/>
  <c r="AQ391" i="260" a="1"/>
  <c r="G371" i="260" a="1"/>
  <c r="BD390" i="260" a="1"/>
  <c r="BK361" i="260" a="1"/>
  <c r="Z362" i="260" a="1"/>
  <c r="AH389" i="260" a="1"/>
  <c r="AQ400" i="260" a="1"/>
  <c r="R403" i="260" a="1"/>
  <c r="AT395" i="260" a="1"/>
  <c r="AZ380" i="260" a="1"/>
  <c r="N392" i="260" a="1"/>
  <c r="Z402" i="260" a="1"/>
  <c r="R388" i="260" a="1"/>
  <c r="J401" i="260" a="1"/>
  <c r="R380" i="260" a="1"/>
  <c r="AZ395" i="260" a="1"/>
  <c r="BG371" i="260" a="1"/>
  <c r="AD401" i="260" a="1"/>
  <c r="BO357" i="260" a="1"/>
  <c r="AQ397" i="260" a="1"/>
  <c r="AT391" i="260" a="1"/>
  <c r="J388" i="260" a="1"/>
  <c r="AT356" i="260" a="1"/>
  <c r="AZ389" i="260" a="1"/>
  <c r="AH399" i="260" a="1"/>
  <c r="AZ394" i="260" a="1"/>
  <c r="AQ371" i="260" a="1"/>
  <c r="Z356" i="260" a="1"/>
  <c r="AN380" i="260" a="1"/>
  <c r="AH394" i="260" a="1"/>
  <c r="N361" i="260" a="1"/>
  <c r="BO362" i="260" a="1"/>
  <c r="J389" i="260" a="1"/>
  <c r="AH395" i="260" a="1"/>
  <c r="J383" i="260" a="1"/>
  <c r="G399" i="260" a="1"/>
  <c r="G383" i="260" a="1"/>
  <c r="AD357" i="260" a="1"/>
  <c r="V380" i="260" a="1"/>
  <c r="BK397" i="260" a="1"/>
  <c r="AN385" i="260" a="1"/>
  <c r="BG395" i="260" a="1"/>
  <c r="Z390" i="260" a="1"/>
  <c r="AQ385" i="260" a="1"/>
  <c r="AT388" i="260" a="1"/>
  <c r="Z398" i="260" a="1"/>
  <c r="N357" i="260" a="1"/>
  <c r="AH385" i="260" a="1"/>
  <c r="BK391" i="260" a="1"/>
  <c r="G397" i="260" a="1"/>
  <c r="Z394" i="260" a="1"/>
  <c r="V394" i="260" a="1"/>
  <c r="AN392" i="260" a="1"/>
  <c r="BD400" i="260" a="1"/>
  <c r="R395" i="260" a="1"/>
  <c r="N383" i="260" a="1"/>
  <c r="BG397" i="260" a="1"/>
  <c r="N398" i="260" l="1"/>
  <c r="AQ398" i="260"/>
  <c r="G398" i="260"/>
  <c r="AH398" i="260"/>
  <c r="AT398" i="260"/>
  <c r="AN398" i="260"/>
  <c r="R398" i="260"/>
  <c r="BG398" i="260"/>
  <c r="BK398" i="260"/>
  <c r="AD398" i="260"/>
  <c r="AZ398" i="260"/>
  <c r="BD398" i="260"/>
  <c r="Z398" i="260"/>
  <c r="V398" i="260"/>
  <c r="J398" i="260"/>
  <c r="R401" i="260"/>
  <c r="AZ401" i="260"/>
  <c r="AQ401" i="260"/>
  <c r="N401" i="260"/>
  <c r="AN401" i="260"/>
  <c r="AT401" i="260"/>
  <c r="BD401" i="260"/>
  <c r="AH401" i="260"/>
  <c r="G401" i="260"/>
  <c r="J401" i="260"/>
  <c r="AD401" i="260"/>
  <c r="BK401" i="260"/>
  <c r="BG401" i="260"/>
  <c r="Z401" i="260"/>
  <c r="V401" i="260"/>
  <c r="G400" i="260"/>
  <c r="AD400" i="260"/>
  <c r="AT400" i="260"/>
  <c r="BG400" i="260"/>
  <c r="R400" i="260"/>
  <c r="Z400" i="260"/>
  <c r="BD400" i="260"/>
  <c r="J400" i="260"/>
  <c r="AN400" i="260"/>
  <c r="AZ400" i="260"/>
  <c r="AQ400" i="260"/>
  <c r="N400" i="260"/>
  <c r="AH400" i="260"/>
  <c r="V400" i="260"/>
  <c r="BK400" i="260"/>
  <c r="BK391" i="260"/>
  <c r="Z391" i="260"/>
  <c r="N391" i="260"/>
  <c r="J391" i="260"/>
  <c r="AD391" i="260"/>
  <c r="BG391" i="260"/>
  <c r="AZ391" i="260"/>
  <c r="AN391" i="260"/>
  <c r="R391" i="260"/>
  <c r="AT391" i="260"/>
  <c r="G391" i="260"/>
  <c r="AQ391" i="260"/>
  <c r="V391" i="260"/>
  <c r="BD391" i="260"/>
  <c r="AH391" i="260"/>
  <c r="R385" i="260"/>
  <c r="G385" i="260"/>
  <c r="AN385" i="260"/>
  <c r="AZ385" i="260"/>
  <c r="J385" i="260"/>
  <c r="AQ385" i="260"/>
  <c r="N385" i="260"/>
  <c r="BD385" i="260"/>
  <c r="BK385" i="260"/>
  <c r="AT385" i="260"/>
  <c r="AD385" i="260"/>
  <c r="V385" i="260"/>
  <c r="AH385" i="260"/>
  <c r="Z385" i="260"/>
  <c r="BG385" i="260"/>
  <c r="G395" i="260"/>
  <c r="Z395" i="260"/>
  <c r="AD395" i="260"/>
  <c r="BG395" i="260"/>
  <c r="N395" i="260"/>
  <c r="BD395" i="260"/>
  <c r="J395" i="260"/>
  <c r="AH395" i="260"/>
  <c r="BK395" i="260"/>
  <c r="AT395" i="260"/>
  <c r="R395" i="260"/>
  <c r="AZ395" i="260"/>
  <c r="V395" i="260"/>
  <c r="AQ395" i="260"/>
  <c r="AN395" i="260"/>
  <c r="AQ390" i="260"/>
  <c r="AT390" i="260"/>
  <c r="AZ390" i="260"/>
  <c r="BD390" i="260"/>
  <c r="BK390" i="260"/>
  <c r="V390" i="260"/>
  <c r="J390" i="260"/>
  <c r="BG390" i="260"/>
  <c r="AH390" i="260"/>
  <c r="N390" i="260"/>
  <c r="R390" i="260"/>
  <c r="G390" i="260"/>
  <c r="AD390" i="260"/>
  <c r="AN390" i="260"/>
  <c r="Z390" i="260"/>
  <c r="AN384" i="260"/>
  <c r="BK384" i="260"/>
  <c r="AD384" i="260"/>
  <c r="AH384" i="260"/>
  <c r="Z384" i="260"/>
  <c r="V384" i="260"/>
  <c r="N384" i="260"/>
  <c r="AQ384" i="260"/>
  <c r="BG384" i="260"/>
  <c r="BD384" i="260"/>
  <c r="R384" i="260"/>
  <c r="G384" i="260"/>
  <c r="AZ384" i="260"/>
  <c r="AT384" i="260"/>
  <c r="J384" i="260"/>
  <c r="BK388" i="260"/>
  <c r="V388" i="260"/>
  <c r="AT388" i="260"/>
  <c r="AZ388" i="260"/>
  <c r="AD388" i="260"/>
  <c r="AQ388" i="260"/>
  <c r="J388" i="260"/>
  <c r="BG388" i="260"/>
  <c r="N388" i="260"/>
  <c r="G388" i="260"/>
  <c r="AN388" i="260"/>
  <c r="Z388" i="260"/>
  <c r="BD388" i="260"/>
  <c r="AH388" i="260"/>
  <c r="R388" i="260"/>
  <c r="AN392" i="260"/>
  <c r="AD392" i="260"/>
  <c r="Z392" i="260"/>
  <c r="AQ392" i="260"/>
  <c r="BK392" i="260"/>
  <c r="G392" i="260"/>
  <c r="AH392" i="260"/>
  <c r="R392" i="260"/>
  <c r="J392" i="260"/>
  <c r="N392" i="260"/>
  <c r="BG392" i="260"/>
  <c r="V392" i="260"/>
  <c r="AT392" i="260"/>
  <c r="AZ392" i="260"/>
  <c r="BD392" i="260"/>
  <c r="AN380" i="260"/>
  <c r="G380" i="260"/>
  <c r="AH380" i="260"/>
  <c r="AD380" i="260"/>
  <c r="N380" i="260"/>
  <c r="AQ380" i="260"/>
  <c r="BG380" i="260"/>
  <c r="AT380" i="260"/>
  <c r="R380" i="260"/>
  <c r="BD380" i="260"/>
  <c r="J380" i="260"/>
  <c r="V380" i="260"/>
  <c r="AZ380" i="260"/>
  <c r="Z380" i="260"/>
  <c r="BK380" i="260"/>
  <c r="BD361" i="260"/>
  <c r="N361" i="260"/>
  <c r="AH361" i="260"/>
  <c r="V361" i="260"/>
  <c r="AZ361" i="260"/>
  <c r="AQ361" i="260"/>
  <c r="R361" i="260"/>
  <c r="BG361" i="260"/>
  <c r="AD361" i="260"/>
  <c r="BO361" i="260"/>
  <c r="J361" i="260"/>
  <c r="Z361" i="260"/>
  <c r="AT361" i="260"/>
  <c r="G361" i="260"/>
  <c r="AN361" i="260"/>
  <c r="BK361" i="260"/>
  <c r="AN393" i="260"/>
  <c r="AT393" i="260"/>
  <c r="AQ393" i="260"/>
  <c r="AZ393" i="260"/>
  <c r="AH393" i="260"/>
  <c r="J393" i="260"/>
  <c r="V393" i="260"/>
  <c r="N393" i="260"/>
  <c r="AD393" i="260"/>
  <c r="G393" i="260"/>
  <c r="Z393" i="260"/>
  <c r="BD393" i="260"/>
  <c r="BK393" i="260"/>
  <c r="BG393" i="260"/>
  <c r="R393" i="260"/>
  <c r="BK389" i="260"/>
  <c r="BG389" i="260"/>
  <c r="AQ389" i="260"/>
  <c r="J389" i="260"/>
  <c r="AZ389" i="260"/>
  <c r="AN389" i="260"/>
  <c r="V389" i="260"/>
  <c r="BD389" i="260"/>
  <c r="G389" i="260"/>
  <c r="AH389" i="260"/>
  <c r="AD389" i="260"/>
  <c r="Z389" i="260"/>
  <c r="AT389" i="260"/>
  <c r="R389" i="260"/>
  <c r="N389" i="260"/>
  <c r="AH397" i="260"/>
  <c r="AD397" i="260"/>
  <c r="Z397" i="260"/>
  <c r="BK397" i="260"/>
  <c r="AN397" i="260"/>
  <c r="R397" i="260"/>
  <c r="V397" i="260"/>
  <c r="BG397" i="260"/>
  <c r="N397" i="260"/>
  <c r="BD397" i="260"/>
  <c r="AZ397" i="260"/>
  <c r="J397" i="260"/>
  <c r="G397" i="260"/>
  <c r="AQ397" i="260"/>
  <c r="AT397" i="260"/>
  <c r="V403" i="260"/>
  <c r="AH403" i="260"/>
  <c r="G403" i="260"/>
  <c r="R403" i="260"/>
  <c r="AN403" i="260"/>
  <c r="AT403" i="260"/>
  <c r="N403" i="260"/>
  <c r="Z403" i="260"/>
  <c r="BG403" i="260"/>
  <c r="J403" i="260"/>
  <c r="AQ403" i="260"/>
  <c r="AD403" i="260"/>
  <c r="BD403" i="260"/>
  <c r="AZ403" i="260"/>
  <c r="BK403" i="260"/>
  <c r="AT399" i="260"/>
  <c r="R399" i="260"/>
  <c r="AD399" i="260"/>
  <c r="BG399" i="260"/>
  <c r="Z399" i="260"/>
  <c r="N399" i="260"/>
  <c r="AZ399" i="260"/>
  <c r="BD399" i="260"/>
  <c r="AQ399" i="260"/>
  <c r="BK399" i="260"/>
  <c r="J399" i="260"/>
  <c r="V399" i="260"/>
  <c r="G399" i="260"/>
  <c r="AN399" i="260"/>
  <c r="AH399" i="260"/>
  <c r="AN362" i="260"/>
  <c r="BK362" i="260"/>
  <c r="Z362" i="260"/>
  <c r="V362" i="260"/>
  <c r="AD362" i="260"/>
  <c r="BO362" i="260"/>
  <c r="AH362" i="260"/>
  <c r="G362" i="260"/>
  <c r="AT362" i="260"/>
  <c r="AQ362" i="260"/>
  <c r="R362" i="260"/>
  <c r="AZ362" i="260"/>
  <c r="N362" i="260"/>
  <c r="J362" i="260"/>
  <c r="BG362" i="260"/>
  <c r="BD362" i="260"/>
  <c r="BG356" i="260"/>
  <c r="BD356" i="260"/>
  <c r="R356" i="260"/>
  <c r="BO356" i="260"/>
  <c r="V356" i="260"/>
  <c r="BK356" i="260"/>
  <c r="AQ356" i="260"/>
  <c r="AD356" i="260"/>
  <c r="J356" i="260"/>
  <c r="AT356" i="260"/>
  <c r="AZ356" i="260"/>
  <c r="N356" i="260"/>
  <c r="AN356" i="260"/>
  <c r="Z356" i="260"/>
  <c r="AH356" i="260"/>
  <c r="G356" i="260"/>
  <c r="AQ357" i="260"/>
  <c r="AZ357" i="260"/>
  <c r="R357" i="260"/>
  <c r="N357" i="260"/>
  <c r="J357" i="260"/>
  <c r="AT357" i="260"/>
  <c r="Z357" i="260"/>
  <c r="AH357" i="260"/>
  <c r="AD357" i="260"/>
  <c r="AN357" i="260"/>
  <c r="V357" i="260"/>
  <c r="G357" i="260"/>
  <c r="BD357" i="260"/>
  <c r="BK357" i="260"/>
  <c r="BG357" i="260"/>
  <c r="BO357" i="260"/>
  <c r="AH371" i="260"/>
  <c r="AT371" i="260"/>
  <c r="V371" i="260"/>
  <c r="AQ371" i="260"/>
  <c r="AD371" i="260"/>
  <c r="BD371" i="260"/>
  <c r="J371" i="260"/>
  <c r="R371" i="260"/>
  <c r="N371" i="260"/>
  <c r="AZ371" i="260"/>
  <c r="BG371" i="260"/>
  <c r="AN371" i="260"/>
  <c r="Z371" i="260"/>
  <c r="BK371" i="260"/>
  <c r="BO371" i="260"/>
  <c r="G371" i="260"/>
  <c r="BK402" i="260"/>
  <c r="Z402" i="260"/>
  <c r="BG402" i="260"/>
  <c r="G402" i="260"/>
  <c r="N402" i="260"/>
  <c r="AD402" i="260"/>
  <c r="BD402" i="260"/>
  <c r="AQ402" i="260"/>
  <c r="R402" i="260"/>
  <c r="AH402" i="260"/>
  <c r="AT402" i="260"/>
  <c r="AZ402" i="260"/>
  <c r="V402" i="260"/>
  <c r="AN402" i="260"/>
  <c r="J402" i="260"/>
  <c r="N383" i="260"/>
  <c r="AQ383" i="260"/>
  <c r="J383" i="260"/>
  <c r="AZ383" i="260"/>
  <c r="BK383" i="260"/>
  <c r="BD383" i="260"/>
  <c r="AT383" i="260"/>
  <c r="R383" i="260"/>
  <c r="V383" i="260"/>
  <c r="G383" i="260"/>
  <c r="AN383" i="260"/>
  <c r="AD383" i="260"/>
  <c r="AH383" i="260"/>
  <c r="BG383" i="260"/>
  <c r="Z383" i="260"/>
  <c r="BG394" i="260"/>
  <c r="AH394" i="260"/>
  <c r="V394" i="260"/>
  <c r="BD394" i="260"/>
  <c r="AT394" i="260"/>
  <c r="BK394" i="260"/>
  <c r="AZ394" i="260"/>
  <c r="N394" i="260"/>
  <c r="J394" i="260"/>
  <c r="AD394" i="260"/>
  <c r="Z394" i="260"/>
  <c r="G394" i="260"/>
  <c r="AQ394" i="260"/>
  <c r="R394" i="260"/>
  <c r="AN394" i="260"/>
  <c r="C423" i="260"/>
  <c r="C426" i="260"/>
  <c r="C425" i="260"/>
  <c r="C416" i="260"/>
  <c r="C410" i="260"/>
  <c r="C420" i="260"/>
  <c r="C415" i="260"/>
  <c r="C409" i="260"/>
  <c r="C413" i="260"/>
  <c r="C417" i="260"/>
  <c r="C405" i="260"/>
  <c r="C386" i="260"/>
  <c r="C418" i="260"/>
  <c r="C414" i="260"/>
  <c r="C422" i="260"/>
  <c r="C428" i="260"/>
  <c r="C424" i="260"/>
  <c r="C387" i="260"/>
  <c r="C381" i="260"/>
  <c r="C382" i="260"/>
  <c r="C396" i="260"/>
  <c r="C427" i="260"/>
  <c r="C408" i="260"/>
  <c r="C419" i="260"/>
  <c r="W35" i="253"/>
  <c r="U25" i="251"/>
  <c r="U17" i="251"/>
  <c r="V427" i="260" a="1"/>
  <c r="BG381" i="260" a="1"/>
  <c r="AT405" i="260" a="1"/>
  <c r="AT396" i="260" a="1"/>
  <c r="AZ415" i="260" a="1"/>
  <c r="AN381" i="260" a="1"/>
  <c r="AQ422" i="260" a="1"/>
  <c r="AN396" i="260" a="1"/>
  <c r="R409" i="260" a="1"/>
  <c r="BK426" i="260" a="1"/>
  <c r="J408" i="260" a="1"/>
  <c r="V418" i="260" a="1"/>
  <c r="AT424" i="260" a="1"/>
  <c r="V413" i="260" a="1"/>
  <c r="Z410" i="260" a="1"/>
  <c r="Z386" i="260" a="1"/>
  <c r="AZ381" i="260" a="1"/>
  <c r="AD386" i="260" a="1"/>
  <c r="AN425" i="260" a="1"/>
  <c r="N416" i="260" a="1"/>
  <c r="AZ422" i="260" a="1"/>
  <c r="AH423" i="260" a="1"/>
  <c r="AQ424" i="260" a="1"/>
  <c r="AZ419" i="260" a="1"/>
  <c r="AZ425" i="260" a="1"/>
  <c r="N423" i="260" a="1"/>
  <c r="G413" i="260" a="1"/>
  <c r="Z418" i="260" a="1"/>
  <c r="BD420" i="260" a="1"/>
  <c r="AZ409" i="260" a="1"/>
  <c r="R386" i="260" a="1"/>
  <c r="BD425" i="260" a="1"/>
  <c r="AN386" i="260" a="1"/>
  <c r="J396" i="260" a="1"/>
  <c r="R424" i="260" a="1"/>
  <c r="J426" i="260" a="1"/>
  <c r="AT419" i="260" a="1"/>
  <c r="AH409" i="260" a="1"/>
  <c r="Z422" i="260" a="1"/>
  <c r="R428" i="260" a="1"/>
  <c r="AZ428" i="260" a="1"/>
  <c r="R405" i="260" a="1"/>
  <c r="AQ386" i="260" a="1"/>
  <c r="BG424" i="260" a="1"/>
  <c r="AZ413" i="260" a="1"/>
  <c r="V387" i="260" a="1"/>
  <c r="BK382" i="260" a="1"/>
  <c r="G427" i="260" a="1"/>
  <c r="AH422" i="260" a="1"/>
  <c r="BK405" i="260" a="1"/>
  <c r="G386" i="260" a="1"/>
  <c r="AN422" i="260" a="1"/>
  <c r="AT423" i="260" a="1"/>
  <c r="AT414" i="260" a="1"/>
  <c r="AZ396" i="260" a="1"/>
  <c r="BG387" i="260" a="1"/>
  <c r="R422" i="260" a="1"/>
  <c r="AQ416" i="260" a="1"/>
  <c r="J382" i="260" a="1"/>
  <c r="BK425" i="260" a="1"/>
  <c r="R415" i="260" a="1"/>
  <c r="BD387" i="260" a="1"/>
  <c r="N414" i="260" a="1"/>
  <c r="BD423" i="260" a="1"/>
  <c r="AN426" i="260" a="1"/>
  <c r="AN408" i="260" a="1"/>
  <c r="BK413" i="260" a="1"/>
  <c r="AQ382" i="260" a="1"/>
  <c r="V415" i="260" a="1"/>
  <c r="AT409" i="260" a="1"/>
  <c r="BD409" i="260" a="1"/>
  <c r="N409" i="260" a="1"/>
  <c r="BK414" i="260" a="1"/>
  <c r="V414" i="260" a="1"/>
  <c r="Z417" i="260" a="1"/>
  <c r="AD416" i="260" a="1"/>
  <c r="R414" i="260" a="1"/>
  <c r="AQ428" i="260" a="1"/>
  <c r="AQ408" i="260" a="1"/>
  <c r="BD410" i="260" a="1"/>
  <c r="V419" i="260" a="1"/>
  <c r="Z408" i="260" a="1"/>
  <c r="AH381" i="260" a="1"/>
  <c r="BK418" i="260" a="1"/>
  <c r="AZ414" i="260" a="1"/>
  <c r="BK424" i="260" a="1"/>
  <c r="N381" i="260" a="1"/>
  <c r="Z423" i="260" a="1"/>
  <c r="V416" i="260" a="1"/>
  <c r="AZ424" i="260" a="1"/>
  <c r="BD413" i="260" a="1"/>
  <c r="BK428" i="260" a="1"/>
  <c r="AT382" i="260" a="1"/>
  <c r="G417" i="260" a="1"/>
  <c r="AD387" i="260" a="1"/>
  <c r="BD422" i="260" a="1"/>
  <c r="BD426" i="260" a="1"/>
  <c r="BK396" i="260" a="1"/>
  <c r="AT416" i="260" a="1"/>
  <c r="AD417" i="260" a="1"/>
  <c r="Z387" i="260" a="1"/>
  <c r="AD409" i="260" a="1"/>
  <c r="AT426" i="260" a="1"/>
  <c r="BG427" i="260" a="1"/>
  <c r="AD422" i="260" a="1"/>
  <c r="AN405" i="260" a="1"/>
  <c r="Z415" i="260" a="1"/>
  <c r="G416" i="260" a="1"/>
  <c r="Z425" i="260" a="1"/>
  <c r="AD405" i="260" a="1"/>
  <c r="BG423" i="260" a="1"/>
  <c r="Z413" i="260" a="1"/>
  <c r="AZ408" i="260" a="1"/>
  <c r="Z420" i="260" a="1"/>
  <c r="J423" i="260" a="1"/>
  <c r="AQ410" i="260" a="1"/>
  <c r="AD382" i="260" a="1"/>
  <c r="Z414" i="260" a="1"/>
  <c r="BG416" i="260" a="1"/>
  <c r="AN414" i="260" a="1"/>
  <c r="Z382" i="260" a="1"/>
  <c r="AZ420" i="260" a="1"/>
  <c r="R387" i="260" a="1"/>
  <c r="AD415" i="260" a="1"/>
  <c r="AH415" i="260" a="1"/>
  <c r="V423" i="260" a="1"/>
  <c r="R425" i="260" a="1"/>
  <c r="AN424" i="260" a="1"/>
  <c r="G426" i="260" a="1"/>
  <c r="BK422" i="260" a="1"/>
  <c r="R413" i="260" a="1"/>
  <c r="AH414" i="260" a="1"/>
  <c r="BK416" i="260" a="1"/>
  <c r="AT420" i="260" a="1"/>
  <c r="G405" i="260" a="1"/>
  <c r="AN428" i="260" a="1"/>
  <c r="N396" i="260" a="1"/>
  <c r="Z426" i="260" a="1"/>
  <c r="J420" i="260" a="1"/>
  <c r="AD381" i="260" a="1"/>
  <c r="N419" i="260" a="1"/>
  <c r="N424" i="260" a="1"/>
  <c r="J428" i="260" a="1"/>
  <c r="G381" i="260" a="1"/>
  <c r="J417" i="260" a="1"/>
  <c r="AD420" i="260" a="1"/>
  <c r="AH386" i="260" a="1"/>
  <c r="G410" i="260" a="1"/>
  <c r="N425" i="260" a="1"/>
  <c r="R396" i="260" a="1"/>
  <c r="V408" i="260" a="1"/>
  <c r="AD414" i="260" a="1"/>
  <c r="AZ382" i="260" a="1"/>
  <c r="BK408" i="260" a="1"/>
  <c r="R381" i="260" a="1"/>
  <c r="AT418" i="260" a="1"/>
  <c r="BG386" i="260" a="1"/>
  <c r="AQ423" i="260" a="1"/>
  <c r="G408" i="260" a="1"/>
  <c r="AN410" i="260" a="1"/>
  <c r="AN423" i="260" a="1"/>
  <c r="AQ419" i="260" a="1"/>
  <c r="AT410" i="260" a="1"/>
  <c r="BK387" i="260" a="1"/>
  <c r="AD425" i="260" a="1"/>
  <c r="AQ413" i="260" a="1"/>
  <c r="BK419" i="260" a="1"/>
  <c r="N422" i="260" a="1"/>
  <c r="AD396" i="260" a="1"/>
  <c r="BG413" i="260" a="1"/>
  <c r="J425" i="260" a="1"/>
  <c r="BG414" i="260" a="1"/>
  <c r="BG415" i="260" a="1"/>
  <c r="AZ386" i="260" a="1"/>
  <c r="Z428" i="260" a="1"/>
  <c r="AH405" i="260" a="1"/>
  <c r="BK427" i="260" a="1"/>
  <c r="AD418" i="260" a="1"/>
  <c r="G396" i="260" a="1"/>
  <c r="AZ387" i="260" a="1"/>
  <c r="AQ427" i="260" a="1"/>
  <c r="AT417" i="260" a="1"/>
  <c r="R418" i="260" a="1"/>
  <c r="AT425" i="260" a="1"/>
  <c r="Z427" i="260" a="1"/>
  <c r="BK423" i="260" a="1"/>
  <c r="BD386" i="260" a="1"/>
  <c r="AN427" i="260" a="1"/>
  <c r="AH408" i="260" a="1"/>
  <c r="AH427" i="260" a="1"/>
  <c r="AQ387" i="260" a="1"/>
  <c r="AT415" i="260" a="1"/>
  <c r="AQ420" i="260" a="1"/>
  <c r="G415" i="260" a="1"/>
  <c r="Z409" i="260" a="1"/>
  <c r="AH425" i="260" a="1"/>
  <c r="AD428" i="260" a="1"/>
  <c r="J387" i="260" a="1"/>
  <c r="N410" i="260" a="1"/>
  <c r="AT408" i="260" a="1"/>
  <c r="N426" i="260" a="1"/>
  <c r="AH387" i="260" a="1"/>
  <c r="BD424" i="260" a="1"/>
  <c r="BD396" i="260" a="1"/>
  <c r="N417" i="260" a="1"/>
  <c r="J414" i="260" a="1"/>
  <c r="BD414" i="260" a="1"/>
  <c r="V410" i="260" a="1"/>
  <c r="J413" i="260" a="1"/>
  <c r="AN416" i="260" a="1"/>
  <c r="V424" i="260" a="1"/>
  <c r="N382" i="260" a="1"/>
  <c r="AD426" i="260" a="1"/>
  <c r="V422" i="260" a="1"/>
  <c r="AQ425" i="260" a="1"/>
  <c r="J415" i="260" a="1"/>
  <c r="G409" i="260" a="1"/>
  <c r="AZ405" i="260" a="1"/>
  <c r="J410" i="260" a="1"/>
  <c r="AD410" i="260" a="1"/>
  <c r="BK410" i="260" a="1"/>
  <c r="J416" i="260" a="1"/>
  <c r="AN415" i="260" a="1"/>
  <c r="BD415" i="260" a="1"/>
  <c r="N405" i="260" a="1"/>
  <c r="R410" i="260" a="1"/>
  <c r="J419" i="260" a="1"/>
  <c r="N418" i="260" a="1"/>
  <c r="G422" i="260" a="1"/>
  <c r="AT413" i="260" a="1"/>
  <c r="BG408" i="260" a="1"/>
  <c r="AN413" i="260" a="1"/>
  <c r="V405" i="260" a="1"/>
  <c r="R426" i="260" a="1"/>
  <c r="V426" i="260" a="1"/>
  <c r="BD417" i="260" a="1"/>
  <c r="AH428" i="260" a="1"/>
  <c r="AQ417" i="260" a="1"/>
  <c r="Z405" i="260" a="1"/>
  <c r="G420" i="260" a="1"/>
  <c r="V382" i="260" a="1"/>
  <c r="AT427" i="260" a="1"/>
  <c r="AT381" i="260" a="1"/>
  <c r="R382" i="260" a="1"/>
  <c r="AT428" i="260" a="1"/>
  <c r="N427" i="260" a="1"/>
  <c r="R419" i="260" a="1"/>
  <c r="AZ427" i="260" a="1"/>
  <c r="BG396" i="260" a="1"/>
  <c r="BG405" i="260" a="1"/>
  <c r="AZ426" i="260" a="1"/>
  <c r="BG410" i="260" a="1"/>
  <c r="BD428" i="260" a="1"/>
  <c r="J405" i="260" a="1"/>
  <c r="AD423" i="260" a="1"/>
  <c r="AD427" i="260" a="1"/>
  <c r="AQ415" i="260" a="1"/>
  <c r="G419" i="260" a="1"/>
  <c r="AN387" i="260" a="1"/>
  <c r="AH413" i="260" a="1"/>
  <c r="BG419" i="260" a="1"/>
  <c r="AH410" i="260" a="1"/>
  <c r="G424" i="260" a="1"/>
  <c r="AD419" i="260" a="1"/>
  <c r="AH382" i="260" a="1"/>
  <c r="N408" i="260" a="1"/>
  <c r="G387" i="260" a="1"/>
  <c r="BD419" i="260" a="1"/>
  <c r="BK415" i="260" a="1"/>
  <c r="G414" i="260" a="1"/>
  <c r="AN382" i="260" a="1"/>
  <c r="AZ417" i="260" a="1"/>
  <c r="Z419" i="260" a="1"/>
  <c r="N387" i="260" a="1"/>
  <c r="AT386" i="260" a="1"/>
  <c r="N415" i="260" a="1"/>
  <c r="G425" i="260" a="1"/>
  <c r="J409" i="260" a="1"/>
  <c r="AH418" i="260" a="1"/>
  <c r="AQ405" i="260" a="1"/>
  <c r="N420" i="260" a="1"/>
  <c r="BD408" i="260" a="1"/>
  <c r="V381" i="260" a="1"/>
  <c r="BG428" i="260" a="1"/>
  <c r="AT422" i="260" a="1"/>
  <c r="V417" i="260" a="1"/>
  <c r="AZ416" i="260" a="1"/>
  <c r="AZ418" i="260" a="1"/>
  <c r="AH419" i="260" a="1"/>
  <c r="AH416" i="260" a="1"/>
  <c r="R420" i="260" a="1"/>
  <c r="AH420" i="260" a="1"/>
  <c r="AZ410" i="260" a="1"/>
  <c r="J422" i="260" a="1"/>
  <c r="R417" i="260" a="1"/>
  <c r="J381" i="260" a="1"/>
  <c r="BK386" i="260" a="1"/>
  <c r="BG425" i="260" a="1"/>
  <c r="BD427" i="260" a="1"/>
  <c r="BG417" i="260" a="1"/>
  <c r="N413" i="260" a="1"/>
  <c r="Z396" i="260" a="1"/>
  <c r="AH396" i="260" a="1"/>
  <c r="AN419" i="260" a="1"/>
  <c r="AQ396" i="260" a="1"/>
  <c r="Z424" i="260" a="1"/>
  <c r="AQ418" i="260" a="1"/>
  <c r="V396" i="260" a="1"/>
  <c r="BG420" i="260" a="1"/>
  <c r="V425" i="260" a="1"/>
  <c r="Z416" i="260" a="1"/>
  <c r="R416" i="260" a="1"/>
  <c r="V409" i="260" a="1"/>
  <c r="J418" i="260" a="1"/>
  <c r="BD405" i="260" a="1"/>
  <c r="R408" i="260" a="1"/>
  <c r="J427" i="260" a="1"/>
  <c r="AN409" i="260" a="1"/>
  <c r="AD408" i="260" a="1"/>
  <c r="AN418" i="260" a="1"/>
  <c r="AQ426" i="260" a="1"/>
  <c r="BD418" i="260" a="1"/>
  <c r="AQ409" i="260" a="1"/>
  <c r="AZ423" i="260" a="1"/>
  <c r="AH417" i="260" a="1"/>
  <c r="AH426" i="260" a="1"/>
  <c r="G382" i="260" a="1"/>
  <c r="Z381" i="260" a="1"/>
  <c r="BD382" i="260" a="1"/>
  <c r="BG422" i="260" a="1"/>
  <c r="AH424" i="260" a="1"/>
  <c r="AT387" i="260" a="1"/>
  <c r="N386" i="260" a="1"/>
  <c r="G428" i="260" a="1"/>
  <c r="BK409" i="260" a="1"/>
  <c r="BD416" i="260" a="1"/>
  <c r="BK420" i="260" a="1"/>
  <c r="N428" i="260" a="1"/>
  <c r="BD381" i="260" a="1"/>
  <c r="BK381" i="260" a="1"/>
  <c r="BG409" i="260" a="1"/>
  <c r="AQ381" i="260" a="1"/>
  <c r="BG418" i="260" a="1"/>
  <c r="AN417" i="260" a="1"/>
  <c r="AD413" i="260" a="1"/>
  <c r="V386" i="260" a="1"/>
  <c r="J424" i="260" a="1"/>
  <c r="R423" i="260" a="1"/>
  <c r="BK417" i="260" a="1"/>
  <c r="AN420" i="260" a="1"/>
  <c r="AD424" i="260" a="1"/>
  <c r="G418" i="260" a="1"/>
  <c r="R427" i="260" a="1"/>
  <c r="G423" i="260" a="1"/>
  <c r="V428" i="260" a="1"/>
  <c r="V420" i="260" a="1"/>
  <c r="BG382" i="260" a="1"/>
  <c r="AQ414" i="260" a="1"/>
  <c r="J386" i="260" a="1"/>
  <c r="BG426" i="260" a="1"/>
  <c r="BD414" i="260" l="1"/>
  <c r="N414" i="260"/>
  <c r="AD414" i="260"/>
  <c r="BK414" i="260"/>
  <c r="Z414" i="260"/>
  <c r="R414" i="260"/>
  <c r="BG414" i="260"/>
  <c r="V414" i="260"/>
  <c r="AN414" i="260"/>
  <c r="AZ414" i="260"/>
  <c r="AH414" i="260"/>
  <c r="G414" i="260"/>
  <c r="AT414" i="260"/>
  <c r="J414" i="260"/>
  <c r="AQ414" i="260"/>
  <c r="V386" i="260"/>
  <c r="BD386" i="260"/>
  <c r="AN386" i="260"/>
  <c r="BK386" i="260"/>
  <c r="R386" i="260"/>
  <c r="AZ386" i="260"/>
  <c r="Z386" i="260"/>
  <c r="BG386" i="260"/>
  <c r="AD386" i="260"/>
  <c r="AH386" i="260"/>
  <c r="N386" i="260"/>
  <c r="J386" i="260"/>
  <c r="AT386" i="260"/>
  <c r="G386" i="260"/>
  <c r="AQ386" i="260"/>
  <c r="BD409" i="260"/>
  <c r="V409" i="260"/>
  <c r="G409" i="260"/>
  <c r="R409" i="260"/>
  <c r="BG409" i="260"/>
  <c r="AZ409" i="260"/>
  <c r="AD409" i="260"/>
  <c r="AQ409" i="260"/>
  <c r="J409" i="260"/>
  <c r="BK409" i="260"/>
  <c r="AN409" i="260"/>
  <c r="AH409" i="260"/>
  <c r="AT409" i="260"/>
  <c r="N409" i="260"/>
  <c r="Z409" i="260"/>
  <c r="AN415" i="260"/>
  <c r="BD415" i="260"/>
  <c r="AZ415" i="260"/>
  <c r="G415" i="260"/>
  <c r="AQ415" i="260"/>
  <c r="V415" i="260"/>
  <c r="N415" i="260"/>
  <c r="R415" i="260"/>
  <c r="AD415" i="260"/>
  <c r="AH415" i="260"/>
  <c r="Z415" i="260"/>
  <c r="AT415" i="260"/>
  <c r="J415" i="260"/>
  <c r="BG415" i="260"/>
  <c r="BK415" i="260"/>
  <c r="AH410" i="260"/>
  <c r="Z410" i="260"/>
  <c r="BK410" i="260"/>
  <c r="AQ410" i="260"/>
  <c r="AN410" i="260"/>
  <c r="AT410" i="260"/>
  <c r="AD410" i="260"/>
  <c r="AZ410" i="260"/>
  <c r="BG410" i="260"/>
  <c r="BD410" i="260"/>
  <c r="J410" i="260"/>
  <c r="R410" i="260"/>
  <c r="G410" i="260"/>
  <c r="V410" i="260"/>
  <c r="N410" i="260"/>
  <c r="BG423" i="260"/>
  <c r="BK423" i="260"/>
  <c r="BD423" i="260"/>
  <c r="Z423" i="260"/>
  <c r="R423" i="260"/>
  <c r="AH423" i="260"/>
  <c r="AQ423" i="260"/>
  <c r="G423" i="260"/>
  <c r="V423" i="260"/>
  <c r="AT423" i="260"/>
  <c r="AD423" i="260"/>
  <c r="AN423" i="260"/>
  <c r="J423" i="260"/>
  <c r="N423" i="260"/>
  <c r="AZ423" i="260"/>
  <c r="AT422" i="260"/>
  <c r="G422" i="260"/>
  <c r="AD422" i="260"/>
  <c r="BD422" i="260"/>
  <c r="AZ422" i="260"/>
  <c r="R422" i="260"/>
  <c r="N422" i="260"/>
  <c r="Z422" i="260"/>
  <c r="AN422" i="260"/>
  <c r="BG422" i="260"/>
  <c r="J422" i="260"/>
  <c r="V422" i="260"/>
  <c r="AH422" i="260"/>
  <c r="BK422" i="260"/>
  <c r="AQ422" i="260"/>
  <c r="J418" i="260"/>
  <c r="AN418" i="260"/>
  <c r="BK418" i="260"/>
  <c r="R418" i="260"/>
  <c r="AD418" i="260"/>
  <c r="G418" i="260"/>
  <c r="V418" i="260"/>
  <c r="N418" i="260"/>
  <c r="AZ418" i="260"/>
  <c r="BG418" i="260"/>
  <c r="BD418" i="260"/>
  <c r="Z418" i="260"/>
  <c r="AQ418" i="260"/>
  <c r="AT418" i="260"/>
  <c r="AH418" i="260"/>
  <c r="AQ417" i="260"/>
  <c r="AZ417" i="260"/>
  <c r="AN417" i="260"/>
  <c r="AT417" i="260"/>
  <c r="BK417" i="260"/>
  <c r="N417" i="260"/>
  <c r="AD417" i="260"/>
  <c r="AH417" i="260"/>
  <c r="G417" i="260"/>
  <c r="R417" i="260"/>
  <c r="Z417" i="260"/>
  <c r="J417" i="260"/>
  <c r="BD417" i="260"/>
  <c r="BG417" i="260"/>
  <c r="V417" i="260"/>
  <c r="BG420" i="260"/>
  <c r="AZ420" i="260"/>
  <c r="BD420" i="260"/>
  <c r="BK420" i="260"/>
  <c r="AQ420" i="260"/>
  <c r="AT420" i="260"/>
  <c r="AD420" i="260"/>
  <c r="V420" i="260"/>
  <c r="Z420" i="260"/>
  <c r="N420" i="260"/>
  <c r="R420" i="260"/>
  <c r="AN420" i="260"/>
  <c r="AH420" i="260"/>
  <c r="G420" i="260"/>
  <c r="J420" i="260"/>
  <c r="BK425" i="260"/>
  <c r="BD425" i="260"/>
  <c r="AZ425" i="260"/>
  <c r="BG425" i="260"/>
  <c r="AD425" i="260"/>
  <c r="AQ425" i="260"/>
  <c r="Z425" i="260"/>
  <c r="AH425" i="260"/>
  <c r="AN425" i="260"/>
  <c r="N425" i="260"/>
  <c r="V425" i="260"/>
  <c r="R425" i="260"/>
  <c r="J425" i="260"/>
  <c r="AT425" i="260"/>
  <c r="G425" i="260"/>
  <c r="AT396" i="260"/>
  <c r="R396" i="260"/>
  <c r="N396" i="260"/>
  <c r="AQ396" i="260"/>
  <c r="BG396" i="260"/>
  <c r="V396" i="260"/>
  <c r="AZ396" i="260"/>
  <c r="BD396" i="260"/>
  <c r="G396" i="260"/>
  <c r="AN396" i="260"/>
  <c r="BK396" i="260"/>
  <c r="J396" i="260"/>
  <c r="Z396" i="260"/>
  <c r="AD396" i="260"/>
  <c r="AH396" i="260"/>
  <c r="BD381" i="260"/>
  <c r="N381" i="260"/>
  <c r="R381" i="260"/>
  <c r="AQ381" i="260"/>
  <c r="AZ381" i="260"/>
  <c r="G381" i="260"/>
  <c r="AH381" i="260"/>
  <c r="Z381" i="260"/>
  <c r="AT381" i="260"/>
  <c r="AN381" i="260"/>
  <c r="AD381" i="260"/>
  <c r="BK381" i="260"/>
  <c r="J381" i="260"/>
  <c r="V381" i="260"/>
  <c r="BG381" i="260"/>
  <c r="G405" i="260"/>
  <c r="AZ405" i="260"/>
  <c r="AQ405" i="260"/>
  <c r="AD405" i="260"/>
  <c r="AH405" i="260"/>
  <c r="BD405" i="260"/>
  <c r="AN405" i="260"/>
  <c r="V405" i="260"/>
  <c r="R405" i="260"/>
  <c r="AT405" i="260"/>
  <c r="BG405" i="260"/>
  <c r="BK405" i="260"/>
  <c r="Z405" i="260"/>
  <c r="N405" i="260"/>
  <c r="J405" i="260"/>
  <c r="AN413" i="260"/>
  <c r="AD413" i="260"/>
  <c r="AT413" i="260"/>
  <c r="BG413" i="260"/>
  <c r="N413" i="260"/>
  <c r="R413" i="260"/>
  <c r="J413" i="260"/>
  <c r="AH413" i="260"/>
  <c r="Z413" i="260"/>
  <c r="AZ413" i="260"/>
  <c r="G413" i="260"/>
  <c r="V413" i="260"/>
  <c r="BD413" i="260"/>
  <c r="AQ413" i="260"/>
  <c r="BK413" i="260"/>
  <c r="AZ416" i="260"/>
  <c r="G416" i="260"/>
  <c r="Z416" i="260"/>
  <c r="V416" i="260"/>
  <c r="R416" i="260"/>
  <c r="BK416" i="260"/>
  <c r="N416" i="260"/>
  <c r="AH416" i="260"/>
  <c r="AQ416" i="260"/>
  <c r="AT416" i="260"/>
  <c r="BG416" i="260"/>
  <c r="J416" i="260"/>
  <c r="AN416" i="260"/>
  <c r="AD416" i="260"/>
  <c r="BD416" i="260"/>
  <c r="AT408" i="260"/>
  <c r="AQ408" i="260"/>
  <c r="AH408" i="260"/>
  <c r="AN408" i="260"/>
  <c r="J408" i="260"/>
  <c r="AZ408" i="260"/>
  <c r="AD408" i="260"/>
  <c r="V408" i="260"/>
  <c r="G408" i="260"/>
  <c r="BD408" i="260"/>
  <c r="BK408" i="260"/>
  <c r="N408" i="260"/>
  <c r="Z408" i="260"/>
  <c r="BG408" i="260"/>
  <c r="R408" i="260"/>
  <c r="AZ426" i="260"/>
  <c r="V426" i="260"/>
  <c r="AH426" i="260"/>
  <c r="AQ426" i="260"/>
  <c r="BG426" i="260"/>
  <c r="BD426" i="260"/>
  <c r="R426" i="260"/>
  <c r="N426" i="260"/>
  <c r="Z426" i="260"/>
  <c r="J426" i="260"/>
  <c r="AT426" i="260"/>
  <c r="BK426" i="260"/>
  <c r="AN426" i="260"/>
  <c r="G426" i="260"/>
  <c r="AD426" i="260"/>
  <c r="J387" i="260"/>
  <c r="V387" i="260"/>
  <c r="Z387" i="260"/>
  <c r="N387" i="260"/>
  <c r="R387" i="260"/>
  <c r="AD387" i="260"/>
  <c r="AH387" i="260"/>
  <c r="BG387" i="260"/>
  <c r="AQ387" i="260"/>
  <c r="BK387" i="260"/>
  <c r="AZ387" i="260"/>
  <c r="AN387" i="260"/>
  <c r="G387" i="260"/>
  <c r="AT387" i="260"/>
  <c r="BD387" i="260"/>
  <c r="AZ427" i="260"/>
  <c r="N427" i="260"/>
  <c r="AT427" i="260"/>
  <c r="AD427" i="260"/>
  <c r="Z427" i="260"/>
  <c r="BG427" i="260"/>
  <c r="BK427" i="260"/>
  <c r="J427" i="260"/>
  <c r="BD427" i="260"/>
  <c r="R427" i="260"/>
  <c r="V427" i="260"/>
  <c r="AN427" i="260"/>
  <c r="AQ427" i="260"/>
  <c r="AH427" i="260"/>
  <c r="G427" i="260"/>
  <c r="V382" i="260"/>
  <c r="G382" i="260"/>
  <c r="Z382" i="260"/>
  <c r="AQ382" i="260"/>
  <c r="BK382" i="260"/>
  <c r="AZ382" i="260"/>
  <c r="R382" i="260"/>
  <c r="AN382" i="260"/>
  <c r="AD382" i="260"/>
  <c r="AH382" i="260"/>
  <c r="BG382" i="260"/>
  <c r="N382" i="260"/>
  <c r="AT382" i="260"/>
  <c r="BD382" i="260"/>
  <c r="J382" i="260"/>
  <c r="BD424" i="260"/>
  <c r="V424" i="260"/>
  <c r="AH424" i="260"/>
  <c r="AT424" i="260"/>
  <c r="G424" i="260"/>
  <c r="AD424" i="260"/>
  <c r="AZ424" i="260"/>
  <c r="J424" i="260"/>
  <c r="R424" i="260"/>
  <c r="BK424" i="260"/>
  <c r="AN424" i="260"/>
  <c r="N424" i="260"/>
  <c r="Z424" i="260"/>
  <c r="AQ424" i="260"/>
  <c r="BG424" i="260"/>
  <c r="AT419" i="260"/>
  <c r="AQ419" i="260"/>
  <c r="AH419" i="260"/>
  <c r="AN419" i="260"/>
  <c r="N419" i="260"/>
  <c r="BK419" i="260"/>
  <c r="V419" i="260"/>
  <c r="G419" i="260"/>
  <c r="BG419" i="260"/>
  <c r="J419" i="260"/>
  <c r="BD419" i="260"/>
  <c r="R419" i="260"/>
  <c r="Z419" i="260"/>
  <c r="AD419" i="260"/>
  <c r="AZ419" i="260"/>
  <c r="AD428" i="260"/>
  <c r="AT428" i="260"/>
  <c r="N428" i="260"/>
  <c r="R428" i="260"/>
  <c r="BD428" i="260"/>
  <c r="V428" i="260"/>
  <c r="AN428" i="260"/>
  <c r="G428" i="260"/>
  <c r="AH428" i="260"/>
  <c r="AZ428" i="260"/>
  <c r="J428" i="260"/>
  <c r="AQ428" i="260"/>
  <c r="Z428" i="260"/>
  <c r="BG428" i="260"/>
  <c r="BK428" i="260"/>
  <c r="C439" i="260"/>
  <c r="C411" i="260"/>
  <c r="C434" i="260"/>
  <c r="C440" i="260"/>
  <c r="C435" i="260"/>
  <c r="C448" i="260"/>
  <c r="C447" i="260"/>
  <c r="C443" i="260"/>
  <c r="C442" i="260"/>
  <c r="C445" i="260"/>
  <c r="C450" i="260"/>
  <c r="C421" i="260"/>
  <c r="C406" i="260"/>
  <c r="C430" i="260"/>
  <c r="C438" i="260"/>
  <c r="C441" i="260"/>
  <c r="C433" i="260"/>
  <c r="C451" i="260"/>
  <c r="C412" i="260"/>
  <c r="C452" i="260"/>
  <c r="C407" i="260"/>
  <c r="C449" i="260"/>
  <c r="C444" i="260"/>
  <c r="C453" i="260"/>
  <c r="G22" i="226"/>
  <c r="AN407" i="260" a="1"/>
  <c r="J435" i="260" a="1"/>
  <c r="AT440" i="260" a="1"/>
  <c r="BG447" i="260" a="1"/>
  <c r="V445" i="260" a="1"/>
  <c r="AQ438" i="260" a="1"/>
  <c r="AQ442" i="260" a="1"/>
  <c r="AH411" i="260" a="1"/>
  <c r="AD447" i="260" a="1"/>
  <c r="BD447" i="260" a="1"/>
  <c r="Z438" i="260" a="1"/>
  <c r="V453" i="260" a="1"/>
  <c r="AN451" i="260" a="1"/>
  <c r="AN442" i="260" a="1"/>
  <c r="AD449" i="260" a="1"/>
  <c r="BG435" i="260" a="1"/>
  <c r="BK407" i="260" a="1"/>
  <c r="AH434" i="260" a="1"/>
  <c r="N411" i="260" a="1"/>
  <c r="AN450" i="260" a="1"/>
  <c r="J421" i="260" a="1"/>
  <c r="V412" i="260" a="1"/>
  <c r="AQ452" i="260" a="1"/>
  <c r="AN433" i="260" a="1"/>
  <c r="V452" i="260" a="1"/>
  <c r="AD443" i="260" a="1"/>
  <c r="AH407" i="260" a="1"/>
  <c r="V451" i="260" a="1"/>
  <c r="AH406" i="260" a="1"/>
  <c r="V438" i="260" a="1"/>
  <c r="AH448" i="260" a="1"/>
  <c r="AT448" i="260" a="1"/>
  <c r="AN440" i="260" a="1"/>
  <c r="AD435" i="260" a="1"/>
  <c r="N438" i="260" a="1"/>
  <c r="G433" i="260" a="1"/>
  <c r="BG411" i="260" a="1"/>
  <c r="AZ453" i="260" a="1"/>
  <c r="R451" i="260" a="1"/>
  <c r="Z440" i="260" a="1"/>
  <c r="R435" i="260" a="1"/>
  <c r="AZ443" i="260" a="1"/>
  <c r="BG440" i="260" a="1"/>
  <c r="AD434" i="260" a="1"/>
  <c r="V407" i="260" a="1"/>
  <c r="BK412" i="260" a="1"/>
  <c r="BG438" i="260" a="1"/>
  <c r="AH412" i="260" a="1"/>
  <c r="BG433" i="260" a="1"/>
  <c r="R430" i="260" a="1"/>
  <c r="BG449" i="260" a="1"/>
  <c r="N449" i="260" a="1"/>
  <c r="Z430" i="260" a="1"/>
  <c r="AT450" i="260" a="1"/>
  <c r="BD451" i="260" a="1"/>
  <c r="BG434" i="260" a="1"/>
  <c r="BG430" i="260" a="1"/>
  <c r="R442" i="260" a="1"/>
  <c r="BD443" i="260" a="1"/>
  <c r="AT451" i="260" a="1"/>
  <c r="G411" i="260" a="1"/>
  <c r="AD453" i="260" a="1"/>
  <c r="AQ435" i="260" a="1"/>
  <c r="AD438" i="260" a="1"/>
  <c r="N435" i="260" a="1"/>
  <c r="AH447" i="260" a="1"/>
  <c r="AQ412" i="260" a="1"/>
  <c r="AZ412" i="260" a="1"/>
  <c r="AN412" i="260" a="1"/>
  <c r="Z434" i="260" a="1"/>
  <c r="N434" i="260" a="1"/>
  <c r="N444" i="260" a="1"/>
  <c r="N440" i="260" a="1"/>
  <c r="Z450" i="260" a="1"/>
  <c r="V406" i="260" a="1"/>
  <c r="Z447" i="260" a="1"/>
  <c r="AD445" i="260" a="1"/>
  <c r="J452" i="260" a="1"/>
  <c r="G443" i="260" a="1"/>
  <c r="AZ452" i="260" a="1"/>
  <c r="Z452" i="260" a="1"/>
  <c r="BD449" i="260" a="1"/>
  <c r="Z444" i="260" a="1"/>
  <c r="R448" i="260" a="1"/>
  <c r="AD421" i="260" a="1"/>
  <c r="V430" i="260" a="1"/>
  <c r="AQ406" i="260" a="1"/>
  <c r="BK452" i="260" a="1"/>
  <c r="BK434" i="260" a="1"/>
  <c r="AH441" i="260" a="1"/>
  <c r="AZ438" i="260" a="1"/>
  <c r="G450" i="260" a="1"/>
  <c r="N453" i="260" a="1"/>
  <c r="BD452" i="260" a="1"/>
  <c r="AT434" i="260" a="1"/>
  <c r="AZ442" i="260" a="1"/>
  <c r="G445" i="260" a="1"/>
  <c r="AD406" i="260" a="1"/>
  <c r="N452" i="260" a="1"/>
  <c r="J444" i="260" a="1"/>
  <c r="Z448" i="260" a="1"/>
  <c r="N448" i="260" a="1"/>
  <c r="AQ449" i="260" a="1"/>
  <c r="AT407" i="260" a="1"/>
  <c r="N439" i="260" a="1"/>
  <c r="AN441" i="260" a="1"/>
  <c r="R439" i="260" a="1"/>
  <c r="R449" i="260" a="1"/>
  <c r="AQ444" i="260" a="1"/>
  <c r="AN447" i="260" a="1"/>
  <c r="J412" i="260" a="1"/>
  <c r="BK451" i="260" a="1"/>
  <c r="AD444" i="260" a="1"/>
  <c r="G441" i="260" a="1"/>
  <c r="AH444" i="260" a="1"/>
  <c r="Z439" i="260" a="1"/>
  <c r="R453" i="260" a="1"/>
  <c r="BG448" i="260" a="1"/>
  <c r="AT452" i="260" a="1"/>
  <c r="BD421" i="260" a="1"/>
  <c r="N441" i="260" a="1"/>
  <c r="BG452" i="260" a="1"/>
  <c r="N442" i="260" a="1"/>
  <c r="BG453" i="260" a="1"/>
  <c r="BG443" i="260" a="1"/>
  <c r="AH440" i="260" a="1"/>
  <c r="R406" i="260" a="1"/>
  <c r="AN434" i="260" a="1"/>
  <c r="Z412" i="260" a="1"/>
  <c r="AH451" i="260" a="1"/>
  <c r="Z443" i="260" a="1"/>
  <c r="J450" i="260" a="1"/>
  <c r="AD411" i="260" a="1"/>
  <c r="AZ433" i="260" a="1"/>
  <c r="AQ421" i="260" a="1"/>
  <c r="G406" i="260" a="1"/>
  <c r="N433" i="260" a="1"/>
  <c r="AT438" i="260" a="1"/>
  <c r="V442" i="260" a="1"/>
  <c r="G421" i="260" a="1"/>
  <c r="BK441" i="260" a="1"/>
  <c r="BK430" i="260" a="1"/>
  <c r="AT433" i="260" a="1"/>
  <c r="AN453" i="260" a="1"/>
  <c r="V450" i="260" a="1"/>
  <c r="AT411" i="260" a="1"/>
  <c r="BD453" i="260" a="1"/>
  <c r="V444" i="260" a="1"/>
  <c r="R412" i="260" a="1"/>
  <c r="G438" i="260" a="1"/>
  <c r="AT444" i="260" a="1"/>
  <c r="AZ440" i="260" a="1"/>
  <c r="BK438" i="260" a="1"/>
  <c r="G451" i="260" a="1"/>
  <c r="G439" i="260" a="1"/>
  <c r="AH421" i="260" a="1"/>
  <c r="BG421" i="260" a="1"/>
  <c r="Z453" i="260" a="1"/>
  <c r="N451" i="260" a="1"/>
  <c r="AN406" i="260" a="1"/>
  <c r="AZ441" i="260" a="1"/>
  <c r="AT439" i="260" a="1"/>
  <c r="BG441" i="260" a="1"/>
  <c r="BK440" i="260" a="1"/>
  <c r="R452" i="260" a="1"/>
  <c r="BK447" i="260" a="1"/>
  <c r="BK439" i="260" a="1"/>
  <c r="AD450" i="260" a="1"/>
  <c r="J440" i="260" a="1"/>
  <c r="Z441" i="260" a="1"/>
  <c r="V434" i="260" a="1"/>
  <c r="AN452" i="260" a="1"/>
  <c r="AQ445" i="260" a="1"/>
  <c r="BG444" i="260" a="1"/>
  <c r="N412" i="260" a="1"/>
  <c r="BG412" i="260" a="1"/>
  <c r="AQ407" i="260" a="1"/>
  <c r="BK449" i="260" a="1"/>
  <c r="AZ421" i="260" a="1"/>
  <c r="AD448" i="260" a="1"/>
  <c r="V447" i="260" a="1"/>
  <c r="AD452" i="260" a="1"/>
  <c r="BD448" i="260" a="1"/>
  <c r="R441" i="260" a="1"/>
  <c r="N445" i="260" a="1"/>
  <c r="AN448" i="260" a="1"/>
  <c r="AT447" i="260" a="1"/>
  <c r="G448" i="260" a="1"/>
  <c r="BG451" i="260" a="1"/>
  <c r="AN430" i="260" a="1"/>
  <c r="Z407" i="260" a="1"/>
  <c r="AZ450" i="260" a="1"/>
  <c r="J449" i="260" a="1"/>
  <c r="BK448" i="260" a="1"/>
  <c r="BK411" i="260" a="1"/>
  <c r="AZ439" i="260" a="1"/>
  <c r="AT453" i="260" a="1"/>
  <c r="Z435" i="260" a="1"/>
  <c r="J433" i="260" a="1"/>
  <c r="AQ453" i="260" a="1"/>
  <c r="J434" i="260" a="1"/>
  <c r="BD444" i="260" a="1"/>
  <c r="AZ411" i="260" a="1"/>
  <c r="BD438" i="260" a="1"/>
  <c r="J438" i="260" a="1"/>
  <c r="V441" i="260" a="1"/>
  <c r="J441" i="260" a="1"/>
  <c r="N407" i="260" a="1"/>
  <c r="AT406" i="260" a="1"/>
  <c r="BK445" i="260" a="1"/>
  <c r="V448" i="260" a="1"/>
  <c r="AQ448" i="260" a="1"/>
  <c r="R445" i="260" a="1"/>
  <c r="AT430" i="260" a="1"/>
  <c r="BK450" i="260" a="1"/>
  <c r="R447" i="260" a="1"/>
  <c r="V440" i="260" a="1"/>
  <c r="AQ430" i="260" a="1"/>
  <c r="AT449" i="260" a="1"/>
  <c r="AZ407" i="260" a="1"/>
  <c r="J447" i="260" a="1"/>
  <c r="R411" i="260" a="1"/>
  <c r="N406" i="260" a="1"/>
  <c r="BG450" i="260" a="1"/>
  <c r="R421" i="260" a="1"/>
  <c r="AQ443" i="260" a="1"/>
  <c r="AH435" i="260" a="1"/>
  <c r="BD406" i="260" a="1"/>
  <c r="J451" i="260" a="1"/>
  <c r="AN445" i="260" a="1"/>
  <c r="AH438" i="260" a="1"/>
  <c r="BD441" i="260" a="1"/>
  <c r="AH433" i="260" a="1"/>
  <c r="AN439" i="260" a="1"/>
  <c r="AQ450" i="260" a="1"/>
  <c r="BG442" i="260" a="1"/>
  <c r="G412" i="260" a="1"/>
  <c r="AH430" i="260" a="1"/>
  <c r="R438" i="260" a="1"/>
  <c r="BD433" i="260" a="1"/>
  <c r="AT443" i="260" a="1"/>
  <c r="AH439" i="260" a="1"/>
  <c r="AD451" i="260" a="1"/>
  <c r="BG406" i="260" a="1"/>
  <c r="BD434" i="260" a="1"/>
  <c r="AN443" i="260" a="1"/>
  <c r="AQ441" i="260" a="1"/>
  <c r="BK406" i="260" a="1"/>
  <c r="V421" i="260" a="1"/>
  <c r="AT442" i="260" a="1"/>
  <c r="AD433" i="260" a="1"/>
  <c r="G435" i="260" a="1"/>
  <c r="BK444" i="260" a="1"/>
  <c r="BD440" i="260" a="1"/>
  <c r="AN449" i="260" a="1"/>
  <c r="BD450" i="260" a="1"/>
  <c r="N421" i="260" a="1"/>
  <c r="AZ448" i="260" a="1"/>
  <c r="N450" i="260" a="1"/>
  <c r="BK442" i="260" a="1"/>
  <c r="G442" i="260" a="1"/>
  <c r="J442" i="260" a="1"/>
  <c r="BD412" i="260" a="1"/>
  <c r="BD442" i="260" a="1"/>
  <c r="AD430" i="260" a="1"/>
  <c r="AT412" i="260" a="1"/>
  <c r="G447" i="260" a="1"/>
  <c r="AQ439" i="260" a="1"/>
  <c r="J411" i="260" a="1"/>
  <c r="G449" i="260" a="1"/>
  <c r="G452" i="260" a="1"/>
  <c r="BG407" i="260" a="1"/>
  <c r="R407" i="260" a="1"/>
  <c r="AZ452" i="260" l="1"/>
  <c r="AN452" i="260"/>
  <c r="AD452" i="260"/>
  <c r="J452" i="260"/>
  <c r="N452" i="260"/>
  <c r="Z452" i="260"/>
  <c r="BG452" i="260"/>
  <c r="BK452" i="260"/>
  <c r="V452" i="260"/>
  <c r="BD452" i="260"/>
  <c r="R452" i="260"/>
  <c r="AT452" i="260"/>
  <c r="AQ452" i="260"/>
  <c r="G452" i="260"/>
  <c r="BD412" i="260"/>
  <c r="V412" i="260"/>
  <c r="N412" i="260"/>
  <c r="AH412" i="260"/>
  <c r="AQ412" i="260"/>
  <c r="Z412" i="260"/>
  <c r="R412" i="260"/>
  <c r="BG412" i="260"/>
  <c r="AZ412" i="260"/>
  <c r="AN412" i="260"/>
  <c r="BK412" i="260"/>
  <c r="G412" i="260"/>
  <c r="J412" i="260"/>
  <c r="AT412" i="260"/>
  <c r="BD438" i="260"/>
  <c r="R438" i="260"/>
  <c r="AZ438" i="260"/>
  <c r="J438" i="260"/>
  <c r="BG438" i="260"/>
  <c r="N438" i="260"/>
  <c r="AT438" i="260"/>
  <c r="G438" i="260"/>
  <c r="V438" i="260"/>
  <c r="BK438" i="260"/>
  <c r="AQ438" i="260"/>
  <c r="AH438" i="260"/>
  <c r="Z438" i="260"/>
  <c r="AD438" i="260"/>
  <c r="AQ406" i="260"/>
  <c r="AT406" i="260"/>
  <c r="BD406" i="260"/>
  <c r="G406" i="260"/>
  <c r="R406" i="260"/>
  <c r="BK406" i="260"/>
  <c r="V406" i="260"/>
  <c r="N406" i="260"/>
  <c r="AH406" i="260"/>
  <c r="AD406" i="260"/>
  <c r="AN406" i="260"/>
  <c r="BG406" i="260"/>
  <c r="V421" i="260"/>
  <c r="AH421" i="260"/>
  <c r="BG421" i="260"/>
  <c r="AQ421" i="260"/>
  <c r="AD421" i="260"/>
  <c r="N421" i="260"/>
  <c r="AZ421" i="260"/>
  <c r="G421" i="260"/>
  <c r="BD421" i="260"/>
  <c r="J421" i="260"/>
  <c r="R421" i="260"/>
  <c r="BD450" i="260"/>
  <c r="V450" i="260"/>
  <c r="AZ450" i="260"/>
  <c r="AQ450" i="260"/>
  <c r="AD450" i="260"/>
  <c r="N450" i="260"/>
  <c r="BK450" i="260"/>
  <c r="AN450" i="260"/>
  <c r="Z450" i="260"/>
  <c r="BG450" i="260"/>
  <c r="G450" i="260"/>
  <c r="AT450" i="260"/>
  <c r="J450" i="260"/>
  <c r="AQ445" i="260"/>
  <c r="R445" i="260"/>
  <c r="BK445" i="260"/>
  <c r="V445" i="260"/>
  <c r="N445" i="260"/>
  <c r="AD445" i="260"/>
  <c r="G445" i="260"/>
  <c r="AN445" i="260"/>
  <c r="AQ442" i="260"/>
  <c r="J442" i="260"/>
  <c r="BD442" i="260"/>
  <c r="BG442" i="260"/>
  <c r="AN442" i="260"/>
  <c r="G442" i="260"/>
  <c r="N442" i="260"/>
  <c r="AT442" i="260"/>
  <c r="BK442" i="260"/>
  <c r="V442" i="260"/>
  <c r="AZ442" i="260"/>
  <c r="R442" i="260"/>
  <c r="G443" i="260"/>
  <c r="AQ443" i="260"/>
  <c r="AT443" i="260"/>
  <c r="Z443" i="260"/>
  <c r="AD443" i="260"/>
  <c r="AZ443" i="260"/>
  <c r="AN443" i="260"/>
  <c r="BG443" i="260"/>
  <c r="BD443" i="260"/>
  <c r="R447" i="260"/>
  <c r="BD447" i="260"/>
  <c r="G447" i="260"/>
  <c r="AT447" i="260"/>
  <c r="J447" i="260"/>
  <c r="BG447" i="260"/>
  <c r="AH447" i="260"/>
  <c r="V447" i="260"/>
  <c r="AN447" i="260"/>
  <c r="Z447" i="260"/>
  <c r="BK447" i="260"/>
  <c r="AD447" i="260"/>
  <c r="G448" i="260"/>
  <c r="V448" i="260"/>
  <c r="AQ448" i="260"/>
  <c r="AN448" i="260"/>
  <c r="AZ448" i="260"/>
  <c r="AT448" i="260"/>
  <c r="R448" i="260"/>
  <c r="BK448" i="260"/>
  <c r="BD448" i="260"/>
  <c r="AD448" i="260"/>
  <c r="N448" i="260"/>
  <c r="BG448" i="260"/>
  <c r="Z448" i="260"/>
  <c r="AH448" i="260"/>
  <c r="J433" i="260"/>
  <c r="AZ433" i="260"/>
  <c r="AD433" i="260"/>
  <c r="AT433" i="260"/>
  <c r="AH433" i="260"/>
  <c r="BD433" i="260"/>
  <c r="G433" i="260"/>
  <c r="BG433" i="260"/>
  <c r="N433" i="260"/>
  <c r="AN433" i="260"/>
  <c r="J435" i="260"/>
  <c r="AH435" i="260"/>
  <c r="AQ435" i="260"/>
  <c r="G435" i="260"/>
  <c r="N435" i="260"/>
  <c r="AD435" i="260"/>
  <c r="R435" i="260"/>
  <c r="BG435" i="260"/>
  <c r="Z435" i="260"/>
  <c r="AN451" i="260"/>
  <c r="AH451" i="260"/>
  <c r="AT451" i="260"/>
  <c r="G451" i="260"/>
  <c r="J451" i="260"/>
  <c r="AD451" i="260"/>
  <c r="BG451" i="260"/>
  <c r="BD451" i="260"/>
  <c r="N451" i="260"/>
  <c r="V451" i="260"/>
  <c r="BK451" i="260"/>
  <c r="R451" i="260"/>
  <c r="J440" i="260"/>
  <c r="AT440" i="260"/>
  <c r="N440" i="260"/>
  <c r="BK440" i="260"/>
  <c r="AN440" i="260"/>
  <c r="BD440" i="260"/>
  <c r="V440" i="260"/>
  <c r="BG440" i="260"/>
  <c r="AZ440" i="260"/>
  <c r="Z440" i="260"/>
  <c r="AH440" i="260"/>
  <c r="N441" i="260"/>
  <c r="BD441" i="260"/>
  <c r="J441" i="260"/>
  <c r="AH441" i="260"/>
  <c r="BG441" i="260"/>
  <c r="AZ441" i="260"/>
  <c r="BK441" i="260"/>
  <c r="AQ441" i="260"/>
  <c r="R441" i="260"/>
  <c r="G441" i="260"/>
  <c r="V441" i="260"/>
  <c r="Z441" i="260"/>
  <c r="AN441" i="260"/>
  <c r="R430" i="260"/>
  <c r="Z430" i="260"/>
  <c r="AQ430" i="260"/>
  <c r="V430" i="260"/>
  <c r="BG430" i="260"/>
  <c r="AH430" i="260"/>
  <c r="BK430" i="260"/>
  <c r="AD430" i="260"/>
  <c r="AN430" i="260"/>
  <c r="AT430" i="260"/>
  <c r="AT453" i="260"/>
  <c r="AD453" i="260"/>
  <c r="Z453" i="260"/>
  <c r="AN453" i="260"/>
  <c r="R453" i="260"/>
  <c r="AQ453" i="260"/>
  <c r="N453" i="260"/>
  <c r="AZ453" i="260"/>
  <c r="V453" i="260"/>
  <c r="BG453" i="260"/>
  <c r="BD453" i="260"/>
  <c r="AT444" i="260"/>
  <c r="BK444" i="260"/>
  <c r="AH444" i="260"/>
  <c r="AD444" i="260"/>
  <c r="N444" i="260"/>
  <c r="AQ444" i="260"/>
  <c r="BG444" i="260"/>
  <c r="Z444" i="260"/>
  <c r="J444" i="260"/>
  <c r="BD444" i="260"/>
  <c r="V444" i="260"/>
  <c r="AT434" i="260"/>
  <c r="AH434" i="260"/>
  <c r="BK434" i="260"/>
  <c r="BD434" i="260"/>
  <c r="N434" i="260"/>
  <c r="J434" i="260"/>
  <c r="V434" i="260"/>
  <c r="Z434" i="260"/>
  <c r="AD434" i="260"/>
  <c r="AN434" i="260"/>
  <c r="BG434" i="260"/>
  <c r="G449" i="260"/>
  <c r="AQ449" i="260"/>
  <c r="AN449" i="260"/>
  <c r="BD449" i="260"/>
  <c r="BG449" i="260"/>
  <c r="BK449" i="260"/>
  <c r="AT449" i="260"/>
  <c r="J449" i="260"/>
  <c r="R449" i="260"/>
  <c r="AD449" i="260"/>
  <c r="N449" i="260"/>
  <c r="R411" i="260"/>
  <c r="AT411" i="260"/>
  <c r="AD411" i="260"/>
  <c r="AZ411" i="260"/>
  <c r="G411" i="260"/>
  <c r="AH411" i="260"/>
  <c r="N411" i="260"/>
  <c r="BK411" i="260"/>
  <c r="BG411" i="260"/>
  <c r="J411" i="260"/>
  <c r="AT407" i="260"/>
  <c r="AN407" i="260"/>
  <c r="N407" i="260"/>
  <c r="AZ407" i="260"/>
  <c r="R407" i="260"/>
  <c r="V407" i="260"/>
  <c r="BK407" i="260"/>
  <c r="Z407" i="260"/>
  <c r="AQ407" i="260"/>
  <c r="BG407" i="260"/>
  <c r="AH407" i="260"/>
  <c r="R439" i="260"/>
  <c r="Z439" i="260"/>
  <c r="N439" i="260"/>
  <c r="BK439" i="260"/>
  <c r="AH439" i="260"/>
  <c r="AN439" i="260"/>
  <c r="G439" i="260"/>
  <c r="AQ439" i="260"/>
  <c r="AT439" i="260"/>
  <c r="AZ439" i="260"/>
  <c r="C477" i="260"/>
  <c r="C437" i="260"/>
  <c r="C463" i="260"/>
  <c r="C431" i="260"/>
  <c r="C446" i="260"/>
  <c r="C475" i="260"/>
  <c r="C470" i="260"/>
  <c r="C467" i="260"/>
  <c r="C468" i="260"/>
  <c r="C472" i="260"/>
  <c r="C473" i="260"/>
  <c r="C458" i="260"/>
  <c r="C460" i="260"/>
  <c r="C476" i="260"/>
  <c r="C465" i="260"/>
  <c r="C466" i="260"/>
  <c r="C455" i="260"/>
  <c r="C478" i="260"/>
  <c r="C469" i="260"/>
  <c r="C459" i="260"/>
  <c r="C474" i="260"/>
  <c r="C436" i="260"/>
  <c r="C432" i="260"/>
  <c r="C464" i="260"/>
  <c r="G17" i="226"/>
  <c r="J453" i="260" a="1"/>
  <c r="V411" i="260" a="1"/>
  <c r="AZ434" i="260" a="1"/>
  <c r="AH445" i="260" a="1"/>
  <c r="Z421" i="260" a="1"/>
  <c r="AQ411" i="260" a="1"/>
  <c r="AH449" i="260" a="1"/>
  <c r="AN421" i="260" a="1"/>
  <c r="AQ451" i="260" a="1"/>
  <c r="Z411" i="260" a="1"/>
  <c r="R434" i="260" a="1"/>
  <c r="AD439" i="260" a="1"/>
  <c r="AQ447" i="260" a="1"/>
  <c r="Z406" i="260" a="1"/>
  <c r="G453" i="260" a="1"/>
  <c r="R443" i="260" a="1"/>
  <c r="Z445" i="260" a="1"/>
  <c r="BG445" i="260" a="1"/>
  <c r="V435" i="260" a="1"/>
  <c r="Z442" i="260" a="1"/>
  <c r="AZ451" i="260" a="1"/>
  <c r="AZ449" i="260" a="1"/>
  <c r="Z433" i="260" a="1"/>
  <c r="AD412" i="260" a="1"/>
  <c r="AZ447" i="260" a="1"/>
  <c r="J439" i="260" a="1"/>
  <c r="AN435" i="260" a="1"/>
  <c r="AH442" i="260" a="1"/>
  <c r="G440" i="260" a="1"/>
  <c r="BD407" i="260" a="1"/>
  <c r="Z451" i="260" a="1"/>
  <c r="BD439" i="260" a="1"/>
  <c r="J407" i="260" a="1"/>
  <c r="AD441" i="260" a="1"/>
  <c r="BD445" i="260" a="1"/>
  <c r="N430" i="260" a="1"/>
  <c r="BK433" i="260" a="1"/>
  <c r="R433" i="260" a="1"/>
  <c r="BK453" i="260" a="1"/>
  <c r="AD407" i="260" a="1"/>
  <c r="AN444" i="260" a="1"/>
  <c r="V433" i="260" a="1"/>
  <c r="AH453" i="260" a="1"/>
  <c r="BD435" i="260" a="1"/>
  <c r="AD442" i="260" a="1"/>
  <c r="AZ435" i="260" a="1"/>
  <c r="V449" i="260" a="1"/>
  <c r="AT441" i="260" a="1"/>
  <c r="BK443" i="260" a="1"/>
  <c r="J445" i="260" a="1"/>
  <c r="G444" i="260" a="1"/>
  <c r="AZ430" i="260" a="1"/>
  <c r="AT421" i="260" a="1"/>
  <c r="AQ440" i="260" a="1"/>
  <c r="BD411" i="260" a="1"/>
  <c r="AH450" i="260" a="1"/>
  <c r="BG439" i="260" a="1"/>
  <c r="AZ406" i="260" a="1"/>
  <c r="AZ444" i="260" a="1"/>
  <c r="AN438" i="260" a="1"/>
  <c r="AQ434" i="260" a="1"/>
  <c r="AN411" i="260" a="1"/>
  <c r="G434" i="260" a="1"/>
  <c r="R450" i="260" a="1"/>
  <c r="R444" i="260" a="1"/>
  <c r="J443" i="260" a="1"/>
  <c r="AH452" i="260" a="1"/>
  <c r="BD430" i="260" a="1"/>
  <c r="J448" i="260" a="1"/>
  <c r="AH443" i="260" a="1"/>
  <c r="BK435" i="260" a="1"/>
  <c r="J406" i="260" a="1"/>
  <c r="AD440" i="260" a="1"/>
  <c r="AZ445" i="260" a="1"/>
  <c r="G407" i="260" a="1"/>
  <c r="Z449" i="260" a="1"/>
  <c r="V439" i="260" a="1"/>
  <c r="AT445" i="260" a="1"/>
  <c r="N443" i="260" a="1"/>
  <c r="AQ433" i="260" a="1"/>
  <c r="R440" i="260" a="1"/>
  <c r="BK421" i="260" a="1"/>
  <c r="V443" i="260" a="1"/>
  <c r="N447" i="260" a="1"/>
  <c r="G430" i="260" a="1"/>
  <c r="AT435" i="260" a="1"/>
  <c r="J430" i="260" a="1"/>
  <c r="Z468" i="260" a="1"/>
  <c r="AZ475" i="260" a="1"/>
  <c r="R432" i="260" a="1"/>
  <c r="AH472" i="260" a="1"/>
  <c r="V472" i="260" a="1"/>
  <c r="BG472" i="260" a="1"/>
  <c r="AD431" i="260" a="1"/>
  <c r="AQ466" i="260" a="1"/>
  <c r="AT478" i="260" a="1"/>
  <c r="N476" i="260" a="1"/>
  <c r="BD446" i="260" a="1"/>
  <c r="N459" i="260" a="1"/>
  <c r="AQ437" i="260" a="1"/>
  <c r="AD478" i="260" a="1"/>
  <c r="AH432" i="260" a="1"/>
  <c r="AQ473" i="260" a="1"/>
  <c r="BD477" i="260" a="1"/>
  <c r="Z478" i="260" a="1"/>
  <c r="R472" i="260" a="1"/>
  <c r="AT436" i="260" a="1"/>
  <c r="BG463" i="260" a="1"/>
  <c r="BD465" i="260" a="1"/>
  <c r="Z469" i="260" a="1"/>
  <c r="J476" i="260" a="1"/>
  <c r="G470" i="260" a="1"/>
  <c r="BK476" i="260" a="1"/>
  <c r="R465" i="260" a="1"/>
  <c r="AD459" i="260" a="1"/>
  <c r="AH469" i="260" a="1"/>
  <c r="N468" i="260" a="1"/>
  <c r="AH467" i="260" a="1"/>
  <c r="J475" i="260" a="1"/>
  <c r="BK446" i="260" a="1"/>
  <c r="BK458" i="260" a="1"/>
  <c r="R463" i="260" a="1"/>
  <c r="AN458" i="260" a="1"/>
  <c r="AH460" i="260" a="1"/>
  <c r="V458" i="260" a="1"/>
  <c r="Z458" i="260" a="1"/>
  <c r="AT465" i="260" a="1"/>
  <c r="Z466" i="260" a="1"/>
  <c r="BK472" i="260" a="1"/>
  <c r="N437" i="260" a="1"/>
  <c r="AD469" i="260" a="1"/>
  <c r="J431" i="260" a="1"/>
  <c r="AT466" i="260" a="1"/>
  <c r="Z437" i="260" a="1"/>
  <c r="AZ458" i="260" a="1"/>
  <c r="BD467" i="260" a="1"/>
  <c r="G436" i="260" a="1"/>
  <c r="BG468" i="260" a="1"/>
  <c r="AH446" i="260" a="1"/>
  <c r="Z477" i="260" a="1"/>
  <c r="J478" i="260" a="1"/>
  <c r="AT463" i="260" a="1"/>
  <c r="J466" i="260" a="1"/>
  <c r="AZ473" i="260" a="1"/>
  <c r="BD432" i="260" a="1"/>
  <c r="AZ464" i="260" a="1"/>
  <c r="AN477" i="260" a="1"/>
  <c r="BG455" i="260" a="1"/>
  <c r="N465" i="260" a="1"/>
  <c r="BD460" i="260" a="1"/>
  <c r="AH468" i="260" a="1"/>
  <c r="R470" i="260" a="1"/>
  <c r="G460" i="260" a="1"/>
  <c r="AD466" i="260" a="1"/>
  <c r="G463" i="260" a="1"/>
  <c r="AT464" i="260" a="1"/>
  <c r="AQ455" i="260" a="1"/>
  <c r="AD468" i="260" a="1"/>
  <c r="AH459" i="260" a="1"/>
  <c r="AT431" i="260" a="1"/>
  <c r="AH431" i="260" a="1"/>
  <c r="AQ470" i="260" a="1"/>
  <c r="R458" i="260" a="1"/>
  <c r="AH477" i="260" a="1"/>
  <c r="J473" i="260" a="1"/>
  <c r="Z467" i="260" a="1"/>
  <c r="G432" i="260" a="1"/>
  <c r="J477" i="260" a="1"/>
  <c r="AD476" i="260" a="1"/>
  <c r="N477" i="260" a="1"/>
  <c r="BD468" i="260" a="1"/>
  <c r="N472" i="260" a="1"/>
  <c r="AQ474" i="260" a="1"/>
  <c r="BG464" i="260" a="1"/>
  <c r="BG466" i="260" a="1"/>
  <c r="Z436" i="260" a="1"/>
  <c r="J459" i="260" a="1"/>
  <c r="AT460" i="260" a="1"/>
  <c r="J432" i="260" a="1"/>
  <c r="BD437" i="260" a="1"/>
  <c r="R459" i="260" a="1"/>
  <c r="AH436" i="260" a="1"/>
  <c r="V476" i="260" a="1"/>
  <c r="AQ446" i="260" a="1"/>
  <c r="AT432" i="260" a="1"/>
  <c r="AZ470" i="260" a="1"/>
  <c r="Z431" i="260" a="1"/>
  <c r="AH476" i="260" a="1"/>
  <c r="BK432" i="260" a="1"/>
  <c r="AN467" i="260" a="1"/>
  <c r="AQ431" i="260" a="1"/>
  <c r="BD455" i="260" a="1"/>
  <c r="N436" i="260" a="1"/>
  <c r="J465" i="260" a="1"/>
  <c r="R476" i="260" a="1"/>
  <c r="G467" i="260" a="1"/>
  <c r="N467" i="260" a="1"/>
  <c r="AZ478" i="260" a="1"/>
  <c r="AZ455" i="260" a="1"/>
  <c r="BK455" i="260" a="1"/>
  <c r="V467" i="260" a="1"/>
  <c r="J467" i="260" a="1"/>
  <c r="R464" i="260" a="1"/>
  <c r="J470" i="260" a="1"/>
  <c r="BK468" i="260" a="1"/>
  <c r="AQ468" i="260" a="1"/>
  <c r="R431" i="260" a="1"/>
  <c r="AN474" i="260" a="1"/>
  <c r="AT470" i="260" a="1"/>
  <c r="AD473" i="260" a="1"/>
  <c r="N469" i="260" a="1"/>
  <c r="V469" i="260" a="1"/>
  <c r="AZ467" i="260" a="1"/>
  <c r="AN472" i="260" a="1"/>
  <c r="AZ476" i="260" a="1"/>
  <c r="BD478" i="260" a="1"/>
  <c r="BD475" i="260" a="1"/>
  <c r="AQ467" i="260" a="1"/>
  <c r="G466" i="260" a="1"/>
  <c r="BG458" i="260" a="1"/>
  <c r="V463" i="260" a="1"/>
  <c r="R455" i="260" a="1"/>
  <c r="AQ460" i="260" a="1"/>
  <c r="Z465" i="260" a="1"/>
  <c r="BG476" i="260" a="1"/>
  <c r="BK465" i="260" a="1"/>
  <c r="V473" i="260" a="1"/>
  <c r="AZ437" i="260" a="1"/>
  <c r="AH437" i="260" a="1"/>
  <c r="BK469" i="260" a="1"/>
  <c r="BG465" i="260" a="1"/>
  <c r="Z475" i="260" a="1"/>
  <c r="Z476" i="260" a="1"/>
  <c r="R469" i="260" a="1"/>
  <c r="G473" i="260" a="1"/>
  <c r="AN436" i="260" a="1"/>
  <c r="AN431" i="260" a="1"/>
  <c r="AN470" i="260" a="1"/>
  <c r="AT467" i="260" a="1"/>
  <c r="AT455" i="260" a="1"/>
  <c r="BG478" i="260" a="1"/>
  <c r="AH465" i="260" a="1"/>
  <c r="J468" i="260" a="1"/>
  <c r="AD432" i="260" a="1"/>
  <c r="AN437" i="260" a="1"/>
  <c r="AQ472" i="260" a="1"/>
  <c r="Z446" i="260" a="1"/>
  <c r="G477" i="260" a="1"/>
  <c r="AN475" i="260" a="1"/>
  <c r="BK437" i="260" a="1"/>
  <c r="V465" i="260" a="1"/>
  <c r="AT469" i="260" a="1"/>
  <c r="G465" i="260" a="1"/>
  <c r="AQ478" i="260" a="1"/>
  <c r="BD431" i="260" a="1"/>
  <c r="BG432" i="260" a="1"/>
  <c r="G472" i="260" a="1"/>
  <c r="R475" i="260" a="1"/>
  <c r="BD436" i="260" a="1"/>
  <c r="AQ464" i="260" a="1"/>
  <c r="BD470" i="260" a="1"/>
  <c r="G469" i="260" a="1"/>
  <c r="AQ458" i="260" a="1"/>
  <c r="AD475" i="260" a="1"/>
  <c r="AT475" i="260" a="1"/>
  <c r="AD463" i="260" a="1"/>
  <c r="Z460" i="260" a="1"/>
  <c r="V437" i="260" a="1"/>
  <c r="AD436" i="260" a="1"/>
  <c r="BG459" i="260" a="1"/>
  <c r="G476" i="260" a="1"/>
  <c r="BD463" i="260" a="1"/>
  <c r="BK475" i="260" a="1"/>
  <c r="BD469" i="260" a="1"/>
  <c r="AN478" i="260" a="1"/>
  <c r="BD472" i="260" a="1"/>
  <c r="N478" i="260" a="1"/>
  <c r="BK474" i="260" a="1"/>
  <c r="AT446" i="260" a="1"/>
  <c r="R460" i="260" a="1"/>
  <c r="BG431" i="260" a="1"/>
  <c r="AD455" i="260" a="1"/>
  <c r="Z472" i="260" a="1"/>
  <c r="AH474" i="260" a="1"/>
  <c r="V464" i="260" a="1"/>
  <c r="AT472" i="260" a="1"/>
  <c r="AH455" i="260" a="1"/>
  <c r="AQ477" i="260" a="1"/>
  <c r="AQ463" i="260" a="1"/>
  <c r="AN463" i="260" a="1"/>
  <c r="V468" i="260" a="1"/>
  <c r="AZ465" i="260" a="1"/>
  <c r="AT477" i="260" a="1"/>
  <c r="V475" i="260" a="1"/>
  <c r="Z470" i="260" a="1"/>
  <c r="R436" i="260" a="1"/>
  <c r="V477" i="260" a="1"/>
  <c r="J460" i="260" a="1"/>
  <c r="BG474" i="260" a="1"/>
  <c r="V455" i="260" a="1"/>
  <c r="BD464" i="260" a="1"/>
  <c r="AQ475" i="260" a="1"/>
  <c r="AN468" i="260" a="1"/>
  <c r="BG467" i="260" a="1"/>
  <c r="BK463" i="260" a="1"/>
  <c r="BK436" i="260" a="1"/>
  <c r="V446" i="260" a="1"/>
  <c r="V432" i="260" a="1"/>
  <c r="AT473" i="260" a="1"/>
  <c r="R478" i="260" a="1"/>
  <c r="J469" i="260" a="1"/>
  <c r="G458" i="260" a="1"/>
  <c r="G437" i="260" a="1"/>
  <c r="N458" i="260" a="1"/>
  <c r="AD474" i="260" a="1"/>
  <c r="AN455" i="260" a="1"/>
  <c r="V459" i="260" a="1"/>
  <c r="BK431" i="260" a="1"/>
  <c r="AQ476" i="260" a="1"/>
  <c r="AD477" i="260" a="1"/>
  <c r="BG460" i="260" a="1"/>
  <c r="AD470" i="260" a="1"/>
  <c r="AD465" i="260" a="1"/>
  <c r="AZ474" i="260" a="1"/>
  <c r="R468" i="260" a="1"/>
  <c r="BK477" i="260" a="1"/>
  <c r="Z459" i="260" a="1"/>
  <c r="Z473" i="260" a="1"/>
  <c r="AT476" i="260" a="1"/>
  <c r="J464" i="260" a="1"/>
  <c r="AZ446" i="260" a="1"/>
  <c r="J455" i="260" a="1"/>
  <c r="BG436" i="260" a="1"/>
  <c r="BG470" i="260" a="1"/>
  <c r="BK473" i="260" a="1"/>
  <c r="AZ466" i="260" a="1"/>
  <c r="G468" i="260" a="1"/>
  <c r="AQ432" i="260" a="1"/>
  <c r="AN466" i="260" a="1"/>
  <c r="V470" i="260" a="1"/>
  <c r="AZ460" i="260" a="1"/>
  <c r="J474" i="260" a="1"/>
  <c r="N460" i="260" a="1"/>
  <c r="V466" i="260" a="1"/>
  <c r="AN464" i="260" a="1"/>
  <c r="AT437" i="260" a="1"/>
  <c r="J472" i="260" a="1"/>
  <c r="AN469" i="260" a="1"/>
  <c r="N463" i="260" a="1"/>
  <c r="AZ469" i="260" a="1"/>
  <c r="BG477" i="260" a="1"/>
  <c r="AH478" i="260" a="1"/>
  <c r="AZ431" i="260" a="1"/>
  <c r="BK470" i="260" a="1"/>
  <c r="AH458" i="260" a="1"/>
  <c r="J446" i="260" a="1"/>
  <c r="N470" i="260" a="1"/>
  <c r="BK464" i="260" a="1"/>
  <c r="V436" i="260" a="1"/>
  <c r="AZ436" i="260" a="1"/>
  <c r="AT458" i="260" a="1"/>
  <c r="N455" i="260" a="1"/>
  <c r="BD473" i="260" a="1"/>
  <c r="AN460" i="260" a="1"/>
  <c r="AT468" i="260" a="1"/>
  <c r="AH464" i="260" a="1"/>
  <c r="AH466" i="260" a="1"/>
  <c r="N432" i="260" a="1"/>
  <c r="Z432" i="260" a="1"/>
  <c r="N474" i="260" a="1"/>
  <c r="BK466" i="260" a="1"/>
  <c r="BK459" i="260" a="1"/>
  <c r="R477" i="260" a="1"/>
  <c r="V431" i="260" a="1"/>
  <c r="BK478" i="260" a="1"/>
  <c r="N431" i="260" a="1"/>
  <c r="V478" i="260" a="1"/>
  <c r="AZ463" i="260" a="1"/>
  <c r="AD460" i="260" a="1"/>
  <c r="AD446" i="260" a="1"/>
  <c r="AN473" i="260" a="1"/>
  <c r="AH470" i="260" a="1"/>
  <c r="G455" i="260" a="1"/>
  <c r="R467" i="260" a="1"/>
  <c r="N473" i="260" a="1"/>
  <c r="BD476" i="260" a="1"/>
  <c r="Z464" i="260" a="1"/>
  <c r="AZ459" i="260" a="1"/>
  <c r="AH475" i="260" a="1"/>
  <c r="R474" i="260" a="1"/>
  <c r="BD466" i="260" a="1"/>
  <c r="AZ477" i="260" a="1"/>
  <c r="R437" i="260" a="1"/>
  <c r="N446" i="260" a="1"/>
  <c r="G474" i="260" a="1"/>
  <c r="G475" i="260" a="1"/>
  <c r="BD459" i="260" a="1"/>
  <c r="R446" i="260" a="1"/>
  <c r="N466" i="260" a="1"/>
  <c r="N464" i="260" a="1"/>
  <c r="BG473" i="260" a="1"/>
  <c r="AN432" i="260" a="1"/>
  <c r="BG475" i="260" a="1"/>
  <c r="J437" i="260" a="1"/>
  <c r="AD467" i="260" a="1"/>
  <c r="BD458" i="260" a="1"/>
  <c r="BK467" i="260" a="1"/>
  <c r="AH473" i="260" a="1"/>
  <c r="AD464" i="260" a="1"/>
  <c r="AD472" i="260" a="1"/>
  <c r="J463" i="260" a="1"/>
  <c r="Z474" i="260" a="1"/>
  <c r="BG469" i="260" a="1"/>
  <c r="BD474" i="260" a="1"/>
  <c r="AN465" i="260" a="1"/>
  <c r="AT459" i="260" a="1"/>
  <c r="G431" i="260" a="1"/>
  <c r="AQ465" i="260" a="1"/>
  <c r="J436" i="260" a="1"/>
  <c r="AN476" i="260" a="1"/>
  <c r="AN459" i="260" a="1"/>
  <c r="R473" i="260" a="1"/>
  <c r="AZ432" i="260" a="1"/>
  <c r="V460" i="260" a="1"/>
  <c r="AQ469" i="260" a="1"/>
  <c r="AZ468" i="260" a="1"/>
  <c r="AQ459" i="260" a="1"/>
  <c r="N475" i="260" a="1"/>
  <c r="AD437" i="260" a="1"/>
  <c r="AD458" i="260" a="1"/>
  <c r="AH463" i="260" a="1"/>
  <c r="AQ436" i="260" a="1"/>
  <c r="G478" i="260" a="1"/>
  <c r="G459" i="260" a="1"/>
  <c r="V474" i="260" a="1"/>
  <c r="AN446" i="260" a="1"/>
  <c r="AT474" i="260" a="1"/>
  <c r="J458" i="260" a="1"/>
  <c r="BK460" i="260" a="1"/>
  <c r="G446" i="260" a="1"/>
  <c r="Z463" i="260" a="1"/>
  <c r="BG446" i="260" a="1"/>
  <c r="Z455" i="260" a="1"/>
  <c r="BG437" i="260" a="1"/>
  <c r="G464" i="260" a="1"/>
  <c r="AZ472" i="260" a="1"/>
  <c r="R466" i="260" a="1"/>
  <c r="J430" i="260" l="1"/>
  <c r="AT435" i="260"/>
  <c r="G430" i="260"/>
  <c r="N447" i="260"/>
  <c r="V443" i="260"/>
  <c r="BK421" i="260"/>
  <c r="R440" i="260"/>
  <c r="AQ433" i="260"/>
  <c r="N443" i="260"/>
  <c r="AT445" i="260"/>
  <c r="V439" i="260"/>
  <c r="Z449" i="260"/>
  <c r="G407" i="260"/>
  <c r="AZ445" i="260"/>
  <c r="AD440" i="260"/>
  <c r="J406" i="260"/>
  <c r="BK435" i="260"/>
  <c r="AH443" i="260"/>
  <c r="J448" i="260"/>
  <c r="BD430" i="260"/>
  <c r="AH452" i="260"/>
  <c r="J443" i="260"/>
  <c r="R444" i="260"/>
  <c r="R450" i="260"/>
  <c r="G434" i="260"/>
  <c r="AN411" i="260"/>
  <c r="AQ434" i="260"/>
  <c r="AN438" i="260"/>
  <c r="AZ444" i="260"/>
  <c r="AZ406" i="260"/>
  <c r="BG439" i="260"/>
  <c r="AH450" i="260"/>
  <c r="BD411" i="260"/>
  <c r="AQ440" i="260"/>
  <c r="AT421" i="260"/>
  <c r="AZ430" i="260"/>
  <c r="G444" i="260"/>
  <c r="J445" i="260"/>
  <c r="BK443" i="260"/>
  <c r="AT441" i="260"/>
  <c r="V449" i="260"/>
  <c r="AZ435" i="260"/>
  <c r="AD442" i="260"/>
  <c r="BD435" i="260"/>
  <c r="AH453" i="260"/>
  <c r="V433" i="260"/>
  <c r="AN444" i="260"/>
  <c r="AD407" i="260"/>
  <c r="BK453" i="260"/>
  <c r="R433" i="260"/>
  <c r="BK433" i="260"/>
  <c r="N430" i="260"/>
  <c r="BD445" i="260"/>
  <c r="AD441" i="260"/>
  <c r="J407" i="260"/>
  <c r="BD439" i="260"/>
  <c r="Z451" i="260"/>
  <c r="BD407" i="260"/>
  <c r="G440" i="260"/>
  <c r="AH442" i="260"/>
  <c r="AN435" i="260"/>
  <c r="J439" i="260"/>
  <c r="AZ447" i="260"/>
  <c r="AD412" i="260"/>
  <c r="Z433" i="260"/>
  <c r="AZ449" i="260"/>
  <c r="AZ451" i="260"/>
  <c r="Z442" i="260"/>
  <c r="V435" i="260"/>
  <c r="BG445" i="260"/>
  <c r="Z445" i="260"/>
  <c r="R443" i="260"/>
  <c r="G453" i="260"/>
  <c r="Z406" i="260"/>
  <c r="AQ447" i="260"/>
  <c r="AD439" i="260"/>
  <c r="R434" i="260"/>
  <c r="Z411" i="260"/>
  <c r="AQ451" i="260"/>
  <c r="AN421" i="260"/>
  <c r="AH449" i="260"/>
  <c r="AQ411" i="260"/>
  <c r="Z421" i="260"/>
  <c r="AH445" i="260"/>
  <c r="AZ434" i="260"/>
  <c r="V411" i="260"/>
  <c r="J453" i="260"/>
  <c r="BD459" i="260"/>
  <c r="AQ459" i="260"/>
  <c r="AN459" i="260"/>
  <c r="BG459" i="260"/>
  <c r="Z459" i="260"/>
  <c r="R459" i="260"/>
  <c r="AT459" i="260"/>
  <c r="N459" i="260"/>
  <c r="AZ459" i="260"/>
  <c r="J459" i="260"/>
  <c r="AD459" i="260"/>
  <c r="AH459" i="260"/>
  <c r="V459" i="260"/>
  <c r="BK459" i="260"/>
  <c r="G459" i="260"/>
  <c r="BK460" i="260"/>
  <c r="AT460" i="260"/>
  <c r="AZ460" i="260"/>
  <c r="AQ460" i="260"/>
  <c r="J460" i="260"/>
  <c r="Z460" i="260"/>
  <c r="BG460" i="260"/>
  <c r="N460" i="260"/>
  <c r="V460" i="260"/>
  <c r="AH460" i="260"/>
  <c r="AN460" i="260"/>
  <c r="G460" i="260"/>
  <c r="BD460" i="260"/>
  <c r="AD460" i="260"/>
  <c r="R460" i="260"/>
  <c r="AD473" i="260"/>
  <c r="Z473" i="260"/>
  <c r="AH473" i="260"/>
  <c r="AT473" i="260"/>
  <c r="BD473" i="260"/>
  <c r="BK473" i="260"/>
  <c r="AQ473" i="260"/>
  <c r="J473" i="260"/>
  <c r="G473" i="260"/>
  <c r="R473" i="260"/>
  <c r="AZ473" i="260"/>
  <c r="V473" i="260"/>
  <c r="AN473" i="260"/>
  <c r="BG473" i="260"/>
  <c r="N473" i="260"/>
  <c r="N472" i="260"/>
  <c r="AZ472" i="260"/>
  <c r="BG472" i="260"/>
  <c r="BD472" i="260"/>
  <c r="Z472" i="260"/>
  <c r="V472" i="260"/>
  <c r="AH472" i="260"/>
  <c r="AN472" i="260"/>
  <c r="BK472" i="260"/>
  <c r="AD472" i="260"/>
  <c r="J472" i="260"/>
  <c r="G472" i="260"/>
  <c r="AT472" i="260"/>
  <c r="R472" i="260"/>
  <c r="AQ472" i="260"/>
  <c r="G468" i="260"/>
  <c r="J468" i="260"/>
  <c r="AN468" i="260"/>
  <c r="AZ468" i="260"/>
  <c r="AD468" i="260"/>
  <c r="AH468" i="260"/>
  <c r="N468" i="260"/>
  <c r="Z468" i="260"/>
  <c r="AT468" i="260"/>
  <c r="BG468" i="260"/>
  <c r="BK468" i="260"/>
  <c r="AQ468" i="260"/>
  <c r="R468" i="260"/>
  <c r="BD468" i="260"/>
  <c r="V468" i="260"/>
  <c r="AN467" i="260"/>
  <c r="AZ467" i="260"/>
  <c r="AH467" i="260"/>
  <c r="AQ467" i="260"/>
  <c r="AT467" i="260"/>
  <c r="BD467" i="260"/>
  <c r="BK467" i="260"/>
  <c r="V467" i="260"/>
  <c r="R467" i="260"/>
  <c r="J467" i="260"/>
  <c r="Z467" i="260"/>
  <c r="BG467" i="260"/>
  <c r="N467" i="260"/>
  <c r="G467" i="260"/>
  <c r="AD467" i="260"/>
  <c r="BD470" i="260"/>
  <c r="BK470" i="260"/>
  <c r="BG470" i="260"/>
  <c r="AN470" i="260"/>
  <c r="AZ470" i="260"/>
  <c r="G470" i="260"/>
  <c r="AQ470" i="260"/>
  <c r="N470" i="260"/>
  <c r="AD470" i="260"/>
  <c r="J470" i="260"/>
  <c r="Z470" i="260"/>
  <c r="AH470" i="260"/>
  <c r="R470" i="260"/>
  <c r="AT470" i="260"/>
  <c r="V470" i="260"/>
  <c r="AH475" i="260"/>
  <c r="Z475" i="260"/>
  <c r="AN475" i="260"/>
  <c r="BK475" i="260"/>
  <c r="AQ475" i="260"/>
  <c r="BG475" i="260"/>
  <c r="V475" i="260"/>
  <c r="BD475" i="260"/>
  <c r="G475" i="260"/>
  <c r="AZ475" i="260"/>
  <c r="AT475" i="260"/>
  <c r="R475" i="260"/>
  <c r="AD475" i="260"/>
  <c r="N475" i="260"/>
  <c r="J475" i="260"/>
  <c r="AH465" i="260"/>
  <c r="AQ465" i="260"/>
  <c r="AD465" i="260"/>
  <c r="BG465" i="260"/>
  <c r="BD465" i="260"/>
  <c r="AZ465" i="260"/>
  <c r="AN465" i="260"/>
  <c r="Z465" i="260"/>
  <c r="AT465" i="260"/>
  <c r="V465" i="260"/>
  <c r="BK465" i="260"/>
  <c r="R465" i="260"/>
  <c r="J465" i="260"/>
  <c r="N465" i="260"/>
  <c r="G465" i="260"/>
  <c r="AQ446" i="260"/>
  <c r="AD446" i="260"/>
  <c r="Z446" i="260"/>
  <c r="BK446" i="260"/>
  <c r="AN446" i="260"/>
  <c r="V446" i="260"/>
  <c r="J446" i="260"/>
  <c r="BG446" i="260"/>
  <c r="AH446" i="260"/>
  <c r="G446" i="260"/>
  <c r="R446" i="260"/>
  <c r="AZ446" i="260"/>
  <c r="N446" i="260"/>
  <c r="BD446" i="260"/>
  <c r="AT446" i="260"/>
  <c r="AT469" i="260"/>
  <c r="AN469" i="260"/>
  <c r="AD469" i="260"/>
  <c r="AZ469" i="260"/>
  <c r="J469" i="260"/>
  <c r="BK469" i="260"/>
  <c r="N469" i="260"/>
  <c r="BD469" i="260"/>
  <c r="AH469" i="260"/>
  <c r="R469" i="260"/>
  <c r="Z469" i="260"/>
  <c r="V469" i="260"/>
  <c r="BG469" i="260"/>
  <c r="AQ469" i="260"/>
  <c r="G469" i="260"/>
  <c r="Z431" i="260"/>
  <c r="R431" i="260"/>
  <c r="N431" i="260"/>
  <c r="BK431" i="260"/>
  <c r="AT431" i="260"/>
  <c r="AN431" i="260"/>
  <c r="J431" i="260"/>
  <c r="AH431" i="260"/>
  <c r="BG431" i="260"/>
  <c r="V431" i="260"/>
  <c r="AZ431" i="260"/>
  <c r="G431" i="260"/>
  <c r="AD431" i="260"/>
  <c r="AQ431" i="260"/>
  <c r="BD431" i="260"/>
  <c r="BK463" i="260"/>
  <c r="V463" i="260"/>
  <c r="AT463" i="260"/>
  <c r="N463" i="260"/>
  <c r="R463" i="260"/>
  <c r="Z463" i="260"/>
  <c r="AN463" i="260"/>
  <c r="AZ463" i="260"/>
  <c r="G463" i="260"/>
  <c r="AQ463" i="260"/>
  <c r="BG463" i="260"/>
  <c r="AD463" i="260"/>
  <c r="BD463" i="260"/>
  <c r="AH463" i="260"/>
  <c r="J463" i="260"/>
  <c r="Z478" i="260"/>
  <c r="N478" i="260"/>
  <c r="AN478" i="260"/>
  <c r="G478" i="260"/>
  <c r="R478" i="260"/>
  <c r="BK478" i="260"/>
  <c r="AZ478" i="260"/>
  <c r="AT478" i="260"/>
  <c r="V478" i="260"/>
  <c r="AQ478" i="260"/>
  <c r="J478" i="260"/>
  <c r="BG478" i="260"/>
  <c r="AH478" i="260"/>
  <c r="BD478" i="260"/>
  <c r="AD478" i="260"/>
  <c r="G455" i="260"/>
  <c r="Z455" i="260"/>
  <c r="BG455" i="260"/>
  <c r="AT455" i="260"/>
  <c r="AD455" i="260"/>
  <c r="AN455" i="260"/>
  <c r="BK455" i="260"/>
  <c r="N455" i="260"/>
  <c r="AQ455" i="260"/>
  <c r="V455" i="260"/>
  <c r="BD455" i="260"/>
  <c r="AH455" i="260"/>
  <c r="R455" i="260"/>
  <c r="AZ455" i="260"/>
  <c r="J455" i="260"/>
  <c r="BG437" i="260"/>
  <c r="AN437" i="260"/>
  <c r="AD437" i="260"/>
  <c r="AH437" i="260"/>
  <c r="R437" i="260"/>
  <c r="AQ437" i="260"/>
  <c r="BD437" i="260"/>
  <c r="N437" i="260"/>
  <c r="AZ437" i="260"/>
  <c r="V437" i="260"/>
  <c r="J437" i="260"/>
  <c r="BK437" i="260"/>
  <c r="Z437" i="260"/>
  <c r="G437" i="260"/>
  <c r="AT437" i="260"/>
  <c r="AD466" i="260"/>
  <c r="R466" i="260"/>
  <c r="V466" i="260"/>
  <c r="N466" i="260"/>
  <c r="BG466" i="260"/>
  <c r="BD466" i="260"/>
  <c r="AZ466" i="260"/>
  <c r="AH466" i="260"/>
  <c r="J466" i="260"/>
  <c r="G466" i="260"/>
  <c r="Z466" i="260"/>
  <c r="BK466" i="260"/>
  <c r="AQ466" i="260"/>
  <c r="AN466" i="260"/>
  <c r="AT466" i="260"/>
  <c r="AH476" i="260"/>
  <c r="AQ476" i="260"/>
  <c r="AZ476" i="260"/>
  <c r="AN476" i="260"/>
  <c r="AT476" i="260"/>
  <c r="G476" i="260"/>
  <c r="BD476" i="260"/>
  <c r="N476" i="260"/>
  <c r="AD476" i="260"/>
  <c r="Z476" i="260"/>
  <c r="BG476" i="260"/>
  <c r="J476" i="260"/>
  <c r="V476" i="260"/>
  <c r="R476" i="260"/>
  <c r="BK476" i="260"/>
  <c r="Z458" i="260"/>
  <c r="AZ458" i="260"/>
  <c r="AN458" i="260"/>
  <c r="J458" i="260"/>
  <c r="AT458" i="260"/>
  <c r="R458" i="260"/>
  <c r="BD458" i="260"/>
  <c r="V458" i="260"/>
  <c r="N458" i="260"/>
  <c r="BK458" i="260"/>
  <c r="AH458" i="260"/>
  <c r="AD458" i="260"/>
  <c r="G458" i="260"/>
  <c r="BG458" i="260"/>
  <c r="AQ458" i="260"/>
  <c r="V464" i="260"/>
  <c r="BK464" i="260"/>
  <c r="G464" i="260"/>
  <c r="AD464" i="260"/>
  <c r="AT464" i="260"/>
  <c r="Z464" i="260"/>
  <c r="J464" i="260"/>
  <c r="BG464" i="260"/>
  <c r="AN464" i="260"/>
  <c r="BD464" i="260"/>
  <c r="AH464" i="260"/>
  <c r="R464" i="260"/>
  <c r="AZ464" i="260"/>
  <c r="AQ464" i="260"/>
  <c r="N464" i="260"/>
  <c r="G432" i="260"/>
  <c r="V432" i="260"/>
  <c r="AZ432" i="260"/>
  <c r="BK432" i="260"/>
  <c r="N432" i="260"/>
  <c r="J432" i="260"/>
  <c r="BD432" i="260"/>
  <c r="AD432" i="260"/>
  <c r="BG432" i="260"/>
  <c r="AT432" i="260"/>
  <c r="Z432" i="260"/>
  <c r="AN432" i="260"/>
  <c r="R432" i="260"/>
  <c r="AH432" i="260"/>
  <c r="AQ432" i="260"/>
  <c r="G436" i="260"/>
  <c r="N436" i="260"/>
  <c r="AZ436" i="260"/>
  <c r="V436" i="260"/>
  <c r="R436" i="260"/>
  <c r="BG436" i="260"/>
  <c r="BD436" i="260"/>
  <c r="AQ436" i="260"/>
  <c r="AH436" i="260"/>
  <c r="AD436" i="260"/>
  <c r="Z436" i="260"/>
  <c r="BK436" i="260"/>
  <c r="J436" i="260"/>
  <c r="AT436" i="260"/>
  <c r="AN436" i="260"/>
  <c r="AH474" i="260"/>
  <c r="BD474" i="260"/>
  <c r="AZ474" i="260"/>
  <c r="AT474" i="260"/>
  <c r="AQ474" i="260"/>
  <c r="R474" i="260"/>
  <c r="AN474" i="260"/>
  <c r="G474" i="260"/>
  <c r="BG474" i="260"/>
  <c r="AD474" i="260"/>
  <c r="BK474" i="260"/>
  <c r="J474" i="260"/>
  <c r="Z474" i="260"/>
  <c r="V474" i="260"/>
  <c r="N474" i="260"/>
  <c r="BK477" i="260"/>
  <c r="AQ477" i="260"/>
  <c r="AT477" i="260"/>
  <c r="AD477" i="260"/>
  <c r="AN477" i="260"/>
  <c r="J477" i="260"/>
  <c r="V477" i="260"/>
  <c r="N477" i="260"/>
  <c r="AZ477" i="260"/>
  <c r="BD477" i="260"/>
  <c r="R477" i="260"/>
  <c r="Z477" i="260"/>
  <c r="BG477" i="260"/>
  <c r="AH477" i="260"/>
  <c r="G477" i="260"/>
  <c r="C484" i="260"/>
  <c r="C485" i="260"/>
  <c r="C498" i="260"/>
  <c r="C497" i="260"/>
  <c r="C493" i="260"/>
  <c r="C492" i="260"/>
  <c r="C495" i="260"/>
  <c r="C500" i="260"/>
  <c r="C490" i="260"/>
  <c r="C471" i="260"/>
  <c r="C494" i="260"/>
  <c r="C456" i="260"/>
  <c r="C488" i="260"/>
  <c r="C503" i="260"/>
  <c r="C480" i="260"/>
  <c r="C462" i="260"/>
  <c r="C491" i="260"/>
  <c r="C501" i="260"/>
  <c r="C483" i="260"/>
  <c r="C489" i="260"/>
  <c r="C457" i="260"/>
  <c r="C461" i="260"/>
  <c r="C499" i="260"/>
  <c r="C502" i="260"/>
  <c r="G11" i="226"/>
  <c r="G12" i="226"/>
  <c r="G13" i="226"/>
  <c r="G14" i="226"/>
  <c r="G15" i="226"/>
  <c r="G16" i="226"/>
  <c r="C514" i="260" l="1"/>
  <c r="C487" i="260"/>
  <c r="C505" i="260"/>
  <c r="C528" i="260"/>
  <c r="C513" i="260"/>
  <c r="C519" i="260"/>
  <c r="C496" i="260"/>
  <c r="C515" i="260"/>
  <c r="C525" i="260"/>
  <c r="C520" i="260"/>
  <c r="C517" i="260"/>
  <c r="C526" i="260"/>
  <c r="C518" i="260"/>
  <c r="C516" i="260"/>
  <c r="C522" i="260"/>
  <c r="C523" i="260"/>
  <c r="C481" i="260"/>
  <c r="C486" i="260"/>
  <c r="C508" i="260"/>
  <c r="C527" i="260"/>
  <c r="C524" i="260"/>
  <c r="C510" i="260"/>
  <c r="C482" i="260"/>
  <c r="C509" i="260"/>
  <c r="E3" i="105" a="1"/>
  <c r="E3" i="105" s="1"/>
  <c r="E4" i="105" a="1"/>
  <c r="E4" i="105" s="1"/>
  <c r="E5" i="105" a="1"/>
  <c r="E5" i="105" s="1"/>
  <c r="E6" i="105" a="1"/>
  <c r="E6" i="105" s="1"/>
  <c r="E7" i="105" a="1"/>
  <c r="E7" i="105" s="1"/>
  <c r="E8" i="105" a="1"/>
  <c r="E8" i="105" s="1"/>
  <c r="E9" i="105" a="1"/>
  <c r="E9" i="105" s="1"/>
  <c r="E10" i="105" a="1"/>
  <c r="E10" i="105" s="1"/>
  <c r="E11" i="105" a="1"/>
  <c r="E11" i="105" s="1"/>
  <c r="E12" i="105" a="1"/>
  <c r="E12" i="105" s="1"/>
  <c r="E13" i="105" a="1"/>
  <c r="E13" i="105" s="1"/>
  <c r="E14" i="105" a="1"/>
  <c r="E14" i="105" s="1"/>
  <c r="E15" i="105" a="1"/>
  <c r="E15" i="105" s="1"/>
  <c r="E16" i="105" a="1"/>
  <c r="E16" i="105" s="1"/>
  <c r="E17" i="105" a="1"/>
  <c r="E17" i="105" s="1"/>
  <c r="E18" i="105" a="1"/>
  <c r="E18" i="105" s="1"/>
  <c r="E19" i="105" a="1"/>
  <c r="E19" i="105" s="1"/>
  <c r="E20" i="105" a="1"/>
  <c r="E20" i="105" s="1"/>
  <c r="E21" i="105" a="1"/>
  <c r="E21" i="105" s="1"/>
  <c r="E22" i="105" a="1"/>
  <c r="E22" i="105" s="1"/>
  <c r="E23" i="105" a="1"/>
  <c r="E23" i="105" s="1"/>
  <c r="E24" i="105" a="1"/>
  <c r="E24" i="105" s="1"/>
  <c r="E25" i="105" a="1"/>
  <c r="E25" i="105" s="1"/>
  <c r="E26" i="105" a="1"/>
  <c r="E26" i="105" s="1"/>
  <c r="E27" i="105" a="1"/>
  <c r="E27" i="105" s="1"/>
  <c r="E28" i="105" a="1"/>
  <c r="E28" i="105" s="1"/>
  <c r="E29" i="105" a="1"/>
  <c r="E29" i="105" s="1"/>
  <c r="E30" i="105" a="1"/>
  <c r="E30" i="105" s="1"/>
  <c r="E31" i="105" a="1"/>
  <c r="E31" i="105" s="1"/>
  <c r="E32" i="105" a="1"/>
  <c r="E32" i="105" s="1"/>
  <c r="E33" i="105" a="1"/>
  <c r="E33" i="105" s="1"/>
  <c r="E34" i="105" a="1"/>
  <c r="E34" i="105" s="1"/>
  <c r="E35" i="105" a="1"/>
  <c r="E35" i="105" s="1"/>
  <c r="E36" i="105" a="1"/>
  <c r="E36" i="105" s="1"/>
  <c r="E37" i="105" a="1"/>
  <c r="E37" i="105" s="1"/>
  <c r="E38" i="105" a="1"/>
  <c r="E38" i="105" s="1"/>
  <c r="E39" i="105" a="1"/>
  <c r="E39" i="105" s="1"/>
  <c r="E40" i="105" a="1"/>
  <c r="E40" i="105" s="1"/>
  <c r="E41" i="105" a="1"/>
  <c r="E41" i="105" s="1"/>
  <c r="E42" i="105" a="1"/>
  <c r="E42" i="105" s="1"/>
  <c r="E43" i="105" a="1"/>
  <c r="E43" i="105" s="1"/>
  <c r="E44" i="105" a="1"/>
  <c r="E44" i="105" s="1"/>
  <c r="E45" i="105" a="1"/>
  <c r="E45" i="105" s="1"/>
  <c r="E46" i="105" a="1"/>
  <c r="E46" i="105" s="1"/>
  <c r="E47" i="105" a="1"/>
  <c r="E47" i="105" s="1"/>
  <c r="E48" i="105" a="1"/>
  <c r="E48" i="105" s="1"/>
  <c r="E49" i="105" a="1"/>
  <c r="E49" i="105" s="1"/>
  <c r="E50" i="105" a="1"/>
  <c r="E50" i="105" s="1"/>
  <c r="D5" i="105"/>
  <c r="D7" i="105"/>
  <c r="D12" i="105"/>
  <c r="D13" i="105"/>
  <c r="D14" i="105"/>
  <c r="D15" i="105"/>
  <c r="D16" i="105"/>
  <c r="D17" i="105"/>
  <c r="D18" i="105"/>
  <c r="D19" i="105"/>
  <c r="D20" i="105"/>
  <c r="D21" i="105"/>
  <c r="D23" i="105"/>
  <c r="D24" i="105"/>
  <c r="D25" i="105"/>
  <c r="D26" i="105"/>
  <c r="D28" i="105"/>
  <c r="D29" i="105"/>
  <c r="D30" i="105"/>
  <c r="D31" i="105"/>
  <c r="D33" i="105"/>
  <c r="D34" i="105"/>
  <c r="D35" i="105"/>
  <c r="D36" i="105"/>
  <c r="D37" i="105"/>
  <c r="D38" i="105"/>
  <c r="D39" i="105"/>
  <c r="D40" i="105"/>
  <c r="D41" i="105"/>
  <c r="D42" i="105"/>
  <c r="D43" i="105"/>
  <c r="D44" i="105"/>
  <c r="D45" i="105"/>
  <c r="D46" i="105"/>
  <c r="D47" i="105"/>
  <c r="D48" i="105"/>
  <c r="D49" i="105"/>
  <c r="D50" i="105"/>
  <c r="AZ485" i="260" a="1"/>
  <c r="R497" i="260" a="1"/>
  <c r="V483" i="260" a="1"/>
  <c r="V462" i="260" a="1"/>
  <c r="J462" i="260" a="1"/>
  <c r="AN503" i="260" a="1"/>
  <c r="AN489" i="260" a="1"/>
  <c r="J499" i="260" a="1"/>
  <c r="BG480" i="260" a="1"/>
  <c r="G461" i="260" a="1"/>
  <c r="AQ485" i="260" a="1"/>
  <c r="AQ501" i="260" a="1"/>
  <c r="V489" i="260" a="1"/>
  <c r="G489" i="260" a="1"/>
  <c r="AD480" i="260" a="1"/>
  <c r="AH490" i="260" a="1"/>
  <c r="AH497" i="260" a="1"/>
  <c r="AZ495" i="260" a="1"/>
  <c r="AH492" i="260" a="1"/>
  <c r="AD484" i="260" a="1"/>
  <c r="N484" i="260" a="1"/>
  <c r="Z480" i="260" a="1"/>
  <c r="V500" i="260" a="1"/>
  <c r="V503" i="260" a="1"/>
  <c r="AD495" i="260" a="1"/>
  <c r="BG462" i="260" a="1"/>
  <c r="G491" i="260" a="1"/>
  <c r="AH484" i="260" a="1"/>
  <c r="AZ488" i="260" a="1"/>
  <c r="AZ497" i="260" a="1"/>
  <c r="V494" i="260" a="1"/>
  <c r="N462" i="260" a="1"/>
  <c r="AT500" i="260" a="1"/>
  <c r="Z502" i="260" a="1"/>
  <c r="AD501" i="260" a="1"/>
  <c r="Z500" i="260" a="1"/>
  <c r="G471" i="260" a="1"/>
  <c r="N456" i="260" a="1"/>
  <c r="V485" i="260" a="1"/>
  <c r="AZ483" i="260" a="1"/>
  <c r="AT485" i="260" a="1"/>
  <c r="AN457" i="260" a="1"/>
  <c r="AZ490" i="260" a="1"/>
  <c r="Z456" i="260" a="1"/>
  <c r="BG492" i="260" a="1"/>
  <c r="J491" i="260" a="1"/>
  <c r="AQ495" i="260" a="1"/>
  <c r="BK492" i="260" a="1"/>
  <c r="BK498" i="260" a="1"/>
  <c r="R498" i="260" a="1"/>
  <c r="AT497" i="260" a="1"/>
  <c r="J489" i="260" a="1"/>
  <c r="AZ498" i="260" a="1"/>
  <c r="AN500" i="260" a="1"/>
  <c r="BG489" i="260" a="1"/>
  <c r="AT488" i="260" a="1"/>
  <c r="AD457" i="260" a="1"/>
  <c r="N461" i="260" a="1"/>
  <c r="BK499" i="260" a="1"/>
  <c r="Z485" i="260" a="1"/>
  <c r="AN502" i="260" a="1"/>
  <c r="AH485" i="260" a="1"/>
  <c r="BD490" i="260" a="1"/>
  <c r="AH494" i="260" a="1"/>
  <c r="G494" i="260" a="1"/>
  <c r="AH462" i="260" a="1"/>
  <c r="G485" i="260" a="1"/>
  <c r="AT495" i="260" a="1"/>
  <c r="AN462" i="260" a="1"/>
  <c r="AH499" i="260" a="1"/>
  <c r="AD494" i="260" a="1"/>
  <c r="BD480" i="260" a="1"/>
  <c r="BD492" i="260" a="1"/>
  <c r="AT471" i="260" a="1"/>
  <c r="G490" i="260" a="1"/>
  <c r="AT493" i="260" a="1"/>
  <c r="AN497" i="260" a="1"/>
  <c r="V471" i="260" a="1"/>
  <c r="BG495" i="260" a="1"/>
  <c r="N471" i="260" a="1"/>
  <c r="Z493" i="260" a="1"/>
  <c r="J495" i="260" a="1"/>
  <c r="AN499" i="260" a="1"/>
  <c r="BG488" i="260" a="1"/>
  <c r="AQ457" i="260" a="1"/>
  <c r="Z497" i="260" a="1"/>
  <c r="J457" i="260" a="1"/>
  <c r="G498" i="260" a="1"/>
  <c r="AQ500" i="260" a="1"/>
  <c r="AN480" i="260" a="1"/>
  <c r="BD485" i="260" a="1"/>
  <c r="BG491" i="260" a="1"/>
  <c r="BK494" i="260" a="1"/>
  <c r="AH493" i="260" a="1"/>
  <c r="AT494" i="260" a="1"/>
  <c r="R485" i="260" a="1"/>
  <c r="BD483" i="260" a="1"/>
  <c r="AQ456" i="260" a="1"/>
  <c r="R471" i="260" a="1"/>
  <c r="AQ490" i="260" a="1"/>
  <c r="AN491" i="260" a="1"/>
  <c r="AZ489" i="260" a="1"/>
  <c r="AZ500" i="260" a="1"/>
  <c r="G500" i="260" a="1"/>
  <c r="BD495" i="260" a="1"/>
  <c r="BG497" i="260" a="1"/>
  <c r="BK502" i="260" a="1"/>
  <c r="G497" i="260" a="1"/>
  <c r="Z494" i="260" a="1"/>
  <c r="AN483" i="260" a="1"/>
  <c r="BK457" i="260" a="1"/>
  <c r="AD492" i="260" a="1"/>
  <c r="AT492" i="260" a="1"/>
  <c r="AD461" i="260" a="1"/>
  <c r="AH503" i="260" a="1"/>
  <c r="AD497" i="260" a="1"/>
  <c r="BD489" i="260" a="1"/>
  <c r="J483" i="260" a="1"/>
  <c r="V480" i="260" a="1"/>
  <c r="BG498" i="260" a="1"/>
  <c r="G483" i="260" a="1"/>
  <c r="J492" i="260" a="1"/>
  <c r="R493" i="260" a="1"/>
  <c r="R489" i="260" a="1"/>
  <c r="N497" i="260" a="1"/>
  <c r="BG503" i="260" a="1"/>
  <c r="AT461" i="260" a="1"/>
  <c r="G457" i="260" a="1"/>
  <c r="BK456" i="260" a="1"/>
  <c r="Z501" i="260" a="1"/>
  <c r="AH461" i="260" a="1"/>
  <c r="BD494" i="260" a="1"/>
  <c r="AT501" i="260" a="1"/>
  <c r="AZ499" i="260" a="1"/>
  <c r="G493" i="260" a="1"/>
  <c r="G480" i="260" a="1"/>
  <c r="J488" i="260" a="1"/>
  <c r="BK480" i="260" a="1"/>
  <c r="BG485" i="260" a="1"/>
  <c r="AT489" i="260" a="1"/>
  <c r="BK490" i="260" a="1"/>
  <c r="AQ484" i="260" a="1"/>
  <c r="N488" i="260" a="1"/>
  <c r="BK500" i="260" a="1"/>
  <c r="BD501" i="260" a="1"/>
  <c r="N480" i="260" a="1"/>
  <c r="V491" i="260" a="1"/>
  <c r="AQ489" i="260" a="1"/>
  <c r="AN501" i="260" a="1"/>
  <c r="J502" i="260" a="1"/>
  <c r="J498" i="260" a="1"/>
  <c r="BK501" i="260" a="1"/>
  <c r="AT502" i="260" a="1"/>
  <c r="G484" i="260" a="1"/>
  <c r="BG457" i="260" a="1"/>
  <c r="J493" i="260" a="1"/>
  <c r="Z461" i="260" a="1"/>
  <c r="N495" i="260" a="1"/>
  <c r="N493" i="260" a="1"/>
  <c r="AT457" i="260" a="1"/>
  <c r="AT456" i="260" a="1"/>
  <c r="AH502" i="260" a="1"/>
  <c r="AQ497" i="260" a="1"/>
  <c r="AH483" i="260" a="1"/>
  <c r="BG494" i="260" a="1"/>
  <c r="AZ462" i="260" a="1"/>
  <c r="R492" i="260" a="1"/>
  <c r="J461" i="260" a="1"/>
  <c r="G503" i="260" a="1"/>
  <c r="AT499" i="260" a="1"/>
  <c r="AD485" i="260" a="1"/>
  <c r="AD499" i="260" a="1"/>
  <c r="Z492" i="260" a="1"/>
  <c r="V492" i="260" a="1"/>
  <c r="AN461" i="260" a="1"/>
  <c r="V488" i="260" a="1"/>
  <c r="AD471" i="260" a="1"/>
  <c r="V457" i="260" a="1"/>
  <c r="N485" i="260" a="1"/>
  <c r="R480" i="260" a="1"/>
  <c r="V456" i="260" a="1"/>
  <c r="Z488" i="260" a="1"/>
  <c r="AH498" i="260" a="1"/>
  <c r="BD471" i="260" a="1"/>
  <c r="AN493" i="260" a="1"/>
  <c r="N491" i="260" a="1"/>
  <c r="AQ480" i="260" a="1"/>
  <c r="BK503" i="260" a="1"/>
  <c r="AD489" i="260" a="1"/>
  <c r="BK483" i="260" a="1"/>
  <c r="BK488" i="260" a="1"/>
  <c r="V461" i="260" a="1"/>
  <c r="BD502" i="260" a="1"/>
  <c r="BG499" i="260" a="1"/>
  <c r="BG484" i="260" a="1"/>
  <c r="Z503" i="260" a="1"/>
  <c r="J500" i="260" a="1"/>
  <c r="AZ492" i="260" a="1"/>
  <c r="V497" i="260" a="1"/>
  <c r="BD497" i="260" a="1"/>
  <c r="AT462" i="260" a="1"/>
  <c r="BK493" i="260" a="1"/>
  <c r="AN498" i="260" a="1"/>
  <c r="AN456" i="260" a="1"/>
  <c r="AN488" i="260" a="1"/>
  <c r="BD456" i="260" a="1"/>
  <c r="R490" i="260" a="1"/>
  <c r="N501" i="260" a="1"/>
  <c r="Z491" i="260" a="1"/>
  <c r="J497" i="260" a="1"/>
  <c r="V502" i="260" a="1"/>
  <c r="R462" i="260" a="1"/>
  <c r="G502" i="260" a="1"/>
  <c r="AN494" i="260" a="1"/>
  <c r="G488" i="260" a="1"/>
  <c r="Z483" i="260" a="1"/>
  <c r="Z495" i="260" a="1"/>
  <c r="AQ461" i="260" a="1"/>
  <c r="J456" i="260" a="1"/>
  <c r="AT491" i="260" a="1"/>
  <c r="AD500" i="260" a="1"/>
  <c r="AQ462" i="260" a="1"/>
  <c r="N500" i="260" a="1"/>
  <c r="AZ503" i="260" a="1"/>
  <c r="BD500" i="260" a="1"/>
  <c r="V493" i="260" a="1"/>
  <c r="R499" i="260" a="1"/>
  <c r="J490" i="260" a="1"/>
  <c r="AH480" i="260" a="1"/>
  <c r="BG483" i="260" a="1"/>
  <c r="BD491" i="260" a="1"/>
  <c r="AD456" i="260" a="1"/>
  <c r="AD491" i="260" a="1"/>
  <c r="BD484" i="260" a="1"/>
  <c r="AH489" i="260" a="1"/>
  <c r="R483" i="260" a="1"/>
  <c r="V499" i="260" a="1"/>
  <c r="N498" i="260" a="1"/>
  <c r="V490" i="260" a="1"/>
  <c r="J484" i="260" a="1"/>
  <c r="N490" i="260" a="1"/>
  <c r="Z489" i="260" a="1"/>
  <c r="BG461" i="260" a="1"/>
  <c r="BD457" i="260" a="1"/>
  <c r="N503" i="260" a="1"/>
  <c r="AT484" i="260" a="1"/>
  <c r="G456" i="260" a="1"/>
  <c r="BG500" i="260" a="1"/>
  <c r="AZ502" i="260" a="1"/>
  <c r="AH457" i="260" a="1"/>
  <c r="Z499" i="260" a="1"/>
  <c r="N483" i="260" a="1"/>
  <c r="G462" i="260" a="1"/>
  <c r="Z498" i="260" a="1"/>
  <c r="AQ483" i="260" a="1"/>
  <c r="Z457" i="260" a="1"/>
  <c r="AZ471" i="260" a="1"/>
  <c r="R500" i="260" a="1"/>
  <c r="AD483" i="260" a="1"/>
  <c r="BK462" i="260" a="1"/>
  <c r="BD461" i="260" a="1"/>
  <c r="AQ493" i="260" a="1"/>
  <c r="G492" i="260" a="1"/>
  <c r="J494" i="260" a="1"/>
  <c r="AZ484" i="260" a="1"/>
  <c r="BG493" i="260" a="1"/>
  <c r="R495" i="260" a="1"/>
  <c r="AD488" i="260" a="1"/>
  <c r="AZ493" i="260" a="1"/>
  <c r="Z490" i="260" a="1"/>
  <c r="BD498" i="260" a="1"/>
  <c r="R456" i="260" a="1"/>
  <c r="AQ498" i="260" a="1"/>
  <c r="N457" i="260" a="1"/>
  <c r="AH500" i="260" a="1"/>
  <c r="BD499" i="260" a="1"/>
  <c r="J471" i="260" a="1"/>
  <c r="R488" i="260" a="1"/>
  <c r="BK495" i="260" a="1"/>
  <c r="AH471" i="260" a="1"/>
  <c r="G495" i="260" a="1"/>
  <c r="AT490" i="260" a="1"/>
  <c r="BK491" i="260" a="1"/>
  <c r="AH488" i="260" a="1"/>
  <c r="BD493" i="260" a="1"/>
  <c r="Z471" i="260" a="1"/>
  <c r="V484" i="260" a="1"/>
  <c r="BD503" i="260" a="1"/>
  <c r="BD488" i="260" a="1"/>
  <c r="J503" i="260" a="1"/>
  <c r="AQ471" i="260" a="1"/>
  <c r="R501" i="260" a="1"/>
  <c r="AD490" i="260" a="1"/>
  <c r="BK471" i="260" a="1"/>
  <c r="AQ494" i="260" a="1"/>
  <c r="G501" i="260" a="1"/>
  <c r="N502" i="260" a="1"/>
  <c r="AH456" i="260" a="1"/>
  <c r="BG501" i="260" a="1"/>
  <c r="BK489" i="260" a="1"/>
  <c r="AD462" i="260" a="1"/>
  <c r="J501" i="260" a="1"/>
  <c r="AD493" i="260" a="1"/>
  <c r="Z462" i="260" a="1"/>
  <c r="R503" i="260" a="1"/>
  <c r="BD462" i="260" a="1"/>
  <c r="G499" i="260" a="1"/>
  <c r="AN484" i="260" a="1"/>
  <c r="AQ502" i="260" a="1"/>
  <c r="AT503" i="260" a="1"/>
  <c r="R494" i="260" a="1"/>
  <c r="AT483" i="260" a="1"/>
  <c r="J480" i="260" a="1"/>
  <c r="BK461" i="260" a="1"/>
  <c r="AQ492" i="260" a="1"/>
  <c r="BK497" i="260" a="1"/>
  <c r="R484" i="260" a="1"/>
  <c r="AN485" i="260" a="1"/>
  <c r="AQ499" i="260" a="1"/>
  <c r="AN495" i="260" a="1"/>
  <c r="BG471" i="260" a="1"/>
  <c r="BK484" i="260" a="1"/>
  <c r="N492" i="260" a="1"/>
  <c r="AZ456" i="260" a="1"/>
  <c r="AN471" i="260" a="1"/>
  <c r="N489" i="260" a="1"/>
  <c r="R502" i="260" a="1"/>
  <c r="V501" i="260" a="1"/>
  <c r="AQ488" i="260" a="1"/>
  <c r="R457" i="260" a="1"/>
  <c r="Z484" i="260" a="1"/>
  <c r="AH495" i="260" a="1"/>
  <c r="AT498" i="260" a="1"/>
  <c r="AD502" i="260" a="1"/>
  <c r="R491" i="260" a="1"/>
  <c r="AZ480" i="260" a="1"/>
  <c r="N499" i="260" a="1"/>
  <c r="AQ503" i="260" a="1"/>
  <c r="J485" i="260" a="1"/>
  <c r="AZ494" i="260" a="1"/>
  <c r="AH501" i="260" a="1"/>
  <c r="BK485" i="260" a="1"/>
  <c r="N494" i="260" a="1"/>
  <c r="AN492" i="260" a="1"/>
  <c r="AN490" i="260" a="1"/>
  <c r="BG490" i="260" a="1"/>
  <c r="AD503" i="260" a="1"/>
  <c r="AH491" i="260" a="1"/>
  <c r="BG502" i="260" a="1"/>
  <c r="AZ457" i="260" a="1"/>
  <c r="V495" i="260" a="1"/>
  <c r="R461" i="260" a="1"/>
  <c r="AQ491" i="260" a="1"/>
  <c r="AD498" i="260" a="1"/>
  <c r="AT480" i="260" a="1"/>
  <c r="AZ461" i="260" a="1"/>
  <c r="AZ491" i="260" a="1"/>
  <c r="AZ501" i="260" a="1"/>
  <c r="V498" i="260" a="1"/>
  <c r="BG456" i="260" a="1"/>
  <c r="G498" i="260" l="1"/>
  <c r="AQ491" i="260"/>
  <c r="AD494" i="260"/>
  <c r="BD485" i="260"/>
  <c r="BD492" i="260"/>
  <c r="J483" i="260"/>
  <c r="BK456" i="260"/>
  <c r="AN488" i="260"/>
  <c r="Z461" i="260"/>
  <c r="BG497" i="260"/>
  <c r="R492" i="260"/>
  <c r="J471" i="260"/>
  <c r="AD483" i="260"/>
  <c r="AQ490" i="260"/>
  <c r="N493" i="260"/>
  <c r="BK483" i="260"/>
  <c r="BD491" i="260"/>
  <c r="J499" i="260"/>
  <c r="BD490" i="260"/>
  <c r="BK457" i="260"/>
  <c r="AT497" i="260"/>
  <c r="R456" i="260"/>
  <c r="G457" i="260"/>
  <c r="N501" i="260"/>
  <c r="R502" i="260"/>
  <c r="AQ500" i="260"/>
  <c r="G492" i="260"/>
  <c r="R488" i="260"/>
  <c r="V502" i="260"/>
  <c r="V493" i="260"/>
  <c r="AQ494" i="260"/>
  <c r="AD480" i="260"/>
  <c r="V489" i="260"/>
  <c r="Z492" i="260"/>
  <c r="BK502" i="260"/>
  <c r="G471" i="260"/>
  <c r="AN480" i="260"/>
  <c r="N471" i="260"/>
  <c r="V490" i="260"/>
  <c r="G480" i="260"/>
  <c r="BK462" i="260"/>
  <c r="N492" i="260"/>
  <c r="V491" i="260"/>
  <c r="G456" i="260"/>
  <c r="BG488" i="260"/>
  <c r="V497" i="260"/>
  <c r="AT503" i="260"/>
  <c r="AH497" i="260"/>
  <c r="AZ488" i="260"/>
  <c r="BK503" i="260"/>
  <c r="AH502" i="260"/>
  <c r="BK499" i="260"/>
  <c r="BG484" i="260"/>
  <c r="BG491" i="260"/>
  <c r="V485" i="260"/>
  <c r="BG493" i="260"/>
  <c r="R461" i="260"/>
  <c r="AH501" i="260"/>
  <c r="AN461" i="260"/>
  <c r="AH488" i="260"/>
  <c r="R500" i="260"/>
  <c r="AN495" i="260"/>
  <c r="AZ471" i="260"/>
  <c r="Z490" i="260"/>
  <c r="AZ497" i="260"/>
  <c r="BG502" i="260"/>
  <c r="J503" i="260"/>
  <c r="AD457" i="260"/>
  <c r="AH493" i="260"/>
  <c r="AQ462" i="260"/>
  <c r="AQ498" i="260"/>
  <c r="BK493" i="260"/>
  <c r="BD493" i="260"/>
  <c r="AQ497" i="260"/>
  <c r="G499" i="260"/>
  <c r="AD501" i="260"/>
  <c r="V484" i="260"/>
  <c r="R499" i="260"/>
  <c r="AH483" i="260"/>
  <c r="Z480" i="260"/>
  <c r="V488" i="260"/>
  <c r="G494" i="260"/>
  <c r="BG456" i="260"/>
  <c r="AH492" i="260"/>
  <c r="AH484" i="260"/>
  <c r="AH471" i="260"/>
  <c r="Z502" i="260"/>
  <c r="AD497" i="260"/>
  <c r="J488" i="260"/>
  <c r="Z471" i="260"/>
  <c r="BG457" i="260"/>
  <c r="Z483" i="260"/>
  <c r="AD500" i="260"/>
  <c r="BD457" i="260"/>
  <c r="AN498" i="260"/>
  <c r="BG489" i="260"/>
  <c r="G497" i="260"/>
  <c r="BK471" i="260"/>
  <c r="AZ498" i="260"/>
  <c r="BD494" i="260"/>
  <c r="AZ500" i="260"/>
  <c r="BK491" i="260"/>
  <c r="AN489" i="260"/>
  <c r="J492" i="260"/>
  <c r="AD495" i="260"/>
  <c r="J502" i="260"/>
  <c r="N490" i="260"/>
  <c r="BK494" i="260"/>
  <c r="BD462" i="260"/>
  <c r="V492" i="260"/>
  <c r="R503" i="260"/>
  <c r="BD497" i="260"/>
  <c r="AN483" i="260"/>
  <c r="R457" i="260"/>
  <c r="AN497" i="260"/>
  <c r="N499" i="260"/>
  <c r="R498" i="260"/>
  <c r="AH456" i="260"/>
  <c r="J495" i="260"/>
  <c r="AZ484" i="260"/>
  <c r="N462" i="260"/>
  <c r="AN484" i="260"/>
  <c r="AD492" i="260"/>
  <c r="AN471" i="260"/>
  <c r="AD462" i="260"/>
  <c r="BK489" i="260"/>
  <c r="AT461" i="260"/>
  <c r="G491" i="260"/>
  <c r="V498" i="260"/>
  <c r="N500" i="260"/>
  <c r="G484" i="260"/>
  <c r="AQ480" i="260"/>
  <c r="N497" i="260"/>
  <c r="AQ501" i="260"/>
  <c r="AN456" i="260"/>
  <c r="AT489" i="260"/>
  <c r="AT494" i="260"/>
  <c r="BD480" i="260"/>
  <c r="BK461" i="260"/>
  <c r="N483" i="260"/>
  <c r="AT483" i="260"/>
  <c r="AH480" i="260"/>
  <c r="AZ494" i="260"/>
  <c r="AQ489" i="260"/>
  <c r="N480" i="260"/>
  <c r="AH494" i="260"/>
  <c r="AZ491" i="260"/>
  <c r="R489" i="260"/>
  <c r="G493" i="260"/>
  <c r="AN485" i="260"/>
  <c r="V461" i="260"/>
  <c r="Z500" i="260"/>
  <c r="J498" i="260"/>
  <c r="AT456" i="260"/>
  <c r="BK484" i="260"/>
  <c r="BG490" i="260"/>
  <c r="BD456" i="260"/>
  <c r="AT485" i="260"/>
  <c r="G485" i="260"/>
  <c r="BG500" i="260"/>
  <c r="BD471" i="260"/>
  <c r="J457" i="260"/>
  <c r="AQ503" i="260"/>
  <c r="AD498" i="260"/>
  <c r="R494" i="260"/>
  <c r="BK498" i="260"/>
  <c r="AZ489" i="260"/>
  <c r="AT493" i="260"/>
  <c r="BK500" i="260"/>
  <c r="V456" i="260"/>
  <c r="AT491" i="260"/>
  <c r="R493" i="260"/>
  <c r="AN500" i="260"/>
  <c r="J493" i="260"/>
  <c r="AT471" i="260"/>
  <c r="AZ493" i="260"/>
  <c r="J480" i="260"/>
  <c r="R495" i="260"/>
  <c r="BG494" i="260"/>
  <c r="AQ461" i="260"/>
  <c r="BD501" i="260"/>
  <c r="AN462" i="260"/>
  <c r="AD490" i="260"/>
  <c r="AH499" i="260"/>
  <c r="AZ485" i="260"/>
  <c r="BD483" i="260"/>
  <c r="J456" i="260"/>
  <c r="AD493" i="260"/>
  <c r="AD489" i="260"/>
  <c r="BK488" i="260"/>
  <c r="AZ457" i="260"/>
  <c r="AN502" i="260"/>
  <c r="AZ499" i="260"/>
  <c r="V503" i="260"/>
  <c r="N489" i="260"/>
  <c r="Z503" i="260"/>
  <c r="BG503" i="260"/>
  <c r="AH495" i="260"/>
  <c r="AN490" i="260"/>
  <c r="AZ501" i="260"/>
  <c r="AT499" i="260"/>
  <c r="Z457" i="260"/>
  <c r="N502" i="260"/>
  <c r="BG485" i="260"/>
  <c r="V500" i="260"/>
  <c r="V471" i="260"/>
  <c r="AQ456" i="260"/>
  <c r="AN491" i="260"/>
  <c r="AZ503" i="260"/>
  <c r="Z498" i="260"/>
  <c r="BG498" i="260"/>
  <c r="AZ490" i="260"/>
  <c r="BD488" i="260"/>
  <c r="AN499" i="260"/>
  <c r="Z494" i="260"/>
  <c r="AH490" i="260"/>
  <c r="AD488" i="260"/>
  <c r="BD502" i="260"/>
  <c r="V495" i="260"/>
  <c r="BG495" i="260"/>
  <c r="J485" i="260"/>
  <c r="AQ457" i="260"/>
  <c r="J484" i="260"/>
  <c r="Z491" i="260"/>
  <c r="Z484" i="260"/>
  <c r="AD502" i="260"/>
  <c r="R462" i="260"/>
  <c r="V501" i="260"/>
  <c r="AN494" i="260"/>
  <c r="R484" i="260"/>
  <c r="AZ495" i="260"/>
  <c r="Z488" i="260"/>
  <c r="G502" i="260"/>
  <c r="AH457" i="260"/>
  <c r="Z493" i="260"/>
  <c r="AQ471" i="260"/>
  <c r="AH461" i="260"/>
  <c r="AH503" i="260"/>
  <c r="N491" i="260"/>
  <c r="G503" i="260"/>
  <c r="BG462" i="260"/>
  <c r="BD461" i="260"/>
  <c r="R483" i="260"/>
  <c r="G500" i="260"/>
  <c r="AD484" i="260"/>
  <c r="BK480" i="260"/>
  <c r="AZ502" i="260"/>
  <c r="N485" i="260"/>
  <c r="AT457" i="260"/>
  <c r="AN492" i="260"/>
  <c r="AD461" i="260"/>
  <c r="N495" i="260"/>
  <c r="AN457" i="260"/>
  <c r="AT501" i="260"/>
  <c r="V462" i="260"/>
  <c r="AQ484" i="260"/>
  <c r="G489" i="260"/>
  <c r="G462" i="260"/>
  <c r="R471" i="260"/>
  <c r="BK497" i="260"/>
  <c r="AZ462" i="260"/>
  <c r="AN493" i="260"/>
  <c r="BD498" i="260"/>
  <c r="AQ485" i="260"/>
  <c r="AH489" i="260"/>
  <c r="AQ493" i="260"/>
  <c r="N498" i="260"/>
  <c r="AZ492" i="260"/>
  <c r="N457" i="260"/>
  <c r="V483" i="260"/>
  <c r="R491" i="260"/>
  <c r="BD489" i="260"/>
  <c r="Z501" i="260"/>
  <c r="AH491" i="260"/>
  <c r="AH462" i="260"/>
  <c r="G501" i="260"/>
  <c r="AD499" i="260"/>
  <c r="AQ492" i="260"/>
  <c r="N484" i="260"/>
  <c r="BD499" i="260"/>
  <c r="AQ488" i="260"/>
  <c r="G495" i="260"/>
  <c r="N461" i="260"/>
  <c r="AT488" i="260"/>
  <c r="G461" i="260"/>
  <c r="G488" i="260"/>
  <c r="BK495" i="260"/>
  <c r="J494" i="260"/>
  <c r="AD471" i="260"/>
  <c r="V480" i="260"/>
  <c r="AD491" i="260"/>
  <c r="BD500" i="260"/>
  <c r="BD503" i="260"/>
  <c r="R497" i="260"/>
  <c r="J491" i="260"/>
  <c r="BG461" i="260"/>
  <c r="R480" i="260"/>
  <c r="AZ483" i="260"/>
  <c r="BG501" i="260"/>
  <c r="AD503" i="260"/>
  <c r="V499" i="260"/>
  <c r="AZ456" i="260"/>
  <c r="N503" i="260"/>
  <c r="AT462" i="260"/>
  <c r="BG480" i="260"/>
  <c r="AD485" i="260"/>
  <c r="J500" i="260"/>
  <c r="AT500" i="260"/>
  <c r="AT495" i="260"/>
  <c r="BG492" i="260"/>
  <c r="AD456" i="260"/>
  <c r="AN503" i="260"/>
  <c r="J497" i="260"/>
  <c r="N488" i="260"/>
  <c r="Z497" i="260"/>
  <c r="BK485" i="260"/>
  <c r="AQ495" i="260"/>
  <c r="BK490" i="260"/>
  <c r="BG499" i="260"/>
  <c r="BK501" i="260"/>
  <c r="V494" i="260"/>
  <c r="AQ483" i="260"/>
  <c r="AQ499" i="260"/>
  <c r="AT484" i="260"/>
  <c r="AH498" i="260"/>
  <c r="N494" i="260"/>
  <c r="AZ480" i="260"/>
  <c r="BG471" i="260"/>
  <c r="R490" i="260"/>
  <c r="Z485" i="260"/>
  <c r="Z489" i="260"/>
  <c r="AH485" i="260"/>
  <c r="AT480" i="260"/>
  <c r="Z456" i="260"/>
  <c r="Z495" i="260"/>
  <c r="AZ461" i="260"/>
  <c r="AT498" i="260"/>
  <c r="J461" i="260"/>
  <c r="R485" i="260"/>
  <c r="AT490" i="260"/>
  <c r="J462" i="260"/>
  <c r="J490" i="260"/>
  <c r="N456" i="260"/>
  <c r="BG483" i="260"/>
  <c r="BD495" i="260"/>
  <c r="Z499" i="260"/>
  <c r="G483" i="260"/>
  <c r="J489" i="260"/>
  <c r="BD484" i="260"/>
  <c r="J501" i="260"/>
  <c r="V457" i="260"/>
  <c r="BK492" i="260"/>
  <c r="G490" i="260"/>
  <c r="R501" i="260"/>
  <c r="AT502" i="260"/>
  <c r="AT492" i="260"/>
  <c r="Z462" i="260"/>
  <c r="AH500" i="260"/>
  <c r="AN501" i="260"/>
  <c r="AQ502" i="260"/>
  <c r="C552" i="260"/>
  <c r="C533" i="260"/>
  <c r="C511" i="260"/>
  <c r="C506" i="260"/>
  <c r="C548" i="260"/>
  <c r="C547" i="260"/>
  <c r="C541" i="260"/>
  <c r="C543" i="260"/>
  <c r="C551" i="260"/>
  <c r="C542" i="260"/>
  <c r="C545" i="260"/>
  <c r="C550" i="260"/>
  <c r="C540" i="260"/>
  <c r="C521" i="260"/>
  <c r="C544" i="260"/>
  <c r="C538" i="260"/>
  <c r="C534" i="260"/>
  <c r="C553" i="260"/>
  <c r="C507" i="260"/>
  <c r="C530" i="260"/>
  <c r="C535" i="260"/>
  <c r="C512" i="260"/>
  <c r="C549" i="260"/>
  <c r="C539" i="260"/>
  <c r="D22" i="105"/>
  <c r="C568" i="260" l="1"/>
  <c r="C566" i="260"/>
  <c r="C573" i="260"/>
  <c r="C564" i="260"/>
  <c r="C531" i="260"/>
  <c r="C536" i="260"/>
  <c r="C537" i="260"/>
  <c r="C558" i="260"/>
  <c r="C560" i="260"/>
  <c r="C555" i="260"/>
  <c r="C578" i="260"/>
  <c r="C565" i="260"/>
  <c r="C532" i="260"/>
  <c r="C559" i="260"/>
  <c r="C563" i="260"/>
  <c r="C569" i="260"/>
  <c r="C546" i="260"/>
  <c r="C575" i="260"/>
  <c r="C570" i="260"/>
  <c r="C567" i="260"/>
  <c r="C576" i="260"/>
  <c r="C572" i="260"/>
  <c r="C574" i="260"/>
  <c r="C577" i="260"/>
  <c r="D9" i="105"/>
  <c r="C556" i="260" l="1"/>
  <c r="C602" i="260"/>
  <c r="C589" i="260"/>
  <c r="C599" i="260"/>
  <c r="C597" i="260"/>
  <c r="C591" i="260"/>
  <c r="C601" i="260"/>
  <c r="C592" i="260"/>
  <c r="C600" i="260"/>
  <c r="C590" i="260"/>
  <c r="C562" i="260"/>
  <c r="C594" i="260"/>
  <c r="C588" i="260"/>
  <c r="C584" i="260"/>
  <c r="C603" i="260"/>
  <c r="C580" i="260"/>
  <c r="C571" i="260"/>
  <c r="C585" i="260"/>
  <c r="C595" i="260"/>
  <c r="C557" i="260"/>
  <c r="C583" i="260"/>
  <c r="C561" i="260"/>
  <c r="C598" i="260"/>
  <c r="C593" i="260"/>
  <c r="D10" i="105"/>
  <c r="D8" i="105"/>
  <c r="G10" i="226"/>
  <c r="G9" i="226"/>
  <c r="G8" i="226"/>
  <c r="G7" i="226"/>
  <c r="C626" i="260" l="1"/>
  <c r="C622" i="260"/>
  <c r="C618" i="260"/>
  <c r="C624" i="260"/>
  <c r="C614" i="260"/>
  <c r="C586" i="260"/>
  <c r="C608" i="260"/>
  <c r="C582" i="260"/>
  <c r="C610" i="260"/>
  <c r="C609" i="260"/>
  <c r="C596" i="260"/>
  <c r="C613" i="260"/>
  <c r="C587" i="260"/>
  <c r="C605" i="260"/>
  <c r="C628" i="260"/>
  <c r="C615" i="260"/>
  <c r="C619" i="260"/>
  <c r="C625" i="260"/>
  <c r="C620" i="260"/>
  <c r="C617" i="260"/>
  <c r="C616" i="260"/>
  <c r="C623" i="260"/>
  <c r="C627" i="260"/>
  <c r="C581" i="260"/>
  <c r="G6" i="226"/>
  <c r="C633" i="260" l="1"/>
  <c r="C639" i="260"/>
  <c r="C606" i="260"/>
  <c r="C649" i="260"/>
  <c r="C652" i="260"/>
  <c r="C643" i="260"/>
  <c r="C648" i="260"/>
  <c r="C647" i="260"/>
  <c r="C641" i="260"/>
  <c r="C642" i="260"/>
  <c r="C650" i="260"/>
  <c r="C645" i="260"/>
  <c r="C638" i="260"/>
  <c r="C621" i="260"/>
  <c r="C644" i="260"/>
  <c r="C630" i="260"/>
  <c r="C634" i="260"/>
  <c r="C653" i="260"/>
  <c r="C612" i="260"/>
  <c r="C635" i="260"/>
  <c r="C640" i="260"/>
  <c r="C607" i="260"/>
  <c r="C611" i="260"/>
  <c r="C651" i="260"/>
  <c r="D3" i="105"/>
  <c r="D32" i="105"/>
  <c r="G5" i="226"/>
  <c r="G4" i="226"/>
  <c r="E2" i="105" a="1"/>
  <c r="E2" i="105" s="1"/>
  <c r="D2" i="105"/>
  <c r="G515" i="260" a="1"/>
  <c r="BG487" i="260" a="1"/>
  <c r="Z505" i="260" a="1"/>
  <c r="AN518" i="260" a="1"/>
  <c r="G518" i="260" a="1"/>
  <c r="Z524" i="260" a="1"/>
  <c r="AH508" i="260" a="1"/>
  <c r="BG528" i="260" a="1"/>
  <c r="AQ516" i="260" a="1"/>
  <c r="AT518" i="260" a="1"/>
  <c r="BK487" i="260" a="1"/>
  <c r="AT522" i="260" a="1"/>
  <c r="Z496" i="260" a="1"/>
  <c r="R525" i="260" a="1"/>
  <c r="G514" i="260" a="1"/>
  <c r="R516" i="260" a="1"/>
  <c r="AN519" i="260" a="1"/>
  <c r="R482" i="260" a="1"/>
  <c r="BK519" i="260" a="1"/>
  <c r="R526" i="260" a="1"/>
  <c r="AD487" i="260" a="1"/>
  <c r="BG481" i="260" a="1"/>
  <c r="N515" i="260" a="1"/>
  <c r="BK508" i="260" a="1"/>
  <c r="AQ486" i="260" a="1"/>
  <c r="AQ519" i="260" a="1"/>
  <c r="BG519" i="260" a="1"/>
  <c r="N486" i="260" a="1"/>
  <c r="AZ510" i="260" a="1"/>
  <c r="AH515" i="260" a="1"/>
  <c r="Z519" i="260" a="1"/>
  <c r="AQ481" i="260" a="1"/>
  <c r="R522" i="260" a="1"/>
  <c r="AD524" i="260" a="1"/>
  <c r="AN487" i="260" a="1"/>
  <c r="AN496" i="260" a="1"/>
  <c r="AZ528" i="260" a="1"/>
  <c r="AD481" i="260" a="1"/>
  <c r="AD518" i="260" a="1"/>
  <c r="N509" i="260" a="1"/>
  <c r="AZ517" i="260" a="1"/>
  <c r="V516" i="260" a="1"/>
  <c r="Z513" i="260" a="1"/>
  <c r="BD508" i="260" a="1"/>
  <c r="AN481" i="260" a="1"/>
  <c r="V487" i="260" a="1"/>
  <c r="BD509" i="260" a="1"/>
  <c r="AH486" i="260" a="1"/>
  <c r="AQ518" i="260" a="1"/>
  <c r="G522" i="260" a="1"/>
  <c r="BG482" i="260" a="1"/>
  <c r="G505" i="260" a="1"/>
  <c r="N522" i="260" a="1"/>
  <c r="BG523" i="260" a="1"/>
  <c r="AQ508" i="260" a="1"/>
  <c r="AZ522" i="260" a="1"/>
  <c r="AZ508" i="260" a="1"/>
  <c r="AT523" i="260" a="1"/>
  <c r="J508" i="260" a="1"/>
  <c r="AH513" i="260" a="1"/>
  <c r="AH505" i="260" a="1"/>
  <c r="N487" i="260" a="1"/>
  <c r="J509" i="260" a="1"/>
  <c r="AQ517" i="260" a="1"/>
  <c r="AZ523" i="260" a="1"/>
  <c r="AT520" i="260" a="1"/>
  <c r="N516" i="260" a="1"/>
  <c r="AZ514" i="260" a="1"/>
  <c r="BD487" i="260" a="1"/>
  <c r="G486" i="260" a="1"/>
  <c r="J522" i="260" a="1"/>
  <c r="BD522" i="260" a="1"/>
  <c r="V518" i="260" a="1"/>
  <c r="G527" i="260" a="1"/>
  <c r="V510" i="260" a="1"/>
  <c r="BG527" i="260" a="1"/>
  <c r="AD486" i="260" a="1"/>
  <c r="V496" i="260" a="1"/>
  <c r="AZ527" i="260" a="1"/>
  <c r="AD516" i="260" a="1"/>
  <c r="BD513" i="260" a="1"/>
  <c r="V522" i="260" a="1"/>
  <c r="Z518" i="260" a="1"/>
  <c r="AD528" i="260" a="1"/>
  <c r="AQ527" i="260" a="1"/>
  <c r="AQ526" i="260" a="1"/>
  <c r="AQ514" i="260" a="1"/>
  <c r="G508" i="260" a="1"/>
  <c r="AQ528" i="260" a="1"/>
  <c r="G519" i="260" a="1"/>
  <c r="AN509" i="260" a="1"/>
  <c r="AQ487" i="260" a="1"/>
  <c r="J528" i="260" a="1"/>
  <c r="J523" i="260" a="1"/>
  <c r="G517" i="260" a="1"/>
  <c r="AZ481" i="260" a="1"/>
  <c r="AT515" i="260" a="1"/>
  <c r="V508" i="260" a="1"/>
  <c r="R481" i="260" a="1"/>
  <c r="BK524" i="260" a="1"/>
  <c r="AH522" i="260" a="1"/>
  <c r="AT481" i="260" a="1"/>
  <c r="AN516" i="260" a="1"/>
  <c r="BG518" i="260" a="1"/>
  <c r="R518" i="260" a="1"/>
  <c r="AH524" i="260" a="1"/>
  <c r="G520" i="260" a="1"/>
  <c r="BG496" i="260" a="1"/>
  <c r="BD515" i="260" a="1"/>
  <c r="R505" i="260" a="1"/>
  <c r="BD510" i="260" a="1"/>
  <c r="V524" i="260" a="1"/>
  <c r="Z508" i="260" a="1"/>
  <c r="AD520" i="260" a="1"/>
  <c r="AT527" i="260" a="1"/>
  <c r="AT525" i="260" a="1"/>
  <c r="AD513" i="260" a="1"/>
  <c r="AT482" i="260" a="1"/>
  <c r="Z514" i="260" a="1"/>
  <c r="J515" i="260" a="1"/>
  <c r="J518" i="260" a="1"/>
  <c r="N524" i="260" a="1"/>
  <c r="AZ526" i="260" a="1"/>
  <c r="V523" i="260" a="1"/>
  <c r="AZ520" i="260" a="1"/>
  <c r="N518" i="260" a="1"/>
  <c r="Z528" i="260" a="1"/>
  <c r="AH514" i="260" a="1"/>
  <c r="AT513" i="260" a="1"/>
  <c r="AH482" i="260" a="1"/>
  <c r="AN526" i="260" a="1"/>
  <c r="V515" i="260" a="1"/>
  <c r="AN515" i="260" a="1"/>
  <c r="J524" i="260" a="1"/>
  <c r="R486" i="260" a="1"/>
  <c r="BD524" i="260" a="1"/>
  <c r="AT496" i="260" a="1"/>
  <c r="BD514" i="260" a="1"/>
  <c r="BG505" i="260" a="1"/>
  <c r="AN524" i="260" a="1"/>
  <c r="Z481" i="260" a="1"/>
  <c r="J516" i="260" a="1"/>
  <c r="BG509" i="260" a="1"/>
  <c r="Z516" i="260" a="1"/>
  <c r="J513" i="260" a="1"/>
  <c r="BD518" i="260" a="1"/>
  <c r="G509" i="260" a="1"/>
  <c r="AQ482" i="260" a="1"/>
  <c r="Z526" i="260" a="1"/>
  <c r="AT519" i="260" a="1"/>
  <c r="N527" i="260" a="1"/>
  <c r="Z515" i="260" a="1"/>
  <c r="N519" i="260" a="1"/>
  <c r="BD519" i="260" a="1"/>
  <c r="AH509" i="260" a="1"/>
  <c r="N520" i="260" a="1"/>
  <c r="AN522" i="260" a="1"/>
  <c r="AQ525" i="260" a="1"/>
  <c r="Z509" i="260" a="1"/>
  <c r="BD516" i="260" a="1"/>
  <c r="V514" i="260" a="1"/>
  <c r="N514" i="260" a="1"/>
  <c r="AH487" i="260" a="1"/>
  <c r="V519" i="260" a="1"/>
  <c r="BK525" i="260" a="1"/>
  <c r="Z520" i="260" a="1"/>
  <c r="AH496" i="260" a="1"/>
  <c r="AZ518" i="260" a="1"/>
  <c r="AZ505" i="260" a="1"/>
  <c r="BD527" i="260" a="1"/>
  <c r="AH518" i="260" a="1"/>
  <c r="BK523" i="260" a="1"/>
  <c r="R519" i="260" a="1"/>
  <c r="R496" i="260" a="1"/>
  <c r="AZ515" i="260" a="1"/>
  <c r="AN482" i="260" a="1"/>
  <c r="R487" i="260" a="1"/>
  <c r="J526" i="260" a="1"/>
  <c r="BD481" i="260" a="1"/>
  <c r="AH523" i="260" a="1"/>
  <c r="BK515" i="260" a="1"/>
  <c r="BK486" i="260" a="1"/>
  <c r="Z487" i="260" a="1"/>
  <c r="N481" i="260" a="1"/>
  <c r="BD496" i="260" a="1"/>
  <c r="BG513" i="260" a="1"/>
  <c r="AQ522" i="260" a="1"/>
  <c r="G525" i="260" a="1"/>
  <c r="BG516" i="260" a="1"/>
  <c r="AD519" i="260" a="1"/>
  <c r="BK528" i="260" a="1"/>
  <c r="AN508" i="260" a="1"/>
  <c r="G524" i="260" a="1"/>
  <c r="R510" i="260" a="1"/>
  <c r="AZ519" i="260" a="1"/>
  <c r="BK527" i="260" a="1"/>
  <c r="AN520" i="260" a="1"/>
  <c r="AZ496" i="260" a="1"/>
  <c r="G526" i="260" a="1"/>
  <c r="BD486" i="260" a="1"/>
  <c r="AN527" i="260" a="1"/>
  <c r="N525" i="260" a="1"/>
  <c r="AD517" i="260" a="1"/>
  <c r="G487" i="260" a="1"/>
  <c r="BK518" i="260" a="1"/>
  <c r="BG510" i="260" a="1"/>
  <c r="AN510" i="260" a="1"/>
  <c r="R513" i="260" a="1"/>
  <c r="AZ513" i="260" a="1"/>
  <c r="AD505" i="260" a="1"/>
  <c r="AD510" i="260" a="1"/>
  <c r="AH526" i="260" a="1"/>
  <c r="BK520" i="260" a="1"/>
  <c r="V505" i="260" a="1"/>
  <c r="N528" i="260" a="1"/>
  <c r="AQ523" i="260" a="1"/>
  <c r="R514" i="260" a="1"/>
  <c r="AN517" i="260" a="1"/>
  <c r="AT509" i="260" a="1"/>
  <c r="G482" i="260" a="1"/>
  <c r="R509" i="260" a="1"/>
  <c r="BG517" i="260" a="1"/>
  <c r="AH510" i="260" a="1"/>
  <c r="G496" i="260" a="1"/>
  <c r="J510" i="260" a="1"/>
  <c r="Z525" i="260" a="1"/>
  <c r="BK482" i="260" a="1"/>
  <c r="AN523" i="260" a="1"/>
  <c r="V528" i="260" a="1"/>
  <c r="BG520" i="260" a="1"/>
  <c r="BK481" i="260" a="1"/>
  <c r="AT487" i="260" a="1"/>
  <c r="BG526" i="260" a="1"/>
  <c r="J486" i="260" a="1"/>
  <c r="AQ510" i="260" a="1"/>
  <c r="R520" i="260" a="1"/>
  <c r="AH519" i="260" a="1"/>
  <c r="J481" i="260" a="1"/>
  <c r="AN505" i="260" a="1"/>
  <c r="G528" i="260" a="1"/>
  <c r="AZ516" i="260" a="1"/>
  <c r="AN528" i="260" a="1"/>
  <c r="J519" i="260" a="1"/>
  <c r="AD527" i="260" a="1"/>
  <c r="N523" i="260" a="1"/>
  <c r="AH520" i="260" a="1"/>
  <c r="AN513" i="260" a="1"/>
  <c r="V509" i="260" a="1"/>
  <c r="BD482" i="260" a="1"/>
  <c r="R515" i="260" a="1"/>
  <c r="BG524" i="260" a="1"/>
  <c r="R523" i="260" a="1"/>
  <c r="N505" i="260" a="1"/>
  <c r="AZ486" i="260" a="1"/>
  <c r="AD515" i="260" a="1"/>
  <c r="BK526" i="260" a="1"/>
  <c r="AH517" i="260" a="1"/>
  <c r="BK516" i="260" a="1"/>
  <c r="AQ509" i="260" a="1"/>
  <c r="AZ482" i="260" a="1"/>
  <c r="AT514" i="260" a="1"/>
  <c r="BK522" i="260" a="1"/>
  <c r="BD517" i="260" a="1"/>
  <c r="AT528" i="260" a="1"/>
  <c r="AH528" i="260" a="1"/>
  <c r="G523" i="260" a="1"/>
  <c r="J487" i="260" a="1"/>
  <c r="R528" i="260" a="1"/>
  <c r="BG508" i="260" a="1"/>
  <c r="N482" i="260" a="1"/>
  <c r="G510" i="260" a="1"/>
  <c r="AQ515" i="260" a="1"/>
  <c r="BG525" i="260" a="1"/>
  <c r="BK513" i="260" a="1"/>
  <c r="AT508" i="260" a="1"/>
  <c r="AQ520" i="260" a="1"/>
  <c r="AT526" i="260" a="1"/>
  <c r="AD522" i="260" a="1"/>
  <c r="N526" i="260" a="1"/>
  <c r="AQ513" i="260" a="1"/>
  <c r="AZ487" i="260" a="1"/>
  <c r="AT486" i="260" a="1"/>
  <c r="BK510" i="260" a="1"/>
  <c r="J527" i="260" a="1"/>
  <c r="BG522" i="260" a="1"/>
  <c r="BK505" i="260" a="1"/>
  <c r="V517" i="260" a="1"/>
  <c r="R508" i="260" a="1"/>
  <c r="J517" i="260" a="1"/>
  <c r="Z523" i="260" a="1"/>
  <c r="BG486" i="260" a="1"/>
  <c r="V525" i="260" a="1"/>
  <c r="J520" i="260" a="1"/>
  <c r="AD509" i="260" a="1"/>
  <c r="AZ509" i="260" a="1"/>
  <c r="AN486" i="260" a="1"/>
  <c r="AD508" i="260" a="1"/>
  <c r="Z522" i="260" a="1"/>
  <c r="AZ525" i="260" a="1"/>
  <c r="V520" i="260" a="1"/>
  <c r="AH516" i="260" a="1"/>
  <c r="N510" i="260" a="1"/>
  <c r="AD523" i="260" a="1"/>
  <c r="V481" i="260" a="1"/>
  <c r="V526" i="260" a="1"/>
  <c r="AQ524" i="260" a="1"/>
  <c r="AH525" i="260" a="1"/>
  <c r="AH481" i="260" a="1"/>
  <c r="N513" i="260" a="1"/>
  <c r="AT510" i="260" a="1"/>
  <c r="BD525" i="260" a="1"/>
  <c r="AN525" i="260" a="1"/>
  <c r="AN514" i="260" a="1"/>
  <c r="AT505" i="260" a="1"/>
  <c r="BG514" i="260" a="1"/>
  <c r="V513" i="260" a="1"/>
  <c r="Z510" i="260" a="1"/>
  <c r="AT524" i="260" a="1"/>
  <c r="BD520" i="260" a="1"/>
  <c r="AQ496" i="260" a="1"/>
  <c r="Z486" i="260" a="1"/>
  <c r="AD514" i="260" a="1"/>
  <c r="J482" i="260" a="1"/>
  <c r="Z517" i="260" a="1"/>
  <c r="G516" i="260" a="1"/>
  <c r="AD482" i="260" a="1"/>
  <c r="J525" i="260" a="1"/>
  <c r="BD523" i="260" a="1"/>
  <c r="AD526" i="260" a="1"/>
  <c r="G481" i="260" a="1"/>
  <c r="AH527" i="260" a="1"/>
  <c r="V486" i="260" a="1"/>
  <c r="R517" i="260" a="1"/>
  <c r="Z482" i="260" a="1"/>
  <c r="AD525" i="260" a="1"/>
  <c r="AQ505" i="260" a="1"/>
  <c r="BK517" i="260" a="1"/>
  <c r="BG515" i="260" a="1"/>
  <c r="R527" i="260" a="1"/>
  <c r="BK496" i="260" a="1"/>
  <c r="Z527" i="260" a="1"/>
  <c r="BD528" i="260" a="1"/>
  <c r="R524" i="260" a="1"/>
  <c r="N517" i="260" a="1"/>
  <c r="BD505" i="260" a="1"/>
  <c r="J496" i="260" a="1"/>
  <c r="N496" i="260" a="1"/>
  <c r="G513" i="260" a="1"/>
  <c r="AZ524" i="260" a="1"/>
  <c r="J514" i="260" a="1"/>
  <c r="V482" i="260" a="1"/>
  <c r="BD526" i="260" a="1"/>
  <c r="J505" i="260" a="1"/>
  <c r="AT517" i="260" a="1"/>
  <c r="AT516" i="260" a="1"/>
  <c r="BK514" i="260" a="1"/>
  <c r="BK509" i="260" a="1"/>
  <c r="AD496" i="260" a="1"/>
  <c r="N508" i="260" a="1"/>
  <c r="V527" i="260" a="1"/>
  <c r="J514" i="260" l="1"/>
  <c r="J528" i="260"/>
  <c r="G481" i="260"/>
  <c r="J515" i="260"/>
  <c r="BK526" i="260"/>
  <c r="R510" i="260"/>
  <c r="AZ528" i="260"/>
  <c r="R525" i="260"/>
  <c r="AQ487" i="260"/>
  <c r="G513" i="260"/>
  <c r="BK524" i="260"/>
  <c r="G528" i="260"/>
  <c r="V524" i="260"/>
  <c r="BD524" i="260"/>
  <c r="R513" i="260"/>
  <c r="Z505" i="260"/>
  <c r="BG523" i="260"/>
  <c r="R481" i="260"/>
  <c r="BK509" i="260"/>
  <c r="AH517" i="260"/>
  <c r="BK528" i="260"/>
  <c r="BK514" i="260"/>
  <c r="G518" i="260"/>
  <c r="G509" i="260"/>
  <c r="J509" i="260"/>
  <c r="J482" i="260"/>
  <c r="AD523" i="260"/>
  <c r="AQ505" i="260"/>
  <c r="N520" i="260"/>
  <c r="BD482" i="260"/>
  <c r="BD513" i="260"/>
  <c r="BK486" i="260"/>
  <c r="Z517" i="260"/>
  <c r="V514" i="260"/>
  <c r="AZ510" i="260"/>
  <c r="AQ515" i="260"/>
  <c r="BD514" i="260"/>
  <c r="N509" i="260"/>
  <c r="AD520" i="260"/>
  <c r="G522" i="260"/>
  <c r="J510" i="260"/>
  <c r="AD496" i="260"/>
  <c r="AQ519" i="260"/>
  <c r="AN522" i="260"/>
  <c r="AD509" i="260"/>
  <c r="V517" i="260"/>
  <c r="Z526" i="260"/>
  <c r="AN505" i="260"/>
  <c r="AD518" i="260"/>
  <c r="R522" i="260"/>
  <c r="AZ520" i="260"/>
  <c r="AQ496" i="260"/>
  <c r="AT486" i="260"/>
  <c r="AH516" i="260"/>
  <c r="AN519" i="260"/>
  <c r="AD528" i="260"/>
  <c r="R517" i="260"/>
  <c r="AD524" i="260"/>
  <c r="G510" i="260"/>
  <c r="R487" i="260"/>
  <c r="Z513" i="260"/>
  <c r="N516" i="260"/>
  <c r="R515" i="260"/>
  <c r="AD522" i="260"/>
  <c r="AZ481" i="260"/>
  <c r="BK487" i="260"/>
  <c r="Z496" i="260"/>
  <c r="G487" i="260"/>
  <c r="AQ508" i="260"/>
  <c r="J519" i="260"/>
  <c r="AT505" i="260"/>
  <c r="AQ523" i="260"/>
  <c r="N526" i="260"/>
  <c r="J524" i="260"/>
  <c r="N508" i="260"/>
  <c r="V505" i="260"/>
  <c r="BG496" i="260"/>
  <c r="J508" i="260"/>
  <c r="AQ510" i="260"/>
  <c r="N525" i="260"/>
  <c r="AQ481" i="260"/>
  <c r="J505" i="260"/>
  <c r="AD487" i="260"/>
  <c r="BG508" i="260"/>
  <c r="AZ523" i="260"/>
  <c r="V519" i="260"/>
  <c r="N518" i="260"/>
  <c r="AT522" i="260"/>
  <c r="AD481" i="260"/>
  <c r="R508" i="260"/>
  <c r="AD508" i="260"/>
  <c r="AH525" i="260"/>
  <c r="Z486" i="260"/>
  <c r="AH496" i="260"/>
  <c r="R524" i="260"/>
  <c r="R496" i="260"/>
  <c r="AQ524" i="260"/>
  <c r="AT510" i="260"/>
  <c r="AZ508" i="260"/>
  <c r="Z508" i="260"/>
  <c r="G523" i="260"/>
  <c r="BD526" i="260"/>
  <c r="G516" i="260"/>
  <c r="N505" i="260"/>
  <c r="AH522" i="260"/>
  <c r="AZ518" i="260"/>
  <c r="AN509" i="260"/>
  <c r="R519" i="260"/>
  <c r="AH518" i="260"/>
  <c r="AZ519" i="260"/>
  <c r="AQ517" i="260"/>
  <c r="G517" i="260"/>
  <c r="V525" i="260"/>
  <c r="AH526" i="260"/>
  <c r="AT508" i="260"/>
  <c r="G482" i="260"/>
  <c r="N481" i="260"/>
  <c r="AZ516" i="260"/>
  <c r="R486" i="260"/>
  <c r="AH520" i="260"/>
  <c r="AN526" i="260"/>
  <c r="R526" i="260"/>
  <c r="BG514" i="260"/>
  <c r="AN486" i="260"/>
  <c r="AQ509" i="260"/>
  <c r="AH515" i="260"/>
  <c r="AT516" i="260"/>
  <c r="AH523" i="260"/>
  <c r="BG510" i="260"/>
  <c r="V520" i="260"/>
  <c r="AD527" i="260"/>
  <c r="BD527" i="260"/>
  <c r="V527" i="260"/>
  <c r="AD517" i="260"/>
  <c r="BK513" i="260"/>
  <c r="J487" i="260"/>
  <c r="AT520" i="260"/>
  <c r="AT481" i="260"/>
  <c r="AT519" i="260"/>
  <c r="Z525" i="260"/>
  <c r="G519" i="260"/>
  <c r="AZ526" i="260"/>
  <c r="BK518" i="260"/>
  <c r="AD514" i="260"/>
  <c r="BG516" i="260"/>
  <c r="BG522" i="260"/>
  <c r="BD518" i="260"/>
  <c r="AZ487" i="260"/>
  <c r="AD516" i="260"/>
  <c r="AH487" i="260"/>
  <c r="BD528" i="260"/>
  <c r="N513" i="260"/>
  <c r="BG515" i="260"/>
  <c r="BD509" i="260"/>
  <c r="N519" i="260"/>
  <c r="AN525" i="260"/>
  <c r="AT514" i="260"/>
  <c r="BG505" i="260"/>
  <c r="J526" i="260"/>
  <c r="AZ524" i="260"/>
  <c r="R505" i="260"/>
  <c r="AH508" i="260"/>
  <c r="AN527" i="260"/>
  <c r="R514" i="260"/>
  <c r="BG524" i="260"/>
  <c r="BD520" i="260"/>
  <c r="G515" i="260"/>
  <c r="AD525" i="260"/>
  <c r="V482" i="260"/>
  <c r="N482" i="260"/>
  <c r="AH514" i="260"/>
  <c r="BD505" i="260"/>
  <c r="V513" i="260"/>
  <c r="V518" i="260"/>
  <c r="N496" i="260"/>
  <c r="J520" i="260"/>
  <c r="N528" i="260"/>
  <c r="AZ486" i="260"/>
  <c r="AH528" i="260"/>
  <c r="AZ517" i="260"/>
  <c r="BK527" i="260"/>
  <c r="BG528" i="260"/>
  <c r="Z516" i="260"/>
  <c r="BD515" i="260"/>
  <c r="BD523" i="260"/>
  <c r="G525" i="260"/>
  <c r="BK517" i="260"/>
  <c r="BG526" i="260"/>
  <c r="BK522" i="260"/>
  <c r="AT482" i="260"/>
  <c r="N510" i="260"/>
  <c r="BG487" i="260"/>
  <c r="BK516" i="260"/>
  <c r="AZ496" i="260"/>
  <c r="G505" i="260"/>
  <c r="N515" i="260"/>
  <c r="AN508" i="260"/>
  <c r="N486" i="260"/>
  <c r="BK523" i="260"/>
  <c r="AN528" i="260"/>
  <c r="AH505" i="260"/>
  <c r="Z487" i="260"/>
  <c r="R528" i="260"/>
  <c r="V526" i="260"/>
  <c r="AQ516" i="260"/>
  <c r="AT509" i="260"/>
  <c r="V528" i="260"/>
  <c r="BK519" i="260"/>
  <c r="AT515" i="260"/>
  <c r="R509" i="260"/>
  <c r="AT496" i="260"/>
  <c r="Z528" i="260"/>
  <c r="V496" i="260"/>
  <c r="BK482" i="260"/>
  <c r="AN516" i="260"/>
  <c r="AZ505" i="260"/>
  <c r="N517" i="260"/>
  <c r="J523" i="260"/>
  <c r="AD505" i="260"/>
  <c r="AH524" i="260"/>
  <c r="AZ525" i="260"/>
  <c r="AZ482" i="260"/>
  <c r="AN513" i="260"/>
  <c r="AT523" i="260"/>
  <c r="AT513" i="260"/>
  <c r="Z519" i="260"/>
  <c r="G508" i="260"/>
  <c r="J486" i="260"/>
  <c r="AZ527" i="260"/>
  <c r="AQ522" i="260"/>
  <c r="AH513" i="260"/>
  <c r="AD515" i="260"/>
  <c r="AT517" i="260"/>
  <c r="AT528" i="260"/>
  <c r="J496" i="260"/>
  <c r="AQ528" i="260"/>
  <c r="BD487" i="260"/>
  <c r="Z520" i="260"/>
  <c r="Z509" i="260"/>
  <c r="G524" i="260"/>
  <c r="J517" i="260"/>
  <c r="AN481" i="260"/>
  <c r="V522" i="260"/>
  <c r="AD486" i="260"/>
  <c r="AH519" i="260"/>
  <c r="AZ513" i="260"/>
  <c r="R482" i="260"/>
  <c r="AN515" i="260"/>
  <c r="G486" i="260"/>
  <c r="AT526" i="260"/>
  <c r="AD526" i="260"/>
  <c r="BD516" i="260"/>
  <c r="AH527" i="260"/>
  <c r="R523" i="260"/>
  <c r="BG518" i="260"/>
  <c r="BD522" i="260"/>
  <c r="J525" i="260"/>
  <c r="G496" i="260"/>
  <c r="V510" i="260"/>
  <c r="AQ527" i="260"/>
  <c r="AN496" i="260"/>
  <c r="G527" i="260"/>
  <c r="V516" i="260"/>
  <c r="Z482" i="260"/>
  <c r="AH481" i="260"/>
  <c r="BG519" i="260"/>
  <c r="BD525" i="260"/>
  <c r="V486" i="260"/>
  <c r="AD482" i="260"/>
  <c r="AQ526" i="260"/>
  <c r="AN518" i="260"/>
  <c r="AH509" i="260"/>
  <c r="BD519" i="260"/>
  <c r="BK505" i="260"/>
  <c r="Z514" i="260"/>
  <c r="J481" i="260"/>
  <c r="AT527" i="260"/>
  <c r="Z515" i="260"/>
  <c r="AQ486" i="260"/>
  <c r="AD510" i="260"/>
  <c r="BD486" i="260"/>
  <c r="AQ525" i="260"/>
  <c r="BG517" i="260"/>
  <c r="V509" i="260"/>
  <c r="AZ522" i="260"/>
  <c r="BK520" i="260"/>
  <c r="AN517" i="260"/>
  <c r="R527" i="260"/>
  <c r="Z523" i="260"/>
  <c r="BG527" i="260"/>
  <c r="J513" i="260"/>
  <c r="AT487" i="260"/>
  <c r="R518" i="260"/>
  <c r="AQ482" i="260"/>
  <c r="AN514" i="260"/>
  <c r="N522" i="260"/>
  <c r="J522" i="260"/>
  <c r="BK481" i="260"/>
  <c r="BD517" i="260"/>
  <c r="AN523" i="260"/>
  <c r="AZ515" i="260"/>
  <c r="Z510" i="260"/>
  <c r="V487" i="260"/>
  <c r="AD519" i="260"/>
  <c r="V481" i="260"/>
  <c r="AT525" i="260"/>
  <c r="G520" i="260"/>
  <c r="BG525" i="260"/>
  <c r="BG520" i="260"/>
  <c r="AN487" i="260"/>
  <c r="Z527" i="260"/>
  <c r="BG482" i="260"/>
  <c r="BK510" i="260"/>
  <c r="AN482" i="260"/>
  <c r="G526" i="260"/>
  <c r="BG513" i="260"/>
  <c r="BK525" i="260"/>
  <c r="R516" i="260"/>
  <c r="V508" i="260"/>
  <c r="AH482" i="260"/>
  <c r="G514" i="260"/>
  <c r="BK515" i="260"/>
  <c r="R520" i="260"/>
  <c r="AH510" i="260"/>
  <c r="AQ520" i="260"/>
  <c r="AZ514" i="260"/>
  <c r="N524" i="260"/>
  <c r="N487" i="260"/>
  <c r="N514" i="260"/>
  <c r="BD481" i="260"/>
  <c r="AT518" i="260"/>
  <c r="Z518" i="260"/>
  <c r="N523" i="260"/>
  <c r="BK496" i="260"/>
  <c r="AN520" i="260"/>
  <c r="AQ518" i="260"/>
  <c r="AQ513" i="260"/>
  <c r="AH486" i="260"/>
  <c r="AN510" i="260"/>
  <c r="V523" i="260"/>
  <c r="Z524" i="260"/>
  <c r="J516" i="260"/>
  <c r="BD496" i="260"/>
  <c r="AT524" i="260"/>
  <c r="AN524" i="260"/>
  <c r="J527" i="260"/>
  <c r="AQ514" i="260"/>
  <c r="BD510" i="260"/>
  <c r="BD508" i="260"/>
  <c r="J518" i="260"/>
  <c r="Z522" i="260"/>
  <c r="BG486" i="260"/>
  <c r="BG509" i="260"/>
  <c r="AD513" i="260"/>
  <c r="BK508" i="260"/>
  <c r="N527" i="260"/>
  <c r="BG481" i="260"/>
  <c r="V515" i="260"/>
  <c r="AZ509" i="260"/>
  <c r="Z481" i="260"/>
  <c r="C674" i="260"/>
  <c r="C636" i="260"/>
  <c r="C660" i="260"/>
  <c r="C637" i="260"/>
  <c r="C678" i="260"/>
  <c r="C659" i="260"/>
  <c r="C655" i="260"/>
  <c r="C670" i="260"/>
  <c r="C669" i="260"/>
  <c r="C675" i="260"/>
  <c r="C667" i="260"/>
  <c r="C666" i="260"/>
  <c r="C668" i="260"/>
  <c r="C672" i="260"/>
  <c r="C646" i="260"/>
  <c r="C663" i="260"/>
  <c r="C673" i="260"/>
  <c r="C677" i="260"/>
  <c r="C676" i="260"/>
  <c r="C631" i="260"/>
  <c r="C632" i="260"/>
  <c r="C664" i="260"/>
  <c r="C665" i="260"/>
  <c r="C658" i="260"/>
  <c r="D27" i="105"/>
  <c r="D11" i="105"/>
  <c r="D6" i="105"/>
  <c r="C684" i="260" l="1"/>
  <c r="C703" i="260"/>
  <c r="C683" i="260"/>
  <c r="C662" i="260"/>
  <c r="C689" i="260"/>
  <c r="C661" i="260"/>
  <c r="C656" i="260"/>
  <c r="C671" i="260"/>
  <c r="C701" i="260"/>
  <c r="C688" i="260"/>
  <c r="C697" i="260"/>
  <c r="C693" i="260"/>
  <c r="C702" i="260"/>
  <c r="C698" i="260"/>
  <c r="C691" i="260"/>
  <c r="C692" i="260"/>
  <c r="C700" i="260"/>
  <c r="C680" i="260"/>
  <c r="C694" i="260"/>
  <c r="C695" i="260"/>
  <c r="C690" i="260"/>
  <c r="C685" i="260"/>
  <c r="C657" i="260"/>
  <c r="C699" i="260"/>
  <c r="C6" i="105"/>
  <c r="G3" i="226"/>
  <c r="C681" i="260" l="1"/>
  <c r="C714" i="260"/>
  <c r="C724" i="260"/>
  <c r="C687" i="260"/>
  <c r="C720" i="260"/>
  <c r="C705" i="260"/>
  <c r="C717" i="260"/>
  <c r="C723" i="260"/>
  <c r="C727" i="260"/>
  <c r="C719" i="260"/>
  <c r="C725" i="260"/>
  <c r="C716" i="260"/>
  <c r="C718" i="260"/>
  <c r="C722" i="260"/>
  <c r="C713" i="260"/>
  <c r="C726" i="260"/>
  <c r="C696" i="260"/>
  <c r="C686" i="260"/>
  <c r="C682" i="260"/>
  <c r="C708" i="260"/>
  <c r="C710" i="260"/>
  <c r="C728" i="260"/>
  <c r="C715" i="260"/>
  <c r="C709" i="260"/>
  <c r="G2" i="226"/>
  <c r="G23" i="226" s="1"/>
  <c r="C730" i="260" l="1"/>
  <c r="C745" i="260"/>
  <c r="C734" i="260"/>
  <c r="C712" i="260"/>
  <c r="C740" i="260"/>
  <c r="C749" i="260"/>
  <c r="C753" i="260"/>
  <c r="C739" i="260"/>
  <c r="C706" i="260"/>
  <c r="C733" i="260"/>
  <c r="C750" i="260"/>
  <c r="C752" i="260"/>
  <c r="C742" i="260"/>
  <c r="C707" i="260"/>
  <c r="C711" i="260"/>
  <c r="C721" i="260"/>
  <c r="C751" i="260"/>
  <c r="C738" i="260"/>
  <c r="C747" i="260"/>
  <c r="C743" i="260"/>
  <c r="C741" i="260"/>
  <c r="C744" i="260"/>
  <c r="C748" i="260"/>
  <c r="C735" i="260"/>
  <c r="G24" i="226"/>
  <c r="D4" i="105"/>
  <c r="C731" i="260" l="1"/>
  <c r="C737" i="260"/>
  <c r="C746" i="260"/>
  <c r="C736" i="260"/>
  <c r="C732" i="260"/>
  <c r="C50" i="105"/>
  <c r="C49" i="105"/>
  <c r="C48" i="105"/>
  <c r="C47" i="105"/>
  <c r="C46" i="105"/>
  <c r="C44" i="105"/>
  <c r="C41" i="105"/>
  <c r="C39" i="105"/>
  <c r="C38" i="105"/>
  <c r="C37" i="105"/>
  <c r="C36" i="105"/>
  <c r="C35" i="105"/>
  <c r="C33" i="105"/>
  <c r="C32" i="105"/>
  <c r="C31" i="105"/>
  <c r="C29" i="105"/>
  <c r="C28" i="105"/>
  <c r="C25" i="105"/>
  <c r="C24" i="105"/>
  <c r="C20" i="105"/>
  <c r="C18" i="105"/>
  <c r="C17" i="105"/>
  <c r="C15" i="105"/>
  <c r="C14" i="105"/>
  <c r="C13" i="105"/>
  <c r="C7" i="105"/>
  <c r="C4" i="105"/>
  <c r="C22" i="105" l="1"/>
  <c r="H9" i="102"/>
  <c r="E9" i="102"/>
  <c r="C40" i="105" l="1"/>
  <c r="C23" i="105" l="1"/>
  <c r="C12" i="105" l="1"/>
  <c r="C19" i="105"/>
  <c r="C27" i="105" l="1"/>
  <c r="C21" i="105"/>
  <c r="C26" i="105"/>
  <c r="C5" i="105" l="1"/>
  <c r="C45" i="105" l="1"/>
  <c r="C10" i="105" l="1"/>
  <c r="C34" i="105" l="1"/>
  <c r="C8" i="105" l="1"/>
  <c r="C3" i="105" l="1"/>
  <c r="P8" i="137"/>
  <c r="C2" i="105" l="1"/>
  <c r="C30" i="105" l="1"/>
  <c r="C11" i="105"/>
  <c r="B2" i="105" l="1"/>
  <c r="C42" i="105"/>
  <c r="C16" i="105"/>
  <c r="C43" i="105" l="1"/>
  <c r="P2" i="137" l="1"/>
  <c r="P7" i="137"/>
  <c r="P6" i="137"/>
  <c r="P5" i="137"/>
  <c r="P4" i="137"/>
  <c r="P3" i="137"/>
  <c r="Q32" i="137"/>
  <c r="Q31" i="137"/>
  <c r="G9" i="137"/>
  <c r="P17" i="137" l="1"/>
  <c r="P18" i="137" l="1"/>
  <c r="P19" i="137" s="1"/>
  <c r="G8" i="137" l="1"/>
  <c r="G7" i="137"/>
  <c r="H32" i="137"/>
  <c r="H31" i="137"/>
  <c r="G6" i="137"/>
  <c r="G5" i="137"/>
  <c r="G4" i="137"/>
  <c r="AG3" i="102" l="1"/>
  <c r="G3" i="137" l="1"/>
  <c r="G2" i="137"/>
  <c r="G17" i="137" s="1"/>
  <c r="AG5" i="102" l="1"/>
  <c r="C10" i="156" l="1"/>
  <c r="D10" i="156"/>
  <c r="B10" i="156"/>
  <c r="C8" i="156"/>
  <c r="D8" i="156"/>
  <c r="B8" i="156"/>
  <c r="G18" i="137" l="1"/>
  <c r="G19" i="137" s="1"/>
  <c r="X28" i="112" l="1"/>
  <c r="W28" i="112"/>
  <c r="V28" i="112"/>
  <c r="U28" i="112"/>
  <c r="T28" i="112"/>
  <c r="S28" i="112"/>
  <c r="R28" i="112"/>
  <c r="Q28" i="112"/>
  <c r="P28" i="112"/>
  <c r="O28" i="112"/>
  <c r="N28" i="112"/>
  <c r="M28" i="112"/>
  <c r="L28" i="112"/>
  <c r="K28" i="112"/>
  <c r="J28" i="112"/>
  <c r="I28" i="112"/>
  <c r="H28" i="112"/>
  <c r="G28" i="112"/>
  <c r="F28" i="112"/>
  <c r="E28" i="112"/>
  <c r="D28" i="112"/>
  <c r="C28" i="112"/>
  <c r="B28" i="112"/>
  <c r="A28" i="112"/>
  <c r="X20" i="112"/>
  <c r="W20" i="112"/>
  <c r="V20" i="112"/>
  <c r="U20" i="112"/>
  <c r="T20" i="112"/>
  <c r="S20" i="112"/>
  <c r="R20" i="112"/>
  <c r="Q20" i="112"/>
  <c r="P20" i="112"/>
  <c r="O20" i="112"/>
  <c r="N20" i="112"/>
  <c r="M20" i="112"/>
  <c r="L20" i="112"/>
  <c r="K20" i="112"/>
  <c r="J20" i="112"/>
  <c r="I20" i="112"/>
  <c r="H20" i="112"/>
  <c r="G20" i="112"/>
  <c r="F20" i="112"/>
  <c r="E20" i="112"/>
  <c r="D20" i="112"/>
  <c r="C20" i="112"/>
  <c r="B20" i="112"/>
  <c r="A20" i="112"/>
  <c r="E16" i="127"/>
  <c r="B16" i="127"/>
  <c r="E15" i="127"/>
  <c r="B15" i="127"/>
  <c r="E14" i="127"/>
  <c r="B14" i="127"/>
  <c r="E13" i="127"/>
  <c r="B13" i="127"/>
  <c r="E12" i="127"/>
  <c r="B12" i="127"/>
  <c r="E11" i="127"/>
  <c r="B11" i="127"/>
  <c r="E10" i="127"/>
  <c r="B10" i="127"/>
  <c r="E9" i="127"/>
  <c r="E8" i="127"/>
  <c r="E7" i="127"/>
  <c r="E6" i="127"/>
  <c r="E5" i="127"/>
  <c r="E4" i="127"/>
  <c r="E3" i="127"/>
  <c r="D3" i="127"/>
  <c r="D4" i="127" s="1"/>
  <c r="D5" i="127" s="1"/>
  <c r="D6" i="127" s="1"/>
  <c r="D7" i="127" s="1"/>
  <c r="D8" i="127" s="1"/>
  <c r="D9" i="127" s="1"/>
  <c r="D10" i="127" s="1"/>
  <c r="D11" i="127" s="1"/>
  <c r="D12" i="127" s="1"/>
  <c r="D13" i="127" s="1"/>
  <c r="D14" i="127" s="1"/>
  <c r="D15" i="127" s="1"/>
  <c r="D16" i="127" s="1"/>
  <c r="A3" i="127"/>
  <c r="A4" i="127" s="1"/>
  <c r="A5" i="127" s="1"/>
  <c r="A6" i="127" s="1"/>
  <c r="A7" i="127" s="1"/>
  <c r="A8" i="127" s="1"/>
  <c r="A9" i="127" s="1"/>
  <c r="A10" i="127" s="1"/>
  <c r="A11" i="127" s="1"/>
  <c r="A12" i="127" s="1"/>
  <c r="A13" i="127" s="1"/>
  <c r="A14" i="127" s="1"/>
  <c r="A15" i="127" s="1"/>
  <c r="A16" i="127" s="1"/>
  <c r="E2" i="127"/>
  <c r="D63" i="102"/>
  <c r="H36" i="102"/>
  <c r="D36" i="102"/>
  <c r="T36" i="102" s="1"/>
  <c r="H25" i="102"/>
  <c r="D25" i="102"/>
  <c r="T25" i="102" s="1"/>
  <c r="H17" i="102"/>
  <c r="D17" i="102"/>
  <c r="T17" i="102" s="1"/>
  <c r="D9" i="102"/>
  <c r="T9" i="102" s="1"/>
  <c r="A8" i="79"/>
  <c r="A11" i="79" s="1"/>
  <c r="A14" i="79" s="1"/>
  <c r="A20" i="79" s="1"/>
  <c r="A7" i="79"/>
  <c r="A10" i="79" s="1"/>
  <c r="A13" i="79" s="1"/>
  <c r="A19" i="79" s="1"/>
  <c r="B47" i="105"/>
  <c r="B46" i="105"/>
  <c r="B42" i="105"/>
  <c r="B38" i="105"/>
  <c r="B21" i="105"/>
  <c r="B20" i="105"/>
  <c r="B19" i="105"/>
  <c r="B16" i="105"/>
  <c r="B14" i="105"/>
  <c r="B13" i="105"/>
  <c r="B7" i="105"/>
  <c r="B6" i="105"/>
  <c r="B18" i="105"/>
  <c r="B40" i="105"/>
  <c r="B12" i="105"/>
  <c r="C20" i="79"/>
  <c r="A23" i="79"/>
  <c r="A22" i="79"/>
  <c r="C19" i="79"/>
  <c r="I36" i="102"/>
  <c r="E36" i="102"/>
  <c r="E17" i="102"/>
  <c r="B9" i="105"/>
  <c r="B5" i="105"/>
  <c r="B15" i="105"/>
  <c r="B17" i="105"/>
  <c r="B4" i="105"/>
  <c r="B10" i="105"/>
  <c r="B48" i="105"/>
  <c r="B49" i="105"/>
  <c r="B30" i="105"/>
  <c r="B31" i="105"/>
  <c r="B41" i="105"/>
  <c r="B3" i="105"/>
  <c r="B44" i="105"/>
  <c r="B22" i="105"/>
  <c r="B23" i="105"/>
  <c r="B33" i="105"/>
  <c r="B26" i="105"/>
  <c r="B34" i="105"/>
  <c r="B37" i="105"/>
  <c r="B35" i="105"/>
  <c r="B8" i="105"/>
  <c r="B28" i="105"/>
  <c r="B29" i="105"/>
  <c r="B39" i="105"/>
  <c r="B25" i="105"/>
  <c r="B50" i="105"/>
  <c r="B32" i="105"/>
  <c r="B45" i="105"/>
  <c r="B11" i="105"/>
  <c r="B36" i="105"/>
  <c r="B43" i="105"/>
  <c r="B27" i="105"/>
  <c r="B24" i="105"/>
  <c r="I25" i="102"/>
  <c r="I17" i="102"/>
  <c r="I9" i="102"/>
  <c r="A25" i="79" l="1"/>
  <c r="C22" i="79"/>
  <c r="A26" i="79"/>
  <c r="C23" i="79"/>
  <c r="C26" i="79" l="1"/>
  <c r="A29" i="79"/>
  <c r="A28" i="79"/>
  <c r="C25" i="79"/>
  <c r="C28" i="79" l="1"/>
  <c r="A31" i="79"/>
  <c r="A32" i="79"/>
  <c r="C29" i="79"/>
  <c r="A34" i="79" l="1"/>
  <c r="C31" i="79"/>
  <c r="C32" i="79"/>
  <c r="A35" i="79"/>
  <c r="A38" i="79" l="1"/>
  <c r="C35" i="79"/>
  <c r="A37" i="79"/>
  <c r="C34" i="79"/>
  <c r="A40" i="79" l="1"/>
  <c r="C37" i="79"/>
  <c r="C38" i="79"/>
  <c r="A41" i="79"/>
  <c r="A44" i="79" l="1"/>
  <c r="C41" i="79"/>
  <c r="C40" i="79"/>
  <c r="A43" i="79"/>
  <c r="C44" i="79" l="1"/>
  <c r="A47" i="79"/>
  <c r="A46" i="79"/>
  <c r="C43" i="79"/>
  <c r="C46" i="79" l="1"/>
  <c r="A49" i="79"/>
  <c r="A50" i="79"/>
  <c r="C47" i="79"/>
  <c r="A52" i="79" l="1"/>
  <c r="C49" i="79"/>
  <c r="C50" i="79"/>
  <c r="A53" i="79"/>
  <c r="A56" i="79" l="1"/>
  <c r="C53" i="79"/>
  <c r="A55" i="79"/>
  <c r="C52" i="79"/>
  <c r="A58" i="79" l="1"/>
  <c r="C55" i="79"/>
  <c r="C56" i="79"/>
  <c r="A59" i="79"/>
  <c r="C59" i="79" l="1"/>
  <c r="A62" i="79"/>
  <c r="C58" i="79"/>
  <c r="A61" i="79"/>
  <c r="A64" i="79" l="1"/>
  <c r="C61" i="79"/>
  <c r="C62" i="79"/>
  <c r="A65" i="79"/>
  <c r="A68" i="79" l="1"/>
  <c r="C65" i="79"/>
  <c r="A67" i="79"/>
  <c r="C64" i="79"/>
  <c r="A70" i="79" l="1"/>
  <c r="C67" i="79"/>
  <c r="C68" i="79"/>
  <c r="A71" i="79"/>
  <c r="A74" i="79" l="1"/>
  <c r="C71" i="79"/>
  <c r="A73" i="79"/>
  <c r="C70" i="79"/>
  <c r="N542" i="260" a="1"/>
  <c r="J694" i="260" a="1"/>
  <c r="AD572" i="260" a="1"/>
  <c r="G531" i="260" a="1"/>
  <c r="AN619" i="260" a="1"/>
  <c r="AN706" i="260" a="1"/>
  <c r="AZ615" i="260" a="1"/>
  <c r="R720" i="260" a="1"/>
  <c r="R753" i="260" a="1"/>
  <c r="J566" i="260" a="1"/>
  <c r="AT675" i="260" a="1"/>
  <c r="J544" i="260" a="1"/>
  <c r="BD638" i="260" a="1"/>
  <c r="N747" i="260" a="1"/>
  <c r="AH551" i="260" a="1"/>
  <c r="Z672" i="260" a="1"/>
  <c r="V586" i="260" a="1"/>
  <c r="Z656" i="260" a="1"/>
  <c r="BG745" i="260" a="1"/>
  <c r="R683" i="260" a="1"/>
  <c r="N653" i="260" a="1"/>
  <c r="BD705" i="260" a="1"/>
  <c r="BG534" i="260" a="1"/>
  <c r="AQ585" i="260" a="1"/>
  <c r="BG541" i="260" a="1"/>
  <c r="AZ686" i="260" a="1"/>
  <c r="AH715" i="260" a="1"/>
  <c r="AH645" i="260" a="1"/>
  <c r="AH541" i="260" a="1"/>
  <c r="BK619" i="260" a="1"/>
  <c r="R556" i="260" a="1"/>
  <c r="AQ723" i="260" a="1"/>
  <c r="V582" i="260" a="1"/>
  <c r="N736" i="260" a="1"/>
  <c r="BK609" i="260" a="1"/>
  <c r="AT692" i="260" a="1"/>
  <c r="AD734" i="260" a="1"/>
  <c r="AQ660" i="260" a="1"/>
  <c r="BK741" i="260" a="1"/>
  <c r="G558" i="260" a="1"/>
  <c r="AQ623" i="260" a="1"/>
  <c r="R563" i="260" a="1"/>
  <c r="R691" i="260" a="1"/>
  <c r="BG645" i="260" a="1"/>
  <c r="AZ547" i="260" a="1"/>
  <c r="BG649" i="260" a="1"/>
  <c r="J644" i="260" a="1"/>
  <c r="AH608" i="260" a="1"/>
  <c r="Z512" i="260" a="1"/>
  <c r="V669" i="260" a="1"/>
  <c r="J648" i="260" a="1"/>
  <c r="V651" i="260" a="1"/>
  <c r="AQ565" i="260" a="1"/>
  <c r="AN734" i="260" a="1"/>
  <c r="J713" i="260" a="1"/>
  <c r="AZ534" i="260" a="1"/>
  <c r="Z556" i="260" a="1"/>
  <c r="AH690" i="260" a="1"/>
  <c r="G677" i="260" a="1"/>
  <c r="AN710" i="260" a="1"/>
  <c r="R641" i="260" a="1"/>
  <c r="AZ670" i="260" a="1"/>
  <c r="AQ731" i="260" a="1"/>
  <c r="N742" i="260" a="1"/>
  <c r="AN507" i="260" a="1"/>
  <c r="AD544" i="260" a="1"/>
  <c r="AT566" i="260" a="1"/>
  <c r="AQ600" i="260" a="1"/>
  <c r="AD612" i="260" a="1"/>
  <c r="BK712" i="260" a="1"/>
  <c r="N724" i="260" a="1"/>
  <c r="V569" i="260" a="1"/>
  <c r="AT638" i="260" a="1"/>
  <c r="AQ534" i="260" a="1"/>
  <c r="J692" i="260" a="1"/>
  <c r="Z686" i="260" a="1"/>
  <c r="R722" i="260" a="1"/>
  <c r="Z607" i="260" a="1"/>
  <c r="BD597" i="260" a="1"/>
  <c r="AQ506" i="260" a="1"/>
  <c r="AQ612" i="260" a="1"/>
  <c r="Z603" i="260" a="1"/>
  <c r="BK699" i="260" a="1"/>
  <c r="N538" i="260" a="1"/>
  <c r="BK730" i="260" a="1"/>
  <c r="AZ702" i="260" a="1"/>
  <c r="N661" i="260" a="1"/>
  <c r="N544" i="260" a="1"/>
  <c r="R710" i="260" a="1"/>
  <c r="V618" i="260" a="1"/>
  <c r="AN557" i="260" a="1"/>
  <c r="BK535" i="260" a="1"/>
  <c r="BK597" i="260" a="1"/>
  <c r="G686" i="260" a="1"/>
  <c r="AH553" i="260" a="1"/>
  <c r="N539" i="260" a="1"/>
  <c r="AZ672" i="260" a="1"/>
  <c r="BG597" i="260" a="1"/>
  <c r="R687" i="260" a="1"/>
  <c r="AZ608" i="260" a="1"/>
  <c r="G602" i="260" a="1"/>
  <c r="BD585" i="260" a="1"/>
  <c r="BD566" i="260" a="1"/>
  <c r="AN656" i="260" a="1"/>
  <c r="AZ648" i="260" a="1"/>
  <c r="BD671" i="260" a="1"/>
  <c r="AQ552" i="260" a="1"/>
  <c r="AQ535" i="260" a="1"/>
  <c r="G744" i="260" a="1"/>
  <c r="AZ597" i="260" a="1"/>
  <c r="AH565" i="260" a="1"/>
  <c r="G700" i="260" a="1"/>
  <c r="AH631" i="260" a="1"/>
  <c r="AD539" i="260" a="1"/>
  <c r="Z545" i="260" a="1"/>
  <c r="BD726" i="260" a="1"/>
  <c r="AZ641" i="260" a="1"/>
  <c r="BD619" i="260" a="1"/>
  <c r="R545" i="260" a="1"/>
  <c r="AZ561" i="260" a="1"/>
  <c r="BG551" i="260" a="1"/>
  <c r="J571" i="260" a="1"/>
  <c r="AQ608" i="260" a="1"/>
  <c r="Z684" i="260" a="1"/>
  <c r="BK737" i="260" a="1"/>
  <c r="AQ622" i="260" a="1"/>
  <c r="AN676" i="260" a="1"/>
  <c r="AT612" i="260" a="1"/>
  <c r="AD688" i="260" a="1"/>
  <c r="AN693" i="260" a="1"/>
  <c r="BG663" i="260" a="1"/>
  <c r="V649" i="260" a="1"/>
  <c r="BG666" i="260" a="1"/>
  <c r="AN640" i="260" a="1"/>
  <c r="AQ530" i="260" a="1"/>
  <c r="R616" i="260" a="1"/>
  <c r="AH533" i="260" a="1"/>
  <c r="Z673" i="260" a="1"/>
  <c r="AZ533" i="260" a="1"/>
  <c r="AT699" i="260" a="1"/>
  <c r="J633" i="260" a="1"/>
  <c r="BD620" i="260" a="1"/>
  <c r="BK615" i="260" a="1"/>
  <c r="Z642" i="260" a="1"/>
  <c r="AT670" i="260" a="1"/>
  <c r="AQ665" i="260" a="1"/>
  <c r="AZ721" i="260" a="1"/>
  <c r="BD583" i="260" a="1"/>
  <c r="J664" i="260" a="1"/>
  <c r="AZ712" i="260" a="1"/>
  <c r="AN651" i="260" a="1"/>
  <c r="BD582" i="260" a="1"/>
  <c r="G566" i="260" a="1"/>
  <c r="J671" i="260" a="1"/>
  <c r="AZ663" i="260" a="1"/>
  <c r="AT664" i="260" a="1"/>
  <c r="AQ691" i="260" a="1"/>
  <c r="AN521" i="260" a="1"/>
  <c r="G655" i="260" a="1"/>
  <c r="N695" i="260" a="1"/>
  <c r="AT719" i="260" a="1"/>
  <c r="AH552" i="260" a="1"/>
  <c r="AZ575" i="260" a="1"/>
  <c r="R661" i="260" a="1"/>
  <c r="AH743" i="260" a="1"/>
  <c r="BD573" i="260" a="1"/>
  <c r="AD707" i="260" a="1"/>
  <c r="AZ646" i="260" a="1"/>
  <c r="J562" i="260" a="1"/>
  <c r="J731" i="260" a="1"/>
  <c r="AH610" i="260" a="1"/>
  <c r="V665" i="260" a="1"/>
  <c r="G544" i="260" a="1"/>
  <c r="BK650" i="260" a="1"/>
  <c r="AQ542" i="260" a="1"/>
  <c r="AD630" i="260" a="1"/>
  <c r="Z678" i="260" a="1"/>
  <c r="Z697" i="260" a="1"/>
  <c r="BK606" i="260" a="1"/>
  <c r="BG674" i="260" a="1"/>
  <c r="BD674" i="260" a="1"/>
  <c r="J603" i="260" a="1"/>
  <c r="BD551" i="260" a="1"/>
  <c r="G702" i="260" a="1"/>
  <c r="BD696" i="260" a="1"/>
  <c r="N671" i="260" a="1"/>
  <c r="BD584" i="260" a="1"/>
  <c r="AD599" i="260" a="1"/>
  <c r="Z647" i="260" a="1"/>
  <c r="BG563" i="260" a="1"/>
  <c r="G569" i="260" a="1"/>
  <c r="BG566" i="260" a="1"/>
  <c r="AN664" i="260" a="1"/>
  <c r="AH712" i="260" a="1"/>
  <c r="BK683" i="260" a="1"/>
  <c r="AT646" i="260" a="1"/>
  <c r="AQ747" i="260" a="1"/>
  <c r="J651" i="260" a="1"/>
  <c r="AT625" i="260" a="1"/>
  <c r="Z739" i="260" a="1"/>
  <c r="R582" i="260" a="1"/>
  <c r="AH670" i="260" a="1"/>
  <c r="AZ717" i="260" a="1"/>
  <c r="J609" i="260" a="1"/>
  <c r="AZ734" i="260" a="1"/>
  <c r="J556" i="260" a="1"/>
  <c r="BD738" i="260" a="1"/>
  <c r="BK557" i="260" a="1"/>
  <c r="V557" i="260" a="1"/>
  <c r="R682" i="260" a="1"/>
  <c r="BD640" i="260" a="1"/>
  <c r="AZ612" i="260" a="1"/>
  <c r="BG711" i="260" a="1"/>
  <c r="AH696" i="260" a="1"/>
  <c r="AH672" i="260" a="1"/>
  <c r="BD694" i="260" a="1"/>
  <c r="R551" i="260" a="1"/>
  <c r="AZ624" i="260" a="1"/>
  <c r="AN595" i="260" a="1"/>
  <c r="AD718" i="260" a="1"/>
  <c r="AH653" i="260" a="1"/>
  <c r="BG728" i="260" a="1"/>
  <c r="BD512" i="260" a="1"/>
  <c r="BG700" i="260" a="1"/>
  <c r="BK605" i="260" a="1"/>
  <c r="V550" i="260" a="1"/>
  <c r="AN674" i="260" a="1"/>
  <c r="Z597" i="260" a="1"/>
  <c r="AN632" i="260" a="1"/>
  <c r="AD615" i="260" a="1"/>
  <c r="BD535" i="260" a="1"/>
  <c r="AT739" i="260" a="1"/>
  <c r="N682" i="260" a="1"/>
  <c r="AD567" i="260" a="1"/>
  <c r="AT630" i="260" a="1"/>
  <c r="AQ662" i="260" a="1"/>
  <c r="AZ544" i="260" a="1"/>
  <c r="R731" i="260" a="1"/>
  <c r="N636" i="260" a="1"/>
  <c r="AH661" i="260" a="1"/>
  <c r="BG635" i="260" a="1"/>
  <c r="J592" i="260" a="1"/>
  <c r="BK676" i="260" a="1"/>
  <c r="V610" i="260" a="1"/>
  <c r="AQ688" i="260" a="1"/>
  <c r="G620" i="260" a="1"/>
  <c r="N632" i="260" a="1"/>
  <c r="N712" i="260" a="1"/>
  <c r="AT586" i="260" a="1"/>
  <c r="AZ726" i="260" a="1"/>
  <c r="AT556" i="260" a="1"/>
  <c r="AQ511" i="260" a="1"/>
  <c r="AD678" i="260" a="1"/>
  <c r="AT576" i="260" a="1"/>
  <c r="AN653" i="260" a="1"/>
  <c r="AQ566" i="260" a="1"/>
  <c r="BD691" i="260" a="1"/>
  <c r="AZ616" i="260" a="1"/>
  <c r="AQ616" i="260" a="1"/>
  <c r="Z646" i="260" a="1"/>
  <c r="AN606" i="260" a="1"/>
  <c r="AQ549" i="260" a="1"/>
  <c r="V591" i="260" a="1"/>
  <c r="AT619" i="260" a="1"/>
  <c r="AQ698" i="260" a="1"/>
  <c r="BK658" i="260" a="1"/>
  <c r="G533" i="260" a="1"/>
  <c r="BK575" i="260" a="1"/>
  <c r="R557" i="260" a="1"/>
  <c r="AN612" i="260" a="1"/>
  <c r="AN570" i="260" a="1"/>
  <c r="AD569" i="260" a="1"/>
  <c r="BG677" i="260" a="1"/>
  <c r="AQ743" i="260" a="1"/>
  <c r="R705" i="260" a="1"/>
  <c r="AQ576" i="260" a="1"/>
  <c r="BG583" i="260" a="1"/>
  <c r="N691" i="260" a="1"/>
  <c r="N693" i="260" a="1"/>
  <c r="AZ506" i="260" a="1"/>
  <c r="V677" i="260" a="1"/>
  <c r="V613" i="260" a="1"/>
  <c r="G673" i="260" a="1"/>
  <c r="N700" i="260" a="1"/>
  <c r="AQ573" i="260" a="1"/>
  <c r="BD702" i="260" a="1"/>
  <c r="AD705" i="260" a="1"/>
  <c r="G713" i="260" a="1"/>
  <c r="G573" i="260" a="1"/>
  <c r="J606" i="260" a="1"/>
  <c r="R686" i="260" a="1"/>
  <c r="J682" i="260" a="1"/>
  <c r="G657" i="260" a="1"/>
  <c r="Z576" i="260" a="1"/>
  <c r="R665" i="260" a="1"/>
  <c r="R738" i="260" a="1"/>
  <c r="AT570" i="260" a="1"/>
  <c r="AQ591" i="260" a="1"/>
  <c r="Z575" i="260" a="1"/>
  <c r="AQ690" i="260" a="1"/>
  <c r="BD657" i="260" a="1"/>
  <c r="G684" i="260" a="1"/>
  <c r="V594" i="260" a="1"/>
  <c r="R574" i="260" a="1"/>
  <c r="V631" i="260" a="1"/>
  <c r="AD719" i="260" a="1"/>
  <c r="BD715" i="260" a="1"/>
  <c r="AD664" i="260" a="1"/>
  <c r="BG599" i="260" a="1"/>
  <c r="AN735" i="260" a="1"/>
  <c r="N594" i="260" a="1"/>
  <c r="V734" i="260" a="1"/>
  <c r="AH732" i="260" a="1"/>
  <c r="AT563" i="260" a="1"/>
  <c r="AD555" i="260" a="1"/>
  <c r="AZ705" i="260" a="1"/>
  <c r="G546" i="260" a="1"/>
  <c r="AT657" i="260" a="1"/>
  <c r="BD581" i="260" a="1"/>
  <c r="J623" i="260" a="1"/>
  <c r="G723" i="260" a="1"/>
  <c r="AH643" i="260" a="1"/>
  <c r="AN702" i="260" a="1"/>
  <c r="BD538" i="260" a="1"/>
  <c r="N575" i="260" a="1"/>
  <c r="J594" i="260" a="1"/>
  <c r="BG542" i="260" a="1"/>
  <c r="AQ737" i="260" a="1"/>
  <c r="J711" i="260" a="1"/>
  <c r="AH725" i="260" a="1"/>
  <c r="BG536" i="260" a="1"/>
  <c r="BG647" i="260" a="1"/>
  <c r="AH702" i="260" a="1"/>
  <c r="Z649" i="260" a="1"/>
  <c r="AN530" i="260" a="1"/>
  <c r="AZ601" i="260" a="1"/>
  <c r="AD730" i="260" a="1"/>
  <c r="AN597" i="260" a="1"/>
  <c r="AH740" i="260" a="1"/>
  <c r="AN577" i="260" a="1"/>
  <c r="AD610" i="260" a="1"/>
  <c r="AZ690" i="260" a="1"/>
  <c r="Z561" i="260" a="1"/>
  <c r="BD660" i="260" a="1"/>
  <c r="BD626" i="260" a="1"/>
  <c r="AH699" i="260" a="1"/>
  <c r="AQ575" i="260" a="1"/>
  <c r="Z703" i="260" a="1"/>
  <c r="V639" i="260" a="1"/>
  <c r="V727" i="260" a="1"/>
  <c r="BK736" i="260" a="1"/>
  <c r="R630" i="260" a="1"/>
  <c r="BK558" i="260" a="1"/>
  <c r="Z594" i="260" a="1"/>
  <c r="AH603" i="260" a="1"/>
  <c r="BK715" i="260" a="1"/>
  <c r="V531" i="260" a="1"/>
  <c r="G610" i="260" a="1"/>
  <c r="AD655" i="260" a="1"/>
  <c r="AH651" i="260" a="1"/>
  <c r="BG564" i="260" a="1"/>
  <c r="V633" i="260" a="1"/>
  <c r="AZ611" i="260" a="1"/>
  <c r="Z627" i="260" a="1"/>
  <c r="V732" i="260" a="1"/>
  <c r="BD650" i="260" a="1"/>
  <c r="Z537" i="260" a="1"/>
  <c r="AN696" i="260" a="1"/>
  <c r="Z689" i="260" a="1"/>
  <c r="AD680" i="260" a="1"/>
  <c r="AD560" i="260" a="1"/>
  <c r="V598" i="260" a="1"/>
  <c r="N748" i="260" a="1"/>
  <c r="Z626" i="260" a="1"/>
  <c r="Z706" i="260" a="1"/>
  <c r="AN695" i="260" a="1"/>
  <c r="G603" i="260" a="1"/>
  <c r="AQ645" i="260" a="1"/>
  <c r="BK718" i="260" a="1"/>
  <c r="AQ618" i="260" a="1"/>
  <c r="AH626" i="260" a="1"/>
  <c r="BG618" i="260" a="1"/>
  <c r="AD696" i="260" a="1"/>
  <c r="N703" i="260" a="1"/>
  <c r="Z752" i="260" a="1"/>
  <c r="AD590" i="260" a="1"/>
  <c r="AD736" i="260" a="1"/>
  <c r="G537" i="260" a="1"/>
  <c r="AN543" i="260" a="1"/>
  <c r="BD575" i="260" a="1"/>
  <c r="Z731" i="260" a="1"/>
  <c r="G551" i="260" a="1"/>
  <c r="J649" i="260" a="1"/>
  <c r="AQ680" i="260" a="1"/>
  <c r="BK689" i="260" a="1"/>
  <c r="N541" i="260" a="1"/>
  <c r="BD559" i="260" a="1"/>
  <c r="AQ594" i="260" a="1"/>
  <c r="AZ685" i="260" a="1"/>
  <c r="G595" i="260" a="1"/>
  <c r="AZ559" i="260" a="1"/>
  <c r="AD623" i="260" a="1"/>
  <c r="AT697" i="260" a="1"/>
  <c r="AQ574" i="260" a="1"/>
  <c r="G626" i="260" a="1"/>
  <c r="AZ622" i="260" a="1"/>
  <c r="BG671" i="260" a="1"/>
  <c r="BK675" i="260" a="1"/>
  <c r="Z720" i="260" a="1"/>
  <c r="N692" i="260" a="1"/>
  <c r="AN564" i="260" a="1"/>
  <c r="BD719" i="260" a="1"/>
  <c r="AN608" i="260" a="1"/>
  <c r="J559" i="260" a="1"/>
  <c r="G659" i="260" a="1"/>
  <c r="N666" i="260" a="1"/>
  <c r="J531" i="260" a="1"/>
  <c r="BG717" i="260" a="1"/>
  <c r="AH566" i="260" a="1"/>
  <c r="J533" i="260" a="1"/>
  <c r="BK700" i="260" a="1"/>
  <c r="BD740" i="260" a="1"/>
  <c r="AT597" i="260" a="1"/>
  <c r="AN532" i="260" a="1"/>
  <c r="AH580" i="260" a="1"/>
  <c r="BG586" i="260" a="1"/>
  <c r="AQ702" i="260" a="1"/>
  <c r="AT567" i="260" a="1"/>
  <c r="AH606" i="260" a="1"/>
  <c r="R671" i="260" a="1"/>
  <c r="Z743" i="260" a="1"/>
  <c r="R511" i="260" a="1"/>
  <c r="Z714" i="260" a="1"/>
  <c r="AH546" i="260" a="1"/>
  <c r="R602" i="260" a="1"/>
  <c r="BK546" i="260" a="1"/>
  <c r="BD698" i="260" a="1"/>
  <c r="BG719" i="260" a="1"/>
  <c r="AN720" i="260" a="1"/>
  <c r="G661" i="260" a="1"/>
  <c r="Z735" i="260" a="1"/>
  <c r="AZ673" i="260" a="1"/>
  <c r="J593" i="260" a="1"/>
  <c r="AT660" i="260" a="1"/>
  <c r="AQ719" i="260" a="1"/>
  <c r="J506" i="260" a="1"/>
  <c r="Z593" i="260" a="1"/>
  <c r="BG619" i="260" a="1"/>
  <c r="AZ618" i="260" a="1"/>
  <c r="AH700" i="260" a="1"/>
  <c r="AZ634" i="260" a="1"/>
  <c r="N725" i="260" a="1"/>
  <c r="BG630" i="260" a="1"/>
  <c r="AT745" i="260" a="1"/>
  <c r="J577" i="260" a="1"/>
  <c r="R706" i="260" a="1"/>
  <c r="BD649" i="260" a="1"/>
  <c r="G624" i="260" a="1"/>
  <c r="BK709" i="260" a="1"/>
  <c r="AT599" i="260" a="1"/>
  <c r="AQ568" i="260" a="1"/>
  <c r="AQ682" i="260" a="1"/>
  <c r="Z590" i="260" a="1"/>
  <c r="N631" i="260" a="1"/>
  <c r="AH728" i="260" a="1"/>
  <c r="AQ730" i="260" a="1"/>
  <c r="AQ701" i="260" a="1"/>
  <c r="BK521" i="260" a="1"/>
  <c r="J642" i="260" a="1"/>
  <c r="AT589" i="260" a="1"/>
  <c r="R727" i="260" a="1"/>
  <c r="R736" i="260" a="1"/>
  <c r="V553" i="260" a="1"/>
  <c r="AT718" i="260" a="1"/>
  <c r="AH625" i="260" a="1"/>
  <c r="BG537" i="260" a="1"/>
  <c r="AT656" i="260" a="1"/>
  <c r="AQ685" i="260" a="1"/>
  <c r="AT685" i="260" a="1"/>
  <c r="BD712" i="260" a="1"/>
  <c r="BK749" i="260" a="1"/>
  <c r="AD546" i="260" a="1"/>
  <c r="AH685" i="260" a="1"/>
  <c r="BK614" i="260" a="1"/>
  <c r="BD556" i="260" a="1"/>
  <c r="R568" i="260" a="1"/>
  <c r="G721" i="260" a="1"/>
  <c r="AH616" i="260" a="1"/>
  <c r="AH559" i="260" a="1"/>
  <c r="G653" i="260" a="1"/>
  <c r="BD567" i="260" a="1"/>
  <c r="AZ569" i="260" a="1"/>
  <c r="AN751" i="260" a="1"/>
  <c r="AD616" i="260" a="1"/>
  <c r="AZ671" i="260" a="1"/>
  <c r="V603" i="260" a="1"/>
  <c r="R648" i="260" a="1"/>
  <c r="BG648" i="260" a="1"/>
  <c r="AQ749" i="260" a="1"/>
  <c r="AH584" i="260" a="1"/>
  <c r="N749" i="260" a="1"/>
  <c r="BG642" i="260" a="1"/>
  <c r="V621" i="260" a="1"/>
  <c r="AT544" i="260" a="1"/>
  <c r="AZ507" i="260" a="1"/>
  <c r="AD672" i="260" a="1"/>
  <c r="J576" i="260" a="1"/>
  <c r="AZ636" i="260" a="1"/>
  <c r="N603" i="260" a="1"/>
  <c r="Z541" i="260" a="1"/>
  <c r="AQ635" i="260" a="1"/>
  <c r="AD542" i="260" a="1"/>
  <c r="BK687" i="260" a="1"/>
  <c r="AT658" i="260" a="1"/>
  <c r="AT573" i="260" a="1"/>
  <c r="AZ606" i="260" a="1"/>
  <c r="V728" i="260" a="1"/>
  <c r="AT548" i="260" a="1"/>
  <c r="R533" i="260" a="1"/>
  <c r="J611" i="260" a="1"/>
  <c r="AQ583" i="260" a="1"/>
  <c r="AN724" i="260" a="1"/>
  <c r="J684" i="260" a="1"/>
  <c r="N737" i="260" a="1"/>
  <c r="BD623" i="260" a="1"/>
  <c r="J602" i="260" a="1"/>
  <c r="BD688" i="260" a="1"/>
  <c r="R668" i="260" a="1"/>
  <c r="V623" i="260" a="1"/>
  <c r="G586" i="260" a="1"/>
  <c r="BG691" i="260" a="1"/>
  <c r="AD697" i="260" a="1"/>
  <c r="J657" i="260" a="1"/>
  <c r="AQ586" i="260" a="1"/>
  <c r="BD664" i="260" a="1"/>
  <c r="N706" i="260" a="1"/>
  <c r="AQ644" i="260" a="1"/>
  <c r="Z693" i="260" a="1"/>
  <c r="AQ707" i="260" a="1"/>
  <c r="BG724" i="260" a="1"/>
  <c r="R636" i="260" a="1"/>
  <c r="AN541" i="260" a="1"/>
  <c r="BG569" i="260" a="1"/>
  <c r="AQ667" i="260" a="1"/>
  <c r="AT667" i="260" a="1"/>
  <c r="AZ661" i="260" a="1"/>
  <c r="AN586" i="260" a="1"/>
  <c r="V521" i="260" a="1"/>
  <c r="BG665" i="260" a="1"/>
  <c r="R675" i="260" a="1"/>
  <c r="AT584" i="260" a="1"/>
  <c r="G674" i="260" a="1"/>
  <c r="AH691" i="260" a="1"/>
  <c r="AD609" i="260" a="1"/>
  <c r="AT636" i="260" a="1"/>
  <c r="BD631" i="260" a="1"/>
  <c r="Z580" i="260" a="1"/>
  <c r="V616" i="260" a="1"/>
  <c r="R561" i="260" a="1"/>
  <c r="AH723" i="260" a="1"/>
  <c r="AD668" i="260" a="1"/>
  <c r="AH569" i="260" a="1"/>
  <c r="AN719" i="260" a="1"/>
  <c r="V607" i="260" a="1"/>
  <c r="BD647" i="260" a="1"/>
  <c r="R587" i="260" a="1"/>
  <c r="AH674" i="260" a="1"/>
  <c r="BK649" i="260" a="1"/>
  <c r="AD645" i="260" a="1"/>
  <c r="BD741" i="260" a="1"/>
  <c r="AQ669" i="260" a="1"/>
  <c r="N620" i="260" a="1"/>
  <c r="AH588" i="260" a="1"/>
  <c r="N633" i="260" a="1"/>
  <c r="BK656" i="260" a="1"/>
  <c r="J690" i="260" a="1"/>
  <c r="BG539" i="260" a="1"/>
  <c r="AD588" i="260" a="1"/>
  <c r="V680" i="260" a="1"/>
  <c r="R637" i="260" a="1"/>
  <c r="AQ617" i="260" a="1"/>
  <c r="G669" i="260" a="1"/>
  <c r="AT506" i="260" a="1"/>
  <c r="G635" i="260" a="1"/>
  <c r="N699" i="260" a="1"/>
  <c r="N521" i="260" a="1"/>
  <c r="BK669" i="260" a="1"/>
  <c r="AH688" i="260" a="1"/>
  <c r="AH611" i="260" a="1"/>
  <c r="AN673" i="260" a="1"/>
  <c r="N630" i="260" a="1"/>
  <c r="AZ556" i="260" a="1"/>
  <c r="G671" i="260" a="1"/>
  <c r="N534" i="260" a="1"/>
  <c r="AH716" i="260" a="1"/>
  <c r="AZ548" i="260" a="1"/>
  <c r="AT708" i="260" a="1"/>
  <c r="AN628" i="260" a="1"/>
  <c r="G550" i="260" a="1"/>
  <c r="R715" i="260" a="1"/>
  <c r="BD666" i="260" a="1"/>
  <c r="AD643" i="260" a="1"/>
  <c r="BG706" i="260" a="1"/>
  <c r="J548" i="260" a="1"/>
  <c r="BK547" i="260" a="1"/>
  <c r="G660" i="260" a="1"/>
  <c r="N532" i="260" a="1"/>
  <c r="AH734" i="260" a="1"/>
  <c r="AH568" i="260" a="1"/>
  <c r="BD511" i="260" a="1"/>
  <c r="AZ537" i="260" a="1"/>
  <c r="Z724" i="260" a="1"/>
  <c r="G753" i="260" a="1"/>
  <c r="AH713" i="260" a="1"/>
  <c r="AD715" i="260" a="1"/>
  <c r="AQ724" i="260" a="1"/>
  <c r="BK732" i="260" a="1"/>
  <c r="G616" i="260" a="1"/>
  <c r="BD580" i="260" a="1"/>
  <c r="R624" i="260" a="1"/>
  <c r="R744" i="260" a="1"/>
  <c r="BG572" i="260" a="1"/>
  <c r="G667" i="260" a="1"/>
  <c r="J645" i="260" a="1"/>
  <c r="J621" i="260" a="1"/>
  <c r="AN626" i="260" a="1"/>
  <c r="R650" i="260" a="1"/>
  <c r="AZ625" i="260" a="1"/>
  <c r="V506" i="260" a="1"/>
  <c r="R751" i="260" a="1"/>
  <c r="AQ664" i="260" a="1"/>
  <c r="R560" i="260" a="1"/>
  <c r="AZ545" i="260" a="1"/>
  <c r="G651" i="260" a="1"/>
  <c r="AZ543" i="260" a="1"/>
  <c r="BD558" i="260" a="1"/>
  <c r="AN658" i="260" a="1"/>
  <c r="AN730" i="260" a="1"/>
  <c r="AH617" i="260" a="1"/>
  <c r="V743" i="260" a="1"/>
  <c r="R634" i="260" a="1"/>
  <c r="Z751" i="260" a="1"/>
  <c r="AN725" i="260" a="1"/>
  <c r="BD678" i="260" a="1"/>
  <c r="N614" i="260" a="1"/>
  <c r="J640" i="260" a="1"/>
  <c r="R709" i="260" a="1"/>
  <c r="AN573" i="260" a="1"/>
  <c r="BD543" i="260" a="1"/>
  <c r="AN511" i="260" a="1"/>
  <c r="BG739" i="260" a="1"/>
  <c r="J736" i="260" a="1"/>
  <c r="BD745" i="260" a="1"/>
  <c r="G717" i="260" a="1"/>
  <c r="AQ734" i="260" a="1"/>
  <c r="AD535" i="260" a="1"/>
  <c r="G665" i="260" a="1"/>
  <c r="R673" i="260" a="1"/>
  <c r="BK688" i="260" a="1"/>
  <c r="G552" i="260" a="1"/>
  <c r="AQ689" i="260" a="1"/>
  <c r="R655" i="260" a="1"/>
  <c r="AD699" i="260" a="1"/>
  <c r="AH623" i="260" a="1"/>
  <c r="N609" i="260" a="1"/>
  <c r="R632" i="260" a="1"/>
  <c r="BG752" i="260" a="1"/>
  <c r="BD621" i="260" a="1"/>
  <c r="BD560" i="260" a="1"/>
  <c r="AD568" i="260" a="1"/>
  <c r="R669" i="260" a="1"/>
  <c r="BK612" i="260" a="1"/>
  <c r="AH727" i="260" a="1"/>
  <c r="V545" i="260" a="1"/>
  <c r="AH576" i="260" a="1"/>
  <c r="N734" i="260" a="1"/>
  <c r="J719" i="260" a="1"/>
  <c r="G681" i="260" a="1"/>
  <c r="BD743" i="260" a="1"/>
  <c r="AT623" i="260" a="1"/>
  <c r="BK571" i="260" a="1"/>
  <c r="AD642" i="260" a="1"/>
  <c r="G732" i="260" a="1"/>
  <c r="BD536" i="260" a="1"/>
  <c r="AN678" i="260" a="1"/>
  <c r="AT557" i="260" a="1"/>
  <c r="J753" i="260" a="1"/>
  <c r="J659" i="260" a="1"/>
  <c r="R575" i="260" a="1"/>
  <c r="V676" i="260" a="1"/>
  <c r="AD545" i="260" a="1"/>
  <c r="AD658" i="260" a="1"/>
  <c r="AQ636" i="260" a="1"/>
  <c r="AD740" i="260" a="1"/>
  <c r="AQ536" i="260" a="1"/>
  <c r="AN728" i="260" a="1"/>
  <c r="G627" i="260" a="1"/>
  <c r="Z722" i="260" a="1"/>
  <c r="G701" i="260" a="1"/>
  <c r="BD592" i="260" a="1"/>
  <c r="V583" i="260" a="1"/>
  <c r="R642" i="260" a="1"/>
  <c r="AD534" i="260" a="1"/>
  <c r="BD648" i="260" a="1"/>
  <c r="V573" i="260" a="1"/>
  <c r="J740" i="260" a="1"/>
  <c r="BK713" i="260" a="1"/>
  <c r="AZ614" i="260" a="1"/>
  <c r="AT531" i="260" a="1"/>
  <c r="V659" i="260" a="1"/>
  <c r="BG748" i="260" a="1"/>
  <c r="R592" i="260" a="1"/>
  <c r="J595" i="260" a="1"/>
  <c r="BG598" i="260" a="1"/>
  <c r="AT734" i="260" a="1"/>
  <c r="J555" i="260" a="1"/>
  <c r="AH605" i="260" a="1"/>
  <c r="V692" i="260" a="1"/>
  <c r="AQ728" i="260" a="1"/>
  <c r="V534" i="260" a="1"/>
  <c r="N746" i="260" a="1"/>
  <c r="AD689" i="260" a="1"/>
  <c r="AD601" i="260" a="1"/>
  <c r="AD722" i="260" a="1"/>
  <c r="AT701" i="260" a="1"/>
  <c r="AD602" i="260" a="1"/>
  <c r="BG621" i="260" a="1"/>
  <c r="AN691" i="260" a="1"/>
  <c r="BK750" i="260" a="1"/>
  <c r="AZ599" i="260" a="1"/>
  <c r="AD711" i="260" a="1"/>
  <c r="J557" i="260" a="1"/>
  <c r="AQ540" i="260" a="1"/>
  <c r="BD546" i="260" a="1"/>
  <c r="BK724" i="260" a="1"/>
  <c r="BK540" i="260" a="1"/>
  <c r="J607" i="260" a="1"/>
  <c r="BG751" i="260" a="1"/>
  <c r="R728" i="260" a="1"/>
  <c r="R588" i="260" a="1"/>
  <c r="J674" i="260" a="1"/>
  <c r="J727" i="260" a="1"/>
  <c r="G630" i="260" a="1"/>
  <c r="AQ555" i="260" a="1"/>
  <c r="V571" i="260" a="1"/>
  <c r="BK740" i="260" a="1"/>
  <c r="AT672" i="260" a="1"/>
  <c r="AQ642" i="260" a="1"/>
  <c r="BG594" i="260" a="1"/>
  <c r="N557" i="260" a="1"/>
  <c r="AD667" i="260" a="1"/>
  <c r="AN665" i="260" a="1"/>
  <c r="R546" i="260" a="1"/>
  <c r="R653" i="260" a="1"/>
  <c r="BG632" i="260" a="1"/>
  <c r="BG637" i="260" a="1"/>
  <c r="Z531" i="260" a="1"/>
  <c r="AT748" i="260" a="1"/>
  <c r="AN737" i="260" a="1"/>
  <c r="G587" i="260" a="1"/>
  <c r="G543" i="260" a="1"/>
  <c r="BK708" i="260" a="1"/>
  <c r="N675" i="260" a="1"/>
  <c r="N586" i="260" a="1"/>
  <c r="AH662" i="260" a="1"/>
  <c r="V688" i="260" a="1"/>
  <c r="BK626" i="260" a="1"/>
  <c r="J585" i="260" a="1"/>
  <c r="AT728" i="260" a="1"/>
  <c r="AH555" i="260" a="1"/>
  <c r="R507" i="260" a="1"/>
  <c r="N686" i="260" a="1"/>
  <c r="G615" i="260" a="1"/>
  <c r="AQ633" i="260" a="1"/>
  <c r="BK653" i="260" a="1"/>
  <c r="AH682" i="260" a="1"/>
  <c r="AT723" i="260" a="1"/>
  <c r="R748" i="260" a="1"/>
  <c r="R631" i="260" a="1"/>
  <c r="BD723" i="260" a="1"/>
  <c r="BG650" i="260" a="1"/>
  <c r="J625" i="260" a="1"/>
  <c r="J653" i="260" a="1"/>
  <c r="Z655" i="260" a="1"/>
  <c r="J552" i="260" a="1"/>
  <c r="Z620" i="260" a="1"/>
  <c r="V541" i="260" a="1"/>
  <c r="AH652" i="260" a="1"/>
  <c r="AZ564" i="260" a="1"/>
  <c r="AD741" i="260" a="1"/>
  <c r="N549" i="260" a="1"/>
  <c r="G712" i="260" a="1"/>
  <c r="BK582" i="260" a="1"/>
  <c r="AD558" i="260" a="1"/>
  <c r="Z596" i="260" a="1"/>
  <c r="AT648" i="260" a="1"/>
  <c r="AZ689" i="260" a="1"/>
  <c r="G631" i="260" a="1"/>
  <c r="BD534" i="260" a="1"/>
  <c r="AN605" i="260" a="1"/>
  <c r="AQ748" i="260" a="1"/>
  <c r="BK620" i="260" a="1"/>
  <c r="J532" i="260" a="1"/>
  <c r="BK655" i="260" a="1"/>
  <c r="AT635" i="260" a="1"/>
  <c r="AQ722" i="260" a="1"/>
  <c r="AD698" i="260" a="1"/>
  <c r="V556" i="260" a="1"/>
  <c r="R572" i="260" a="1"/>
  <c r="AH656" i="260" a="1"/>
  <c r="N637" i="260" a="1"/>
  <c r="AH665" i="260" a="1"/>
  <c r="AT717" i="260" a="1"/>
  <c r="AZ682" i="260" a="1"/>
  <c r="V713" i="260" a="1"/>
  <c r="BG718" i="260" a="1"/>
  <c r="AH748" i="260" a="1"/>
  <c r="AZ667" i="260" a="1"/>
  <c r="BD634" i="260" a="1"/>
  <c r="AQ587" i="260" a="1"/>
  <c r="BD734" i="260" a="1"/>
  <c r="V638" i="260" a="1"/>
  <c r="V712" i="260" a="1"/>
  <c r="Z750" i="260" a="1"/>
  <c r="V647" i="260" a="1"/>
  <c r="BD709" i="260" a="1"/>
  <c r="N728" i="260" a="1"/>
  <c r="AQ675" i="260" a="1"/>
  <c r="AZ688" i="260" a="1"/>
  <c r="Z532" i="260" a="1"/>
  <c r="AQ671" i="260" a="1"/>
  <c r="G682" i="260" a="1"/>
  <c r="AQ678" i="260" a="1"/>
  <c r="N680" i="260" a="1"/>
  <c r="BK561" i="260" a="1"/>
  <c r="G709" i="260" a="1"/>
  <c r="AH698" i="260" a="1"/>
  <c r="BG611" i="260" a="1"/>
  <c r="BG736" i="260" a="1"/>
  <c r="J676" i="260" a="1"/>
  <c r="R600" i="260" a="1"/>
  <c r="AZ656" i="260" a="1"/>
  <c r="BD675" i="260" a="1"/>
  <c r="AT540" i="260" a="1"/>
  <c r="BD655" i="260" a="1"/>
  <c r="J670" i="260" a="1"/>
  <c r="AN572" i="260" a="1"/>
  <c r="R610" i="260" a="1"/>
  <c r="BD721" i="260" a="1"/>
  <c r="G640" i="260" a="1"/>
  <c r="N607" i="260" a="1"/>
  <c r="AD693" i="260" a="1"/>
  <c r="AD653" i="260" a="1"/>
  <c r="AD663" i="260" a="1"/>
  <c r="BK542" i="260" a="1"/>
  <c r="Z628" i="260" a="1"/>
  <c r="AZ700" i="260" a="1"/>
  <c r="V740" i="260" a="1"/>
  <c r="AH548" i="260" a="1"/>
  <c r="AT574" i="260" a="1"/>
  <c r="G731" i="260" a="1"/>
  <c r="J650" i="260" a="1"/>
  <c r="Z533" i="260" a="1"/>
  <c r="AZ600" i="260" a="1"/>
  <c r="V558" i="260" a="1"/>
  <c r="BG612" i="260" a="1"/>
  <c r="AQ751" i="260" a="1"/>
  <c r="R606" i="260" a="1"/>
  <c r="AD651" i="260" a="1"/>
  <c r="AN548" i="260" a="1"/>
  <c r="Z676" i="260" a="1"/>
  <c r="G685" i="260" a="1"/>
  <c r="AT560" i="260" a="1"/>
  <c r="AH664" i="260" a="1"/>
  <c r="AT585" i="260" a="1"/>
  <c r="AZ647" i="260" a="1"/>
  <c r="Z595" i="260" a="1"/>
  <c r="AN684" i="260" a="1"/>
  <c r="V657" i="260" a="1"/>
  <c r="AZ709" i="260" a="1"/>
  <c r="BD749" i="260" a="1"/>
  <c r="J636" i="260" a="1"/>
  <c r="AT690" i="260" a="1"/>
  <c r="R608" i="260" a="1"/>
  <c r="V645" i="260" a="1"/>
  <c r="BD593" i="260" a="1"/>
  <c r="G506" i="260" a="1"/>
  <c r="BG574" i="260" a="1"/>
  <c r="Z738" i="260" a="1"/>
  <c r="BG670" i="260" a="1"/>
  <c r="AZ555" i="260" a="1"/>
  <c r="N560" i="260" a="1"/>
  <c r="V733" i="260" a="1"/>
  <c r="AZ683" i="260" a="1"/>
  <c r="V695" i="260" a="1"/>
  <c r="AH660" i="260" a="1"/>
  <c r="AH573" i="260" a="1"/>
  <c r="BK691" i="260" a="1"/>
  <c r="J558" i="260" a="1"/>
  <c r="BK580" i="260" a="1"/>
  <c r="BG589" i="260" a="1"/>
  <c r="AH540" i="260" a="1"/>
  <c r="AN641" i="260" a="1"/>
  <c r="AZ617" i="260" a="1"/>
  <c r="AN663" i="260" a="1"/>
  <c r="AT581" i="260" a="1"/>
  <c r="N681" i="260" a="1"/>
  <c r="G608" i="260" a="1"/>
  <c r="R538" i="260" a="1"/>
  <c r="AZ680" i="260" a="1"/>
  <c r="AT595" i="260" a="1"/>
  <c r="AH592" i="260" a="1"/>
  <c r="BD735" i="260" a="1"/>
  <c r="J707" i="260" a="1"/>
  <c r="Z546" i="260" a="1"/>
  <c r="AH563" i="260" a="1"/>
  <c r="AH575" i="260" a="1"/>
  <c r="R657" i="260" a="1"/>
  <c r="AZ630" i="260" a="1"/>
  <c r="AZ751" i="260" a="1"/>
  <c r="G716" i="260" a="1"/>
  <c r="J599" i="260" a="1"/>
  <c r="Z726" i="260" a="1"/>
  <c r="BK647" i="260" a="1"/>
  <c r="BD693" i="260" a="1"/>
  <c r="BK657" i="260" a="1"/>
  <c r="BD682" i="260" a="1"/>
  <c r="J749" i="260" a="1"/>
  <c r="BD548" i="260" a="1"/>
  <c r="G689" i="260" a="1"/>
  <c r="Z749" i="260" a="1"/>
  <c r="AD751" i="260" a="1"/>
  <c r="BK552" i="260" a="1"/>
  <c r="BD673" i="260" a="1"/>
  <c r="AT614" i="260" a="1"/>
  <c r="AH613" i="260" a="1"/>
  <c r="AN732" i="260" a="1"/>
  <c r="BG726" i="260" a="1"/>
  <c r="Z567" i="260" a="1"/>
  <c r="AD556" i="260" a="1"/>
  <c r="BK693" i="260" a="1"/>
  <c r="AZ660" i="260" a="1"/>
  <c r="AN660" i="260" a="1"/>
  <c r="BD725" i="260" a="1"/>
  <c r="BG623" i="260" a="1"/>
  <c r="G692" i="260" a="1"/>
  <c r="V739" i="260" a="1"/>
  <c r="BG643" i="260" a="1"/>
  <c r="Z633" i="260" a="1"/>
  <c r="N723" i="260" a="1"/>
  <c r="BK539" i="260" a="1"/>
  <c r="BG617" i="260" a="1"/>
  <c r="G746" i="260" a="1"/>
  <c r="AH561" i="260" a="1"/>
  <c r="BD736" i="260" a="1"/>
  <c r="V656" i="260" a="1"/>
  <c r="V686" i="260" a="1"/>
  <c r="AT583" i="260" a="1"/>
  <c r="AD548" i="260" a="1"/>
  <c r="AZ696" i="260" a="1"/>
  <c r="Z660" i="260" a="1"/>
  <c r="N624" i="260" a="1"/>
  <c r="BG622" i="260" a="1"/>
  <c r="AZ585" i="260" a="1"/>
  <c r="R571" i="260" a="1"/>
  <c r="BK641" i="260" a="1"/>
  <c r="BK642" i="260" a="1"/>
  <c r="AH577" i="260" a="1"/>
  <c r="N685" i="260" a="1"/>
  <c r="N597" i="260" a="1"/>
  <c r="J568" i="260" a="1"/>
  <c r="AN743" i="260" a="1"/>
  <c r="J507" i="260" a="1"/>
  <c r="AN646" i="260" a="1"/>
  <c r="BG712" i="260" a="1"/>
  <c r="AD666" i="260" a="1"/>
  <c r="AN692" i="260" a="1"/>
  <c r="AH687" i="260" a="1"/>
  <c r="AT564" i="260" a="1"/>
  <c r="AZ675" i="260" a="1"/>
  <c r="Z710" i="260" a="1"/>
  <c r="BD569" i="260" a="1"/>
  <c r="BD617" i="260" a="1"/>
  <c r="BG628" i="260" a="1"/>
  <c r="V538" i="260" a="1"/>
  <c r="BD571" i="260" a="1"/>
  <c r="Z610" i="260" a="1"/>
  <c r="V548" i="260" a="1"/>
  <c r="AZ710" i="260" a="1"/>
  <c r="BK578" i="260" a="1"/>
  <c r="G670" i="260" a="1"/>
  <c r="BG600" i="260" a="1"/>
  <c r="BD530" i="260" a="1"/>
  <c r="BK550" i="260" a="1"/>
  <c r="AH589" i="260" a="1"/>
  <c r="AQ705" i="260" a="1"/>
  <c r="BK742" i="260" a="1"/>
  <c r="Z737" i="260" a="1"/>
  <c r="AZ748" i="260" a="1"/>
  <c r="N673" i="260" a="1"/>
  <c r="G547" i="260" a="1"/>
  <c r="BD665" i="260" a="1"/>
  <c r="R628" i="260" a="1"/>
  <c r="J698" i="260" a="1"/>
  <c r="J589" i="260" a="1"/>
  <c r="G720" i="260" a="1"/>
  <c r="BD703" i="260" a="1"/>
  <c r="R662" i="260" a="1"/>
  <c r="BD707" i="260" a="1"/>
  <c r="AD659" i="260" a="1"/>
  <c r="AZ744" i="260" a="1"/>
  <c r="J630" i="260" a="1"/>
  <c r="V608" i="260" a="1"/>
  <c r="BK717" i="260" a="1"/>
  <c r="AH596" i="260" a="1"/>
  <c r="J742" i="260" a="1"/>
  <c r="BD669" i="260" a="1"/>
  <c r="J720" i="260" a="1"/>
  <c r="AQ507" i="260" a="1"/>
  <c r="G598" i="260" a="1"/>
  <c r="BK651" i="260" a="1"/>
  <c r="AN652" i="260" a="1"/>
  <c r="BD614" i="260" a="1"/>
  <c r="AN574" i="260" a="1"/>
  <c r="V628" i="260" a="1"/>
  <c r="BD706" i="260" a="1"/>
  <c r="AH673" i="260" a="1"/>
  <c r="AQ752" i="260" a="1"/>
  <c r="N506" i="260" a="1"/>
  <c r="R750" i="260" a="1"/>
  <c r="V750" i="260" a="1"/>
  <c r="BD588" i="260" a="1"/>
  <c r="N600" i="260" a="1"/>
  <c r="G718" i="260" a="1"/>
  <c r="AH587" i="260" a="1"/>
  <c r="BG562" i="260" a="1"/>
  <c r="AT742" i="260" a="1"/>
  <c r="G593" i="260" a="1"/>
  <c r="AZ718" i="260" a="1"/>
  <c r="N601" i="260" a="1"/>
  <c r="Z638" i="260" a="1"/>
  <c r="BG545" i="260" a="1"/>
  <c r="V511" i="260" a="1"/>
  <c r="AN701" i="260" a="1"/>
  <c r="AH694" i="260" a="1"/>
  <c r="BG624" i="260" a="1"/>
  <c r="BK567" i="260" a="1"/>
  <c r="AN575" i="260" a="1"/>
  <c r="AD739" i="260" a="1"/>
  <c r="N687" i="260" a="1"/>
  <c r="V721" i="260" a="1"/>
  <c r="N588" i="260" a="1"/>
  <c r="BD686" i="260" a="1"/>
  <c r="N705" i="260" a="1"/>
  <c r="AD750" i="260" a="1"/>
  <c r="J735" i="260" a="1"/>
  <c r="AZ563" i="260" a="1"/>
  <c r="AT643" i="260" a="1"/>
  <c r="J678" i="260" a="1"/>
  <c r="BG544" i="260" a="1"/>
  <c r="BK652" i="260" a="1"/>
  <c r="BG627" i="260" a="1"/>
  <c r="BK576" i="260" a="1"/>
  <c r="R680" i="260" a="1"/>
  <c r="V640" i="260" a="1"/>
  <c r="AT624" i="260" a="1"/>
  <c r="BK537" i="260" a="1"/>
  <c r="BG615" i="260" a="1"/>
  <c r="AH735" i="260" a="1"/>
  <c r="AN609" i="260" a="1"/>
  <c r="AD619" i="260" a="1"/>
  <c r="AQ597" i="260" a="1"/>
  <c r="AD731" i="260" a="1"/>
  <c r="G540" i="260" a="1"/>
  <c r="N621" i="260" a="1"/>
  <c r="J615" i="260" a="1"/>
  <c r="AN535" i="260" a="1"/>
  <c r="Z566" i="260" a="1"/>
  <c r="G649" i="260" a="1"/>
  <c r="AT608" i="260" a="1"/>
  <c r="AN623" i="260" a="1"/>
  <c r="AZ609" i="260" a="1"/>
  <c r="BK640" i="260" a="1"/>
  <c r="V715" i="260" a="1"/>
  <c r="J540" i="260" a="1"/>
  <c r="N708" i="260" a="1"/>
  <c r="BD716" i="260" a="1"/>
  <c r="AH521" i="260" a="1"/>
  <c r="R681" i="260" a="1"/>
  <c r="AH737" i="260" a="1"/>
  <c r="J658" i="260" a="1"/>
  <c r="AD701" i="260" a="1"/>
  <c r="R656" i="260" a="1"/>
  <c r="BG641" i="260" a="1"/>
  <c r="G656" i="260" a="1"/>
  <c r="J575" i="260" a="1"/>
  <c r="BD541" i="260" a="1"/>
  <c r="AN551" i="260" a="1"/>
  <c r="AD628" i="260" a="1"/>
  <c r="V726" i="260" a="1"/>
  <c r="N547" i="260" a="1"/>
  <c r="J588" i="260" a="1"/>
  <c r="AD559" i="260" a="1"/>
  <c r="AT559" i="260" a="1"/>
  <c r="BG578" i="260" a="1"/>
  <c r="AZ590" i="260" a="1"/>
  <c r="J693" i="260" a="1"/>
  <c r="AZ613" i="260" a="1"/>
  <c r="Z559" i="260" a="1"/>
  <c r="AH535" i="260" a="1"/>
  <c r="AT546" i="260" a="1"/>
  <c r="AD620" i="260" a="1"/>
  <c r="G561" i="260" a="1"/>
  <c r="AH648" i="260" a="1"/>
  <c r="AD553" i="260" a="1"/>
  <c r="AH530" i="260" a="1"/>
  <c r="BG653" i="260" a="1"/>
  <c r="AN753" i="260" a="1"/>
  <c r="R690" i="260" a="1"/>
  <c r="AQ560" i="260" a="1"/>
  <c r="J580" i="260" a="1"/>
  <c r="G747" i="260" a="1"/>
  <c r="AH731" i="260" a="1"/>
  <c r="Z698" i="260" a="1"/>
  <c r="AQ602" i="260" a="1"/>
  <c r="AT521" i="260" a="1"/>
  <c r="V606" i="260" a="1"/>
  <c r="BK638" i="260" a="1"/>
  <c r="AN750" i="260" a="1"/>
  <c r="Z573" i="260" a="1"/>
  <c r="V641" i="260" a="1"/>
  <c r="AN552" i="260" a="1"/>
  <c r="G668" i="260" a="1"/>
  <c r="AN596" i="260" a="1"/>
  <c r="BD633" i="260" a="1"/>
  <c r="N530" i="260" a="1"/>
  <c r="AZ694" i="260" a="1"/>
  <c r="BD627" i="260" a="1"/>
  <c r="BK721" i="260" a="1"/>
  <c r="Z612" i="260" a="1"/>
  <c r="R717" i="260" a="1"/>
  <c r="BD537" i="260" a="1"/>
  <c r="AD562" i="260" a="1"/>
  <c r="G688" i="260" a="1"/>
  <c r="Z564" i="260" a="1"/>
  <c r="G695" i="260" a="1"/>
  <c r="AD512" i="260" a="1"/>
  <c r="AH621" i="260" a="1"/>
  <c r="N690" i="260" a="1"/>
  <c r="BD565" i="260" a="1"/>
  <c r="BK723" i="260" a="1"/>
  <c r="V597" i="260" a="1"/>
  <c r="BD659" i="260" a="1"/>
  <c r="AT733" i="260" a="1"/>
  <c r="BG692" i="260" a="1"/>
  <c r="AZ598" i="260" a="1"/>
  <c r="AN683" i="260" a="1"/>
  <c r="G739" i="260" a="1"/>
  <c r="BG507" i="260" a="1"/>
  <c r="AQ744" i="260" a="1"/>
  <c r="AQ615" i="260" a="1"/>
  <c r="Z542" i="260" a="1"/>
  <c r="Z582" i="260" a="1"/>
  <c r="BD545" i="260" a="1"/>
  <c r="G578" i="260" a="1"/>
  <c r="N684" i="260" a="1"/>
  <c r="BK672" i="260" a="1"/>
  <c r="AH539" i="260" a="1"/>
  <c r="AQ619" i="260" a="1"/>
  <c r="AD571" i="260" a="1"/>
  <c r="V643" i="260" a="1"/>
  <c r="R531" i="260" a="1"/>
  <c r="R670" i="260" a="1"/>
  <c r="R559" i="260" a="1"/>
  <c r="AT698" i="260" a="1"/>
  <c r="N674" i="260" a="1"/>
  <c r="R544" i="260" a="1"/>
  <c r="BG580" i="260" a="1"/>
  <c r="BD747" i="260" a="1"/>
  <c r="BK624" i="260" a="1"/>
  <c r="BK625" i="260" a="1"/>
  <c r="V581" i="260" a="1"/>
  <c r="AD702" i="260" a="1"/>
  <c r="BK630" i="260" a="1"/>
  <c r="G708" i="260" a="1"/>
  <c r="AN555" i="260" a="1"/>
  <c r="BD590" i="260" a="1"/>
  <c r="G565" i="260" a="1"/>
  <c r="AH693" i="260" a="1"/>
  <c r="N623" i="260" a="1"/>
  <c r="AZ742" i="260" a="1"/>
  <c r="Z663" i="260" a="1"/>
  <c r="BD636" i="260" a="1"/>
  <c r="AT626" i="260" a="1"/>
  <c r="AD580" i="260" a="1"/>
  <c r="AT547" i="260" a="1"/>
  <c r="V617" i="260" a="1"/>
  <c r="Z670" i="260" a="1"/>
  <c r="Z539" i="260" a="1"/>
  <c r="N555" i="260" a="1"/>
  <c r="BD692" i="260" a="1"/>
  <c r="N745" i="260" a="1"/>
  <c r="G663" i="260" a="1"/>
  <c r="AD647" i="260" a="1"/>
  <c r="AZ701" i="260" a="1"/>
  <c r="J700" i="260" a="1"/>
  <c r="J646" i="260" a="1"/>
  <c r="AN700" i="260" a="1"/>
  <c r="AH532" i="260" a="1"/>
  <c r="Z719" i="260" a="1"/>
  <c r="AH746" i="260" a="1"/>
  <c r="R609" i="260" a="1"/>
  <c r="G601" i="260" a="1"/>
  <c r="N641" i="260" a="1"/>
  <c r="V622" i="260" a="1"/>
  <c r="G557" i="260" a="1"/>
  <c r="AT653" i="260" a="1"/>
  <c r="AN685" i="260" a="1"/>
  <c r="AD589" i="260" a="1"/>
  <c r="BG688" i="260" a="1"/>
  <c r="N730" i="260" a="1"/>
  <c r="AT696" i="260" a="1"/>
  <c r="R591" i="260" a="1"/>
  <c r="J626" i="260" a="1"/>
  <c r="BG749" i="260" a="1"/>
  <c r="BK678" i="260" a="1"/>
  <c r="V596" i="260" a="1"/>
  <c r="N590" i="260" a="1"/>
  <c r="Z643" i="260" a="1"/>
  <c r="N656" i="260" a="1"/>
  <c r="AH697" i="260" a="1"/>
  <c r="BD572" i="260" a="1"/>
  <c r="Z548" i="260" a="1"/>
  <c r="AN741" i="260" a="1"/>
  <c r="G530" i="260" a="1"/>
  <c r="AT695" i="260" a="1"/>
  <c r="V619" i="260" a="1"/>
  <c r="AZ727" i="260" a="1"/>
  <c r="AD725" i="260" a="1"/>
  <c r="AD648" i="260" a="1"/>
  <c r="AQ628" i="260" a="1"/>
  <c r="R541" i="260" a="1"/>
  <c r="AT575" i="260" a="1"/>
  <c r="V658" i="260" a="1"/>
  <c r="G541" i="260" a="1"/>
  <c r="AT652" i="260" a="1"/>
  <c r="AH718" i="260" a="1"/>
  <c r="Z717" i="260" a="1"/>
  <c r="J574" i="260" a="1"/>
  <c r="R646" i="260" a="1"/>
  <c r="AH666" i="260" a="1"/>
  <c r="AZ539" i="260" a="1"/>
  <c r="AQ741" i="260" a="1"/>
  <c r="AZ711" i="260" a="1"/>
  <c r="AD681" i="260" a="1"/>
  <c r="AN636" i="260" a="1"/>
  <c r="N650" i="260" a="1"/>
  <c r="AH640" i="260" a="1"/>
  <c r="AT651" i="260" a="1"/>
  <c r="BD700" i="260" a="1"/>
  <c r="N578" i="260" a="1"/>
  <c r="BG710" i="260" a="1"/>
  <c r="J725" i="260" a="1"/>
  <c r="AT594" i="260" a="1"/>
  <c r="V690" i="260" a="1"/>
  <c r="AT725" i="260" a="1"/>
  <c r="Z578" i="260" a="1"/>
  <c r="AT711" i="260" a="1"/>
  <c r="BG548" i="260" a="1"/>
  <c r="BG625" i="260" a="1"/>
  <c r="N577" i="260" a="1"/>
  <c r="G699" i="260" a="1"/>
  <c r="Z700" i="260" a="1"/>
  <c r="Z557" i="260" a="1"/>
  <c r="AN677" i="260" a="1"/>
  <c r="AZ584" i="260" a="1"/>
  <c r="AN681" i="260" a="1"/>
  <c r="V536" i="260" a="1"/>
  <c r="BK584" i="260" a="1"/>
  <c r="BK744" i="260" a="1"/>
  <c r="G707" i="260" a="1"/>
  <c r="G567" i="260" a="1"/>
  <c r="AQ721" i="260" a="1"/>
  <c r="BK559" i="260" a="1"/>
  <c r="AN633" i="260" a="1"/>
  <c r="N566" i="260" a="1"/>
  <c r="R660" i="260" a="1"/>
  <c r="AZ640" i="260" a="1"/>
  <c r="AT507" i="260" a="1"/>
  <c r="R747" i="260" a="1"/>
  <c r="G532" i="260" a="1"/>
  <c r="Z682" i="260" a="1"/>
  <c r="AH635" i="260" a="1"/>
  <c r="BK563" i="260" a="1"/>
  <c r="N711" i="260" a="1"/>
  <c r="V612" i="260" a="1"/>
  <c r="AT721" i="260" a="1"/>
  <c r="V588" i="260" a="1"/>
  <c r="AZ668" i="260" a="1"/>
  <c r="R701" i="260" a="1"/>
  <c r="AN538" i="260" a="1"/>
  <c r="AZ695" i="260" a="1"/>
  <c r="AT536" i="260" a="1"/>
  <c r="G658" i="260" a="1"/>
  <c r="AT707" i="260" a="1"/>
  <c r="BK530" i="260" a="1"/>
  <c r="AH632" i="260" a="1"/>
  <c r="G719" i="260" a="1"/>
  <c r="BG659" i="260" a="1"/>
  <c r="Z669" i="260" a="1"/>
  <c r="BK549" i="260" a="1"/>
  <c r="N721" i="260" a="1"/>
  <c r="BK532" i="260" a="1"/>
  <c r="V568" i="260" a="1"/>
  <c r="V585" i="260" a="1"/>
  <c r="G647" i="260" a="1"/>
  <c r="AT640" i="260" a="1"/>
  <c r="R741" i="260" a="1"/>
  <c r="J661" i="260" a="1"/>
  <c r="J663" i="260" a="1"/>
  <c r="J600" i="260" a="1"/>
  <c r="G648" i="260" a="1"/>
  <c r="BG742" i="260" a="1"/>
  <c r="BG662" i="260" a="1"/>
  <c r="BG699" i="260" a="1"/>
  <c r="AN698" i="260" a="1"/>
  <c r="AD598" i="260" a="1"/>
  <c r="AH701" i="260" a="1"/>
  <c r="J536" i="260" a="1"/>
  <c r="AZ551" i="260" a="1"/>
  <c r="G585" i="260" a="1"/>
  <c r="J741" i="260" a="1"/>
  <c r="N585" i="260" a="1"/>
  <c r="AT740" i="260" a="1"/>
  <c r="BD739" i="260" a="1"/>
  <c r="AZ531" i="260" a="1"/>
  <c r="AN531" i="260" a="1"/>
  <c r="R707" i="260" a="1"/>
  <c r="BD652" i="260" a="1"/>
  <c r="Z664" i="260" a="1"/>
  <c r="AD521" i="260" a="1"/>
  <c r="AQ610" i="260" a="1"/>
  <c r="J560" i="260" a="1"/>
  <c r="J744" i="260" a="1"/>
  <c r="BG657" i="260" a="1"/>
  <c r="BG714" i="260" a="1"/>
  <c r="AT637" i="260" a="1"/>
  <c r="N606" i="260" a="1"/>
  <c r="J695" i="260" a="1"/>
  <c r="AH578" i="260" a="1"/>
  <c r="AN642" i="260" a="1"/>
  <c r="AD570" i="260" a="1"/>
  <c r="AZ638" i="260" a="1"/>
  <c r="BK663" i="260" a="1"/>
  <c r="V577" i="260" a="1"/>
  <c r="J677" i="260" a="1"/>
  <c r="Z675" i="260" a="1"/>
  <c r="BK734" i="260" a="1"/>
  <c r="AQ727" i="260" a="1"/>
  <c r="BG667" i="260" a="1"/>
  <c r="V736" i="260" a="1"/>
  <c r="AZ633" i="260" a="1"/>
  <c r="N562" i="260" a="1"/>
  <c r="V625" i="260" a="1"/>
  <c r="AN547" i="260" a="1"/>
  <c r="BK680" i="260" a="1"/>
  <c r="BK607" i="260" a="1"/>
  <c r="V694" i="260" a="1"/>
  <c r="J634" i="260" a="1"/>
  <c r="R618" i="260" a="1"/>
  <c r="AH711" i="260" a="1"/>
  <c r="BG546" i="260" a="1"/>
  <c r="AD638" i="260" a="1"/>
  <c r="BK586" i="260" a="1"/>
  <c r="AH692" i="260" a="1"/>
  <c r="V706" i="260" a="1"/>
  <c r="V723" i="260" a="1"/>
  <c r="AQ578" i="260" a="1"/>
  <c r="AH547" i="260" a="1"/>
  <c r="AD611" i="260" a="1"/>
  <c r="AH667" i="260" a="1"/>
  <c r="AZ749" i="260" a="1"/>
  <c r="G662" i="260" a="1"/>
  <c r="BG683" i="260" a="1"/>
  <c r="BK661" i="260" a="1"/>
  <c r="Z666" i="260" a="1"/>
  <c r="AH663" i="260" a="1"/>
  <c r="J702" i="260" a="1"/>
  <c r="AT549" i="260" a="1"/>
  <c r="AQ596" i="260" a="1"/>
  <c r="BG689" i="260" a="1"/>
  <c r="N741" i="260" a="1"/>
  <c r="AQ646" i="260" a="1"/>
  <c r="AN587" i="260" a="1"/>
  <c r="AQ548" i="260" a="1"/>
  <c r="AQ538" i="260" a="1"/>
  <c r="AN620" i="260" a="1"/>
  <c r="BG587" i="260" a="1"/>
  <c r="G534" i="260" a="1"/>
  <c r="AN603" i="260" a="1"/>
  <c r="AZ572" i="260" a="1"/>
  <c r="BD643" i="260" a="1"/>
  <c r="AT687" i="260" a="1"/>
  <c r="AN671" i="260" a="1"/>
  <c r="J614" i="260" a="1"/>
  <c r="V689" i="260" a="1"/>
  <c r="AT726" i="260" a="1"/>
  <c r="G693" i="260" a="1"/>
  <c r="AD624" i="260" a="1"/>
  <c r="V560" i="260" a="1"/>
  <c r="BG715" i="260" a="1"/>
  <c r="AZ535" i="260" a="1"/>
  <c r="AD717" i="260" a="1"/>
  <c r="AD671" i="260" a="1"/>
  <c r="AQ613" i="260" a="1"/>
  <c r="AZ538" i="260" a="1"/>
  <c r="BG607" i="260" a="1"/>
  <c r="BG743" i="260" a="1"/>
  <c r="BG636" i="260" a="1"/>
  <c r="N714" i="260" a="1"/>
  <c r="AN592" i="260" a="1"/>
  <c r="BD728" i="260" a="1"/>
  <c r="N543" i="260" a="1"/>
  <c r="V552" i="260" a="1"/>
  <c r="AH636" i="260" a="1"/>
  <c r="V691" i="260" a="1"/>
  <c r="J716" i="260" a="1"/>
  <c r="AD742" i="260" a="1"/>
  <c r="AH593" i="260" a="1"/>
  <c r="V532" i="260" a="1"/>
  <c r="N678" i="260" a="1"/>
  <c r="BG549" i="260" a="1"/>
  <c r="Z619" i="260" a="1"/>
  <c r="AQ750" i="260" a="1"/>
  <c r="N713" i="260" a="1"/>
  <c r="G636" i="260" a="1"/>
  <c r="AQ611" i="260" a="1"/>
  <c r="J705" i="260" a="1"/>
  <c r="V714" i="260" a="1"/>
  <c r="BG538" i="260" a="1"/>
  <c r="G555" i="260" a="1"/>
  <c r="AD737" i="260" a="1"/>
  <c r="AD531" i="260" a="1"/>
  <c r="Z536" i="260" a="1"/>
  <c r="J530" i="260" a="1"/>
  <c r="V535" i="260" a="1"/>
  <c r="G577" i="260" a="1"/>
  <c r="AT682" i="260" a="1"/>
  <c r="AZ570" i="260" a="1"/>
  <c r="AD591" i="260" a="1"/>
  <c r="BD753" i="260" a="1"/>
  <c r="N593" i="260" a="1"/>
  <c r="V698" i="260" a="1"/>
  <c r="AT669" i="260" a="1"/>
  <c r="G545" i="260" a="1"/>
  <c r="R693" i="260" a="1"/>
  <c r="AQ571" i="260" a="1"/>
  <c r="AH615" i="260" a="1"/>
  <c r="N511" i="260" a="1"/>
  <c r="N649" i="260" a="1"/>
  <c r="BK733" i="260" a="1"/>
  <c r="AN512" i="260" a="1"/>
  <c r="AZ674" i="260" a="1"/>
  <c r="AD603" i="260" a="1"/>
  <c r="BG606" i="260" a="1"/>
  <c r="R621" i="260" a="1"/>
  <c r="J703" i="260" a="1"/>
  <c r="AD577" i="260" a="1"/>
  <c r="AH738" i="260" a="1"/>
  <c r="N640" i="260" a="1"/>
  <c r="AD637" i="260" a="1"/>
  <c r="AN666" i="260" a="1"/>
  <c r="Z598" i="260" a="1"/>
  <c r="AQ692" i="260" a="1"/>
  <c r="BG741" i="260" a="1"/>
  <c r="AN647" i="260" a="1"/>
  <c r="AN506" i="260" a="1"/>
  <c r="J697" i="260" a="1"/>
  <c r="AN649" i="260" a="1"/>
  <c r="V724" i="260" a="1"/>
  <c r="AN739" i="260" a="1"/>
  <c r="G733" i="260" a="1"/>
  <c r="Z586" i="260" a="1"/>
  <c r="BD685" i="260" a="1"/>
  <c r="AQ541" i="260" a="1"/>
  <c r="AQ537" i="260" a="1"/>
  <c r="AD606" i="260" a="1"/>
  <c r="BG531" i="260" a="1"/>
  <c r="AD726" i="260" a="1"/>
  <c r="V670" i="260" a="1"/>
  <c r="AT722" i="260" a="1"/>
  <c r="Z692" i="260" a="1"/>
  <c r="V576" i="260" a="1"/>
  <c r="AD533" i="260" a="1"/>
  <c r="AT572" i="260" a="1"/>
  <c r="BK637" i="260" a="1"/>
  <c r="G571" i="260" a="1"/>
  <c r="N717" i="260" a="1"/>
  <c r="G607" i="260" a="1"/>
  <c r="N611" i="260" a="1"/>
  <c r="AT616" i="260" a="1"/>
  <c r="AT578" i="260" a="1"/>
  <c r="BK705" i="260" a="1"/>
  <c r="BD722" i="260" a="1"/>
  <c r="N710" i="260" a="1"/>
  <c r="AN638" i="260" a="1"/>
  <c r="R619" i="260" a="1"/>
  <c r="AQ673" i="260" a="1"/>
  <c r="AH585" i="260" a="1"/>
  <c r="BD662" i="260" a="1"/>
  <c r="BK710" i="260" a="1"/>
  <c r="Z630" i="260" a="1"/>
  <c r="G703" i="260" a="1"/>
  <c r="AD694" i="260" a="1"/>
  <c r="AN662" i="260" a="1"/>
  <c r="BD506" i="260" a="1"/>
  <c r="AD712" i="260" a="1"/>
  <c r="AQ684" i="260" a="1"/>
  <c r="AT709" i="260" a="1"/>
  <c r="J673" i="260" a="1"/>
  <c r="AT710" i="260" a="1"/>
  <c r="BD570" i="260" a="1"/>
  <c r="BG727" i="260" a="1"/>
  <c r="AQ676" i="260" a="1"/>
  <c r="AH624" i="260" a="1"/>
  <c r="BK507" i="260" a="1"/>
  <c r="AQ686" i="260" a="1"/>
  <c r="V595" i="260" a="1"/>
  <c r="N720" i="260" a="1"/>
  <c r="J610" i="260" a="1"/>
  <c r="AH649" i="260" a="1"/>
  <c r="AH618" i="260" a="1"/>
  <c r="V601" i="260" a="1"/>
  <c r="J549" i="260" a="1"/>
  <c r="Z609" i="260" a="1"/>
  <c r="J547" i="260" a="1"/>
  <c r="J752" i="260" a="1"/>
  <c r="AZ558" i="260" a="1"/>
  <c r="BG609" i="260" a="1"/>
  <c r="Z511" i="260" a="1"/>
  <c r="AD703" i="260" a="1"/>
  <c r="AT558" i="260" a="1"/>
  <c r="AZ589" i="260" a="1"/>
  <c r="Z568" i="260" a="1"/>
  <c r="BG596" i="260" a="1"/>
  <c r="V539" i="260" a="1"/>
  <c r="N750" i="260" a="1"/>
  <c r="V681" i="260" a="1"/>
  <c r="AQ651" i="260" a="1"/>
  <c r="AZ603" i="260" a="1"/>
  <c r="AH676" i="260" a="1"/>
  <c r="BK548" i="260" a="1"/>
  <c r="AN588" i="260" a="1"/>
  <c r="N616" i="260" a="1"/>
  <c r="BD689" i="260" a="1"/>
  <c r="V730" i="260" a="1"/>
  <c r="BD663" i="260" a="1"/>
  <c r="AQ620" i="260" a="1"/>
  <c r="AQ588" i="260" a="1"/>
  <c r="J737" i="260" a="1"/>
  <c r="BD608" i="260" a="1"/>
  <c r="J543" i="260" a="1"/>
  <c r="R685" i="260" a="1"/>
  <c r="AZ720" i="260" a="1"/>
  <c r="AT746" i="260" a="1"/>
  <c r="V630" i="260" a="1"/>
  <c r="AN655" i="260" a="1"/>
  <c r="V575" i="260" a="1"/>
  <c r="V653" i="260" a="1"/>
  <c r="BG705" i="260" a="1"/>
  <c r="AQ593" i="260" a="1"/>
  <c r="R595" i="260" a="1"/>
  <c r="AQ740" i="260" a="1"/>
  <c r="V667" i="260" a="1"/>
  <c r="AQ718" i="260" a="1"/>
  <c r="BD587" i="260" a="1"/>
  <c r="AZ651" i="260" a="1"/>
  <c r="AT712" i="260" a="1"/>
  <c r="V719" i="260" a="1"/>
  <c r="AZ541" i="260" a="1"/>
  <c r="N535" i="260" a="1"/>
  <c r="AT532" i="260" a="1"/>
  <c r="AH558" i="260" a="1"/>
  <c r="BD547" i="260" a="1"/>
  <c r="AT609" i="260" a="1"/>
  <c r="BK543" i="260" a="1"/>
  <c r="R652" i="260" a="1"/>
  <c r="V753" i="260" a="1"/>
  <c r="BD542" i="260" a="1"/>
  <c r="V725" i="260" a="1"/>
  <c r="AZ653" i="260" a="1"/>
  <c r="G644" i="260" a="1"/>
  <c r="R712" i="260" a="1"/>
  <c r="AT683" i="260" a="1"/>
  <c r="AQ720" i="260" a="1"/>
  <c r="AQ674" i="260" a="1"/>
  <c r="AZ699" i="260" a="1"/>
  <c r="BK572" i="260" a="1"/>
  <c r="J596" i="260" a="1"/>
  <c r="Z658" i="260" a="1"/>
  <c r="AZ728" i="260" a="1"/>
  <c r="V685" i="260" a="1"/>
  <c r="AT688" i="260" a="1"/>
  <c r="Z634" i="260" a="1"/>
  <c r="AH639" i="260" a="1"/>
  <c r="BD632" i="260" a="1"/>
  <c r="AQ632" i="260" a="1"/>
  <c r="AD673" i="260" a="1"/>
  <c r="G676" i="260" a="1"/>
  <c r="BD611" i="260" a="1"/>
  <c r="BG740" i="260" a="1"/>
  <c r="J647" i="260" a="1"/>
  <c r="BG543" i="260" a="1"/>
  <c r="AD597" i="260" a="1"/>
  <c r="AZ723" i="260" a="1"/>
  <c r="BD599" i="260" a="1"/>
  <c r="BD578" i="260" a="1"/>
  <c r="Z674" i="260" a="1"/>
  <c r="G580" i="260" a="1"/>
  <c r="BG644" i="260" a="1"/>
  <c r="AH739" i="260" a="1"/>
  <c r="G562" i="260" a="1"/>
  <c r="J656" i="260" a="1"/>
  <c r="AT593" i="260" a="1"/>
  <c r="AQ717" i="260" a="1"/>
  <c r="R601" i="260" a="1"/>
  <c r="BG720" i="260" a="1"/>
  <c r="N670" i="260" a="1"/>
  <c r="Z727" i="260" a="1"/>
  <c r="AQ631" i="260" a="1"/>
  <c r="N744" i="260" a="1"/>
  <c r="AN752" i="260" a="1"/>
  <c r="G539" i="260" a="1"/>
  <c r="Z570" i="260" a="1"/>
  <c r="BK684" i="260" a="1"/>
  <c r="AT512" i="260" a="1"/>
  <c r="BG616" i="260" a="1"/>
  <c r="AZ565" i="260" a="1"/>
  <c r="N602" i="260" a="1"/>
  <c r="AQ558" i="260" a="1"/>
  <c r="N688" i="260" a="1"/>
  <c r="AD538" i="260" a="1"/>
  <c r="AD634" i="260" a="1"/>
  <c r="AZ745" i="260" a="1"/>
  <c r="V533" i="260" a="1"/>
  <c r="BK536" i="260" a="1"/>
  <c r="AZ635" i="260" a="1"/>
  <c r="BG547" i="260" a="1"/>
  <c r="AZ678" i="260" a="1"/>
  <c r="AQ582" i="260" a="1"/>
  <c r="V624" i="260" a="1"/>
  <c r="AQ700" i="260" a="1"/>
  <c r="BK707" i="260" a="1"/>
  <c r="AD753" i="260" a="1"/>
  <c r="BK671" i="260" a="1"/>
  <c r="BD731" i="260" a="1"/>
  <c r="AQ713" i="260" a="1"/>
  <c r="AN736" i="260" a="1"/>
  <c r="AD744" i="260" a="1"/>
  <c r="AZ659" i="260" a="1"/>
  <c r="AT555" i="260" a="1"/>
  <c r="N563" i="260" a="1"/>
  <c r="AH730" i="260" a="1"/>
  <c r="BG737" i="260" a="1"/>
  <c r="AD608" i="260" a="1"/>
  <c r="R721" i="260" a="1"/>
  <c r="AD549" i="260" a="1"/>
  <c r="BK556" i="260" a="1"/>
  <c r="AZ724" i="260" a="1"/>
  <c r="AN711" i="260" a="1"/>
  <c r="AD656" i="260" a="1"/>
  <c r="AZ574" i="260" a="1"/>
  <c r="AZ692" i="260" a="1"/>
  <c r="R674" i="260" a="1"/>
  <c r="AH591" i="260" a="1"/>
  <c r="Z521" i="260" a="1"/>
  <c r="AZ581" i="260" a="1"/>
  <c r="AN742" i="260" a="1"/>
  <c r="BD752" i="260" a="1"/>
  <c r="AN550" i="260" a="1"/>
  <c r="BG738" i="260" a="1"/>
  <c r="AN567" i="260" a="1"/>
  <c r="BK585" i="260" a="1"/>
  <c r="BK590" i="260" a="1"/>
  <c r="AN627" i="260" a="1"/>
  <c r="Z736" i="260" a="1"/>
  <c r="AT530" i="260" a="1"/>
  <c r="N753" i="260" a="1"/>
  <c r="BK668" i="260" a="1"/>
  <c r="AT588" i="260" a="1"/>
  <c r="BG511" i="260" a="1"/>
  <c r="BD613" i="260" a="1"/>
  <c r="AZ623" i="260" a="1"/>
  <c r="J687" i="260" a="1"/>
  <c r="G581" i="260" a="1"/>
  <c r="G584" i="260" a="1"/>
  <c r="AD595" i="260" a="1"/>
  <c r="V693" i="260" a="1"/>
  <c r="G548" i="260" a="1"/>
  <c r="Z696" i="260" a="1"/>
  <c r="R570" i="260" a="1"/>
  <c r="BG675" i="260" a="1"/>
  <c r="BD667" i="260" a="1"/>
  <c r="N582" i="260" a="1"/>
  <c r="AD706" i="260" a="1"/>
  <c r="N533" i="260" a="1"/>
  <c r="R552" i="260" a="1"/>
  <c r="R730" i="260" a="1"/>
  <c r="AD507" i="260" a="1"/>
  <c r="Z740" i="260" a="1"/>
  <c r="AH619" i="260" a="1"/>
  <c r="BD642" i="260" a="1"/>
  <c r="AT668" i="260" a="1"/>
  <c r="J668" i="260" a="1"/>
  <c r="BG702" i="260" a="1"/>
  <c r="J584" i="260" a="1"/>
  <c r="V738" i="260" a="1"/>
  <c r="BK594" i="260" a="1"/>
  <c r="Z652" i="260" a="1"/>
  <c r="J723" i="260" a="1"/>
  <c r="AT533" i="260" a="1"/>
  <c r="Z668" i="260" a="1"/>
  <c r="R726" i="260" a="1"/>
  <c r="G749" i="260" a="1"/>
  <c r="BG577" i="260" a="1"/>
  <c r="J622" i="260" a="1"/>
  <c r="AN622" i="260" a="1"/>
  <c r="AQ589" i="260" a="1"/>
  <c r="AQ643" i="260" a="1"/>
  <c r="R567" i="260" a="1"/>
  <c r="AN675" i="260" a="1"/>
  <c r="N719" i="260" a="1"/>
  <c r="AH751" i="260" a="1"/>
  <c r="AZ594" i="260" a="1"/>
  <c r="BG731" i="260" a="1"/>
  <c r="AZ658" i="260" a="1"/>
  <c r="AH733" i="260" a="1"/>
  <c r="V705" i="260" a="1"/>
  <c r="AT641" i="260" a="1"/>
  <c r="G625" i="260" a="1"/>
  <c r="AZ620" i="260" a="1"/>
  <c r="AD724" i="260" a="1"/>
  <c r="AT731" i="260" a="1"/>
  <c r="AN745" i="260" a="1"/>
  <c r="BD711" i="260" a="1"/>
  <c r="N583" i="260" a="1"/>
  <c r="BK662" i="260" a="1"/>
  <c r="AZ511" i="260" a="1"/>
  <c r="AQ551" i="260" a="1"/>
  <c r="J747" i="260" a="1"/>
  <c r="AQ626" i="260" a="1"/>
  <c r="R740" i="260" a="1"/>
  <c r="J721" i="260" a="1"/>
  <c r="V614" i="260" a="1"/>
  <c r="V742" i="260" a="1"/>
  <c r="Z681" i="260" a="1"/>
  <c r="BG730" i="260" a="1"/>
  <c r="BK602" i="260" a="1"/>
  <c r="BK591" i="260" a="1"/>
  <c r="J591" i="260" a="1"/>
  <c r="J715" i="260" a="1"/>
  <c r="AT543" i="260" a="1"/>
  <c r="AQ715" i="260" a="1"/>
  <c r="BK598" i="260" a="1"/>
  <c r="AZ732" i="260" a="1"/>
  <c r="AD596" i="260" a="1"/>
  <c r="J631" i="260" a="1"/>
  <c r="AZ665" i="260" a="1"/>
  <c r="BD533" i="260" a="1"/>
  <c r="AH644" i="260" a="1"/>
  <c r="J534" i="260" a="1"/>
  <c r="Z688" i="260" a="1"/>
  <c r="AN566" i="260" a="1"/>
  <c r="V590" i="260" a="1"/>
  <c r="V600" i="260" a="1"/>
  <c r="R605" i="260" a="1"/>
  <c r="AH543" i="260" a="1"/>
  <c r="BD561" i="260" a="1"/>
  <c r="J660" i="260" a="1"/>
  <c r="AT661" i="260" a="1"/>
  <c r="AQ659" i="260" a="1"/>
  <c r="BD635" i="260" a="1"/>
  <c r="AD607" i="260" a="1"/>
  <c r="BG703" i="260" a="1"/>
  <c r="AD627" i="260" a="1"/>
  <c r="AQ521" i="260" a="1"/>
  <c r="R626" i="260" a="1"/>
  <c r="BD639" i="260" a="1"/>
  <c r="G694" i="260" a="1"/>
  <c r="AN648" i="260" a="1"/>
  <c r="Z581" i="260" a="1"/>
  <c r="AD641" i="260" a="1"/>
  <c r="Z683" i="260" a="1"/>
  <c r="G521" i="260" a="1"/>
  <c r="AT678" i="260" a="1"/>
  <c r="AT720" i="260" a="1"/>
  <c r="AQ647" i="260" a="1"/>
  <c r="AQ638" i="260" a="1"/>
  <c r="R639" i="260" a="1"/>
  <c r="BK639" i="260" a="1"/>
  <c r="G752" i="260" a="1"/>
  <c r="J743" i="260" a="1"/>
  <c r="BG634" i="260" a="1"/>
  <c r="BK534" i="260" a="1"/>
  <c r="J613" i="260" a="1"/>
  <c r="AN669" i="260" a="1"/>
  <c r="BG620" i="260" a="1"/>
  <c r="V682" i="260" a="1"/>
  <c r="BG708" i="260" a="1"/>
  <c r="AD541" i="260" a="1"/>
  <c r="BG550" i="260" a="1"/>
  <c r="V540" i="260" a="1"/>
  <c r="N663" i="260" a="1"/>
  <c r="J641" i="260" a="1"/>
  <c r="AH709" i="260" a="1"/>
  <c r="AZ697" i="260" a="1"/>
  <c r="AQ711" i="260" a="1"/>
  <c r="BG565" i="260" a="1"/>
  <c r="AZ747" i="260" a="1"/>
  <c r="AQ696" i="260" a="1"/>
  <c r="BD600" i="260" a="1"/>
  <c r="AT615" i="260" a="1"/>
  <c r="V671" i="260" a="1"/>
  <c r="Z584" i="260" a="1"/>
  <c r="AZ626" i="260" a="1"/>
  <c r="AN715" i="260" a="1"/>
  <c r="AD613" i="260" a="1"/>
  <c r="BD598" i="260" a="1"/>
  <c r="N634" i="260" a="1"/>
  <c r="N596" i="260" a="1"/>
  <c r="AT552" i="260" a="1"/>
  <c r="J665" i="260" a="1"/>
  <c r="AT634" i="260" a="1"/>
  <c r="G650" i="260" a="1"/>
  <c r="BK635" i="260" a="1"/>
  <c r="BK623" i="260" a="1"/>
  <c r="AQ677" i="260" a="1"/>
  <c r="N639" i="260" a="1"/>
  <c r="BG684" i="260" a="1"/>
  <c r="AN644" i="260" a="1"/>
  <c r="Z565" i="260" a="1"/>
  <c r="N628" i="260" a="1"/>
  <c r="Z555" i="260" a="1"/>
  <c r="AN625" i="260" a="1"/>
  <c r="AZ631" i="260" a="1"/>
  <c r="G727" i="260" a="1"/>
  <c r="J667" i="260" a="1"/>
  <c r="AH511" i="260" a="1"/>
  <c r="BG655" i="260" a="1"/>
  <c r="BG552" i="260" a="1"/>
  <c r="AN722" i="260" a="1"/>
  <c r="V735" i="260" a="1"/>
  <c r="G623" i="260" a="1"/>
  <c r="AZ566" i="260" a="1"/>
  <c r="J578" i="260" a="1"/>
  <c r="N507" i="260" a="1"/>
  <c r="BK618" i="260" a="1"/>
  <c r="AD511" i="260" a="1"/>
  <c r="BK551" i="260" a="1"/>
  <c r="Z699" i="260" a="1"/>
  <c r="AZ530" i="260" a="1"/>
  <c r="V609" i="260" a="1"/>
  <c r="AN661" i="260" a="1"/>
  <c r="AN738" i="260" a="1"/>
  <c r="BD684" i="260" a="1"/>
  <c r="R585" i="260" a="1"/>
  <c r="BG582" i="260" a="1"/>
  <c r="AT747" i="260" a="1"/>
  <c r="J643" i="260" a="1"/>
  <c r="AD543" i="260" a="1"/>
  <c r="Z685" i="260" a="1"/>
  <c r="AN544" i="260" a="1"/>
  <c r="AQ564" i="260" a="1"/>
  <c r="AH542" i="260" a="1"/>
  <c r="AQ609" i="260" a="1"/>
  <c r="BK697" i="260" a="1"/>
  <c r="Z718" i="260" a="1"/>
  <c r="R521" i="260" a="1"/>
  <c r="G628" i="260" a="1"/>
  <c r="Z747" i="260" a="1"/>
  <c r="G691" i="260" a="1"/>
  <c r="J624" i="260" a="1"/>
  <c r="V711" i="260" a="1"/>
  <c r="BD727" i="260" a="1"/>
  <c r="AN731" i="260" a="1"/>
  <c r="AZ735" i="260" a="1"/>
  <c r="AT735" i="260" a="1"/>
  <c r="BD710" i="260" a="1"/>
  <c r="R613" i="260" a="1"/>
  <c r="N570" i="260" a="1"/>
  <c r="Z730" i="260" a="1"/>
  <c r="AT703" i="260" a="1"/>
  <c r="Z659" i="260" a="1"/>
  <c r="Z748" i="260" a="1"/>
  <c r="BD683" i="260" a="1"/>
  <c r="Z571" i="260" a="1"/>
  <c r="AQ709" i="260" a="1"/>
  <c r="Z605" i="260" a="1"/>
  <c r="BD550" i="260" a="1"/>
  <c r="AZ722" i="260" a="1"/>
  <c r="V542" i="260" a="1"/>
  <c r="BD577" i="260" a="1"/>
  <c r="AH595" i="260" a="1"/>
  <c r="AH747" i="260" a="1"/>
  <c r="AD587" i="260" a="1"/>
  <c r="BD615" i="260" a="1"/>
  <c r="J683" i="260" a="1"/>
  <c r="AZ746" i="260" a="1"/>
  <c r="J569" i="260" a="1"/>
  <c r="Z708" i="260" a="1"/>
  <c r="BK592" i="260" a="1"/>
  <c r="BK583" i="260" a="1"/>
  <c r="R697" i="260" a="1"/>
  <c r="V699" i="260" a="1"/>
  <c r="Z587" i="260" a="1"/>
  <c r="G680" i="260" a="1"/>
  <c r="AN590" i="260" a="1"/>
  <c r="AQ539" i="260" a="1"/>
  <c r="AQ562" i="260" a="1"/>
  <c r="J686" i="260" a="1"/>
  <c r="AH572" i="260" a="1"/>
  <c r="AD631" i="260" a="1"/>
  <c r="R692" i="260" a="1"/>
  <c r="G706" i="260" a="1"/>
  <c r="V562" i="260" a="1"/>
  <c r="J745" i="260" a="1"/>
  <c r="V666" i="260" a="1"/>
  <c r="AQ624" i="260" a="1"/>
  <c r="R583" i="260" a="1"/>
  <c r="V644" i="260" a="1"/>
  <c r="AQ544" i="260" a="1"/>
  <c r="AN546" i="260" a="1"/>
  <c r="AT545" i="260" a="1"/>
  <c r="Z551" i="260" a="1"/>
  <c r="AN643" i="260" a="1"/>
  <c r="AQ683" i="260" a="1"/>
  <c r="R569" i="260" a="1"/>
  <c r="N733" i="260" a="1"/>
  <c r="AN613" i="260" a="1"/>
  <c r="G743" i="260" a="1"/>
  <c r="V544" i="260" a="1"/>
  <c r="AN727" i="260" a="1"/>
  <c r="G683" i="260" a="1"/>
  <c r="AZ657" i="260" a="1"/>
  <c r="V530" i="260" a="1"/>
  <c r="Z702" i="260" a="1"/>
  <c r="BD603" i="260" a="1"/>
  <c r="BG573" i="260" a="1"/>
  <c r="BD591" i="260" a="1"/>
  <c r="AD709" i="260" a="1"/>
  <c r="AN607" i="260" a="1"/>
  <c r="R566" i="260" a="1"/>
  <c r="AQ580" i="260" a="1"/>
  <c r="BK665" i="260" a="1"/>
  <c r="AD685" i="260" a="1"/>
  <c r="AN746" i="260" a="1"/>
  <c r="Z544" i="260" a="1"/>
  <c r="BG591" i="260" a="1"/>
  <c r="J637" i="260" a="1"/>
  <c r="AZ587" i="260" a="1"/>
  <c r="AT553" i="260" a="1"/>
  <c r="AH557" i="260" a="1"/>
  <c r="J601" i="260" a="1"/>
  <c r="AD720" i="260" a="1"/>
  <c r="G560" i="260" a="1"/>
  <c r="AH669" i="260" a="1"/>
  <c r="BG614" i="260" a="1"/>
  <c r="AZ664" i="260" a="1"/>
  <c r="BG716" i="260" a="1"/>
  <c r="AH710" i="260" a="1"/>
  <c r="Z549" i="260" a="1"/>
  <c r="J564" i="260" a="1"/>
  <c r="Z614" i="260" a="1"/>
  <c r="Z653" i="260" a="1"/>
  <c r="AN716" i="260" a="1"/>
  <c r="BD549" i="260" a="1"/>
  <c r="BD540" i="260" a="1"/>
  <c r="AD691" i="260" a="1"/>
  <c r="G652" i="260" a="1"/>
  <c r="AZ610" i="260" a="1"/>
  <c r="AD727" i="260" a="1"/>
  <c r="J587" i="260" a="1"/>
  <c r="AZ731" i="260" a="1"/>
  <c r="N683" i="260" a="1"/>
  <c r="AZ592" i="260" a="1"/>
  <c r="J728" i="260" a="1"/>
  <c r="AH531" i="260" a="1"/>
  <c r="N722" i="260" a="1"/>
  <c r="AD636" i="260" a="1"/>
  <c r="AQ655" i="260" a="1"/>
  <c r="R625" i="260" a="1"/>
  <c r="AT617" i="260" a="1"/>
  <c r="AH512" i="260" a="1"/>
  <c r="Z534" i="260" a="1"/>
  <c r="AN703" i="260" a="1"/>
  <c r="AH659" i="260" a="1"/>
  <c r="AH581" i="260" a="1"/>
  <c r="G741" i="260" a="1"/>
  <c r="G697" i="260" a="1"/>
  <c r="BK702" i="260" a="1"/>
  <c r="G742" i="260" a="1"/>
  <c r="V684" i="260" a="1"/>
  <c r="BG588" i="260" a="1"/>
  <c r="G736" i="260" a="1"/>
  <c r="AQ603" i="260" a="1"/>
  <c r="Z574" i="260" a="1"/>
  <c r="BG556" i="260" a="1"/>
  <c r="J750" i="260" a="1"/>
  <c r="Z677" i="260" a="1"/>
  <c r="AQ550" i="260" a="1"/>
  <c r="AH695" i="260" a="1"/>
  <c r="AZ687" i="260" a="1"/>
  <c r="N572" i="260" a="1"/>
  <c r="AT534" i="260" a="1"/>
  <c r="AQ547" i="260" a="1"/>
  <c r="BD680" i="260" a="1"/>
  <c r="AN616" i="260" a="1"/>
  <c r="AT681" i="260" a="1"/>
  <c r="AQ697" i="260" a="1"/>
  <c r="R708" i="260" a="1"/>
  <c r="AQ653" i="260" a="1"/>
  <c r="R664" i="260" a="1"/>
  <c r="N648" i="260" a="1"/>
  <c r="Z588" i="260" a="1"/>
  <c r="AD746" i="260" a="1"/>
  <c r="AH562" i="260" a="1"/>
  <c r="AT601" i="260" a="1"/>
  <c r="AD506" i="260" a="1"/>
  <c r="N627" i="260" a="1"/>
  <c r="AQ621" i="260" a="1"/>
  <c r="AD618" i="260" a="1"/>
  <c r="G596" i="260" a="1"/>
  <c r="N613" i="260" a="1"/>
  <c r="AN571" i="260" a="1"/>
  <c r="AQ714" i="260" a="1"/>
  <c r="G559" i="260" a="1"/>
  <c r="BG694" i="260" a="1"/>
  <c r="G638" i="260" a="1"/>
  <c r="G634" i="260" a="1"/>
  <c r="BD708" i="260" a="1"/>
  <c r="AN707" i="260" a="1"/>
  <c r="G613" i="260" a="1"/>
  <c r="AZ607" i="260" a="1"/>
  <c r="AZ628" i="260" a="1"/>
  <c r="AT686" i="260" a="1"/>
  <c r="AT689" i="260" a="1"/>
  <c r="Z644" i="260" a="1"/>
  <c r="N615" i="260" a="1"/>
  <c r="R611" i="260" a="1"/>
  <c r="AT715" i="260" a="1"/>
  <c r="AN618" i="260" a="1"/>
  <c r="AZ553" i="260" a="1"/>
  <c r="J550" i="260" a="1"/>
  <c r="AT592" i="260" a="1"/>
  <c r="G735" i="260" a="1"/>
  <c r="AH680" i="260" a="1"/>
  <c r="AQ557" i="260" a="1"/>
  <c r="V627" i="260" a="1"/>
  <c r="AZ677" i="260" a="1"/>
  <c r="R553" i="260" a="1"/>
  <c r="AZ586" i="260" a="1"/>
  <c r="AN562" i="260" a="1"/>
  <c r="BD553" i="260" a="1"/>
  <c r="R599" i="260" a="1"/>
  <c r="J666" i="260" a="1"/>
  <c r="Z657" i="260" a="1"/>
  <c r="Z625" i="260" a="1"/>
  <c r="AN705" i="260" a="1"/>
  <c r="R696" i="260" a="1"/>
  <c r="AD537" i="260" a="1"/>
  <c r="N743" i="260" a="1"/>
  <c r="AQ735" i="260" a="1"/>
  <c r="V661" i="260" a="1"/>
  <c r="BK565" i="260" a="1"/>
  <c r="R733" i="260" a="1"/>
  <c r="G600" i="260" a="1"/>
  <c r="BK745" i="260" a="1"/>
  <c r="R596" i="260" a="1"/>
  <c r="AT603" i="260" a="1"/>
  <c r="Z618" i="260" a="1"/>
  <c r="G675" i="260" a="1"/>
  <c r="Z608" i="260" a="1"/>
  <c r="Z650" i="260" a="1"/>
  <c r="BG613" i="260" a="1"/>
  <c r="Z563" i="260" a="1"/>
  <c r="BK589" i="260" a="1"/>
  <c r="N738" i="260" a="1"/>
  <c r="AQ738" i="260" a="1"/>
  <c r="AD749" i="260" a="1"/>
  <c r="Z732" i="260" a="1"/>
  <c r="R565" i="260" a="1"/>
  <c r="AD644" i="260" a="1"/>
  <c r="N612" i="260" a="1"/>
  <c r="BK531" i="260" a="1"/>
  <c r="G572" i="260" a="1"/>
  <c r="BG753" i="260" a="1"/>
  <c r="AZ578" i="260" a="1"/>
  <c r="AH586" i="260" a="1"/>
  <c r="BK685" i="260" a="1"/>
  <c r="AH507" i="260" a="1"/>
  <c r="AH722" i="260" a="1"/>
  <c r="BD724" i="260" a="1"/>
  <c r="G611" i="260" a="1"/>
  <c r="BG681" i="260" a="1"/>
  <c r="N672" i="260" a="1"/>
  <c r="N707" i="260" a="1"/>
  <c r="AN561" i="260" a="1"/>
  <c r="V620" i="260" a="1"/>
  <c r="J675" i="260" a="1"/>
  <c r="BG512" i="260" a="1"/>
  <c r="AD657" i="260" a="1"/>
  <c r="AN733" i="260" a="1"/>
  <c r="AD692" i="260" a="1"/>
  <c r="Z615" i="260" a="1"/>
  <c r="AQ703" i="260" a="1"/>
  <c r="AH678" i="260" a="1"/>
  <c r="AQ533" i="260" a="1"/>
  <c r="V700" i="260" a="1"/>
  <c r="J681" i="260" a="1"/>
  <c r="AN657" i="260" a="1"/>
  <c r="V602" i="260" a="1"/>
  <c r="BD750" i="260" a="1"/>
  <c r="AT600" i="260" a="1"/>
  <c r="AT693" i="260" a="1"/>
  <c r="BG603" i="260" a="1"/>
  <c r="BK752" i="260" a="1"/>
  <c r="J618" i="260" a="1"/>
  <c r="R555" i="260" a="1"/>
  <c r="AZ583" i="260" a="1"/>
  <c r="Z641" i="260" a="1"/>
  <c r="AD600" i="260" a="1"/>
  <c r="AZ736" i="260" a="1"/>
  <c r="AN694" i="260" a="1"/>
  <c r="AT631" i="260" a="1"/>
  <c r="R537" i="260" a="1"/>
  <c r="BG750" i="260" a="1"/>
  <c r="R532" i="260" a="1"/>
  <c r="AD710" i="260" a="1"/>
  <c r="AD662" i="260" a="1"/>
  <c r="N718" i="260" a="1"/>
  <c r="Z728" i="260" a="1"/>
  <c r="R714" i="260" a="1"/>
  <c r="N638" i="260" a="1"/>
  <c r="BG723" i="260" a="1"/>
  <c r="R603" i="260" a="1"/>
  <c r="J617" i="260" a="1"/>
  <c r="V634" i="260" a="1"/>
  <c r="AZ714" i="260" a="1"/>
  <c r="AH752" i="260" a="1"/>
  <c r="V566" i="260" a="1"/>
  <c r="AZ639" i="260" a="1"/>
  <c r="AZ571" i="260" a="1"/>
  <c r="AH658" i="260" a="1"/>
  <c r="V655" i="260" a="1"/>
  <c r="AQ681" i="260" a="1"/>
  <c r="V678" i="260" a="1"/>
  <c r="AT684" i="260" a="1"/>
  <c r="BG652" i="260" a="1"/>
  <c r="BD624" i="260" a="1"/>
  <c r="Z583" i="260" a="1"/>
  <c r="N537" i="260" a="1"/>
  <c r="R713" i="260" a="1"/>
  <c r="R719" i="260" a="1"/>
  <c r="BG682" i="260" a="1"/>
  <c r="N558" i="260" a="1"/>
  <c r="G745" i="260" a="1"/>
  <c r="BK694" i="260" a="1"/>
  <c r="G609" i="260" a="1"/>
  <c r="AZ595" i="260" a="1"/>
  <c r="BD576" i="260" a="1"/>
  <c r="G512" i="260" a="1"/>
  <c r="BD713" i="260" a="1"/>
  <c r="BD733" i="260" a="1"/>
  <c r="AT565" i="260" a="1"/>
  <c r="AD592" i="260" a="1"/>
  <c r="J563" i="260" a="1"/>
  <c r="AN680" i="260" a="1"/>
  <c r="AQ687" i="260" a="1"/>
  <c r="V559" i="260" a="1"/>
  <c r="R651" i="260" a="1"/>
  <c r="AT730" i="260" a="1"/>
  <c r="Z591" i="260" a="1"/>
  <c r="R734" i="260" a="1"/>
  <c r="AT550" i="260" a="1"/>
  <c r="AN726" i="260" a="1"/>
  <c r="N551" i="260" a="1"/>
  <c r="N584" i="260" a="1"/>
  <c r="AN591" i="260" a="1"/>
  <c r="AH534" i="260" a="1"/>
  <c r="N610" i="260" a="1"/>
  <c r="Z622" i="260" a="1"/>
  <c r="N548" i="260" a="1"/>
  <c r="BG575" i="260" a="1"/>
  <c r="AD686" i="260" a="1"/>
  <c r="J724" i="260" a="1"/>
  <c r="G564" i="260" a="1"/>
  <c r="N567" i="260" a="1"/>
  <c r="Z611" i="260" a="1"/>
  <c r="BD606" i="260" a="1"/>
  <c r="BD589" i="260" a="1"/>
  <c r="AH633" i="260" a="1"/>
  <c r="AH590" i="260" a="1"/>
  <c r="BG558" i="260" a="1"/>
  <c r="V615" i="260" a="1"/>
  <c r="G641" i="260" a="1"/>
  <c r="R612" i="260" a="1"/>
  <c r="Z695" i="260" a="1"/>
  <c r="AN549" i="260" a="1"/>
  <c r="J714" i="260" a="1"/>
  <c r="N677" i="260" a="1"/>
  <c r="BK628" i="260" a="1"/>
  <c r="AH650" i="260" a="1"/>
  <c r="V708" i="260" a="1"/>
  <c r="AD617" i="260" a="1"/>
  <c r="AN630" i="260" a="1"/>
  <c r="BD697" i="260" a="1"/>
  <c r="BD564" i="260" a="1"/>
  <c r="AD661" i="260" a="1"/>
  <c r="BG576" i="260" a="1"/>
  <c r="R558" i="260" a="1"/>
  <c r="G570" i="260" a="1"/>
  <c r="BD595" i="260" a="1"/>
  <c r="AT666" i="260" a="1"/>
  <c r="Z506" i="260" a="1"/>
  <c r="Z734" i="260" a="1"/>
  <c r="N716" i="260" a="1"/>
  <c r="AD745" i="260" a="1"/>
  <c r="AT627" i="260" a="1"/>
  <c r="AD564" i="260" a="1"/>
  <c r="R586" i="260" a="1"/>
  <c r="Z742" i="260" a="1"/>
  <c r="G599" i="260" a="1"/>
  <c r="AZ715" i="260" a="1"/>
  <c r="AN682" i="260" a="1"/>
  <c r="BD681" i="260" a="1"/>
  <c r="BD645" i="260" a="1"/>
  <c r="J619" i="260" a="1"/>
  <c r="N658" i="260" a="1"/>
  <c r="BK545" i="260" a="1"/>
  <c r="AN659" i="260" a="1"/>
  <c r="N571" i="260" a="1"/>
  <c r="BD732" i="260" a="1"/>
  <c r="N727" i="260" a="1"/>
  <c r="R667" i="260" a="1"/>
  <c r="AQ543" i="260" a="1"/>
  <c r="BD601" i="260" a="1"/>
  <c r="BG668" i="260" a="1"/>
  <c r="R725" i="260" a="1"/>
  <c r="BD730" i="260" a="1"/>
  <c r="N564" i="260" a="1"/>
  <c r="J669" i="260" a="1"/>
  <c r="AQ712" i="260" a="1"/>
  <c r="AZ706" i="260" a="1"/>
  <c r="Z632" i="260" a="1"/>
  <c r="AT737" i="260" a="1"/>
  <c r="AD687" i="260" a="1"/>
  <c r="AQ658" i="260" a="1"/>
  <c r="AH614" i="260" a="1"/>
  <c r="AZ550" i="260" a="1"/>
  <c r="BD622" i="260" a="1"/>
  <c r="AN645" i="260" a="1"/>
  <c r="AT607" i="260" a="1"/>
  <c r="AN576" i="260" a="1"/>
  <c r="AH689" i="260" a="1"/>
  <c r="Z709" i="260" a="1"/>
  <c r="AT647" i="260" a="1"/>
  <c r="V746" i="260" a="1"/>
  <c r="N568" i="260" a="1"/>
  <c r="AQ746" i="260" a="1"/>
  <c r="V512" i="260" a="1"/>
  <c r="Z711" i="260" a="1"/>
  <c r="BK648" i="260" a="1"/>
  <c r="BG571" i="260" a="1"/>
  <c r="AH703" i="260" a="1"/>
  <c r="AH642" i="260" a="1"/>
  <c r="AN740" i="260" a="1"/>
  <c r="Z602" i="260" a="1"/>
  <c r="N561" i="260" a="1"/>
  <c r="AH506" i="260" a="1"/>
  <c r="BK511" i="260" a="1"/>
  <c r="V572" i="260" a="1"/>
  <c r="R649" i="260" a="1"/>
  <c r="J521" i="260" a="1"/>
  <c r="N667" i="260" a="1"/>
  <c r="N643" i="260" a="1"/>
  <c r="AH721" i="260" a="1"/>
  <c r="AT750" i="260" a="1"/>
  <c r="AZ542" i="260" a="1"/>
  <c r="AD695" i="260" a="1"/>
  <c r="J628" i="260" a="1"/>
  <c r="G714" i="260" a="1"/>
  <c r="AN668" i="260" a="1"/>
  <c r="AD639" i="260" a="1"/>
  <c r="AT732" i="260" a="1"/>
  <c r="BG722" i="260" a="1"/>
  <c r="BD630" i="260" a="1"/>
  <c r="R752" i="260" a="1"/>
  <c r="J542" i="260" a="1"/>
  <c r="N556" i="260" a="1"/>
  <c r="BK581" i="260" a="1"/>
  <c r="R512" i="260" a="1"/>
  <c r="AT749" i="260" a="1"/>
  <c r="AN721" i="260" a="1"/>
  <c r="AN568" i="260" a="1"/>
  <c r="G591" i="260" a="1"/>
  <c r="Z745" i="260" a="1"/>
  <c r="G687" i="260" a="1"/>
  <c r="BG660" i="260" a="1"/>
  <c r="AQ708" i="260" a="1"/>
  <c r="G725" i="260" a="1"/>
  <c r="J538" i="260" a="1"/>
  <c r="AH717" i="260" a="1"/>
  <c r="BK644" i="260" a="1"/>
  <c r="N622" i="260" a="1"/>
  <c r="R590" i="260" a="1"/>
  <c r="AZ549" i="260" a="1"/>
  <c r="AN624" i="260" a="1"/>
  <c r="BK634" i="260" a="1"/>
  <c r="AT659" i="260" a="1"/>
  <c r="Z725" i="260" a="1"/>
  <c r="BD653" i="260" a="1"/>
  <c r="Z616" i="260" a="1"/>
  <c r="BK608" i="260" a="1"/>
  <c r="Z558" i="260" a="1"/>
  <c r="AQ648" i="260" a="1"/>
  <c r="G678" i="260" a="1"/>
  <c r="AH741" i="260" a="1"/>
  <c r="Z635" i="260" a="1"/>
  <c r="V637" i="260" a="1"/>
  <c r="J701" i="260" a="1"/>
  <c r="J537" i="260" a="1"/>
  <c r="J632" i="260" a="1"/>
  <c r="BG521" i="260" a="1"/>
  <c r="G728" i="260" a="1"/>
  <c r="AD748" i="260" a="1"/>
  <c r="AD747" i="260" a="1"/>
  <c r="V737" i="260" a="1"/>
  <c r="J708" i="260" a="1"/>
  <c r="AD593" i="260" a="1"/>
  <c r="AD723" i="260" a="1"/>
  <c r="R539" i="260" a="1"/>
  <c r="G664" i="260" a="1"/>
  <c r="N739" i="260" a="1"/>
  <c r="AN583" i="260" a="1"/>
  <c r="N536" i="260" a="1"/>
  <c r="AZ512" i="260" a="1"/>
  <c r="AN601" i="260" a="1"/>
  <c r="AQ559" i="260" a="1"/>
  <c r="AZ743" i="260" a="1"/>
  <c r="N709" i="260" a="1"/>
  <c r="AH726" i="260" a="1"/>
  <c r="N662" i="260" a="1"/>
  <c r="AD565" i="260" a="1"/>
  <c r="BG651" i="260" a="1"/>
  <c r="BD539" i="260" a="1"/>
  <c r="N618" i="260" a="1"/>
  <c r="V745" i="260" a="1"/>
  <c r="AQ605" i="260" a="1"/>
  <c r="BD695" i="260" a="1"/>
  <c r="AZ740" i="260" a="1"/>
  <c r="J581" i="260" a="1"/>
  <c r="AH684" i="260" a="1"/>
  <c r="J582" i="260" a="1"/>
  <c r="R716" i="260" a="1"/>
  <c r="AN533" i="260" a="1"/>
  <c r="AZ741" i="260" a="1"/>
  <c r="BK706" i="260" a="1"/>
  <c r="AN589" i="260" a="1"/>
  <c r="Z631" i="260" a="1"/>
  <c r="N689" i="260" a="1"/>
  <c r="AQ634" i="260" a="1"/>
  <c r="R573" i="260" a="1"/>
  <c r="BK643" i="260" a="1"/>
  <c r="AQ584" i="260" a="1"/>
  <c r="AD690" i="260" a="1"/>
  <c r="BD672" i="260" a="1"/>
  <c r="BD616" i="260" a="1"/>
  <c r="R540" i="260" a="1"/>
  <c r="G507" i="260" a="1"/>
  <c r="AT511" i="260" a="1"/>
  <c r="Z569" i="260" a="1"/>
  <c r="AQ641" i="260" a="1"/>
  <c r="V701" i="260" a="1"/>
  <c r="N694" i="260" a="1"/>
  <c r="BD602" i="260" a="1"/>
  <c r="V507" i="260" a="1"/>
  <c r="V709" i="260" a="1"/>
  <c r="BD687" i="260" a="1"/>
  <c r="BD531" i="260" a="1"/>
  <c r="AZ669" i="260" a="1"/>
  <c r="J712" i="260" a="1"/>
  <c r="N512" i="260" a="1"/>
  <c r="BD594" i="260" a="1"/>
  <c r="V567" i="260" a="1"/>
  <c r="BG535" i="260" a="1"/>
  <c r="AN598" i="260" a="1"/>
  <c r="BK595" i="260" a="1"/>
  <c r="J680" i="260" a="1"/>
  <c r="AD582" i="260" a="1"/>
  <c r="G642" i="260" a="1"/>
  <c r="BD507" i="260" a="1"/>
  <c r="AD632" i="260" a="1"/>
  <c r="AT642" i="260" a="1"/>
  <c r="BK659" i="260" a="1"/>
  <c r="AT591" i="260" a="1"/>
  <c r="AD716" i="260" a="1"/>
  <c r="V664" i="260" a="1"/>
  <c r="AH708" i="260" a="1"/>
  <c r="V578" i="260" a="1"/>
  <c r="Z636" i="260" a="1"/>
  <c r="V635" i="260" a="1"/>
  <c r="V660" i="260" a="1"/>
  <c r="AD708" i="260" a="1"/>
  <c r="Z623" i="260" a="1"/>
  <c r="AH668" i="260" a="1"/>
  <c r="AT561" i="260" a="1"/>
  <c r="AN689" i="260" a="1"/>
  <c r="V564" i="260" a="1"/>
  <c r="J672" i="260" a="1"/>
  <c r="BK696" i="260" a="1"/>
  <c r="BG735" i="260" a="1"/>
  <c r="G605" i="260" a="1"/>
  <c r="BD555" i="260" a="1"/>
  <c r="J616" i="260" a="1"/>
  <c r="R749" i="260" a="1"/>
  <c r="V592" i="260" a="1"/>
  <c r="AQ512" i="260" a="1"/>
  <c r="BK722" i="260" a="1"/>
  <c r="AQ695" i="260" a="1"/>
  <c r="AT587" i="260" a="1"/>
  <c r="V720" i="260" a="1"/>
  <c r="BD586" i="260" a="1"/>
  <c r="G612" i="260" a="1"/>
  <c r="BG533" i="260" a="1"/>
  <c r="N644" i="260" a="1"/>
  <c r="BK617" i="260" a="1"/>
  <c r="N580" i="260" a="1"/>
  <c r="R678" i="260" a="1"/>
  <c r="BG610" i="260" a="1"/>
  <c r="J638" i="260" a="1"/>
  <c r="V587" i="260" a="1"/>
  <c r="BG707" i="260" a="1"/>
  <c r="BD720" i="260" a="1"/>
  <c r="BK719" i="260" a="1"/>
  <c r="Z540" i="260" a="1"/>
  <c r="BG687" i="260" a="1"/>
  <c r="AT551" i="260" a="1"/>
  <c r="AH681" i="260" a="1"/>
  <c r="AZ552" i="260" a="1"/>
  <c r="BG686" i="260" a="1"/>
  <c r="AH564" i="260" a="1"/>
  <c r="J612" i="260" a="1"/>
  <c r="R543" i="260" a="1"/>
  <c r="BD670" i="260" a="1"/>
  <c r="AT753" i="260" a="1"/>
  <c r="AZ662" i="260" a="1"/>
  <c r="R699" i="260" a="1"/>
  <c r="V605" i="260" a="1"/>
  <c r="BG567" i="260" a="1"/>
  <c r="BD521" i="260" a="1"/>
  <c r="R658" i="260" a="1"/>
  <c r="AT621" i="260" a="1"/>
  <c r="AD752" i="260" a="1"/>
  <c r="G740" i="260" a="1"/>
  <c r="G645" i="260" a="1"/>
  <c r="BG698" i="260" a="1"/>
  <c r="BD562" i="260" a="1"/>
  <c r="J553" i="260" a="1"/>
  <c r="V752" i="260" a="1"/>
  <c r="AD714" i="260" a="1"/>
  <c r="BK601" i="260" a="1"/>
  <c r="AH655" i="260" a="1"/>
  <c r="BK593" i="260" a="1"/>
  <c r="V650" i="260" a="1"/>
  <c r="BG680" i="260" a="1"/>
  <c r="AQ650" i="260" a="1"/>
  <c r="Z577" i="260" a="1"/>
  <c r="AD670" i="260" a="1"/>
  <c r="N591" i="260" a="1"/>
  <c r="AD557" i="260" a="1"/>
  <c r="AZ627" i="260" a="1"/>
  <c r="AN540" i="260" a="1"/>
  <c r="AZ698" i="260" a="1"/>
  <c r="AN556" i="260" a="1"/>
  <c r="Z733" i="260" a="1"/>
  <c r="AH638" i="260" a="1"/>
  <c r="R580" i="260" a="1"/>
  <c r="Z690" i="260" a="1"/>
  <c r="AH630" i="260" a="1"/>
  <c r="AQ590" i="260" a="1"/>
  <c r="Z624" i="260" a="1"/>
  <c r="BG672" i="260" a="1"/>
  <c r="R635" i="260" a="1"/>
  <c r="AQ569" i="260" a="1"/>
  <c r="R620" i="260" a="1"/>
  <c r="AT622" i="260" a="1"/>
  <c r="AD584" i="260" a="1"/>
  <c r="AD650" i="260" a="1"/>
  <c r="AT605" i="260" a="1"/>
  <c r="AH750" i="260" a="1"/>
  <c r="N655" i="260" a="1"/>
  <c r="AH537" i="260" a="1"/>
  <c r="AN635" i="260" a="1"/>
  <c r="AQ742" i="260" a="1"/>
  <c r="J732" i="260" a="1"/>
  <c r="BK703" i="260" a="1"/>
  <c r="AN600" i="260" a="1"/>
  <c r="BG585" i="260" a="1"/>
  <c r="J546" i="260" a="1"/>
  <c r="AD578" i="260" a="1"/>
  <c r="N574" i="260" a="1"/>
  <c r="G737" i="260" a="1"/>
  <c r="R700" i="260" a="1"/>
  <c r="AH607" i="260" a="1"/>
  <c r="AQ556" i="260" a="1"/>
  <c r="J696" i="260" a="1"/>
  <c r="R644" i="260" a="1"/>
  <c r="J726" i="260" a="1"/>
  <c r="R536" i="260" a="1"/>
  <c r="J608" i="260" a="1"/>
  <c r="V549" i="260" a="1"/>
  <c r="BD637" i="260" a="1"/>
  <c r="G606" i="260" a="1"/>
  <c r="AH538" i="260" a="1"/>
  <c r="AD574" i="260" a="1"/>
  <c r="Z560" i="260" a="1"/>
  <c r="AN672" i="260" a="1"/>
  <c r="AQ652" i="260" a="1"/>
  <c r="AD700" i="260" a="1"/>
  <c r="AZ738" i="260" a="1"/>
  <c r="J718" i="260" a="1"/>
  <c r="R647" i="260" a="1"/>
  <c r="BK568" i="260" a="1"/>
  <c r="BK646" i="260" a="1"/>
  <c r="Z530" i="260" a="1"/>
  <c r="AZ573" i="260" a="1"/>
  <c r="J689" i="260" a="1"/>
  <c r="BG581" i="260" a="1"/>
  <c r="V716" i="260" a="1"/>
  <c r="BD568" i="260" a="1"/>
  <c r="J512" i="260" a="1"/>
  <c r="J709" i="260" a="1"/>
  <c r="AH549" i="260" a="1"/>
  <c r="AH594" i="260" a="1"/>
  <c r="V584" i="260" a="1"/>
  <c r="AH601" i="260" a="1"/>
  <c r="G621" i="260" a="1"/>
  <c r="R564" i="260" a="1"/>
  <c r="AD733" i="260" a="1"/>
  <c r="Z680" i="260" a="1"/>
  <c r="AN621" i="260" a="1"/>
  <c r="Z606" i="260" a="1"/>
  <c r="BK701" i="260" a="1"/>
  <c r="AH544" i="260" a="1"/>
  <c r="AN717" i="260" a="1"/>
  <c r="G738" i="260" a="1"/>
  <c r="R684" i="260" a="1"/>
  <c r="G639" i="260" a="1"/>
  <c r="AT738" i="260" a="1"/>
  <c r="AD551" i="260" a="1"/>
  <c r="AN553" i="260" a="1"/>
  <c r="AN545" i="260" a="1"/>
  <c r="Z694" i="260" a="1"/>
  <c r="BD646" i="260" a="1"/>
  <c r="AN599" i="260" a="1"/>
  <c r="N731" i="260" a="1"/>
  <c r="AT537" i="260" a="1"/>
  <c r="V722" i="260" a="1"/>
  <c r="AN747" i="260" a="1"/>
  <c r="BK738" i="260" a="1"/>
  <c r="AN699" i="260" a="1"/>
  <c r="AD675" i="260" a="1"/>
  <c r="AH570" i="260" a="1"/>
  <c r="Z535" i="260" a="1"/>
  <c r="N573" i="260" a="1"/>
  <c r="AZ621" i="260" a="1"/>
  <c r="R666" i="260" a="1"/>
  <c r="BK748" i="260" a="1"/>
  <c r="AZ752" i="260" a="1"/>
  <c r="G588" i="260" a="1"/>
  <c r="BG676" i="260" a="1"/>
  <c r="Z712" i="260" a="1"/>
  <c r="BD748" i="260" a="1"/>
  <c r="R640" i="260" a="1"/>
  <c r="AZ567" i="260" a="1"/>
  <c r="BK569" i="260" a="1"/>
  <c r="AD563" i="260" a="1"/>
  <c r="N619" i="260" a="1"/>
  <c r="BK645" i="260" a="1"/>
  <c r="J748" i="260" a="1"/>
  <c r="Z671" i="260" a="1"/>
  <c r="BK577" i="260" a="1"/>
  <c r="AN690" i="260" a="1"/>
  <c r="V748" i="260" a="1"/>
  <c r="R737" i="260" a="1"/>
  <c r="G553" i="260" a="1"/>
  <c r="BK611" i="260" a="1"/>
  <c r="AZ532" i="260" a="1"/>
  <c r="BK610" i="260" a="1"/>
  <c r="BD607" i="260" a="1"/>
  <c r="AQ739" i="260" a="1"/>
  <c r="BG590" i="260" a="1"/>
  <c r="AN593" i="260" a="1"/>
  <c r="BK698" i="260" a="1"/>
  <c r="R584" i="260" a="1"/>
  <c r="AH628" i="260" a="1"/>
  <c r="R623" i="260" a="1"/>
  <c r="Z553" i="260" a="1"/>
  <c r="BK731" i="260" a="1"/>
  <c r="AD622" i="260" a="1"/>
  <c r="G748" i="260" a="1"/>
  <c r="N660" i="260" a="1"/>
  <c r="G666" i="260" a="1"/>
  <c r="AQ606" i="260" a="1"/>
  <c r="AD586" i="260" a="1"/>
  <c r="N657" i="260" a="1"/>
  <c r="AT644" i="260" a="1"/>
  <c r="BK627" i="260" a="1"/>
  <c r="AD682" i="260" a="1"/>
  <c r="BK555" i="260" a="1"/>
  <c r="AT596" i="260" a="1"/>
  <c r="G750" i="260" a="1"/>
  <c r="AZ708" i="260" a="1"/>
  <c r="AZ596" i="260" a="1"/>
  <c r="V672" i="260" a="1"/>
  <c r="R645" i="260" a="1"/>
  <c r="N581" i="260" a="1"/>
  <c r="BD618" i="260" a="1"/>
  <c r="AH583" i="260" a="1"/>
  <c r="G563" i="260" a="1"/>
  <c r="AH683" i="260" a="1"/>
  <c r="AT714" i="260" a="1"/>
  <c r="AQ630" i="260" a="1"/>
  <c r="BG685" i="260" a="1"/>
  <c r="AT580" i="260" a="1"/>
  <c r="N565" i="260" a="1"/>
  <c r="AN712" i="260" a="1"/>
  <c r="AZ591" i="260" a="1"/>
  <c r="AT611" i="260" a="1"/>
  <c r="AQ745" i="260" a="1"/>
  <c r="AH677" i="260" a="1"/>
  <c r="AZ546" i="260" a="1"/>
  <c r="BD668" i="260" a="1"/>
  <c r="BG669" i="260" a="1"/>
  <c r="G617" i="260" a="1"/>
  <c r="G536" i="260" a="1"/>
  <c r="AH545" i="260" a="1"/>
  <c r="BG605" i="260" a="1"/>
  <c r="BD628" i="260" a="1"/>
  <c r="AT562" i="260" a="1"/>
  <c r="BD717" i="260" a="1"/>
  <c r="AT676" i="260" a="1"/>
  <c r="AQ570" i="260" a="1"/>
  <c r="AH705" i="260" a="1"/>
  <c r="Z637" i="260" a="1"/>
  <c r="R547" i="260" a="1"/>
  <c r="N635" i="260" a="1"/>
  <c r="G619" i="260" a="1"/>
  <c r="AZ750" i="260" a="1"/>
  <c r="BD699" i="260" a="1"/>
  <c r="AH560" i="260" a="1"/>
  <c r="BK631" i="260" a="1"/>
  <c r="Z640" i="260" a="1"/>
  <c r="BD737" i="260" a="1"/>
  <c r="J586" i="260" a="1"/>
  <c r="AH706" i="260" a="1"/>
  <c r="N546" i="260" a="1"/>
  <c r="AH620" i="260" a="1"/>
  <c r="AQ672" i="260" a="1"/>
  <c r="BD714" i="260" a="1"/>
  <c r="BG553" i="260" a="1"/>
  <c r="AN749" i="260" a="1"/>
  <c r="Z613" i="260" a="1"/>
  <c r="AQ563" i="260" a="1"/>
  <c r="AT577" i="260" a="1"/>
  <c r="Z741" i="260" a="1"/>
  <c r="R593" i="260" a="1"/>
  <c r="N598" i="260" a="1"/>
  <c r="G538" i="260" a="1"/>
  <c r="G597" i="260" a="1"/>
  <c r="BG555" i="260" a="1"/>
  <c r="R732" i="260" a="1"/>
  <c r="AH736" i="260" a="1"/>
  <c r="BD596" i="260" a="1"/>
  <c r="AD530" i="260" a="1"/>
  <c r="R724" i="260" a="1"/>
  <c r="AZ605" i="260" a="1"/>
  <c r="R622" i="260" a="1"/>
  <c r="V648" i="260" a="1"/>
  <c r="N559" i="260" a="1"/>
  <c r="R694" i="260" a="1"/>
  <c r="R746" i="260" a="1"/>
  <c r="N735" i="260" a="1"/>
  <c r="AD547" i="260" a="1"/>
  <c r="V696" i="260" a="1"/>
  <c r="N647" i="260" a="1"/>
  <c r="R718" i="260" a="1"/>
  <c r="AD674" i="260" a="1"/>
  <c r="Z507" i="260" a="1"/>
  <c r="V687" i="260" a="1"/>
  <c r="AT590" i="260" a="1"/>
  <c r="BD625" i="260" a="1"/>
  <c r="AZ716" i="260" a="1"/>
  <c r="N625" i="260" a="1"/>
  <c r="AQ639" i="260" a="1"/>
  <c r="V749" i="260" a="1"/>
  <c r="AH744" i="260" a="1"/>
  <c r="AT632" i="260" a="1"/>
  <c r="R659" i="260" a="1"/>
  <c r="Z552" i="260" a="1"/>
  <c r="BD574" i="260" a="1"/>
  <c r="BG602" i="260" a="1"/>
  <c r="BG559" i="260" a="1"/>
  <c r="V626" i="260" a="1"/>
  <c r="N668" i="260" a="1"/>
  <c r="Z713" i="260" a="1"/>
  <c r="AQ656" i="260" a="1"/>
  <c r="R743" i="260" a="1"/>
  <c r="AT741" i="260" a="1"/>
  <c r="V570" i="260" a="1"/>
  <c r="BK720" i="260" a="1"/>
  <c r="BD651" i="260" a="1"/>
  <c r="BG721" i="260" a="1"/>
  <c r="AQ601" i="260" a="1"/>
  <c r="AZ644" i="260" a="1"/>
  <c r="AZ655" i="260" a="1"/>
  <c r="Z639" i="260" a="1"/>
  <c r="AH657" i="260" a="1"/>
  <c r="V675" i="260" a="1"/>
  <c r="V744" i="260" a="1"/>
  <c r="J545" i="260" a="1"/>
  <c r="AT665" i="260" a="1"/>
  <c r="V580" i="260" a="1"/>
  <c r="AT736" i="260" a="1"/>
  <c r="AD576" i="260" a="1"/>
  <c r="BD609" i="260" a="1"/>
  <c r="BK533" i="260" a="1"/>
  <c r="AN688" i="260" a="1"/>
  <c r="V589" i="260" a="1"/>
  <c r="BD656" i="260" a="1"/>
  <c r="N701" i="260" a="1"/>
  <c r="AN650" i="260" a="1"/>
  <c r="AT716" i="260" a="1"/>
  <c r="BG696" i="260" a="1"/>
  <c r="J570" i="260" a="1"/>
  <c r="AZ737" i="260" a="1"/>
  <c r="AT613" i="260" a="1"/>
  <c r="AT744" i="260" a="1"/>
  <c r="G711" i="260" a="1"/>
  <c r="V674" i="260" a="1"/>
  <c r="Z651" i="260" a="1"/>
  <c r="J652" i="260" a="1"/>
  <c r="N697" i="260" a="1"/>
  <c r="AD561" i="260" a="1"/>
  <c r="J655" i="260" a="1"/>
  <c r="AN559" i="260" a="1"/>
  <c r="BK573" i="260" a="1"/>
  <c r="BG570" i="260" a="1"/>
  <c r="G637" i="260" a="1"/>
  <c r="AT620" i="260" a="1"/>
  <c r="AD713" i="260" a="1"/>
  <c r="BK566" i="260" a="1"/>
  <c r="Z721" i="260" a="1"/>
  <c r="R672" i="260" a="1"/>
  <c r="BD718" i="260" a="1"/>
  <c r="BD557" i="260" a="1"/>
  <c r="J511" i="260" a="1"/>
  <c r="AH647" i="260" a="1"/>
  <c r="Z723" i="260" a="1"/>
  <c r="AZ557" i="260" a="1"/>
  <c r="AH599" i="260" a="1"/>
  <c r="J746" i="260" a="1"/>
  <c r="G730" i="260" a="1"/>
  <c r="AZ593" i="260" a="1"/>
  <c r="AZ753" i="260" a="1"/>
  <c r="J635" i="260" a="1"/>
  <c r="BD532" i="260" a="1"/>
  <c r="N605" i="260" a="1"/>
  <c r="AQ572" i="260" a="1"/>
  <c r="AQ592" i="260" a="1"/>
  <c r="AZ536" i="260" a="1"/>
  <c r="BD605" i="260" a="1"/>
  <c r="R615" i="260" a="1"/>
  <c r="BK636" i="260" a="1"/>
  <c r="Z744" i="260" a="1"/>
  <c r="BG593" i="260" a="1"/>
  <c r="AN670" i="260" a="1"/>
  <c r="AT706" i="260" a="1"/>
  <c r="Z550" i="260" a="1"/>
  <c r="V741" i="260" a="1"/>
  <c r="AH550" i="260" a="1"/>
  <c r="AH627" i="260" a="1"/>
  <c r="N545" i="260" a="1"/>
  <c r="BK735" i="260" a="1"/>
  <c r="AQ732" i="260" a="1"/>
  <c r="N664" i="260" a="1"/>
  <c r="BK600" i="260" a="1"/>
  <c r="N642" i="260" a="1"/>
  <c r="AD683" i="260" a="1"/>
  <c r="AN610" i="260" a="1"/>
  <c r="AT618" i="260" a="1"/>
  <c r="R577" i="260" a="1"/>
  <c r="AT598" i="260" a="1"/>
  <c r="N751" i="260" a="1"/>
  <c r="BK667" i="260" a="1"/>
  <c r="J691" i="260" a="1"/>
  <c r="R742" i="260" a="1"/>
  <c r="Z715" i="260" a="1"/>
  <c r="AD532" i="260" a="1"/>
  <c r="R702" i="260" a="1"/>
  <c r="V662" i="260" a="1"/>
  <c r="BK664" i="260" a="1"/>
  <c r="BK726" i="260" a="1"/>
  <c r="AT538" i="260" a="1"/>
  <c r="AD540" i="260" a="1"/>
  <c r="BK747" i="260" a="1"/>
  <c r="AQ699" i="260" a="1"/>
  <c r="N587" i="260" a="1"/>
  <c r="V731" i="260" a="1"/>
  <c r="Z585" i="260" a="1"/>
  <c r="AD735" i="260" a="1"/>
  <c r="J535" i="260" a="1"/>
  <c r="AN686" i="260" a="1"/>
  <c r="AZ676" i="260" a="1"/>
  <c r="AN537" i="260" a="1"/>
  <c r="BG658" i="260" a="1"/>
  <c r="R638" i="260" a="1"/>
  <c r="AT677" i="260" a="1"/>
  <c r="J539" i="260" a="1"/>
  <c r="V683" i="260" a="1"/>
  <c r="AZ707" i="260" a="1"/>
  <c r="AN602" i="260" a="1"/>
  <c r="G511" i="260" a="1"/>
  <c r="J620" i="260" a="1"/>
  <c r="AD581" i="260" a="1"/>
  <c r="AT539" i="260" a="1"/>
  <c r="AN687" i="260" a="1"/>
  <c r="BK674" i="260" a="1"/>
  <c r="R614" i="260" a="1"/>
  <c r="R723" i="260" a="1"/>
  <c r="AD677" i="260" a="1"/>
  <c r="N550" i="260" a="1"/>
  <c r="BG506" i="260" a="1"/>
  <c r="G751" i="260" a="1"/>
  <c r="BG725" i="260" a="1"/>
  <c r="AT724" i="260" a="1"/>
  <c r="BG633" i="260" a="1"/>
  <c r="N645" i="260" a="1"/>
  <c r="Z589" i="260" a="1"/>
  <c r="AQ733" i="260" a="1"/>
  <c r="R703" i="260" a="1"/>
  <c r="AQ567" i="260" a="1"/>
  <c r="BK632" i="260" a="1"/>
  <c r="AZ642" i="260" a="1"/>
  <c r="AQ710" i="260" a="1"/>
  <c r="AD625" i="260" a="1"/>
  <c r="AH714" i="260" a="1"/>
  <c r="AZ693" i="260" a="1"/>
  <c r="G614" i="260" a="1"/>
  <c r="BG646" i="260" a="1"/>
  <c r="BK564" i="260" a="1"/>
  <c r="J551" i="260" a="1"/>
  <c r="Z753" i="260" a="1"/>
  <c r="J738" i="260" a="1"/>
  <c r="AT541" i="260" a="1"/>
  <c r="J739" i="260" a="1"/>
  <c r="BG734" i="260" a="1"/>
  <c r="R695" i="260" a="1"/>
  <c r="AQ736" i="260" a="1"/>
  <c r="AN639" i="260" a="1"/>
  <c r="J541" i="260" a="1"/>
  <c r="AH622" i="260" a="1"/>
  <c r="AZ521" i="260" a="1"/>
  <c r="Z599" i="260" a="1"/>
  <c r="BD746" i="260" a="1"/>
  <c r="AZ645" i="260" a="1"/>
  <c r="BG626" i="260" a="1"/>
  <c r="N553" i="260" a="1"/>
  <c r="BK596" i="260" a="1"/>
  <c r="BD690" i="260" a="1"/>
  <c r="AH671" i="260" a="1"/>
  <c r="AZ576" i="260" a="1"/>
  <c r="V543" i="260" a="1"/>
  <c r="AT649" i="260" a="1"/>
  <c r="AT568" i="260" a="1"/>
  <c r="BG661" i="260" a="1"/>
  <c r="AH598" i="260" a="1"/>
  <c r="BG560" i="260" a="1"/>
  <c r="AQ694" i="260" a="1"/>
  <c r="AT680" i="260" a="1"/>
  <c r="N669" i="260" a="1"/>
  <c r="BK753" i="260" a="1"/>
  <c r="AH707" i="260" a="1"/>
  <c r="J699" i="260" a="1"/>
  <c r="BK538" i="260" a="1"/>
  <c r="J583" i="260" a="1"/>
  <c r="AN667" i="260" a="1"/>
  <c r="BG561" i="260" a="1"/>
  <c r="BG678" i="260" a="1"/>
  <c r="AH609" i="260" a="1"/>
  <c r="AZ637" i="260" a="1"/>
  <c r="AD728" i="260" a="1"/>
  <c r="BK739" i="260" a="1"/>
  <c r="V747" i="260" a="1"/>
  <c r="V697" i="260" a="1"/>
  <c r="AH745" i="260" a="1"/>
  <c r="AT752" i="260" a="1"/>
  <c r="BD742" i="260" a="1"/>
  <c r="V565" i="260" a="1"/>
  <c r="AZ666" i="260" a="1"/>
  <c r="AN748" i="260" a="1"/>
  <c r="V561" i="260" a="1"/>
  <c r="AN558" i="260" a="1"/>
  <c r="AT628" i="260" a="1"/>
  <c r="AH675" i="260" a="1"/>
  <c r="AH612" i="260" a="1"/>
  <c r="R607" i="260" a="1"/>
  <c r="AQ627" i="260" a="1"/>
  <c r="AN534" i="260" a="1"/>
  <c r="AN536" i="260" a="1"/>
  <c r="AQ581" i="260" a="1"/>
  <c r="AH719" i="260" a="1"/>
  <c r="AD605" i="260" a="1"/>
  <c r="R617" i="260" a="1"/>
  <c r="G618" i="260" a="1"/>
  <c r="BG595" i="260" a="1"/>
  <c r="AH753" i="260" a="1"/>
  <c r="BG608" i="260" a="1"/>
  <c r="Z661" i="260" a="1"/>
  <c r="AZ684" i="260" a="1"/>
  <c r="J597" i="260" a="1"/>
  <c r="AD626" i="260" a="1"/>
  <c r="BK746" i="260" a="1"/>
  <c r="N589" i="260" a="1"/>
  <c r="AD669" i="260" a="1"/>
  <c r="AT639" i="260" a="1"/>
  <c r="G622" i="260" a="1"/>
  <c r="BG701" i="260" a="1"/>
  <c r="BG664" i="260" a="1"/>
  <c r="R739" i="260" a="1"/>
  <c r="AT602" i="260" a="1"/>
  <c r="AT674" i="260" a="1"/>
  <c r="AD640" i="260" a="1"/>
  <c r="V652" i="260" a="1"/>
  <c r="G535" i="260" a="1"/>
  <c r="AZ725" i="260" a="1"/>
  <c r="G722" i="260" a="1"/>
  <c r="BD644" i="260" a="1"/>
  <c r="BK599" i="260" a="1"/>
  <c r="BD612" i="260" a="1"/>
  <c r="BG697" i="260" a="1"/>
  <c r="R598" i="260" a="1"/>
  <c r="AN615" i="260" a="1"/>
  <c r="AQ640" i="260" a="1"/>
  <c r="R677" i="260" a="1"/>
  <c r="R542" i="260" a="1"/>
  <c r="BK670" i="260" a="1"/>
  <c r="R594" i="260" a="1"/>
  <c r="AD594" i="260" a="1"/>
  <c r="AT673" i="260" a="1"/>
  <c r="AT671" i="260" a="1"/>
  <c r="BK621" i="260" a="1"/>
  <c r="BK690" i="260" a="1"/>
  <c r="AD676" i="260" a="1"/>
  <c r="G724" i="260" a="1"/>
  <c r="Z621" i="260" a="1"/>
  <c r="V593" i="260" a="1"/>
  <c r="BG584" i="260" a="1"/>
  <c r="V703" i="260" a="1"/>
  <c r="AH686" i="260" a="1"/>
  <c r="AZ703" i="260" a="1"/>
  <c r="G710" i="260" a="1"/>
  <c r="R627" i="260" a="1"/>
  <c r="R530" i="260" a="1"/>
  <c r="BK633" i="260" a="1"/>
  <c r="AQ693" i="260" a="1"/>
  <c r="G583" i="260" a="1"/>
  <c r="BD676" i="260" a="1"/>
  <c r="Z667" i="260" a="1"/>
  <c r="BD751" i="260" a="1"/>
  <c r="J717" i="260" a="1"/>
  <c r="AD684" i="260" a="1"/>
  <c r="N540" i="260" a="1"/>
  <c r="R711" i="260" a="1"/>
  <c r="BK570" i="260" a="1"/>
  <c r="BK673" i="260" a="1"/>
  <c r="AQ546" i="260" a="1"/>
  <c r="V663" i="260" a="1"/>
  <c r="AD660" i="260" a="1"/>
  <c r="BK743" i="260" a="1"/>
  <c r="V599" i="260" a="1"/>
  <c r="AN617" i="260" a="1"/>
  <c r="AZ540" i="260" a="1"/>
  <c r="AN584" i="260" a="1"/>
  <c r="BK560" i="260" a="1"/>
  <c r="AQ716" i="260" a="1"/>
  <c r="BK677" i="260" a="1"/>
  <c r="AZ650" i="260" a="1"/>
  <c r="AQ614" i="260" a="1"/>
  <c r="V574" i="260" a="1"/>
  <c r="V555" i="260" a="1"/>
  <c r="AD665" i="260" a="1"/>
  <c r="AT569" i="260" a="1"/>
  <c r="AN744" i="260" a="1"/>
  <c r="R581" i="260" a="1"/>
  <c r="Z547" i="260" a="1"/>
  <c r="G696" i="260" a="1"/>
  <c r="AT743" i="260" a="1"/>
  <c r="AH742" i="260" a="1"/>
  <c r="AH646" i="260" a="1"/>
  <c r="G594" i="260" a="1"/>
  <c r="N576" i="260" a="1"/>
  <c r="AN634" i="260" a="1"/>
  <c r="V646" i="260" a="1"/>
  <c r="Z716" i="260" a="1"/>
  <c r="BK711" i="260" a="1"/>
  <c r="AZ560" i="260" a="1"/>
  <c r="AN709" i="260" a="1"/>
  <c r="J598" i="260" a="1"/>
  <c r="AD614" i="260" a="1"/>
  <c r="AT633" i="260" a="1"/>
  <c r="BG640" i="260" a="1"/>
  <c r="AH600" i="260" a="1"/>
  <c r="AZ643" i="260" a="1"/>
  <c r="G646" i="260" a="1"/>
  <c r="V673" i="260" a="1"/>
  <c r="BG656" i="260" a="1"/>
  <c r="G576" i="260" a="1"/>
  <c r="R745" i="260" a="1"/>
  <c r="AD536" i="260" a="1"/>
  <c r="BK727" i="260" a="1"/>
  <c r="AQ599" i="260" a="1"/>
  <c r="AZ582" i="260" a="1"/>
  <c r="AT694" i="260" a="1"/>
  <c r="G715" i="260" a="1"/>
  <c r="R589" i="260" a="1"/>
  <c r="R548" i="260" a="1"/>
  <c r="BK613" i="260" a="1"/>
  <c r="BK660" i="260" a="1"/>
  <c r="J706" i="260" a="1"/>
  <c r="BG568" i="260" a="1"/>
  <c r="N665" i="260" a="1"/>
  <c r="N652" i="260" a="1"/>
  <c r="G542" i="260" a="1"/>
  <c r="AD732" i="260" a="1"/>
  <c r="AD573" i="260" a="1"/>
  <c r="AZ588" i="260" a="1"/>
  <c r="AN560" i="260" a="1"/>
  <c r="BG592" i="260" a="1"/>
  <c r="AZ562" i="260" a="1"/>
  <c r="AZ577" i="260" a="1"/>
  <c r="BK506" i="260" a="1"/>
  <c r="Z648" i="260" a="1"/>
  <c r="BK616" i="260" a="1"/>
  <c r="V751" i="260" a="1"/>
  <c r="AT662" i="260" a="1"/>
  <c r="AN631" i="260" a="1"/>
  <c r="G556" i="260" a="1"/>
  <c r="V563" i="260" a="1"/>
  <c r="N646" i="260" a="1"/>
  <c r="AT713" i="260" a="1"/>
  <c r="J639" i="260" a="1"/>
  <c r="AN565" i="260" a="1"/>
  <c r="AN542" i="260" a="1"/>
  <c r="G698" i="260" a="1"/>
  <c r="BK692" i="260" a="1"/>
  <c r="G705" i="260" a="1"/>
  <c r="V547" i="260" a="1"/>
  <c r="R576" i="260" a="1"/>
  <c r="J688" i="260" a="1"/>
  <c r="AH720" i="260" a="1"/>
  <c r="AT582" i="260" a="1"/>
  <c r="AQ649" i="260" a="1"/>
  <c r="AQ753" i="260" a="1"/>
  <c r="G590" i="260" a="1"/>
  <c r="V537" i="260" a="1"/>
  <c r="BK587" i="260" a="1"/>
  <c r="J567" i="260" a="1"/>
  <c r="J561" i="260" a="1"/>
  <c r="J565" i="260" a="1"/>
  <c r="Z701" i="260" a="1"/>
  <c r="BK541" i="260" a="1"/>
  <c r="AT542" i="260" a="1"/>
  <c r="BD610" i="260" a="1"/>
  <c r="AT691" i="260" a="1"/>
  <c r="N531" i="260" a="1"/>
  <c r="R688" i="260" a="1"/>
  <c r="BD658" i="260" a="1"/>
  <c r="R506" i="260" a="1"/>
  <c r="AQ670" i="260" a="1"/>
  <c r="G633" i="260" a="1"/>
  <c r="BK603" i="260" a="1"/>
  <c r="Z705" i="260" a="1"/>
  <c r="Z645" i="260" a="1"/>
  <c r="G582" i="260" a="1"/>
  <c r="AQ625" i="260" a="1"/>
  <c r="AN580" i="260" a="1"/>
  <c r="AQ531" i="260" a="1"/>
  <c r="BG744" i="260" a="1"/>
  <c r="R534" i="260" a="1"/>
  <c r="BG557" i="260" a="1"/>
  <c r="N552" i="260" a="1"/>
  <c r="AN708" i="260" a="1"/>
  <c r="BD701" i="260" a="1"/>
  <c r="BG638" i="260" a="1"/>
  <c r="AH574" i="260" a="1"/>
  <c r="Z746" i="260" a="1"/>
  <c r="BK553" i="260" a="1"/>
  <c r="AD646" i="260" a="1"/>
  <c r="AT751" i="260" a="1"/>
  <c r="AN614" i="260" a="1"/>
  <c r="R550" i="260" a="1"/>
  <c r="AQ577" i="260" a="1"/>
  <c r="N715" i="260" a="1"/>
  <c r="J605" i="260" a="1"/>
  <c r="N592" i="260" a="1"/>
  <c r="AD583" i="260" a="1"/>
  <c r="R663" i="260" a="1"/>
  <c r="BK686" i="260" a="1"/>
  <c r="AQ657" i="260" a="1"/>
  <c r="AN582" i="260" a="1"/>
  <c r="AZ652" i="260" a="1"/>
  <c r="AN585" i="260" a="1"/>
  <c r="BD563" i="260" a="1"/>
  <c r="G632" i="260" a="1"/>
  <c r="AZ568" i="260" a="1"/>
  <c r="AD550" i="260" a="1"/>
  <c r="Z707" i="260" a="1"/>
  <c r="N659" i="260" a="1"/>
  <c r="AH582" i="260" a="1"/>
  <c r="AD743" i="260" a="1"/>
  <c r="BK562" i="260" a="1"/>
  <c r="G643" i="260" a="1"/>
  <c r="AQ725" i="260" a="1"/>
  <c r="AT610" i="260" a="1"/>
  <c r="R698" i="260" a="1"/>
  <c r="AH567" i="260" a="1"/>
  <c r="J627" i="260" a="1"/>
  <c r="AN637" i="260" a="1"/>
  <c r="AD566" i="260" a="1"/>
  <c r="AQ595" i="260" a="1"/>
  <c r="AZ619" i="260" a="1"/>
  <c r="BK728" i="260" a="1"/>
  <c r="AD721" i="260" a="1"/>
  <c r="G589" i="260" a="1"/>
  <c r="BG732" i="260" a="1"/>
  <c r="BK588" i="260" a="1"/>
  <c r="AH634" i="260" a="1"/>
  <c r="N599" i="260" a="1"/>
  <c r="AH602" i="260" a="1"/>
  <c r="R578" i="260" a="1"/>
  <c r="AQ607" i="260" a="1"/>
  <c r="BK725" i="260" a="1"/>
  <c r="AN713" i="260" a="1"/>
  <c r="AZ739" i="260" a="1"/>
  <c r="Z543" i="260" a="1"/>
  <c r="G592" i="260" a="1"/>
  <c r="G726" i="260" a="1"/>
  <c r="R676" i="260" a="1"/>
  <c r="AH571" i="260" a="1"/>
  <c r="BK714" i="260" a="1"/>
  <c r="V710" i="260" a="1"/>
  <c r="BK681" i="260" a="1"/>
  <c r="J722" i="260" a="1"/>
  <c r="BK622" i="260" a="1"/>
  <c r="BG601" i="260" a="1"/>
  <c r="G690" i="260" a="1"/>
  <c r="Z617" i="260" a="1"/>
  <c r="AT571" i="260" a="1"/>
  <c r="R597" i="260" a="1"/>
  <c r="R535" i="260" a="1"/>
  <c r="AH724" i="260" a="1"/>
  <c r="AZ733" i="260" a="1"/>
  <c r="AD585" i="260" a="1"/>
  <c r="N651" i="260" a="1"/>
  <c r="BG540" i="260" a="1"/>
  <c r="AN581" i="260" a="1"/>
  <c r="AT606" i="260" a="1"/>
  <c r="J590" i="260" a="1"/>
  <c r="V632" i="260" a="1"/>
  <c r="BG709" i="260" a="1"/>
  <c r="AD649" i="260" a="1"/>
  <c r="G672" i="260" a="1"/>
  <c r="AZ602" i="260" a="1"/>
  <c r="V546" i="260" a="1"/>
  <c r="BG713" i="260" a="1"/>
  <c r="N698" i="260" a="1"/>
  <c r="J751" i="260" a="1"/>
  <c r="AZ681" i="260" a="1"/>
  <c r="BG693" i="260" a="1"/>
  <c r="J734" i="260" a="1"/>
  <c r="AN697" i="260" a="1"/>
  <c r="Z562" i="260" a="1"/>
  <c r="G568" i="260" a="1"/>
  <c r="AN569" i="260" a="1"/>
  <c r="AN594" i="260" a="1"/>
  <c r="J733" i="260" a="1"/>
  <c r="AT702" i="260" a="1"/>
  <c r="AQ706" i="260" a="1"/>
  <c r="AQ661" i="260" a="1"/>
  <c r="J710" i="260" a="1"/>
  <c r="G575" i="260" a="1"/>
  <c r="Z592" i="260" a="1"/>
  <c r="BG733" i="260" a="1"/>
  <c r="AZ580" i="260" a="1"/>
  <c r="AT645" i="260" a="1"/>
  <c r="J662" i="260" a="1"/>
  <c r="BG695" i="260" a="1"/>
  <c r="AD738" i="260" a="1"/>
  <c r="BD641" i="260" a="1"/>
  <c r="AH641" i="260" a="1"/>
  <c r="N702" i="260" a="1"/>
  <c r="AH597" i="260" a="1"/>
  <c r="R633" i="260" a="1"/>
  <c r="AN611" i="260" a="1"/>
  <c r="Z665" i="260" a="1"/>
  <c r="AZ719" i="260" a="1"/>
  <c r="BG690" i="260" a="1"/>
  <c r="AD575" i="260" a="1"/>
  <c r="AQ726" i="260" a="1"/>
  <c r="AN539" i="260" a="1"/>
  <c r="AQ637" i="260" a="1"/>
  <c r="G734" i="260" a="1"/>
  <c r="R689" i="260" a="1"/>
  <c r="V717" i="260" a="1"/>
  <c r="AN563" i="260" a="1"/>
  <c r="BG746" i="260" a="1"/>
  <c r="V636" i="260" a="1"/>
  <c r="Z572" i="260" a="1"/>
  <c r="AQ553" i="260" a="1"/>
  <c r="N626" i="260" a="1"/>
  <c r="R643" i="260" a="1"/>
  <c r="AH637" i="260" a="1"/>
  <c r="BD552" i="260" a="1"/>
  <c r="R735" i="260" a="1"/>
  <c r="V668" i="260" a="1"/>
  <c r="AN578" i="260" a="1"/>
  <c r="N569" i="260" a="1"/>
  <c r="AN718" i="260" a="1"/>
  <c r="Z687" i="260" a="1"/>
  <c r="N617" i="260" a="1"/>
  <c r="AH536" i="260" a="1"/>
  <c r="N726" i="260" a="1"/>
  <c r="R549" i="260" a="1"/>
  <c r="N676" i="260" a="1"/>
  <c r="V611" i="260" a="1"/>
  <c r="AZ691" i="260" a="1"/>
  <c r="BK544" i="260" a="1"/>
  <c r="V718" i="260" a="1"/>
  <c r="N696" i="260" a="1"/>
  <c r="AD621" i="260" a="1"/>
  <c r="AT663" i="260" a="1"/>
  <c r="N732" i="260" a="1"/>
  <c r="AH556" i="260" a="1"/>
  <c r="J572" i="260" a="1"/>
  <c r="N752" i="260" a="1"/>
  <c r="BD544" i="260" a="1"/>
  <c r="BK751" i="260" a="1"/>
  <c r="Z538" i="260" a="1"/>
  <c r="BK574" i="260" a="1"/>
  <c r="BG532" i="260" a="1"/>
  <c r="BK682" i="260" a="1"/>
  <c r="BK666" i="260" a="1"/>
  <c r="AQ598" i="260" a="1"/>
  <c r="AD552" i="260" a="1"/>
  <c r="AD652" i="260" a="1"/>
  <c r="AQ668" i="260" a="1"/>
  <c r="J573" i="260" a="1"/>
  <c r="V551" i="260" a="1"/>
  <c r="AD633" i="260" a="1"/>
  <c r="AT705" i="260" a="1"/>
  <c r="V707" i="260" a="1"/>
  <c r="Z600" i="260" a="1"/>
  <c r="AN723" i="260" a="1"/>
  <c r="AT700" i="260" a="1"/>
  <c r="J730" i="260" a="1"/>
  <c r="BG639" i="260" a="1"/>
  <c r="Z662" i="260" a="1"/>
  <c r="Z691" i="260" a="1"/>
  <c r="R562" i="260" a="1"/>
  <c r="AQ532" i="260" a="1"/>
  <c r="AT535" i="260" a="1"/>
  <c r="V642" i="260" a="1"/>
  <c r="AZ713" i="260" a="1"/>
  <c r="BG747" i="260" a="1"/>
  <c r="AQ545" i="260" a="1"/>
  <c r="AZ649" i="260" a="1"/>
  <c r="BK695" i="260" a="1"/>
  <c r="BK716" i="260" a="1"/>
  <c r="AD635" i="260" a="1"/>
  <c r="Z601" i="260" a="1"/>
  <c r="AQ663" i="260" a="1"/>
  <c r="AN714" i="260" a="1"/>
  <c r="G574" i="260" a="1"/>
  <c r="V702" i="260" a="1"/>
  <c r="BG673" i="260" a="1"/>
  <c r="J685" i="260" a="1"/>
  <c r="BD661" i="260" a="1"/>
  <c r="BG631" i="260" a="1"/>
  <c r="N608" i="260" a="1"/>
  <c r="AT655" i="260" a="1"/>
  <c r="N595" i="260" a="1"/>
  <c r="G549" i="260" a="1"/>
  <c r="AT650" i="260" a="1"/>
  <c r="BK512" i="260" a="1"/>
  <c r="AQ561" i="260" a="1"/>
  <c r="AZ632" i="260" a="1"/>
  <c r="AT727" i="260" a="1"/>
  <c r="BD677" i="260" a="1"/>
  <c r="AZ730" i="260" a="1"/>
  <c r="AH749" i="260" a="1"/>
  <c r="BD744" i="260" a="1"/>
  <c r="BG530" i="260" a="1"/>
  <c r="N740" i="260" a="1"/>
  <c r="AQ666" i="260" a="1"/>
  <c r="AQ666" i="260" l="1"/>
  <c r="N740" i="260"/>
  <c r="BG530" i="260"/>
  <c r="BD744" i="260"/>
  <c r="AH749" i="260"/>
  <c r="AZ730" i="260"/>
  <c r="BD677" i="260"/>
  <c r="AT727" i="260"/>
  <c r="AZ632" i="260"/>
  <c r="AQ561" i="260"/>
  <c r="BK512" i="260"/>
  <c r="AT650" i="260"/>
  <c r="G549" i="260"/>
  <c r="N595" i="260"/>
  <c r="AT655" i="260"/>
  <c r="N608" i="260"/>
  <c r="BG631" i="260"/>
  <c r="BD661" i="260"/>
  <c r="J685" i="260"/>
  <c r="BG673" i="260"/>
  <c r="V702" i="260"/>
  <c r="G574" i="260"/>
  <c r="AN714" i="260"/>
  <c r="AQ663" i="260"/>
  <c r="Z601" i="260"/>
  <c r="AD635" i="260"/>
  <c r="BK716" i="260"/>
  <c r="BK695" i="260"/>
  <c r="AZ649" i="260"/>
  <c r="AQ545" i="260"/>
  <c r="BG747" i="260"/>
  <c r="AZ713" i="260"/>
  <c r="V642" i="260"/>
  <c r="AT535" i="260"/>
  <c r="AQ532" i="260"/>
  <c r="R562" i="260"/>
  <c r="Z691" i="260"/>
  <c r="Z662" i="260"/>
  <c r="BG639" i="260"/>
  <c r="J730" i="260"/>
  <c r="AT700" i="260"/>
  <c r="AN723" i="260"/>
  <c r="Z600" i="260"/>
  <c r="V707" i="260"/>
  <c r="AT705" i="260"/>
  <c r="AD633" i="260"/>
  <c r="V551" i="260"/>
  <c r="J573" i="260"/>
  <c r="AQ668" i="260"/>
  <c r="AD652" i="260"/>
  <c r="AD552" i="260"/>
  <c r="AQ598" i="260"/>
  <c r="BK666" i="260"/>
  <c r="BK682" i="260"/>
  <c r="BG532" i="260"/>
  <c r="BK574" i="260"/>
  <c r="Z538" i="260"/>
  <c r="BK751" i="260"/>
  <c r="BD544" i="260"/>
  <c r="N752" i="260"/>
  <c r="J572" i="260"/>
  <c r="AH556" i="260"/>
  <c r="N732" i="260"/>
  <c r="AT663" i="260"/>
  <c r="AD621" i="260"/>
  <c r="N696" i="260"/>
  <c r="V718" i="260"/>
  <c r="BK544" i="260"/>
  <c r="AZ691" i="260"/>
  <c r="V611" i="260"/>
  <c r="N676" i="260"/>
  <c r="R549" i="260"/>
  <c r="N726" i="260"/>
  <c r="AH536" i="260"/>
  <c r="N617" i="260"/>
  <c r="Z687" i="260"/>
  <c r="AN718" i="260"/>
  <c r="N569" i="260"/>
  <c r="AN578" i="260"/>
  <c r="V668" i="260"/>
  <c r="R735" i="260"/>
  <c r="BD552" i="260"/>
  <c r="AH637" i="260"/>
  <c r="R643" i="260"/>
  <c r="N626" i="260"/>
  <c r="AQ553" i="260"/>
  <c r="Z572" i="260"/>
  <c r="V636" i="260"/>
  <c r="BG746" i="260"/>
  <c r="AN563" i="260"/>
  <c r="V717" i="260"/>
  <c r="R689" i="260"/>
  <c r="G734" i="260"/>
  <c r="AQ637" i="260"/>
  <c r="AN539" i="260"/>
  <c r="AQ726" i="260"/>
  <c r="AD575" i="260"/>
  <c r="BG690" i="260"/>
  <c r="AZ719" i="260"/>
  <c r="Z665" i="260"/>
  <c r="AN611" i="260"/>
  <c r="R633" i="260"/>
  <c r="AH597" i="260"/>
  <c r="N702" i="260"/>
  <c r="AH641" i="260"/>
  <c r="BD641" i="260"/>
  <c r="AD738" i="260"/>
  <c r="BG695" i="260"/>
  <c r="J662" i="260"/>
  <c r="AT645" i="260"/>
  <c r="AZ580" i="260"/>
  <c r="BG733" i="260"/>
  <c r="Z592" i="260"/>
  <c r="G575" i="260"/>
  <c r="J710" i="260"/>
  <c r="AQ661" i="260"/>
  <c r="AQ706" i="260"/>
  <c r="AT702" i="260"/>
  <c r="J733" i="260"/>
  <c r="AN594" i="260"/>
  <c r="AN569" i="260"/>
  <c r="G568" i="260"/>
  <c r="Z562" i="260"/>
  <c r="AN697" i="260"/>
  <c r="J734" i="260"/>
  <c r="BG693" i="260"/>
  <c r="AZ681" i="260"/>
  <c r="J751" i="260"/>
  <c r="N698" i="260"/>
  <c r="BG713" i="260"/>
  <c r="V546" i="260"/>
  <c r="AZ602" i="260"/>
  <c r="G672" i="260"/>
  <c r="AD649" i="260"/>
  <c r="BG709" i="260"/>
  <c r="V632" i="260"/>
  <c r="J590" i="260"/>
  <c r="AT606" i="260"/>
  <c r="AN581" i="260"/>
  <c r="BG540" i="260"/>
  <c r="N651" i="260"/>
  <c r="AD585" i="260"/>
  <c r="AZ733" i="260"/>
  <c r="AH724" i="260"/>
  <c r="R535" i="260"/>
  <c r="R597" i="260"/>
  <c r="AT571" i="260"/>
  <c r="Z617" i="260"/>
  <c r="G690" i="260"/>
  <c r="BG601" i="260"/>
  <c r="BK622" i="260"/>
  <c r="J722" i="260"/>
  <c r="BK681" i="260"/>
  <c r="V710" i="260"/>
  <c r="BK714" i="260"/>
  <c r="AH571" i="260"/>
  <c r="R676" i="260"/>
  <c r="G726" i="260"/>
  <c r="G592" i="260"/>
  <c r="Z543" i="260"/>
  <c r="AZ739" i="260"/>
  <c r="AN713" i="260"/>
  <c r="BK725" i="260"/>
  <c r="AQ607" i="260"/>
  <c r="R578" i="260"/>
  <c r="AH602" i="260"/>
  <c r="N599" i="260"/>
  <c r="AH634" i="260"/>
  <c r="BK588" i="260"/>
  <c r="BG732" i="260"/>
  <c r="G589" i="260"/>
  <c r="AD721" i="260"/>
  <c r="BK728" i="260"/>
  <c r="AZ619" i="260"/>
  <c r="AQ595" i="260"/>
  <c r="AD566" i="260"/>
  <c r="AN637" i="260"/>
  <c r="J627" i="260"/>
  <c r="AH567" i="260"/>
  <c r="R698" i="260"/>
  <c r="AT610" i="260"/>
  <c r="AQ725" i="260"/>
  <c r="G643" i="260"/>
  <c r="BK562" i="260"/>
  <c r="AD743" i="260"/>
  <c r="AH582" i="260"/>
  <c r="N659" i="260"/>
  <c r="Z707" i="260"/>
  <c r="AD550" i="260"/>
  <c r="AZ568" i="260"/>
  <c r="G632" i="260"/>
  <c r="BD563" i="260"/>
  <c r="AN585" i="260"/>
  <c r="AZ652" i="260"/>
  <c r="AN582" i="260"/>
  <c r="AQ657" i="260"/>
  <c r="BK686" i="260"/>
  <c r="R663" i="260"/>
  <c r="AD583" i="260"/>
  <c r="N592" i="260"/>
  <c r="J605" i="260"/>
  <c r="N715" i="260"/>
  <c r="AQ577" i="260"/>
  <c r="R550" i="260"/>
  <c r="AN614" i="260"/>
  <c r="AT751" i="260"/>
  <c r="AD646" i="260"/>
  <c r="BK553" i="260"/>
  <c r="Z746" i="260"/>
  <c r="AH574" i="260"/>
  <c r="BG638" i="260"/>
  <c r="BD701" i="260"/>
  <c r="AN708" i="260"/>
  <c r="N552" i="260"/>
  <c r="BG557" i="260"/>
  <c r="R534" i="260"/>
  <c r="BG744" i="260"/>
  <c r="AQ531" i="260"/>
  <c r="AN580" i="260"/>
  <c r="AQ625" i="260"/>
  <c r="G582" i="260"/>
  <c r="Z645" i="260"/>
  <c r="Z705" i="260"/>
  <c r="BK603" i="260"/>
  <c r="G633" i="260"/>
  <c r="AQ670" i="260"/>
  <c r="R506" i="260"/>
  <c r="BD658" i="260"/>
  <c r="R688" i="260"/>
  <c r="N531" i="260"/>
  <c r="AT691" i="260"/>
  <c r="BD610" i="260"/>
  <c r="AT542" i="260"/>
  <c r="BK541" i="260"/>
  <c r="Z701" i="260"/>
  <c r="J565" i="260"/>
  <c r="J561" i="260"/>
  <c r="J567" i="260"/>
  <c r="BK587" i="260"/>
  <c r="V537" i="260"/>
  <c r="G590" i="260"/>
  <c r="AQ753" i="260"/>
  <c r="AQ649" i="260"/>
  <c r="AT582" i="260"/>
  <c r="AH720" i="260"/>
  <c r="J688" i="260"/>
  <c r="R576" i="260"/>
  <c r="V547" i="260"/>
  <c r="G705" i="260"/>
  <c r="BK692" i="260"/>
  <c r="G698" i="260"/>
  <c r="AN542" i="260"/>
  <c r="AN565" i="260"/>
  <c r="J639" i="260"/>
  <c r="AT713" i="260"/>
  <c r="N646" i="260"/>
  <c r="V563" i="260"/>
  <c r="G556" i="260"/>
  <c r="AN631" i="260"/>
  <c r="AT662" i="260"/>
  <c r="V751" i="260"/>
  <c r="BK616" i="260"/>
  <c r="Z648" i="260"/>
  <c r="BK506" i="260"/>
  <c r="AZ577" i="260"/>
  <c r="AZ562" i="260"/>
  <c r="BG592" i="260"/>
  <c r="AN560" i="260"/>
  <c r="AZ588" i="260"/>
  <c r="AD573" i="260"/>
  <c r="AD732" i="260"/>
  <c r="G542" i="260"/>
  <c r="N652" i="260"/>
  <c r="N665" i="260"/>
  <c r="BG568" i="260"/>
  <c r="J706" i="260"/>
  <c r="BK660" i="260"/>
  <c r="BK613" i="260"/>
  <c r="R548" i="260"/>
  <c r="R589" i="260"/>
  <c r="G715" i="260"/>
  <c r="AT694" i="260"/>
  <c r="AZ582" i="260"/>
  <c r="AQ599" i="260"/>
  <c r="BK727" i="260"/>
  <c r="AD536" i="260"/>
  <c r="R745" i="260"/>
  <c r="G576" i="260"/>
  <c r="BG656" i="260"/>
  <c r="V673" i="260"/>
  <c r="G646" i="260"/>
  <c r="AZ643" i="260"/>
  <c r="AH600" i="260"/>
  <c r="BG640" i="260"/>
  <c r="AT633" i="260"/>
  <c r="AD614" i="260"/>
  <c r="J598" i="260"/>
  <c r="AN709" i="260"/>
  <c r="AZ560" i="260"/>
  <c r="BK711" i="260"/>
  <c r="Z716" i="260"/>
  <c r="V646" i="260"/>
  <c r="AN634" i="260"/>
  <c r="N576" i="260"/>
  <c r="G594" i="260"/>
  <c r="AH646" i="260"/>
  <c r="AH742" i="260"/>
  <c r="AT743" i="260"/>
  <c r="G696" i="260"/>
  <c r="Z547" i="260"/>
  <c r="R581" i="260"/>
  <c r="AN744" i="260"/>
  <c r="AT569" i="260"/>
  <c r="AD665" i="260"/>
  <c r="V555" i="260"/>
  <c r="V574" i="260"/>
  <c r="AQ614" i="260"/>
  <c r="AZ650" i="260"/>
  <c r="BK677" i="260"/>
  <c r="AQ716" i="260"/>
  <c r="BK560" i="260"/>
  <c r="AN584" i="260"/>
  <c r="AZ540" i="260"/>
  <c r="AN617" i="260"/>
  <c r="V599" i="260"/>
  <c r="BK743" i="260"/>
  <c r="AD660" i="260"/>
  <c r="V663" i="260"/>
  <c r="AQ546" i="260"/>
  <c r="BK673" i="260"/>
  <c r="BK570" i="260"/>
  <c r="R711" i="260"/>
  <c r="N540" i="260"/>
  <c r="AD684" i="260"/>
  <c r="J717" i="260"/>
  <c r="BD751" i="260"/>
  <c r="Z667" i="260"/>
  <c r="BD676" i="260"/>
  <c r="G583" i="260"/>
  <c r="AQ693" i="260"/>
  <c r="BK633" i="260"/>
  <c r="R530" i="260"/>
  <c r="R627" i="260"/>
  <c r="G710" i="260"/>
  <c r="AZ703" i="260"/>
  <c r="AH686" i="260"/>
  <c r="V703" i="260"/>
  <c r="BG584" i="260"/>
  <c r="V593" i="260"/>
  <c r="Z621" i="260"/>
  <c r="G724" i="260"/>
  <c r="AD676" i="260"/>
  <c r="BK690" i="260"/>
  <c r="BK621" i="260"/>
  <c r="AT671" i="260"/>
  <c r="AT673" i="260"/>
  <c r="AD594" i="260"/>
  <c r="R594" i="260"/>
  <c r="BK670" i="260"/>
  <c r="R542" i="260"/>
  <c r="R677" i="260"/>
  <c r="AQ640" i="260"/>
  <c r="AN615" i="260"/>
  <c r="R598" i="260"/>
  <c r="BG697" i="260"/>
  <c r="BD612" i="260"/>
  <c r="BK599" i="260"/>
  <c r="BD644" i="260"/>
  <c r="G722" i="260"/>
  <c r="AZ725" i="260"/>
  <c r="G535" i="260"/>
  <c r="V652" i="260"/>
  <c r="AD640" i="260"/>
  <c r="AT674" i="260"/>
  <c r="AT602" i="260"/>
  <c r="R739" i="260"/>
  <c r="BG664" i="260"/>
  <c r="BG701" i="260"/>
  <c r="G622" i="260"/>
  <c r="AT639" i="260"/>
  <c r="AD669" i="260"/>
  <c r="N589" i="260"/>
  <c r="BK746" i="260"/>
  <c r="AD626" i="260"/>
  <c r="J597" i="260"/>
  <c r="AZ684" i="260"/>
  <c r="Z661" i="260"/>
  <c r="BG608" i="260"/>
  <c r="AH753" i="260"/>
  <c r="BG595" i="260"/>
  <c r="G618" i="260"/>
  <c r="R617" i="260"/>
  <c r="AD605" i="260"/>
  <c r="AH719" i="260"/>
  <c r="AQ581" i="260"/>
  <c r="AN536" i="260"/>
  <c r="AN534" i="260"/>
  <c r="AQ627" i="260"/>
  <c r="R607" i="260"/>
  <c r="AH612" i="260"/>
  <c r="AH675" i="260"/>
  <c r="AT628" i="260"/>
  <c r="AN558" i="260"/>
  <c r="V561" i="260"/>
  <c r="AN748" i="260"/>
  <c r="AZ666" i="260"/>
  <c r="V565" i="260"/>
  <c r="BD742" i="260"/>
  <c r="AT752" i="260"/>
  <c r="AH745" i="260"/>
  <c r="V697" i="260"/>
  <c r="V747" i="260"/>
  <c r="BK739" i="260"/>
  <c r="AD728" i="260"/>
  <c r="AZ637" i="260"/>
  <c r="AH609" i="260"/>
  <c r="BG678" i="260"/>
  <c r="BG561" i="260"/>
  <c r="AN667" i="260"/>
  <c r="J583" i="260"/>
  <c r="BK538" i="260"/>
  <c r="J699" i="260"/>
  <c r="AH707" i="260"/>
  <c r="BK753" i="260"/>
  <c r="N669" i="260"/>
  <c r="AT680" i="260"/>
  <c r="AQ694" i="260"/>
  <c r="BG560" i="260"/>
  <c r="AH598" i="260"/>
  <c r="BG661" i="260"/>
  <c r="AT568" i="260"/>
  <c r="AT649" i="260"/>
  <c r="V543" i="260"/>
  <c r="AZ576" i="260"/>
  <c r="AH671" i="260"/>
  <c r="BD690" i="260"/>
  <c r="BK596" i="260"/>
  <c r="N553" i="260"/>
  <c r="BG626" i="260"/>
  <c r="AZ645" i="260"/>
  <c r="BD746" i="260"/>
  <c r="Z599" i="260"/>
  <c r="AZ521" i="260"/>
  <c r="AH622" i="260"/>
  <c r="J541" i="260"/>
  <c r="AN639" i="260"/>
  <c r="AQ736" i="260"/>
  <c r="R695" i="260"/>
  <c r="BG734" i="260"/>
  <c r="J739" i="260"/>
  <c r="AT541" i="260"/>
  <c r="J738" i="260"/>
  <c r="Z753" i="260"/>
  <c r="J551" i="260"/>
  <c r="BK564" i="260"/>
  <c r="BG646" i="260"/>
  <c r="G614" i="260"/>
  <c r="AZ693" i="260"/>
  <c r="AH714" i="260"/>
  <c r="AD625" i="260"/>
  <c r="AQ710" i="260"/>
  <c r="AZ642" i="260"/>
  <c r="BK632" i="260"/>
  <c r="AQ567" i="260"/>
  <c r="R703" i="260"/>
  <c r="AQ733" i="260"/>
  <c r="Z589" i="260"/>
  <c r="N645" i="260"/>
  <c r="BG633" i="260"/>
  <c r="AT724" i="260"/>
  <c r="BG725" i="260"/>
  <c r="G751" i="260"/>
  <c r="BG506" i="260"/>
  <c r="N550" i="260"/>
  <c r="AD677" i="260"/>
  <c r="R723" i="260"/>
  <c r="R614" i="260"/>
  <c r="BK674" i="260"/>
  <c r="AN687" i="260"/>
  <c r="AT539" i="260"/>
  <c r="AD581" i="260"/>
  <c r="J620" i="260"/>
  <c r="G511" i="260"/>
  <c r="AN602" i="260"/>
  <c r="AZ707" i="260"/>
  <c r="V683" i="260"/>
  <c r="J539" i="260"/>
  <c r="AT677" i="260"/>
  <c r="R638" i="260"/>
  <c r="BG658" i="260"/>
  <c r="AN537" i="260"/>
  <c r="AZ676" i="260"/>
  <c r="AN686" i="260"/>
  <c r="J535" i="260"/>
  <c r="AD735" i="260"/>
  <c r="Z585" i="260"/>
  <c r="V731" i="260"/>
  <c r="N587" i="260"/>
  <c r="AQ699" i="260"/>
  <c r="BK747" i="260"/>
  <c r="AD540" i="260"/>
  <c r="AT538" i="260"/>
  <c r="BK726" i="260"/>
  <c r="BK664" i="260"/>
  <c r="V662" i="260"/>
  <c r="R702" i="260"/>
  <c r="AD532" i="260"/>
  <c r="Z715" i="260"/>
  <c r="R742" i="260"/>
  <c r="J691" i="260"/>
  <c r="BK667" i="260"/>
  <c r="N751" i="260"/>
  <c r="AT598" i="260"/>
  <c r="R577" i="260"/>
  <c r="AT618" i="260"/>
  <c r="AN610" i="260"/>
  <c r="AD683" i="260"/>
  <c r="N642" i="260"/>
  <c r="BK600" i="260"/>
  <c r="N664" i="260"/>
  <c r="AQ732" i="260"/>
  <c r="BK735" i="260"/>
  <c r="N545" i="260"/>
  <c r="AH627" i="260"/>
  <c r="AH550" i="260"/>
  <c r="V741" i="260"/>
  <c r="Z550" i="260"/>
  <c r="AT706" i="260"/>
  <c r="AN670" i="260"/>
  <c r="BG593" i="260"/>
  <c r="Z744" i="260"/>
  <c r="BK636" i="260"/>
  <c r="R615" i="260"/>
  <c r="BD605" i="260"/>
  <c r="AZ536" i="260"/>
  <c r="AQ592" i="260"/>
  <c r="AQ572" i="260"/>
  <c r="N605" i="260"/>
  <c r="BD532" i="260"/>
  <c r="J635" i="260"/>
  <c r="AZ753" i="260"/>
  <c r="AZ593" i="260"/>
  <c r="G730" i="260"/>
  <c r="J746" i="260"/>
  <c r="AH599" i="260"/>
  <c r="AZ557" i="260"/>
  <c r="Z723" i="260"/>
  <c r="AH647" i="260"/>
  <c r="J511" i="260"/>
  <c r="BD557" i="260"/>
  <c r="BD718" i="260"/>
  <c r="R672" i="260"/>
  <c r="Z721" i="260"/>
  <c r="BK566" i="260"/>
  <c r="AD713" i="260"/>
  <c r="AT620" i="260"/>
  <c r="G637" i="260"/>
  <c r="BG570" i="260"/>
  <c r="BK573" i="260"/>
  <c r="AN559" i="260"/>
  <c r="J655" i="260"/>
  <c r="AD561" i="260"/>
  <c r="N697" i="260"/>
  <c r="J652" i="260"/>
  <c r="Z651" i="260"/>
  <c r="V674" i="260"/>
  <c r="G711" i="260"/>
  <c r="AT744" i="260"/>
  <c r="AT613" i="260"/>
  <c r="AZ737" i="260"/>
  <c r="J570" i="260"/>
  <c r="BG696" i="260"/>
  <c r="AT716" i="260"/>
  <c r="AN650" i="260"/>
  <c r="N701" i="260"/>
  <c r="BD656" i="260"/>
  <c r="V589" i="260"/>
  <c r="AN688" i="260"/>
  <c r="BK533" i="260"/>
  <c r="BD609" i="260"/>
  <c r="AD576" i="260"/>
  <c r="AT736" i="260"/>
  <c r="V580" i="260"/>
  <c r="AT665" i="260"/>
  <c r="J545" i="260"/>
  <c r="V744" i="260"/>
  <c r="V675" i="260"/>
  <c r="AH657" i="260"/>
  <c r="Z639" i="260"/>
  <c r="AZ655" i="260"/>
  <c r="AZ644" i="260"/>
  <c r="AQ601" i="260"/>
  <c r="BG721" i="260"/>
  <c r="BD651" i="260"/>
  <c r="BK720" i="260"/>
  <c r="V570" i="260"/>
  <c r="AT741" i="260"/>
  <c r="R743" i="260"/>
  <c r="AQ656" i="260"/>
  <c r="Z713" i="260"/>
  <c r="N668" i="260"/>
  <c r="V626" i="260"/>
  <c r="BG559" i="260"/>
  <c r="BG602" i="260"/>
  <c r="BD574" i="260"/>
  <c r="Z552" i="260"/>
  <c r="R659" i="260"/>
  <c r="AT632" i="260"/>
  <c r="AH744" i="260"/>
  <c r="V749" i="260"/>
  <c r="AQ639" i="260"/>
  <c r="N625" i="260"/>
  <c r="AZ716" i="260"/>
  <c r="BD625" i="260"/>
  <c r="AT590" i="260"/>
  <c r="V687" i="260"/>
  <c r="Z507" i="260"/>
  <c r="AD674" i="260"/>
  <c r="R718" i="260"/>
  <c r="N647" i="260"/>
  <c r="V696" i="260"/>
  <c r="AD547" i="260"/>
  <c r="N735" i="260"/>
  <c r="R746" i="260"/>
  <c r="R694" i="260"/>
  <c r="N559" i="260"/>
  <c r="V648" i="260"/>
  <c r="R622" i="260"/>
  <c r="AZ605" i="260"/>
  <c r="R724" i="260"/>
  <c r="AD530" i="260"/>
  <c r="BD596" i="260"/>
  <c r="AH736" i="260"/>
  <c r="R732" i="260"/>
  <c r="BG555" i="260"/>
  <c r="G597" i="260"/>
  <c r="G538" i="260"/>
  <c r="N598" i="260"/>
  <c r="R593" i="260"/>
  <c r="Z741" i="260"/>
  <c r="AT577" i="260"/>
  <c r="AQ563" i="260"/>
  <c r="Z613" i="260"/>
  <c r="AN749" i="260"/>
  <c r="BG553" i="260"/>
  <c r="BD714" i="260"/>
  <c r="AQ672" i="260"/>
  <c r="AH620" i="260"/>
  <c r="N546" i="260"/>
  <c r="AH706" i="260"/>
  <c r="J586" i="260"/>
  <c r="BD737" i="260"/>
  <c r="Z640" i="260"/>
  <c r="BK631" i="260"/>
  <c r="AH560" i="260"/>
  <c r="BD699" i="260"/>
  <c r="AZ750" i="260"/>
  <c r="G619" i="260"/>
  <c r="N635" i="260"/>
  <c r="R547" i="260"/>
  <c r="Z637" i="260"/>
  <c r="AH705" i="260"/>
  <c r="AQ570" i="260"/>
  <c r="AT676" i="260"/>
  <c r="BD717" i="260"/>
  <c r="AT562" i="260"/>
  <c r="BD628" i="260"/>
  <c r="BG605" i="260"/>
  <c r="AH545" i="260"/>
  <c r="G536" i="260"/>
  <c r="G617" i="260"/>
  <c r="BG669" i="260"/>
  <c r="BD668" i="260"/>
  <c r="AZ546" i="260"/>
  <c r="AH677" i="260"/>
  <c r="AQ745" i="260"/>
  <c r="AT611" i="260"/>
  <c r="AZ591" i="260"/>
  <c r="AN712" i="260"/>
  <c r="N565" i="260"/>
  <c r="AT580" i="260"/>
  <c r="BG685" i="260"/>
  <c r="AQ630" i="260"/>
  <c r="AT714" i="260"/>
  <c r="AH683" i="260"/>
  <c r="G563" i="260"/>
  <c r="AH583" i="260"/>
  <c r="BD618" i="260"/>
  <c r="N581" i="260"/>
  <c r="R645" i="260"/>
  <c r="V672" i="260"/>
  <c r="AZ596" i="260"/>
  <c r="AZ708" i="260"/>
  <c r="G750" i="260"/>
  <c r="AT596" i="260"/>
  <c r="BK555" i="260"/>
  <c r="AD682" i="260"/>
  <c r="BK627" i="260"/>
  <c r="AT644" i="260"/>
  <c r="N657" i="260"/>
  <c r="AD586" i="260"/>
  <c r="AQ606" i="260"/>
  <c r="G666" i="260"/>
  <c r="N660" i="260"/>
  <c r="G748" i="260"/>
  <c r="AD622" i="260"/>
  <c r="BK731" i="260"/>
  <c r="Z553" i="260"/>
  <c r="R623" i="260"/>
  <c r="AH628" i="260"/>
  <c r="R584" i="260"/>
  <c r="BK698" i="260"/>
  <c r="AN593" i="260"/>
  <c r="BG590" i="260"/>
  <c r="AQ739" i="260"/>
  <c r="BD607" i="260"/>
  <c r="BK610" i="260"/>
  <c r="AZ532" i="260"/>
  <c r="BK611" i="260"/>
  <c r="G553" i="260"/>
  <c r="R737" i="260"/>
  <c r="V748" i="260"/>
  <c r="AN690" i="260"/>
  <c r="BK577" i="260"/>
  <c r="Z671" i="260"/>
  <c r="J748" i="260"/>
  <c r="BK645" i="260"/>
  <c r="N619" i="260"/>
  <c r="AD563" i="260"/>
  <c r="BK569" i="260"/>
  <c r="AZ567" i="260"/>
  <c r="R640" i="260"/>
  <c r="BD748" i="260"/>
  <c r="Z712" i="260"/>
  <c r="BG676" i="260"/>
  <c r="G588" i="260"/>
  <c r="AZ752" i="260"/>
  <c r="BK748" i="260"/>
  <c r="R666" i="260"/>
  <c r="AZ621" i="260"/>
  <c r="N573" i="260"/>
  <c r="Z535" i="260"/>
  <c r="AH570" i="260"/>
  <c r="AD675" i="260"/>
  <c r="AN699" i="260"/>
  <c r="BK738" i="260"/>
  <c r="AN747" i="260"/>
  <c r="V722" i="260"/>
  <c r="AT537" i="260"/>
  <c r="N731" i="260"/>
  <c r="AN599" i="260"/>
  <c r="BD646" i="260"/>
  <c r="Z694" i="260"/>
  <c r="AN545" i="260"/>
  <c r="AN553" i="260"/>
  <c r="AD551" i="260"/>
  <c r="AT738" i="260"/>
  <c r="G639" i="260"/>
  <c r="R684" i="260"/>
  <c r="G738" i="260"/>
  <c r="AN717" i="260"/>
  <c r="AH544" i="260"/>
  <c r="BK701" i="260"/>
  <c r="Z606" i="260"/>
  <c r="AN621" i="260"/>
  <c r="Z680" i="260"/>
  <c r="AD733" i="260"/>
  <c r="R564" i="260"/>
  <c r="G621" i="260"/>
  <c r="AH601" i="260"/>
  <c r="V584" i="260"/>
  <c r="AH594" i="260"/>
  <c r="AH549" i="260"/>
  <c r="J709" i="260"/>
  <c r="J512" i="260"/>
  <c r="BD568" i="260"/>
  <c r="V716" i="260"/>
  <c r="BG581" i="260"/>
  <c r="J689" i="260"/>
  <c r="AZ573" i="260"/>
  <c r="Z530" i="260"/>
  <c r="BK646" i="260"/>
  <c r="BK568" i="260"/>
  <c r="R647" i="260"/>
  <c r="J718" i="260"/>
  <c r="AZ738" i="260"/>
  <c r="AD700" i="260"/>
  <c r="AQ652" i="260"/>
  <c r="AN672" i="260"/>
  <c r="Z560" i="260"/>
  <c r="AD574" i="260"/>
  <c r="AH538" i="260"/>
  <c r="G606" i="260"/>
  <c r="BD637" i="260"/>
  <c r="V549" i="260"/>
  <c r="J608" i="260"/>
  <c r="R536" i="260"/>
  <c r="J726" i="260"/>
  <c r="R644" i="260"/>
  <c r="J696" i="260"/>
  <c r="AQ556" i="260"/>
  <c r="AH607" i="260"/>
  <c r="R700" i="260"/>
  <c r="G737" i="260"/>
  <c r="N574" i="260"/>
  <c r="AD578" i="260"/>
  <c r="J546" i="260"/>
  <c r="BG585" i="260"/>
  <c r="AN600" i="260"/>
  <c r="BK703" i="260"/>
  <c r="J732" i="260"/>
  <c r="AQ742" i="260"/>
  <c r="AN635" i="260"/>
  <c r="AH537" i="260"/>
  <c r="N655" i="260"/>
  <c r="AH750" i="260"/>
  <c r="AT605" i="260"/>
  <c r="AD650" i="260"/>
  <c r="AD584" i="260"/>
  <c r="AT622" i="260"/>
  <c r="R620" i="260"/>
  <c r="AQ569" i="260"/>
  <c r="R635" i="260"/>
  <c r="BG672" i="260"/>
  <c r="Z624" i="260"/>
  <c r="AQ590" i="260"/>
  <c r="AH630" i="260"/>
  <c r="Z690" i="260"/>
  <c r="R580" i="260"/>
  <c r="AH638" i="260"/>
  <c r="Z733" i="260"/>
  <c r="AN556" i="260"/>
  <c r="AZ698" i="260"/>
  <c r="AN540" i="260"/>
  <c r="AZ627" i="260"/>
  <c r="AD557" i="260"/>
  <c r="N591" i="260"/>
  <c r="AD670" i="260"/>
  <c r="Z577" i="260"/>
  <c r="AQ650" i="260"/>
  <c r="BG680" i="260"/>
  <c r="V650" i="260"/>
  <c r="BK593" i="260"/>
  <c r="AH655" i="260"/>
  <c r="BK601" i="260"/>
  <c r="AD714" i="260"/>
  <c r="V752" i="260"/>
  <c r="J553" i="260"/>
  <c r="BD562" i="260"/>
  <c r="BG698" i="260"/>
  <c r="G645" i="260"/>
  <c r="G740" i="260"/>
  <c r="AD752" i="260"/>
  <c r="AT621" i="260"/>
  <c r="R658" i="260"/>
  <c r="BD521" i="260"/>
  <c r="BG567" i="260"/>
  <c r="V605" i="260"/>
  <c r="R699" i="260"/>
  <c r="AZ662" i="260"/>
  <c r="AT753" i="260"/>
  <c r="BD670" i="260"/>
  <c r="R543" i="260"/>
  <c r="J612" i="260"/>
  <c r="AH564" i="260"/>
  <c r="BG686" i="260"/>
  <c r="AZ552" i="260"/>
  <c r="AH681" i="260"/>
  <c r="AT551" i="260"/>
  <c r="BG687" i="260"/>
  <c r="Z540" i="260"/>
  <c r="BK719" i="260"/>
  <c r="BD720" i="260"/>
  <c r="BG707" i="260"/>
  <c r="V587" i="260"/>
  <c r="J638" i="260"/>
  <c r="BG610" i="260"/>
  <c r="R678" i="260"/>
  <c r="N580" i="260"/>
  <c r="BK617" i="260"/>
  <c r="N644" i="260"/>
  <c r="BG533" i="260"/>
  <c r="G612" i="260"/>
  <c r="BD586" i="260"/>
  <c r="V720" i="260"/>
  <c r="AT587" i="260"/>
  <c r="AQ695" i="260"/>
  <c r="BK722" i="260"/>
  <c r="AQ512" i="260"/>
  <c r="V592" i="260"/>
  <c r="R749" i="260"/>
  <c r="J616" i="260"/>
  <c r="BD555" i="260"/>
  <c r="G605" i="260"/>
  <c r="BG735" i="260"/>
  <c r="BK696" i="260"/>
  <c r="J672" i="260"/>
  <c r="V564" i="260"/>
  <c r="AN689" i="260"/>
  <c r="AT561" i="260"/>
  <c r="AH668" i="260"/>
  <c r="Z623" i="260"/>
  <c r="AD708" i="260"/>
  <c r="V660" i="260"/>
  <c r="V635" i="260"/>
  <c r="Z636" i="260"/>
  <c r="V578" i="260"/>
  <c r="AH708" i="260"/>
  <c r="V664" i="260"/>
  <c r="AD716" i="260"/>
  <c r="AT591" i="260"/>
  <c r="BK659" i="260"/>
  <c r="AT642" i="260"/>
  <c r="AD632" i="260"/>
  <c r="BD507" i="260"/>
  <c r="G642" i="260"/>
  <c r="AD582" i="260"/>
  <c r="J680" i="260"/>
  <c r="BK595" i="260"/>
  <c r="AN598" i="260"/>
  <c r="BG535" i="260"/>
  <c r="V567" i="260"/>
  <c r="BD594" i="260"/>
  <c r="N512" i="260"/>
  <c r="J712" i="260"/>
  <c r="AZ669" i="260"/>
  <c r="BD531" i="260"/>
  <c r="BD687" i="260"/>
  <c r="V709" i="260"/>
  <c r="V507" i="260"/>
  <c r="BD602" i="260"/>
  <c r="N694" i="260"/>
  <c r="V701" i="260"/>
  <c r="AQ641" i="260"/>
  <c r="Z569" i="260"/>
  <c r="AT511" i="260"/>
  <c r="G507" i="260"/>
  <c r="R540" i="260"/>
  <c r="BD616" i="260"/>
  <c r="BD672" i="260"/>
  <c r="AD690" i="260"/>
  <c r="AQ584" i="260"/>
  <c r="BK643" i="260"/>
  <c r="R573" i="260"/>
  <c r="AQ634" i="260"/>
  <c r="N689" i="260"/>
  <c r="Z631" i="260"/>
  <c r="AN589" i="260"/>
  <c r="BK706" i="260"/>
  <c r="AZ741" i="260"/>
  <c r="AN533" i="260"/>
  <c r="R716" i="260"/>
  <c r="J582" i="260"/>
  <c r="AH684" i="260"/>
  <c r="J581" i="260"/>
  <c r="AZ740" i="260"/>
  <c r="BD695" i="260"/>
  <c r="AQ605" i="260"/>
  <c r="V745" i="260"/>
  <c r="N618" i="260"/>
  <c r="BD539" i="260"/>
  <c r="BG651" i="260"/>
  <c r="AD565" i="260"/>
  <c r="N662" i="260"/>
  <c r="AH726" i="260"/>
  <c r="N709" i="260"/>
  <c r="AZ743" i="260"/>
  <c r="AQ559" i="260"/>
  <c r="AN601" i="260"/>
  <c r="AZ512" i="260"/>
  <c r="N536" i="260"/>
  <c r="AN583" i="260"/>
  <c r="N739" i="260"/>
  <c r="G664" i="260"/>
  <c r="R539" i="260"/>
  <c r="AD723" i="260"/>
  <c r="AD593" i="260"/>
  <c r="J708" i="260"/>
  <c r="V737" i="260"/>
  <c r="AD747" i="260"/>
  <c r="AD748" i="260"/>
  <c r="G728" i="260"/>
  <c r="BG521" i="260"/>
  <c r="J632" i="260"/>
  <c r="J537" i="260"/>
  <c r="J701" i="260"/>
  <c r="V637" i="260"/>
  <c r="Z635" i="260"/>
  <c r="AH741" i="260"/>
  <c r="G678" i="260"/>
  <c r="AQ648" i="260"/>
  <c r="Z558" i="260"/>
  <c r="BK608" i="260"/>
  <c r="Z616" i="260"/>
  <c r="BD653" i="260"/>
  <c r="Z725" i="260"/>
  <c r="AT659" i="260"/>
  <c r="BK634" i="260"/>
  <c r="AN624" i="260"/>
  <c r="AZ549" i="260"/>
  <c r="R590" i="260"/>
  <c r="N622" i="260"/>
  <c r="BK644" i="260"/>
  <c r="AH717" i="260"/>
  <c r="J538" i="260"/>
  <c r="G725" i="260"/>
  <c r="AQ708" i="260"/>
  <c r="BG660" i="260"/>
  <c r="G687" i="260"/>
  <c r="Z745" i="260"/>
  <c r="G591" i="260"/>
  <c r="AN568" i="260"/>
  <c r="AN721" i="260"/>
  <c r="AT749" i="260"/>
  <c r="R512" i="260"/>
  <c r="BK581" i="260"/>
  <c r="N556" i="260"/>
  <c r="J542" i="260"/>
  <c r="R752" i="260"/>
  <c r="BD630" i="260"/>
  <c r="BG722" i="260"/>
  <c r="AT732" i="260"/>
  <c r="AD639" i="260"/>
  <c r="AN668" i="260"/>
  <c r="G714" i="260"/>
  <c r="J628" i="260"/>
  <c r="AD695" i="260"/>
  <c r="AZ542" i="260"/>
  <c r="AT750" i="260"/>
  <c r="AH721" i="260"/>
  <c r="N643" i="260"/>
  <c r="N667" i="260"/>
  <c r="J521" i="260"/>
  <c r="R649" i="260"/>
  <c r="V572" i="260"/>
  <c r="BK511" i="260"/>
  <c r="AH506" i="260"/>
  <c r="N561" i="260"/>
  <c r="Z602" i="260"/>
  <c r="AN740" i="260"/>
  <c r="AH642" i="260"/>
  <c r="AH703" i="260"/>
  <c r="BG571" i="260"/>
  <c r="BK648" i="260"/>
  <c r="Z711" i="260"/>
  <c r="V512" i="260"/>
  <c r="AQ746" i="260"/>
  <c r="N568" i="260"/>
  <c r="V746" i="260"/>
  <c r="AT647" i="260"/>
  <c r="Z709" i="260"/>
  <c r="AH689" i="260"/>
  <c r="AN576" i="260"/>
  <c r="AT607" i="260"/>
  <c r="AN645" i="260"/>
  <c r="BD622" i="260"/>
  <c r="AZ550" i="260"/>
  <c r="AH614" i="260"/>
  <c r="AQ658" i="260"/>
  <c r="AD687" i="260"/>
  <c r="AT737" i="260"/>
  <c r="Z632" i="260"/>
  <c r="AZ706" i="260"/>
  <c r="AQ712" i="260"/>
  <c r="J669" i="260"/>
  <c r="N564" i="260"/>
  <c r="BD730" i="260"/>
  <c r="R725" i="260"/>
  <c r="BG668" i="260"/>
  <c r="BD601" i="260"/>
  <c r="AQ543" i="260"/>
  <c r="R667" i="260"/>
  <c r="N727" i="260"/>
  <c r="BD732" i="260"/>
  <c r="N571" i="260"/>
  <c r="AN659" i="260"/>
  <c r="BK545" i="260"/>
  <c r="N658" i="260"/>
  <c r="J619" i="260"/>
  <c r="BD645" i="260"/>
  <c r="BD681" i="260"/>
  <c r="AN682" i="260"/>
  <c r="AZ715" i="260"/>
  <c r="G599" i="260"/>
  <c r="Z742" i="260"/>
  <c r="R586" i="260"/>
  <c r="AD564" i="260"/>
  <c r="AT627" i="260"/>
  <c r="AD745" i="260"/>
  <c r="N716" i="260"/>
  <c r="Z734" i="260"/>
  <c r="Z506" i="260"/>
  <c r="AT666" i="260"/>
  <c r="BD595" i="260"/>
  <c r="G570" i="260"/>
  <c r="R558" i="260"/>
  <c r="BG576" i="260"/>
  <c r="AD661" i="260"/>
  <c r="BD564" i="260"/>
  <c r="BD697" i="260"/>
  <c r="AN630" i="260"/>
  <c r="AD617" i="260"/>
  <c r="V708" i="260"/>
  <c r="AH650" i="260"/>
  <c r="BK628" i="260"/>
  <c r="N677" i="260"/>
  <c r="J714" i="260"/>
  <c r="AN549" i="260"/>
  <c r="Z695" i="260"/>
  <c r="R612" i="260"/>
  <c r="G641" i="260"/>
  <c r="V615" i="260"/>
  <c r="BG558" i="260"/>
  <c r="AH590" i="260"/>
  <c r="AH633" i="260"/>
  <c r="BD589" i="260"/>
  <c r="BD606" i="260"/>
  <c r="Z611" i="260"/>
  <c r="N567" i="260"/>
  <c r="G564" i="260"/>
  <c r="J724" i="260"/>
  <c r="AD686" i="260"/>
  <c r="BG575" i="260"/>
  <c r="N548" i="260"/>
  <c r="Z622" i="260"/>
  <c r="N610" i="260"/>
  <c r="AH534" i="260"/>
  <c r="AN591" i="260"/>
  <c r="N584" i="260"/>
  <c r="N551" i="260"/>
  <c r="AN726" i="260"/>
  <c r="AT550" i="260"/>
  <c r="R734" i="260"/>
  <c r="Z591" i="260"/>
  <c r="AT730" i="260"/>
  <c r="R651" i="260"/>
  <c r="V559" i="260"/>
  <c r="AQ687" i="260"/>
  <c r="AN680" i="260"/>
  <c r="J563" i="260"/>
  <c r="AD592" i="260"/>
  <c r="AT565" i="260"/>
  <c r="BD733" i="260"/>
  <c r="BD713" i="260"/>
  <c r="G512" i="260"/>
  <c r="BD576" i="260"/>
  <c r="AZ595" i="260"/>
  <c r="G609" i="260"/>
  <c r="BK694" i="260"/>
  <c r="G745" i="260"/>
  <c r="N558" i="260"/>
  <c r="BG682" i="260"/>
  <c r="R719" i="260"/>
  <c r="R713" i="260"/>
  <c r="N537" i="260"/>
  <c r="Z583" i="260"/>
  <c r="BD624" i="260"/>
  <c r="BG652" i="260"/>
  <c r="AT684" i="260"/>
  <c r="V678" i="260"/>
  <c r="AQ681" i="260"/>
  <c r="V655" i="260"/>
  <c r="AH658" i="260"/>
  <c r="AZ571" i="260"/>
  <c r="AZ639" i="260"/>
  <c r="V566" i="260"/>
  <c r="AH752" i="260"/>
  <c r="AZ714" i="260"/>
  <c r="V634" i="260"/>
  <c r="J617" i="260"/>
  <c r="R603" i="260"/>
  <c r="BG723" i="260"/>
  <c r="N638" i="260"/>
  <c r="R714" i="260"/>
  <c r="Z728" i="260"/>
  <c r="N718" i="260"/>
  <c r="AD662" i="260"/>
  <c r="AD710" i="260"/>
  <c r="R532" i="260"/>
  <c r="BG750" i="260"/>
  <c r="R537" i="260"/>
  <c r="AT631" i="260"/>
  <c r="AN694" i="260"/>
  <c r="AZ736" i="260"/>
  <c r="AD600" i="260"/>
  <c r="Z641" i="260"/>
  <c r="AZ583" i="260"/>
  <c r="R555" i="260"/>
  <c r="J618" i="260"/>
  <c r="BK752" i="260"/>
  <c r="BG603" i="260"/>
  <c r="AT693" i="260"/>
  <c r="AT600" i="260"/>
  <c r="BD750" i="260"/>
  <c r="V602" i="260"/>
  <c r="AN657" i="260"/>
  <c r="J681" i="260"/>
  <c r="V700" i="260"/>
  <c r="AQ533" i="260"/>
  <c r="AH678" i="260"/>
  <c r="AQ703" i="260"/>
  <c r="Z615" i="260"/>
  <c r="AD692" i="260"/>
  <c r="AN733" i="260"/>
  <c r="AD657" i="260"/>
  <c r="BG512" i="260"/>
  <c r="J675" i="260"/>
  <c r="V620" i="260"/>
  <c r="AN561" i="260"/>
  <c r="N707" i="260"/>
  <c r="N672" i="260"/>
  <c r="BG681" i="260"/>
  <c r="G611" i="260"/>
  <c r="BD724" i="260"/>
  <c r="AH722" i="260"/>
  <c r="AH507" i="260"/>
  <c r="BK685" i="260"/>
  <c r="AH586" i="260"/>
  <c r="AZ578" i="260"/>
  <c r="BG753" i="260"/>
  <c r="G572" i="260"/>
  <c r="BK531" i="260"/>
  <c r="N612" i="260"/>
  <c r="AD644" i="260"/>
  <c r="R565" i="260"/>
  <c r="Z732" i="260"/>
  <c r="AD749" i="260"/>
  <c r="AQ738" i="260"/>
  <c r="N738" i="260"/>
  <c r="BK589" i="260"/>
  <c r="Z563" i="260"/>
  <c r="BG613" i="260"/>
  <c r="Z650" i="260"/>
  <c r="Z608" i="260"/>
  <c r="G675" i="260"/>
  <c r="Z618" i="260"/>
  <c r="AT603" i="260"/>
  <c r="R596" i="260"/>
  <c r="BK745" i="260"/>
  <c r="G600" i="260"/>
  <c r="R733" i="260"/>
  <c r="BK565" i="260"/>
  <c r="V661" i="260"/>
  <c r="AQ735" i="260"/>
  <c r="N743" i="260"/>
  <c r="AD537" i="260"/>
  <c r="R696" i="260"/>
  <c r="AN705" i="260"/>
  <c r="Z625" i="260"/>
  <c r="Z657" i="260"/>
  <c r="J666" i="260"/>
  <c r="R599" i="260"/>
  <c r="BD553" i="260"/>
  <c r="AN562" i="260"/>
  <c r="AZ586" i="260"/>
  <c r="R553" i="260"/>
  <c r="AZ677" i="260"/>
  <c r="V627" i="260"/>
  <c r="AQ557" i="260"/>
  <c r="AH680" i="260"/>
  <c r="G735" i="260"/>
  <c r="AT592" i="260"/>
  <c r="J550" i="260"/>
  <c r="AZ553" i="260"/>
  <c r="AN618" i="260"/>
  <c r="AT715" i="260"/>
  <c r="R611" i="260"/>
  <c r="N615" i="260"/>
  <c r="Z644" i="260"/>
  <c r="AT689" i="260"/>
  <c r="AT686" i="260"/>
  <c r="AZ628" i="260"/>
  <c r="AZ607" i="260"/>
  <c r="G613" i="260"/>
  <c r="AN707" i="260"/>
  <c r="BD708" i="260"/>
  <c r="G634" i="260"/>
  <c r="G638" i="260"/>
  <c r="BG694" i="260"/>
  <c r="G559" i="260"/>
  <c r="AQ714" i="260"/>
  <c r="AN571" i="260"/>
  <c r="N613" i="260"/>
  <c r="G596" i="260"/>
  <c r="AD618" i="260"/>
  <c r="AQ621" i="260"/>
  <c r="N627" i="260"/>
  <c r="AD506" i="260"/>
  <c r="AT601" i="260"/>
  <c r="AH562" i="260"/>
  <c r="AD746" i="260"/>
  <c r="Z588" i="260"/>
  <c r="N648" i="260"/>
  <c r="R664" i="260"/>
  <c r="AQ653" i="260"/>
  <c r="R708" i="260"/>
  <c r="AQ697" i="260"/>
  <c r="AT681" i="260"/>
  <c r="AN616" i="260"/>
  <c r="BD680" i="260"/>
  <c r="AQ547" i="260"/>
  <c r="AT534" i="260"/>
  <c r="N572" i="260"/>
  <c r="AZ687" i="260"/>
  <c r="AH695" i="260"/>
  <c r="AQ550" i="260"/>
  <c r="Z677" i="260"/>
  <c r="J750" i="260"/>
  <c r="BG556" i="260"/>
  <c r="Z574" i="260"/>
  <c r="AQ603" i="260"/>
  <c r="G736" i="260"/>
  <c r="BG588" i="260"/>
  <c r="V684" i="260"/>
  <c r="G742" i="260"/>
  <c r="BK702" i="260"/>
  <c r="G697" i="260"/>
  <c r="G741" i="260"/>
  <c r="AH581" i="260"/>
  <c r="AH659" i="260"/>
  <c r="AN703" i="260"/>
  <c r="Z534" i="260"/>
  <c r="AH512" i="260"/>
  <c r="AT617" i="260"/>
  <c r="R625" i="260"/>
  <c r="AQ655" i="260"/>
  <c r="AD636" i="260"/>
  <c r="N722" i="260"/>
  <c r="AH531" i="260"/>
  <c r="J728" i="260"/>
  <c r="AZ592" i="260"/>
  <c r="N683" i="260"/>
  <c r="AZ731" i="260"/>
  <c r="J587" i="260"/>
  <c r="AD727" i="260"/>
  <c r="AZ610" i="260"/>
  <c r="G652" i="260"/>
  <c r="AD691" i="260"/>
  <c r="BD540" i="260"/>
  <c r="BD549" i="260"/>
  <c r="AN716" i="260"/>
  <c r="Z653" i="260"/>
  <c r="Z614" i="260"/>
  <c r="J564" i="260"/>
  <c r="Z549" i="260"/>
  <c r="AH710" i="260"/>
  <c r="BG716" i="260"/>
  <c r="AZ664" i="260"/>
  <c r="BG614" i="260"/>
  <c r="AH669" i="260"/>
  <c r="G560" i="260"/>
  <c r="AD720" i="260"/>
  <c r="J601" i="260"/>
  <c r="AH557" i="260"/>
  <c r="AT553" i="260"/>
  <c r="AZ587" i="260"/>
  <c r="J637" i="260"/>
  <c r="BG591" i="260"/>
  <c r="Z544" i="260"/>
  <c r="AN746" i="260"/>
  <c r="AD685" i="260"/>
  <c r="BK665" i="260"/>
  <c r="AQ580" i="260"/>
  <c r="R566" i="260"/>
  <c r="AN607" i="260"/>
  <c r="AD709" i="260"/>
  <c r="BD591" i="260"/>
  <c r="BG573" i="260"/>
  <c r="BD603" i="260"/>
  <c r="Z702" i="260"/>
  <c r="V530" i="260"/>
  <c r="AZ657" i="260"/>
  <c r="G683" i="260"/>
  <c r="AN727" i="260"/>
  <c r="V544" i="260"/>
  <c r="G743" i="260"/>
  <c r="AN613" i="260"/>
  <c r="N733" i="260"/>
  <c r="R569" i="260"/>
  <c r="AQ683" i="260"/>
  <c r="AN643" i="260"/>
  <c r="Z551" i="260"/>
  <c r="AT545" i="260"/>
  <c r="AN546" i="260"/>
  <c r="AQ544" i="260"/>
  <c r="V644" i="260"/>
  <c r="R583" i="260"/>
  <c r="AQ624" i="260"/>
  <c r="V666" i="260"/>
  <c r="J745" i="260"/>
  <c r="V562" i="260"/>
  <c r="G706" i="260"/>
  <c r="R692" i="260"/>
  <c r="AD631" i="260"/>
  <c r="AH572" i="260"/>
  <c r="J686" i="260"/>
  <c r="AQ562" i="260"/>
  <c r="AQ539" i="260"/>
  <c r="AN590" i="260"/>
  <c r="G680" i="260"/>
  <c r="Z587" i="260"/>
  <c r="V699" i="260"/>
  <c r="R697" i="260"/>
  <c r="BK583" i="260"/>
  <c r="BK592" i="260"/>
  <c r="Z708" i="260"/>
  <c r="J569" i="260"/>
  <c r="AZ746" i="260"/>
  <c r="J683" i="260"/>
  <c r="BD615" i="260"/>
  <c r="AD587" i="260"/>
  <c r="AH747" i="260"/>
  <c r="AH595" i="260"/>
  <c r="BD577" i="260"/>
  <c r="V542" i="260"/>
  <c r="AZ722" i="260"/>
  <c r="BD550" i="260"/>
  <c r="Z605" i="260"/>
  <c r="AQ709" i="260"/>
  <c r="Z571" i="260"/>
  <c r="BD683" i="260"/>
  <c r="Z748" i="260"/>
  <c r="Z659" i="260"/>
  <c r="AT703" i="260"/>
  <c r="Z730" i="260"/>
  <c r="N570" i="260"/>
  <c r="R613" i="260"/>
  <c r="BD710" i="260"/>
  <c r="AT735" i="260"/>
  <c r="AZ735" i="260"/>
  <c r="AN731" i="260"/>
  <c r="BD727" i="260"/>
  <c r="V711" i="260"/>
  <c r="J624" i="260"/>
  <c r="G691" i="260"/>
  <c r="Z747" i="260"/>
  <c r="G628" i="260"/>
  <c r="R521" i="260"/>
  <c r="Z718" i="260"/>
  <c r="BK697" i="260"/>
  <c r="AQ609" i="260"/>
  <c r="AH542" i="260"/>
  <c r="AQ564" i="260"/>
  <c r="AN544" i="260"/>
  <c r="Z685" i="260"/>
  <c r="AD543" i="260"/>
  <c r="J643" i="260"/>
  <c r="AT747" i="260"/>
  <c r="BG582" i="260"/>
  <c r="R585" i="260"/>
  <c r="BD684" i="260"/>
  <c r="AN738" i="260"/>
  <c r="AN661" i="260"/>
  <c r="V609" i="260"/>
  <c r="AZ530" i="260"/>
  <c r="Z699" i="260"/>
  <c r="BK551" i="260"/>
  <c r="AD511" i="260"/>
  <c r="BK618" i="260"/>
  <c r="N507" i="260"/>
  <c r="J578" i="260"/>
  <c r="AZ566" i="260"/>
  <c r="G623" i="260"/>
  <c r="V735" i="260"/>
  <c r="AN722" i="260"/>
  <c r="BG552" i="260"/>
  <c r="BG655" i="260"/>
  <c r="AH511" i="260"/>
  <c r="J667" i="260"/>
  <c r="G727" i="260"/>
  <c r="AZ631" i="260"/>
  <c r="AN625" i="260"/>
  <c r="Z555" i="260"/>
  <c r="N628" i="260"/>
  <c r="Z565" i="260"/>
  <c r="AN644" i="260"/>
  <c r="BG684" i="260"/>
  <c r="N639" i="260"/>
  <c r="AQ677" i="260"/>
  <c r="BK623" i="260"/>
  <c r="BK635" i="260"/>
  <c r="G650" i="260"/>
  <c r="AT634" i="260"/>
  <c r="J665" i="260"/>
  <c r="AT552" i="260"/>
  <c r="N596" i="260"/>
  <c r="N634" i="260"/>
  <c r="BD598" i="260"/>
  <c r="AD613" i="260"/>
  <c r="AN715" i="260"/>
  <c r="AZ626" i="260"/>
  <c r="Z584" i="260"/>
  <c r="V671" i="260"/>
  <c r="AT615" i="260"/>
  <c r="BD600" i="260"/>
  <c r="AQ696" i="260"/>
  <c r="AZ747" i="260"/>
  <c r="BG565" i="260"/>
  <c r="AQ711" i="260"/>
  <c r="AZ697" i="260"/>
  <c r="AH709" i="260"/>
  <c r="J641" i="260"/>
  <c r="N663" i="260"/>
  <c r="V540" i="260"/>
  <c r="BG550" i="260"/>
  <c r="AD541" i="260"/>
  <c r="BG708" i="260"/>
  <c r="V682" i="260"/>
  <c r="BG620" i="260"/>
  <c r="AN669" i="260"/>
  <c r="J613" i="260"/>
  <c r="BK534" i="260"/>
  <c r="BG634" i="260"/>
  <c r="J743" i="260"/>
  <c r="G752" i="260"/>
  <c r="BK639" i="260"/>
  <c r="R639" i="260"/>
  <c r="AQ638" i="260"/>
  <c r="AQ647" i="260"/>
  <c r="AT720" i="260"/>
  <c r="AT678" i="260"/>
  <c r="G521" i="260"/>
  <c r="Z683" i="260"/>
  <c r="AD641" i="260"/>
  <c r="Z581" i="260"/>
  <c r="AN648" i="260"/>
  <c r="G694" i="260"/>
  <c r="BD639" i="260"/>
  <c r="R626" i="260"/>
  <c r="AQ521" i="260"/>
  <c r="AD627" i="260"/>
  <c r="BG703" i="260"/>
  <c r="AD607" i="260"/>
  <c r="BD635" i="260"/>
  <c r="AQ659" i="260"/>
  <c r="AT661" i="260"/>
  <c r="J660" i="260"/>
  <c r="BD561" i="260"/>
  <c r="AH543" i="260"/>
  <c r="R605" i="260"/>
  <c r="V600" i="260"/>
  <c r="V590" i="260"/>
  <c r="AN566" i="260"/>
  <c r="Z688" i="260"/>
  <c r="J534" i="260"/>
  <c r="AH644" i="260"/>
  <c r="BD533" i="260"/>
  <c r="AZ665" i="260"/>
  <c r="J631" i="260"/>
  <c r="AD596" i="260"/>
  <c r="AZ732" i="260"/>
  <c r="BK598" i="260"/>
  <c r="AQ715" i="260"/>
  <c r="AT543" i="260"/>
  <c r="J715" i="260"/>
  <c r="J591" i="260"/>
  <c r="BK591" i="260"/>
  <c r="BK602" i="260"/>
  <c r="BG730" i="260"/>
  <c r="Z681" i="260"/>
  <c r="V742" i="260"/>
  <c r="V614" i="260"/>
  <c r="J721" i="260"/>
  <c r="R740" i="260"/>
  <c r="AQ626" i="260"/>
  <c r="J747" i="260"/>
  <c r="AQ551" i="260"/>
  <c r="AZ511" i="260"/>
  <c r="BK662" i="260"/>
  <c r="N583" i="260"/>
  <c r="BD711" i="260"/>
  <c r="AN745" i="260"/>
  <c r="AT731" i="260"/>
  <c r="AD724" i="260"/>
  <c r="AZ620" i="260"/>
  <c r="G625" i="260"/>
  <c r="AT641" i="260"/>
  <c r="V705" i="260"/>
  <c r="AH733" i="260"/>
  <c r="AZ658" i="260"/>
  <c r="BG731" i="260"/>
  <c r="AZ594" i="260"/>
  <c r="AH751" i="260"/>
  <c r="N719" i="260"/>
  <c r="AN675" i="260"/>
  <c r="R567" i="260"/>
  <c r="AQ643" i="260"/>
  <c r="AQ589" i="260"/>
  <c r="AN622" i="260"/>
  <c r="J622" i="260"/>
  <c r="BG577" i="260"/>
  <c r="G749" i="260"/>
  <c r="R726" i="260"/>
  <c r="Z668" i="260"/>
  <c r="AT533" i="260"/>
  <c r="J723" i="260"/>
  <c r="Z652" i="260"/>
  <c r="BK594" i="260"/>
  <c r="V738" i="260"/>
  <c r="J584" i="260"/>
  <c r="BG702" i="260"/>
  <c r="J668" i="260"/>
  <c r="AT668" i="260"/>
  <c r="BD642" i="260"/>
  <c r="AH619" i="260"/>
  <c r="Z740" i="260"/>
  <c r="AD507" i="260"/>
  <c r="R730" i="260"/>
  <c r="R552" i="260"/>
  <c r="N533" i="260"/>
  <c r="AD706" i="260"/>
  <c r="N582" i="260"/>
  <c r="BD667" i="260"/>
  <c r="BG675" i="260"/>
  <c r="R570" i="260"/>
  <c r="Z696" i="260"/>
  <c r="G548" i="260"/>
  <c r="V693" i="260"/>
  <c r="AD595" i="260"/>
  <c r="G584" i="260"/>
  <c r="G581" i="260"/>
  <c r="J687" i="260"/>
  <c r="AZ623" i="260"/>
  <c r="BD613" i="260"/>
  <c r="BG511" i="260"/>
  <c r="AT588" i="260"/>
  <c r="BK668" i="260"/>
  <c r="N753" i="260"/>
  <c r="AT530" i="260"/>
  <c r="Z736" i="260"/>
  <c r="AN627" i="260"/>
  <c r="BK590" i="260"/>
  <c r="BK585" i="260"/>
  <c r="AN567" i="260"/>
  <c r="BG738" i="260"/>
  <c r="AN550" i="260"/>
  <c r="BD752" i="260"/>
  <c r="AN742" i="260"/>
  <c r="AZ581" i="260"/>
  <c r="Z521" i="260"/>
  <c r="AH591" i="260"/>
  <c r="R674" i="260"/>
  <c r="AZ692" i="260"/>
  <c r="AZ574" i="260"/>
  <c r="AD656" i="260"/>
  <c r="AN711" i="260"/>
  <c r="AZ724" i="260"/>
  <c r="BK556" i="260"/>
  <c r="AD549" i="260"/>
  <c r="R721" i="260"/>
  <c r="AD608" i="260"/>
  <c r="BG737" i="260"/>
  <c r="AH730" i="260"/>
  <c r="N563" i="260"/>
  <c r="AT555" i="260"/>
  <c r="AZ659" i="260"/>
  <c r="AD744" i="260"/>
  <c r="AN736" i="260"/>
  <c r="AQ713" i="260"/>
  <c r="BD731" i="260"/>
  <c r="BK671" i="260"/>
  <c r="AD753" i="260"/>
  <c r="BK707" i="260"/>
  <c r="AQ700" i="260"/>
  <c r="V624" i="260"/>
  <c r="AQ582" i="260"/>
  <c r="AZ678" i="260"/>
  <c r="BG547" i="260"/>
  <c r="AZ635" i="260"/>
  <c r="BK536" i="260"/>
  <c r="V533" i="260"/>
  <c r="AZ745" i="260"/>
  <c r="AD634" i="260"/>
  <c r="AD538" i="260"/>
  <c r="N688" i="260"/>
  <c r="AQ558" i="260"/>
  <c r="N602" i="260"/>
  <c r="AZ565" i="260"/>
  <c r="BG616" i="260"/>
  <c r="AT512" i="260"/>
  <c r="BK684" i="260"/>
  <c r="Z570" i="260"/>
  <c r="G539" i="260"/>
  <c r="AN752" i="260"/>
  <c r="N744" i="260"/>
  <c r="AQ631" i="260"/>
  <c r="Z727" i="260"/>
  <c r="N670" i="260"/>
  <c r="BG720" i="260"/>
  <c r="R601" i="260"/>
  <c r="AQ717" i="260"/>
  <c r="AT593" i="260"/>
  <c r="J656" i="260"/>
  <c r="G562" i="260"/>
  <c r="AH739" i="260"/>
  <c r="BG644" i="260"/>
  <c r="G580" i="260"/>
  <c r="Z674" i="260"/>
  <c r="BD578" i="260"/>
  <c r="BD599" i="260"/>
  <c r="AZ723" i="260"/>
  <c r="AD597" i="260"/>
  <c r="BG543" i="260"/>
  <c r="J647" i="260"/>
  <c r="BG740" i="260"/>
  <c r="BD611" i="260"/>
  <c r="G676" i="260"/>
  <c r="AD673" i="260"/>
  <c r="AQ632" i="260"/>
  <c r="BD632" i="260"/>
  <c r="AH639" i="260"/>
  <c r="Z634" i="260"/>
  <c r="AT688" i="260"/>
  <c r="V685" i="260"/>
  <c r="AZ728" i="260"/>
  <c r="Z658" i="260"/>
  <c r="J596" i="260"/>
  <c r="BK572" i="260"/>
  <c r="AZ699" i="260"/>
  <c r="AQ674" i="260"/>
  <c r="AQ720" i="260"/>
  <c r="AT683" i="260"/>
  <c r="R712" i="260"/>
  <c r="G644" i="260"/>
  <c r="AZ653" i="260"/>
  <c r="V725" i="260"/>
  <c r="BD542" i="260"/>
  <c r="V753" i="260"/>
  <c r="R652" i="260"/>
  <c r="BK543" i="260"/>
  <c r="AT609" i="260"/>
  <c r="BD547" i="260"/>
  <c r="AH558" i="260"/>
  <c r="AT532" i="260"/>
  <c r="N535" i="260"/>
  <c r="AZ541" i="260"/>
  <c r="V719" i="260"/>
  <c r="AT712" i="260"/>
  <c r="AZ651" i="260"/>
  <c r="BD587" i="260"/>
  <c r="AQ718" i="260"/>
  <c r="V667" i="260"/>
  <c r="AQ740" i="260"/>
  <c r="R595" i="260"/>
  <c r="AQ593" i="260"/>
  <c r="BG705" i="260"/>
  <c r="V653" i="260"/>
  <c r="V575" i="260"/>
  <c r="AN655" i="260"/>
  <c r="V630" i="260"/>
  <c r="AT746" i="260"/>
  <c r="AZ720" i="260"/>
  <c r="R685" i="260"/>
  <c r="J543" i="260"/>
  <c r="BD608" i="260"/>
  <c r="J737" i="260"/>
  <c r="AQ588" i="260"/>
  <c r="AQ620" i="260"/>
  <c r="BD663" i="260"/>
  <c r="V730" i="260"/>
  <c r="BD689" i="260"/>
  <c r="N616" i="260"/>
  <c r="AN588" i="260"/>
  <c r="BK548" i="260"/>
  <c r="AH676" i="260"/>
  <c r="AZ603" i="260"/>
  <c r="AQ651" i="260"/>
  <c r="V681" i="260"/>
  <c r="N750" i="260"/>
  <c r="V539" i="260"/>
  <c r="BG596" i="260"/>
  <c r="Z568" i="260"/>
  <c r="AZ589" i="260"/>
  <c r="AT558" i="260"/>
  <c r="AD703" i="260"/>
  <c r="Z511" i="260"/>
  <c r="BG609" i="260"/>
  <c r="AZ558" i="260"/>
  <c r="J752" i="260"/>
  <c r="J547" i="260"/>
  <c r="Z609" i="260"/>
  <c r="J549" i="260"/>
  <c r="V601" i="260"/>
  <c r="AH618" i="260"/>
  <c r="AH649" i="260"/>
  <c r="J610" i="260"/>
  <c r="N720" i="260"/>
  <c r="V595" i="260"/>
  <c r="AQ686" i="260"/>
  <c r="BK507" i="260"/>
  <c r="AH624" i="260"/>
  <c r="AQ676" i="260"/>
  <c r="BG727" i="260"/>
  <c r="BD570" i="260"/>
  <c r="AT710" i="260"/>
  <c r="J673" i="260"/>
  <c r="AT709" i="260"/>
  <c r="AQ684" i="260"/>
  <c r="AD712" i="260"/>
  <c r="BD506" i="260"/>
  <c r="AN662" i="260"/>
  <c r="AD694" i="260"/>
  <c r="G703" i="260"/>
  <c r="Z630" i="260"/>
  <c r="BK710" i="260"/>
  <c r="BD662" i="260"/>
  <c r="AH585" i="260"/>
  <c r="AQ673" i="260"/>
  <c r="R619" i="260"/>
  <c r="AN638" i="260"/>
  <c r="N710" i="260"/>
  <c r="BD722" i="260"/>
  <c r="BK705" i="260"/>
  <c r="AT578" i="260"/>
  <c r="AT616" i="260"/>
  <c r="N611" i="260"/>
  <c r="G607" i="260"/>
  <c r="N717" i="260"/>
  <c r="G571" i="260"/>
  <c r="BK637" i="260"/>
  <c r="AT572" i="260"/>
  <c r="AD533" i="260"/>
  <c r="V576" i="260"/>
  <c r="Z692" i="260"/>
  <c r="AT722" i="260"/>
  <c r="V670" i="260"/>
  <c r="AD726" i="260"/>
  <c r="BG531" i="260"/>
  <c r="AD606" i="260"/>
  <c r="AQ537" i="260"/>
  <c r="AQ541" i="260"/>
  <c r="BD685" i="260"/>
  <c r="Z586" i="260"/>
  <c r="G733" i="260"/>
  <c r="AN739" i="260"/>
  <c r="V724" i="260"/>
  <c r="AN649" i="260"/>
  <c r="J697" i="260"/>
  <c r="AN506" i="260"/>
  <c r="AN647" i="260"/>
  <c r="BG741" i="260"/>
  <c r="AQ692" i="260"/>
  <c r="Z598" i="260"/>
  <c r="AN666" i="260"/>
  <c r="AD637" i="260"/>
  <c r="N640" i="260"/>
  <c r="AH738" i="260"/>
  <c r="AD577" i="260"/>
  <c r="J703" i="260"/>
  <c r="R621" i="260"/>
  <c r="BG606" i="260"/>
  <c r="AD603" i="260"/>
  <c r="AZ674" i="260"/>
  <c r="AN512" i="260"/>
  <c r="BK733" i="260"/>
  <c r="N649" i="260"/>
  <c r="N511" i="260"/>
  <c r="AH615" i="260"/>
  <c r="AQ571" i="260"/>
  <c r="R693" i="260"/>
  <c r="G545" i="260"/>
  <c r="AT669" i="260"/>
  <c r="V698" i="260"/>
  <c r="N593" i="260"/>
  <c r="BD753" i="260"/>
  <c r="AD591" i="260"/>
  <c r="AZ570" i="260"/>
  <c r="AT682" i="260"/>
  <c r="G577" i="260"/>
  <c r="V535" i="260"/>
  <c r="J530" i="260"/>
  <c r="Z536" i="260"/>
  <c r="AD531" i="260"/>
  <c r="AD737" i="260"/>
  <c r="G555" i="260"/>
  <c r="BG538" i="260"/>
  <c r="V714" i="260"/>
  <c r="J705" i="260"/>
  <c r="AQ611" i="260"/>
  <c r="G636" i="260"/>
  <c r="N713" i="260"/>
  <c r="AQ750" i="260"/>
  <c r="Z619" i="260"/>
  <c r="BG549" i="260"/>
  <c r="N678" i="260"/>
  <c r="V532" i="260"/>
  <c r="AH593" i="260"/>
  <c r="AD742" i="260"/>
  <c r="J716" i="260"/>
  <c r="V691" i="260"/>
  <c r="AH636" i="260"/>
  <c r="V552" i="260"/>
  <c r="N543" i="260"/>
  <c r="BD728" i="260"/>
  <c r="AN592" i="260"/>
  <c r="N714" i="260"/>
  <c r="BG636" i="260"/>
  <c r="BG743" i="260"/>
  <c r="BG607" i="260"/>
  <c r="AZ538" i="260"/>
  <c r="AQ613" i="260"/>
  <c r="AD671" i="260"/>
  <c r="AD717" i="260"/>
  <c r="AZ535" i="260"/>
  <c r="BG715" i="260"/>
  <c r="V560" i="260"/>
  <c r="AD624" i="260"/>
  <c r="G693" i="260"/>
  <c r="AT726" i="260"/>
  <c r="V689" i="260"/>
  <c r="J614" i="260"/>
  <c r="AN671" i="260"/>
  <c r="AT687" i="260"/>
  <c r="BD643" i="260"/>
  <c r="AZ572" i="260"/>
  <c r="AN603" i="260"/>
  <c r="G534" i="260"/>
  <c r="BG587" i="260"/>
  <c r="AN620" i="260"/>
  <c r="AQ538" i="260"/>
  <c r="AQ548" i="260"/>
  <c r="AN587" i="260"/>
  <c r="AQ646" i="260"/>
  <c r="N741" i="260"/>
  <c r="BG689" i="260"/>
  <c r="AQ596" i="260"/>
  <c r="AT549" i="260"/>
  <c r="J702" i="260"/>
  <c r="AH663" i="260"/>
  <c r="Z666" i="260"/>
  <c r="BK661" i="260"/>
  <c r="BG683" i="260"/>
  <c r="G662" i="260"/>
  <c r="AZ749" i="260"/>
  <c r="AH667" i="260"/>
  <c r="AD611" i="260"/>
  <c r="AH547" i="260"/>
  <c r="AQ578" i="260"/>
  <c r="V723" i="260"/>
  <c r="V706" i="260"/>
  <c r="AH692" i="260"/>
  <c r="BK586" i="260"/>
  <c r="AD638" i="260"/>
  <c r="BG546" i="260"/>
  <c r="AH711" i="260"/>
  <c r="R618" i="260"/>
  <c r="J634" i="260"/>
  <c r="V694" i="260"/>
  <c r="BK607" i="260"/>
  <c r="BK680" i="260"/>
  <c r="AN547" i="260"/>
  <c r="V625" i="260"/>
  <c r="N562" i="260"/>
  <c r="AZ633" i="260"/>
  <c r="V736" i="260"/>
  <c r="BG667" i="260"/>
  <c r="AQ727" i="260"/>
  <c r="BK734" i="260"/>
  <c r="Z675" i="260"/>
  <c r="J677" i="260"/>
  <c r="V577" i="260"/>
  <c r="BK663" i="260"/>
  <c r="AZ638" i="260"/>
  <c r="AD570" i="260"/>
  <c r="AN642" i="260"/>
  <c r="AH578" i="260"/>
  <c r="J695" i="260"/>
  <c r="N606" i="260"/>
  <c r="AT637" i="260"/>
  <c r="BG714" i="260"/>
  <c r="BG657" i="260"/>
  <c r="J744" i="260"/>
  <c r="J560" i="260"/>
  <c r="AQ610" i="260"/>
  <c r="AD521" i="260"/>
  <c r="Z664" i="260"/>
  <c r="BD652" i="260"/>
  <c r="R707" i="260"/>
  <c r="AN531" i="260"/>
  <c r="AZ531" i="260"/>
  <c r="BD739" i="260"/>
  <c r="AT740" i="260"/>
  <c r="N585" i="260"/>
  <c r="J741" i="260"/>
  <c r="G585" i="260"/>
  <c r="AZ551" i="260"/>
  <c r="J536" i="260"/>
  <c r="AH701" i="260"/>
  <c r="AD598" i="260"/>
  <c r="AN698" i="260"/>
  <c r="BG699" i="260"/>
  <c r="BG662" i="260"/>
  <c r="BG742" i="260"/>
  <c r="G648" i="260"/>
  <c r="J600" i="260"/>
  <c r="J663" i="260"/>
  <c r="J661" i="260"/>
  <c r="R741" i="260"/>
  <c r="AT640" i="260"/>
  <c r="G647" i="260"/>
  <c r="V585" i="260"/>
  <c r="V568" i="260"/>
  <c r="BK532" i="260"/>
  <c r="N721" i="260"/>
  <c r="BK549" i="260"/>
  <c r="Z669" i="260"/>
  <c r="BG659" i="260"/>
  <c r="G719" i="260"/>
  <c r="AH632" i="260"/>
  <c r="BK530" i="260"/>
  <c r="AT707" i="260"/>
  <c r="G658" i="260"/>
  <c r="AT536" i="260"/>
  <c r="AZ695" i="260"/>
  <c r="AN538" i="260"/>
  <c r="R701" i="260"/>
  <c r="AZ668" i="260"/>
  <c r="V588" i="260"/>
  <c r="AT721" i="260"/>
  <c r="V612" i="260"/>
  <c r="N711" i="260"/>
  <c r="BK563" i="260"/>
  <c r="AH635" i="260"/>
  <c r="Z682" i="260"/>
  <c r="G532" i="260"/>
  <c r="R747" i="260"/>
  <c r="AT507" i="260"/>
  <c r="AZ640" i="260"/>
  <c r="R660" i="260"/>
  <c r="N566" i="260"/>
  <c r="AN633" i="260"/>
  <c r="BK559" i="260"/>
  <c r="AQ721" i="260"/>
  <c r="G567" i="260"/>
  <c r="G707" i="260"/>
  <c r="BK744" i="260"/>
  <c r="BK584" i="260"/>
  <c r="V536" i="260"/>
  <c r="AN681" i="260"/>
  <c r="AZ584" i="260"/>
  <c r="AN677" i="260"/>
  <c r="Z557" i="260"/>
  <c r="Z700" i="260"/>
  <c r="G699" i="260"/>
  <c r="N577" i="260"/>
  <c r="BG625" i="260"/>
  <c r="BG548" i="260"/>
  <c r="AT711" i="260"/>
  <c r="Z578" i="260"/>
  <c r="AT725" i="260"/>
  <c r="V690" i="260"/>
  <c r="AT594" i="260"/>
  <c r="J725" i="260"/>
  <c r="BG710" i="260"/>
  <c r="N578" i="260"/>
  <c r="BD700" i="260"/>
  <c r="AT651" i="260"/>
  <c r="AH640" i="260"/>
  <c r="N650" i="260"/>
  <c r="AN636" i="260"/>
  <c r="AD681" i="260"/>
  <c r="AZ711" i="260"/>
  <c r="AQ741" i="260"/>
  <c r="AZ539" i="260"/>
  <c r="AH666" i="260"/>
  <c r="R646" i="260"/>
  <c r="J574" i="260"/>
  <c r="Z717" i="260"/>
  <c r="AH718" i="260"/>
  <c r="AT652" i="260"/>
  <c r="G541" i="260"/>
  <c r="V658" i="260"/>
  <c r="AT575" i="260"/>
  <c r="R541" i="260"/>
  <c r="AQ628" i="260"/>
  <c r="AD648" i="260"/>
  <c r="AD725" i="260"/>
  <c r="AZ727" i="260"/>
  <c r="V619" i="260"/>
  <c r="AT695" i="260"/>
  <c r="G530" i="260"/>
  <c r="AN741" i="260"/>
  <c r="Z548" i="260"/>
  <c r="BD572" i="260"/>
  <c r="AH697" i="260"/>
  <c r="N656" i="260"/>
  <c r="Z643" i="260"/>
  <c r="N590" i="260"/>
  <c r="V596" i="260"/>
  <c r="BK678" i="260"/>
  <c r="BG749" i="260"/>
  <c r="J626" i="260"/>
  <c r="R591" i="260"/>
  <c r="AT696" i="260"/>
  <c r="N730" i="260"/>
  <c r="BG688" i="260"/>
  <c r="AD589" i="260"/>
  <c r="AN685" i="260"/>
  <c r="AT653" i="260"/>
  <c r="G557" i="260"/>
  <c r="V622" i="260"/>
  <c r="N641" i="260"/>
  <c r="G601" i="260"/>
  <c r="R609" i="260"/>
  <c r="AH746" i="260"/>
  <c r="Z719" i="260"/>
  <c r="AH532" i="260"/>
  <c r="AN700" i="260"/>
  <c r="J646" i="260"/>
  <c r="J700" i="260"/>
  <c r="AZ701" i="260"/>
  <c r="AD647" i="260"/>
  <c r="G663" i="260"/>
  <c r="N745" i="260"/>
  <c r="BD692" i="260"/>
  <c r="N555" i="260"/>
  <c r="Z539" i="260"/>
  <c r="Z670" i="260"/>
  <c r="V617" i="260"/>
  <c r="AT547" i="260"/>
  <c r="AD580" i="260"/>
  <c r="AT626" i="260"/>
  <c r="BD636" i="260"/>
  <c r="Z663" i="260"/>
  <c r="AZ742" i="260"/>
  <c r="N623" i="260"/>
  <c r="AH693" i="260"/>
  <c r="G565" i="260"/>
  <c r="BD590" i="260"/>
  <c r="AN555" i="260"/>
  <c r="G708" i="260"/>
  <c r="BK630" i="260"/>
  <c r="AD702" i="260"/>
  <c r="V581" i="260"/>
  <c r="BK625" i="260"/>
  <c r="BK624" i="260"/>
  <c r="BD747" i="260"/>
  <c r="BG580" i="260"/>
  <c r="R544" i="260"/>
  <c r="N674" i="260"/>
  <c r="AT698" i="260"/>
  <c r="R559" i="260"/>
  <c r="R670" i="260"/>
  <c r="R531" i="260"/>
  <c r="V643" i="260"/>
  <c r="AD571" i="260"/>
  <c r="AQ619" i="260"/>
  <c r="AH539" i="260"/>
  <c r="BK672" i="260"/>
  <c r="N684" i="260"/>
  <c r="G578" i="260"/>
  <c r="BD545" i="260"/>
  <c r="Z582" i="260"/>
  <c r="Z542" i="260"/>
  <c r="AQ615" i="260"/>
  <c r="AQ744" i="260"/>
  <c r="BG507" i="260"/>
  <c r="G739" i="260"/>
  <c r="AN683" i="260"/>
  <c r="AZ598" i="260"/>
  <c r="BG692" i="260"/>
  <c r="AT733" i="260"/>
  <c r="BD659" i="260"/>
  <c r="V597" i="260"/>
  <c r="BK723" i="260"/>
  <c r="BD565" i="260"/>
  <c r="N690" i="260"/>
  <c r="AH621" i="260"/>
  <c r="AD512" i="260"/>
  <c r="G695" i="260"/>
  <c r="Z564" i="260"/>
  <c r="G688" i="260"/>
  <c r="AD562" i="260"/>
  <c r="BD537" i="260"/>
  <c r="R717" i="260"/>
  <c r="Z612" i="260"/>
  <c r="BK721" i="260"/>
  <c r="BD627" i="260"/>
  <c r="AZ694" i="260"/>
  <c r="N530" i="260"/>
  <c r="BD633" i="260"/>
  <c r="AN596" i="260"/>
  <c r="G668" i="260"/>
  <c r="AN552" i="260"/>
  <c r="V641" i="260"/>
  <c r="Z573" i="260"/>
  <c r="AN750" i="260"/>
  <c r="BK638" i="260"/>
  <c r="V606" i="260"/>
  <c r="AT521" i="260"/>
  <c r="AQ602" i="260"/>
  <c r="Z698" i="260"/>
  <c r="AH731" i="260"/>
  <c r="G747" i="260"/>
  <c r="J580" i="260"/>
  <c r="AQ560" i="260"/>
  <c r="R690" i="260"/>
  <c r="AN753" i="260"/>
  <c r="BG653" i="260"/>
  <c r="AH530" i="260"/>
  <c r="AD553" i="260"/>
  <c r="AH648" i="260"/>
  <c r="G561" i="260"/>
  <c r="AD620" i="260"/>
  <c r="AT546" i="260"/>
  <c r="AH535" i="260"/>
  <c r="Z559" i="260"/>
  <c r="AZ613" i="260"/>
  <c r="J693" i="260"/>
  <c r="AZ590" i="260"/>
  <c r="BG578" i="260"/>
  <c r="AT559" i="260"/>
  <c r="AD559" i="260"/>
  <c r="J588" i="260"/>
  <c r="N547" i="260"/>
  <c r="V726" i="260"/>
  <c r="AD628" i="260"/>
  <c r="AN551" i="260"/>
  <c r="BD541" i="260"/>
  <c r="J575" i="260"/>
  <c r="G656" i="260"/>
  <c r="BG641" i="260"/>
  <c r="R656" i="260"/>
  <c r="AD701" i="260"/>
  <c r="J658" i="260"/>
  <c r="AH737" i="260"/>
  <c r="R681" i="260"/>
  <c r="AH521" i="260"/>
  <c r="BD716" i="260"/>
  <c r="N708" i="260"/>
  <c r="J540" i="260"/>
  <c r="V715" i="260"/>
  <c r="BK640" i="260"/>
  <c r="AZ609" i="260"/>
  <c r="AN623" i="260"/>
  <c r="AT608" i="260"/>
  <c r="G649" i="260"/>
  <c r="Z566" i="260"/>
  <c r="AN535" i="260"/>
  <c r="J615" i="260"/>
  <c r="N621" i="260"/>
  <c r="G540" i="260"/>
  <c r="AD731" i="260"/>
  <c r="AQ597" i="260"/>
  <c r="AD619" i="260"/>
  <c r="AN609" i="260"/>
  <c r="AH735" i="260"/>
  <c r="BG615" i="260"/>
  <c r="BK537" i="260"/>
  <c r="AT624" i="260"/>
  <c r="V640" i="260"/>
  <c r="R680" i="260"/>
  <c r="BK576" i="260"/>
  <c r="BG627" i="260"/>
  <c r="BK652" i="260"/>
  <c r="BG544" i="260"/>
  <c r="J678" i="260"/>
  <c r="AT643" i="260"/>
  <c r="AZ563" i="260"/>
  <c r="J735" i="260"/>
  <c r="AD750" i="260"/>
  <c r="N705" i="260"/>
  <c r="BD686" i="260"/>
  <c r="N588" i="260"/>
  <c r="V721" i="260"/>
  <c r="N687" i="260"/>
  <c r="AD739" i="260"/>
  <c r="AN575" i="260"/>
  <c r="BK567" i="260"/>
  <c r="BG624" i="260"/>
  <c r="AH694" i="260"/>
  <c r="AN701" i="260"/>
  <c r="V511" i="260"/>
  <c r="BG545" i="260"/>
  <c r="Z638" i="260"/>
  <c r="N601" i="260"/>
  <c r="AZ718" i="260"/>
  <c r="G593" i="260"/>
  <c r="AT742" i="260"/>
  <c r="BG562" i="260"/>
  <c r="AH587" i="260"/>
  <c r="G718" i="260"/>
  <c r="N600" i="260"/>
  <c r="BD588" i="260"/>
  <c r="V750" i="260"/>
  <c r="R750" i="260"/>
  <c r="N506" i="260"/>
  <c r="AQ752" i="260"/>
  <c r="AH673" i="260"/>
  <c r="BD706" i="260"/>
  <c r="V628" i="260"/>
  <c r="AN574" i="260"/>
  <c r="BD614" i="260"/>
  <c r="AN652" i="260"/>
  <c r="BK651" i="260"/>
  <c r="G598" i="260"/>
  <c r="AQ507" i="260"/>
  <c r="J720" i="260"/>
  <c r="BD669" i="260"/>
  <c r="J742" i="260"/>
  <c r="AH596" i="260"/>
  <c r="BK717" i="260"/>
  <c r="V608" i="260"/>
  <c r="J630" i="260"/>
  <c r="AZ744" i="260"/>
  <c r="AD659" i="260"/>
  <c r="BD707" i="260"/>
  <c r="R662" i="260"/>
  <c r="BD703" i="260"/>
  <c r="G720" i="260"/>
  <c r="J589" i="260"/>
  <c r="J698" i="260"/>
  <c r="R628" i="260"/>
  <c r="BD665" i="260"/>
  <c r="G547" i="260"/>
  <c r="N673" i="260"/>
  <c r="AZ748" i="260"/>
  <c r="Z737" i="260"/>
  <c r="BK742" i="260"/>
  <c r="AQ705" i="260"/>
  <c r="AH589" i="260"/>
  <c r="BK550" i="260"/>
  <c r="BD530" i="260"/>
  <c r="BG600" i="260"/>
  <c r="G670" i="260"/>
  <c r="BK578" i="260"/>
  <c r="AZ710" i="260"/>
  <c r="V548" i="260"/>
  <c r="Z610" i="260"/>
  <c r="BD571" i="260"/>
  <c r="V538" i="260"/>
  <c r="BG628" i="260"/>
  <c r="BD617" i="260"/>
  <c r="BD569" i="260"/>
  <c r="Z710" i="260"/>
  <c r="AZ675" i="260"/>
  <c r="AT564" i="260"/>
  <c r="AH687" i="260"/>
  <c r="AN692" i="260"/>
  <c r="AD666" i="260"/>
  <c r="BG712" i="260"/>
  <c r="AN646" i="260"/>
  <c r="J507" i="260"/>
  <c r="AN743" i="260"/>
  <c r="J568" i="260"/>
  <c r="N597" i="260"/>
  <c r="N685" i="260"/>
  <c r="AH577" i="260"/>
  <c r="BK642" i="260"/>
  <c r="BK641" i="260"/>
  <c r="R571" i="260"/>
  <c r="AZ585" i="260"/>
  <c r="BG622" i="260"/>
  <c r="N624" i="260"/>
  <c r="Z660" i="260"/>
  <c r="AZ696" i="260"/>
  <c r="AD548" i="260"/>
  <c r="AT583" i="260"/>
  <c r="V686" i="260"/>
  <c r="V656" i="260"/>
  <c r="BD736" i="260"/>
  <c r="AH561" i="260"/>
  <c r="G746" i="260"/>
  <c r="BG617" i="260"/>
  <c r="BK539" i="260"/>
  <c r="N723" i="260"/>
  <c r="Z633" i="260"/>
  <c r="BG643" i="260"/>
  <c r="V739" i="260"/>
  <c r="G692" i="260"/>
  <c r="BG623" i="260"/>
  <c r="BD725" i="260"/>
  <c r="AN660" i="260"/>
  <c r="AZ660" i="260"/>
  <c r="BK693" i="260"/>
  <c r="AD556" i="260"/>
  <c r="Z567" i="260"/>
  <c r="BG726" i="260"/>
  <c r="AN732" i="260"/>
  <c r="AH613" i="260"/>
  <c r="AT614" i="260"/>
  <c r="BD673" i="260"/>
  <c r="BK552" i="260"/>
  <c r="AD751" i="260"/>
  <c r="Z749" i="260"/>
  <c r="G689" i="260"/>
  <c r="BD548" i="260"/>
  <c r="J749" i="260"/>
  <c r="BD682" i="260"/>
  <c r="BK657" i="260"/>
  <c r="BD693" i="260"/>
  <c r="BK647" i="260"/>
  <c r="Z726" i="260"/>
  <c r="J599" i="260"/>
  <c r="G716" i="260"/>
  <c r="AZ751" i="260"/>
  <c r="AZ630" i="260"/>
  <c r="R657" i="260"/>
  <c r="AH575" i="260"/>
  <c r="AH563" i="260"/>
  <c r="Z546" i="260"/>
  <c r="J707" i="260"/>
  <c r="BD735" i="260"/>
  <c r="AH592" i="260"/>
  <c r="AT595" i="260"/>
  <c r="AZ680" i="260"/>
  <c r="R538" i="260"/>
  <c r="G608" i="260"/>
  <c r="N681" i="260"/>
  <c r="AT581" i="260"/>
  <c r="AN663" i="260"/>
  <c r="AZ617" i="260"/>
  <c r="AN641" i="260"/>
  <c r="AH540" i="260"/>
  <c r="BG589" i="260"/>
  <c r="BK580" i="260"/>
  <c r="J558" i="260"/>
  <c r="BK691" i="260"/>
  <c r="AH573" i="260"/>
  <c r="AH660" i="260"/>
  <c r="V695" i="260"/>
  <c r="AZ683" i="260"/>
  <c r="V733" i="260"/>
  <c r="N560" i="260"/>
  <c r="AZ555" i="260"/>
  <c r="BG670" i="260"/>
  <c r="Z738" i="260"/>
  <c r="BG574" i="260"/>
  <c r="G506" i="260"/>
  <c r="BD593" i="260"/>
  <c r="V645" i="260"/>
  <c r="R608" i="260"/>
  <c r="AT690" i="260"/>
  <c r="J636" i="260"/>
  <c r="BD749" i="260"/>
  <c r="AZ709" i="260"/>
  <c r="V657" i="260"/>
  <c r="AN684" i="260"/>
  <c r="Z595" i="260"/>
  <c r="AZ647" i="260"/>
  <c r="AT585" i="260"/>
  <c r="AH664" i="260"/>
  <c r="AT560" i="260"/>
  <c r="G685" i="260"/>
  <c r="Z676" i="260"/>
  <c r="AN548" i="260"/>
  <c r="AD651" i="260"/>
  <c r="R606" i="260"/>
  <c r="AQ751" i="260"/>
  <c r="BG612" i="260"/>
  <c r="V558" i="260"/>
  <c r="AZ600" i="260"/>
  <c r="Z533" i="260"/>
  <c r="J650" i="260"/>
  <c r="G731" i="260"/>
  <c r="AT574" i="260"/>
  <c r="AH548" i="260"/>
  <c r="V740" i="260"/>
  <c r="AZ700" i="260"/>
  <c r="Z628" i="260"/>
  <c r="BK542" i="260"/>
  <c r="AD663" i="260"/>
  <c r="AD653" i="260"/>
  <c r="AD693" i="260"/>
  <c r="N607" i="260"/>
  <c r="G640" i="260"/>
  <c r="BD721" i="260"/>
  <c r="R610" i="260"/>
  <c r="AN572" i="260"/>
  <c r="J670" i="260"/>
  <c r="BD655" i="260"/>
  <c r="AT540" i="260"/>
  <c r="BD675" i="260"/>
  <c r="AZ656" i="260"/>
  <c r="R600" i="260"/>
  <c r="J676" i="260"/>
  <c r="BG736" i="260"/>
  <c r="BG611" i="260"/>
  <c r="AH698" i="260"/>
  <c r="G709" i="260"/>
  <c r="BK561" i="260"/>
  <c r="N680" i="260"/>
  <c r="AQ678" i="260"/>
  <c r="G682" i="260"/>
  <c r="AQ671" i="260"/>
  <c r="Z532" i="260"/>
  <c r="AZ688" i="260"/>
  <c r="AQ675" i="260"/>
  <c r="N728" i="260"/>
  <c r="BD709" i="260"/>
  <c r="V647" i="260"/>
  <c r="Z750" i="260"/>
  <c r="V712" i="260"/>
  <c r="V638" i="260"/>
  <c r="BD734" i="260"/>
  <c r="AQ587" i="260"/>
  <c r="BD634" i="260"/>
  <c r="AZ667" i="260"/>
  <c r="AH748" i="260"/>
  <c r="BG718" i="260"/>
  <c r="V713" i="260"/>
  <c r="AZ682" i="260"/>
  <c r="AT717" i="260"/>
  <c r="AH665" i="260"/>
  <c r="N637" i="260"/>
  <c r="AH656" i="260"/>
  <c r="R572" i="260"/>
  <c r="V556" i="260"/>
  <c r="AD698" i="260"/>
  <c r="AQ722" i="260"/>
  <c r="AT635" i="260"/>
  <c r="BK655" i="260"/>
  <c r="J532" i="260"/>
  <c r="BK620" i="260"/>
  <c r="AQ748" i="260"/>
  <c r="AN605" i="260"/>
  <c r="BD534" i="260"/>
  <c r="G631" i="260"/>
  <c r="AZ689" i="260"/>
  <c r="AT648" i="260"/>
  <c r="Z596" i="260"/>
  <c r="AD558" i="260"/>
  <c r="BK582" i="260"/>
  <c r="G712" i="260"/>
  <c r="N549" i="260"/>
  <c r="AD741" i="260"/>
  <c r="AZ564" i="260"/>
  <c r="AH652" i="260"/>
  <c r="V541" i="260"/>
  <c r="Z620" i="260"/>
  <c r="J552" i="260"/>
  <c r="Z655" i="260"/>
  <c r="J653" i="260"/>
  <c r="J625" i="260"/>
  <c r="BG650" i="260"/>
  <c r="BD723" i="260"/>
  <c r="R631" i="260"/>
  <c r="R748" i="260"/>
  <c r="AT723" i="260"/>
  <c r="AH682" i="260"/>
  <c r="BK653" i="260"/>
  <c r="AQ633" i="260"/>
  <c r="G615" i="260"/>
  <c r="N686" i="260"/>
  <c r="R507" i="260"/>
  <c r="AH555" i="260"/>
  <c r="AT728" i="260"/>
  <c r="J585" i="260"/>
  <c r="BK626" i="260"/>
  <c r="V688" i="260"/>
  <c r="AH662" i="260"/>
  <c r="N586" i="260"/>
  <c r="N675" i="260"/>
  <c r="BK708" i="260"/>
  <c r="G543" i="260"/>
  <c r="G587" i="260"/>
  <c r="AN737" i="260"/>
  <c r="AT748" i="260"/>
  <c r="Z531" i="260"/>
  <c r="BG637" i="260"/>
  <c r="BG632" i="260"/>
  <c r="R653" i="260"/>
  <c r="R546" i="260"/>
  <c r="AN665" i="260"/>
  <c r="AD667" i="260"/>
  <c r="N557" i="260"/>
  <c r="BG594" i="260"/>
  <c r="AQ642" i="260"/>
  <c r="AT672" i="260"/>
  <c r="BK740" i="260"/>
  <c r="V571" i="260"/>
  <c r="AQ555" i="260"/>
  <c r="G630" i="260"/>
  <c r="J727" i="260"/>
  <c r="J674" i="260"/>
  <c r="R588" i="260"/>
  <c r="R728" i="260"/>
  <c r="BG751" i="260"/>
  <c r="J607" i="260"/>
  <c r="BK540" i="260"/>
  <c r="BK724" i="260"/>
  <c r="BD546" i="260"/>
  <c r="AQ540" i="260"/>
  <c r="J557" i="260"/>
  <c r="AD711" i="260"/>
  <c r="AZ599" i="260"/>
  <c r="BK750" i="260"/>
  <c r="AN691" i="260"/>
  <c r="BG621" i="260"/>
  <c r="AD602" i="260"/>
  <c r="AT701" i="260"/>
  <c r="AD722" i="260"/>
  <c r="AD601" i="260"/>
  <c r="AD689" i="260"/>
  <c r="N746" i="260"/>
  <c r="V534" i="260"/>
  <c r="AQ728" i="260"/>
  <c r="V692" i="260"/>
  <c r="AH605" i="260"/>
  <c r="J555" i="260"/>
  <c r="AT734" i="260"/>
  <c r="BG598" i="260"/>
  <c r="J595" i="260"/>
  <c r="R592" i="260"/>
  <c r="BG748" i="260"/>
  <c r="V659" i="260"/>
  <c r="AT531" i="260"/>
  <c r="AZ614" i="260"/>
  <c r="BK713" i="260"/>
  <c r="J740" i="260"/>
  <c r="V573" i="260"/>
  <c r="BD648" i="260"/>
  <c r="AD534" i="260"/>
  <c r="R642" i="260"/>
  <c r="V583" i="260"/>
  <c r="BD592" i="260"/>
  <c r="G701" i="260"/>
  <c r="Z722" i="260"/>
  <c r="G627" i="260"/>
  <c r="AN728" i="260"/>
  <c r="AQ536" i="260"/>
  <c r="AD740" i="260"/>
  <c r="AQ636" i="260"/>
  <c r="AD658" i="260"/>
  <c r="AD545" i="260"/>
  <c r="V676" i="260"/>
  <c r="R575" i="260"/>
  <c r="J659" i="260"/>
  <c r="J753" i="260"/>
  <c r="AT557" i="260"/>
  <c r="AN678" i="260"/>
  <c r="BD536" i="260"/>
  <c r="G732" i="260"/>
  <c r="AD642" i="260"/>
  <c r="BK571" i="260"/>
  <c r="AT623" i="260"/>
  <c r="BD743" i="260"/>
  <c r="G681" i="260"/>
  <c r="J719" i="260"/>
  <c r="N734" i="260"/>
  <c r="AH576" i="260"/>
  <c r="V545" i="260"/>
  <c r="AH727" i="260"/>
  <c r="BK612" i="260"/>
  <c r="R669" i="260"/>
  <c r="AD568" i="260"/>
  <c r="BD560" i="260"/>
  <c r="BD621" i="260"/>
  <c r="BG752" i="260"/>
  <c r="R632" i="260"/>
  <c r="N609" i="260"/>
  <c r="AH623" i="260"/>
  <c r="AD699" i="260"/>
  <c r="R655" i="260"/>
  <c r="AQ689" i="260"/>
  <c r="G552" i="260"/>
  <c r="BK688" i="260"/>
  <c r="R673" i="260"/>
  <c r="G665" i="260"/>
  <c r="AD535" i="260"/>
  <c r="AQ734" i="260"/>
  <c r="G717" i="260"/>
  <c r="BD745" i="260"/>
  <c r="J736" i="260"/>
  <c r="BG739" i="260"/>
  <c r="AN511" i="260"/>
  <c r="BD543" i="260"/>
  <c r="AN573" i="260"/>
  <c r="R709" i="260"/>
  <c r="J640" i="260"/>
  <c r="N614" i="260"/>
  <c r="BD678" i="260"/>
  <c r="AN725" i="260"/>
  <c r="Z751" i="260"/>
  <c r="R634" i="260"/>
  <c r="V743" i="260"/>
  <c r="AH617" i="260"/>
  <c r="AN730" i="260"/>
  <c r="AN658" i="260"/>
  <c r="BD558" i="260"/>
  <c r="AZ543" i="260"/>
  <c r="G651" i="260"/>
  <c r="AZ545" i="260"/>
  <c r="R560" i="260"/>
  <c r="AQ664" i="260"/>
  <c r="R751" i="260"/>
  <c r="V506" i="260"/>
  <c r="AZ625" i="260"/>
  <c r="R650" i="260"/>
  <c r="AN626" i="260"/>
  <c r="J621" i="260"/>
  <c r="J645" i="260"/>
  <c r="G667" i="260"/>
  <c r="BG572" i="260"/>
  <c r="R744" i="260"/>
  <c r="R624" i="260"/>
  <c r="BD580" i="260"/>
  <c r="G616" i="260"/>
  <c r="BK732" i="260"/>
  <c r="AQ724" i="260"/>
  <c r="AD715" i="260"/>
  <c r="AH713" i="260"/>
  <c r="G753" i="260"/>
  <c r="Z724" i="260"/>
  <c r="AZ537" i="260"/>
  <c r="BD511" i="260"/>
  <c r="AH568" i="260"/>
  <c r="AH734" i="260"/>
  <c r="N532" i="260"/>
  <c r="G660" i="260"/>
  <c r="BK547" i="260"/>
  <c r="J548" i="260"/>
  <c r="BG706" i="260"/>
  <c r="AD643" i="260"/>
  <c r="BD666" i="260"/>
  <c r="R715" i="260"/>
  <c r="G550" i="260"/>
  <c r="AN628" i="260"/>
  <c r="AT708" i="260"/>
  <c r="AZ548" i="260"/>
  <c r="AH716" i="260"/>
  <c r="N534" i="260"/>
  <c r="G671" i="260"/>
  <c r="AZ556" i="260"/>
  <c r="N630" i="260"/>
  <c r="AN673" i="260"/>
  <c r="AH611" i="260"/>
  <c r="AH688" i="260"/>
  <c r="BK669" i="260"/>
  <c r="N521" i="260"/>
  <c r="N699" i="260"/>
  <c r="G635" i="260"/>
  <c r="AT506" i="260"/>
  <c r="G669" i="260"/>
  <c r="AQ617" i="260"/>
  <c r="R637" i="260"/>
  <c r="V680" i="260"/>
  <c r="AD588" i="260"/>
  <c r="BG539" i="260"/>
  <c r="J690" i="260"/>
  <c r="BK656" i="260"/>
  <c r="N633" i="260"/>
  <c r="AH588" i="260"/>
  <c r="N620" i="260"/>
  <c r="AQ669" i="260"/>
  <c r="BD741" i="260"/>
  <c r="AD645" i="260"/>
  <c r="BK649" i="260"/>
  <c r="AH674" i="260"/>
  <c r="R587" i="260"/>
  <c r="BD647" i="260"/>
  <c r="V607" i="260"/>
  <c r="AN719" i="260"/>
  <c r="AH569" i="260"/>
  <c r="AD668" i="260"/>
  <c r="AH723" i="260"/>
  <c r="R561" i="260"/>
  <c r="V616" i="260"/>
  <c r="Z580" i="260"/>
  <c r="BD631" i="260"/>
  <c r="AT636" i="260"/>
  <c r="AD609" i="260"/>
  <c r="AH691" i="260"/>
  <c r="G674" i="260"/>
  <c r="AT584" i="260"/>
  <c r="R675" i="260"/>
  <c r="BG665" i="260"/>
  <c r="V521" i="260"/>
  <c r="AN586" i="260"/>
  <c r="AZ661" i="260"/>
  <c r="AT667" i="260"/>
  <c r="AQ667" i="260"/>
  <c r="BG569" i="260"/>
  <c r="AN541" i="260"/>
  <c r="R636" i="260"/>
  <c r="BG724" i="260"/>
  <c r="AQ707" i="260"/>
  <c r="Z693" i="260"/>
  <c r="AQ644" i="260"/>
  <c r="N706" i="260"/>
  <c r="BD664" i="260"/>
  <c r="AQ586" i="260"/>
  <c r="J657" i="260"/>
  <c r="AD697" i="260"/>
  <c r="BG691" i="260"/>
  <c r="G586" i="260"/>
  <c r="V623" i="260"/>
  <c r="R668" i="260"/>
  <c r="BD688" i="260"/>
  <c r="J602" i="260"/>
  <c r="BD623" i="260"/>
  <c r="N737" i="260"/>
  <c r="J684" i="260"/>
  <c r="AN724" i="260"/>
  <c r="AQ583" i="260"/>
  <c r="J611" i="260"/>
  <c r="R533" i="260"/>
  <c r="AT548" i="260"/>
  <c r="V728" i="260"/>
  <c r="AZ606" i="260"/>
  <c r="AT573" i="260"/>
  <c r="AT658" i="260"/>
  <c r="BK687" i="260"/>
  <c r="AD542" i="260"/>
  <c r="AQ635" i="260"/>
  <c r="Z541" i="260"/>
  <c r="N603" i="260"/>
  <c r="AZ636" i="260"/>
  <c r="J576" i="260"/>
  <c r="AD672" i="260"/>
  <c r="AZ507" i="260"/>
  <c r="AT544" i="260"/>
  <c r="V621" i="260"/>
  <c r="BG642" i="260"/>
  <c r="N749" i="260"/>
  <c r="AH584" i="260"/>
  <c r="AQ749" i="260"/>
  <c r="BG648" i="260"/>
  <c r="R648" i="260"/>
  <c r="V603" i="260"/>
  <c r="AZ671" i="260"/>
  <c r="AD616" i="260"/>
  <c r="AN751" i="260"/>
  <c r="AZ569" i="260"/>
  <c r="BD567" i="260"/>
  <c r="G653" i="260"/>
  <c r="AH559" i="260"/>
  <c r="AH616" i="260"/>
  <c r="G721" i="260"/>
  <c r="R568" i="260"/>
  <c r="BD556" i="260"/>
  <c r="BK614" i="260"/>
  <c r="AH685" i="260"/>
  <c r="AD546" i="260"/>
  <c r="BK749" i="260"/>
  <c r="BD712" i="260"/>
  <c r="AT685" i="260"/>
  <c r="AQ685" i="260"/>
  <c r="AT656" i="260"/>
  <c r="BG537" i="260"/>
  <c r="AH625" i="260"/>
  <c r="AT718" i="260"/>
  <c r="V553" i="260"/>
  <c r="R736" i="260"/>
  <c r="R727" i="260"/>
  <c r="AT589" i="260"/>
  <c r="J642" i="260"/>
  <c r="BK521" i="260"/>
  <c r="AQ701" i="260"/>
  <c r="AQ730" i="260"/>
  <c r="AH728" i="260"/>
  <c r="N631" i="260"/>
  <c r="Z590" i="260"/>
  <c r="AQ682" i="260"/>
  <c r="AQ568" i="260"/>
  <c r="AT599" i="260"/>
  <c r="BK709" i="260"/>
  <c r="G624" i="260"/>
  <c r="BD649" i="260"/>
  <c r="R706" i="260"/>
  <c r="J577" i="260"/>
  <c r="AT745" i="260"/>
  <c r="BG630" i="260"/>
  <c r="N725" i="260"/>
  <c r="AZ634" i="260"/>
  <c r="AH700" i="260"/>
  <c r="AZ618" i="260"/>
  <c r="BG619" i="260"/>
  <c r="Z593" i="260"/>
  <c r="J506" i="260"/>
  <c r="AQ719" i="260"/>
  <c r="AT660" i="260"/>
  <c r="J593" i="260"/>
  <c r="AZ673" i="260"/>
  <c r="Z735" i="260"/>
  <c r="G661" i="260"/>
  <c r="AN720" i="260"/>
  <c r="BG719" i="260"/>
  <c r="BD698" i="260"/>
  <c r="BK546" i="260"/>
  <c r="R602" i="260"/>
  <c r="AH546" i="260"/>
  <c r="Z714" i="260"/>
  <c r="R511" i="260"/>
  <c r="Z743" i="260"/>
  <c r="R671" i="260"/>
  <c r="AH606" i="260"/>
  <c r="AT567" i="260"/>
  <c r="AQ702" i="260"/>
  <c r="BG586" i="260"/>
  <c r="AH580" i="260"/>
  <c r="AN532" i="260"/>
  <c r="AT597" i="260"/>
  <c r="BD740" i="260"/>
  <c r="BK700" i="260"/>
  <c r="J533" i="260"/>
  <c r="AH566" i="260"/>
  <c r="BG717" i="260"/>
  <c r="J531" i="260"/>
  <c r="N666" i="260"/>
  <c r="G659" i="260"/>
  <c r="J559" i="260"/>
  <c r="AN608" i="260"/>
  <c r="BD719" i="260"/>
  <c r="AN564" i="260"/>
  <c r="N692" i="260"/>
  <c r="Z720" i="260"/>
  <c r="BK675" i="260"/>
  <c r="BG671" i="260"/>
  <c r="AZ622" i="260"/>
  <c r="G626" i="260"/>
  <c r="AQ574" i="260"/>
  <c r="AT697" i="260"/>
  <c r="AD623" i="260"/>
  <c r="AZ559" i="260"/>
  <c r="G595" i="260"/>
  <c r="AZ685" i="260"/>
  <c r="AQ594" i="260"/>
  <c r="BD559" i="260"/>
  <c r="N541" i="260"/>
  <c r="BK689" i="260"/>
  <c r="AQ680" i="260"/>
  <c r="J649" i="260"/>
  <c r="G551" i="260"/>
  <c r="Z731" i="260"/>
  <c r="BD575" i="260"/>
  <c r="AN543" i="260"/>
  <c r="G537" i="260"/>
  <c r="AD736" i="260"/>
  <c r="AD590" i="260"/>
  <c r="Z752" i="260"/>
  <c r="N703" i="260"/>
  <c r="AD696" i="260"/>
  <c r="BG618" i="260"/>
  <c r="AH626" i="260"/>
  <c r="AQ618" i="260"/>
  <c r="BK718" i="260"/>
  <c r="AQ645" i="260"/>
  <c r="G603" i="260"/>
  <c r="AN695" i="260"/>
  <c r="Z706" i="260"/>
  <c r="Z626" i="260"/>
  <c r="N748" i="260"/>
  <c r="V598" i="260"/>
  <c r="AD560" i="260"/>
  <c r="AD680" i="260"/>
  <c r="Z689" i="260"/>
  <c r="AN696" i="260"/>
  <c r="Z537" i="260"/>
  <c r="BD650" i="260"/>
  <c r="V732" i="260"/>
  <c r="Z627" i="260"/>
  <c r="AZ611" i="260"/>
  <c r="V633" i="260"/>
  <c r="BG564" i="260"/>
  <c r="AH651" i="260"/>
  <c r="AD655" i="260"/>
  <c r="G610" i="260"/>
  <c r="V531" i="260"/>
  <c r="BK715" i="260"/>
  <c r="AH603" i="260"/>
  <c r="Z594" i="260"/>
  <c r="BK558" i="260"/>
  <c r="R630" i="260"/>
  <c r="BK736" i="260"/>
  <c r="V727" i="260"/>
  <c r="V639" i="260"/>
  <c r="Z703" i="260"/>
  <c r="AQ575" i="260"/>
  <c r="AH699" i="260"/>
  <c r="BD626" i="260"/>
  <c r="BD660" i="260"/>
  <c r="Z561" i="260"/>
  <c r="AZ690" i="260"/>
  <c r="AD610" i="260"/>
  <c r="AN577" i="260"/>
  <c r="AH740" i="260"/>
  <c r="AN597" i="260"/>
  <c r="AD730" i="260"/>
  <c r="AZ601" i="260"/>
  <c r="AN530" i="260"/>
  <c r="Z649" i="260"/>
  <c r="AH702" i="260"/>
  <c r="BG647" i="260"/>
  <c r="BG536" i="260"/>
  <c r="AH725" i="260"/>
  <c r="J711" i="260"/>
  <c r="AQ737" i="260"/>
  <c r="BG542" i="260"/>
  <c r="J594" i="260"/>
  <c r="N575" i="260"/>
  <c r="BD538" i="260"/>
  <c r="AN702" i="260"/>
  <c r="AH643" i="260"/>
  <c r="G723" i="260"/>
  <c r="J623" i="260"/>
  <c r="BD581" i="260"/>
  <c r="AT657" i="260"/>
  <c r="G546" i="260"/>
  <c r="AZ705" i="260"/>
  <c r="AD555" i="260"/>
  <c r="AT563" i="260"/>
  <c r="AH732" i="260"/>
  <c r="V734" i="260"/>
  <c r="N594" i="260"/>
  <c r="AN735" i="260"/>
  <c r="BG599" i="260"/>
  <c r="AD664" i="260"/>
  <c r="BD715" i="260"/>
  <c r="AD719" i="260"/>
  <c r="V631" i="260"/>
  <c r="R574" i="260"/>
  <c r="V594" i="260"/>
  <c r="G684" i="260"/>
  <c r="BD657" i="260"/>
  <c r="AQ690" i="260"/>
  <c r="Z575" i="260"/>
  <c r="AQ591" i="260"/>
  <c r="AT570" i="260"/>
  <c r="R738" i="260"/>
  <c r="R665" i="260"/>
  <c r="Z576" i="260"/>
  <c r="G657" i="260"/>
  <c r="J682" i="260"/>
  <c r="R686" i="260"/>
  <c r="J606" i="260"/>
  <c r="G573" i="260"/>
  <c r="G713" i="260"/>
  <c r="AD705" i="260"/>
  <c r="BD702" i="260"/>
  <c r="AQ573" i="260"/>
  <c r="N700" i="260"/>
  <c r="G673" i="260"/>
  <c r="V613" i="260"/>
  <c r="V677" i="260"/>
  <c r="AZ506" i="260"/>
  <c r="N693" i="260"/>
  <c r="N691" i="260"/>
  <c r="BG583" i="260"/>
  <c r="AQ576" i="260"/>
  <c r="R705" i="260"/>
  <c r="AQ743" i="260"/>
  <c r="BG677" i="260"/>
  <c r="AD569" i="260"/>
  <c r="AN570" i="260"/>
  <c r="AN612" i="260"/>
  <c r="R557" i="260"/>
  <c r="BK575" i="260"/>
  <c r="G533" i="260"/>
  <c r="BK658" i="260"/>
  <c r="AQ698" i="260"/>
  <c r="AT619" i="260"/>
  <c r="V591" i="260"/>
  <c r="AQ549" i="260"/>
  <c r="AN606" i="260"/>
  <c r="Z646" i="260"/>
  <c r="AQ616" i="260"/>
  <c r="AZ616" i="260"/>
  <c r="BD691" i="260"/>
  <c r="AQ566" i="260"/>
  <c r="AN653" i="260"/>
  <c r="AT576" i="260"/>
  <c r="AD678" i="260"/>
  <c r="AQ511" i="260"/>
  <c r="AT556" i="260"/>
  <c r="AZ726" i="260"/>
  <c r="AT586" i="260"/>
  <c r="N712" i="260"/>
  <c r="N632" i="260"/>
  <c r="G620" i="260"/>
  <c r="AQ688" i="260"/>
  <c r="V610" i="260"/>
  <c r="BK676" i="260"/>
  <c r="J592" i="260"/>
  <c r="BG635" i="260"/>
  <c r="AH661" i="260"/>
  <c r="N636" i="260"/>
  <c r="R731" i="260"/>
  <c r="AZ544" i="260"/>
  <c r="AQ662" i="260"/>
  <c r="AT630" i="260"/>
  <c r="AD567" i="260"/>
  <c r="N682" i="260"/>
  <c r="AT739" i="260"/>
  <c r="BD535" i="260"/>
  <c r="AD615" i="260"/>
  <c r="AN632" i="260"/>
  <c r="Z597" i="260"/>
  <c r="AN674" i="260"/>
  <c r="V550" i="260"/>
  <c r="BK605" i="260"/>
  <c r="BG700" i="260"/>
  <c r="BD512" i="260"/>
  <c r="BG728" i="260"/>
  <c r="AH653" i="260"/>
  <c r="AD718" i="260"/>
  <c r="AN595" i="260"/>
  <c r="AZ624" i="260"/>
  <c r="R551" i="260"/>
  <c r="BD694" i="260"/>
  <c r="AH672" i="260"/>
  <c r="AH696" i="260"/>
  <c r="BG711" i="260"/>
  <c r="AZ612" i="260"/>
  <c r="BD640" i="260"/>
  <c r="R682" i="260"/>
  <c r="V557" i="260"/>
  <c r="BK557" i="260"/>
  <c r="BD738" i="260"/>
  <c r="J556" i="260"/>
  <c r="AZ734" i="260"/>
  <c r="J609" i="260"/>
  <c r="AZ717" i="260"/>
  <c r="AH670" i="260"/>
  <c r="R582" i="260"/>
  <c r="Z739" i="260"/>
  <c r="AT625" i="260"/>
  <c r="J651" i="260"/>
  <c r="AQ747" i="260"/>
  <c r="AT646" i="260"/>
  <c r="BK683" i="260"/>
  <c r="AH712" i="260"/>
  <c r="AN664" i="260"/>
  <c r="BG566" i="260"/>
  <c r="G569" i="260"/>
  <c r="BG563" i="260"/>
  <c r="Z647" i="260"/>
  <c r="AD599" i="260"/>
  <c r="BD584" i="260"/>
  <c r="N671" i="260"/>
  <c r="BD696" i="260"/>
  <c r="G702" i="260"/>
  <c r="BD551" i="260"/>
  <c r="J603" i="260"/>
  <c r="BD674" i="260"/>
  <c r="BG674" i="260"/>
  <c r="BK606" i="260"/>
  <c r="Z697" i="260"/>
  <c r="Z678" i="260"/>
  <c r="AD630" i="260"/>
  <c r="AQ542" i="260"/>
  <c r="BK650" i="260"/>
  <c r="G544" i="260"/>
  <c r="V665" i="260"/>
  <c r="AH610" i="260"/>
  <c r="J731" i="260"/>
  <c r="J562" i="260"/>
  <c r="AZ646" i="260"/>
  <c r="AD707" i="260"/>
  <c r="BD573" i="260"/>
  <c r="AH743" i="260"/>
  <c r="R661" i="260"/>
  <c r="AZ575" i="260"/>
  <c r="AH552" i="260"/>
  <c r="AT719" i="260"/>
  <c r="N695" i="260"/>
  <c r="G655" i="260"/>
  <c r="AN521" i="260"/>
  <c r="AQ691" i="260"/>
  <c r="AT664" i="260"/>
  <c r="AZ663" i="260"/>
  <c r="J671" i="260"/>
  <c r="G566" i="260"/>
  <c r="BD582" i="260"/>
  <c r="AN651" i="260"/>
  <c r="AZ712" i="260"/>
  <c r="J664" i="260"/>
  <c r="BD583" i="260"/>
  <c r="AZ721" i="260"/>
  <c r="AQ665" i="260"/>
  <c r="AT670" i="260"/>
  <c r="Z642" i="260"/>
  <c r="BK615" i="260"/>
  <c r="BD620" i="260"/>
  <c r="J633" i="260"/>
  <c r="AT699" i="260"/>
  <c r="AZ533" i="260"/>
  <c r="Z673" i="260"/>
  <c r="AH533" i="260"/>
  <c r="R616" i="260"/>
  <c r="AQ530" i="260"/>
  <c r="AN640" i="260"/>
  <c r="BG666" i="260"/>
  <c r="V649" i="260"/>
  <c r="BG663" i="260"/>
  <c r="AN693" i="260"/>
  <c r="AD688" i="260"/>
  <c r="AT612" i="260"/>
  <c r="AN676" i="260"/>
  <c r="AQ622" i="260"/>
  <c r="BK737" i="260"/>
  <c r="Z684" i="260"/>
  <c r="AQ608" i="260"/>
  <c r="J571" i="260"/>
  <c r="BG551" i="260"/>
  <c r="AZ561" i="260"/>
  <c r="R545" i="260"/>
  <c r="BD619" i="260"/>
  <c r="AZ641" i="260"/>
  <c r="BD726" i="260"/>
  <c r="Z545" i="260"/>
  <c r="AD539" i="260"/>
  <c r="AH631" i="260"/>
  <c r="G700" i="260"/>
  <c r="AH565" i="260"/>
  <c r="AZ597" i="260"/>
  <c r="G744" i="260"/>
  <c r="AQ535" i="260"/>
  <c r="AQ552" i="260"/>
  <c r="BD671" i="260"/>
  <c r="AZ648" i="260"/>
  <c r="AN656" i="260"/>
  <c r="BD566" i="260"/>
  <c r="BD585" i="260"/>
  <c r="G602" i="260"/>
  <c r="AZ608" i="260"/>
  <c r="R687" i="260"/>
  <c r="BG597" i="260"/>
  <c r="AZ672" i="260"/>
  <c r="N539" i="260"/>
  <c r="AH553" i="260"/>
  <c r="G686" i="260"/>
  <c r="BK597" i="260"/>
  <c r="BK535" i="260"/>
  <c r="AN557" i="260"/>
  <c r="V618" i="260"/>
  <c r="R710" i="260"/>
  <c r="N544" i="260"/>
  <c r="N661" i="260"/>
  <c r="AZ702" i="260"/>
  <c r="BK730" i="260"/>
  <c r="N538" i="260"/>
  <c r="BK699" i="260"/>
  <c r="Z603" i="260"/>
  <c r="AQ612" i="260"/>
  <c r="AQ506" i="260"/>
  <c r="BD597" i="260"/>
  <c r="Z607" i="260"/>
  <c r="R722" i="260"/>
  <c r="Z686" i="260"/>
  <c r="J692" i="260"/>
  <c r="AQ534" i="260"/>
  <c r="AT638" i="260"/>
  <c r="V569" i="260"/>
  <c r="N724" i="260"/>
  <c r="BK712" i="260"/>
  <c r="AD612" i="260"/>
  <c r="AQ600" i="260"/>
  <c r="AT566" i="260"/>
  <c r="AD544" i="260"/>
  <c r="AN507" i="260"/>
  <c r="N742" i="260"/>
  <c r="AQ731" i="260"/>
  <c r="AZ670" i="260"/>
  <c r="R641" i="260"/>
  <c r="AN710" i="260"/>
  <c r="G677" i="260"/>
  <c r="AH690" i="260"/>
  <c r="Z556" i="260"/>
  <c r="AZ534" i="260"/>
  <c r="J713" i="260"/>
  <c r="AN734" i="260"/>
  <c r="AQ565" i="260"/>
  <c r="V651" i="260"/>
  <c r="J648" i="260"/>
  <c r="V669" i="260"/>
  <c r="Z512" i="260"/>
  <c r="AH608" i="260"/>
  <c r="J644" i="260"/>
  <c r="BG649" i="260"/>
  <c r="AZ547" i="260"/>
  <c r="BG645" i="260"/>
  <c r="R691" i="260"/>
  <c r="R563" i="260"/>
  <c r="AQ623" i="260"/>
  <c r="G558" i="260"/>
  <c r="BK741" i="260"/>
  <c r="AQ660" i="260"/>
  <c r="AD734" i="260"/>
  <c r="AT692" i="260"/>
  <c r="BK609" i="260"/>
  <c r="N736" i="260"/>
  <c r="V582" i="260"/>
  <c r="AQ723" i="260"/>
  <c r="R556" i="260"/>
  <c r="BK619" i="260"/>
  <c r="AH541" i="260"/>
  <c r="AH645" i="260"/>
  <c r="AH715" i="260"/>
  <c r="AZ686" i="260"/>
  <c r="BG541" i="260"/>
  <c r="AQ585" i="260"/>
  <c r="BG534" i="260"/>
  <c r="BD705" i="260"/>
  <c r="N653" i="260"/>
  <c r="R683" i="260"/>
  <c r="BG745" i="260"/>
  <c r="Z656" i="260"/>
  <c r="V586" i="260"/>
  <c r="Z672" i="260"/>
  <c r="AH551" i="260"/>
  <c r="N747" i="260"/>
  <c r="BD638" i="260"/>
  <c r="J544" i="260"/>
  <c r="AT675" i="260"/>
  <c r="J566" i="260"/>
  <c r="R753" i="260"/>
  <c r="R720" i="260"/>
  <c r="AZ615" i="260"/>
  <c r="AN706" i="260"/>
  <c r="AN619" i="260"/>
  <c r="G531" i="260"/>
  <c r="AD572" i="260"/>
  <c r="J694" i="260"/>
  <c r="N542" i="260"/>
  <c r="A76" i="79"/>
  <c r="C73" i="79"/>
  <c r="C74" i="79"/>
  <c r="A77" i="79"/>
  <c r="A80" i="79" l="1"/>
  <c r="C77" i="79"/>
  <c r="C76" i="79"/>
  <c r="A79" i="79"/>
  <c r="A82" i="79" l="1"/>
  <c r="C79" i="79"/>
  <c r="C80" i="79"/>
  <c r="A83" i="79"/>
  <c r="A86" i="79" l="1"/>
  <c r="C83" i="79"/>
  <c r="C82" i="79"/>
  <c r="A85" i="79"/>
  <c r="A88" i="79" l="1"/>
  <c r="C85" i="79"/>
  <c r="C86" i="79"/>
  <c r="A89" i="79"/>
  <c r="A92" i="79" l="1"/>
  <c r="C89" i="79"/>
  <c r="C88" i="79"/>
  <c r="A91" i="79"/>
  <c r="A94" i="79" l="1"/>
  <c r="C91" i="79"/>
  <c r="A95" i="79"/>
  <c r="C92" i="79"/>
  <c r="A98" i="79" l="1"/>
  <c r="C95" i="79"/>
  <c r="A97" i="79"/>
  <c r="C94" i="79"/>
  <c r="A100" i="79" l="1"/>
  <c r="C97" i="79"/>
  <c r="C98" i="79"/>
  <c r="A101" i="79"/>
  <c r="A104" i="79" l="1"/>
  <c r="C101" i="79"/>
  <c r="A103" i="79"/>
  <c r="C100" i="79"/>
  <c r="A106" i="79" l="1"/>
  <c r="C103" i="79"/>
  <c r="C104" i="79"/>
  <c r="A107" i="79"/>
  <c r="A110" i="79" l="1"/>
  <c r="C107" i="79"/>
  <c r="C106" i="79"/>
  <c r="A109" i="79"/>
  <c r="A112" i="79" l="1"/>
  <c r="C109" i="79"/>
  <c r="C110" i="79"/>
  <c r="A113" i="79"/>
  <c r="C113" i="79" l="1"/>
  <c r="A116" i="79"/>
  <c r="A115" i="79"/>
  <c r="C112" i="79"/>
  <c r="A118" i="79" l="1"/>
  <c r="C115" i="79"/>
  <c r="C116" i="79"/>
  <c r="A119" i="79"/>
  <c r="A122" i="79" l="1"/>
  <c r="C119" i="79"/>
  <c r="C118" i="79"/>
  <c r="A121" i="79"/>
  <c r="A124" i="79" l="1"/>
  <c r="C121" i="79"/>
  <c r="C122" i="79"/>
  <c r="A125" i="79"/>
  <c r="A128" i="79" l="1"/>
  <c r="C125" i="79"/>
  <c r="C124" i="79"/>
  <c r="A127" i="79"/>
  <c r="A130" i="79" l="1"/>
  <c r="C127" i="79"/>
  <c r="C128" i="79"/>
  <c r="A131" i="79"/>
  <c r="A134" i="79" l="1"/>
  <c r="C131" i="79"/>
  <c r="A133" i="79"/>
  <c r="C130" i="79"/>
  <c r="A136" i="79" l="1"/>
  <c r="C133" i="79"/>
  <c r="C134" i="79"/>
  <c r="A137" i="79"/>
  <c r="A140" i="79" l="1"/>
  <c r="C137" i="79"/>
  <c r="C136" i="79"/>
  <c r="A139" i="79"/>
  <c r="A142" i="79" l="1"/>
  <c r="C139" i="79"/>
  <c r="C140" i="79"/>
  <c r="A143" i="79"/>
  <c r="A146" i="79" l="1"/>
  <c r="C143" i="79"/>
  <c r="A145" i="79"/>
  <c r="C142" i="79"/>
  <c r="A148" i="79" l="1"/>
  <c r="C145" i="79"/>
  <c r="C146" i="79"/>
  <c r="A149" i="79"/>
  <c r="A152" i="79" l="1"/>
  <c r="C149" i="79"/>
  <c r="C148" i="79"/>
  <c r="A151" i="79"/>
  <c r="A154" i="79" l="1"/>
  <c r="C151" i="79"/>
  <c r="C152" i="79"/>
  <c r="A155" i="79"/>
  <c r="A158" i="79" l="1"/>
  <c r="C155" i="79"/>
  <c r="C154" i="79"/>
  <c r="A157" i="79"/>
  <c r="A160" i="79" l="1"/>
  <c r="C157" i="79"/>
  <c r="C158" i="79"/>
  <c r="A161" i="79"/>
  <c r="A164" i="79" l="1"/>
  <c r="C161" i="79"/>
  <c r="A163" i="79"/>
  <c r="C160" i="79"/>
  <c r="A166" i="79" l="1"/>
  <c r="C163" i="79"/>
  <c r="C164" i="79"/>
  <c r="A167" i="79"/>
  <c r="A170" i="79" l="1"/>
  <c r="C167" i="79"/>
  <c r="C166" i="79"/>
  <c r="A169" i="79"/>
  <c r="A172" i="79" l="1"/>
  <c r="C169" i="79"/>
  <c r="C170" i="79"/>
  <c r="A173" i="79"/>
  <c r="A176" i="79" l="1"/>
  <c r="C173" i="79"/>
  <c r="C172" i="79"/>
  <c r="A175" i="79"/>
  <c r="A178" i="79" l="1"/>
  <c r="C175" i="79"/>
  <c r="C176" i="79"/>
  <c r="A179" i="79"/>
  <c r="A182" i="79" l="1"/>
  <c r="C179" i="79"/>
  <c r="C178" i="79"/>
  <c r="A181" i="79"/>
  <c r="A184" i="79" l="1"/>
  <c r="C181" i="79"/>
  <c r="C182" i="79"/>
  <c r="A185" i="79"/>
  <c r="A188" i="79" l="1"/>
  <c r="C185" i="79"/>
  <c r="A187" i="79"/>
  <c r="C184" i="79"/>
  <c r="A190" i="79" l="1"/>
  <c r="C187" i="79"/>
  <c r="A191" i="79"/>
  <c r="C188" i="79"/>
  <c r="A194" i="79" l="1"/>
  <c r="C191" i="79"/>
  <c r="A193" i="79"/>
  <c r="C190" i="79"/>
  <c r="C193" i="79" l="1"/>
  <c r="A196" i="79"/>
  <c r="C194" i="79"/>
  <c r="A197" i="79"/>
  <c r="A200" i="79" l="1"/>
  <c r="C197" i="79"/>
  <c r="A199" i="79"/>
  <c r="C196" i="79"/>
  <c r="C199" i="79" l="1"/>
  <c r="A202" i="79"/>
  <c r="A203" i="79"/>
  <c r="C200" i="79"/>
  <c r="A206" i="79" l="1"/>
  <c r="C203" i="79"/>
  <c r="A205" i="79"/>
  <c r="C202" i="79"/>
  <c r="C205" i="79" l="1"/>
  <c r="A208" i="79"/>
  <c r="A209" i="79"/>
  <c r="C206" i="79"/>
  <c r="A212" i="79" l="1"/>
  <c r="C209" i="79"/>
  <c r="A211" i="79"/>
  <c r="C208" i="79"/>
  <c r="C211" i="79" l="1"/>
  <c r="A214" i="79"/>
  <c r="A215" i="79"/>
  <c r="C212" i="79"/>
  <c r="A217" i="79" l="1"/>
  <c r="C214" i="79"/>
  <c r="A218" i="79"/>
  <c r="C215" i="79"/>
  <c r="A221" i="79" l="1"/>
  <c r="C218" i="79"/>
  <c r="C217" i="79"/>
  <c r="A220" i="79"/>
  <c r="A223" i="79" l="1"/>
  <c r="C220" i="79"/>
  <c r="A224" i="79"/>
  <c r="C221" i="79"/>
  <c r="A227" i="79" l="1"/>
  <c r="C224" i="79"/>
  <c r="C223" i="79"/>
  <c r="A226" i="79"/>
  <c r="A229" i="79" l="1"/>
  <c r="C226" i="79"/>
  <c r="A230" i="79"/>
  <c r="C227" i="79"/>
  <c r="A233" i="79" l="1"/>
  <c r="C230" i="79"/>
  <c r="C229" i="79"/>
  <c r="A232" i="79"/>
  <c r="A235" i="79" l="1"/>
  <c r="C232" i="79"/>
  <c r="A236" i="79"/>
  <c r="C233" i="79"/>
  <c r="A239" i="79" l="1"/>
  <c r="C236" i="79"/>
  <c r="C235" i="79"/>
  <c r="A238" i="79"/>
  <c r="A241" i="79" l="1"/>
  <c r="C238" i="79"/>
  <c r="A242" i="79"/>
  <c r="C239" i="79"/>
  <c r="A245" i="79" l="1"/>
  <c r="C242" i="79"/>
  <c r="C241" i="79"/>
  <c r="A244" i="79"/>
  <c r="A247" i="79" l="1"/>
  <c r="C244" i="79"/>
  <c r="A248" i="79"/>
  <c r="C245" i="79"/>
  <c r="N28" i="177" a="1"/>
  <c r="T52" i="177" a="1"/>
  <c r="C7" i="177" a="1"/>
  <c r="Y58" i="177" a="1"/>
  <c r="J29" i="177" a="1"/>
  <c r="F21" i="177" a="1"/>
  <c r="C33" i="177" a="1"/>
  <c r="D61" i="177" a="1"/>
  <c r="O16" i="177" a="1"/>
  <c r="N33" i="177" a="1"/>
  <c r="F58" i="177" a="1"/>
  <c r="K25" i="177" a="1"/>
  <c r="X29" i="177" a="1"/>
  <c r="Z14" i="177" a="1"/>
  <c r="V24" i="177" a="1"/>
  <c r="C13" i="177" a="1"/>
  <c r="N24" i="177" a="1"/>
  <c r="M15" i="177" a="1"/>
  <c r="W64" i="177" a="1"/>
  <c r="J60" i="177" a="1"/>
  <c r="C20" i="177" a="1"/>
  <c r="E5" i="177" a="1"/>
  <c r="M54" i="177" a="1"/>
  <c r="J28" i="177" a="1"/>
  <c r="R56" i="177" a="1"/>
  <c r="M58" i="177" a="1"/>
  <c r="Y51" i="177" a="1"/>
  <c r="S52" i="177" a="1"/>
  <c r="P30" i="177" a="1"/>
  <c r="X60" i="177" a="1"/>
  <c r="G10" i="177" a="1"/>
  <c r="J16" i="177" a="1"/>
  <c r="E57" i="177" a="1"/>
  <c r="O14" i="177" a="1"/>
  <c r="H7" i="177" a="1"/>
  <c r="I26" i="177" a="1"/>
  <c r="N63" i="177" a="1"/>
  <c r="Z21" i="177" a="1"/>
  <c r="W4" i="177" a="1"/>
  <c r="G8" i="177" a="1"/>
  <c r="Q53" i="177" a="1"/>
  <c r="M13" i="177" a="1"/>
  <c r="V7" i="177" a="1"/>
  <c r="F31" i="177" a="1"/>
  <c r="Q29" i="177" a="1"/>
  <c r="H65" i="177" a="1"/>
  <c r="W16" i="177" a="1"/>
  <c r="U61" i="177" a="1"/>
  <c r="G54" i="177" a="1"/>
  <c r="Z18" i="177" a="1"/>
  <c r="X30" i="177" a="1"/>
  <c r="U55" i="177" a="1"/>
  <c r="U65" i="177" a="1"/>
  <c r="O62" i="177" a="1"/>
  <c r="L17" i="177" a="1"/>
  <c r="G51" i="177" a="1"/>
  <c r="E30" i="177" a="1"/>
  <c r="J51" i="177" a="1"/>
  <c r="F8" i="177" a="1"/>
  <c r="N4" i="177" a="1"/>
  <c r="X15" i="177" a="1"/>
  <c r="P4" i="177" a="1"/>
  <c r="D30" i="177" a="1"/>
  <c r="F16" i="177" a="1"/>
  <c r="V56" i="177" a="1"/>
  <c r="R26" i="177" a="1"/>
  <c r="I30" i="177" a="1"/>
  <c r="S4" i="177" a="1"/>
  <c r="Q23" i="177" a="1"/>
  <c r="V12" i="177" a="1"/>
  <c r="S24" i="177" a="1"/>
  <c r="E26" i="177" a="1"/>
  <c r="P55" i="177" a="1"/>
  <c r="M60" i="177" a="1"/>
  <c r="U31" i="102" a="1"/>
  <c r="P6" i="177" a="1"/>
  <c r="M10" i="177" a="1"/>
  <c r="Q10" i="177" a="1"/>
  <c r="J21" i="177" a="1"/>
  <c r="C21" i="177" a="1"/>
  <c r="E4" i="177" a="1"/>
  <c r="V26" i="177" a="1"/>
  <c r="Y60" i="177" a="1"/>
  <c r="V19" i="177" a="1"/>
  <c r="N31" i="177" a="1"/>
  <c r="C5" i="177" a="1"/>
  <c r="H21" i="177" a="1"/>
  <c r="J19" i="177" a="1"/>
  <c r="D28" i="177" a="1"/>
  <c r="R25" i="177" a="1"/>
  <c r="N59" i="177" a="1"/>
  <c r="H32" i="177" a="1"/>
  <c r="R22" i="177" a="1"/>
  <c r="Z22" i="177" a="1"/>
  <c r="J63" i="177" a="1"/>
  <c r="G30" i="177" a="1"/>
  <c r="R32" i="177" a="1"/>
  <c r="G61" i="177" a="1"/>
  <c r="I59" i="177" a="1"/>
  <c r="N3" i="177" a="1"/>
  <c r="G59" i="177" a="1"/>
  <c r="N60" i="177" a="1"/>
  <c r="I15" i="177" a="1"/>
  <c r="I20" i="177" a="1"/>
  <c r="W59" i="177" a="1"/>
  <c r="D23" i="177" a="1"/>
  <c r="U52" i="177" a="1"/>
  <c r="U57" i="177" a="1"/>
  <c r="X7" i="177" a="1"/>
  <c r="E31" i="177" a="1"/>
  <c r="K20" i="177" a="1"/>
  <c r="Y25" i="177" a="1"/>
  <c r="Y16" i="177" a="1"/>
  <c r="G22" i="177" a="1"/>
  <c r="F51" i="177" a="1"/>
  <c r="Q21" i="177" a="1"/>
  <c r="Z8" i="177" a="1"/>
  <c r="M28" i="177" a="1"/>
  <c r="O60" i="177" a="1"/>
  <c r="Q6" i="177" a="1"/>
  <c r="H30" i="177" a="1"/>
  <c r="G13" i="177" a="1"/>
  <c r="H23" i="177" a="1"/>
  <c r="H31" i="177" a="1"/>
  <c r="N61" i="177" a="1"/>
  <c r="Y15" i="177" a="1"/>
  <c r="Z58" i="177" a="1"/>
  <c r="M22" i="177" a="1"/>
  <c r="V6" i="177" a="1"/>
  <c r="R33" i="177" a="1"/>
  <c r="S64" i="177" a="1"/>
  <c r="R31" i="177" a="1"/>
  <c r="D52" i="177" a="1"/>
  <c r="D3" i="177" a="1"/>
  <c r="K55" i="177" a="1"/>
  <c r="G6" i="177" a="1"/>
  <c r="J20" i="177" a="1"/>
  <c r="C61" i="177" a="1"/>
  <c r="U33" i="177" a="1"/>
  <c r="F19" i="177" a="1"/>
  <c r="S18" i="177" a="1"/>
  <c r="Y57" i="177" a="1"/>
  <c r="I56" i="177" a="1"/>
  <c r="Y54" i="177" a="1"/>
  <c r="P17" i="177" a="1"/>
  <c r="X18" i="177" a="1"/>
  <c r="X55" i="177" a="1"/>
  <c r="Z59" i="177" a="1"/>
  <c r="T15" i="177" a="1"/>
  <c r="F61" i="177" a="1"/>
  <c r="U63" i="177" a="1"/>
  <c r="T65" i="177" a="1"/>
  <c r="N12" i="177" a="1"/>
  <c r="Z29" i="177" a="1"/>
  <c r="R62" i="177" a="1"/>
  <c r="T3" i="177" a="1"/>
  <c r="V16" i="177" a="1"/>
  <c r="J31" i="177" a="1"/>
  <c r="C3" i="177" a="1"/>
  <c r="P57" i="177" a="1"/>
  <c r="L28" i="177" a="1"/>
  <c r="C56" i="177" a="1"/>
  <c r="L26" i="177" a="1"/>
  <c r="D53" i="177" a="1"/>
  <c r="Q3" i="177" a="1"/>
  <c r="U62" i="177" a="1"/>
  <c r="Y6" i="177" a="1"/>
  <c r="G63" i="177" a="1"/>
  <c r="R29" i="177" a="1"/>
  <c r="S33" i="177" a="1"/>
  <c r="I21" i="177" a="1"/>
  <c r="W19" i="177" a="1"/>
  <c r="D17" i="177" a="1"/>
  <c r="Z7" i="177" a="1"/>
  <c r="K12" i="177" a="1"/>
  <c r="H58" i="177" a="1"/>
  <c r="L19" i="177" a="1"/>
  <c r="O53" i="177" a="1"/>
  <c r="G23" i="177" a="1"/>
  <c r="Z16" i="177" a="1"/>
  <c r="C16" i="177" a="1"/>
  <c r="X28" i="177" a="1"/>
  <c r="O63" i="177" a="1"/>
  <c r="X23" i="177" a="1"/>
  <c r="C27" i="177" a="1"/>
  <c r="Z26" i="177" a="1"/>
  <c r="C63" i="177" a="1"/>
  <c r="L25" i="177" a="1"/>
  <c r="K16" i="177" a="1"/>
  <c r="S32" i="177" a="1"/>
  <c r="D33" i="177" a="1"/>
  <c r="Q27" i="177" a="1"/>
  <c r="N27" i="177" a="1"/>
  <c r="F20" i="177" a="1"/>
  <c r="Z13" i="177" a="1"/>
  <c r="S5" i="177" a="1"/>
  <c r="X61" i="177" a="1"/>
  <c r="K26" i="177" a="1"/>
  <c r="R53" i="177" a="1"/>
  <c r="P16" i="177" a="1"/>
  <c r="J25" i="177" a="1"/>
  <c r="L10" i="177" a="1"/>
  <c r="R58" i="177" a="1"/>
  <c r="H63" i="177" a="1"/>
  <c r="K56" i="177" a="1"/>
  <c r="P13" i="177" a="1"/>
  <c r="M11" i="177" a="1"/>
  <c r="O59" i="177" a="1"/>
  <c r="Y27" i="177" a="1"/>
  <c r="H28" i="177" a="1"/>
  <c r="L7" i="177" a="1"/>
  <c r="E52" i="177" a="1"/>
  <c r="C52" i="177" a="1"/>
  <c r="T12" i="177" a="1"/>
  <c r="T24" i="177" a="1"/>
  <c r="R15" i="177" a="1"/>
  <c r="Q19" i="177" a="1"/>
  <c r="O51" i="177" a="1"/>
  <c r="C12" i="177" a="1"/>
  <c r="W32" i="177" a="1"/>
  <c r="D27" i="177" a="1"/>
  <c r="J56" i="177" a="1"/>
  <c r="L51" i="177" a="1"/>
  <c r="W58" i="177" a="1"/>
  <c r="T16" i="177" a="1"/>
  <c r="Z53" i="177" a="1"/>
  <c r="W7" i="177" a="1"/>
  <c r="I60" i="177" a="1"/>
  <c r="W65" i="177" a="1"/>
  <c r="I29" i="177" a="1"/>
  <c r="X4" i="177" a="1"/>
  <c r="Z61" i="177" a="1"/>
  <c r="T11" i="177" a="1"/>
  <c r="K14" i="177" a="1"/>
  <c r="W57" i="177" a="1"/>
  <c r="U10" i="177" a="1"/>
  <c r="Z27" i="177" a="1"/>
  <c r="I14" i="177" a="1"/>
  <c r="Y61" i="177" a="1"/>
  <c r="H62" i="177" a="1"/>
  <c r="R11" i="177" a="1"/>
  <c r="G53" i="177" a="1"/>
  <c r="C26" i="177" a="1"/>
  <c r="E63" i="177" a="1"/>
  <c r="Z31" i="177" a="1"/>
  <c r="Q62" i="177" a="1"/>
  <c r="T9" i="177" a="1"/>
  <c r="Q61" i="177" a="1"/>
  <c r="J11" i="177" a="1"/>
  <c r="Q16" i="177" a="1"/>
  <c r="X12" i="177" a="1"/>
  <c r="X32" i="177" a="1"/>
  <c r="F22" i="177" a="1"/>
  <c r="O13" i="177" a="1"/>
  <c r="O7" i="177" a="1"/>
  <c r="Y32" i="177" a="1"/>
  <c r="U21" i="177" a="1"/>
  <c r="K9" i="177" a="1"/>
  <c r="X59" i="177" a="1"/>
  <c r="U14" i="177" a="1"/>
  <c r="K30" i="177" a="1"/>
  <c r="N18" i="177" a="1"/>
  <c r="V63" i="177" a="1"/>
  <c r="W3" i="177" a="1"/>
  <c r="J10" i="177" a="1"/>
  <c r="C29" i="177" a="1"/>
  <c r="D14" i="177" a="1"/>
  <c r="G18" i="177" a="1"/>
  <c r="Z17" i="177" a="1"/>
  <c r="N64" i="177" a="1"/>
  <c r="W55" i="177" a="1"/>
  <c r="J17" i="177" a="1"/>
  <c r="K17" i="177" a="1"/>
  <c r="P61" i="177" a="1"/>
  <c r="L27" i="177" a="1"/>
  <c r="Q30" i="177" a="1"/>
  <c r="H27" i="177" a="1"/>
  <c r="D25" i="177" a="1"/>
  <c r="M64" i="177" a="1"/>
  <c r="S61" i="177" a="1"/>
  <c r="G26" i="177" a="1"/>
  <c r="P3" i="177" a="1"/>
  <c r="I18" i="177" a="1"/>
  <c r="T8" i="177" a="1"/>
  <c r="T57" i="177" a="1"/>
  <c r="M61" i="177" a="1"/>
  <c r="L24" i="177" a="1"/>
  <c r="L62" i="177" a="1"/>
  <c r="Q52" i="177" a="1"/>
  <c r="E53" i="177" a="1"/>
  <c r="L20" i="177" a="1"/>
  <c r="F57" i="177" a="1"/>
  <c r="W5" i="177" a="1"/>
  <c r="Y18" i="177" a="1"/>
  <c r="P25" i="177" a="1"/>
  <c r="M24" i="177" a="1"/>
  <c r="R24" i="177" a="1"/>
  <c r="V55" i="177" a="1"/>
  <c r="L65" i="177" a="1"/>
  <c r="X51" i="177" a="1"/>
  <c r="M4" i="177" a="1"/>
  <c r="K23" i="177" a="1"/>
  <c r="W25" i="177" a="1"/>
  <c r="S58" i="177" a="1"/>
  <c r="Z4" i="177" a="1"/>
  <c r="G19" i="177" a="1"/>
  <c r="H9" i="177" a="1"/>
  <c r="O27" i="177" a="1"/>
  <c r="Y59" i="177" a="1"/>
  <c r="S6" i="177" a="1"/>
  <c r="K6" i="177" a="1"/>
  <c r="Y29" i="177" a="1"/>
  <c r="N57" i="177" a="1"/>
  <c r="I7" i="177" a="1"/>
  <c r="M8" i="177" a="1"/>
  <c r="Y64" i="177" a="1"/>
  <c r="Z5" i="177" a="1"/>
  <c r="W24" i="177" a="1"/>
  <c r="U28" i="102" a="1"/>
  <c r="P62" i="177" a="1"/>
  <c r="S15" i="177" a="1"/>
  <c r="N8" i="177" a="1"/>
  <c r="P9" i="177" a="1"/>
  <c r="X24" i="177" a="1"/>
  <c r="E14" i="177" a="1"/>
  <c r="P26" i="177" a="1"/>
  <c r="I52" i="177" a="1"/>
  <c r="I54" i="177" a="1"/>
  <c r="V29" i="177" a="1"/>
  <c r="L30" i="177" a="1"/>
  <c r="X8" i="177" a="1"/>
  <c r="K28" i="177" a="1"/>
  <c r="M62" i="177" a="1"/>
  <c r="W30" i="177" a="1"/>
  <c r="N62" i="177" a="1"/>
  <c r="M33" i="177" a="1"/>
  <c r="H10" i="177" a="1"/>
  <c r="P51" i="177" a="1"/>
  <c r="V11" i="177" a="1"/>
  <c r="C53" i="177" a="1"/>
  <c r="G5" i="177" a="1"/>
  <c r="M53" i="177" a="1"/>
  <c r="H60" i="177" a="1"/>
  <c r="W56" i="177" a="1"/>
  <c r="S11" i="177" a="1"/>
  <c r="M52" i="177" a="1"/>
  <c r="F25" i="177" a="1"/>
  <c r="I27" i="177" a="1"/>
  <c r="M23" i="177" a="1"/>
  <c r="Y31" i="177" a="1"/>
  <c r="C58" i="177" a="1"/>
  <c r="S7" i="177" a="1"/>
  <c r="L54" i="177" a="1"/>
  <c r="D59" i="177" a="1"/>
  <c r="D12" i="177" a="1"/>
  <c r="G9" i="177" a="1"/>
  <c r="I9" i="177" a="1"/>
  <c r="I32" i="177" a="1"/>
  <c r="R16" i="177" a="1"/>
  <c r="P18" i="177" a="1"/>
  <c r="T60" i="177" a="1"/>
  <c r="I58" i="177" a="1"/>
  <c r="X11" i="177" a="1"/>
  <c r="T4" i="177" a="1"/>
  <c r="C51" i="177" a="1"/>
  <c r="E12" i="177" a="1"/>
  <c r="E19" i="177" a="1"/>
  <c r="T62" i="177" a="1"/>
  <c r="H29" i="177" a="1"/>
  <c r="L60" i="177" a="1"/>
  <c r="X56" i="177" a="1"/>
  <c r="M57" i="177" a="1"/>
  <c r="G7" i="177" a="1"/>
  <c r="W51" i="177" a="1"/>
  <c r="N30" i="177" a="1"/>
  <c r="P5" i="177" a="1"/>
  <c r="I24" i="177" a="1"/>
  <c r="S60" i="177" a="1"/>
  <c r="U32" i="177" a="1"/>
  <c r="Z57" i="177" a="1"/>
  <c r="Z51" i="177" a="1"/>
  <c r="M59" i="177" a="1"/>
  <c r="F55" i="177" a="1"/>
  <c r="O55" i="177" a="1"/>
  <c r="X17" i="177" a="1"/>
  <c r="D11" i="177" a="1"/>
  <c r="P53" i="177" a="1"/>
  <c r="Q5" i="177" a="1"/>
  <c r="Z6" i="177" a="1"/>
  <c r="Z25" i="177" a="1"/>
  <c r="T27" i="177" a="1"/>
  <c r="L14" i="177" a="1"/>
  <c r="Q59" i="177" a="1"/>
  <c r="J3" i="177" a="1"/>
  <c r="Z19" i="177" a="1"/>
  <c r="P21" i="177" a="1"/>
  <c r="C23" i="177" a="1"/>
  <c r="W10" i="177" a="1"/>
  <c r="V17" i="177" a="1"/>
  <c r="P58" i="177" a="1"/>
  <c r="E24" i="177" a="1"/>
  <c r="E59" i="177" a="1"/>
  <c r="P22" i="177" a="1"/>
  <c r="W54" i="177" a="1"/>
  <c r="W60" i="177" a="1"/>
  <c r="J54" i="177" a="1"/>
  <c r="D26" i="177" a="1"/>
  <c r="R14" i="177" a="1"/>
  <c r="S65" i="177" a="1"/>
  <c r="O24" i="177" a="1"/>
  <c r="Y10" i="177" a="1"/>
  <c r="H19" i="177" a="1"/>
  <c r="R65" i="177" a="1"/>
  <c r="U29" i="177" a="1"/>
  <c r="J24" i="177" a="1"/>
  <c r="O3" i="177" a="1"/>
  <c r="Q15" i="177" a="1"/>
  <c r="P54" i="177" a="1"/>
  <c r="T29" i="177" a="1"/>
  <c r="O56" i="177" a="1"/>
  <c r="M26" i="177" a="1"/>
  <c r="D29" i="177" a="1"/>
  <c r="U31" i="177" a="1"/>
  <c r="P33" i="177" a="1"/>
  <c r="Q8" i="177" a="1"/>
  <c r="G29" i="177" a="1"/>
  <c r="N52" i="177" a="1"/>
  <c r="H55" i="177" a="1"/>
  <c r="H5" i="177" a="1"/>
  <c r="W13" i="177" a="1"/>
  <c r="K53" i="177" a="1"/>
  <c r="C25" i="177" a="1"/>
  <c r="F65" i="177" a="1"/>
  <c r="F18" i="177" a="1"/>
  <c r="Z54" i="177" a="1"/>
  <c r="O5" i="177" a="1"/>
  <c r="E58" i="177" a="1"/>
  <c r="Z55" i="177" a="1"/>
  <c r="I17" i="177" a="1"/>
  <c r="F4" i="177" a="1"/>
  <c r="W33" i="177" a="1"/>
  <c r="N11" i="177" a="1"/>
  <c r="E13" i="177" a="1"/>
  <c r="Z65" i="177" a="1"/>
  <c r="G4" i="177" a="1"/>
  <c r="H54" i="177" a="1"/>
  <c r="N58" i="177" a="1"/>
  <c r="F53" i="177" a="1"/>
  <c r="C59" i="177" a="1"/>
  <c r="S17" i="177" a="1"/>
  <c r="U25" i="177" a="1"/>
  <c r="Y4" i="177" a="1"/>
  <c r="O10" i="177" a="1"/>
  <c r="X25" i="177" a="1"/>
  <c r="I63" i="177" a="1"/>
  <c r="I65" i="177" a="1"/>
  <c r="S53" i="177" a="1"/>
  <c r="N56" i="177" a="1"/>
  <c r="G64" i="177" a="1"/>
  <c r="G55" i="177" a="1"/>
  <c r="U13" i="177" a="1"/>
  <c r="E22" i="177" a="1"/>
  <c r="P15" i="177" a="1"/>
  <c r="R28" i="177" a="1"/>
  <c r="U27" i="177" a="1"/>
  <c r="Q9" i="177" a="1"/>
  <c r="D8" i="177" a="1"/>
  <c r="G32" i="177" a="1"/>
  <c r="V20" i="177" a="1"/>
  <c r="V51" i="177" a="1"/>
  <c r="D15" i="177" a="1"/>
  <c r="I57" i="177" a="1"/>
  <c r="E32" i="177" a="1"/>
  <c r="Y52" i="177" a="1"/>
  <c r="N14" i="177" a="1"/>
  <c r="G24" i="177" a="1"/>
  <c r="E21" i="177" a="1"/>
  <c r="V33" i="177" a="1"/>
  <c r="D9" i="177" a="1"/>
  <c r="P28" i="177" a="1"/>
  <c r="R30" i="177" a="1"/>
  <c r="J5" i="177" a="1"/>
  <c r="Q56" i="177" a="1"/>
  <c r="C65" i="177" a="1"/>
  <c r="F32" i="177" a="1"/>
  <c r="P23" i="177" a="1"/>
  <c r="C19" i="177" a="1"/>
  <c r="V25" i="177" a="1"/>
  <c r="K64" i="177" a="1"/>
  <c r="F14" i="177" a="1"/>
  <c r="P52" i="177" a="1"/>
  <c r="Y23" i="177" a="1"/>
  <c r="R5" i="177" a="1"/>
  <c r="E25" i="177" a="1"/>
  <c r="D5" i="177" a="1"/>
  <c r="Y63" i="177" a="1"/>
  <c r="U5" i="177" a="1"/>
  <c r="X6" i="177" a="1"/>
  <c r="V21" i="177" a="1"/>
  <c r="C57" i="177" a="1"/>
  <c r="X64" i="177" a="1"/>
  <c r="X62" i="177" a="1"/>
  <c r="H15" i="177" a="1"/>
  <c r="L56" i="177" a="1"/>
  <c r="E6" i="177" a="1"/>
  <c r="X27" i="177" a="1"/>
  <c r="P64" i="177" a="1"/>
  <c r="D31" i="177" a="1"/>
  <c r="J23" i="177" a="1"/>
  <c r="I12" i="177" a="1"/>
  <c r="V61" i="177" a="1"/>
  <c r="J18" i="177" a="1"/>
  <c r="F62" i="177" a="1"/>
  <c r="N16" i="177" a="1"/>
  <c r="S25" i="177" a="1"/>
  <c r="M14" i="177" a="1"/>
  <c r="I23" i="177" a="1"/>
  <c r="R60" i="177" a="1"/>
  <c r="H14" i="177" a="1"/>
  <c r="P8" i="177" a="1"/>
  <c r="E23" i="177" a="1"/>
  <c r="T56" i="177" a="1"/>
  <c r="Y14" i="177" a="1"/>
  <c r="M56" i="177" a="1"/>
  <c r="O52" i="177" a="1"/>
  <c r="M18" i="177" a="1"/>
  <c r="Z15" i="177" a="1"/>
  <c r="P63" i="177" a="1"/>
  <c r="N17" i="177" a="1"/>
  <c r="T18" i="177" a="1"/>
  <c r="E10" i="177" a="1"/>
  <c r="G28" i="177" a="1"/>
  <c r="Q28" i="177" a="1"/>
  <c r="F28" i="177" a="1"/>
  <c r="K15" i="177" a="1"/>
  <c r="T28" i="177" a="1"/>
  <c r="R64" i="177" a="1"/>
  <c r="V5" i="177" a="1"/>
  <c r="U40" i="102" a="1"/>
  <c r="E60" i="177" a="1"/>
  <c r="H64" i="177" a="1"/>
  <c r="D6" i="177" a="1"/>
  <c r="R61" i="177" a="1"/>
  <c r="U19" i="177" a="1"/>
  <c r="J9" i="177" a="1"/>
  <c r="M32" i="177" a="1"/>
  <c r="V27" i="177" a="1"/>
  <c r="Y33" i="177" a="1"/>
  <c r="I22" i="177" a="1"/>
  <c r="I53" i="177" a="1"/>
  <c r="U9" i="177" a="1"/>
  <c r="K8" i="177" a="1"/>
  <c r="E3" i="177" a="1"/>
  <c r="E61" i="177" a="1"/>
  <c r="V30" i="177" a="1"/>
  <c r="D63" i="177" a="1"/>
  <c r="W29" i="177" a="1"/>
  <c r="R7" i="177" a="1"/>
  <c r="S51" i="177" a="1"/>
  <c r="L12" i="177" a="1"/>
  <c r="S59" i="177" a="1"/>
  <c r="E18" i="177" a="1"/>
  <c r="V15" i="177" a="1"/>
  <c r="X5" i="177" a="1"/>
  <c r="O64" i="177" a="1"/>
  <c r="T21" i="177" a="1"/>
  <c r="C30" i="177" a="1"/>
  <c r="J30" i="177" a="1"/>
  <c r="V14" i="177" a="1"/>
  <c r="J6" i="177" a="1"/>
  <c r="S57" i="177" a="1"/>
  <c r="F7" i="177" a="1"/>
  <c r="S21" i="177" a="1"/>
  <c r="R23" i="177" a="1"/>
  <c r="I4" i="177" a="1"/>
  <c r="S28" i="177" a="1"/>
  <c r="J32" i="177" a="1"/>
  <c r="I64" i="177" a="1"/>
  <c r="Q55" i="177" a="1"/>
  <c r="O18" i="177" a="1"/>
  <c r="E65" i="177" a="1"/>
  <c r="J12" i="177" a="1"/>
  <c r="V54" i="177" a="1"/>
  <c r="U29" i="102" a="1"/>
  <c r="U8" i="177" a="1"/>
  <c r="G16" i="177" a="1"/>
  <c r="S30" i="177" a="1"/>
  <c r="J59" i="177" a="1"/>
  <c r="K32" i="177" a="1"/>
  <c r="L9" i="177" a="1"/>
  <c r="J65" i="177" a="1"/>
  <c r="L33" i="177" a="1"/>
  <c r="L63" i="177" a="1"/>
  <c r="F9" i="177" a="1"/>
  <c r="P11" i="177" a="1"/>
  <c r="Z24" i="177" a="1"/>
  <c r="Q14" i="177" a="1"/>
  <c r="N6" i="177" a="1"/>
  <c r="M31" i="177" a="1"/>
  <c r="R17" i="177" a="1"/>
  <c r="L16" i="177" a="1"/>
  <c r="W12" i="177" a="1"/>
  <c r="D24" i="177" a="1"/>
  <c r="W26" i="177" a="1"/>
  <c r="H22" i="177" a="1"/>
  <c r="R21" i="177" a="1"/>
  <c r="M27" i="177" a="1"/>
  <c r="J64" i="177" a="1"/>
  <c r="T26" i="177" a="1"/>
  <c r="U7" i="177" a="1"/>
  <c r="O4" i="177" a="1"/>
  <c r="F3" i="177" a="1"/>
  <c r="Z63" i="177" a="1"/>
  <c r="T53" i="177" a="1"/>
  <c r="F13" i="177" a="1"/>
  <c r="W8" i="177" a="1"/>
  <c r="F33" i="177" a="1"/>
  <c r="Q11" i="177" a="1"/>
  <c r="E27" i="177" a="1"/>
  <c r="O33" i="177" a="1"/>
  <c r="U59" i="177" a="1"/>
  <c r="L18" i="177" a="1"/>
  <c r="T63" i="177" a="1"/>
  <c r="N32" i="177" a="1"/>
  <c r="C62" i="177" a="1"/>
  <c r="K52" i="177" a="1"/>
  <c r="U64" i="177" a="1"/>
  <c r="H13" i="177" a="1"/>
  <c r="N54" i="177" a="1"/>
  <c r="Z60" i="177" a="1"/>
  <c r="T30" i="177" a="1"/>
  <c r="M29" i="177" a="1"/>
  <c r="Z3" i="177" a="1"/>
  <c r="L5" i="177" a="1"/>
  <c r="C60" i="177" a="1"/>
  <c r="T59" i="177" a="1"/>
  <c r="S20" i="177" a="1"/>
  <c r="P32" i="177" a="1"/>
  <c r="X63" i="177" a="1"/>
  <c r="W15" i="177" a="1"/>
  <c r="U9" i="102" a="1"/>
  <c r="J8" i="177" a="1"/>
  <c r="W14" i="177" a="1"/>
  <c r="M20" i="177" a="1"/>
  <c r="I19" i="177" a="1"/>
  <c r="G65" i="177" a="1"/>
  <c r="X54" i="177" a="1"/>
  <c r="V4" i="177" a="1"/>
  <c r="H59" i="177" a="1"/>
  <c r="H6" i="177" a="1"/>
  <c r="U56" i="177" a="1"/>
  <c r="P27" i="177" a="1"/>
  <c r="V23" i="177" a="1"/>
  <c r="S31" i="177" a="1"/>
  <c r="D56" i="177" a="1"/>
  <c r="V65" i="177" a="1"/>
  <c r="H51" i="177" a="1"/>
  <c r="P19" i="177" a="1"/>
  <c r="K59" i="177" a="1"/>
  <c r="M3" i="177" a="1"/>
  <c r="Q57" i="177" a="1"/>
  <c r="T14" i="177" a="1"/>
  <c r="X3" i="177" a="1"/>
  <c r="T25" i="177" a="1"/>
  <c r="L55" i="177" a="1"/>
  <c r="X33" i="177" a="1"/>
  <c r="L64" i="177" a="1"/>
  <c r="S62" i="177" a="1"/>
  <c r="Q65" i="177" a="1"/>
  <c r="O12" i="177" a="1"/>
  <c r="W53" i="177" a="1"/>
  <c r="U4" i="177" a="1"/>
  <c r="K54" i="177" a="1"/>
  <c r="M6" i="177" a="1"/>
  <c r="L13" i="177" a="1"/>
  <c r="I8" i="177" a="1"/>
  <c r="V60" i="177" a="1"/>
  <c r="C22" i="177" a="1"/>
  <c r="I51" i="177" a="1"/>
  <c r="W9" i="177" a="1"/>
  <c r="V58" i="177" a="1"/>
  <c r="J26" i="177" a="1"/>
  <c r="P24" i="177" a="1"/>
  <c r="S14" i="177" a="1"/>
  <c r="H33" i="177" a="1"/>
  <c r="Q20" i="177" a="1"/>
  <c r="D51" i="177" a="1"/>
  <c r="X22" i="177" a="1"/>
  <c r="M55" i="177" a="1"/>
  <c r="M9" i="177" a="1"/>
  <c r="K22" i="177" a="1"/>
  <c r="K5" i="177" a="1"/>
  <c r="J52" i="177" a="1"/>
  <c r="Q51" i="177" a="1"/>
  <c r="N10" i="177" a="1"/>
  <c r="I6" i="177" a="1"/>
  <c r="Y5" i="177" a="1"/>
  <c r="J27" i="177" a="1"/>
  <c r="V57" i="177" a="1"/>
  <c r="X57" i="177" a="1"/>
  <c r="F64" i="177" a="1"/>
  <c r="C17" i="177" a="1"/>
  <c r="L58" i="177" a="1"/>
  <c r="T20" i="177" a="1"/>
  <c r="G14" i="177" a="1"/>
  <c r="N25" i="177" a="1"/>
  <c r="I11" i="177" a="1"/>
  <c r="U21" i="102" a="1"/>
  <c r="H53" i="177" a="1"/>
  <c r="P12" i="177" a="1"/>
  <c r="J61" i="177" a="1"/>
  <c r="R9" i="177" a="1"/>
  <c r="U24" i="177" a="1"/>
  <c r="K58" i="177" a="1"/>
  <c r="D58" i="177" a="1"/>
  <c r="F24" i="177" a="1"/>
  <c r="V10" i="177" a="1"/>
  <c r="P10" i="177" a="1"/>
  <c r="U28" i="177" a="1"/>
  <c r="Y12" i="177" a="1"/>
  <c r="I10" i="177" a="1"/>
  <c r="N9" i="177" a="1"/>
  <c r="I16" i="177" a="1"/>
  <c r="O31" i="177" a="1"/>
  <c r="Q4" i="177" a="1"/>
  <c r="U18" i="177" a="1"/>
  <c r="M19" i="177" a="1"/>
  <c r="E29" i="177" a="1"/>
  <c r="W28" i="177" a="1"/>
  <c r="W11" i="177" a="1"/>
  <c r="O28" i="177" a="1"/>
  <c r="X10" i="177" a="1"/>
  <c r="K19" i="177" a="1"/>
  <c r="T10" i="177" a="1"/>
  <c r="C32" i="177" a="1"/>
  <c r="K61" i="177" a="1"/>
  <c r="O61" i="177" a="1"/>
  <c r="J33" i="177" a="1"/>
  <c r="D62" i="177" a="1"/>
  <c r="F11" i="177" a="1"/>
  <c r="S27" i="177" a="1"/>
  <c r="Q22" i="177" a="1"/>
  <c r="D16" i="177" a="1"/>
  <c r="T17" i="177" a="1"/>
  <c r="Q31" i="177" a="1"/>
  <c r="H57" i="177" a="1"/>
  <c r="K29" i="177" a="1"/>
  <c r="S55" i="177" a="1"/>
  <c r="W62" i="177" a="1"/>
  <c r="Y8" i="177" a="1"/>
  <c r="O26" i="177" a="1"/>
  <c r="H8" i="177" a="1"/>
  <c r="H3" i="177" a="1"/>
  <c r="G25" i="177" a="1"/>
  <c r="N29" i="177" a="1"/>
  <c r="O22" i="177" a="1"/>
  <c r="T33" i="177" a="1"/>
  <c r="T64" i="177" a="1"/>
  <c r="O29" i="177" a="1"/>
  <c r="Y26" i="177" a="1"/>
  <c r="L22" i="177" a="1"/>
  <c r="X65" i="177" a="1"/>
  <c r="N51" i="177" a="1"/>
  <c r="Y11" i="177" a="1"/>
  <c r="K33" i="177" a="1"/>
  <c r="G27" i="177" a="1"/>
  <c r="P29" i="177" a="1"/>
  <c r="G62" i="177" a="1"/>
  <c r="O21" i="177" a="1"/>
  <c r="H56" i="177" a="1"/>
  <c r="H11" i="177" a="1"/>
  <c r="O30" i="177" a="1"/>
  <c r="E51" i="177" a="1"/>
  <c r="O58" i="177" a="1"/>
  <c r="R55" i="177" a="1"/>
  <c r="W61" i="177" a="1"/>
  <c r="R18" i="177" a="1"/>
  <c r="S19" i="177" a="1"/>
  <c r="G33" i="177" a="1"/>
  <c r="R59" i="177" a="1"/>
  <c r="V52" i="177" a="1"/>
  <c r="C10" i="177" a="1"/>
  <c r="F5" i="177" a="1"/>
  <c r="U54" i="177" a="1"/>
  <c r="S9" i="177" a="1"/>
  <c r="Y7" i="177" a="1"/>
  <c r="U58" i="177" a="1"/>
  <c r="Q12" i="177" a="1"/>
  <c r="D4" i="177" a="1"/>
  <c r="L57" i="177" a="1"/>
  <c r="F63" i="177" a="1"/>
  <c r="U51" i="177" a="1"/>
  <c r="N21" i="177" a="1"/>
  <c r="N20" i="177" a="1"/>
  <c r="D60" i="177" a="1"/>
  <c r="V28" i="177" a="1"/>
  <c r="W63" i="177" a="1"/>
  <c r="U20" i="102" a="1"/>
  <c r="T23" i="177" a="1"/>
  <c r="X9" i="177" a="1"/>
  <c r="X14" i="177" a="1"/>
  <c r="R19" i="177" a="1"/>
  <c r="P65" i="177" a="1"/>
  <c r="J53" i="177" a="1"/>
  <c r="Y17" i="177" a="1"/>
  <c r="X58" i="177" a="1"/>
  <c r="O6" i="177" a="1"/>
  <c r="L52" i="177" a="1"/>
  <c r="Z12" i="177" a="1"/>
  <c r="G17" i="177" a="1"/>
  <c r="K7" i="177" a="1"/>
  <c r="M25" i="177" a="1"/>
  <c r="X31" i="177" a="1"/>
  <c r="E28" i="177" a="1"/>
  <c r="K10" i="177" a="1"/>
  <c r="M51" i="177" a="1"/>
  <c r="M16" i="177" a="1"/>
  <c r="O8" i="177" a="1"/>
  <c r="W27" i="177" a="1"/>
  <c r="L31" i="177" a="1"/>
  <c r="S63" i="177" a="1"/>
  <c r="F59" i="177" a="1"/>
  <c r="I13" i="177" a="1"/>
  <c r="H25" i="177" a="1"/>
  <c r="D57" i="177" a="1"/>
  <c r="V62" i="177" a="1"/>
  <c r="H52" i="177" a="1"/>
  <c r="U60" i="177" a="1"/>
  <c r="R20" i="177" a="1"/>
  <c r="Z28" i="177" a="1"/>
  <c r="J15" i="177" a="1"/>
  <c r="F27" i="177" a="1"/>
  <c r="N65" i="177" a="1"/>
  <c r="J4" i="177" a="1"/>
  <c r="Y20" i="177" a="1"/>
  <c r="H12" i="177" a="1"/>
  <c r="R6" i="177" a="1"/>
  <c r="Y24" i="177" a="1"/>
  <c r="E33" i="177" a="1"/>
  <c r="W22" i="177" a="1"/>
  <c r="P14" i="177" a="1"/>
  <c r="O9" i="177" a="1"/>
  <c r="Z10" i="177" a="1"/>
  <c r="U20" i="177" a="1"/>
  <c r="K65" i="177" a="1"/>
  <c r="F52" i="177" a="1"/>
  <c r="Z52" i="177" a="1"/>
  <c r="R52" i="177" a="1"/>
  <c r="S54" i="177" a="1"/>
  <c r="Y9" i="177" a="1"/>
  <c r="F15" i="177" a="1"/>
  <c r="R57" i="177" a="1"/>
  <c r="Y53" i="177" a="1"/>
  <c r="C15" i="177" a="1"/>
  <c r="K51" i="177" a="1"/>
  <c r="Z64" i="177" a="1"/>
  <c r="Z62" i="177" a="1"/>
  <c r="T51" i="177" a="1"/>
  <c r="E56" i="177" a="1"/>
  <c r="V31" i="177" a="1"/>
  <c r="G58" i="177" a="1"/>
  <c r="U15" i="177" a="1"/>
  <c r="D18" i="177" a="1"/>
  <c r="U16" i="177" a="1"/>
  <c r="T5" i="177" a="1"/>
  <c r="N23" i="177" a="1"/>
  <c r="Q60" i="177" a="1"/>
  <c r="M65" i="177" a="1"/>
  <c r="S3" i="177" a="1"/>
  <c r="R3" i="177" a="1"/>
  <c r="K57" i="177" a="1"/>
  <c r="K13" i="177" a="1"/>
  <c r="J62" i="177" a="1"/>
  <c r="C9" i="177" a="1"/>
  <c r="F10" i="177" a="1"/>
  <c r="I55" i="177" a="1"/>
  <c r="T19" i="177" a="1"/>
  <c r="C8" i="177" a="1"/>
  <c r="Z20" i="177" a="1"/>
  <c r="V22" i="177" a="1"/>
  <c r="O65" i="177" a="1"/>
  <c r="S56" i="177" a="1"/>
  <c r="J22" i="177" a="1"/>
  <c r="G57" i="177" a="1"/>
  <c r="L53" i="177" a="1"/>
  <c r="U23" i="177" a="1"/>
  <c r="I25" i="177" a="1"/>
  <c r="D32" i="177" a="1"/>
  <c r="C14" i="177" a="1"/>
  <c r="W18" i="177" a="1"/>
  <c r="C18" i="177" a="1"/>
  <c r="W23" i="177" a="1"/>
  <c r="C6" i="177" a="1"/>
  <c r="H16" i="177" a="1"/>
  <c r="C54" i="177" a="1"/>
  <c r="T54" i="177" a="1"/>
  <c r="Y13" i="177" a="1"/>
  <c r="R63" i="177" a="1"/>
  <c r="N22" i="177" a="1"/>
  <c r="P20" i="177" a="1"/>
  <c r="O23" i="177" a="1"/>
  <c r="X16" i="177" a="1"/>
  <c r="E15" i="177" a="1"/>
  <c r="R54" i="177" a="1"/>
  <c r="Y30" i="177" a="1"/>
  <c r="L3" i="177" a="1"/>
  <c r="C64" i="177" a="1"/>
  <c r="T7" i="177" a="1"/>
  <c r="E17" i="177" a="1"/>
  <c r="M21" i="177" a="1"/>
  <c r="X52" i="177" a="1"/>
  <c r="Q64" i="177" a="1"/>
  <c r="O19" i="177" a="1"/>
  <c r="L4" i="177" a="1"/>
  <c r="Q13" i="177" a="1"/>
  <c r="S29" i="177" a="1"/>
  <c r="E11" i="177" a="1"/>
  <c r="O57" i="177" a="1"/>
  <c r="D19" i="177" a="1"/>
  <c r="L15" i="177" a="1"/>
  <c r="Z11" i="177" a="1"/>
  <c r="N55" i="177" a="1"/>
  <c r="S16" i="177" a="1"/>
  <c r="L23" i="177" a="1"/>
  <c r="C28" i="177" a="1"/>
  <c r="L59" i="177" a="1"/>
  <c r="M30" i="177" a="1"/>
  <c r="M7" i="177" a="1"/>
  <c r="U39" i="102" a="1"/>
  <c r="Q32" i="177" a="1"/>
  <c r="E20" i="177" a="1"/>
  <c r="Q58" i="177" a="1"/>
  <c r="C24" i="177" a="1"/>
  <c r="O25" i="177" a="1"/>
  <c r="L21" i="177" a="1"/>
  <c r="L8" i="177" a="1"/>
  <c r="V3" i="177" a="1"/>
  <c r="T22" i="177" a="1"/>
  <c r="H20" i="177" a="1"/>
  <c r="P59" i="177" a="1"/>
  <c r="C55" i="177" a="1"/>
  <c r="U26" i="177" a="1"/>
  <c r="G56" i="177" a="1"/>
  <c r="V32" i="177" a="1"/>
  <c r="L29" i="177" a="1"/>
  <c r="L11" i="177" a="1"/>
  <c r="G31" i="177" a="1"/>
  <c r="K18" i="177" a="1"/>
  <c r="D10" i="177" a="1"/>
  <c r="U30" i="102" a="1"/>
  <c r="H17" i="177" a="1"/>
  <c r="R4" i="177" a="1"/>
  <c r="W20" i="177" a="1"/>
  <c r="E54" i="177" a="1"/>
  <c r="Y28" i="177" a="1"/>
  <c r="K60" i="177" a="1"/>
  <c r="Y22" i="177" a="1"/>
  <c r="K24" i="177" a="1"/>
  <c r="Q24" i="177" a="1"/>
  <c r="U17" i="177" a="1"/>
  <c r="U3" i="177" a="1"/>
  <c r="W31" i="177" a="1"/>
  <c r="Y55" i="177" a="1"/>
  <c r="T55" i="177" a="1"/>
  <c r="D7" i="177" a="1"/>
  <c r="E7" i="177" a="1"/>
  <c r="G12" i="177" a="1"/>
  <c r="D55" i="177" a="1"/>
  <c r="N15" i="177" a="1"/>
  <c r="X13" i="177" a="1"/>
  <c r="G3" i="177" a="1"/>
  <c r="Y3" i="177" a="1"/>
  <c r="X19" i="177" a="1"/>
  <c r="F26" i="177" a="1"/>
  <c r="M5" i="177" a="1"/>
  <c r="K4" i="177" a="1"/>
  <c r="D65" i="177" a="1"/>
  <c r="N19" i="177" a="1"/>
  <c r="U6" i="177" a="1"/>
  <c r="V64" i="177" a="1"/>
  <c r="D64" i="177" a="1"/>
  <c r="E62" i="177" a="1"/>
  <c r="Q54" i="177" a="1"/>
  <c r="F56" i="177" a="1"/>
  <c r="Y21" i="177" a="1"/>
  <c r="L6" i="177" a="1"/>
  <c r="L61" i="177" a="1"/>
  <c r="Q18" i="177" a="1"/>
  <c r="I31" i="177" a="1"/>
  <c r="F23" i="177" a="1"/>
  <c r="U30" i="177" a="1"/>
  <c r="R8" i="177" a="1"/>
  <c r="Y19" i="177" a="1"/>
  <c r="Z56" i="177" a="1"/>
  <c r="U22" i="177" a="1"/>
  <c r="H24" i="177" a="1"/>
  <c r="T32" i="177" a="1"/>
  <c r="J55" i="177" a="1"/>
  <c r="T31" i="177" a="1"/>
  <c r="E64" i="177" a="1"/>
  <c r="U53" i="177" a="1"/>
  <c r="J57" i="177" a="1"/>
  <c r="V8" i="177" a="1"/>
  <c r="R13" i="177" a="1"/>
  <c r="I28" i="177" a="1"/>
  <c r="G52" i="177" a="1"/>
  <c r="I5" i="177" a="1"/>
  <c r="J14" i="177" a="1"/>
  <c r="Q33" i="177" a="1"/>
  <c r="D21" i="177" a="1"/>
  <c r="H61" i="177" a="1"/>
  <c r="K62" i="177" a="1"/>
  <c r="J58" i="177" a="1"/>
  <c r="D20" i="177" a="1"/>
  <c r="V18" i="177" a="1"/>
  <c r="Q7" i="177" a="1"/>
  <c r="O15" i="177" a="1"/>
  <c r="V9" i="177" a="1"/>
  <c r="G60" i="177" a="1"/>
  <c r="H26" i="177" a="1"/>
  <c r="L32" i="177" a="1"/>
  <c r="R10" i="177" a="1"/>
  <c r="Z23" i="177" a="1"/>
  <c r="Z9" i="177" a="1"/>
  <c r="E55" i="177" a="1"/>
  <c r="O32" i="177" a="1"/>
  <c r="S22" i="177" a="1"/>
  <c r="O17" i="177" a="1"/>
  <c r="G15" i="177" a="1"/>
  <c r="Q25" i="177" a="1"/>
  <c r="X21" i="177" a="1"/>
  <c r="V13" i="177" a="1"/>
  <c r="G11" i="177" a="1"/>
  <c r="D54" i="177" a="1"/>
  <c r="Y65" i="177" a="1"/>
  <c r="X26" i="177" a="1"/>
  <c r="K3" i="177" a="1"/>
  <c r="N53" i="177" a="1"/>
  <c r="U12" i="177" a="1"/>
  <c r="K27" i="177" a="1"/>
  <c r="G20" i="177" a="1"/>
  <c r="U11" i="177" a="1"/>
  <c r="S23" i="177" a="1"/>
  <c r="N5" i="177" a="1"/>
  <c r="G21" i="177" a="1"/>
  <c r="E8" i="177" a="1"/>
  <c r="K11" i="177" a="1"/>
  <c r="Z30" i="177" a="1"/>
  <c r="K31" i="177" a="1"/>
  <c r="O20" i="177" a="1"/>
  <c r="F60" i="177" a="1"/>
  <c r="E9" i="177" a="1"/>
  <c r="F29" i="177" a="1"/>
  <c r="Q63" i="177" a="1"/>
  <c r="T58" i="177" a="1"/>
  <c r="I61" i="177" a="1"/>
  <c r="X20" i="177" a="1"/>
  <c r="T61" i="177" a="1"/>
  <c r="P31" i="177" a="1"/>
  <c r="S26" i="177" a="1"/>
  <c r="I33" i="177" a="1"/>
  <c r="Q26" i="177" a="1"/>
  <c r="W17" i="177" a="1"/>
  <c r="M17" i="177" a="1"/>
  <c r="W52" i="177" a="1"/>
  <c r="V59" i="177" a="1"/>
  <c r="P60" i="177" a="1"/>
  <c r="P7" i="177" a="1"/>
  <c r="W6" i="177" a="1"/>
  <c r="V53" i="177" a="1"/>
  <c r="J13" i="177" a="1"/>
  <c r="D13" i="177" a="1"/>
  <c r="Z33" i="177" a="1"/>
  <c r="M12" i="177" a="1"/>
  <c r="M63" i="177" a="1"/>
  <c r="R27" i="177" a="1"/>
  <c r="S10" i="177" a="1"/>
  <c r="F30" i="177" a="1"/>
  <c r="T13" i="177" a="1"/>
  <c r="D22" i="177" a="1"/>
  <c r="F54" i="177" a="1"/>
  <c r="N13" i="177" a="1"/>
  <c r="T6" i="177" a="1"/>
  <c r="S13" i="177" a="1"/>
  <c r="F17" i="177" a="1"/>
  <c r="Q17" i="177" a="1"/>
  <c r="C31" i="177" a="1"/>
  <c r="O11" i="177" a="1"/>
  <c r="W21" i="177" a="1"/>
  <c r="H18" i="177" a="1"/>
  <c r="O54" i="177" a="1"/>
  <c r="X53" i="177" a="1"/>
  <c r="R12" i="177" a="1"/>
  <c r="N7" i="177" a="1"/>
  <c r="K21" i="177" a="1"/>
  <c r="I3" i="177" a="1"/>
  <c r="R51" i="177" a="1"/>
  <c r="F12" i="177" a="1"/>
  <c r="K63" i="177" a="1"/>
  <c r="I62" i="177" a="1"/>
  <c r="Z32" i="177" a="1"/>
  <c r="F6" i="177" a="1"/>
  <c r="S8" i="177" a="1"/>
  <c r="Y62" i="177" a="1"/>
  <c r="S12" i="177" a="1"/>
  <c r="P56" i="177" a="1"/>
  <c r="H4" i="177" a="1"/>
  <c r="N26" i="177" a="1"/>
  <c r="Y56" i="177" a="1"/>
  <c r="E16" i="177" a="1"/>
  <c r="J7" i="177" a="1"/>
  <c r="F14" i="177" l="1"/>
  <c r="Q16" i="177"/>
  <c r="V19" i="177"/>
  <c r="G60" i="177"/>
  <c r="F31" i="177"/>
  <c r="S33" i="177"/>
  <c r="X27" i="177"/>
  <c r="H27" i="177"/>
  <c r="G9" i="177"/>
  <c r="Y11" i="177"/>
  <c r="H31" i="177"/>
  <c r="Y63" i="177"/>
  <c r="W5" i="177"/>
  <c r="G65" i="177"/>
  <c r="R62" i="177"/>
  <c r="U55" i="177"/>
  <c r="E10" i="177"/>
  <c r="E26" i="177"/>
  <c r="P30" i="177"/>
  <c r="F63" i="177"/>
  <c r="I19" i="177"/>
  <c r="D54" i="177"/>
  <c r="U17" i="177"/>
  <c r="S7" i="177"/>
  <c r="R3" i="177"/>
  <c r="Q54" i="177"/>
  <c r="W59" i="177"/>
  <c r="Q7" i="177"/>
  <c r="Q14" i="177"/>
  <c r="S15" i="177"/>
  <c r="K54" i="177"/>
  <c r="R32" i="177"/>
  <c r="S31" i="177"/>
  <c r="O20" i="177"/>
  <c r="X23" i="177"/>
  <c r="E33" i="177"/>
  <c r="M59" i="177"/>
  <c r="X32" i="177"/>
  <c r="K22" i="177"/>
  <c r="I21" i="177"/>
  <c r="J62" i="177"/>
  <c r="D16" i="177"/>
  <c r="N14" i="177"/>
  <c r="Y4" i="177"/>
  <c r="G31" i="177"/>
  <c r="Y19" i="177"/>
  <c r="I18" i="177"/>
  <c r="Z6" i="177"/>
  <c r="N19" i="177"/>
  <c r="U23" i="177"/>
  <c r="P20" i="177"/>
  <c r="S23" i="177"/>
  <c r="M15" i="177"/>
  <c r="C5" i="177"/>
  <c r="K65" i="177"/>
  <c r="N21" i="177"/>
  <c r="J8" i="177"/>
  <c r="F65" i="177"/>
  <c r="J17" i="177"/>
  <c r="N3" i="177"/>
  <c r="F23" i="177"/>
  <c r="N20" i="177"/>
  <c r="H17" i="177"/>
  <c r="K3" i="177"/>
  <c r="O25" i="177"/>
  <c r="U21" i="102"/>
  <c r="M11" i="177"/>
  <c r="Z27" i="177"/>
  <c r="P23" i="177"/>
  <c r="C29" i="177"/>
  <c r="N57" i="177"/>
  <c r="C59" i="177"/>
  <c r="E61" i="177"/>
  <c r="I56" i="177"/>
  <c r="F55" i="177"/>
  <c r="Z10" i="177"/>
  <c r="E18" i="177"/>
  <c r="F12" i="177"/>
  <c r="R63" i="177"/>
  <c r="Z14" i="177"/>
  <c r="X51" i="177"/>
  <c r="K58" i="177"/>
  <c r="X24" i="177"/>
  <c r="W17" i="177"/>
  <c r="U21" i="177"/>
  <c r="O63" i="177"/>
  <c r="Z29" i="177"/>
  <c r="U10" i="177"/>
  <c r="T17" i="177"/>
  <c r="F56" i="177"/>
  <c r="M26" i="177"/>
  <c r="C52" i="177"/>
  <c r="D56" i="177"/>
  <c r="L7" i="177"/>
  <c r="S17" i="177"/>
  <c r="P18" i="177"/>
  <c r="C63" i="177"/>
  <c r="X55" i="177"/>
  <c r="H7" i="177"/>
  <c r="P54" i="177"/>
  <c r="F11" i="177"/>
  <c r="C17" i="177"/>
  <c r="D60" i="177"/>
  <c r="G18" i="177"/>
  <c r="V7" i="177"/>
  <c r="L57" i="177"/>
  <c r="J10" i="177"/>
  <c r="F13" i="177"/>
  <c r="S52" i="177"/>
  <c r="L65" i="177"/>
  <c r="V9" i="177"/>
  <c r="J23" i="177"/>
  <c r="G53" i="177"/>
  <c r="T12" i="177"/>
  <c r="I58" i="177"/>
  <c r="T7" i="177"/>
  <c r="H12" i="177"/>
  <c r="C6" i="177"/>
  <c r="D52" i="177"/>
  <c r="H32" i="177"/>
  <c r="N61" i="177"/>
  <c r="F16" i="177"/>
  <c r="P60" i="177"/>
  <c r="X5" i="177"/>
  <c r="J59" i="177"/>
  <c r="O18" i="177"/>
  <c r="Q55" i="177"/>
  <c r="C60" i="177"/>
  <c r="E23" i="177"/>
  <c r="W16" i="177"/>
  <c r="R65" i="177"/>
  <c r="M29" i="177"/>
  <c r="E16" i="177"/>
  <c r="S63" i="177"/>
  <c r="F62" i="177"/>
  <c r="C9" i="177"/>
  <c r="K16" i="177"/>
  <c r="V33" i="177"/>
  <c r="V58" i="177"/>
  <c r="D22" i="177"/>
  <c r="T53" i="177"/>
  <c r="S65" i="177"/>
  <c r="S27" i="177"/>
  <c r="H53" i="177"/>
  <c r="G10" i="177"/>
  <c r="Q56" i="177"/>
  <c r="W15" i="177"/>
  <c r="H29" i="177"/>
  <c r="T13" i="177"/>
  <c r="P55" i="177"/>
  <c r="S4" i="177"/>
  <c r="K56" i="177"/>
  <c r="E15" i="177"/>
  <c r="P63" i="177"/>
  <c r="W13" i="177"/>
  <c r="U6" i="177"/>
  <c r="P21" i="177"/>
  <c r="V55" i="177"/>
  <c r="U52" i="177"/>
  <c r="H33" i="177"/>
  <c r="I9" i="177"/>
  <c r="I29" i="177"/>
  <c r="I13" i="177"/>
  <c r="W64" i="177"/>
  <c r="E58" i="177"/>
  <c r="Q61" i="177"/>
  <c r="Z15" i="177"/>
  <c r="J30" i="177"/>
  <c r="P19" i="177"/>
  <c r="G33" i="177"/>
  <c r="T62" i="177"/>
  <c r="R14" i="177"/>
  <c r="N18" i="177"/>
  <c r="L33" i="177"/>
  <c r="L5" i="177"/>
  <c r="Y22" i="177"/>
  <c r="Y9" i="177"/>
  <c r="L20" i="177"/>
  <c r="L17" i="177"/>
  <c r="W29" i="177"/>
  <c r="K10" i="177"/>
  <c r="C24" i="177"/>
  <c r="Y29" i="177"/>
  <c r="L12" i="177"/>
  <c r="D5" i="177"/>
  <c r="V24" i="177"/>
  <c r="I5" i="177"/>
  <c r="Z18" i="177"/>
  <c r="L56" i="177"/>
  <c r="W58" i="177"/>
  <c r="I31" i="177"/>
  <c r="Y31" i="177"/>
  <c r="V64" i="177"/>
  <c r="U30" i="102"/>
  <c r="R21" i="177"/>
  <c r="H52" i="177"/>
  <c r="O19" i="177"/>
  <c r="R54" i="177"/>
  <c r="J28" i="177"/>
  <c r="T60" i="177"/>
  <c r="F30" i="177"/>
  <c r="S9" i="177"/>
  <c r="Z60" i="177"/>
  <c r="I20" i="177"/>
  <c r="P10" i="177"/>
  <c r="W63" i="177"/>
  <c r="C53" i="177"/>
  <c r="O4" i="177"/>
  <c r="V23" i="177"/>
  <c r="W21" i="177"/>
  <c r="D32" i="177"/>
  <c r="H18" i="177"/>
  <c r="R57" i="177"/>
  <c r="U28" i="177"/>
  <c r="Z21" i="177"/>
  <c r="J22" i="177"/>
  <c r="U58" i="177"/>
  <c r="G5" i="177"/>
  <c r="H62" i="177"/>
  <c r="F28" i="177"/>
  <c r="D17" i="177"/>
  <c r="P7" i="177"/>
  <c r="O23" i="177"/>
  <c r="F60" i="177"/>
  <c r="Y18" i="177"/>
  <c r="U20" i="177"/>
  <c r="C20" i="177"/>
  <c r="Z58" i="177"/>
  <c r="X16" i="177"/>
  <c r="J64" i="177"/>
  <c r="M33" i="177"/>
  <c r="X25" i="177"/>
  <c r="C22" i="177"/>
  <c r="M16" i="177"/>
  <c r="E51" i="177"/>
  <c r="R17" i="177"/>
  <c r="E29" i="177"/>
  <c r="L25" i="177"/>
  <c r="E12" i="177"/>
  <c r="F24" i="177"/>
  <c r="P29" i="177"/>
  <c r="C7" i="177"/>
  <c r="R15" i="177"/>
  <c r="W11" i="177"/>
  <c r="V21" i="177"/>
  <c r="E55" i="177"/>
  <c r="K32" i="177"/>
  <c r="U8" i="177"/>
  <c r="P26" i="177"/>
  <c r="Q18" i="177"/>
  <c r="Y17" i="177"/>
  <c r="K13" i="177"/>
  <c r="G6" i="177"/>
  <c r="E11" i="177"/>
  <c r="H13" i="177"/>
  <c r="Q13" i="177"/>
  <c r="U16" i="177"/>
  <c r="H56" i="177"/>
  <c r="J27" i="177"/>
  <c r="T58" i="177"/>
  <c r="L52" i="177"/>
  <c r="L19" i="177"/>
  <c r="P57" i="177"/>
  <c r="S11" i="177"/>
  <c r="N56" i="177"/>
  <c r="E19" i="177"/>
  <c r="D11" i="177"/>
  <c r="V57" i="177"/>
  <c r="O52" i="177"/>
  <c r="D31" i="177"/>
  <c r="S14" i="177"/>
  <c r="X57" i="177"/>
  <c r="O11" i="177"/>
  <c r="C10" i="177"/>
  <c r="U61" i="177"/>
  <c r="X58" i="177"/>
  <c r="P53" i="177"/>
  <c r="I54" i="177"/>
  <c r="N23" i="177"/>
  <c r="I62" i="177"/>
  <c r="X20" i="177"/>
  <c r="O17" i="177"/>
  <c r="F32" i="177"/>
  <c r="L61" i="177"/>
  <c r="Z28" i="177"/>
  <c r="Y33" i="177"/>
  <c r="K57" i="177"/>
  <c r="O7" i="177"/>
  <c r="F15" i="177"/>
  <c r="G54" i="177"/>
  <c r="P24" i="177"/>
  <c r="D64" i="177"/>
  <c r="U63" i="177"/>
  <c r="C3" i="177"/>
  <c r="E7" i="177"/>
  <c r="K20" i="177"/>
  <c r="R8" i="177"/>
  <c r="K9" i="177"/>
  <c r="X30" i="177"/>
  <c r="S61" i="177"/>
  <c r="U59" i="177"/>
  <c r="U7" i="177"/>
  <c r="Y27" i="177"/>
  <c r="L14" i="177"/>
  <c r="F9" i="177"/>
  <c r="M51" i="177"/>
  <c r="Y56" i="177"/>
  <c r="J54" i="177"/>
  <c r="V56" i="177"/>
  <c r="G58" i="177"/>
  <c r="T5" i="177"/>
  <c r="C31" i="177"/>
  <c r="C16" i="177"/>
  <c r="K59" i="177"/>
  <c r="R22" i="177"/>
  <c r="F7" i="177"/>
  <c r="Y15" i="177"/>
  <c r="M5" i="177"/>
  <c r="W54" i="177"/>
  <c r="V5" i="177"/>
  <c r="T4" i="177"/>
  <c r="L31" i="177"/>
  <c r="K8" i="177"/>
  <c r="U53" i="177"/>
  <c r="G27" i="177"/>
  <c r="J53" i="177"/>
  <c r="U19" i="177"/>
  <c r="Z59" i="177"/>
  <c r="Q25" i="177"/>
  <c r="U54" i="177"/>
  <c r="M8" i="177"/>
  <c r="C65" i="177"/>
  <c r="J15" i="177"/>
  <c r="C19" i="177"/>
  <c r="L58" i="177"/>
  <c r="Y58" i="177"/>
  <c r="K26" i="177"/>
  <c r="G29" i="177"/>
  <c r="Q60" i="177"/>
  <c r="N62" i="177"/>
  <c r="H20" i="177"/>
  <c r="D29" i="177"/>
  <c r="F51" i="177"/>
  <c r="Q33" i="177"/>
  <c r="W33" i="177"/>
  <c r="O31" i="177"/>
  <c r="Y6" i="177"/>
  <c r="G28" i="177"/>
  <c r="O26" i="177"/>
  <c r="Q8" i="177"/>
  <c r="U20" i="102"/>
  <c r="S12" i="177"/>
  <c r="F52" i="177"/>
  <c r="E13" i="177"/>
  <c r="N8" i="177"/>
  <c r="U62" i="177"/>
  <c r="L55" i="177"/>
  <c r="Z4" i="177"/>
  <c r="K25" i="177"/>
  <c r="P28" i="177"/>
  <c r="G30" i="177"/>
  <c r="T30" i="177"/>
  <c r="M14" i="177"/>
  <c r="E4" i="177"/>
  <c r="G24" i="177"/>
  <c r="S19" i="177"/>
  <c r="R23" i="177"/>
  <c r="C26" i="177"/>
  <c r="O8" i="177"/>
  <c r="V6" i="177"/>
  <c r="K62" i="177"/>
  <c r="W4" i="177"/>
  <c r="M60" i="177"/>
  <c r="S10" i="177"/>
  <c r="Q12" i="177"/>
  <c r="C18" i="177"/>
  <c r="E60" i="177"/>
  <c r="W12" i="177"/>
  <c r="C57" i="177"/>
  <c r="V17" i="177"/>
  <c r="V61" i="177"/>
  <c r="U57" i="177"/>
  <c r="E57" i="177"/>
  <c r="P4" i="177"/>
  <c r="X63" i="177"/>
  <c r="Y23" i="177"/>
  <c r="H16" i="177"/>
  <c r="C32" i="177"/>
  <c r="N51" i="177"/>
  <c r="S55" i="177"/>
  <c r="X17" i="177"/>
  <c r="V15" i="177"/>
  <c r="N59" i="177"/>
  <c r="S53" i="177"/>
  <c r="P14" i="177"/>
  <c r="M62" i="177"/>
  <c r="X8" i="177"/>
  <c r="I23" i="177"/>
  <c r="Z11" i="177"/>
  <c r="Y8" i="177"/>
  <c r="F4" i="177"/>
  <c r="V32" i="177"/>
  <c r="R53" i="177"/>
  <c r="H14" i="177"/>
  <c r="C54" i="177"/>
  <c r="F53" i="177"/>
  <c r="D26" i="177"/>
  <c r="K52" i="177"/>
  <c r="R9" i="177"/>
  <c r="E3" i="177"/>
  <c r="L64" i="177"/>
  <c r="D7" i="177"/>
  <c r="R4" i="177"/>
  <c r="F33" i="177"/>
  <c r="S18" i="177"/>
  <c r="O55" i="177"/>
  <c r="I7" i="177"/>
  <c r="V26" i="177"/>
  <c r="H55" i="177"/>
  <c r="G13" i="177"/>
  <c r="I53" i="177"/>
  <c r="E63" i="177"/>
  <c r="J9" i="177"/>
  <c r="U29" i="102"/>
  <c r="O32" i="177"/>
  <c r="Y53" i="177"/>
  <c r="J6" i="177"/>
  <c r="R56" i="177"/>
  <c r="N54" i="177"/>
  <c r="S8" i="177"/>
  <c r="F20" i="177"/>
  <c r="H58" i="177"/>
  <c r="D27" i="177"/>
  <c r="C28" i="177"/>
  <c r="M9" i="177"/>
  <c r="Y54" i="177"/>
  <c r="L3" i="177"/>
  <c r="F27" i="177"/>
  <c r="I51" i="177"/>
  <c r="P62" i="177"/>
  <c r="V25" i="177"/>
  <c r="G63" i="177"/>
  <c r="S29" i="177"/>
  <c r="U15" i="177"/>
  <c r="Z22" i="177"/>
  <c r="Y55" i="177"/>
  <c r="Q64" i="177"/>
  <c r="E14" i="177"/>
  <c r="V14" i="177"/>
  <c r="F8" i="177"/>
  <c r="S25" i="177"/>
  <c r="D8" i="177"/>
  <c r="I24" i="177"/>
  <c r="W57" i="177"/>
  <c r="W28" i="177"/>
  <c r="H30" i="177"/>
  <c r="M7" i="177"/>
  <c r="R6" i="177"/>
  <c r="R7" i="177"/>
  <c r="Q51" i="177"/>
  <c r="Y32" i="177"/>
  <c r="Z5" i="177"/>
  <c r="M10" i="177"/>
  <c r="H24" i="177"/>
  <c r="E53" i="177"/>
  <c r="U31" i="177"/>
  <c r="V8" i="177"/>
  <c r="W53" i="177"/>
  <c r="V16" i="177"/>
  <c r="T32" i="177"/>
  <c r="K4" i="177"/>
  <c r="C51" i="177"/>
  <c r="L22" i="177"/>
  <c r="M54" i="177"/>
  <c r="D62" i="177"/>
  <c r="G57" i="177"/>
  <c r="O58" i="177"/>
  <c r="W6" i="177"/>
  <c r="V13" i="177"/>
  <c r="Y61" i="177"/>
  <c r="E25" i="177"/>
  <c r="D53" i="177"/>
  <c r="J55" i="177"/>
  <c r="G52" i="177"/>
  <c r="F17" i="177"/>
  <c r="W26" i="177"/>
  <c r="I6" i="177"/>
  <c r="K61" i="177"/>
  <c r="D59" i="177"/>
  <c r="Z23" i="177"/>
  <c r="X52" i="177"/>
  <c r="H22" i="177"/>
  <c r="I28" i="177"/>
  <c r="J19" i="177"/>
  <c r="U30" i="177"/>
  <c r="I15" i="177"/>
  <c r="Q58" i="177"/>
  <c r="L32" i="177"/>
  <c r="J65" i="177"/>
  <c r="P9" i="177"/>
  <c r="W20" i="177"/>
  <c r="J7" i="177"/>
  <c r="T25" i="177"/>
  <c r="G62" i="177"/>
  <c r="K55" i="177"/>
  <c r="H61" i="177"/>
  <c r="Z61" i="177"/>
  <c r="N29" i="177"/>
  <c r="G56" i="177"/>
  <c r="K30" i="177"/>
  <c r="H5" i="177"/>
  <c r="T22" i="177"/>
  <c r="E62" i="177"/>
  <c r="R12" i="177"/>
  <c r="Z30" i="177"/>
  <c r="Y30" i="177"/>
  <c r="W7" i="177"/>
  <c r="J26" i="177"/>
  <c r="H9" i="177"/>
  <c r="I16" i="177"/>
  <c r="Q59" i="177"/>
  <c r="J61" i="177"/>
  <c r="N52" i="177"/>
  <c r="V65" i="177"/>
  <c r="C33" i="177"/>
  <c r="K60" i="177"/>
  <c r="R60" i="177"/>
  <c r="T21" i="177"/>
  <c r="E6" i="177"/>
  <c r="U32" i="177"/>
  <c r="R28" i="177"/>
  <c r="T56" i="177"/>
  <c r="V62" i="177"/>
  <c r="M64" i="177"/>
  <c r="X28" i="177"/>
  <c r="D55" i="177"/>
  <c r="C56" i="177"/>
  <c r="Z33" i="177"/>
  <c r="N60" i="177"/>
  <c r="L13" i="177"/>
  <c r="T3" i="177"/>
  <c r="G59" i="177"/>
  <c r="X29" i="177"/>
  <c r="J60" i="177"/>
  <c r="H11" i="177"/>
  <c r="Z57" i="177"/>
  <c r="E8" i="177"/>
  <c r="X3" i="177"/>
  <c r="O13" i="177"/>
  <c r="F26" i="177"/>
  <c r="P8" i="177"/>
  <c r="C15" i="177"/>
  <c r="D4" i="177"/>
  <c r="F54" i="177"/>
  <c r="T61" i="177"/>
  <c r="C62" i="177"/>
  <c r="S62" i="177"/>
  <c r="Y59" i="177"/>
  <c r="D20" i="177"/>
  <c r="G16" i="177"/>
  <c r="O61" i="177"/>
  <c r="E28" i="177"/>
  <c r="Z12" i="177"/>
  <c r="S59" i="177"/>
  <c r="Z25" i="177"/>
  <c r="X15" i="177"/>
  <c r="O6" i="177"/>
  <c r="U14" i="177"/>
  <c r="H25" i="177"/>
  <c r="U33" i="177"/>
  <c r="G14" i="177"/>
  <c r="T20" i="177"/>
  <c r="T28" i="177"/>
  <c r="Z24" i="177"/>
  <c r="Q31" i="177"/>
  <c r="I55" i="177"/>
  <c r="I8" i="177"/>
  <c r="G7" i="177"/>
  <c r="R55" i="177"/>
  <c r="N32" i="177"/>
  <c r="M18" i="177"/>
  <c r="Q15" i="177"/>
  <c r="Z7" i="177"/>
  <c r="D24" i="177"/>
  <c r="H57" i="177"/>
  <c r="L9" i="177"/>
  <c r="G51" i="177"/>
  <c r="H23" i="177"/>
  <c r="G12" i="177"/>
  <c r="C14" i="177"/>
  <c r="J18" i="177"/>
  <c r="Y5" i="177"/>
  <c r="R19" i="177"/>
  <c r="F64" i="177"/>
  <c r="S58" i="177"/>
  <c r="E31" i="177"/>
  <c r="D25" i="177"/>
  <c r="J57" i="177"/>
  <c r="U11" i="177"/>
  <c r="H60" i="177"/>
  <c r="R20" i="177"/>
  <c r="Q62" i="177"/>
  <c r="X53" i="177"/>
  <c r="G61" i="177"/>
  <c r="F59" i="177"/>
  <c r="C30" i="177"/>
  <c r="N27" i="177"/>
  <c r="K17" i="177"/>
  <c r="K63" i="177"/>
  <c r="I60" i="177"/>
  <c r="Y25" i="177"/>
  <c r="L18" i="177"/>
  <c r="O22" i="177"/>
  <c r="O14" i="177"/>
  <c r="M52" i="177"/>
  <c r="T15" i="177"/>
  <c r="L6" i="177"/>
  <c r="N64" i="177"/>
  <c r="T11" i="177"/>
  <c r="D28" i="177"/>
  <c r="S5" i="177"/>
  <c r="I61" i="177"/>
  <c r="G32" i="177"/>
  <c r="D18" i="177"/>
  <c r="R27" i="177"/>
  <c r="N26" i="177"/>
  <c r="V59" i="177"/>
  <c r="P17" i="177"/>
  <c r="Z3" i="177"/>
  <c r="K29" i="177"/>
  <c r="N24" i="177"/>
  <c r="Q22" i="177"/>
  <c r="C13" i="177"/>
  <c r="O3" i="177"/>
  <c r="W32" i="177"/>
  <c r="N6" i="177"/>
  <c r="V3" i="177"/>
  <c r="G21" i="177"/>
  <c r="J21" i="177"/>
  <c r="I63" i="177"/>
  <c r="Q24" i="177"/>
  <c r="D13" i="177"/>
  <c r="E65" i="177"/>
  <c r="R61" i="177"/>
  <c r="Y52" i="177"/>
  <c r="U26" i="177"/>
  <c r="K12" i="177"/>
  <c r="U18" i="177"/>
  <c r="F5" i="177"/>
  <c r="L63" i="177"/>
  <c r="F57" i="177"/>
  <c r="C64" i="177"/>
  <c r="H54" i="177"/>
  <c r="J24" i="177"/>
  <c r="D15" i="177"/>
  <c r="N7" i="177"/>
  <c r="C12" i="177"/>
  <c r="D10" i="177"/>
  <c r="S20" i="177"/>
  <c r="F29" i="177"/>
  <c r="E27" i="177"/>
  <c r="M23" i="177"/>
  <c r="Y65" i="177"/>
  <c r="O30" i="177"/>
  <c r="W30" i="177"/>
  <c r="Z17" i="177"/>
  <c r="V11" i="177"/>
  <c r="U4" i="177"/>
  <c r="E64" i="177"/>
  <c r="O24" i="177"/>
  <c r="L11" i="177"/>
  <c r="M65" i="177"/>
  <c r="T29" i="177"/>
  <c r="J58" i="177"/>
  <c r="Z16" i="177"/>
  <c r="M20" i="177"/>
  <c r="T59" i="177"/>
  <c r="E5" i="177"/>
  <c r="L15" i="177"/>
  <c r="L8" i="177"/>
  <c r="U22" i="177"/>
  <c r="Z26" i="177"/>
  <c r="Z65" i="177"/>
  <c r="O33" i="177"/>
  <c r="X62" i="177"/>
  <c r="I33" i="177"/>
  <c r="U56" i="177"/>
  <c r="N31" i="177"/>
  <c r="Y3" i="177"/>
  <c r="Q23" i="177"/>
  <c r="D65" i="177"/>
  <c r="E54" i="177"/>
  <c r="I59" i="177"/>
  <c r="X26" i="177"/>
  <c r="Y64" i="177"/>
  <c r="Z9" i="177"/>
  <c r="T8" i="177"/>
  <c r="R5" i="177"/>
  <c r="G4" i="177"/>
  <c r="U9" i="102"/>
  <c r="P12" i="177"/>
  <c r="G3" i="177"/>
  <c r="U29" i="177"/>
  <c r="U65" i="177"/>
  <c r="G55" i="177"/>
  <c r="M30" i="177"/>
  <c r="P58" i="177"/>
  <c r="U39" i="102"/>
  <c r="M57" i="177"/>
  <c r="R10" i="177"/>
  <c r="X31" i="177"/>
  <c r="U40" i="102"/>
  <c r="P11" i="177"/>
  <c r="F21" i="177"/>
  <c r="W31" i="177"/>
  <c r="O15" i="177"/>
  <c r="I64" i="177"/>
  <c r="V12" i="177"/>
  <c r="N10" i="177"/>
  <c r="Y26" i="177"/>
  <c r="E59" i="177"/>
  <c r="Z52" i="177"/>
  <c r="H59" i="177"/>
  <c r="U12" i="177"/>
  <c r="C25" i="177"/>
  <c r="S28" i="177"/>
  <c r="J11" i="177"/>
  <c r="T52" i="177"/>
  <c r="T55" i="177"/>
  <c r="W60" i="177"/>
  <c r="T18" i="177"/>
  <c r="G26" i="177"/>
  <c r="V22" i="177"/>
  <c r="K11" i="177"/>
  <c r="Y62" i="177"/>
  <c r="J25" i="177"/>
  <c r="R31" i="177"/>
  <c r="K53" i="177"/>
  <c r="H19" i="177"/>
  <c r="Q29" i="177"/>
  <c r="J29" i="177"/>
  <c r="J33" i="177"/>
  <c r="Y21" i="177"/>
  <c r="O53" i="177"/>
  <c r="W61" i="177"/>
  <c r="I30" i="177"/>
  <c r="X7" i="177"/>
  <c r="N4" i="177"/>
  <c r="Q20" i="177"/>
  <c r="S21" i="177"/>
  <c r="U27" i="177"/>
  <c r="F18" i="177"/>
  <c r="Q3" i="177"/>
  <c r="K5" i="177"/>
  <c r="L16" i="177"/>
  <c r="D21" i="177"/>
  <c r="C21" i="177"/>
  <c r="P22" i="177"/>
  <c r="U60" i="177"/>
  <c r="S16" i="177"/>
  <c r="N55" i="177"/>
  <c r="H21" i="177"/>
  <c r="Y51" i="177"/>
  <c r="K28" i="177"/>
  <c r="D58" i="177"/>
  <c r="R64" i="177"/>
  <c r="P16" i="177"/>
  <c r="Y28" i="177"/>
  <c r="Y57" i="177"/>
  <c r="Q28" i="177"/>
  <c r="O51" i="177"/>
  <c r="K18" i="177"/>
  <c r="T6" i="177"/>
  <c r="V29" i="177"/>
  <c r="S64" i="177"/>
  <c r="Q63" i="177"/>
  <c r="Q32" i="177"/>
  <c r="J3" i="177"/>
  <c r="L29" i="177"/>
  <c r="J12" i="177"/>
  <c r="W9" i="177"/>
  <c r="Z55" i="177"/>
  <c r="X11" i="177"/>
  <c r="M63" i="177"/>
  <c r="Z64" i="177"/>
  <c r="G64" i="177"/>
  <c r="F61" i="177"/>
  <c r="T63" i="177"/>
  <c r="N13" i="177"/>
  <c r="M4" i="177"/>
  <c r="Q4" i="177"/>
  <c r="Z31" i="177"/>
  <c r="J16" i="177"/>
  <c r="X60" i="177"/>
  <c r="T54" i="177"/>
  <c r="L59" i="177"/>
  <c r="X18" i="177"/>
  <c r="Y60" i="177"/>
  <c r="M6" i="177"/>
  <c r="X59" i="177"/>
  <c r="P6" i="177"/>
  <c r="S24" i="177"/>
  <c r="E56" i="177"/>
  <c r="R58" i="177"/>
  <c r="L28" i="177"/>
  <c r="M3" i="177"/>
  <c r="K7" i="177"/>
  <c r="V18" i="177"/>
  <c r="X14" i="177"/>
  <c r="D51" i="177"/>
  <c r="M19" i="177"/>
  <c r="M22" i="177"/>
  <c r="T26" i="177"/>
  <c r="I25" i="177"/>
  <c r="Q57" i="177"/>
  <c r="M17" i="177"/>
  <c r="V63" i="177"/>
  <c r="L53" i="177"/>
  <c r="D3" i="177"/>
  <c r="J52" i="177"/>
  <c r="H15" i="177"/>
  <c r="Q10" i="177"/>
  <c r="U24" i="177"/>
  <c r="U31" i="102"/>
  <c r="I14" i="177"/>
  <c r="O64" i="177"/>
  <c r="V28" i="177"/>
  <c r="E52" i="177"/>
  <c r="X65" i="177"/>
  <c r="J63" i="177"/>
  <c r="R33" i="177"/>
  <c r="M56" i="177"/>
  <c r="W24" i="177"/>
  <c r="W65" i="177"/>
  <c r="H4" i="177"/>
  <c r="Q19" i="177"/>
  <c r="L60" i="177"/>
  <c r="X33" i="177"/>
  <c r="M27" i="177"/>
  <c r="R30" i="177"/>
  <c r="L26" i="177"/>
  <c r="Z62" i="177"/>
  <c r="K14" i="177"/>
  <c r="Y12" i="177"/>
  <c r="C58" i="177"/>
  <c r="J20" i="177"/>
  <c r="T16" i="177"/>
  <c r="J51" i="177"/>
  <c r="Q11" i="177"/>
  <c r="K51" i="177"/>
  <c r="J13" i="177"/>
  <c r="L4" i="177"/>
  <c r="P59" i="177"/>
  <c r="E32" i="177"/>
  <c r="D14" i="177"/>
  <c r="O21" i="177"/>
  <c r="F58" i="177"/>
  <c r="W51" i="177"/>
  <c r="R25" i="177"/>
  <c r="N16" i="177"/>
  <c r="O29" i="177"/>
  <c r="D30" i="177"/>
  <c r="S30" i="177"/>
  <c r="X4" i="177"/>
  <c r="Q53" i="177"/>
  <c r="N33" i="177"/>
  <c r="Y24" i="177"/>
  <c r="Z32" i="177"/>
  <c r="K33" i="177"/>
  <c r="U3" i="177"/>
  <c r="K64" i="177"/>
  <c r="X12" i="177"/>
  <c r="O10" i="177"/>
  <c r="H51" i="177"/>
  <c r="M53" i="177"/>
  <c r="I57" i="177"/>
  <c r="M13" i="177"/>
  <c r="L30" i="177"/>
  <c r="E20" i="177"/>
  <c r="U13" i="177"/>
  <c r="W10" i="177"/>
  <c r="H3" i="177"/>
  <c r="L21" i="177"/>
  <c r="C55" i="177"/>
  <c r="I26" i="177"/>
  <c r="N9" i="177"/>
  <c r="P33" i="177"/>
  <c r="F6" i="177"/>
  <c r="R26" i="177"/>
  <c r="N12" i="177"/>
  <c r="L10" i="177"/>
  <c r="M12" i="177"/>
  <c r="N17" i="177"/>
  <c r="G25" i="177"/>
  <c r="Y14" i="177"/>
  <c r="P51" i="177"/>
  <c r="O12" i="177"/>
  <c r="W52" i="177"/>
  <c r="Q21" i="177"/>
  <c r="K27" i="177"/>
  <c r="L62" i="177"/>
  <c r="V30" i="177"/>
  <c r="I27" i="177"/>
  <c r="S60" i="177"/>
  <c r="V60" i="177"/>
  <c r="S32" i="177"/>
  <c r="J4" i="177"/>
  <c r="L24" i="177"/>
  <c r="S51" i="177"/>
  <c r="R59" i="177"/>
  <c r="O57" i="177"/>
  <c r="J5" i="177"/>
  <c r="P3" i="177"/>
  <c r="I10" i="177"/>
  <c r="K15" i="177"/>
  <c r="I12" i="177"/>
  <c r="Z53" i="177"/>
  <c r="P31" i="177"/>
  <c r="E17" i="177"/>
  <c r="W19" i="177"/>
  <c r="F22" i="177"/>
  <c r="X64" i="177"/>
  <c r="W18" i="177"/>
  <c r="T9" i="177"/>
  <c r="Y13" i="177"/>
  <c r="E9" i="177"/>
  <c r="O27" i="177"/>
  <c r="X21" i="177"/>
  <c r="V20" i="177"/>
  <c r="N22" i="177"/>
  <c r="X9" i="177"/>
  <c r="W3" i="177"/>
  <c r="O60" i="177"/>
  <c r="L23" i="177"/>
  <c r="Y16" i="177"/>
  <c r="G23" i="177"/>
  <c r="X22" i="177"/>
  <c r="P52" i="177"/>
  <c r="T24" i="177"/>
  <c r="D6" i="177"/>
  <c r="K6" i="177"/>
  <c r="U5" i="177"/>
  <c r="H64" i="177"/>
  <c r="O54" i="177"/>
  <c r="K24" i="177"/>
  <c r="T14" i="177"/>
  <c r="L27" i="177"/>
  <c r="G8" i="177"/>
  <c r="V54" i="177"/>
  <c r="L54" i="177"/>
  <c r="G20" i="177"/>
  <c r="I32" i="177"/>
  <c r="I3" i="177"/>
  <c r="C23" i="177"/>
  <c r="O28" i="177"/>
  <c r="N30" i="177"/>
  <c r="S3" i="177"/>
  <c r="R18" i="177"/>
  <c r="I4" i="177"/>
  <c r="M28" i="177"/>
  <c r="R16" i="177"/>
  <c r="Q52" i="177"/>
  <c r="N65" i="177"/>
  <c r="H65" i="177"/>
  <c r="T33" i="177"/>
  <c r="G11" i="177"/>
  <c r="X13" i="177"/>
  <c r="T65" i="177"/>
  <c r="O9" i="177"/>
  <c r="T23" i="177"/>
  <c r="O62" i="177"/>
  <c r="S6" i="177"/>
  <c r="M25" i="177"/>
  <c r="X56" i="177"/>
  <c r="E21" i="177"/>
  <c r="V27" i="177"/>
  <c r="G15" i="177"/>
  <c r="D12" i="177"/>
  <c r="C61" i="177"/>
  <c r="F10" i="177"/>
  <c r="V52" i="177"/>
  <c r="K31" i="177"/>
  <c r="K19" i="177"/>
  <c r="D9" i="177"/>
  <c r="I65" i="177"/>
  <c r="E24" i="177"/>
  <c r="U64" i="177"/>
  <c r="N28" i="177"/>
  <c r="X61" i="177"/>
  <c r="S22" i="177"/>
  <c r="T51" i="177"/>
  <c r="P25" i="177"/>
  <c r="T31" i="177"/>
  <c r="J32" i="177"/>
  <c r="T57" i="177"/>
  <c r="R24" i="177"/>
  <c r="T27" i="177"/>
  <c r="S57" i="177"/>
  <c r="O56" i="177"/>
  <c r="L51" i="177"/>
  <c r="Z8" i="177"/>
  <c r="H63" i="177"/>
  <c r="W14" i="177"/>
  <c r="P27" i="177"/>
  <c r="Z20" i="177"/>
  <c r="W27" i="177"/>
  <c r="D57" i="177"/>
  <c r="U51" i="177"/>
  <c r="H6" i="177"/>
  <c r="M58" i="177"/>
  <c r="M24" i="177"/>
  <c r="I11" i="177"/>
  <c r="P56" i="177"/>
  <c r="N5" i="177"/>
  <c r="Q5" i="177"/>
  <c r="O5" i="177"/>
  <c r="N11" i="177"/>
  <c r="Y7" i="177"/>
  <c r="S13" i="177"/>
  <c r="O16" i="177"/>
  <c r="C8" i="177"/>
  <c r="Y20" i="177"/>
  <c r="N53" i="177"/>
  <c r="T10" i="177"/>
  <c r="F25" i="177"/>
  <c r="H28" i="177"/>
  <c r="V4" i="177"/>
  <c r="N63" i="177"/>
  <c r="Z13" i="177"/>
  <c r="H10" i="177"/>
  <c r="X6" i="177"/>
  <c r="P65" i="177"/>
  <c r="X54" i="177"/>
  <c r="F3" i="177"/>
  <c r="W23" i="177"/>
  <c r="W56" i="177"/>
  <c r="K23" i="177"/>
  <c r="P15" i="177"/>
  <c r="S54" i="177"/>
  <c r="Q17" i="177"/>
  <c r="W25" i="177"/>
  <c r="I52" i="177"/>
  <c r="J56" i="177"/>
  <c r="H8" i="177"/>
  <c r="X10" i="177"/>
  <c r="V10" i="177"/>
  <c r="Q9" i="177"/>
  <c r="K21" i="177"/>
  <c r="J31" i="177"/>
  <c r="S56" i="177"/>
  <c r="Q65" i="177"/>
  <c r="S26" i="177"/>
  <c r="D63" i="177"/>
  <c r="P5" i="177"/>
  <c r="O65" i="177"/>
  <c r="Z56" i="177"/>
  <c r="Z51" i="177"/>
  <c r="M32" i="177"/>
  <c r="P13" i="177"/>
  <c r="T19" i="177"/>
  <c r="P61" i="177"/>
  <c r="N58" i="177"/>
  <c r="Q6" i="177"/>
  <c r="M55" i="177"/>
  <c r="M61" i="177"/>
  <c r="Q27" i="177"/>
  <c r="V53" i="177"/>
  <c r="R11" i="177"/>
  <c r="W22" i="177"/>
  <c r="M21" i="177"/>
  <c r="Z63" i="177"/>
  <c r="R51" i="177"/>
  <c r="V31" i="177"/>
  <c r="Q30" i="177"/>
  <c r="O59" i="177"/>
  <c r="E22" i="177"/>
  <c r="E30" i="177"/>
  <c r="F19" i="177"/>
  <c r="P32" i="177"/>
  <c r="M31" i="177"/>
  <c r="Z54" i="177"/>
  <c r="I22" i="177"/>
  <c r="Z19" i="177"/>
  <c r="N25" i="177"/>
  <c r="P64" i="177"/>
  <c r="X19" i="177"/>
  <c r="R13" i="177"/>
  <c r="R29" i="177"/>
  <c r="N15" i="177"/>
  <c r="D61" i="177"/>
  <c r="U25" i="177"/>
  <c r="G22" i="177"/>
  <c r="V51" i="177"/>
  <c r="Y10" i="177"/>
  <c r="R52" i="177"/>
  <c r="U28" i="102"/>
  <c r="J14" i="177"/>
  <c r="T64" i="177"/>
  <c r="Q26" i="177"/>
  <c r="U9" i="177"/>
  <c r="H26" i="177"/>
  <c r="D23" i="177"/>
  <c r="C27" i="177"/>
  <c r="W8" i="177"/>
  <c r="I17" i="177"/>
  <c r="G19" i="177"/>
  <c r="W62" i="177"/>
  <c r="D19" i="177"/>
  <c r="G17" i="177"/>
  <c r="D33" i="177"/>
  <c r="W55" i="177"/>
  <c r="A251" i="79"/>
  <c r="C248" i="79"/>
  <c r="C247" i="79"/>
  <c r="A250" i="79"/>
  <c r="AB58" i="177" l="1"/>
  <c r="AB55" i="177"/>
  <c r="AB64" i="177"/>
  <c r="AB62" i="177"/>
  <c r="AB51" i="177"/>
  <c r="AB60" i="177"/>
  <c r="AB52" i="177"/>
  <c r="AB59" i="177"/>
  <c r="AB61" i="177"/>
  <c r="AB57" i="177"/>
  <c r="AB53" i="177"/>
  <c r="AB56" i="177"/>
  <c r="AB54" i="177"/>
  <c r="AB63" i="177"/>
  <c r="J1" i="177"/>
  <c r="U25" i="102"/>
  <c r="U36" i="102"/>
  <c r="U17" i="102"/>
  <c r="E1" i="177"/>
  <c r="I1" i="177"/>
  <c r="F1" i="177"/>
  <c r="H1" i="177"/>
  <c r="G1" i="177"/>
  <c r="A253" i="79"/>
  <c r="C250" i="79"/>
  <c r="A254" i="79"/>
  <c r="C251" i="79"/>
  <c r="A257" i="79" l="1"/>
  <c r="C254" i="79"/>
  <c r="C253" i="79"/>
  <c r="A256" i="79"/>
  <c r="A259" i="79" l="1"/>
  <c r="C256" i="79"/>
  <c r="A260" i="79"/>
  <c r="C257" i="79"/>
  <c r="A263" i="79" l="1"/>
  <c r="C260" i="79"/>
  <c r="C259" i="79"/>
  <c r="A262" i="79"/>
  <c r="A265" i="79" l="1"/>
  <c r="C262" i="79"/>
  <c r="A266" i="79"/>
  <c r="C263" i="79"/>
  <c r="A269" i="79" l="1"/>
  <c r="C266" i="79"/>
  <c r="C265" i="79"/>
  <c r="A268" i="79"/>
  <c r="A271" i="79" l="1"/>
  <c r="C268" i="79"/>
  <c r="A272" i="79"/>
  <c r="C269" i="79"/>
  <c r="A275" i="79" l="1"/>
  <c r="C272" i="79"/>
  <c r="C271" i="79"/>
  <c r="A274" i="79"/>
  <c r="A277" i="79" l="1"/>
  <c r="C274" i="79"/>
  <c r="A278" i="79"/>
  <c r="C275" i="79"/>
  <c r="C278" i="79" l="1"/>
  <c r="A281" i="79"/>
  <c r="C277" i="79"/>
  <c r="A280" i="79"/>
  <c r="R39" i="102"/>
  <c r="S40" i="102"/>
  <c r="R9" i="102"/>
  <c r="Q29" i="102"/>
  <c r="P29" i="102"/>
  <c r="S20" i="102"/>
  <c r="Q9" i="102"/>
  <c r="R40" i="102"/>
  <c r="S9" i="102"/>
  <c r="S31" i="102"/>
  <c r="S39" i="102"/>
  <c r="S32" i="102"/>
  <c r="S21" i="102"/>
  <c r="Q39" i="102"/>
  <c r="S30" i="102"/>
  <c r="P39" i="102"/>
  <c r="Q28" i="102"/>
  <c r="R32" i="102"/>
  <c r="R21" i="102"/>
  <c r="R30" i="102"/>
  <c r="P28" i="102"/>
  <c r="R31" i="102"/>
  <c r="C280" i="79" l="1"/>
  <c r="A283" i="79"/>
  <c r="C281" i="79"/>
  <c r="A284" i="79"/>
  <c r="A287" i="79" l="1"/>
  <c r="C284" i="79"/>
  <c r="A286" i="79"/>
  <c r="C283" i="79"/>
  <c r="C286" i="79" l="1"/>
  <c r="A289" i="79"/>
  <c r="C287" i="79"/>
  <c r="A290" i="79"/>
  <c r="C290" i="79" l="1"/>
  <c r="A293" i="79"/>
  <c r="C289" i="79"/>
  <c r="A292" i="79"/>
  <c r="C292" i="79" l="1"/>
  <c r="A295" i="79"/>
  <c r="C293" i="79"/>
  <c r="A296" i="79"/>
  <c r="C296" i="79" l="1"/>
  <c r="A299" i="79"/>
  <c r="C295" i="79"/>
  <c r="A298" i="79"/>
  <c r="A301" i="79" l="1"/>
  <c r="C298" i="79"/>
  <c r="A302" i="79"/>
  <c r="C299" i="79"/>
  <c r="C302" i="79" l="1"/>
  <c r="A305" i="79"/>
  <c r="C301" i="79"/>
  <c r="A304" i="79"/>
  <c r="A307" i="79" l="1"/>
  <c r="C304" i="79"/>
  <c r="C305" i="79"/>
  <c r="A308" i="79"/>
  <c r="C308" i="79" l="1"/>
  <c r="A311" i="79"/>
  <c r="C307" i="79"/>
  <c r="A310" i="79"/>
  <c r="C310" i="79" l="1"/>
  <c r="A313" i="79"/>
  <c r="C311" i="79"/>
  <c r="A314" i="79"/>
  <c r="C313" i="79" l="1"/>
  <c r="A316" i="79"/>
  <c r="C314" i="79"/>
  <c r="A317" i="79"/>
  <c r="A320" i="79" l="1"/>
  <c r="C317" i="79"/>
  <c r="A319" i="79"/>
  <c r="C316" i="79"/>
  <c r="C319" i="79" l="1"/>
  <c r="A322" i="79"/>
  <c r="A323" i="79"/>
  <c r="C320" i="79"/>
  <c r="A326" i="79" l="1"/>
  <c r="C323" i="79"/>
  <c r="C322" i="79"/>
  <c r="A325" i="79"/>
  <c r="C325" i="79" l="1"/>
  <c r="A328" i="79"/>
  <c r="C326" i="79"/>
  <c r="A329" i="79"/>
  <c r="C329" i="79" l="1"/>
  <c r="A332" i="79"/>
  <c r="A331" i="79"/>
  <c r="C328" i="79"/>
  <c r="C332" i="79" l="1"/>
  <c r="A335" i="79"/>
  <c r="C331" i="79"/>
  <c r="A334" i="79"/>
  <c r="A338" i="79" l="1"/>
  <c r="C335" i="79"/>
  <c r="C334" i="79"/>
  <c r="A337" i="79"/>
  <c r="C337" i="79" l="1"/>
  <c r="A340" i="79"/>
  <c r="C338" i="79"/>
  <c r="A341" i="79"/>
  <c r="C340" i="79" l="1"/>
  <c r="A343" i="79"/>
  <c r="C341" i="79"/>
  <c r="A344" i="79"/>
  <c r="C344" i="79" l="1"/>
  <c r="A347" i="79"/>
  <c r="C343" i="79"/>
  <c r="A346" i="79"/>
  <c r="C346" i="79" l="1"/>
  <c r="A349" i="79"/>
  <c r="C347" i="79"/>
  <c r="A350" i="79"/>
  <c r="C349" i="79" l="1"/>
  <c r="A352" i="79"/>
  <c r="C350" i="79"/>
  <c r="A353" i="79"/>
  <c r="A356" i="79" l="1"/>
  <c r="C353" i="79"/>
  <c r="C352" i="79"/>
  <c r="A355" i="79"/>
  <c r="C355" i="79" l="1"/>
  <c r="A358" i="79"/>
  <c r="A359" i="79"/>
  <c r="C356" i="79"/>
  <c r="A362" i="79" l="1"/>
  <c r="C359" i="79"/>
  <c r="A361" i="79"/>
  <c r="C358" i="79"/>
  <c r="C361" i="79" l="1"/>
  <c r="A364" i="79"/>
  <c r="A365" i="79"/>
  <c r="C362" i="79"/>
  <c r="A368" i="79" l="1"/>
  <c r="C365" i="79"/>
  <c r="A367" i="79"/>
  <c r="C364" i="79"/>
  <c r="C367" i="79" l="1"/>
  <c r="A370" i="79"/>
  <c r="C368" i="79"/>
  <c r="A371" i="79"/>
  <c r="A374" i="79" l="1"/>
  <c r="C371" i="79"/>
  <c r="A373" i="79"/>
  <c r="C370" i="79"/>
  <c r="A376" i="79" l="1"/>
  <c r="C373" i="79"/>
  <c r="A377" i="79"/>
  <c r="C374" i="79"/>
  <c r="A380" i="79" l="1"/>
  <c r="C377" i="79"/>
  <c r="C376" i="79"/>
  <c r="A379" i="79"/>
  <c r="A382" i="79" l="1"/>
  <c r="C379" i="79"/>
  <c r="C380" i="79"/>
  <c r="A383" i="79"/>
  <c r="C383" i="79" l="1"/>
  <c r="A386" i="79"/>
  <c r="C382" i="79"/>
  <c r="A385" i="79"/>
  <c r="C385" i="79" l="1"/>
  <c r="A388" i="79"/>
  <c r="C386" i="79"/>
  <c r="A389" i="79"/>
  <c r="C389" i="79" l="1"/>
  <c r="A392" i="79"/>
  <c r="C388" i="79"/>
  <c r="A391" i="79"/>
  <c r="C391" i="79" l="1"/>
  <c r="A394" i="79"/>
  <c r="C392" i="79"/>
  <c r="A395" i="79"/>
  <c r="A397" i="79" l="1"/>
  <c r="C394" i="79"/>
  <c r="C395" i="79"/>
  <c r="A398" i="79"/>
  <c r="C398" i="79" l="1"/>
  <c r="A401" i="79"/>
  <c r="C397" i="79"/>
  <c r="A400" i="79"/>
  <c r="C400" i="79" l="1"/>
  <c r="A403" i="79"/>
  <c r="A404" i="79"/>
  <c r="C401" i="79"/>
  <c r="C403" i="79" l="1"/>
  <c r="A406" i="79"/>
  <c r="C404" i="79"/>
  <c r="A407" i="79"/>
  <c r="C407" i="79" s="1"/>
  <c r="A410" i="79" l="1"/>
  <c r="C406" i="79"/>
  <c r="A409" i="79"/>
  <c r="P9" i="102"/>
  <c r="R20" i="102"/>
  <c r="C409" i="79" l="1"/>
  <c r="A412" i="79"/>
  <c r="C410" i="79"/>
  <c r="A413" i="79"/>
  <c r="C412" i="79" l="1"/>
  <c r="A415" i="79"/>
  <c r="C413" i="79"/>
  <c r="A416" i="79"/>
  <c r="C416" i="79" l="1"/>
  <c r="A419" i="79"/>
  <c r="C415" i="79"/>
  <c r="A418" i="79"/>
  <c r="C419" i="79" l="1"/>
  <c r="A422" i="79"/>
  <c r="C418" i="79"/>
  <c r="A421" i="79"/>
  <c r="C422" i="79" l="1"/>
  <c r="A425" i="79"/>
  <c r="C421" i="79"/>
  <c r="A424" i="79"/>
  <c r="C424" i="79" l="1"/>
  <c r="A427" i="79"/>
  <c r="C425" i="79"/>
  <c r="A428" i="79"/>
  <c r="C427" i="79" l="1"/>
  <c r="A430" i="79"/>
  <c r="C428" i="79"/>
  <c r="A431" i="79"/>
  <c r="C431" i="79" l="1"/>
  <c r="A434" i="79"/>
  <c r="C430" i="79"/>
  <c r="A433" i="79"/>
  <c r="C433" i="79" l="1"/>
  <c r="A436" i="79"/>
  <c r="C434" i="79"/>
  <c r="A437" i="79"/>
  <c r="A440" i="79" l="1"/>
  <c r="C437" i="79"/>
  <c r="A439" i="79"/>
  <c r="C436" i="79"/>
  <c r="C440" i="79" l="1"/>
  <c r="A443" i="79"/>
  <c r="A442" i="79"/>
  <c r="C439" i="79"/>
  <c r="C442" i="79" l="1"/>
  <c r="A445" i="79"/>
  <c r="C443" i="79"/>
  <c r="A446" i="79"/>
  <c r="C446" i="79" l="1"/>
  <c r="A449" i="79"/>
  <c r="C445" i="79"/>
  <c r="A448" i="79"/>
  <c r="C448" i="79" l="1"/>
  <c r="A451" i="79"/>
  <c r="C449" i="79"/>
  <c r="A452" i="79"/>
  <c r="C451" i="79" l="1"/>
  <c r="A454" i="79"/>
  <c r="C452" i="79"/>
  <c r="A455" i="79"/>
  <c r="C455" i="79" l="1"/>
  <c r="A458" i="79"/>
  <c r="C454" i="79"/>
  <c r="A457" i="79"/>
  <c r="C457" i="79" l="1"/>
  <c r="A460" i="79"/>
  <c r="C458" i="79"/>
  <c r="A461" i="79"/>
  <c r="C461" i="79" l="1"/>
  <c r="A464" i="79"/>
  <c r="C460" i="79"/>
  <c r="A463" i="79"/>
  <c r="C463" i="79" l="1"/>
  <c r="A466" i="79"/>
  <c r="C464" i="79"/>
  <c r="A467" i="79"/>
  <c r="A470" i="79" l="1"/>
  <c r="C467" i="79"/>
  <c r="A469" i="79"/>
  <c r="C466" i="79"/>
  <c r="C469" i="79" l="1"/>
  <c r="A472" i="79"/>
  <c r="C470" i="79"/>
  <c r="A473" i="79"/>
  <c r="C473" i="79" l="1"/>
  <c r="A476" i="79"/>
  <c r="C472" i="79"/>
  <c r="A475" i="79"/>
  <c r="C475" i="79" l="1"/>
  <c r="A478" i="79"/>
  <c r="C476" i="79"/>
  <c r="A479" i="79"/>
  <c r="C479" i="79" l="1"/>
  <c r="A482" i="79"/>
  <c r="C478" i="79"/>
  <c r="A481" i="79"/>
  <c r="C481" i="79" l="1"/>
  <c r="A484" i="79"/>
  <c r="A485" i="79"/>
  <c r="C482" i="79"/>
  <c r="C485" i="79" l="1"/>
  <c r="A488" i="79"/>
  <c r="C484" i="79"/>
  <c r="A487" i="79"/>
  <c r="C487" i="79" l="1"/>
  <c r="A490" i="79"/>
  <c r="C488" i="79"/>
  <c r="A491" i="79"/>
  <c r="C491" i="79" l="1"/>
  <c r="A494" i="79"/>
  <c r="C490" i="79"/>
  <c r="A493" i="79"/>
  <c r="C493" i="79" l="1"/>
  <c r="A496" i="79"/>
  <c r="C494" i="79"/>
  <c r="A497" i="79"/>
  <c r="C496" i="79" l="1"/>
  <c r="A499" i="79"/>
  <c r="C497" i="79"/>
  <c r="A500" i="79"/>
  <c r="C500" i="79" l="1"/>
  <c r="A503" i="79"/>
  <c r="C499" i="79"/>
  <c r="A502" i="79"/>
  <c r="C502" i="79" l="1"/>
  <c r="A505" i="79"/>
  <c r="C503" i="79"/>
  <c r="A506" i="79"/>
  <c r="C506" i="79" l="1"/>
  <c r="A509" i="79"/>
  <c r="C505" i="79"/>
  <c r="A508" i="79"/>
  <c r="C508" i="79" l="1"/>
  <c r="A511" i="79"/>
  <c r="C509" i="79"/>
  <c r="A512" i="79"/>
  <c r="C512" i="79" l="1"/>
  <c r="A515" i="79"/>
  <c r="C511" i="79"/>
  <c r="A514" i="79"/>
  <c r="C514" i="79" l="1"/>
  <c r="A517" i="79"/>
  <c r="C515" i="79"/>
  <c r="A518" i="79"/>
  <c r="C518" i="79" l="1"/>
  <c r="A521" i="79"/>
  <c r="C517" i="79"/>
  <c r="A520" i="79"/>
  <c r="C520" i="79" l="1"/>
  <c r="A523" i="79"/>
  <c r="C521" i="79"/>
  <c r="A524" i="79"/>
  <c r="C524" i="79" l="1"/>
  <c r="A527" i="79"/>
  <c r="C523" i="79"/>
  <c r="A526" i="79"/>
  <c r="C526" i="79" l="1"/>
  <c r="A529" i="79"/>
  <c r="C527" i="79"/>
  <c r="A530" i="79"/>
  <c r="C530" i="79" l="1"/>
  <c r="A533" i="79"/>
  <c r="C529" i="79"/>
  <c r="A532" i="79"/>
  <c r="A535" i="79" l="1"/>
  <c r="C532" i="79"/>
  <c r="C533" i="79"/>
  <c r="A536" i="79"/>
  <c r="C536" i="79" l="1"/>
  <c r="A539" i="79"/>
  <c r="C535" i="79"/>
  <c r="A538" i="79"/>
  <c r="C538" i="79" l="1"/>
  <c r="A541" i="79"/>
  <c r="C539" i="79"/>
  <c r="A542" i="79"/>
  <c r="A545" i="79" l="1"/>
  <c r="C542" i="79"/>
  <c r="C541" i="79"/>
  <c r="A544" i="79"/>
  <c r="C544" i="79" l="1"/>
  <c r="A547" i="79"/>
  <c r="C545" i="79"/>
  <c r="A548" i="79"/>
  <c r="C548" i="79" l="1"/>
  <c r="A551" i="79"/>
  <c r="C547" i="79"/>
  <c r="A550" i="79"/>
  <c r="C550" i="79" l="1"/>
  <c r="A553" i="79"/>
  <c r="C551" i="79"/>
  <c r="A554" i="79"/>
  <c r="A557" i="79" l="1"/>
  <c r="C554" i="79"/>
  <c r="C553" i="79"/>
  <c r="A556" i="79"/>
  <c r="A560" i="79" l="1"/>
  <c r="C557" i="79"/>
  <c r="A559" i="79"/>
  <c r="C556" i="79"/>
  <c r="A562" i="79" l="1"/>
  <c r="C559" i="79"/>
  <c r="A563" i="79"/>
  <c r="C560" i="79"/>
  <c r="A566" i="79" l="1"/>
  <c r="C563" i="79"/>
  <c r="C562" i="79"/>
  <c r="A565" i="79"/>
  <c r="C565" i="79" l="1"/>
  <c r="A568" i="79"/>
  <c r="C566" i="79"/>
  <c r="A569" i="79"/>
  <c r="A572" i="79" l="1"/>
  <c r="C569" i="79"/>
  <c r="C568" i="79"/>
  <c r="A571" i="79"/>
  <c r="A574" i="79" l="1"/>
  <c r="C571" i="79"/>
  <c r="A575" i="79"/>
  <c r="C572" i="79"/>
  <c r="A578" i="79" l="1"/>
  <c r="C575" i="79"/>
  <c r="C574" i="79"/>
  <c r="A577" i="79"/>
  <c r="A580" i="79" l="1"/>
  <c r="C577" i="79"/>
  <c r="A581" i="79"/>
  <c r="C578" i="79"/>
  <c r="C581" i="79" l="1"/>
  <c r="A584" i="79"/>
  <c r="C580" i="79"/>
  <c r="A583" i="79"/>
  <c r="A586" i="79" l="1"/>
  <c r="C583" i="79"/>
  <c r="A587" i="79"/>
  <c r="C584" i="79"/>
  <c r="A590" i="79" l="1"/>
  <c r="C587" i="79"/>
  <c r="C586" i="79"/>
  <c r="A589" i="79"/>
  <c r="A592" i="79" l="1"/>
  <c r="C589" i="79"/>
  <c r="C590" i="79"/>
  <c r="A593" i="79"/>
  <c r="C593" i="79" l="1"/>
  <c r="A596" i="79"/>
  <c r="C592" i="79"/>
  <c r="A595" i="79"/>
  <c r="C595" i="79" l="1"/>
  <c r="A598" i="79"/>
  <c r="C596" i="79"/>
  <c r="A599" i="79"/>
  <c r="C599" i="79" l="1"/>
  <c r="A602" i="79"/>
  <c r="A601" i="79"/>
  <c r="C598" i="79"/>
  <c r="C601" i="79" l="1"/>
  <c r="A604" i="79"/>
  <c r="A605" i="79"/>
  <c r="C602" i="79"/>
  <c r="A608" i="79" l="1"/>
  <c r="C605" i="79"/>
  <c r="C604" i="79"/>
  <c r="A607" i="79"/>
  <c r="A610" i="79" l="1"/>
  <c r="C607" i="79"/>
  <c r="A611" i="79"/>
  <c r="C608" i="79"/>
  <c r="C611" i="79" l="1"/>
  <c r="A614" i="79"/>
  <c r="C610" i="79"/>
  <c r="A613" i="79"/>
  <c r="A616" i="79" l="1"/>
  <c r="C613" i="79"/>
  <c r="A617" i="79"/>
  <c r="C614" i="79"/>
  <c r="A620" i="79" l="1"/>
  <c r="C617" i="79"/>
  <c r="C616" i="79"/>
  <c r="A619" i="79"/>
  <c r="A622" i="79" l="1"/>
  <c r="C619" i="79"/>
  <c r="C620" i="79"/>
  <c r="A623" i="79"/>
  <c r="A626" i="79" l="1"/>
  <c r="C623" i="79"/>
  <c r="A625" i="79"/>
  <c r="C622" i="79"/>
  <c r="C625" i="79" l="1"/>
  <c r="A628" i="79"/>
  <c r="C626" i="79"/>
  <c r="A629" i="79"/>
  <c r="A632" i="79" l="1"/>
  <c r="C629" i="79"/>
  <c r="A631" i="79"/>
  <c r="C628" i="79"/>
  <c r="C631" i="79" l="1"/>
  <c r="A634" i="79"/>
  <c r="A635" i="79"/>
  <c r="C632" i="79"/>
  <c r="C635" i="79" l="1"/>
  <c r="A638" i="79"/>
  <c r="C634" i="79"/>
  <c r="A637" i="79"/>
  <c r="A640" i="79" l="1"/>
  <c r="C640" i="79" s="1"/>
  <c r="C637" i="79"/>
  <c r="A641" i="79"/>
  <c r="C641" i="79" s="1"/>
  <c r="C638" i="79"/>
  <c r="U20" i="253" l="1"/>
  <c r="Z30" i="251"/>
  <c r="S41" i="251"/>
  <c r="U40" i="253"/>
  <c r="Y29" i="251"/>
  <c r="S31" i="251"/>
  <c r="R9" i="251"/>
  <c r="S40" i="251"/>
  <c r="U39" i="253"/>
  <c r="S21" i="251"/>
  <c r="Z33" i="251"/>
  <c r="T9" i="253"/>
  <c r="S20" i="251"/>
  <c r="S33" i="251"/>
  <c r="Y31" i="251"/>
  <c r="R38" i="253"/>
  <c r="Z31" i="251"/>
  <c r="AB9" i="253"/>
  <c r="AF9" i="253" s="1"/>
  <c r="U9" i="253"/>
  <c r="T40" i="253"/>
  <c r="AC40" i="253" s="1"/>
  <c r="R28" i="253"/>
  <c r="AA29" i="253"/>
  <c r="Y30" i="251"/>
  <c r="R41" i="251"/>
  <c r="AA41" i="251" s="1"/>
  <c r="R33" i="251"/>
  <c r="S9" i="253"/>
  <c r="S41" i="253"/>
  <c r="R32" i="251"/>
  <c r="AA32" i="251" s="1"/>
  <c r="AA28" i="253"/>
  <c r="R20" i="251"/>
  <c r="S9" i="251"/>
  <c r="R31" i="251"/>
  <c r="AA31" i="251" s="1"/>
  <c r="AA40" i="253"/>
  <c r="U38" i="253"/>
  <c r="S29" i="253"/>
  <c r="AB40" i="253"/>
  <c r="T20" i="253"/>
  <c r="AC20" i="253" s="1"/>
  <c r="AB21" i="253"/>
  <c r="T39" i="253"/>
  <c r="T21" i="253"/>
  <c r="P28" i="251"/>
  <c r="Q28" i="251"/>
  <c r="S32" i="251"/>
  <c r="AB20" i="253"/>
  <c r="P29" i="251"/>
  <c r="Y28" i="251"/>
  <c r="Z40" i="251"/>
  <c r="Z20" i="251"/>
  <c r="R30" i="251"/>
  <c r="R29" i="253"/>
  <c r="Z28" i="251"/>
  <c r="Q40" i="251"/>
  <c r="S28" i="253"/>
  <c r="R9" i="253"/>
  <c r="S30" i="251"/>
  <c r="S38" i="253"/>
  <c r="R41" i="253"/>
  <c r="U21" i="253"/>
  <c r="Z41" i="251"/>
  <c r="AB39" i="253"/>
  <c r="P40" i="251"/>
  <c r="R40" i="251"/>
  <c r="R21" i="251"/>
  <c r="Z32" i="251"/>
  <c r="Z21" i="251"/>
  <c r="AB28" i="253"/>
  <c r="AB31" i="253"/>
  <c r="P9" i="251"/>
  <c r="Z29" i="251"/>
  <c r="U31" i="253"/>
  <c r="T38" i="253"/>
  <c r="Z9" i="251"/>
  <c r="AD9" i="251" s="1"/>
  <c r="T31" i="253"/>
  <c r="AB38" i="253"/>
  <c r="Q29" i="251"/>
  <c r="AB29" i="253"/>
  <c r="Q9" i="251"/>
  <c r="Z28" i="102"/>
  <c r="Z40" i="102"/>
  <c r="Z32" i="102"/>
  <c r="AA30" i="102"/>
  <c r="Z31" i="102"/>
  <c r="Z39" i="102"/>
  <c r="AA29" i="102"/>
  <c r="Y29" i="102"/>
  <c r="AA31" i="102"/>
  <c r="AA28" i="102"/>
  <c r="AA21" i="102"/>
  <c r="Z20" i="102"/>
  <c r="Z29" i="102"/>
  <c r="AA39" i="102"/>
  <c r="AA20" i="102"/>
  <c r="AA40" i="102"/>
  <c r="Y31" i="102"/>
  <c r="Y30" i="102"/>
  <c r="AA32" i="102"/>
  <c r="Z30" i="102"/>
  <c r="Z21" i="102"/>
  <c r="AA9" i="102"/>
  <c r="Y28" i="102"/>
  <c r="AC41" i="253" l="1"/>
  <c r="AC28" i="253"/>
  <c r="AA30" i="251"/>
  <c r="AB35" i="253"/>
  <c r="AA33" i="251"/>
  <c r="AC29" i="253"/>
  <c r="AC39" i="253"/>
  <c r="AC31" i="253"/>
  <c r="AC38" i="253"/>
  <c r="AA28" i="251"/>
  <c r="AA29" i="251"/>
  <c r="AA21" i="251"/>
  <c r="AA40" i="251"/>
  <c r="AA37" i="251" s="1"/>
  <c r="AC21" i="253"/>
  <c r="AC17" i="253" s="1"/>
  <c r="AA20" i="251"/>
  <c r="AC9" i="253"/>
  <c r="AF12" i="253" s="1"/>
  <c r="AA9" i="251"/>
  <c r="AD12" i="251" s="1"/>
  <c r="AA25" i="253"/>
  <c r="AB17" i="253"/>
  <c r="AF17" i="253" s="1"/>
  <c r="Z37" i="251"/>
  <c r="AD37" i="251" s="1"/>
  <c r="Z36" i="102"/>
  <c r="AD36" i="102" s="1"/>
  <c r="Y25" i="251"/>
  <c r="AA25" i="102"/>
  <c r="AD28" i="102" s="1"/>
  <c r="Z25" i="102"/>
  <c r="AK25" i="102" s="1"/>
  <c r="Z17" i="102"/>
  <c r="AD17" i="102" s="1"/>
  <c r="AA17" i="102"/>
  <c r="X17" i="102" s="1"/>
  <c r="Z25" i="251"/>
  <c r="AA36" i="102"/>
  <c r="Y25" i="102"/>
  <c r="AB25" i="253"/>
  <c r="X9" i="102"/>
  <c r="AD12" i="102"/>
  <c r="V9" i="102"/>
  <c r="W9" i="102" s="1"/>
  <c r="AD9" i="102"/>
  <c r="Z17" i="251"/>
  <c r="AD17" i="251" s="1"/>
  <c r="AC35" i="253" l="1"/>
  <c r="AF38" i="253" s="1"/>
  <c r="AC25" i="253"/>
  <c r="AF28" i="253" s="1"/>
  <c r="AA25" i="251"/>
  <c r="V25" i="251" s="1"/>
  <c r="W25" i="251" s="1"/>
  <c r="AA17" i="251"/>
  <c r="AD20" i="251" s="1"/>
  <c r="Z9" i="253"/>
  <c r="X9" i="253"/>
  <c r="Y9" i="253" s="1"/>
  <c r="V9" i="251"/>
  <c r="W9" i="251" s="1"/>
  <c r="X9" i="251"/>
  <c r="AK37" i="251"/>
  <c r="AK36" i="102"/>
  <c r="V25" i="102"/>
  <c r="W25" i="102" s="1"/>
  <c r="X25" i="102"/>
  <c r="AD25" i="102"/>
  <c r="V17" i="102"/>
  <c r="W17" i="102" s="1"/>
  <c r="AD20" i="102"/>
  <c r="AF25" i="253"/>
  <c r="AM25" i="253"/>
  <c r="AK25" i="251"/>
  <c r="AD25" i="251"/>
  <c r="AF35" i="253"/>
  <c r="AM35" i="253"/>
  <c r="X36" i="102"/>
  <c r="V36" i="102"/>
  <c r="W36" i="102" s="1"/>
  <c r="AD39" i="102"/>
  <c r="AF20" i="253"/>
  <c r="X17" i="253"/>
  <c r="Y17" i="253" s="1"/>
  <c r="Z17" i="253"/>
  <c r="X37" i="251"/>
  <c r="AD40" i="251"/>
  <c r="V37" i="251"/>
  <c r="W37" i="251" s="1"/>
  <c r="Z25" i="253" l="1"/>
  <c r="X25" i="253"/>
  <c r="Y25" i="253" s="1"/>
  <c r="X35" i="253"/>
  <c r="Y35" i="253" s="1"/>
  <c r="Z35" i="253"/>
  <c r="AD28" i="251"/>
  <c r="X25" i="251"/>
  <c r="V17" i="251"/>
  <c r="W17" i="251" s="1"/>
  <c r="X17" i="25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  <author>BUNGCAG, BEATRIZ GRACE</author>
  </authors>
  <commentList>
    <comment ref="C6" authorId="0" shapeId="0" xr:uid="{AED53B06-7F86-4246-A0DC-099D6D05465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D57EA57C-F53C-4CED-A7F1-C2FF0D619056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4C9D3003-A3B3-4054-940A-0C947245963C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B6A1FDAD-4D4F-4466-A799-41F8066AF5E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O24" authorId="1" shapeId="0" xr:uid="{B29E29C1-95C1-4FEB-BD8C-BC495DEE6DF5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EGT under observation (medyo high)
As of 0914h, max load muna ay 3MW</t>
        </r>
      </text>
    </comment>
    <comment ref="Y39" authorId="1" shapeId="0" xr:uid="{BA8F5322-66C1-4E2D-B871-B7CEF0C0398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Fuel Leak</t>
        </r>
      </text>
    </comment>
    <comment ref="Z44" authorId="1" shapeId="0" xr:uid="{9B820CC1-FEF8-4AF7-B84E-E09B9F690E7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Check Turbo Charger</t>
        </r>
      </text>
    </comment>
    <comment ref="CG63" authorId="0" shapeId="0" xr:uid="{B3E00228-3FEE-48FD-B861-E751CCBC86D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8AF05A12-611C-4B5B-924F-4B8158E4D1A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3C928166-9CB1-46A9-84D7-326DA74C68F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7330AF85-1AD4-4278-A843-224DE20691F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D3C07097-C6E2-482A-A843-C2D7BF70334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E13F4D7F-B865-41CE-A1E1-7045D1BDA70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68DEBFF1-2E5C-4711-89ED-384D01A638B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6FD20374-DC12-46E0-8863-7824AC3E2C2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F455B788-AC7A-4BFF-8031-CDE4D5772B7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E661C939-ABB0-424E-827E-4C1EACB1786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616D172F-CBA8-4496-858A-9251ACBA40EF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A5303136-E76F-4632-ABB9-162C5DD7567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L105" authorId="1" shapeId="0" xr:uid="{12F8297D-905E-48D9-9003-EC641BE5DE8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0551H A/T R2 BARRIO</t>
        </r>
      </text>
    </comment>
    <comment ref="M105" authorId="1" shapeId="0" xr:uid="{18493939-0520-40DD-87FC-F1B3ADE97D2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0551H A/T R2 BARRIO</t>
        </r>
      </text>
    </comment>
    <comment ref="S105" authorId="1" shapeId="0" xr:uid="{0754E574-9035-438B-99AA-714A0FF699C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WESCOM
</t>
        </r>
      </text>
    </comment>
    <comment ref="T105" authorId="1" shapeId="0" xr:uid="{62D80C1B-8EC3-4518-870F-29CE6DE5FD9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WESCOM
</t>
        </r>
      </text>
    </comment>
    <comment ref="X105" authorId="1" shapeId="0" xr:uid="{770F4885-B171-4809-B77F-DE922897C29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 (R10)
</t>
        </r>
      </text>
    </comment>
    <comment ref="S111" authorId="2" shapeId="0" xr:uid="{53813BFE-D2E2-461E-AFA1-40DF32A7E64C}">
      <text>
        <r>
          <rPr>
            <b/>
            <sz val="9"/>
            <color indexed="81"/>
            <rFont val="Tahoma"/>
            <family val="2"/>
          </rPr>
          <t>TIM:
ONLY PENALIZED PPGI 2 UNITS AS THAT IS WHAT IS ONLY NEEDED</t>
        </r>
      </text>
    </comment>
    <comment ref="T111" authorId="2" shapeId="0" xr:uid="{11DABC49-CF41-40F0-8B24-E99C5AA4E6E2}">
      <text>
        <r>
          <rPr>
            <b/>
            <sz val="9"/>
            <color indexed="81"/>
            <rFont val="Tahoma"/>
            <family val="2"/>
          </rPr>
          <t>TIM:
ONLY PENALIZED PPGI 2 UNITS AS THAT IS WHAT IS ONLY NEEDED</t>
        </r>
      </text>
    </comment>
    <comment ref="X111" authorId="2" shapeId="0" xr:uid="{FFFEABFB-7603-4724-97E0-0B1AE8685B27}">
      <text>
        <r>
          <rPr>
            <b/>
            <sz val="9"/>
            <color indexed="81"/>
            <rFont val="Tahoma"/>
            <family val="2"/>
          </rPr>
          <t>TIM:
ONLY PENALIZED PPGI 2 UNITS AS THAT IS WHAT IS ONLY NEEDED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10369119-CC77-4E01-A912-74B9D18DFCB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F85B3A3C-6F92-434B-856F-1B5190BCD18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FA12148E-0211-432E-827D-3094440DA3F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43D4BEB0-D710-43DB-A483-D6BDA74F180C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Y39" authorId="1" shapeId="0" xr:uid="{4796649B-40DA-4EBF-803B-3FA487F12FD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Fuel Leak</t>
        </r>
      </text>
    </comment>
    <comment ref="Z44" authorId="1" shapeId="0" xr:uid="{E03BB488-846C-48BD-A1EA-D50164EDCA2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Check Turbo Charger</t>
        </r>
      </text>
    </comment>
    <comment ref="CG63" authorId="0" shapeId="0" xr:uid="{20DC9ACE-7743-44D7-9E7C-C0E97627333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A1AED7AC-ECC7-49D4-9196-9B1129AA43C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E1522BC4-4FE5-41EA-ACB4-1BEBC3AA5CC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878075A6-0E00-4E1A-8212-7A7B235CDD0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78C29960-8509-4510-84AD-3BDD8C9F503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F9EAA594-249D-49A5-88E2-F7881D65D87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BF8769E4-7D82-441F-B364-932881844D9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D9629A5A-5C81-4A84-B1AE-642F9528D83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8FB13338-D04A-4F62-9F47-3E8C6395886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9D2B2B30-264F-48B9-89A0-4FC19B8E5BF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222188F4-5C33-40EA-B8FC-0FBBB8234FB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4DF16157-5840-4B30-8DEF-A82C7AACA3C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G105" authorId="1" shapeId="0" xr:uid="{08AAF42E-BE45-447A-9231-C430573CB1F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Kalikasan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39CD3AB4-A36D-4C75-8DD4-0A7A1D818BB6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27BB762D-C93A-4E4B-944F-D9B33632114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21C2D964-DAFC-43D4-B718-3068B3E9CD9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D4FED125-9885-48B1-9E7F-5766BA304256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J13" authorId="1" shapeId="0" xr:uid="{2A88EF4C-9F4C-4957-9DB4-B6866FF4FFE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
</t>
        </r>
      </text>
    </comment>
    <comment ref="X29" authorId="1" shapeId="0" xr:uid="{54FF1372-2389-490B-BDF2-15521CBBE14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</t>
        </r>
      </text>
    </comment>
    <comment ref="Y29" authorId="1" shapeId="0" xr:uid="{D338C53B-9DA2-432C-9380-5AB1225A264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</t>
        </r>
      </text>
    </comment>
    <comment ref="Y39" authorId="1" shapeId="0" xr:uid="{97A4D108-6474-4743-9C55-8B7B2A2CEA0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Fuel Leak</t>
        </r>
      </text>
    </comment>
    <comment ref="Z44" authorId="1" shapeId="0" xr:uid="{6CAE7561-E8EC-40FF-ADC5-DB640C99C54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Check Turbo Charger</t>
        </r>
      </text>
    </comment>
    <comment ref="V51" authorId="1" shapeId="0" xr:uid="{61CB9C4F-C04D-4275-8EF8-67363258227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
</t>
        </r>
      </text>
    </comment>
    <comment ref="CG63" authorId="0" shapeId="0" xr:uid="{17496455-E3CF-4C79-BF6E-E6702C353A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656E5D5A-5628-4B74-BBB8-0C8333081E1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E9F1C2D8-4B06-4091-9B76-C061681B1FB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1419B68A-EED5-4541-9034-AF160718102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D00D4512-6B22-43BC-87ED-0C5B6405963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DE4C794A-3C45-4E87-83E8-97FEE38176E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85687836-683E-4228-8888-C61E7722CE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EA435EDA-53B7-4E54-B606-02FBB7BFC92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1923B723-1967-4F35-AAB7-6F7799DDDCB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1EDFE187-78E4-4095-A492-24DE40CCA50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78FD1DF5-8D43-445F-8F75-6D8C39EC592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514E501E-0BDE-4FBD-B1EF-FB975E6B0AB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098A0288-5D36-4CD1-9C6F-37E019D1BFB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2AA5E407-B1EB-48E4-8A17-9D8121880DB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C7614F9A-7B56-4264-AD0B-24EB6BE760B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CE4E64AB-7791-4BF8-8320-DE615BFC3DF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T14" authorId="1" shapeId="0" xr:uid="{F11C42D0-27C8-4443-BC72-D844C8747548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K27" authorId="1" shapeId="0" xr:uid="{451BE08C-7F6F-4B37-8260-DF50FCC6D79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waterleak turbo charger
</t>
        </r>
      </text>
    </comment>
    <comment ref="CG63" authorId="0" shapeId="0" xr:uid="{CDBE4437-22CF-4F93-BCC3-07DA868AE9B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A3E2BF97-621E-405F-A6B9-DA7E483DEE8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9AF1DAB0-5CC4-40A3-A8B4-7B4C22394A0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E2E031EC-931E-43D0-B6D7-9A2447B5682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F1D74ECA-A94B-4D4B-8A00-F440870FF92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703E47D1-B6F6-44D2-895A-87AB5D1C243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CDCFFDB6-AA06-4654-9E35-718BF667BE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705B8CA0-2E9F-46E7-929B-611EA70C151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68836F5E-1CF7-4F9D-9FA3-4758D3707F1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9BCD69C0-01FE-49C2-B78E-71A1C13E5AF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A21FD74B-CAEA-41D8-8FDD-E8C7F2AEB9F7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735BAA82-9DA7-48C2-BC69-60C0F171711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Q105" authorId="1" shapeId="0" xr:uid="{68E7A919-B781-4D85-991C-66748DFD3235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FACTOR (ALD)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9E1C5BE0-B4A6-433E-B126-AF2C18F212A6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A4F99D68-5683-49BE-B106-5024E0BA9409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4A4119FF-1634-41FF-8A15-79709CFBB5E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AD101833-748A-47E4-8548-CA54A1B64C6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4F4531E9-E333-4517-B801-F57BA70A0CB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2DFDFBEE-D152-4418-8504-57B9B77CB39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5E824B53-2907-4C9E-B6C2-683FBEC51C9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63186E4E-206D-4827-B0A8-98E2FE6D4D5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E299CD12-645A-444C-ABC3-FB3FE4B9ED9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8B575306-5B61-4E8A-8926-305AE38D6B8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D41EB9C9-C15E-4F7B-9C9B-49272DAAA5C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110E2623-044C-43A5-87C6-C4E5A369EA1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D434AAA6-6F78-4F7D-B120-7810F1C6963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401137BA-E03F-4ECC-9FF7-64C4E4782DC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1DE432E5-BF65-42BF-951E-02B9731E9C55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2B6FAACC-2023-406A-9F82-EA6842C125C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W105" authorId="1" shapeId="0" xr:uid="{F782A261-1838-41B8-BD02-DF8D4F968DE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Mendoza, due to tripping of VS3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F6CD6542-0C81-45C7-9368-B1F53EDB59D4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5773E770-0D07-4552-86B3-EB07CFAA54D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17CCD44C-E4ED-4CDC-A643-2184B0586A5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11790ED1-E119-43FE-A9ED-770E0B0B090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P51" authorId="1" shapeId="0" xr:uid="{2259F10B-03E0-439F-80A4-D70C6434D63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 (shareload to UP11)
</t>
        </r>
      </text>
    </comment>
    <comment ref="CG63" authorId="0" shapeId="0" xr:uid="{3181E192-ECE6-470D-896B-8773EA99722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E7A84DBE-E6C2-46F1-B6C0-B0E7052D26A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E9E7E0FD-4F87-4FAD-BEDC-0A0268DE4B8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7EB47A41-5887-4985-8CE1-7071F4D3535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75B67B7A-A316-49A7-9BA2-58029F0793E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F11D68BB-3B9D-45E6-8116-5260CE3372E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EDC667C6-479C-479E-98AE-B6BB8B3596E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CB706516-C118-4649-A8FE-C6BD6684BD4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D5E03A2D-6707-4E33-A7E2-231935C1577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8C20A47E-C615-4229-A74D-ED5FC9ECCCE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567F4490-1AEE-4D9F-8FC3-A5ED25324E3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F7FB8815-65E5-4F71-83A8-5A0A175EBDA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08D8086A-9859-4C24-9401-0E343E9B0966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E274DC51-07E2-46BC-BF70-DD776EB8FEB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DCC904CD-297B-4168-8B77-19F5E388CACB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01864E60-39D4-47E5-BB9F-942FBEE2E55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BBC65FDA-CD17-4AE3-834C-8D1060D2A1C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D0F22FDA-B5AC-4545-B024-51CA15E667C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989C1439-F5D5-4283-ACD8-7A5A46ECA33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5A56C566-7B93-46FD-B6BC-7DDE63E896B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237F446C-667D-4225-9706-AA6DDFEC26C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9F06D61A-68CB-4296-BC66-5DF6F9C0280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03E96E48-1F49-4CB1-9539-C04CF343731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3B09DE11-EF58-43E0-B1BE-E0AE0869769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E065B8B0-B916-4D3F-8068-564C81B2DB9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817ABD3B-C098-4584-A7B9-240FB9AE84D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0C1BB838-10B4-457A-A8F5-747F3C4B167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02820B86-FA92-4900-BC33-638A636C378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S105" authorId="1" shapeId="0" xr:uid="{0F7D3073-7113-40E3-820C-CCEFCFBCE31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Calategas</t>
        </r>
      </text>
    </comment>
    <comment ref="T105" authorId="1" shapeId="0" xr:uid="{0624B71B-450A-42BB-B24D-98EC8F8F1F7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Calategas</t>
        </r>
      </text>
    </comment>
    <comment ref="U105" authorId="1" shapeId="0" xr:uid="{B96C2337-E1BC-414A-942E-DCDAC8A185E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resuma
</t>
        </r>
      </text>
    </comment>
    <comment ref="Z110" authorId="1" shapeId="0" xr:uid="{5E30FA51-D3BB-498D-9A18-E7341FD0078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All affected by ALD restored, load ongoing pick up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6F2EEAF5-9CD3-47DD-824C-6CABE2A49C9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8D564466-2E3A-41E2-8347-B3BCF90D5BF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C0F06094-3594-463F-93D3-7CCD57B9EE0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834F5DE9-8C3D-44E3-A609-9C2925BACB2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Z15" authorId="1" shapeId="0" xr:uid="{B9DB1CA4-6986-4B6B-AE49-8D6472EA011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Detached pyropipe
</t>
        </r>
      </text>
    </comment>
    <comment ref="CG63" authorId="0" shapeId="0" xr:uid="{6753D8BB-09C5-4ABD-9425-0F7133AD294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1A828AE0-3450-44D6-ABF0-800C54A9684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325AC294-0FF6-4FB5-8B09-217D6753CAA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2073387B-E999-422B-B0AD-1612339652F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9C84F38A-C607-4A6B-8D2E-7CB400593ABB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B5B49AFB-C872-483F-9B91-DDC42F4F67B1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6349D87F-BF3E-4F96-9FCE-B279678DBAA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59AAEDCD-88B2-4AA8-B57F-B34D480EF3F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291060F9-5D42-4F58-9C8A-185BEFBBD47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7B3DAAE7-C3DF-4C42-8464-1FEDFC14030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2BD0735C-9808-445F-AA40-ABF647941CE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C8A9C8A5-24DD-44DD-819F-B72D669BFD45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A105" authorId="1" shapeId="0" xr:uid="{A2608A9D-D8B9-4D44-B301-758A525F30D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319C274F-BC0E-4966-A216-F0693E5036F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F563DA84-EE94-43C6-8882-512D27989C8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F917654A-2967-41FD-BD1E-28275632DDC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6E4DD819-BE3D-43F9-897E-8263007AA01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S19" authorId="1" shapeId="0" xr:uid="{A376CB3C-3E9D-4437-93C8-65C74F0D11E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CG63" authorId="0" shapeId="0" xr:uid="{9334CC5A-A777-4D8B-B41C-C5C5B974B4C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68F6A9DA-FE2E-45A2-9EFE-DC208B33E4F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201AA6A9-A303-451C-9795-DCDBBF629A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5E2E0C1A-CE6E-4E14-BC5D-717ED922283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1E0EB8C2-C449-4251-A39A-8871B8DF832C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574495AA-4024-44AF-8418-9EC9BC2D960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6D064BED-2450-4D4B-85A0-FEBC476A728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93952988-C29C-49A8-99D4-BDBB7BF4005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2441FD39-101E-4BD0-84C4-9A981AB6B5D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09A03CB2-DEFF-4B31-8A9A-7089AB6A511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BCEDD6D7-0420-4896-9347-4B8087FA2B4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ED4DF3F0-0878-4D0F-8223-728971F2913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V106" authorId="1" shapeId="0" xr:uid="{FB9506C5-303F-451F-8AA2-891FF7A67F1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San Jose &amp; Factor
</t>
        </r>
      </text>
    </comment>
    <comment ref="W106" authorId="1" shapeId="0" xr:uid="{8AA79917-7B6D-43BB-8AA1-B6433F6879A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Mendoza</t>
        </r>
      </text>
    </comment>
    <comment ref="G111" authorId="1" shapeId="0" xr:uid="{F4BA4652-CCB4-424C-ACA6-7C2DC98C660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due to Delta P's activity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3FB025A5-936E-468A-86D9-3E62EAB54FE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9FC54082-DF06-4B89-9205-0A612033AE8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46C0D550-544A-469D-9ABB-3506921BD17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352D8ABD-D1EE-4690-B00E-CC6717AD9B5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B21" authorId="1" shapeId="0" xr:uid="{C405AA6C-33B6-436D-9EFC-CDEBE729774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
</t>
        </r>
      </text>
    </comment>
    <comment ref="CG63" authorId="0" shapeId="0" xr:uid="{85902EF5-B657-4075-8C31-A285AA0EE81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3D1769CE-D3F1-4003-8F3E-39BC44BFEE3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3A15293D-5521-488B-8E3F-B705239FD64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B3D27A11-797E-4E02-AD1B-88DBF1BD046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0D06385D-78FF-4792-982A-C0E77F7F9EC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7D7FFC84-3C03-4E69-A7FD-8441ADA5C0F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22DFCF74-FECD-4B05-9ACC-DCE2832047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21C2ACB0-F4A6-4F31-B490-B8E861197C7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7EF624FE-52D6-4C82-8381-5CF954194E0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461E60A4-4841-427E-88D5-B66A0997E4A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EAEAA166-D623-4ED3-9E8C-7C1363E0D14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0D0906D0-F240-4773-8E97-FD2BB1BFE99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E676E5BA-6323-48C4-ADF6-9CA80AB40C0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95A250C0-D60F-410A-A465-657BB9355DE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1438F214-1631-42E2-B992-E0106C2481A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062B141C-114A-47EF-8AD5-0F86F184E18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45B36A16-97FB-4E1B-A8AE-20D4125F323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E1BAEDAA-597B-4153-BA50-EA24DE1B0F0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4CB856F7-588D-4551-96F5-0EF14E9CFD8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A3410A28-2E0E-4056-BA45-C774F054D9D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832DC955-6207-4ADC-A964-0132F594D25F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0BE8C040-669A-4163-8E6A-C8E80228010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8CCD6165-5C71-40ED-8AAE-F5AE063A552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7151A0B8-7205-4A53-AA03-1D725E4CBF4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C04C5BA3-64B6-4384-814D-A4AC875C071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D7CEE319-7816-44A5-9770-F214AB750FC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6F564831-E478-4ADA-9D18-E25F0E250F1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C2E09224-7B7B-4C22-8CFD-F3478D9137F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S104" authorId="1" shapeId="0" xr:uid="{B23434CF-1643-4B9C-B03A-4489DB1DE91D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QUEZON SECTIONALIZINGS</t>
        </r>
      </text>
    </comment>
    <comment ref="T104" authorId="1" shapeId="0" xr:uid="{40A5F882-2588-4EFA-A364-F8E645550902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QUEZON SECTIONALIZINGS</t>
        </r>
      </text>
    </comment>
    <comment ref="U104" authorId="1" shapeId="0" xr:uid="{C139429F-4C9C-42AE-B590-A6AE6C1C01DA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QUEZON SECTIONALIZINGS</t>
        </r>
      </text>
    </comment>
    <comment ref="V104" authorId="1" shapeId="0" xr:uid="{814AD8A6-318F-42D9-9F37-488AE9C49913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QUEZON SECTIONALIZINGS</t>
        </r>
      </text>
    </comment>
    <comment ref="W104" authorId="1" shapeId="0" xr:uid="{544BAFBD-48BD-4D1C-9DB6-BE39B86D9D43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QUEZON SECTIONALIZINGS</t>
        </r>
      </text>
    </comment>
    <comment ref="X104" authorId="1" shapeId="0" xr:uid="{FD7E34B4-82F1-422A-879D-93B6BA329BEB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QUEZON SECTIONALIZINGS</t>
        </r>
      </text>
    </comment>
    <comment ref="Y104" authorId="1" shapeId="0" xr:uid="{6AD7DB1A-1019-4CEB-9D6E-C5F2D02F5E8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ALD Factor, San Jose(VS3)
QUEZON sectionaliing</t>
        </r>
      </text>
    </comment>
    <comment ref="Z104" authorId="1" shapeId="0" xr:uid="{7CA0A8A4-EA61-4110-945B-B51336F3B7AA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QUEZON SECTIONALIZINGS</t>
        </r>
      </text>
    </comment>
    <comment ref="M106" authorId="1" shapeId="0" xr:uid="{F7236BA1-0095-4E7D-94B1-115C40BDA29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Quezon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B36F28D7-20D1-4667-BE43-74FFEBC4707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D788AB74-E834-42A8-A8CF-AB583AD9BD8C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B66E6C13-1FC5-48EF-BEA9-8CEDAEADDF8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FAC19AC9-DD44-4B64-BF01-1358CCAE896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O14" authorId="1" shapeId="0" xr:uid="{2718131B-6FDE-44BF-B974-36D2A8F0D121}">
      <text>
        <r>
          <rPr>
            <b/>
            <sz val="9"/>
            <color indexed="81"/>
            <rFont val="Tahoma"/>
            <family val="2"/>
          </rPr>
          <t xml:space="preserve">TransCo-IGSOD-OccMin:
</t>
        </r>
        <r>
          <rPr>
            <sz val="9"/>
            <color indexed="81"/>
            <rFont val="Tahoma"/>
            <family val="2"/>
          </rPr>
          <t>LOAD TEST</t>
        </r>
      </text>
    </comment>
    <comment ref="P14" authorId="1" shapeId="0" xr:uid="{772DE909-AA58-4AC9-AA28-E3CA0DF8C83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Q14" authorId="1" shapeId="0" xr:uid="{390175A2-48DF-4946-BFC9-09D1739FAF6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TEST, 1055H DECLARED AS COMMERCIAL OPERATION</t>
        </r>
      </text>
    </comment>
    <comment ref="CG63" authorId="0" shapeId="0" xr:uid="{A248C389-AA8E-4579-BBFE-A7AC2918CB7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2E5EEACF-2A66-47DB-80F7-2EFF5C385A8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04510E9D-B190-48F4-B58B-556A93DEF7F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4823BFE1-3E23-4D68-9DAA-7102488237C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CE71FB4F-6B64-4DB7-9F19-FE81F7C9F07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523EC0F8-CA64-44AB-8F9A-42F9BADDB23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44FADB5C-C375-4557-A51E-07775429A92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5A429B1B-EB2C-4D89-ABA2-02E8E601490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942580E8-9205-40A1-B60A-D70EBBE301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2C73A0E1-80D8-4D43-BF60-F32214C7499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5749575B-9610-4C7A-B7F1-0BE036853EF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6582F9B7-B053-40EA-92B6-CF3C8B6313F5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O106" authorId="1" shapeId="0" xr:uid="{14D1E419-D2EF-47E7-8F8C-9282961948A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LACSAMANA</t>
        </r>
      </text>
    </comment>
    <comment ref="X106" authorId="1" shapeId="0" xr:uid="{DEE19515-88CC-4F44-BF01-830D255BEAB6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R11</t>
        </r>
      </text>
    </comment>
    <comment ref="Y106" authorId="1" shapeId="0" xr:uid="{DD5173AD-4559-4498-9618-7F8244B946AD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R11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F144D83E-F091-4595-8A9A-C4AB1B08F2E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1E41BD96-B87E-474A-A2ED-28A8E829D54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F96256CD-70E6-4F2A-B696-8A1A7A6D63D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6971DC56-77F3-488C-8C16-0D06FA8F7C79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T14" authorId="1" shapeId="0" xr:uid="{4F1CCA41-AB09-4833-950F-F8B392E77F8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R21" authorId="1" shapeId="0" xr:uid="{52B4E3BB-0E76-4387-8C1B-D2A3455B4B0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R30" authorId="1" shapeId="0" xr:uid="{B448AD8F-927D-466C-B9AD-099F684457F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CG63" authorId="0" shapeId="0" xr:uid="{225D575D-66B4-44FC-9121-2A2E57B8250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A46021F2-C5D8-4A37-BF59-F7A64C83F2C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A2F71D11-728F-442D-8DDF-D313339B762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D1D49F12-8538-4D0B-8C8D-6163D3936FF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FADB6D6D-37DB-487A-88EF-50762827985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A938E88D-FE10-42B9-83EB-E8C07B257FA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20DEC889-C104-4DBC-9F68-F9CBE4B2441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42C9154F-32EF-4C9F-A91B-B9B7C7E6CD9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DE3EEBAB-5CCF-4F1C-9D06-A8411B599B7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9A698AEB-9437-4084-93F5-0C0815D8725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3683CC7D-DADE-47CA-892C-488148777AC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9DA7E07B-F9FE-4CF2-A7C4-F5B94018DA9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06" authorId="1" shapeId="0" xr:uid="{4A871012-E26A-4E92-8EF3-1021B62189C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R2 POBLACION NARRA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B4B0EBDC-4E9F-4E5C-9EE8-5513B0B36FA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D4B55F4D-C084-4F77-81EB-E471CE49140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77675E33-2CAF-4DFF-8C3F-2E2D019034D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066E7FA6-B816-4F75-8E12-C5E99E34EDD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B28" authorId="1" shapeId="0" xr:uid="{7BE69B09-BDCE-446F-B6CB-1F5C07AC2A8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</t>
        </r>
      </text>
    </comment>
    <comment ref="R30" authorId="1" shapeId="0" xr:uid="{F59F95FD-5CAF-4130-A1E8-AC866146E56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CG63" authorId="0" shapeId="0" xr:uid="{4FB35C54-4AE7-49E4-96B1-9668A8A9B3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08B23617-B011-4497-8C41-D2F592F2616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A2A5666F-3F0E-4B96-A8DD-8549980B8DD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91A76455-3A02-4679-BE9D-7ABCCA6206A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5CE2662E-8533-4E04-85C5-34AB2A4EA7AB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87DF9B13-2436-423B-81AA-0BE5E98C873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E9466022-FE26-4970-B955-AB392FB20F6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C4A1EDD9-70AD-4DD6-AE02-3ABB363763C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60BF476F-9D76-47D7-821E-5FA908700B6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5048FFF3-B224-4546-8B06-B21B32E6B1B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AE27F26F-4E11-4441-B858-9FCE6004E46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7588C368-2125-4688-955E-E6872844ADC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L106" authorId="1" shapeId="0" xr:uid="{61ED9019-14A4-4DDF-9F17-3998C3C6290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
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F659A54C-1D1E-4E53-9977-ECA0F753B4E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07BC1323-6DFD-493B-86FF-633438F6A609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C56220EA-6C78-4477-B0AE-11BC62892C1C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8CCEC47B-54F6-4D67-B675-48F3ACB93776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R30" authorId="1" shapeId="0" xr:uid="{186D9B98-16C6-4F27-BD4C-3B0775D907D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CG63" authorId="0" shapeId="0" xr:uid="{7C466811-A6A4-458F-A607-56AC4BBF05A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8B5A72A7-7317-47C2-97FD-929A1F80CA0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ACE275F0-0CD7-4DBB-8542-1A8AD221D23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29B65D9F-3DAA-47DD-A195-6B5CDE456C0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0673F77C-E5C4-4EEA-9955-6B9CB68AEF6F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7AAB6E17-6C07-4C76-93F2-2523F330BE4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8CA15B05-28FB-4C8E-936D-AC274046055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7C4A4DAC-F580-4709-A56E-F21E90FDA4E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E5FFBE88-F8A2-4CF3-AADC-07F668EBDC5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7B73F27B-357C-4422-9D55-1740CBE75FE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BF8C4F3B-6E8F-4B42-8E16-1F0F6BE4F30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354428DB-EAEC-45EE-872F-39A9ACD59B1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L104" authorId="1" shapeId="0" xr:uid="{054DB41A-0C5C-4BF2-89FB-178D964FE8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QUEZON LOAD SHEDDING DUE TO UNAVAILABILITY OF DMCI 2 UNITS</t>
        </r>
      </text>
    </comment>
    <comment ref="M104" authorId="1" shapeId="0" xr:uid="{283F9B02-3AFE-4E3A-A895-8B8BA9A2C44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QUEZON LOAD SHEDDING DUE TO UNAVAILABILITY OF DMCI 2 UNITS</t>
        </r>
      </text>
    </comment>
    <comment ref="N104" authorId="1" shapeId="0" xr:uid="{14C6C18A-8405-488D-B3D2-6769B6453FF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QUEZON LOAD SHEDDING DUE TO UNAVAILABILITY OF DMCI 2 UNITS</t>
        </r>
      </text>
    </comment>
    <comment ref="O104" authorId="1" shapeId="0" xr:uid="{665CE6C0-5AD5-4B49-9373-03D006B1368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QUEZON LOAD SHEDDING DUE TO UNAVAILABILITY OF DMCI 2 UNITS</t>
        </r>
      </text>
    </comment>
    <comment ref="P104" authorId="1" shapeId="0" xr:uid="{806E553C-9DE5-45E1-BE5C-684D6989E78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QUEZON LOAD SHEDDING DUE TO UNAVAILABILITY OF DMCI 2 UNITS</t>
        </r>
      </text>
    </comment>
    <comment ref="Q104" authorId="1" shapeId="0" xr:uid="{A9E829C5-8E19-42C0-9B76-DA3674F1EF7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QUEZON LOAD SHEDDING DUE TO UNAVAILABILITY OF DMCI 2 UNITS</t>
        </r>
      </text>
    </comment>
    <comment ref="R104" authorId="1" shapeId="0" xr:uid="{BF39B1D7-1BCC-49D4-A1E5-5C6E8E37BC5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QUEZON LOAD SHEDDING DUE TO UNAVAILABILITY OF DMCI 2 UNITS</t>
        </r>
      </text>
    </comment>
    <comment ref="S104" authorId="1" shapeId="0" xr:uid="{064E897C-E098-4BC2-AC74-D074AB60E81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QUEZON LOAD SHEDDING DUE TO UNAVAILABILITY OF DMCI 2 UNITS</t>
        </r>
      </text>
    </comment>
    <comment ref="T104" authorId="1" shapeId="0" xr:uid="{52A43946-B262-4C95-8A0E-3763B8E4369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QUEZON LOAD SHEDDING DUE TO UNAVAILABILITY OF DMCI 2 UNITS</t>
        </r>
      </text>
    </comment>
    <comment ref="M106" authorId="1" shapeId="0" xr:uid="{B5C25B3A-B0F5-4A13-ACB9-F0BE8C1AC80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MENDOZA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  <author>tc={0DA3AD2B-BDE2-4FA7-9560-944A55DDF9EF}</author>
    <author>tc={C7D728CC-C4AC-4D14-BF66-E808ACCF51B1}</author>
  </authors>
  <commentList>
    <comment ref="C6" authorId="0" shapeId="0" xr:uid="{03808306-A1A4-4157-8FFB-04502B6EF39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04909B11-C218-46C4-8ADD-F97596CE8B3B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413B75A2-FB04-4293-B4DD-A0F489FC306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2F8E20DC-F1E8-4E5F-9D8E-D249CB9C526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R30" authorId="1" shapeId="0" xr:uid="{49DC0494-D97E-421F-8DFF-4B80A062313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CG63" authorId="0" shapeId="0" xr:uid="{2134A71C-242F-4634-BAFA-F8843113069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9588B6BA-D891-4C01-99DD-EBF1D258C4B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980E34E7-8B35-4326-8DD8-A8689CD2A06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0A54DE59-D980-45D6-952B-10F7B06AAE6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CA8DF0AB-2098-4348-AE6E-81977C54E9A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9AF33854-01D6-420D-9AC7-FD2813DB217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9A7E356A-8F97-4F04-BD57-10D17C7DB9A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90E89015-8DF8-40E0-8498-991A441EBED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69952F64-F876-4C12-8EA8-ED31ED88E36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D7726774-56B8-49D4-B2B2-CB7C64564DF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980B22D4-72CF-450A-B84C-619D237E4F7B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6FC57B27-EFAA-45B6-AD75-645A8D136D1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S106" authorId="2" shapeId="0" xr:uid="{0DA3AD2B-BDE2-4FA7-9560-944A55DDF9EF}">
      <text>
        <t>[Threaded comment]
Your version of Excel allows you to read this threaded comment; however, any edits to it will get removed if the file is opened in a newer version of Excel. Learn more: https://go.microsoft.com/fwlink/?linkid=870924
Comment:
    a/t RT</t>
      </text>
    </comment>
    <comment ref="T106" authorId="3" shapeId="0" xr:uid="{C7D728CC-C4AC-4D14-BF66-E808ACCF51B1}">
      <text>
        <t>[Threaded comment]
Your version of Excel allows you to read this threaded comment; however, any edits to it will get removed if the file is opened in a newer version of Excel. Learn more: https://go.microsoft.com/fwlink/?linkid=870924
Comment:
    a/t RT</t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3AC71439-0691-463D-A903-0CCBBC899A84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08952489-3EDD-4B2F-9E6C-5022E8C7D006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511D5C59-2FEA-4FCB-B267-66C7EC72CE2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0444E4BA-9EBA-43DA-8CE0-8FBD3A19042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D5A4C864-7FBE-4D23-B678-651EC3E35C7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6982FCD5-6EC2-4FB3-8A1B-3BD30456B79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F6E3B8D3-5044-4639-A2BC-3D0727B199D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3A327C37-2979-4C24-9EEF-836E228DC39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2207AECF-7A79-42D0-BD6F-1AE4B3DE767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8AB46789-7221-4543-BDA0-ED9739B3F1A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4B5D5D59-4873-4E47-B9FA-A431051FF8F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9D1C350D-4951-41DE-A8CB-4A76B6BB818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2C16D55F-3F07-4212-9E19-574CCA7F872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583271C8-2B18-45B5-AD50-A22A4F697FA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E9C2C4DA-926B-4F62-BDB0-BAA8637C3FF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AD9AB96F-0153-4235-9ED8-2B3D9BB56585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U106" authorId="1" shapeId="0" xr:uid="{AF6FAB5F-2ABA-49D4-988B-D04D9E7A183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R3
</t>
        </r>
      </text>
    </comment>
    <comment ref="Y106" authorId="1" shapeId="0" xr:uid="{98ACB101-A941-4AE8-938C-C473B5E87D1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WESCOM CIRCUIT</t>
        </r>
      </text>
    </comment>
    <comment ref="Z106" authorId="1" shapeId="0" xr:uid="{0F9293A3-F188-42D9-90B1-79CD3B52CA8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WESCOM CIRCUIT + KALIKASAN REC</t>
        </r>
      </text>
    </comment>
    <comment ref="AA106" authorId="1" shapeId="0" xr:uid="{85F96F77-6880-4D6D-913F-2F7D8A909C0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WESCOM CIRCUIT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</authors>
  <commentList>
    <comment ref="C6" authorId="0" shapeId="0" xr:uid="{DB475897-969A-4DE1-B5AB-DA143433AD4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398CEBAD-58BB-495F-93A2-CB05719F886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139C36E7-E884-4A9C-93C8-C56BA539324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D6C44A84-7B2A-4F31-B420-C4D17235AAF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CE5686CD-BA6A-4024-9776-0388C3CF736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F1D7BE3C-BFE0-45A9-8DE1-10BD598C436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CE2E78DE-266C-4B56-B596-AA4B8521166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B07F6D69-9F9B-4078-8B04-639C95DCD71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FDCA3A5A-FF67-4DDD-9899-B8E085CD4A55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B48095E3-CCA2-47D0-BA2D-FBE4CDF97AF1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C8F8D6BC-CC85-43C8-A4B7-9709E260A1C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EBEFC552-5E3F-42DC-B8BE-013C0FE2366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C0443C3A-0AE1-49FD-9FE3-14E181F9A13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7271249D-614F-44FF-BC08-60ABE09567D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91E2C702-59D9-498A-A6C4-21F6F032A15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2C2147EF-215A-48CF-9EB9-9752B45457D1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6E5BBD98-E1BD-40F9-9130-BE4AF218546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F9F9C0CC-3BBE-42BE-AE02-0853B5792AD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FBA622E9-4B3F-4585-BFF4-03B914563F7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22676C61-729D-41AE-8344-5D6A715809D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D884D66B-6679-451E-8B78-FD645AF1BB3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A7C237BC-614E-4D8C-94DE-4F641787D0C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540CF366-E546-4AC3-A7C7-BEB389F62E6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05C44186-A6CA-4D6C-B493-5B4343E5712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C2C2F8EF-BF06-4A14-8769-509B2315F79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C82BF243-BE17-4C66-8917-1DD73948FD0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61C79075-0051-438E-8CB7-6CBB3FDB60A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643EDBEF-D46B-4D27-A750-F9C61209154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E51B89F3-052A-497F-86A6-B34275A28FA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6B3F9011-92EF-4D82-BA3C-A245541FB61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348FF21F-0B5F-48F2-8F20-08647A83B93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5D69477E-1981-4330-9E65-64DA77C402D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06" authorId="1" shapeId="0" xr:uid="{D5CBD27F-FD31-4B8B-BA35-6BC0A4BCE25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MANALO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</authors>
  <commentList>
    <comment ref="C6" authorId="0" shapeId="0" xr:uid="{25833DD2-6531-427B-BBC4-12A5A475AB3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046BA2B5-A86D-4B9F-96CB-423C68DE5F24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73ACDA9B-9B26-4825-BB96-307C220FDAAB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B58E2B1D-5AC9-49FC-BDEB-14CBB07F0F5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E9F06A3F-0866-490C-A76D-E2FB2BF1A20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5543D16C-693C-481E-B070-7EE96656AA8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C1D6051E-EAFB-4E61-B10C-402E2A55C34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D61CDF81-A4C4-448E-8316-B4109887AC7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EDA57560-FDC7-42E3-AE3F-DC2BB7C5B93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83629327-DB77-4730-82B6-BA75A06BBA3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E1C3DF7A-DED9-4849-B73A-A396D42856D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05ED5A56-6828-46DD-A671-40E1F6C7285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7332DF46-1CDC-4ACB-9C74-99320808095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2A974D89-E824-40B0-8D42-32390B2C234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1EFABCBF-3FAF-43B6-A5ED-FEDD89DB3C47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2A4A2B22-31BB-4E53-B2A7-A62EBBE4ACD1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tc={E1A283D1-829A-44B1-9533-99CE1E1BF51B}</author>
    <author>tc={101456F0-3F69-4257-B177-FB40B8B43BE4}</author>
    <author>TransCo-IGSOD-OccMin</author>
  </authors>
  <commentList>
    <comment ref="C6" authorId="0" shapeId="0" xr:uid="{6CF601B0-83D6-48F8-BC0D-B091761B149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49998ABA-5123-42C9-9566-4BD5F398C4C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86FA66B3-8AC5-4FF1-A750-730917F6D02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7791B97F-629A-4E29-AE4A-06246C79F49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287384B0-852F-4657-8E1C-D9CF8383E0B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6BDA2C3A-A7D7-4A50-8962-8D39B94E653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8A5BE7BA-BF2C-47C3-814F-4FE95128D4E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7FCE990F-E5FF-4CBD-9C8A-E16D4D0720C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24B6002F-41D0-431F-9AC1-624F57E1F59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5DE247AB-F820-408E-A6E5-7EE1D9FAC44C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C46861AF-D7A1-480E-947E-0EA275AD5EA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FF45FD1C-8551-40D0-99CB-2DD96004AD3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E3B699A5-31D9-4E88-B629-A72C5CCD204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FBC2ABAE-3781-4924-ADDA-F6846238F25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B7704DBC-8AF8-4124-A96D-E21C4BDFE93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13085BDB-85C8-4FC9-A3B2-BD71971406C1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M104" authorId="1" shapeId="0" xr:uid="{E1A283D1-829A-44B1-9533-99CE1E1BF51B}">
      <text>
        <t>[Threaded comment]
Your version of Excel allows you to read this threaded comment; however, any edits to it will get removed if the file is opened in a newer version of Excel. Learn more: https://go.microsoft.com/fwlink/?linkid=870924
Comment:
    QUEZON</t>
      </text>
    </comment>
    <comment ref="N104" authorId="2" shapeId="0" xr:uid="{101456F0-3F69-4257-B177-FB40B8B43BE4}">
      <text>
        <t>[Threaded comment]
Your version of Excel allows you to read this threaded comment; however, any edits to it will get removed if the file is opened in a newer version of Excel. Learn more: https://go.microsoft.com/fwlink/?linkid=870924
Comment:
    QUEZON</t>
      </text>
    </comment>
    <comment ref="T104" authorId="3" shapeId="0" xr:uid="{BDEA29AC-3C48-43EC-B7E3-8FE1F2AD0BC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LU F2, 22BP4-1</t>
        </r>
      </text>
    </comment>
    <comment ref="U104" authorId="3" shapeId="0" xr:uid="{A29DC359-A96E-42E2-9906-CA8DE3DE953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LUCBUAN F2 + SM MALL</t>
        </r>
      </text>
    </comment>
    <comment ref="V104" authorId="3" shapeId="0" xr:uid="{479D762B-7443-4155-B9B8-46B4203BBC4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LUCBUAN F2 + SM MALL</t>
        </r>
      </text>
    </comment>
    <comment ref="P106" authorId="3" shapeId="0" xr:uid="{3183D1EB-A105-4C38-814D-6A7E83C0B65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Q106" authorId="3" shapeId="0" xr:uid="{E1BF237F-0529-424E-B241-8B9F0CE8898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H111" authorId="3" shapeId="0" xr:uid="{CFE25629-D72F-4928-9813-617E3FF9C3D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ONGOING BALANCING OF LOAD AFTER DELTA P TOTAL PLANT SHUTDOWN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3B985557-67CC-4E9D-BD33-BC4B507978F4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8620C698-2D45-4FC1-8198-0625089F617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FB50A92F-5E07-4358-AD55-DD6BD48A1AC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22FC070E-A0EB-4388-B340-F3C2A945EA6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A7B950AB-59ED-48D5-B4B5-73B61213B0D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8BE303EC-36F7-47E5-A6EA-3E3C9C3F6B7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908CC1AD-CDC3-4FBD-8530-622C7BE9D2B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A9D31387-4A26-498F-A9A1-81CBC6062B5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C020CCED-4763-403D-B4B3-F4A48732A4D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ECFEF39C-C602-4990-8678-28F0FB7D3B5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CC5D9CB4-F26B-41A2-8D65-95E0207476F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E130429A-8BBD-441B-83A9-E13FA4ACE4E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C215DE3B-A4E3-42AB-97B2-BF78D5CB8F9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06F1A096-37F3-4579-B749-A6D145C5496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46C08173-5E12-48A6-930B-DA93ECA6A8C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373B1504-DAC4-4980-A70A-CFEBB69FF2B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T104" authorId="1" shapeId="0" xr:uid="{17721CBC-6AF7-40B4-B19A-7BC2A30C3BB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FACTOR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4C1DDFBC-2FB2-425E-810D-19848A3AE36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E0E4FDDD-C298-43F3-8018-7C3AF42E07E9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35D62A96-E3AF-4736-9BAF-EE85DECDF04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4686B439-C15F-46F6-8593-A03807A5EB9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5C0590B7-45D5-4C0E-8FA2-31018A655A1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553EC223-1478-4EE4-A3BC-F23DD092E0B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F0FE9DC0-7F62-4AD0-B214-BAACBEF30D9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E4980495-7017-4938-87A6-BDB589B1508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66482BC7-A861-4F90-B7B1-A71D19FD1C0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55BD2146-B22F-4BF7-BBF6-7AB947353E4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E6C92EC6-7412-4CE1-B7FC-0DE481C2238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3D390952-BA9C-4E9B-89E8-08E3285393D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7D565EE2-CB99-4BAA-8CB5-73068F223E7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8A04BF57-6CBF-42E1-BBA5-1CA8C7D185E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A2BE52BF-A30C-4E3F-879F-9D68C751042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10D408F3-8DA1-4CD1-A0AC-C085D9C2C25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U106" authorId="1" shapeId="0" xr:uid="{614ADEC2-5246-4409-ADC2-83F0FDDBF49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R6, Quezon</t>
        </r>
      </text>
    </comment>
    <comment ref="V106" authorId="1" shapeId="0" xr:uid="{F2516533-8C0B-474B-9DE1-5EC4D4FCCC8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R6, Quezon</t>
        </r>
      </text>
    </comment>
    <comment ref="W106" authorId="1" shapeId="0" xr:uid="{CBA87B30-00C2-4705-88DA-22156E3BB2D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Quezon</t>
        </r>
      </text>
    </comment>
    <comment ref="X106" authorId="1" shapeId="0" xr:uid="{444EB311-746C-4211-BEA6-96FC43AFC2C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Quezon</t>
        </r>
      </text>
    </comment>
    <comment ref="Y106" authorId="1" shapeId="0" xr:uid="{77FAC045-5249-4D0C-AE75-E0A23D9B6B0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Quezon</t>
        </r>
      </text>
    </comment>
    <comment ref="Z111" authorId="1" shapeId="0" xr:uid="{CC18AE65-9DE9-4510-B9F5-A9CE12257A2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MAN 2 TESTING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tc={365AA562-5253-4E14-B915-77187048986D}</author>
    <author>tc={B4C6B29F-0CFD-4A96-AA22-343435113B59}</author>
    <author>tc={B8BE3A6F-9D5E-4E09-BC13-C2E5792B1D5B}</author>
    <author>TransCo-IGSOD-OccMin</author>
  </authors>
  <commentList>
    <comment ref="C6" authorId="0" shapeId="0" xr:uid="{E79FD181-9DF9-422D-9DBD-86A3D3482EC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39A25FD5-6F07-42F6-BEFC-AD46D7B1415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D440D3AF-3B4F-46CB-AA83-717F10CCFD7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56291526-9979-4B9C-9766-FC319D116F7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EB3F66AD-88D9-4754-81AB-E966C158D1D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E45C0331-E379-4FE7-BC90-EFC64FEBF0C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E9772878-B36D-4D42-8FE6-4307562F7BE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D3B3FDEB-BAC4-4D5B-8FBB-B42658939CF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107608B4-D742-448E-A4D4-B0BD6453F59F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EBB21DC6-0468-48C5-A56C-3B49E25E47EC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DD48EC1C-46BB-4020-B357-E2FD5C4F999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C8888727-331B-49AB-952F-A5A1B72BDAA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82CAB69D-1389-4718-93D0-24E60528670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1665B003-D46E-4EE9-A59B-C92A655CF54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8839D99B-1D0E-41C7-B5A4-30F1D4D3E0A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882902CA-89DE-43D9-9D32-7ABC68BAF9A5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U106" authorId="1" shapeId="0" xr:uid="{365AA562-5253-4E14-B915-77187048986D}">
      <text>
        <t>[Threaded comment]
Your version of Excel allows you to read this threaded comment; however, any edits to it will get removed if the file is opened in a newer version of Excel. Learn more: https://go.microsoft.com/fwlink/?linkid=870924
Comment:
    taytay barrio</t>
      </text>
    </comment>
    <comment ref="V106" authorId="2" shapeId="0" xr:uid="{B4C6B29F-0CFD-4A96-AA22-343435113B59}">
      <text>
        <t>[Threaded comment]
Your version of Excel allows you to read this threaded comment; however, any edits to it will get removed if the file is opened in a newer version of Excel. Learn more: https://go.microsoft.com/fwlink/?linkid=870924
Comment:
    taytay barrio</t>
      </text>
    </comment>
    <comment ref="W106" authorId="3" shapeId="0" xr:uid="{B8BE3A6F-9D5E-4E09-BC13-C2E5792B1D5B}">
      <text>
        <t>[Threaded comment]
Your version of Excel allows you to read this threaded comment; however, any edits to it will get removed if the file is opened in a newer version of Excel. Learn more: https://go.microsoft.com/fwlink/?linkid=870924
Comment:
    taytay barrio</t>
      </text>
    </comment>
    <comment ref="AA106" authorId="4" shapeId="0" xr:uid="{639419E5-ACF7-4200-BB8C-3B4336E2E63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r9
</t>
        </r>
      </text>
    </comment>
    <comment ref="AB106" authorId="4" shapeId="0" xr:uid="{468C5735-F43D-4FBD-AC34-E43D9AA5D20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r9
</t>
        </r>
      </text>
    </comment>
    <comment ref="AC106" authorId="4" shapeId="0" xr:uid="{D93CCFCA-A443-41D7-8AC0-D82A5F225E2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MENDOZA</t>
        </r>
      </text>
    </comment>
    <comment ref="AC111" authorId="4" shapeId="0" xr:uid="{D6314505-C7E2-4480-8D5D-F42C1CA21EE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MENDOZA A/T AT 2257H, A/R AT 2302H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0CAAF9D2-F914-4E69-A6B5-D0BF86BBC7AC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8067B289-2297-4DD1-85A5-310A155E545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F35B020D-3285-40B3-9C87-D2D48227113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32FBC13F-C70E-43B8-BD33-12CF8AE46149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O14" authorId="1" shapeId="0" xr:uid="{5B75495B-68A3-4E64-9363-90FCBA989A7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P14" authorId="1" shapeId="0" xr:uid="{63D1AD3F-D561-4521-9267-7E6967A0D05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CG63" authorId="0" shapeId="0" xr:uid="{AD405B81-E78F-453A-A4AE-5FAD1596E8D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C2E9C781-7809-4826-983E-6E90E27A7C2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F1656544-B99B-4D81-BEED-B46F6FC684B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F70651A0-16A1-4DFA-AA48-F4380644550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5C4E95F5-B163-47D5-94C7-E6C9C598FD5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615528B7-2339-4DF7-99CD-FCD30A7CD08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E0416CDF-F67B-4BF9-B62D-1B2B072951B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9F800E25-E0C6-40AD-87FE-9A277CC545A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90B0FA98-FD2D-4D45-AEE2-0ADA3A5BA54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35F6E33D-7FF6-4388-AF30-932DF0E042A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10CDC3E5-FEB9-4952-9FBC-342B75E4F1D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FCB9DD57-F16B-4EB6-BF57-1675845B8DC1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G106" authorId="1" shapeId="0" xr:uid="{436E680E-2179-48BA-B585-3D20EEA97E2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S106" authorId="1" shapeId="0" xr:uid="{968A3C0E-3492-4FCD-9573-36EC9B475CC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lucbuan f2
</t>
        </r>
      </text>
    </comment>
    <comment ref="V106" authorId="1" shapeId="0" xr:uid="{F7977C35-183B-4FFA-BEF6-37537B46AE5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LU, Roxas, Taytay
</t>
        </r>
      </text>
    </comment>
    <comment ref="W106" authorId="1" shapeId="0" xr:uid="{A6ED6CA3-1DFE-48B8-AFB9-F227F82D5B3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
</t>
        </r>
      </text>
    </comment>
    <comment ref="Y106" authorId="1" shapeId="0" xr:uid="{E9738B73-B19F-4EB6-A567-93CD470570A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Kalikasan
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B564B6B3-FE98-4B7F-BC51-E4621F681BC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8E463C49-0823-4E75-ABCC-823D60F970F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0CCCB885-E97D-473C-B18C-6ECC836BB65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4209FDFA-5FF6-4A04-BCE9-DF14353C392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A388F56C-EDE9-4E59-B5E6-33696F45D7E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E3C8B31D-61EB-40C9-8884-4A3111CC2F2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8D22708C-C5DB-4796-ACEB-6438E3ED4F0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A573A5C4-D667-4FC7-B5FD-C54A39F99A1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FC765E81-613D-4F27-B073-668C6D4A524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60C65C8E-CDAE-4206-A944-F9A207909FE5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CDD4A732-EBA4-45FE-BCDB-4A331A862DF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94D7A581-EDDA-40ED-A82A-5D07F288068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F984CF3C-F327-49CE-9487-101D1DCC4D0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8F690B18-6886-4F7F-A2A2-58B0961929E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806BBBB8-6BAA-454C-9184-FB8468C6740C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C17913CD-6904-4035-9997-BA6F098C634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Q106" authorId="1" shapeId="0" xr:uid="{0461111D-169D-4DB8-8C29-5EAF08F339A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ANHS FAILED TO RECLOSE
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4B00E3C2-FEF7-4BE4-A598-ABAA3251E28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100EE6E9-965F-431A-AD1E-D9458EAA4A0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48ED3873-9EB8-4ED0-BBEB-03707934332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50E95AB3-44D0-4F55-AE55-F12EC755E974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J14" authorId="1" shapeId="0" xr:uid="{908A40D2-8971-4AC6-89AF-BA893B7DAFB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
</t>
        </r>
      </text>
    </comment>
    <comment ref="G21" authorId="1" shapeId="0" xr:uid="{9B2A53E1-A5E7-48A8-BA3B-7A2D613208A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ISLAND MODE, ONLY SAN JOSE CIRCUIT CONNECTED</t>
        </r>
      </text>
    </comment>
    <comment ref="H21" authorId="1" shapeId="0" xr:uid="{401F679F-E070-4427-95B8-AF1ECC0D8C1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ISLAND MODE, ONLY SAN JOSE CIRCUIT CONNECTED</t>
        </r>
      </text>
    </comment>
    <comment ref="CG63" authorId="0" shapeId="0" xr:uid="{1740BEDE-445C-4B7E-9C5C-DD9883D16CA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9F30FA99-1547-460F-A980-6907ED9CD49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EF573E01-F9F2-4BF1-95DF-E248BB8B92E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95F40EC4-A009-43B0-8803-660D52239A1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A9DAAD2C-8E8F-44FD-9729-55CA599FD2E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7A0FF276-8D12-4F68-84BC-24867B58F315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73AE1A5C-13A0-4589-9317-96F66503F4D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9911F330-624B-4373-ACBD-1819C4F28AA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E99CFCE2-D65C-40C6-937C-0785B35C1D3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7ED92739-0A08-46FD-94DA-0B6A7CB430F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0B9B72AE-EB41-42FF-913E-D038797213AC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A29711A2-C1CE-479A-A0A5-A1B8244C6D9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G105" authorId="1" shapeId="0" xr:uid="{240F2D9B-23EF-4877-B451-C8818D0D93C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ALL PUERTO CIRCUIT EXCEPT SAN JOSE THAT SOLELY SUPPLIED BY PPGI U3
</t>
        </r>
      </text>
    </comment>
    <comment ref="H105" authorId="1" shapeId="0" xr:uid="{CAB39CB9-CA6E-4B29-ADF8-AC629BA1062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ALL PUERTO CIRCUIT EXCEPT SAN JOSE THAT SOLELY SUPPLIED BY PPGI U3</t>
        </r>
      </text>
    </comment>
    <comment ref="I105" authorId="1" shapeId="0" xr:uid="{B5D5C04A-95BA-4DBD-9F1B-F07FE486475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BALTAN REC+SAN JOSE INITIAL+SAN MANUEL REC+PILTEL REC+MANALO REC+MENDOZA REC / ONGOING RESTORATION OF M/C FEEDERS DUE TO NPC AND DELTA P ACTIVITY.</t>
        </r>
      </text>
    </comment>
    <comment ref="F106" authorId="1" shapeId="0" xr:uid="{47E0C9FA-1BDF-459C-9B33-D29B83E1BD0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LACSAMANA</t>
        </r>
      </text>
    </comment>
    <comment ref="G111" authorId="1" shapeId="0" xr:uid="{2BB781AD-B20B-43CA-8176-A65B8A561CC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NPC AND DELTA P ACTIVITY</t>
        </r>
      </text>
    </comment>
    <comment ref="H111" authorId="1" shapeId="0" xr:uid="{BCBDD32C-59FD-4E42-A833-464AC866DA4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NPC AND DELTA P ACTIVITY</t>
        </r>
      </text>
    </comment>
    <comment ref="I111" authorId="1" shapeId="0" xr:uid="{97E39E38-4DCC-4E54-BD80-5FD584C6C0E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NPC AND DELTA P ACTIVITY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A273B6A8-A235-478F-8169-839D7FF18424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F87CF09E-014B-4032-9C94-155CB925910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E6CDBA43-92E9-457C-992F-6A560CA6811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8257232F-0031-4006-8053-FA18A1BD4D6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S29" authorId="1" shapeId="0" xr:uid="{9CA36FEC-9F0B-44A4-8DB2-FB73AC52921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emission test
</t>
        </r>
      </text>
    </comment>
    <comment ref="T29" authorId="1" shapeId="0" xr:uid="{784D661D-4DF2-4C53-96EC-9862FD41B6B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emission test
</t>
        </r>
      </text>
    </comment>
    <comment ref="CG63" authorId="0" shapeId="0" xr:uid="{0B3EC338-E803-440D-8A2E-406CBC6999B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C6E6B195-F03E-4B9F-AE80-C74C683BE0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573223DE-9AAC-4AB7-8530-B1637E722F4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DAB64BA7-13EF-4149-9FE5-B1B1EECCD3C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641BDE99-DEC6-4E2E-B645-5FDB2498DC6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141CF5DE-EF5A-4082-A167-0F12C0097C2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77A1AB66-5F80-4C39-BAFE-CE62E674A09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F0BE340D-BF4D-47DA-8F10-5E3965B17DD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031271EA-814C-42D7-94CC-325840C68CF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99E8ECF1-FAA8-4B53-8B09-8A1C13A2E6B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52F02164-16AC-46BC-9AE2-59EEB6B8D10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769FADBF-58D0-4632-B9CE-46C8096A7D5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J106" authorId="1" shapeId="0" xr:uid="{53BAC55B-6948-42CD-B992-CD1E0B302EA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AT ROXAS UNDER  R11</t>
        </r>
      </text>
    </comment>
    <comment ref="K106" authorId="1" shapeId="0" xr:uid="{7601D80A-CD45-4B8A-85F4-BEABF0EDE60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AT ROXAS UNDER  R11 + MENDOZA REC</t>
        </r>
      </text>
    </comment>
    <comment ref="L106" authorId="1" shapeId="0" xr:uid="{D185ABC5-C07B-483C-8450-D93F22F0621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AT ROXAS UNDER  R11</t>
        </r>
      </text>
    </comment>
    <comment ref="M106" authorId="1" shapeId="0" xr:uid="{A788C15F-1B72-43E7-A361-6B54D7FF467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R11, already tripped thrice
</t>
        </r>
      </text>
    </comment>
    <comment ref="N106" authorId="1" shapeId="0" xr:uid="{DD1295C9-1EEA-4AC5-88B0-56918C1E718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R11, already tripped thrice
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  <author>tc={54EB763D-1802-4E3E-99E2-F74F8E59DB29}</author>
    <author>ARQUERO, STEPHANIE JANE</author>
  </authors>
  <commentList>
    <comment ref="C6" authorId="0" shapeId="0" xr:uid="{8F4D8E7E-3761-46C4-A6DE-A8AC727E0E7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16768771-4D61-4C7F-9DB7-465056547E6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AD74DFDC-73F2-401B-9445-ECE14CEC35E9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B6AFA3E9-1977-4C14-ABBB-14A0B5BB4ACB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AAAACC83-8A13-4791-8834-DA262454E6C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B9D3A7ED-1E38-4552-91B2-297F2B7018F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9724F85D-9BD7-47A6-B85A-A8EE578AA14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0592942B-E89A-4E2D-A5E2-6FC05E9136F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A5E93344-F247-4184-8D69-0412600C39D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967118E5-E2C3-4C44-B61D-7C98020C3805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CD39374E-0806-4576-811D-8E537296F7B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67690E6A-FED4-45D8-AAB3-80ECEE4C7BE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33C17040-F378-4A88-9F36-AD511749E0E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9FBCD68E-D0D8-46DA-9178-076EBDEC150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D2834249-F480-4240-A16B-AEA6F201544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1D232A56-7BE6-46DC-A026-E53FF7FC104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S106" authorId="1" shapeId="0" xr:uid="{F9F96722-D937-45DF-9F78-5FC5763D7C5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CB12
</t>
        </r>
      </text>
    </comment>
    <comment ref="T106" authorId="1" shapeId="0" xr:uid="{C1A49817-6B7F-4846-9FFA-7B7A376C647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CB12
</t>
        </r>
      </text>
    </comment>
    <comment ref="U106" authorId="2" shapeId="0" xr:uid="{54EB763D-1802-4E3E-99E2-F74F8E59DB29}">
      <text>
        <t>[Threaded comment]
Your version of Excel allows you to read this threaded comment; however, any edits to it will get removed if the file is opened in a newer version of Excel. Learn more: https://go.microsoft.com/fwlink/?linkid=870924
Comment:
    taytay</t>
      </text>
    </comment>
    <comment ref="V106" authorId="1" shapeId="0" xr:uid="{F1BDB823-5027-443E-AEB4-8E5DC1F7F1D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 &amp; quezon</t>
        </r>
      </text>
    </comment>
    <comment ref="W106" authorId="1" shapeId="0" xr:uid="{764D3717-787A-4B01-B120-D1293EAD599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</t>
        </r>
      </text>
    </comment>
    <comment ref="X106" authorId="3" shapeId="0" xr:uid="{71B6A34A-9F6B-44E4-8249-BC852E000A7F}">
      <text>
        <r>
          <rPr>
            <sz val="11"/>
            <color theme="1"/>
            <rFont val="Calibri"/>
            <family val="2"/>
            <scheme val="minor"/>
          </rPr>
          <t xml:space="preserve">ARQUERO, STEPHANIE JANE:
21TY4
</t>
        </r>
      </text>
    </comment>
    <comment ref="Y106" authorId="3" shapeId="0" xr:uid="{2990034A-39D7-4CE3-B35A-C4F1AC26E3AE}">
      <text>
        <r>
          <rPr>
            <sz val="11"/>
            <color theme="1"/>
            <rFont val="Calibri"/>
            <family val="2"/>
            <scheme val="minor"/>
          </rPr>
          <t xml:space="preserve">ARQUERO, STEPHANIE JANE:
21TY4
</t>
        </r>
      </text>
    </comment>
    <comment ref="Z106" authorId="3" shapeId="0" xr:uid="{FCCE2280-F2B8-4BB9-A496-CF7395533668}">
      <text>
        <r>
          <rPr>
            <sz val="11"/>
            <color theme="1"/>
            <rFont val="Calibri"/>
            <family val="2"/>
            <scheme val="minor"/>
          </rPr>
          <t xml:space="preserve">ARQUERO, STEPHANIE JANE:
21TY4
</t>
        </r>
      </text>
    </comment>
    <comment ref="AA106" authorId="3" shapeId="0" xr:uid="{D4DD1718-0E40-4221-B21C-58FEF2225D42}">
      <text>
        <r>
          <rPr>
            <sz val="11"/>
            <color theme="1"/>
            <rFont val="Calibri"/>
            <family val="2"/>
            <scheme val="minor"/>
          </rPr>
          <t xml:space="preserve">ARQUERO, STEPHANIE JANE:
21TY4
</t>
        </r>
      </text>
    </comment>
    <comment ref="AB106" authorId="3" shapeId="0" xr:uid="{E8C2BC4B-6711-4315-8E66-935BB6C9F7DF}">
      <text>
        <r>
          <rPr>
            <sz val="11"/>
            <color theme="1"/>
            <rFont val="Calibri"/>
            <family val="2"/>
            <scheme val="minor"/>
          </rPr>
          <t xml:space="preserve">ARQUERO, STEPHANIE JANE:
21TY4
</t>
        </r>
      </text>
    </comment>
    <comment ref="AC106" authorId="3" shapeId="0" xr:uid="{24EDE794-E82B-4E60-A56B-DC3136090936}">
      <text>
        <r>
          <rPr>
            <sz val="11"/>
            <color theme="1"/>
            <rFont val="Calibri"/>
            <family val="2"/>
            <scheme val="minor"/>
          </rPr>
          <t xml:space="preserve">ARQUERO, STEPHANIE JANE:
21TY4
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ARQUERO, STEPHANIE JANE</author>
    <author>TransCo-IGSOD-OccMin</author>
  </authors>
  <commentList>
    <comment ref="C6" authorId="0" shapeId="0" xr:uid="{BF3A237D-E09E-4B42-88D9-A97F78545D1B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EB0085C4-5577-42E5-B5CB-E553421C2EF9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9C0F7243-3388-4F35-A7F7-8B0F24DE203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7C1942BB-C4A4-46A9-9DFA-16AAAF05DB5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CF479709-3305-4281-A91E-C1FF08A85AC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C1EDBFA8-E1BE-4B1A-A606-DE1A27ED448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7E79A4BA-F50A-4A79-83F2-908C9A094C0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0B7F41DA-CE0A-4670-9C52-490873E2C68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85DF4315-D86C-4AD9-AB29-385C572810A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4BCFAEEC-1464-4467-BA7D-7FFA984D910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55617AAA-1D5D-4A38-9A9A-657222344CC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B8A646B9-C735-48AB-9768-7E51998502E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50EF7253-AA9D-4AFB-A35D-95FE755C928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4451D8A2-463B-40F5-916D-7113E906601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375C2461-B169-4B19-B227-E8B7028CB90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2CC3866D-3EEF-4DB8-B260-5F6F94D0442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F106" authorId="1" shapeId="0" xr:uid="{ACC20224-CACF-4F72-9CF9-65E0B1D8E23A}">
      <text>
        <r>
          <rPr>
            <sz val="11"/>
            <color theme="1"/>
            <rFont val="Calibri"/>
            <family val="2"/>
            <scheme val="minor"/>
          </rPr>
          <t xml:space="preserve">ARQUERO, STEPHANIE JANE:
21TY4
</t>
        </r>
      </text>
    </comment>
    <comment ref="G106" authorId="1" shapeId="0" xr:uid="{D8F61077-8CF4-49FA-B8BC-2221C302E962}">
      <text>
        <r>
          <rPr>
            <sz val="11"/>
            <color theme="1"/>
            <rFont val="Calibri"/>
            <family val="2"/>
            <scheme val="minor"/>
          </rPr>
          <t>ARQUERO, STEPHANIE JANE:
21TY4,R7</t>
        </r>
      </text>
    </comment>
    <comment ref="H106" authorId="1" shapeId="0" xr:uid="{7180A502-586F-4431-A38C-C5CEC1A32F40}">
      <text>
        <r>
          <rPr>
            <sz val="11"/>
            <color theme="1"/>
            <rFont val="Calibri"/>
            <family val="2"/>
            <scheme val="minor"/>
          </rPr>
          <t xml:space="preserve">ARQUERO, STEPHANIE JANE:
21TY4
</t>
        </r>
      </text>
    </comment>
    <comment ref="I106" authorId="2" shapeId="0" xr:uid="{9EFFCE06-E4B0-4989-8A5F-CE51EED900BF}">
      <text>
        <r>
          <rPr>
            <sz val="9"/>
            <color indexed="81"/>
            <rFont val="Tahoma"/>
            <family val="2"/>
          </rPr>
          <t>ARQUERO, STEPHANIE JANE:
21TY4</t>
        </r>
      </text>
    </comment>
    <comment ref="J106" authorId="2" shapeId="0" xr:uid="{DA9D16FD-B6F1-44AA-9B97-F87E4A912F7A}">
      <text>
        <r>
          <rPr>
            <sz val="9"/>
            <color indexed="81"/>
            <rFont val="Tahoma"/>
            <family val="2"/>
          </rPr>
          <t>ARQUERO, STEPHANIE JANE:
21TY4</t>
        </r>
      </text>
    </comment>
    <comment ref="K106" authorId="2" shapeId="0" xr:uid="{5A28814A-A87A-4F54-AB33-11312F02AB76}">
      <text>
        <r>
          <rPr>
            <sz val="9"/>
            <color indexed="81"/>
            <rFont val="Tahoma"/>
            <family val="2"/>
          </rPr>
          <t>ARQUERO, STEPHANIE JANE:
21TY4</t>
        </r>
      </text>
    </comment>
    <comment ref="L106" authorId="2" shapeId="0" xr:uid="{815F41E4-B922-4BEC-B120-6F89DE7B0CB9}">
      <text>
        <r>
          <rPr>
            <sz val="9"/>
            <color indexed="81"/>
            <rFont val="Tahoma"/>
            <family val="2"/>
          </rPr>
          <t>ARQUERO, STEPHANIE JANE:
21TY4</t>
        </r>
      </text>
    </comment>
    <comment ref="M106" authorId="2" shapeId="0" xr:uid="{8DE54D4F-B613-4B39-B0E1-D9BD95F966CF}">
      <text>
        <r>
          <rPr>
            <sz val="9"/>
            <color indexed="81"/>
            <rFont val="Tahoma"/>
            <family val="2"/>
          </rPr>
          <t>ARQUERO, STEPHANIE JANE:
21TY4</t>
        </r>
      </text>
    </comment>
    <comment ref="N106" authorId="2" shapeId="0" xr:uid="{8E0336A3-2156-4219-8BE3-1368352E985E}">
      <text>
        <r>
          <rPr>
            <sz val="9"/>
            <color indexed="81"/>
            <rFont val="Tahoma"/>
            <family val="2"/>
          </rPr>
          <t>ARQUERO, STEPHANIE JANE:
21TY4</t>
        </r>
      </text>
    </comment>
    <comment ref="O106" authorId="2" shapeId="0" xr:uid="{6F9A190B-B1A5-436B-AB4B-F36104BBE66B}">
      <text>
        <r>
          <rPr>
            <sz val="9"/>
            <color indexed="81"/>
            <rFont val="Tahoma"/>
            <family val="2"/>
          </rPr>
          <t>ARQUERO, STEPHANIE JANE:
21TY4</t>
        </r>
      </text>
    </comment>
    <comment ref="P106" authorId="2" shapeId="0" xr:uid="{948D3F8B-FE15-4E4E-95C4-08A0C36E5277}">
      <text>
        <r>
          <rPr>
            <sz val="9"/>
            <color indexed="81"/>
            <rFont val="Tahoma"/>
            <family val="2"/>
          </rPr>
          <t>ARQUERO, STEPHANIE JANE:
21TY4</t>
        </r>
      </text>
    </comment>
    <comment ref="Q106" authorId="2" shapeId="0" xr:uid="{034B53AB-35F1-48E4-AC75-301718623817}">
      <text>
        <r>
          <rPr>
            <sz val="9"/>
            <color indexed="81"/>
            <rFont val="Tahoma"/>
            <family val="2"/>
          </rPr>
          <t>ARQUERO, STEPHANIE JANE:
21TY4</t>
        </r>
      </text>
    </comment>
    <comment ref="R106" authorId="2" shapeId="0" xr:uid="{E34669CC-6028-44BD-BE09-E0A529F64979}">
      <text>
        <r>
          <rPr>
            <sz val="9"/>
            <color indexed="81"/>
            <rFont val="Tahoma"/>
            <family val="2"/>
          </rPr>
          <t>ARQUERO, STEPHANIE JANE:
21TY4</t>
        </r>
      </text>
    </comment>
    <comment ref="S106" authorId="2" shapeId="0" xr:uid="{7ADC82BE-8EC7-4940-8236-AAE71B1B9C46}">
      <text>
        <r>
          <rPr>
            <sz val="9"/>
            <color indexed="81"/>
            <rFont val="Tahoma"/>
            <family val="2"/>
          </rPr>
          <t>ARQUERO, STEPHANIE JANE:
21TY4</t>
        </r>
      </text>
    </comment>
    <comment ref="T106" authorId="2" shapeId="0" xr:uid="{88544CA3-B73E-442D-9EFC-86392ADCFA96}">
      <text>
        <r>
          <rPr>
            <sz val="9"/>
            <color indexed="81"/>
            <rFont val="Tahoma"/>
            <family val="2"/>
          </rPr>
          <t xml:space="preserve">ARQUERO, STEPHANIE JANE:
21TY4, CALATEGAS
</t>
        </r>
      </text>
    </comment>
    <comment ref="U106" authorId="2" shapeId="0" xr:uid="{5E0B0D77-D5AD-49A7-9854-9453494C036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AB2" authorId="0" shapeId="0" xr:uid="{0B0448C4-5DB5-49AF-BDCB-0A20FCE01DBE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D2" authorId="0" shapeId="0" xr:uid="{0C638B96-D2DE-403B-9623-5403F9842358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V16" authorId="0" shapeId="0" xr:uid="{3263AA62-99D7-40D8-AD2B-C40B4FA5F5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METER GOT CHANGED</t>
        </r>
      </text>
    </comment>
    <comment ref="R308" authorId="0" shapeId="0" xr:uid="{98CFE063-537A-4606-A029-8D188187989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Reset</t>
        </r>
      </text>
    </comment>
    <comment ref="AB367" authorId="0" shapeId="0" xr:uid="{BB8CD08A-631F-48FD-8268-9574DFDD1D1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new billing meter</t>
        </r>
      </text>
    </comment>
    <comment ref="H391" authorId="0" shapeId="0" xr:uid="{9073C045-73B3-4C87-9F33-85EC9ED4E87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Corrected at FEB 7 0016H</t>
        </r>
      </text>
    </comment>
    <comment ref="D401" authorId="0" shapeId="0" xr:uid="{4EC5FC66-6934-4AF6-99CE-088027E2096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bukas nalang ng umaga ibibigay - sangaglang
</t>
        </r>
      </text>
    </comment>
  </commentList>
</comments>
</file>

<file path=xl/comments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  <author>TransCo-IGSOD-OccMin</author>
  </authors>
  <commentList>
    <comment ref="AI5" authorId="0" shapeId="0" xr:uid="{32E2CF1B-402F-4E49-91FA-1BF87D8B0A69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  <comment ref="T30" authorId="1" shapeId="0" xr:uid="{109E767C-11DC-4166-99F8-5FF62358861B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JANUARY 28, 2025</t>
        </r>
      </text>
    </comment>
  </commentList>
</comments>
</file>

<file path=xl/comments3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DB6A4837-A75B-41DA-86D6-E822A2F6F1EF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comments3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EBAECDA0-C1B6-409B-8187-1895F276DC9D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<sst xmlns="http://schemas.openxmlformats.org/spreadsheetml/2006/main" count="36861" uniqueCount="3628">
  <si>
    <t>DAY</t>
  </si>
  <si>
    <t>-</t>
  </si>
  <si>
    <t>Online /Running Unit (Regulating)</t>
  </si>
  <si>
    <t>Online /Running Unit (Base Load)</t>
  </si>
  <si>
    <t>Available / Stand-By unit</t>
  </si>
  <si>
    <t>N.O.</t>
  </si>
  <si>
    <t>Non Operational Unit / Overhaul</t>
  </si>
  <si>
    <t>PMS</t>
  </si>
  <si>
    <t>Unit Under Preventive Maintenance Schedule</t>
  </si>
  <si>
    <t>CMS</t>
  </si>
  <si>
    <t>Unit Under Corrective Maintenance Schedule</t>
  </si>
  <si>
    <t>End of Contract</t>
  </si>
  <si>
    <t>LF</t>
  </si>
  <si>
    <t>Fuel Management</t>
  </si>
  <si>
    <t>PLANTS</t>
  </si>
  <si>
    <t>Installed Capacity (MW)</t>
  </si>
  <si>
    <t>Dependable Capacity</t>
  </si>
  <si>
    <r>
      <t>P</t>
    </r>
    <r>
      <rPr>
        <b/>
        <vertAlign val="subscript"/>
        <sz val="12"/>
        <color theme="0"/>
        <rFont val="Arial"/>
        <family val="2"/>
      </rPr>
      <t>MIN</t>
    </r>
  </si>
  <si>
    <r>
      <t>P</t>
    </r>
    <r>
      <rPr>
        <b/>
        <vertAlign val="subscript"/>
        <sz val="12"/>
        <color theme="0"/>
        <rFont val="Arial"/>
        <family val="2"/>
      </rPr>
      <t>MAX</t>
    </r>
  </si>
  <si>
    <t>RUNNING HOURS</t>
  </si>
  <si>
    <t>e-Delta P</t>
  </si>
  <si>
    <t xml:space="preserve"> </t>
  </si>
  <si>
    <t>Unit 1</t>
  </si>
  <si>
    <t>Unit 2</t>
  </si>
  <si>
    <t>Unit 3</t>
  </si>
  <si>
    <t>Unit 4</t>
  </si>
  <si>
    <t>Subtotal</t>
  </si>
  <si>
    <t>PPGI</t>
  </si>
  <si>
    <t>P4</t>
  </si>
  <si>
    <t>DMCI ABORLAN</t>
  </si>
  <si>
    <t>MAN 1</t>
  </si>
  <si>
    <t>MAN 2</t>
  </si>
  <si>
    <t>DMCI NARRA</t>
  </si>
  <si>
    <t>DMCI IRAWAN</t>
  </si>
  <si>
    <t/>
  </si>
  <si>
    <t>N-1</t>
  </si>
  <si>
    <t>CAT 40</t>
  </si>
  <si>
    <t>EPSA</t>
  </si>
  <si>
    <t>CAT 41</t>
  </si>
  <si>
    <t>CAT 42</t>
  </si>
  <si>
    <t>UP 7</t>
  </si>
  <si>
    <t>UP 8A</t>
  </si>
  <si>
    <t>UP 9</t>
  </si>
  <si>
    <t>UP 11</t>
  </si>
  <si>
    <t>UP 12</t>
  </si>
  <si>
    <t>UP 14</t>
  </si>
  <si>
    <t>UP 15</t>
  </si>
  <si>
    <t>UP 18C</t>
  </si>
  <si>
    <t>UP 18D</t>
  </si>
  <si>
    <t>UP 21</t>
  </si>
  <si>
    <t>UP 22</t>
  </si>
  <si>
    <t>UP 27</t>
  </si>
  <si>
    <t>UP 28</t>
  </si>
  <si>
    <t>UP 29</t>
  </si>
  <si>
    <t>UP 30</t>
  </si>
  <si>
    <t>DMCI QUEZON</t>
  </si>
  <si>
    <t>UP 17</t>
  </si>
  <si>
    <t>UP 18A</t>
  </si>
  <si>
    <t>UP 24</t>
  </si>
  <si>
    <t>DMCI BROOKES</t>
  </si>
  <si>
    <t>UP 39</t>
  </si>
  <si>
    <t>UP 40</t>
  </si>
  <si>
    <t>UP 41</t>
  </si>
  <si>
    <t>UP 42</t>
  </si>
  <si>
    <t>UP 43</t>
  </si>
  <si>
    <t>UP 44</t>
  </si>
  <si>
    <t>UP 45</t>
  </si>
  <si>
    <t>UP 46</t>
  </si>
  <si>
    <t>UP 47</t>
  </si>
  <si>
    <t>DMCI RIO TUBA</t>
  </si>
  <si>
    <t>UP 37</t>
  </si>
  <si>
    <t>UP 38</t>
  </si>
  <si>
    <t>VPOWER</t>
  </si>
  <si>
    <t>TOTAL</t>
  </si>
  <si>
    <t>HOURLY GRID LOAD</t>
  </si>
  <si>
    <t>PLANT</t>
  </si>
  <si>
    <t>TIME</t>
  </si>
  <si>
    <t>P4 Station Use</t>
  </si>
  <si>
    <t>eDelta P</t>
  </si>
  <si>
    <t>eDelta P Station Use</t>
  </si>
  <si>
    <t>Aborlan Station Use</t>
  </si>
  <si>
    <t>Narra Station Use</t>
  </si>
  <si>
    <t>TOTAL PLANT LOAD</t>
  </si>
  <si>
    <t>LOADSHED FEEDERS</t>
  </si>
  <si>
    <t>LINE MAINTENANCE</t>
  </si>
  <si>
    <t>LINE TROUBLE</t>
  </si>
  <si>
    <t>TOTAL UNSERVED</t>
  </si>
  <si>
    <t>TOTAL GRID DEMAND</t>
  </si>
  <si>
    <t>TOTAL RESERVE / DEFICIT</t>
  </si>
  <si>
    <t>SPINNING RESERVE</t>
  </si>
  <si>
    <t>ONLINED EPSA UNITS INSTEAD OF PSA (25 MW  NOT REQUIRED)</t>
  </si>
  <si>
    <t>SYSTEM FREQUENCY</t>
  </si>
  <si>
    <t>ONLINED EPSA UNITS INSTEAD OF PSA (25 REQUIRED)</t>
  </si>
  <si>
    <t>DMCI SHORTFALL</t>
  </si>
  <si>
    <t>below 25 MW but not needed due to emergency</t>
  </si>
  <si>
    <t>PPGI SHORTFALL</t>
  </si>
  <si>
    <t>TEMPERATURE</t>
  </si>
  <si>
    <t>WEATHER CONDITION</t>
  </si>
  <si>
    <t>HOURLY DEPENDABLE CAPACITY</t>
  </si>
  <si>
    <t>TOTAL SUPPLY</t>
  </si>
  <si>
    <t>.1.091</t>
  </si>
  <si>
    <t xml:space="preserve">   </t>
  </si>
  <si>
    <t>Aborlan Wartsila Station Use</t>
  </si>
  <si>
    <t>Aborlan Man 1 Station Use</t>
  </si>
  <si>
    <t>Aborlan Man Station Use</t>
  </si>
  <si>
    <t>DATE</t>
  </si>
  <si>
    <t>eDELTA-P</t>
  </si>
  <si>
    <t>PPGI-4</t>
  </si>
  <si>
    <t>ABORLAN</t>
  </si>
  <si>
    <t>NARRA</t>
  </si>
  <si>
    <t>IRAWAN</t>
  </si>
  <si>
    <t>QUEZON</t>
  </si>
  <si>
    <t>RIO TUBA</t>
  </si>
  <si>
    <t>BROOKES</t>
  </si>
  <si>
    <t>VOLTAGE
(13.8/69KV)</t>
  </si>
  <si>
    <t>LOAD</t>
  </si>
  <si>
    <t>PF</t>
  </si>
  <si>
    <t>MVAR</t>
  </si>
  <si>
    <t>VOLTAGE</t>
  </si>
  <si>
    <t>VOLTAGE
(11.4/69KV)</t>
  </si>
  <si>
    <t>GENERATOR VOLTAGE</t>
  </si>
  <si>
    <t>VOLTAGE
(69KV)</t>
  </si>
  <si>
    <t>UNIT 1</t>
  </si>
  <si>
    <t>UNIT 2</t>
  </si>
  <si>
    <t>UNIT 3</t>
  </si>
  <si>
    <t>UNIT 4</t>
  </si>
  <si>
    <t>UNITS 69KV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</si>
  <si>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</si>
  <si>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</si>
  <si>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</si>
  <si>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</si>
  <si>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</si>
  <si>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</si>
  <si>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</si>
  <si>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</si>
  <si>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</si>
  <si>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</si>
  <si>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</si>
  <si>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</si>
  <si>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</si>
  <si>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</si>
  <si>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</si>
  <si>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</si>
  <si>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</si>
  <si>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</si>
  <si>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</si>
  <si>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</si>
  <si>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</si>
  <si>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</si>
  <si>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</si>
  <si>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</si>
  <si>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.1.97</t>
  </si>
  <si>
    <t>69..8</t>
  </si>
  <si>
    <t>70..78</t>
  </si>
  <si>
    <t>Generator Code</t>
  </si>
  <si>
    <t>Online Date</t>
  </si>
  <si>
    <t>Online Time</t>
  </si>
  <si>
    <t>Offline Date</t>
  </si>
  <si>
    <t>Offline Time</t>
  </si>
  <si>
    <t xml:space="preserve">Run Time </t>
  </si>
  <si>
    <t>Operation</t>
  </si>
  <si>
    <t>Remarks</t>
  </si>
  <si>
    <t>DMCI IRAWAN_CAT 40</t>
  </si>
  <si>
    <t>1430H</t>
  </si>
  <si>
    <t>DMCI IRAWAN_UP 15</t>
  </si>
  <si>
    <t>0600H</t>
  </si>
  <si>
    <t>1525H</t>
  </si>
  <si>
    <t>DMCI IRAWAN_38</t>
  </si>
  <si>
    <t>Not declared</t>
  </si>
  <si>
    <t>DMCI IRAWAN_CAT 41</t>
  </si>
  <si>
    <t>1303H</t>
  </si>
  <si>
    <t>DMCI IRAWAN_CAT 42</t>
  </si>
  <si>
    <t>1304H</t>
  </si>
  <si>
    <t>Emergency unload for inspection</t>
  </si>
  <si>
    <t>e-Delta P_Unit 3</t>
  </si>
  <si>
    <t>0413H</t>
  </si>
  <si>
    <t>0220H</t>
  </si>
  <si>
    <t>e-Delta P_Unit 2</t>
  </si>
  <si>
    <t>0619H</t>
  </si>
  <si>
    <t>0106H</t>
  </si>
  <si>
    <t>e-Delta P_Unit 4</t>
  </si>
  <si>
    <t>2210H</t>
  </si>
  <si>
    <t>2148H</t>
  </si>
  <si>
    <t>PPGI_Unit 1</t>
  </si>
  <si>
    <t>1636H</t>
  </si>
  <si>
    <t>fuel leak at cyl.1</t>
  </si>
  <si>
    <t>P4_Unit 1</t>
  </si>
  <si>
    <t>0848H</t>
  </si>
  <si>
    <t>2319H</t>
  </si>
  <si>
    <t>DMCI ABORLAN_Unit 1</t>
  </si>
  <si>
    <t>0648H</t>
  </si>
  <si>
    <t>0420H</t>
  </si>
  <si>
    <t>DMCI ABORLAN_Unit 2</t>
  </si>
  <si>
    <t>0210H</t>
  </si>
  <si>
    <t>2130H</t>
  </si>
  <si>
    <t>Requested for emergency unload due to water leak at cy. B-bank</t>
  </si>
  <si>
    <t>DMCI IRAWAN_34</t>
  </si>
  <si>
    <t>1903H</t>
  </si>
  <si>
    <t>0014H</t>
  </si>
  <si>
    <t>DMCI IRAWAN_36</t>
  </si>
  <si>
    <t>1816H</t>
  </si>
  <si>
    <t>0121H</t>
  </si>
  <si>
    <t>DMCI IRAWAN_37</t>
  </si>
  <si>
    <t>1815H</t>
  </si>
  <si>
    <t>0152H</t>
  </si>
  <si>
    <t>DMCI IRAWAN_39</t>
  </si>
  <si>
    <t>1904H</t>
  </si>
  <si>
    <t>1045H</t>
  </si>
  <si>
    <t>Checking of surging at Turbo Charger</t>
  </si>
  <si>
    <t>DMCI NARRA_Unit 1</t>
  </si>
  <si>
    <t>0644H</t>
  </si>
  <si>
    <t>DMCI QUEZON_UP 18A</t>
  </si>
  <si>
    <t>1801H</t>
  </si>
  <si>
    <t>0602H</t>
  </si>
  <si>
    <t>DMCI QUEZON_UP 24</t>
  </si>
  <si>
    <t>1219H</t>
  </si>
  <si>
    <t>0002H</t>
  </si>
  <si>
    <t>DMCI RIO TUBA_UP 38</t>
  </si>
  <si>
    <t>0601H</t>
  </si>
  <si>
    <t>0102H</t>
  </si>
  <si>
    <t>DMCI QUEZON_UP 17</t>
  </si>
  <si>
    <t>0301H</t>
  </si>
  <si>
    <t>1802H</t>
  </si>
  <si>
    <t>0001H</t>
  </si>
  <si>
    <t>1202H</t>
  </si>
  <si>
    <t>DMCI RIO TUBA_UP 37</t>
  </si>
  <si>
    <t>DMCI IRAWAN_UP 12</t>
  </si>
  <si>
    <t>0056H</t>
  </si>
  <si>
    <t>0229H</t>
  </si>
  <si>
    <t>DMCI IRAWAN_UP 8A</t>
  </si>
  <si>
    <t>0107H</t>
  </si>
  <si>
    <t>0257H</t>
  </si>
  <si>
    <t>DMCI IRAWAN_UP 9</t>
  </si>
  <si>
    <t>0356H</t>
  </si>
  <si>
    <t>DMCI IRAWAN_UP 14</t>
  </si>
  <si>
    <t>0559H</t>
  </si>
  <si>
    <t>DMCI IRAWAN_UP 27</t>
  </si>
  <si>
    <t>0444H</t>
  </si>
  <si>
    <t>0603H</t>
  </si>
  <si>
    <t>DMCI IRAWAN_UP 11</t>
  </si>
  <si>
    <t>0530H</t>
  </si>
  <si>
    <t>0613H</t>
  </si>
  <si>
    <t>PPGI_Unit 3</t>
  </si>
  <si>
    <t>0810H</t>
  </si>
  <si>
    <t>1803H</t>
  </si>
  <si>
    <t>DMCI IRAWAN_UP 28</t>
  </si>
  <si>
    <t>0547H</t>
  </si>
  <si>
    <t>0623H</t>
  </si>
  <si>
    <t>e-Delta P_Unit 1</t>
  </si>
  <si>
    <t>0710H</t>
  </si>
  <si>
    <t>2227H</t>
  </si>
  <si>
    <t>0901H</t>
  </si>
  <si>
    <t>RECTIFY FUEL LEAK AT CYLINDER A2</t>
  </si>
  <si>
    <t>0813H</t>
  </si>
  <si>
    <t>0934H</t>
  </si>
  <si>
    <t>0816H</t>
  </si>
  <si>
    <t>0941H</t>
  </si>
  <si>
    <t>0820H</t>
  </si>
  <si>
    <t>0938H</t>
  </si>
  <si>
    <t>0832H</t>
  </si>
  <si>
    <t>0835H</t>
  </si>
  <si>
    <t>2353H</t>
  </si>
  <si>
    <t>0919H</t>
  </si>
  <si>
    <t>LOADTEST
DECLARED COMMERCIAL AT 0919H</t>
  </si>
  <si>
    <t>2032H</t>
  </si>
  <si>
    <t>0930H</t>
  </si>
  <si>
    <t>0050H</t>
  </si>
  <si>
    <t>1001H</t>
  </si>
  <si>
    <t>1144H</t>
  </si>
  <si>
    <t>1014H</t>
  </si>
  <si>
    <t>1043H</t>
  </si>
  <si>
    <t>1028H</t>
  </si>
  <si>
    <t>1205H</t>
  </si>
  <si>
    <t>1116H</t>
  </si>
  <si>
    <t>1201H</t>
  </si>
  <si>
    <t>1335H</t>
  </si>
  <si>
    <t>0331H</t>
  </si>
  <si>
    <t>1849H</t>
  </si>
  <si>
    <t>1920H</t>
  </si>
  <si>
    <t>DMCI ABORLAN_MAN 2</t>
  </si>
  <si>
    <t>1917H</t>
  </si>
  <si>
    <t>1936H</t>
  </si>
  <si>
    <t>1942H</t>
  </si>
  <si>
    <t>1950H</t>
  </si>
  <si>
    <t>0101H</t>
  </si>
  <si>
    <t>1908H</t>
  </si>
  <si>
    <t>2001H</t>
  </si>
  <si>
    <t>2010H</t>
  </si>
  <si>
    <t>2021H</t>
  </si>
  <si>
    <t>2026H</t>
  </si>
  <si>
    <t>2047H</t>
  </si>
  <si>
    <t>2107H</t>
  </si>
  <si>
    <t>2054H</t>
  </si>
  <si>
    <t>0534H</t>
  </si>
  <si>
    <t xml:space="preserve">CMS </t>
  </si>
  <si>
    <t>rectify gas leak at cyl A5</t>
  </si>
  <si>
    <t>2031H</t>
  </si>
  <si>
    <t>2112H</t>
  </si>
  <si>
    <t>2118H</t>
  </si>
  <si>
    <t>2226H</t>
  </si>
  <si>
    <t>2239H</t>
  </si>
  <si>
    <t>2234H</t>
  </si>
  <si>
    <t>2253H</t>
  </si>
  <si>
    <t>2303H</t>
  </si>
  <si>
    <t>2354H</t>
  </si>
  <si>
    <t>0003H</t>
  </si>
  <si>
    <t>1203H</t>
  </si>
  <si>
    <t>0335H</t>
  </si>
  <si>
    <t>0340H</t>
  </si>
  <si>
    <t>0324H</t>
  </si>
  <si>
    <t>0005H</t>
  </si>
  <si>
    <t>0516H</t>
  </si>
  <si>
    <t>0525H</t>
  </si>
  <si>
    <t>0519H</t>
  </si>
  <si>
    <t>0552H</t>
  </si>
  <si>
    <t>2154H</t>
  </si>
  <si>
    <t>0807H</t>
  </si>
  <si>
    <t>2058H</t>
  </si>
  <si>
    <t>0947H</t>
  </si>
  <si>
    <t>0905H</t>
  </si>
  <si>
    <t>0936H</t>
  </si>
  <si>
    <t>0910H</t>
  </si>
  <si>
    <t>0940H</t>
  </si>
  <si>
    <t>0921H</t>
  </si>
  <si>
    <t>0926H</t>
  </si>
  <si>
    <t>1918H</t>
  </si>
  <si>
    <t>1025H</t>
  </si>
  <si>
    <t>1158H</t>
  </si>
  <si>
    <t>1047H</t>
  </si>
  <si>
    <t>1320H</t>
  </si>
  <si>
    <t>1210H</t>
  </si>
  <si>
    <t>1231H</t>
  </si>
  <si>
    <t>1330H</t>
  </si>
  <si>
    <t>1252H</t>
  </si>
  <si>
    <t>1334H</t>
  </si>
  <si>
    <t>DMCI ABORLAN_MAN 1</t>
  </si>
  <si>
    <t>1310H</t>
  </si>
  <si>
    <t>2134H</t>
  </si>
  <si>
    <t>1732H</t>
  </si>
  <si>
    <t>1733H</t>
  </si>
  <si>
    <t>1746H</t>
  </si>
  <si>
    <t>1827H</t>
  </si>
  <si>
    <t>1934H</t>
  </si>
  <si>
    <t>1834H</t>
  </si>
  <si>
    <t>2012H</t>
  </si>
  <si>
    <t>2029H</t>
  </si>
  <si>
    <t>0606H</t>
  </si>
  <si>
    <t>0332H</t>
  </si>
  <si>
    <t>2153H</t>
  </si>
  <si>
    <t>2217H</t>
  </si>
  <si>
    <t>2249H</t>
  </si>
  <si>
    <t>2204H</t>
  </si>
  <si>
    <t>2236H</t>
  </si>
  <si>
    <t>0410H</t>
  </si>
  <si>
    <t>LOAD TEST</t>
  </si>
  <si>
    <t>0543H</t>
  </si>
  <si>
    <t>0544H</t>
  </si>
  <si>
    <t>2255H</t>
  </si>
  <si>
    <t>0605H</t>
  </si>
  <si>
    <t>1702H</t>
  </si>
  <si>
    <t>0751H</t>
  </si>
  <si>
    <t>0048H</t>
  </si>
  <si>
    <t>0811H</t>
  </si>
  <si>
    <t>1654H</t>
  </si>
  <si>
    <t>0828H</t>
  </si>
  <si>
    <t>0912H</t>
  </si>
  <si>
    <t>0826H</t>
  </si>
  <si>
    <t>0932H</t>
  </si>
  <si>
    <t>0829H</t>
  </si>
  <si>
    <t>0935H</t>
  </si>
  <si>
    <t>0831H</t>
  </si>
  <si>
    <t>1359H</t>
  </si>
  <si>
    <t>0856H</t>
  </si>
  <si>
    <t>2034H</t>
  </si>
  <si>
    <t>0904H</t>
  </si>
  <si>
    <t>2232H</t>
  </si>
  <si>
    <t>0951H</t>
  </si>
  <si>
    <t>1126H</t>
  </si>
  <si>
    <t>0953H</t>
  </si>
  <si>
    <t>1710H</t>
  </si>
  <si>
    <t>1033H</t>
  </si>
  <si>
    <t>1225H</t>
  </si>
  <si>
    <t>1046H</t>
  </si>
  <si>
    <t>1713H</t>
  </si>
  <si>
    <t>0103H</t>
  </si>
  <si>
    <t>1243H</t>
  </si>
  <si>
    <t>1705H</t>
  </si>
  <si>
    <t>1251H</t>
  </si>
  <si>
    <t>DMCI IRAWAN_UP 22</t>
  </si>
  <si>
    <t>1319H</t>
  </si>
  <si>
    <t>1745H</t>
  </si>
  <si>
    <t>DMCI IRAWAN_UP 21</t>
  </si>
  <si>
    <t>1748H</t>
  </si>
  <si>
    <t>1055H</t>
  </si>
  <si>
    <t xml:space="preserve">1046H START
COULD NOT ONLINE
1055H UNLOADED DUE TO HIGH TEMP OF MAIN BEARING </t>
  </si>
  <si>
    <t>DMCI IRAWAN_UP 18D</t>
  </si>
  <si>
    <t>1337H</t>
  </si>
  <si>
    <t>1944H</t>
  </si>
  <si>
    <t>DMCI IRAWAN_35</t>
  </si>
  <si>
    <t>1351H</t>
  </si>
  <si>
    <t>1431H</t>
  </si>
  <si>
    <t>DMCI IRAWAN_UP 7</t>
  </si>
  <si>
    <t>1652H</t>
  </si>
  <si>
    <t>DMCI IRAWAN_UP 29</t>
  </si>
  <si>
    <t>DMCI IRAWAN_UP 30</t>
  </si>
  <si>
    <t>2009H</t>
  </si>
  <si>
    <t>1832H</t>
  </si>
  <si>
    <t>1442H</t>
  </si>
  <si>
    <t>1610H</t>
  </si>
  <si>
    <t>0907H</t>
  </si>
  <si>
    <t>1701H</t>
  </si>
  <si>
    <t>0803H</t>
  </si>
  <si>
    <t>1821H</t>
  </si>
  <si>
    <t>2038H</t>
  </si>
  <si>
    <t>1947H</t>
  </si>
  <si>
    <t>1810H</t>
  </si>
  <si>
    <t>2050H</t>
  </si>
  <si>
    <t>1812H</t>
  </si>
  <si>
    <t>2102H</t>
  </si>
  <si>
    <t>2017H</t>
  </si>
  <si>
    <t>1822H</t>
  </si>
  <si>
    <t>2110H</t>
  </si>
  <si>
    <t>1831H</t>
  </si>
  <si>
    <t>2113H</t>
  </si>
  <si>
    <t>2327H</t>
  </si>
  <si>
    <t>1840H</t>
  </si>
  <si>
    <t>1829H</t>
  </si>
  <si>
    <t>1955H</t>
  </si>
  <si>
    <t>1018H</t>
  </si>
  <si>
    <t>inspection of main bearings with high temp indications</t>
  </si>
  <si>
    <t>1925H</t>
  </si>
  <si>
    <t>2158H</t>
  </si>
  <si>
    <t>2020H</t>
  </si>
  <si>
    <t>2216H</t>
  </si>
  <si>
    <t>2046H</t>
  </si>
  <si>
    <t>2219H</t>
  </si>
  <si>
    <t>Loadtest / 2217H declared Commercial Operation</t>
  </si>
  <si>
    <t>0432H</t>
  </si>
  <si>
    <t>0532H</t>
  </si>
  <si>
    <t>0218H</t>
  </si>
  <si>
    <t>0529H</t>
  </si>
  <si>
    <t>0538H</t>
  </si>
  <si>
    <t>0416H</t>
  </si>
  <si>
    <t>0452H</t>
  </si>
  <si>
    <t>1615H</t>
  </si>
  <si>
    <t>WATERLEAK TURBO CHARGER</t>
  </si>
  <si>
    <t>0422H</t>
  </si>
  <si>
    <t>0526H</t>
  </si>
  <si>
    <t>0446H</t>
  </si>
  <si>
    <t>2325H</t>
  </si>
  <si>
    <t>0518H</t>
  </si>
  <si>
    <t>0612H</t>
  </si>
  <si>
    <t>0616H</t>
  </si>
  <si>
    <t>0551H</t>
  </si>
  <si>
    <t>0620H</t>
  </si>
  <si>
    <t>0625H</t>
  </si>
  <si>
    <t>0608H</t>
  </si>
  <si>
    <t>0038H</t>
  </si>
  <si>
    <t>0753H</t>
  </si>
  <si>
    <t>0154H</t>
  </si>
  <si>
    <t>1134H</t>
  </si>
  <si>
    <t>0825H</t>
  </si>
  <si>
    <t>2149H</t>
  </si>
  <si>
    <t>1217H</t>
  </si>
  <si>
    <t>0817H</t>
  </si>
  <si>
    <t>1220H</t>
  </si>
  <si>
    <t>0818H</t>
  </si>
  <si>
    <t>1228H</t>
  </si>
  <si>
    <t>0843H</t>
  </si>
  <si>
    <t>1704H</t>
  </si>
  <si>
    <t>0850H</t>
  </si>
  <si>
    <t>1708H</t>
  </si>
  <si>
    <t>0857H</t>
  </si>
  <si>
    <t>1717H</t>
  </si>
  <si>
    <t>0925H</t>
  </si>
  <si>
    <t>1253H</t>
  </si>
  <si>
    <t>0842H</t>
  </si>
  <si>
    <t>1109H</t>
  </si>
  <si>
    <t>COULD NOT ONLINE WHEN CALLED UPON
"MAY GINAGAWA PA"
DMCI IRAWAN EPSA CAPABILITY INCREASED FROM 5.25MW TO 10.55MW</t>
  </si>
  <si>
    <t>1634H</t>
  </si>
  <si>
    <t>1637H</t>
  </si>
  <si>
    <t>OIL LEAK</t>
  </si>
  <si>
    <t>1250H</t>
  </si>
  <si>
    <t>0944H</t>
  </si>
  <si>
    <t>1127H</t>
  </si>
  <si>
    <t>1011H</t>
  </si>
  <si>
    <t>1120H</t>
  </si>
  <si>
    <t>1054H</t>
  </si>
  <si>
    <t>TRIPPED
INDICATION: UNDERVOLTAGE</t>
  </si>
  <si>
    <t>1056H</t>
  </si>
  <si>
    <t>1315H</t>
  </si>
  <si>
    <t>TRIPPED
INDICATION: HT LOW PRESSURE</t>
  </si>
  <si>
    <t>1102H</t>
  </si>
  <si>
    <t>1057H</t>
  </si>
  <si>
    <t>1528H</t>
  </si>
  <si>
    <t>1141H</t>
  </si>
  <si>
    <t>1206H</t>
  </si>
  <si>
    <t>1558H</t>
  </si>
  <si>
    <t>1234H</t>
  </si>
  <si>
    <t>1841H</t>
  </si>
  <si>
    <t>1244H</t>
  </si>
  <si>
    <t>1943H</t>
  </si>
  <si>
    <t>1730H</t>
  </si>
  <si>
    <t>0507H</t>
  </si>
  <si>
    <t>LOADTEST</t>
  </si>
  <si>
    <t>1317H</t>
  </si>
  <si>
    <t>1548H</t>
  </si>
  <si>
    <t>1323H</t>
  </si>
  <si>
    <t>1542H</t>
  </si>
  <si>
    <t>1324H</t>
  </si>
  <si>
    <t>1537H</t>
  </si>
  <si>
    <t>1328H</t>
  </si>
  <si>
    <t>1424H</t>
  </si>
  <si>
    <t>1329H</t>
  </si>
  <si>
    <t>1427H</t>
  </si>
  <si>
    <t>1411H</t>
  </si>
  <si>
    <t>1345H</t>
  </si>
  <si>
    <t>0715H</t>
  </si>
  <si>
    <t>2335H</t>
  </si>
  <si>
    <t>1026H</t>
  </si>
  <si>
    <t xml:space="preserve">Temporary shutdown (Checking of parameters) </t>
  </si>
  <si>
    <t>1626H</t>
  </si>
  <si>
    <t>1648H</t>
  </si>
  <si>
    <t>1611H</t>
  </si>
  <si>
    <t>1657H</t>
  </si>
  <si>
    <t>1905H</t>
  </si>
  <si>
    <t>1754H</t>
  </si>
  <si>
    <t>1956H</t>
  </si>
  <si>
    <t>1818H</t>
  </si>
  <si>
    <t>2005H</t>
  </si>
  <si>
    <t>0802H</t>
  </si>
  <si>
    <t>1820H</t>
  </si>
  <si>
    <t>1931H</t>
  </si>
  <si>
    <t>2049H</t>
  </si>
  <si>
    <t>1926H</t>
  </si>
  <si>
    <t>1837H</t>
  </si>
  <si>
    <t>2233H</t>
  </si>
  <si>
    <t>2240H</t>
  </si>
  <si>
    <t>2307H</t>
  </si>
  <si>
    <t>2251H</t>
  </si>
  <si>
    <t>0712H</t>
  </si>
  <si>
    <t>0441H</t>
  </si>
  <si>
    <t>2312H</t>
  </si>
  <si>
    <t>0610H</t>
  </si>
  <si>
    <t>1502H</t>
  </si>
  <si>
    <t>0737H</t>
  </si>
  <si>
    <t>0738H</t>
  </si>
  <si>
    <t>0747H</t>
  </si>
  <si>
    <t>0931H</t>
  </si>
  <si>
    <t>0834H</t>
  </si>
  <si>
    <t>0840H</t>
  </si>
  <si>
    <t>0959H</t>
  </si>
  <si>
    <t>0846H</t>
  </si>
  <si>
    <t>0448H</t>
  </si>
  <si>
    <t>0851H</t>
  </si>
  <si>
    <t>1015H</t>
  </si>
  <si>
    <t>0916H</t>
  </si>
  <si>
    <t>1017H</t>
  </si>
  <si>
    <t>0918H</t>
  </si>
  <si>
    <t>0927H</t>
  </si>
  <si>
    <t>1344H</t>
  </si>
  <si>
    <t>0902H</t>
  </si>
  <si>
    <t>0143H</t>
  </si>
  <si>
    <t>1032H</t>
  </si>
  <si>
    <t>2302H</t>
  </si>
  <si>
    <t>1325H</t>
  </si>
  <si>
    <t>1505H</t>
  </si>
  <si>
    <t>1512H</t>
  </si>
  <si>
    <t>1404H</t>
  </si>
  <si>
    <t>1519H</t>
  </si>
  <si>
    <t>1438H</t>
  </si>
  <si>
    <t>1616H</t>
  </si>
  <si>
    <t>1455H</t>
  </si>
  <si>
    <t>1622H</t>
  </si>
  <si>
    <t>1501H</t>
  </si>
  <si>
    <t>1922H</t>
  </si>
  <si>
    <t>1852H</t>
  </si>
  <si>
    <t>2004H</t>
  </si>
  <si>
    <t>1932H</t>
  </si>
  <si>
    <t>2324H</t>
  </si>
  <si>
    <t>2127H</t>
  </si>
  <si>
    <t>2235H</t>
  </si>
  <si>
    <t>2221H</t>
  </si>
  <si>
    <t>2237H</t>
  </si>
  <si>
    <t>2314H</t>
  </si>
  <si>
    <t>2340H</t>
  </si>
  <si>
    <t>2332H</t>
  </si>
  <si>
    <t>0011H</t>
  </si>
  <si>
    <t>0027H</t>
  </si>
  <si>
    <t>2301H</t>
  </si>
  <si>
    <t>0502H</t>
  </si>
  <si>
    <t>0142H</t>
  </si>
  <si>
    <t>0216H</t>
  </si>
  <si>
    <t>0147H</t>
  </si>
  <si>
    <t>0442H</t>
  </si>
  <si>
    <t>0501H</t>
  </si>
  <si>
    <t>0728H</t>
  </si>
  <si>
    <t>0742H</t>
  </si>
  <si>
    <t>0731H</t>
  </si>
  <si>
    <t>0754H</t>
  </si>
  <si>
    <t>0740H</t>
  </si>
  <si>
    <t>0044H</t>
  </si>
  <si>
    <t>0821H</t>
  </si>
  <si>
    <t>0859H</t>
  </si>
  <si>
    <t>0833H</t>
  </si>
  <si>
    <t>0955H</t>
  </si>
  <si>
    <t>0849H</t>
  </si>
  <si>
    <t>1009H</t>
  </si>
  <si>
    <t>2330H</t>
  </si>
  <si>
    <t>LOAD TEST
DECLARED OPERATIONAL AT 1025H</t>
  </si>
  <si>
    <t>0952H</t>
  </si>
  <si>
    <t>0022H</t>
  </si>
  <si>
    <t>1044H</t>
  </si>
  <si>
    <t>1145H</t>
  </si>
  <si>
    <t>1117H</t>
  </si>
  <si>
    <t>1305H</t>
  </si>
  <si>
    <t>1309H</t>
  </si>
  <si>
    <t>1233H</t>
  </si>
  <si>
    <t>1254H</t>
  </si>
  <si>
    <t>1311H</t>
  </si>
  <si>
    <t>1301H</t>
  </si>
  <si>
    <t>1523H</t>
  </si>
  <si>
    <t>1312H</t>
  </si>
  <si>
    <t>0542H</t>
  </si>
  <si>
    <t>1423H</t>
  </si>
  <si>
    <t>1439H</t>
  </si>
  <si>
    <t>1508H</t>
  </si>
  <si>
    <t>1556H</t>
  </si>
  <si>
    <t>1603H</t>
  </si>
  <si>
    <t>1607H</t>
  </si>
  <si>
    <t>0709H</t>
  </si>
  <si>
    <t>1830H</t>
  </si>
  <si>
    <t>1911H</t>
  </si>
  <si>
    <t>1912H</t>
  </si>
  <si>
    <t>1835H</t>
  </si>
  <si>
    <t>1909H</t>
  </si>
  <si>
    <t>1848H</t>
  </si>
  <si>
    <t>1851H</t>
  </si>
  <si>
    <t>1938H</t>
  </si>
  <si>
    <t>1856H</t>
  </si>
  <si>
    <t>1948H</t>
  </si>
  <si>
    <t>2028H</t>
  </si>
  <si>
    <t>0614H</t>
  </si>
  <si>
    <t>0231H</t>
  </si>
  <si>
    <t>0435H</t>
  </si>
  <si>
    <t>Did not absorb load (for checking governor)</t>
  </si>
  <si>
    <t>0023H</t>
  </si>
  <si>
    <t>Loadtest</t>
  </si>
  <si>
    <t>0549H</t>
  </si>
  <si>
    <t>0539H</t>
  </si>
  <si>
    <t>0556H</t>
  </si>
  <si>
    <t>0055H</t>
  </si>
  <si>
    <t>0631H</t>
  </si>
  <si>
    <t>0708H</t>
  </si>
  <si>
    <t>0757H</t>
  </si>
  <si>
    <t>0823H</t>
  </si>
  <si>
    <t>0855H</t>
  </si>
  <si>
    <t>0853H</t>
  </si>
  <si>
    <t>0836H</t>
  </si>
  <si>
    <t>0858H</t>
  </si>
  <si>
    <t>1008H</t>
  </si>
  <si>
    <t>0847H</t>
  </si>
  <si>
    <t>0845H</t>
  </si>
  <si>
    <t>1750H</t>
  </si>
  <si>
    <t>2138H</t>
  </si>
  <si>
    <t>0958H</t>
  </si>
  <si>
    <t>0957H</t>
  </si>
  <si>
    <t>1113H</t>
  </si>
  <si>
    <t>1923H</t>
  </si>
  <si>
    <t>1842H</t>
  </si>
  <si>
    <t>1921H</t>
  </si>
  <si>
    <t>2137H</t>
  </si>
  <si>
    <t>2151H</t>
  </si>
  <si>
    <t>2157H</t>
  </si>
  <si>
    <t>2242H</t>
  </si>
  <si>
    <t>1302H</t>
  </si>
  <si>
    <t>0649H</t>
  </si>
  <si>
    <t>0554H</t>
  </si>
  <si>
    <t>0629H</t>
  </si>
  <si>
    <t>0627H</t>
  </si>
  <si>
    <t>0643H</t>
  </si>
  <si>
    <t>0144H</t>
  </si>
  <si>
    <t>0645H</t>
  </si>
  <si>
    <t>0814H</t>
  </si>
  <si>
    <t>0750H</t>
  </si>
  <si>
    <t>0748H</t>
  </si>
  <si>
    <t>0758H</t>
  </si>
  <si>
    <t>0752H</t>
  </si>
  <si>
    <t>0915H</t>
  </si>
  <si>
    <t>0805H</t>
  </si>
  <si>
    <t>0837H</t>
  </si>
  <si>
    <t>0200H</t>
  </si>
  <si>
    <t>0928H</t>
  </si>
  <si>
    <t>1308H</t>
  </si>
  <si>
    <t>1346H</t>
  </si>
  <si>
    <t>1533H</t>
  </si>
  <si>
    <t>1327H</t>
  </si>
  <si>
    <t>1540H</t>
  </si>
  <si>
    <t>1227H</t>
  </si>
  <si>
    <t>EMERGENCY UNLOADED DUE TO HIGH TEMP OF JACKET WATER</t>
  </si>
  <si>
    <t>1402H</t>
  </si>
  <si>
    <t>1656H</t>
  </si>
  <si>
    <t>1629H</t>
  </si>
  <si>
    <t>1409H</t>
  </si>
  <si>
    <t>1547H</t>
  </si>
  <si>
    <t>1902H</t>
  </si>
  <si>
    <t>1857H</t>
  </si>
  <si>
    <t>1844H</t>
  </si>
  <si>
    <t>2048H</t>
  </si>
  <si>
    <t>2044H</t>
  </si>
  <si>
    <t>2059H</t>
  </si>
  <si>
    <t>2109H</t>
  </si>
  <si>
    <t>2129H</t>
  </si>
  <si>
    <t>0114H</t>
  </si>
  <si>
    <t>0111H</t>
  </si>
  <si>
    <t>0104H</t>
  </si>
  <si>
    <t>0039H</t>
  </si>
  <si>
    <t>0123H</t>
  </si>
  <si>
    <t>0126H</t>
  </si>
  <si>
    <t>0130H</t>
  </si>
  <si>
    <t>0157H</t>
  </si>
  <si>
    <t>0105H</t>
  </si>
  <si>
    <t>LOAD TEST
Declared commercial 0157h</t>
  </si>
  <si>
    <t>0401H</t>
  </si>
  <si>
    <t>0536H</t>
  </si>
  <si>
    <t>0427H</t>
  </si>
  <si>
    <t>0533H</t>
  </si>
  <si>
    <t>0626H</t>
  </si>
  <si>
    <t>0535H</t>
  </si>
  <si>
    <t>0630H</t>
  </si>
  <si>
    <t>0632H</t>
  </si>
  <si>
    <t>1549H</t>
  </si>
  <si>
    <t>0555H</t>
  </si>
  <si>
    <t>0635H</t>
  </si>
  <si>
    <t>1213H</t>
  </si>
  <si>
    <t>0739H</t>
  </si>
  <si>
    <t>0730H</t>
  </si>
  <si>
    <t>0726H</t>
  </si>
  <si>
    <t>0025H</t>
  </si>
  <si>
    <t>0804H</t>
  </si>
  <si>
    <t>0809H</t>
  </si>
  <si>
    <t>0812H</t>
  </si>
  <si>
    <t>1004H</t>
  </si>
  <si>
    <t>0844H</t>
  </si>
  <si>
    <t>0839H</t>
  </si>
  <si>
    <t>0854H</t>
  </si>
  <si>
    <t>1013H</t>
  </si>
  <si>
    <t>0929H</t>
  </si>
  <si>
    <t>0327H</t>
  </si>
  <si>
    <t>1135H</t>
  </si>
  <si>
    <t>1114H</t>
  </si>
  <si>
    <t>1236H</t>
  </si>
  <si>
    <t>1612H</t>
  </si>
  <si>
    <t>1720H</t>
  </si>
  <si>
    <t>1804H</t>
  </si>
  <si>
    <t>0604H</t>
  </si>
  <si>
    <t>1811H</t>
  </si>
  <si>
    <t>1910H</t>
  </si>
  <si>
    <t>LOAD TEST
DECLARED COMMERCIAL AT 1910H</t>
  </si>
  <si>
    <t>1826H</t>
  </si>
  <si>
    <t>1935H</t>
  </si>
  <si>
    <t>1946H</t>
  </si>
  <si>
    <t>1833H</t>
  </si>
  <si>
    <t>2008H</t>
  </si>
  <si>
    <t>COMMERCIAL OPERATION</t>
  </si>
  <si>
    <t>2052H</t>
  </si>
  <si>
    <t>2108H</t>
  </si>
  <si>
    <t>2309H</t>
  </si>
  <si>
    <t>0051H</t>
  </si>
  <si>
    <t>0217H</t>
  </si>
  <si>
    <t>0307H</t>
  </si>
  <si>
    <t>2150H</t>
  </si>
  <si>
    <t>0513H</t>
  </si>
  <si>
    <t>0531H</t>
  </si>
  <si>
    <t>0641H</t>
  </si>
  <si>
    <t>1229H</t>
  </si>
  <si>
    <t>1331H</t>
  </si>
  <si>
    <t>0713H</t>
  </si>
  <si>
    <t>0045H</t>
  </si>
  <si>
    <t>0801H</t>
  </si>
  <si>
    <t>0943H</t>
  </si>
  <si>
    <t>2341H</t>
  </si>
  <si>
    <t>0946H</t>
  </si>
  <si>
    <t>0906H</t>
  </si>
  <si>
    <t>0948H</t>
  </si>
  <si>
    <t>0917H</t>
  </si>
  <si>
    <t>0950H</t>
  </si>
  <si>
    <t>0937H</t>
  </si>
  <si>
    <t>1753H</t>
  </si>
  <si>
    <t>2122H</t>
  </si>
  <si>
    <t>RAPID EMERGENCY UNLOAD DUE TO UNUSUAL SOUND AT CY. B1</t>
  </si>
  <si>
    <t>1623H</t>
  </si>
  <si>
    <t>1332H</t>
  </si>
  <si>
    <t>1646H</t>
  </si>
  <si>
    <t>1650H</t>
  </si>
  <si>
    <t>1321H</t>
  </si>
  <si>
    <t>1322H</t>
  </si>
  <si>
    <t>0221H</t>
  </si>
  <si>
    <t>0245H</t>
  </si>
  <si>
    <t>1340H</t>
  </si>
  <si>
    <t>1347H</t>
  </si>
  <si>
    <t>1357H</t>
  </si>
  <si>
    <t>1401H</t>
  </si>
  <si>
    <t>1419H</t>
  </si>
  <si>
    <t>1453H</t>
  </si>
  <si>
    <t>0702H</t>
  </si>
  <si>
    <t>0640H</t>
  </si>
  <si>
    <t>2126H</t>
  </si>
  <si>
    <t>2124H</t>
  </si>
  <si>
    <t>2254H</t>
  </si>
  <si>
    <t>0109H</t>
  </si>
  <si>
    <t>0054H</t>
  </si>
  <si>
    <t>0046H</t>
  </si>
  <si>
    <t>0316H</t>
  </si>
  <si>
    <t>0540H</t>
  </si>
  <si>
    <t>0633H</t>
  </si>
  <si>
    <t>0637H</t>
  </si>
  <si>
    <t>0621H</t>
  </si>
  <si>
    <t>0701H</t>
  </si>
  <si>
    <t>0716H</t>
  </si>
  <si>
    <t>1224H</t>
  </si>
  <si>
    <t>0743H</t>
  </si>
  <si>
    <t>0806H</t>
  </si>
  <si>
    <t>2247H</t>
  </si>
  <si>
    <t>0913H</t>
  </si>
  <si>
    <t>0923H</t>
  </si>
  <si>
    <t>1042H</t>
  </si>
  <si>
    <t>1003H</t>
  </si>
  <si>
    <t>2357H</t>
  </si>
  <si>
    <t>1012H</t>
  </si>
  <si>
    <t>VDO Water</t>
  </si>
  <si>
    <t>Overload</t>
  </si>
  <si>
    <t>1722H</t>
  </si>
  <si>
    <t>1333H</t>
  </si>
  <si>
    <t>ACB trip and over power</t>
  </si>
  <si>
    <t>1454H</t>
  </si>
  <si>
    <t>2055H</t>
  </si>
  <si>
    <t>LOAD TEST / Declared Operational 2055H</t>
  </si>
  <si>
    <t>1756H</t>
  </si>
  <si>
    <t>1808H</t>
  </si>
  <si>
    <t>2003H</t>
  </si>
  <si>
    <t>1806H</t>
  </si>
  <si>
    <t>2104H</t>
  </si>
  <si>
    <t>2013H</t>
  </si>
  <si>
    <t>Engine Auxiliary Module outlet Over temperature</t>
  </si>
  <si>
    <t>1953H</t>
  </si>
  <si>
    <t>1957H</t>
  </si>
  <si>
    <t>2139H</t>
  </si>
  <si>
    <t>2053H</t>
  </si>
  <si>
    <t>For Flushing and loadtest (allowed 2.6MW) / DMCI MAN 1 delcared commercial 2053H</t>
  </si>
  <si>
    <t>2111H</t>
  </si>
  <si>
    <t>Declared Commercial Operation</t>
  </si>
  <si>
    <t>2014H</t>
  </si>
  <si>
    <t>0323H</t>
  </si>
  <si>
    <t>0348H</t>
  </si>
  <si>
    <t>0438H</t>
  </si>
  <si>
    <t>0019H</t>
  </si>
  <si>
    <t>0509H</t>
  </si>
  <si>
    <t>0650H</t>
  </si>
  <si>
    <t>0717H</t>
  </si>
  <si>
    <t>0720H</t>
  </si>
  <si>
    <t>0135H</t>
  </si>
  <si>
    <t>0735H</t>
  </si>
  <si>
    <t>0822H</t>
  </si>
  <si>
    <t>1010H</t>
  </si>
  <si>
    <t>0827H</t>
  </si>
  <si>
    <t>0440H</t>
  </si>
  <si>
    <t>1023H</t>
  </si>
  <si>
    <t>1211H</t>
  </si>
  <si>
    <t>0924H</t>
  </si>
  <si>
    <t>REQUESTED EMERGENCY UNLOAD DUE TO GAS LEAK AT CY. B1</t>
  </si>
  <si>
    <t>LOAD TEST / Declared Operational 1055H</t>
  </si>
  <si>
    <t>0911H</t>
  </si>
  <si>
    <t>2328H</t>
  </si>
  <si>
    <t>REQUESTED EMERGENCY UNLOAD DUE TO EXCESSIVE FUEL LEAK AT CY. A8</t>
  </si>
  <si>
    <t>1020H</t>
  </si>
  <si>
    <t>1021H</t>
  </si>
  <si>
    <t>1110H</t>
  </si>
  <si>
    <t>1241H</t>
  </si>
  <si>
    <t>1417H</t>
  </si>
  <si>
    <t>1314H</t>
  </si>
  <si>
    <t>1613H</t>
  </si>
  <si>
    <t>1339H</t>
  </si>
  <si>
    <t>1546H</t>
  </si>
  <si>
    <t>1655H</t>
  </si>
  <si>
    <t>1813H</t>
  </si>
  <si>
    <t>1819H</t>
  </si>
  <si>
    <t>1939H</t>
  </si>
  <si>
    <t>1824H</t>
  </si>
  <si>
    <t>1952H</t>
  </si>
  <si>
    <t>2123H</t>
  </si>
  <si>
    <t>1115H</t>
  </si>
  <si>
    <t>0131H</t>
  </si>
  <si>
    <t>0213H</t>
  </si>
  <si>
    <t>0202H</t>
  </si>
  <si>
    <t>0553H</t>
  </si>
  <si>
    <t>1002H</t>
  </si>
  <si>
    <t>UNLOADED DUE TO WATER AND LUBE OIL LEVEL CHECKING</t>
  </si>
  <si>
    <t>0451H</t>
  </si>
  <si>
    <t>1415H</t>
  </si>
  <si>
    <t>change unit to DG2</t>
  </si>
  <si>
    <t>0421H</t>
  </si>
  <si>
    <t>1348H</t>
  </si>
  <si>
    <t>UNLOADED DUE TO LOW EGT AT CY. A6</t>
  </si>
  <si>
    <t>1150H</t>
  </si>
  <si>
    <t>Declared Commercial Operation / change unit DG1</t>
  </si>
  <si>
    <t>1836H</t>
  </si>
  <si>
    <t>1847H</t>
  </si>
  <si>
    <t>SURGING TURBO CHARGER</t>
  </si>
  <si>
    <t>1858H</t>
  </si>
  <si>
    <t>2024H</t>
  </si>
  <si>
    <t>2132H</t>
  </si>
  <si>
    <t>2136H</t>
  </si>
  <si>
    <t>2215H</t>
  </si>
  <si>
    <t>0215H</t>
  </si>
  <si>
    <t>Checking of unit (50K RH PMS)</t>
  </si>
  <si>
    <t>0255H</t>
  </si>
  <si>
    <t>0018H</t>
  </si>
  <si>
    <t>1343H</t>
  </si>
  <si>
    <t>0314H</t>
  </si>
  <si>
    <t>DPI shutdown activity.
 -To replace card on CFA901 PLC module A1 slot 4 due to frequent communication failure alarm.</t>
  </si>
  <si>
    <t>0254H</t>
  </si>
  <si>
    <t>0330H</t>
  </si>
  <si>
    <t>0253H</t>
  </si>
  <si>
    <t>0404H</t>
  </si>
  <si>
    <t>0334H</t>
  </si>
  <si>
    <t>1237H</t>
  </si>
  <si>
    <t>2023H</t>
  </si>
  <si>
    <t>Rectify intake manifold at cylinder A5</t>
  </si>
  <si>
    <t>0517H</t>
  </si>
  <si>
    <t>0506H</t>
  </si>
  <si>
    <t>0049H</t>
  </si>
  <si>
    <t>0745H</t>
  </si>
  <si>
    <t>0117H</t>
  </si>
  <si>
    <t>1019H</t>
  </si>
  <si>
    <t>1131H</t>
  </si>
  <si>
    <t>1140H</t>
  </si>
  <si>
    <t>1511H</t>
  </si>
  <si>
    <t>1614H</t>
  </si>
  <si>
    <t>1630H</t>
  </si>
  <si>
    <t>1418H</t>
  </si>
  <si>
    <t>1653H</t>
  </si>
  <si>
    <t>2025H</t>
  </si>
  <si>
    <t>2101H</t>
  </si>
  <si>
    <t>2027H</t>
  </si>
  <si>
    <t>2035H</t>
  </si>
  <si>
    <t>2040H</t>
  </si>
  <si>
    <t>2311H</t>
  </si>
  <si>
    <t>2322H</t>
  </si>
  <si>
    <t>2333H</t>
  </si>
  <si>
    <t>2337H</t>
  </si>
  <si>
    <t>0153H</t>
  </si>
  <si>
    <t>Emergency unload due to excessive air leak at A1</t>
  </si>
  <si>
    <t>0252H</t>
  </si>
  <si>
    <t>0305H</t>
  </si>
  <si>
    <t>0521H</t>
  </si>
  <si>
    <t>0520H</t>
  </si>
  <si>
    <t>0053H</t>
  </si>
  <si>
    <t>0510H</t>
  </si>
  <si>
    <t>1451H</t>
  </si>
  <si>
    <t>0328H</t>
  </si>
  <si>
    <t>2250H</t>
  </si>
  <si>
    <t>0852H</t>
  </si>
  <si>
    <t>2002H</t>
  </si>
  <si>
    <t>1428H</t>
  </si>
  <si>
    <t>1716H</t>
  </si>
  <si>
    <t>1435H</t>
  </si>
  <si>
    <t>1440H</t>
  </si>
  <si>
    <t>1658H</t>
  </si>
  <si>
    <t>1534H</t>
  </si>
  <si>
    <t>1619H</t>
  </si>
  <si>
    <t>1715H</t>
  </si>
  <si>
    <t>Loadtest / Manually Unload due reverse power</t>
  </si>
  <si>
    <t>1734H</t>
  </si>
  <si>
    <t>Loadtest / Final checking</t>
  </si>
  <si>
    <t>1839H</t>
  </si>
  <si>
    <t>1854H</t>
  </si>
  <si>
    <t>1933H</t>
  </si>
  <si>
    <t>2114H</t>
  </si>
  <si>
    <t>2142H</t>
  </si>
  <si>
    <t>2334H</t>
  </si>
  <si>
    <t>0026H</t>
  </si>
  <si>
    <t>0222H</t>
  </si>
  <si>
    <t>0258H</t>
  </si>
  <si>
    <t>0311H</t>
  </si>
  <si>
    <t>0437H</t>
  </si>
  <si>
    <t>0558H</t>
  </si>
  <si>
    <t>0527H</t>
  </si>
  <si>
    <t>0548H</t>
  </si>
  <si>
    <t>0545H</t>
  </si>
  <si>
    <t>0029H</t>
  </si>
  <si>
    <t>1355H</t>
  </si>
  <si>
    <t>0733H</t>
  </si>
  <si>
    <t>0741H</t>
  </si>
  <si>
    <t>0808H</t>
  </si>
  <si>
    <t>2135H</t>
  </si>
  <si>
    <t>0945H</t>
  </si>
  <si>
    <t>2329H</t>
  </si>
  <si>
    <t>0939H</t>
  </si>
  <si>
    <t>2117H</t>
  </si>
  <si>
    <t>1709H</t>
  </si>
  <si>
    <t>1416H</t>
  </si>
  <si>
    <t>2019H</t>
  </si>
  <si>
    <t>1914H</t>
  </si>
  <si>
    <t>2115H</t>
  </si>
  <si>
    <t>1621H</t>
  </si>
  <si>
    <t>0320H</t>
  </si>
  <si>
    <t>0346H</t>
  </si>
  <si>
    <t>0455H</t>
  </si>
  <si>
    <t>0458H</t>
  </si>
  <si>
    <t>0503H</t>
  </si>
  <si>
    <t>0453H</t>
  </si>
  <si>
    <t>0036H</t>
  </si>
  <si>
    <t>0759H</t>
  </si>
  <si>
    <t>0819H</t>
  </si>
  <si>
    <t>due to sensor fault on MB#1 temp</t>
  </si>
  <si>
    <t>0920H</t>
  </si>
  <si>
    <t>1255H</t>
  </si>
  <si>
    <t>0156H</t>
  </si>
  <si>
    <t>1257H</t>
  </si>
  <si>
    <t>1212H</t>
  </si>
  <si>
    <t>1456H</t>
  </si>
  <si>
    <t>1238H</t>
  </si>
  <si>
    <t>1249H</t>
  </si>
  <si>
    <t>1437H</t>
  </si>
  <si>
    <t>1641H</t>
  </si>
  <si>
    <t>0903H</t>
  </si>
  <si>
    <t>1846H</t>
  </si>
  <si>
    <t>1845H</t>
  </si>
  <si>
    <t>0209H</t>
  </si>
  <si>
    <t>0235H</t>
  </si>
  <si>
    <t>0609H</t>
  </si>
  <si>
    <t>0308H</t>
  </si>
  <si>
    <t>1412H</t>
  </si>
  <si>
    <t>1121H</t>
  </si>
  <si>
    <t>1016H</t>
  </si>
  <si>
    <t>1053H</t>
  </si>
  <si>
    <t>1142H</t>
  </si>
  <si>
    <t>1216H</t>
  </si>
  <si>
    <t>1318H</t>
  </si>
  <si>
    <t>1256H</t>
  </si>
  <si>
    <t>1559H</t>
  </si>
  <si>
    <t>1620H</t>
  </si>
  <si>
    <t>1349H</t>
  </si>
  <si>
    <t>1353H</t>
  </si>
  <si>
    <t>1405H</t>
  </si>
  <si>
    <t>2318H</t>
  </si>
  <si>
    <t>1805H</t>
  </si>
  <si>
    <t>2205H</t>
  </si>
  <si>
    <t>0353H</t>
  </si>
  <si>
    <t>UNLOADED DUE TO LOW OIL PRESSURE</t>
  </si>
  <si>
    <t>2141H</t>
  </si>
  <si>
    <t>2041H</t>
  </si>
  <si>
    <t>2225H</t>
  </si>
  <si>
    <t>0333H</t>
  </si>
  <si>
    <t>0317H</t>
  </si>
  <si>
    <t>0358H</t>
  </si>
  <si>
    <t>0312H</t>
  </si>
  <si>
    <t>2359H</t>
  </si>
  <si>
    <t>0815H</t>
  </si>
  <si>
    <t>0824H</t>
  </si>
  <si>
    <t>2156H</t>
  </si>
  <si>
    <t>1221H</t>
  </si>
  <si>
    <t>1149H</t>
  </si>
  <si>
    <t>1855H</t>
  </si>
  <si>
    <t>1606H</t>
  </si>
  <si>
    <t>0402H</t>
  </si>
  <si>
    <t>1823H</t>
  </si>
  <si>
    <t>2106H</t>
  </si>
  <si>
    <t>1901H</t>
  </si>
  <si>
    <t>2144H</t>
  </si>
  <si>
    <t>2306H</t>
  </si>
  <si>
    <t>2358H</t>
  </si>
  <si>
    <t>0017H</t>
  </si>
  <si>
    <t>0040H</t>
  </si>
  <si>
    <t>1601H</t>
  </si>
  <si>
    <t>0639H</t>
  </si>
  <si>
    <t>0838H</t>
  </si>
  <si>
    <t>0028H</t>
  </si>
  <si>
    <t>0914H</t>
  </si>
  <si>
    <t>1007H</t>
  </si>
  <si>
    <t>1040H</t>
  </si>
  <si>
    <t>1035H</t>
  </si>
  <si>
    <t>1342H</t>
  </si>
  <si>
    <t>1643H</t>
  </si>
  <si>
    <t>1809H</t>
  </si>
  <si>
    <t>1814H</t>
  </si>
  <si>
    <t>1907H</t>
  </si>
  <si>
    <t>0246H</t>
  </si>
  <si>
    <t>0133H</t>
  </si>
  <si>
    <t>0206H</t>
  </si>
  <si>
    <t>2223H</t>
  </si>
  <si>
    <t>0158H</t>
  </si>
  <si>
    <t>0309H</t>
  </si>
  <si>
    <t>0615H</t>
  </si>
  <si>
    <t>0607H</t>
  </si>
  <si>
    <t>0110H</t>
  </si>
  <si>
    <t>0732H</t>
  </si>
  <si>
    <t>09858H</t>
  </si>
  <si>
    <t>0749H</t>
  </si>
  <si>
    <t>2336H</t>
  </si>
  <si>
    <t>1313H</t>
  </si>
  <si>
    <t>1703H</t>
  </si>
  <si>
    <t>1712H</t>
  </si>
  <si>
    <t>0329H</t>
  </si>
  <si>
    <t>1139H</t>
  </si>
  <si>
    <t>1551H</t>
  </si>
  <si>
    <t>THEY REMOVED COMMUNICATION CABLE BETWEEN UNIT 1 AND UNIT 2, THEN THEY PUT IT BACK.</t>
  </si>
  <si>
    <t>1649H</t>
  </si>
  <si>
    <t>1553H</t>
  </si>
  <si>
    <t>FORCED UNLOAD DUE TO UNCONTROLLABLE LOAD AT THEIR UNIT</t>
  </si>
  <si>
    <t>THEY CHANGED THE SETTING OF PID ACTUATOR COM FROM 0.10 TO 0.04</t>
  </si>
  <si>
    <t>A/T DUE TO UNDERVOLTAGE (DI UMANO)</t>
  </si>
  <si>
    <t>2103H</t>
  </si>
  <si>
    <t>EMERGENCY UNLOAD DUE TO SURGING TUBO CHARGER (DI UMANO)</t>
  </si>
  <si>
    <t>2244H</t>
  </si>
  <si>
    <t>2256H</t>
  </si>
  <si>
    <t>0132H</t>
  </si>
  <si>
    <t>0303H</t>
  </si>
  <si>
    <t>0250H</t>
  </si>
  <si>
    <t>0657H</t>
  </si>
  <si>
    <t>0729H</t>
  </si>
  <si>
    <t>0208H</t>
  </si>
  <si>
    <t>0954H</t>
  </si>
  <si>
    <t>0755H</t>
  </si>
  <si>
    <t>1129H</t>
  </si>
  <si>
    <t>1513H</t>
  </si>
  <si>
    <t>1122H</t>
  </si>
  <si>
    <t>1226H</t>
  </si>
  <si>
    <t>inspection on observed high temp on air starting pipe cyl 4</t>
  </si>
  <si>
    <t>2343H</t>
  </si>
  <si>
    <t>Load Test
1243h Declared commercial</t>
  </si>
  <si>
    <t>1445H</t>
  </si>
  <si>
    <t>A/T DUE TO FAULTED SENSOR AT BEARING #6</t>
  </si>
  <si>
    <t>1633H</t>
  </si>
  <si>
    <t>1632H</t>
  </si>
  <si>
    <t>A/T IND: DG BLACK FORCE START</t>
  </si>
  <si>
    <t>1707H</t>
  </si>
  <si>
    <t>1838H</t>
  </si>
  <si>
    <t>THEY CHANGED EGT CONTROLLER (LOAD TEST)</t>
  </si>
  <si>
    <t>A/T, FAILED BLACK TO START</t>
  </si>
  <si>
    <t>1651H</t>
  </si>
  <si>
    <t>2218H</t>
  </si>
  <si>
    <t>0015H</t>
  </si>
  <si>
    <t>1024H</t>
  </si>
  <si>
    <t>0949H</t>
  </si>
  <si>
    <t>1240H</t>
  </si>
  <si>
    <t>Emergency unload due to smoke in transformer</t>
  </si>
  <si>
    <t>1631H</t>
  </si>
  <si>
    <t>1723H</t>
  </si>
  <si>
    <t>0409H</t>
  </si>
  <si>
    <t>2202H</t>
  </si>
  <si>
    <t>1915H</t>
  </si>
  <si>
    <t>Water leak</t>
  </si>
  <si>
    <t>2323H</t>
  </si>
  <si>
    <t>UNLOADED DUE TO GAS LEAK AT CY. B1 / Declared Commercial Operation 0517H</t>
  </si>
  <si>
    <t>UNLOADED, CY. A1 FOR CHECKING</t>
  </si>
  <si>
    <t>0012H</t>
  </si>
  <si>
    <t>0512H</t>
  </si>
  <si>
    <t>Declared Commercial Operation 0512H</t>
  </si>
  <si>
    <t>1503H</t>
  </si>
  <si>
    <t>1552H</t>
  </si>
  <si>
    <t>1618H</t>
  </si>
  <si>
    <t>1242H</t>
  </si>
  <si>
    <t>Emergency unload (inspection of cylinder A4)</t>
  </si>
  <si>
    <t>FUEL LEAK @ FUEL INLET PIPE</t>
  </si>
  <si>
    <t xml:space="preserve">  </t>
  </si>
  <si>
    <t>Emergency unload due to damage exhaust bellows</t>
  </si>
  <si>
    <t>1635H</t>
  </si>
  <si>
    <t>0148H</t>
  </si>
  <si>
    <t>1604H</t>
  </si>
  <si>
    <t>1639H</t>
  </si>
  <si>
    <t>1735H</t>
  </si>
  <si>
    <t>1739H</t>
  </si>
  <si>
    <t>1825H</t>
  </si>
  <si>
    <t>2310H</t>
  </si>
  <si>
    <t>2305H</t>
  </si>
  <si>
    <t>2316H</t>
  </si>
  <si>
    <t>0249H</t>
  </si>
  <si>
    <t>HIGH EGT AT CY. A5</t>
  </si>
  <si>
    <t>0020H</t>
  </si>
  <si>
    <t>1101H</t>
  </si>
  <si>
    <t>1152H</t>
  </si>
  <si>
    <t>1447H</t>
  </si>
  <si>
    <t>1156H</t>
  </si>
  <si>
    <t>0922H</t>
  </si>
  <si>
    <t>1125H</t>
  </si>
  <si>
    <t>HT PRESSURE FLUCTUATION</t>
  </si>
  <si>
    <t>1143H</t>
  </si>
  <si>
    <t>0703H</t>
  </si>
  <si>
    <t>HUNTING</t>
  </si>
  <si>
    <t>1458H</t>
  </si>
  <si>
    <t>1545H</t>
  </si>
  <si>
    <t>1510H</t>
  </si>
  <si>
    <t>1743H</t>
  </si>
  <si>
    <t>1937H</t>
  </si>
  <si>
    <t>2033H</t>
  </si>
  <si>
    <t>2207H</t>
  </si>
  <si>
    <t>2230H</t>
  </si>
  <si>
    <t>0537H</t>
  </si>
  <si>
    <t>LOAD TEST, UNLOADED DUE TO LOW EGT AT CY. A7.</t>
  </si>
  <si>
    <t>0622H</t>
  </si>
  <si>
    <t>2125H</t>
  </si>
  <si>
    <t>Load test</t>
  </si>
  <si>
    <t>0707H</t>
  </si>
  <si>
    <t>STOPPED DUE TO DESYNCRONIZATION AND IDLE ATTEMPT (ISLAND MODE TO GRID / NPC AND DELTA P ACTIVITY)</t>
  </si>
  <si>
    <t>0035H</t>
  </si>
  <si>
    <t>0942H</t>
  </si>
  <si>
    <t>1215H</t>
  </si>
  <si>
    <t>Unloaded due to low demand</t>
  </si>
  <si>
    <t>1356H</t>
  </si>
  <si>
    <t>1336H</t>
  </si>
  <si>
    <t>1527H</t>
  </si>
  <si>
    <t>1509H</t>
  </si>
  <si>
    <t>1608H</t>
  </si>
  <si>
    <t>2146H</t>
  </si>
  <si>
    <t>2342H</t>
  </si>
  <si>
    <t>0033H</t>
  </si>
  <si>
    <t>0032H</t>
  </si>
  <si>
    <t>0116H</t>
  </si>
  <si>
    <t>0239H</t>
  </si>
  <si>
    <t>0319H</t>
  </si>
  <si>
    <t>0241H</t>
  </si>
  <si>
    <t>0322H</t>
  </si>
  <si>
    <t>0306H</t>
  </si>
  <si>
    <t>1058H</t>
  </si>
  <si>
    <t>0146H</t>
  </si>
  <si>
    <t>1034H</t>
  </si>
  <si>
    <t>1128H</t>
  </si>
  <si>
    <t>1132H</t>
  </si>
  <si>
    <t>1155H</t>
  </si>
  <si>
    <t>To rectify excessive gas leak at cylinder B1</t>
  </si>
  <si>
    <t>1157H</t>
  </si>
  <si>
    <t>LOADTEST(1533H DECLARED COMMERCIAL)</t>
  </si>
  <si>
    <t>1550H</t>
  </si>
  <si>
    <t>1609H</t>
  </si>
  <si>
    <t>1929H</t>
  </si>
  <si>
    <t>1738H</t>
  </si>
  <si>
    <t>1817H</t>
  </si>
  <si>
    <t>1940H</t>
  </si>
  <si>
    <t>0721H</t>
  </si>
  <si>
    <t>2252H</t>
  </si>
  <si>
    <t>0841H</t>
  </si>
  <si>
    <t>2356H</t>
  </si>
  <si>
    <t>0151H</t>
  </si>
  <si>
    <t>1414H</t>
  </si>
  <si>
    <t>1433H</t>
  </si>
  <si>
    <t>2018H</t>
  </si>
  <si>
    <t>0150H</t>
  </si>
  <si>
    <t>0557H</t>
  </si>
  <si>
    <t>2133H</t>
  </si>
  <si>
    <t>0746H</t>
  </si>
  <si>
    <t>1136H</t>
  </si>
  <si>
    <t>1223H</t>
  </si>
  <si>
    <t>1517H</t>
  </si>
  <si>
    <t>1516H</t>
  </si>
  <si>
    <t>0403H</t>
  </si>
  <si>
    <t>0634H</t>
  </si>
  <si>
    <t>0611H</t>
  </si>
  <si>
    <t>1913H</t>
  </si>
  <si>
    <t>0714H</t>
  </si>
  <si>
    <t>0744H</t>
  </si>
  <si>
    <t>2259H</t>
  </si>
  <si>
    <t>1029H</t>
  </si>
  <si>
    <t>1130H</t>
  </si>
  <si>
    <t>1209H</t>
  </si>
  <si>
    <t>2015H</t>
  </si>
  <si>
    <t>1104H</t>
  </si>
  <si>
    <t>1350H</t>
  </si>
  <si>
    <t>1326H</t>
  </si>
  <si>
    <t>1728H</t>
  </si>
  <si>
    <t>Data Log</t>
  </si>
  <si>
    <t>Date</t>
  </si>
  <si>
    <t>Time</t>
  </si>
  <si>
    <t>Time Change From Prev State</t>
  </si>
  <si>
    <t>OTG Class</t>
  </si>
  <si>
    <t>Current Load (MW)</t>
  </si>
  <si>
    <t>LOG CODE</t>
  </si>
  <si>
    <t>$M$49 5</t>
  </si>
  <si>
    <t>DMCI IRAWAN_UP 18C</t>
  </si>
  <si>
    <t>$M$50 5</t>
  </si>
  <si>
    <t>$M$41 5</t>
  </si>
  <si>
    <t>$T$35 5</t>
  </si>
  <si>
    <t>$T$36 5</t>
  </si>
  <si>
    <t>$M$38 13</t>
  </si>
  <si>
    <t>2257H</t>
  </si>
  <si>
    <t>$AC$29 18</t>
  </si>
  <si>
    <t>$U$39 20</t>
  </si>
  <si>
    <t>$V$32 20</t>
  </si>
  <si>
    <t>DMCI BROOKES_UP 39</t>
  </si>
  <si>
    <t>$M$66 24</t>
  </si>
  <si>
    <t>0522H</t>
  </si>
  <si>
    <t>$L$28 25</t>
  </si>
  <si>
    <t>$P$13 25</t>
  </si>
  <si>
    <t>LogCode</t>
  </si>
  <si>
    <t>1050H</t>
  </si>
  <si>
    <t>DMCI BROOKES_UP 40</t>
  </si>
  <si>
    <t>$Q$67 27</t>
  </si>
  <si>
    <t>DMCI BROOKES_UP 41</t>
  </si>
  <si>
    <t>$Q$68 27</t>
  </si>
  <si>
    <t>DMCI BROOKES_UP 42</t>
  </si>
  <si>
    <t>$Q$69 27</t>
  </si>
  <si>
    <t>DMCI BROOKES_UP 47</t>
  </si>
  <si>
    <t>$Q$74 27</t>
  </si>
  <si>
    <t>1520H</t>
  </si>
  <si>
    <t>DMCI BROOKES_UP 43</t>
  </si>
  <si>
    <t>$V$70 27</t>
  </si>
  <si>
    <t>1535H</t>
  </si>
  <si>
    <t>DMCI BROOKES_UP 44</t>
  </si>
  <si>
    <t>$V$71 27</t>
  </si>
  <si>
    <t>$V$40 27</t>
  </si>
  <si>
    <t>$V$43 27</t>
  </si>
  <si>
    <t>1557H</t>
  </si>
  <si>
    <t>$V$41 27</t>
  </si>
  <si>
    <t>$I$14 28</t>
  </si>
  <si>
    <t>$L$16 28</t>
  </si>
  <si>
    <t>$L$21 28</t>
  </si>
  <si>
    <t>$O$15 28</t>
  </si>
  <si>
    <t>$P$24 28</t>
  </si>
  <si>
    <t>$P$58 28</t>
  </si>
  <si>
    <t>$P$57 28</t>
  </si>
  <si>
    <t>1049H</t>
  </si>
  <si>
    <t>A/T DUE TO OC</t>
  </si>
  <si>
    <t>$Q$44 28</t>
  </si>
  <si>
    <t>$S$63 28</t>
  </si>
  <si>
    <t>$S$56 28</t>
  </si>
  <si>
    <t>$S$48 28</t>
  </si>
  <si>
    <t>1522H</t>
  </si>
  <si>
    <t>$V$45 28</t>
  </si>
  <si>
    <t>1602H</t>
  </si>
  <si>
    <t>$W$46 28</t>
  </si>
  <si>
    <t>$W$49 28</t>
  </si>
  <si>
    <t>1638H</t>
  </si>
  <si>
    <t>$W$55 28</t>
  </si>
  <si>
    <t>$Y$61 28</t>
  </si>
  <si>
    <t>$Y$62 28</t>
  </si>
  <si>
    <t>1916H</t>
  </si>
  <si>
    <t>$Z$47 28</t>
  </si>
  <si>
    <t>1928H</t>
  </si>
  <si>
    <t>$Z$54 28</t>
  </si>
  <si>
    <t>$Z$53 28</t>
  </si>
  <si>
    <t>$Z$52 28</t>
  </si>
  <si>
    <t>$AB$19 28</t>
  </si>
  <si>
    <t>0900H</t>
  </si>
  <si>
    <t>$P$77 28</t>
  </si>
  <si>
    <t>$K$15 30</t>
  </si>
  <si>
    <t>$M$14 31</t>
  </si>
  <si>
    <t>$AC$16 31</t>
  </si>
  <si>
    <t>$AC$13 31</t>
  </si>
  <si>
    <t>$W$19 31</t>
  </si>
  <si>
    <t>2241H</t>
  </si>
  <si>
    <t>$AC$21 31</t>
  </si>
  <si>
    <t>$O$24 31</t>
  </si>
  <si>
    <t>$Y$30 25</t>
  </si>
  <si>
    <t>$W$29 31</t>
  </si>
  <si>
    <t>$M$27 22</t>
  </si>
  <si>
    <t>$Z$39 31</t>
  </si>
  <si>
    <t>$Y$41 31</t>
  </si>
  <si>
    <t>$Y$42 31</t>
  </si>
  <si>
    <t>$Z$44 31</t>
  </si>
  <si>
    <t>$M$32 12</t>
  </si>
  <si>
    <t>$Y$63 31</t>
  </si>
  <si>
    <t>$S$64 31</t>
  </si>
  <si>
    <t>$M$79 31</t>
  </si>
  <si>
    <t>$Y$62 31</t>
  </si>
  <si>
    <t>$M$78 31</t>
  </si>
  <si>
    <t>$F$24 1</t>
  </si>
  <si>
    <t>$G$62 1</t>
  </si>
  <si>
    <t>$G$64 1</t>
  </si>
  <si>
    <t>$G$39 1</t>
  </si>
  <si>
    <t>$G$49 1</t>
  </si>
  <si>
    <t>$H$14 1</t>
  </si>
  <si>
    <t>$H$46 1</t>
  </si>
  <si>
    <t>$H$47 1</t>
  </si>
  <si>
    <t>$H$50 1</t>
  </si>
  <si>
    <t>$H$41 1</t>
  </si>
  <si>
    <t>$H$42 1</t>
  </si>
  <si>
    <t>$I$49 1</t>
  </si>
  <si>
    <t>$I$46 1</t>
  </si>
  <si>
    <t>$J$47 1</t>
  </si>
  <si>
    <t>$K$56 1</t>
  </si>
  <si>
    <t>$L$48 1</t>
  </si>
  <si>
    <t>$L$21 1</t>
  </si>
  <si>
    <t>$M$56 1</t>
  </si>
  <si>
    <t>$M$64 1</t>
  </si>
  <si>
    <t>$M$63 1</t>
  </si>
  <si>
    <t>$M$48 1</t>
  </si>
  <si>
    <t>$M$19 1</t>
  </si>
  <si>
    <t>$L$57 1</t>
  </si>
  <si>
    <t>$L$50 1</t>
  </si>
  <si>
    <t>$M$57 1</t>
  </si>
  <si>
    <t>$N$13 1</t>
  </si>
  <si>
    <t>$O$21 1</t>
  </si>
  <si>
    <t>$O$48 1</t>
  </si>
  <si>
    <t>$O$56 1</t>
  </si>
  <si>
    <t>$O$47 1</t>
  </si>
  <si>
    <t>$O$50 1</t>
  </si>
  <si>
    <t>$O$46 1</t>
  </si>
  <si>
    <t>$O$24 1</t>
  </si>
  <si>
    <t>$P$21 1</t>
  </si>
  <si>
    <t>$P$19 1</t>
  </si>
  <si>
    <t>$P$46 1</t>
  </si>
  <si>
    <t>$P$48 1</t>
  </si>
  <si>
    <t>$P$47 1</t>
  </si>
  <si>
    <t>$P$50 1</t>
  </si>
  <si>
    <t>$P$56 1</t>
  </si>
  <si>
    <t>$Q$46 1</t>
  </si>
  <si>
    <t>$Q$57 1</t>
  </si>
  <si>
    <t>$Q$47 1</t>
  </si>
  <si>
    <t>$R$50 1</t>
  </si>
  <si>
    <t>$R$46 1</t>
  </si>
  <si>
    <t>$S$47 1</t>
  </si>
  <si>
    <t>$S$50 1</t>
  </si>
  <si>
    <t>$S$63 1</t>
  </si>
  <si>
    <t>$S$62 1</t>
  </si>
  <si>
    <t>$T$14 1</t>
  </si>
  <si>
    <t>$Y$56 1</t>
  </si>
  <si>
    <t>$Z$56 1</t>
  </si>
  <si>
    <t>$Z$30 1</t>
  </si>
  <si>
    <t>$H$78 1</t>
  </si>
  <si>
    <t>$H$79 1</t>
  </si>
  <si>
    <t>$Y$79 1</t>
  </si>
  <si>
    <t>$Y$78 1</t>
  </si>
  <si>
    <t>$Y$62 1</t>
  </si>
  <si>
    <t>$Y$64 1</t>
  </si>
  <si>
    <t>$Z$64 1</t>
  </si>
  <si>
    <t>$AA$30 1</t>
  </si>
  <si>
    <t>$AA$48 1</t>
  </si>
  <si>
    <t>$AA$49 1</t>
  </si>
  <si>
    <t>$AA$57 1</t>
  </si>
  <si>
    <t>$AA$21 1</t>
  </si>
  <si>
    <t>$AA$46 1</t>
  </si>
  <si>
    <t>$AA$47 1</t>
  </si>
  <si>
    <t>$AB$49 1</t>
  </si>
  <si>
    <t>$AB$46 1</t>
  </si>
  <si>
    <t>$AB$47 1</t>
  </si>
  <si>
    <t>$AC$47 1</t>
  </si>
  <si>
    <t>$AC$48 1</t>
  </si>
  <si>
    <t>$AC$50 1</t>
  </si>
  <si>
    <t>$AC$56 1</t>
  </si>
  <si>
    <t>$AC$13 1</t>
  </si>
  <si>
    <t>$AA$64 1</t>
  </si>
  <si>
    <t>$F$56 2</t>
  </si>
  <si>
    <t>$F$24 2</t>
  </si>
  <si>
    <t>$G$56 2</t>
  </si>
  <si>
    <t>$G$64 2</t>
  </si>
  <si>
    <t>$G$63 2</t>
  </si>
  <si>
    <t>$G$19 2</t>
  </si>
  <si>
    <t>$J$50 2</t>
  </si>
  <si>
    <t>$J$56 2</t>
  </si>
  <si>
    <t>$J$14 2</t>
  </si>
  <si>
    <t>$J$24 2</t>
  </si>
  <si>
    <t>$L$56 2</t>
  </si>
  <si>
    <t>$L$48 2</t>
  </si>
  <si>
    <t>$L$13 2</t>
  </si>
  <si>
    <t>$L$21 2</t>
  </si>
  <si>
    <t>$M$78 2</t>
  </si>
  <si>
    <t>$M$79 2</t>
  </si>
  <si>
    <t>$O$21 2</t>
  </si>
  <si>
    <t>$O$19 2</t>
  </si>
  <si>
    <t>$O$57 2</t>
  </si>
  <si>
    <t>$P$49 2</t>
  </si>
  <si>
    <t>$P$47 2</t>
  </si>
  <si>
    <t>$P$50 2</t>
  </si>
  <si>
    <t>$P$56 2</t>
  </si>
  <si>
    <t>$P$14 2</t>
  </si>
  <si>
    <t>$P$57 2</t>
  </si>
  <si>
    <t>$Q$48 2</t>
  </si>
  <si>
    <t>$Q$57 2</t>
  </si>
  <si>
    <t>$R$48 2</t>
  </si>
  <si>
    <t>$S$49 2</t>
  </si>
  <si>
    <t>$M$63 2</t>
  </si>
  <si>
    <t>$M$62 2</t>
  </si>
  <si>
    <t>$S$62 2</t>
  </si>
  <si>
    <t>$S$64 2</t>
  </si>
  <si>
    <t>$S$47 2</t>
  </si>
  <si>
    <t>$S$50 2</t>
  </si>
  <si>
    <t>$T$29 2</t>
  </si>
  <si>
    <t>$T$49 2</t>
  </si>
  <si>
    <t>$T$57 2</t>
  </si>
  <si>
    <t>$T$47 2</t>
  </si>
  <si>
    <t>$T$50 2</t>
  </si>
  <si>
    <t>$X$30 2</t>
  </si>
  <si>
    <t>$Y$64 2</t>
  </si>
  <si>
    <t>$Y$63 2</t>
  </si>
  <si>
    <t>$Y$79 2</t>
  </si>
  <si>
    <t>$Y$78 2</t>
  </si>
  <si>
    <t>$Y$30 2</t>
  </si>
  <si>
    <t>Overcurrent</t>
  </si>
  <si>
    <t>$Z$79 2</t>
  </si>
  <si>
    <t>$AA$63 2</t>
  </si>
  <si>
    <t>$AA$79 2</t>
  </si>
  <si>
    <t>$AA$19 2</t>
  </si>
  <si>
    <t>$AB$29 2</t>
  </si>
  <si>
    <t>To rectify LOW &amp; HIGH EGT</t>
  </si>
  <si>
    <t>$AB$13 2</t>
  </si>
  <si>
    <t>$AB$48 2</t>
  </si>
  <si>
    <t>$AB$49 2</t>
  </si>
  <si>
    <t>$AB$56 2</t>
  </si>
  <si>
    <t>$AB$57 2</t>
  </si>
  <si>
    <t>$AC$56 2</t>
  </si>
  <si>
    <t>$AC$48 2</t>
  </si>
  <si>
    <t>$AC$57 2</t>
  </si>
  <si>
    <t>$AC$49 2</t>
  </si>
  <si>
    <t>$G$24 3</t>
  </si>
  <si>
    <t>$G$63 3</t>
  </si>
  <si>
    <t>$G$62 3</t>
  </si>
  <si>
    <t>$H$21 3</t>
  </si>
  <si>
    <t>$J$13 3</t>
  </si>
  <si>
    <t>$K$13 3</t>
  </si>
  <si>
    <t>$L$57 3</t>
  </si>
  <si>
    <t>$L$24 3</t>
  </si>
  <si>
    <t>$M$62 3</t>
  </si>
  <si>
    <t>$M$64 3</t>
  </si>
  <si>
    <t>$M$78 3</t>
  </si>
  <si>
    <t>$M$79 3</t>
  </si>
  <si>
    <t>$N$21 3</t>
  </si>
  <si>
    <t>$O$48 3</t>
  </si>
  <si>
    <t>$O$57 3</t>
  </si>
  <si>
    <t>$O$47 3</t>
  </si>
  <si>
    <t>$O$50 3</t>
  </si>
  <si>
    <t>$O$19 3</t>
  </si>
  <si>
    <t>$O$49 3</t>
  </si>
  <si>
    <t>$P$56 3</t>
  </si>
  <si>
    <t>$P$13 3</t>
  </si>
  <si>
    <t>$P$49 3</t>
  </si>
  <si>
    <t>$P$57 3</t>
  </si>
  <si>
    <t>$P$47 3</t>
  </si>
  <si>
    <t>$P$50 3</t>
  </si>
  <si>
    <t>$Q$49 3</t>
  </si>
  <si>
    <t>$Q$50 3</t>
  </si>
  <si>
    <t>$R$57 3</t>
  </si>
  <si>
    <t>$S$49 3</t>
  </si>
  <si>
    <t>$S$63 3</t>
  </si>
  <si>
    <t>$S$64 3</t>
  </si>
  <si>
    <t>$S$57 3</t>
  </si>
  <si>
    <t>$T$46 3</t>
  </si>
  <si>
    <t>$T$55 3</t>
  </si>
  <si>
    <t>$T$54 3</t>
  </si>
  <si>
    <t>$Q$29 3</t>
  </si>
  <si>
    <t>$T$53 3</t>
  </si>
  <si>
    <t>$T$40 3</t>
  </si>
  <si>
    <t>$T$45 3</t>
  </si>
  <si>
    <t>$T$58 3</t>
  </si>
  <si>
    <t>$T$59 3</t>
  </si>
  <si>
    <t>$T$19 3</t>
  </si>
  <si>
    <t>$U$40 3</t>
  </si>
  <si>
    <t>$V$51 3</t>
  </si>
  <si>
    <t>$W$40 3</t>
  </si>
  <si>
    <t>$W$45 3</t>
  </si>
  <si>
    <t>$W$48 3</t>
  </si>
  <si>
    <t>$X$49 3</t>
  </si>
  <si>
    <t>$X$57 3</t>
  </si>
  <si>
    <t>$X$46 3</t>
  </si>
  <si>
    <t>$X$47 3</t>
  </si>
  <si>
    <t>$X$50 3</t>
  </si>
  <si>
    <t>$X$79 3</t>
  </si>
  <si>
    <t>$X$78 3</t>
  </si>
  <si>
    <t>For load test</t>
  </si>
  <si>
    <t>$X$55 3</t>
  </si>
  <si>
    <t>$X$54 3</t>
  </si>
  <si>
    <t>$Y$48 3</t>
  </si>
  <si>
    <t>$Y$45 3</t>
  </si>
  <si>
    <t>$Y$63 3</t>
  </si>
  <si>
    <t>$Y$62 3</t>
  </si>
  <si>
    <t>$Y$57 3</t>
  </si>
  <si>
    <t>$Y$49 3</t>
  </si>
  <si>
    <t>Inspection of Governor bracket</t>
  </si>
  <si>
    <t>$Y$29 3</t>
  </si>
  <si>
    <t>$Y$46 3</t>
  </si>
  <si>
    <t>$Y$47 3</t>
  </si>
  <si>
    <t>$Y$50 3</t>
  </si>
  <si>
    <t>$Y$19 3</t>
  </si>
  <si>
    <t>$Y$55 3</t>
  </si>
  <si>
    <t>$Y$14 3</t>
  </si>
  <si>
    <t>$Y$54 3</t>
  </si>
  <si>
    <t>$Y$53 3</t>
  </si>
  <si>
    <t>$Z$62 3</t>
  </si>
  <si>
    <t>$AA$59 3</t>
  </si>
  <si>
    <t>$AA$53 3</t>
  </si>
  <si>
    <t>$AA$54 3</t>
  </si>
  <si>
    <t>$AA$29 3</t>
  </si>
  <si>
    <t>$AA$58 3</t>
  </si>
  <si>
    <t>$AA$56 3</t>
  </si>
  <si>
    <t>$AA$48 3</t>
  </si>
  <si>
    <t>$AA$55 3</t>
  </si>
  <si>
    <t>$AA$57 3</t>
  </si>
  <si>
    <t>$AB$49 3</t>
  </si>
  <si>
    <t>$AB$46 3</t>
  </si>
  <si>
    <t>$AB$47 3</t>
  </si>
  <si>
    <t>$AB$28 3</t>
  </si>
  <si>
    <t>$AB$50 3</t>
  </si>
  <si>
    <t>$AB$54 3</t>
  </si>
  <si>
    <t>$AB$53 3</t>
  </si>
  <si>
    <t>$AB$59 3</t>
  </si>
  <si>
    <t>$AB$58 3</t>
  </si>
  <si>
    <t>Declared Commercial Operation from loadtest</t>
  </si>
  <si>
    <t>$AC$28 3</t>
  </si>
  <si>
    <t>$AC$24 3</t>
  </si>
  <si>
    <t>$F$19 4</t>
  </si>
  <si>
    <t>$G$21 4</t>
  </si>
  <si>
    <t>$H$62 4</t>
  </si>
  <si>
    <t>$H$64 4</t>
  </si>
  <si>
    <t>$I$46 4</t>
  </si>
  <si>
    <t>$I$49 4</t>
  </si>
  <si>
    <t>$I$56 4</t>
  </si>
  <si>
    <t>$I$15 4</t>
  </si>
  <si>
    <t>$K$47 4</t>
  </si>
  <si>
    <t>$K$48 4</t>
  </si>
  <si>
    <t>$K$50 4</t>
  </si>
  <si>
    <t>$K$27 4</t>
  </si>
  <si>
    <t>$K$45 4</t>
  </si>
  <si>
    <t>$K$54 4</t>
  </si>
  <si>
    <t>$I$57 4</t>
  </si>
  <si>
    <t>$K$15 4</t>
  </si>
  <si>
    <t>$K$57 4</t>
  </si>
  <si>
    <t>$L$57 4</t>
  </si>
  <si>
    <t>$L$54 4</t>
  </si>
  <si>
    <t>$L$45 4</t>
  </si>
  <si>
    <t>$L$49 4</t>
  </si>
  <si>
    <t>$L$46 4</t>
  </si>
  <si>
    <t>$L$47 4</t>
  </si>
  <si>
    <t>$L$50 4</t>
  </si>
  <si>
    <t>$L$56 4</t>
  </si>
  <si>
    <t>$M$47 4</t>
  </si>
  <si>
    <t>$M$24 4</t>
  </si>
  <si>
    <t>$M$57 4</t>
  </si>
  <si>
    <t>$M$64 4</t>
  </si>
  <si>
    <t>$M$63 4</t>
  </si>
  <si>
    <t>$M$49 4</t>
  </si>
  <si>
    <t>$M$46 4</t>
  </si>
  <si>
    <t>$N$21 4</t>
  </si>
  <si>
    <t>$N$50 4</t>
  </si>
  <si>
    <t>$O$19 4</t>
  </si>
  <si>
    <t>$O$56 4</t>
  </si>
  <si>
    <t>$O$48 4</t>
  </si>
  <si>
    <t>$O$57 4</t>
  </si>
  <si>
    <t>$O$49 4</t>
  </si>
  <si>
    <t>$O$46 4</t>
  </si>
  <si>
    <t>$O$47 4</t>
  </si>
  <si>
    <t>$P$55 4</t>
  </si>
  <si>
    <t>$P$54 4</t>
  </si>
  <si>
    <t>$P$53 4</t>
  </si>
  <si>
    <t>$O$29 4</t>
  </si>
  <si>
    <t>$P$59 4</t>
  </si>
  <si>
    <t>$P$58 4</t>
  </si>
  <si>
    <t>DECLARED AVAILABLE</t>
  </si>
  <si>
    <t>$P$45 4</t>
  </si>
  <si>
    <t>$Q$40 4</t>
  </si>
  <si>
    <t>UNDERVOLTAGE</t>
  </si>
  <si>
    <t>$Q$28 4</t>
  </si>
  <si>
    <t>$Q$14 4</t>
  </si>
  <si>
    <t>$Q$41 4</t>
  </si>
  <si>
    <t>HT LOW PRESSURE</t>
  </si>
  <si>
    <t>$Q$42 4</t>
  </si>
  <si>
    <t>$Q$44 4</t>
  </si>
  <si>
    <t>$Q$39 4</t>
  </si>
  <si>
    <t>$R$42 4</t>
  </si>
  <si>
    <t>$R$44 4</t>
  </si>
  <si>
    <t>$R$29 4</t>
  </si>
  <si>
    <t>$R$40 4</t>
  </si>
  <si>
    <t>$R$45 4</t>
  </si>
  <si>
    <t>$R$50 4</t>
  </si>
  <si>
    <t>$S$63 4</t>
  </si>
  <si>
    <t>$S$62 4</t>
  </si>
  <si>
    <t>$S$50 4</t>
  </si>
  <si>
    <t>$S$56 4</t>
  </si>
  <si>
    <t>$S$48 4</t>
  </si>
  <si>
    <t>$S$57 4</t>
  </si>
  <si>
    <t>$S$55 4</t>
  </si>
  <si>
    <t>$S$54 4</t>
  </si>
  <si>
    <t>$T$14 4</t>
  </si>
  <si>
    <t>$T$55 4</t>
  </si>
  <si>
    <t>$T$57 4</t>
  </si>
  <si>
    <t>$T$54 4</t>
  </si>
  <si>
    <t>$T$40 4</t>
  </si>
  <si>
    <t>$T$41 4</t>
  </si>
  <si>
    <t>$T$44 4</t>
  </si>
  <si>
    <t>$T$39 4</t>
  </si>
  <si>
    <t>$T$42 4</t>
  </si>
  <si>
    <t>$U$39 4</t>
  </si>
  <si>
    <t>$U$41 4</t>
  </si>
  <si>
    <t>$U$44 4</t>
  </si>
  <si>
    <t>$V$40 4</t>
  </si>
  <si>
    <t>$V$42 4</t>
  </si>
  <si>
    <t>$V$54 4</t>
  </si>
  <si>
    <t>$V$55 4</t>
  </si>
  <si>
    <t>$V$45 4</t>
  </si>
  <si>
    <t>$W$53 4</t>
  </si>
  <si>
    <t>LOAD TEST (checking for frequency stability)</t>
  </si>
  <si>
    <t>$W$30 4</t>
  </si>
  <si>
    <t>$W$59 4</t>
  </si>
  <si>
    <t>$W$58 4</t>
  </si>
  <si>
    <t>$W$45 4</t>
  </si>
  <si>
    <t>$X$57 4</t>
  </si>
  <si>
    <t>$X$49 4</t>
  </si>
  <si>
    <t>$X$46 4</t>
  </si>
  <si>
    <t>$X$47 4</t>
  </si>
  <si>
    <t>$X$50 4</t>
  </si>
  <si>
    <t>$X$55 4</t>
  </si>
  <si>
    <t>$X$54 4</t>
  </si>
  <si>
    <t>$Y$53 4</t>
  </si>
  <si>
    <t>$Y$62 4</t>
  </si>
  <si>
    <t>$Y$64 4</t>
  </si>
  <si>
    <t>$O$79 4</t>
  </si>
  <si>
    <t>$O$78 4</t>
  </si>
  <si>
    <t>$Y$79 4</t>
  </si>
  <si>
    <t>$Y$78 4</t>
  </si>
  <si>
    <t>$Y$30 4</t>
  </si>
  <si>
    <t>$Y$56 4</t>
  </si>
  <si>
    <t>$Z$55 4</t>
  </si>
  <si>
    <t>$Z$58 4</t>
  </si>
  <si>
    <t>$Z$30 4</t>
  </si>
  <si>
    <t>$Z$54 4</t>
  </si>
  <si>
    <t>$Z$59 4</t>
  </si>
  <si>
    <t>$AA$53 4</t>
  </si>
  <si>
    <t>$AA$59 4</t>
  </si>
  <si>
    <t>$AA$64 4</t>
  </si>
  <si>
    <t>$Z$48 4</t>
  </si>
  <si>
    <t>$AA$58 4</t>
  </si>
  <si>
    <t>$AB$19 4</t>
  </si>
  <si>
    <t>$AC$13 4</t>
  </si>
  <si>
    <t>$AC$45 4</t>
  </si>
  <si>
    <t>$AC$49 4</t>
  </si>
  <si>
    <t>$AC$57 4</t>
  </si>
  <si>
    <t>$F$49 5</t>
  </si>
  <si>
    <t>$G$24 5</t>
  </si>
  <si>
    <t>$H$64 5</t>
  </si>
  <si>
    <t>$H$63 5</t>
  </si>
  <si>
    <t>$H$21 5</t>
  </si>
  <si>
    <t>$K$13 5</t>
  </si>
  <si>
    <t>$L$14 5</t>
  </si>
  <si>
    <t>$M$63 5</t>
  </si>
  <si>
    <t>$M$62 5</t>
  </si>
  <si>
    <t>$M$78 5</t>
  </si>
  <si>
    <t>$M$79 5</t>
  </si>
  <si>
    <t>$N$46 5</t>
  </si>
  <si>
    <t>$N$63 5</t>
  </si>
  <si>
    <t>$N$64 5</t>
  </si>
  <si>
    <t>$N$47 5</t>
  </si>
  <si>
    <t>$N$21 5</t>
  </si>
  <si>
    <t>$O$50 5</t>
  </si>
  <si>
    <t>$O$56 5</t>
  </si>
  <si>
    <t>$O$48 5</t>
  </si>
  <si>
    <t>$O$19 5</t>
  </si>
  <si>
    <t>$O$57 5</t>
  </si>
  <si>
    <t>$P$48 5</t>
  </si>
  <si>
    <t>$P$46 5</t>
  </si>
  <si>
    <t>$P$49 5</t>
  </si>
  <si>
    <t>$P$50 5</t>
  </si>
  <si>
    <t>$P$14 5</t>
  </si>
  <si>
    <t>$P$24 5</t>
  </si>
  <si>
    <t>$P$56 5</t>
  </si>
  <si>
    <t>$Q$57 5</t>
  </si>
  <si>
    <t>$Q$49 5</t>
  </si>
  <si>
    <t>$Q$46 5</t>
  </si>
  <si>
    <t>$Q$47 5</t>
  </si>
  <si>
    <t>$T$48 5</t>
  </si>
  <si>
    <t>$S$62 5</t>
  </si>
  <si>
    <t>$S$64 5</t>
  </si>
  <si>
    <t>$T$50 5</t>
  </si>
  <si>
    <t>$U$56 5</t>
  </si>
  <si>
    <t>$U$57 5</t>
  </si>
  <si>
    <t>$U$49 5</t>
  </si>
  <si>
    <t>$V$48 5</t>
  </si>
  <si>
    <t>$V$79 5</t>
  </si>
  <si>
    <t>$V$78 5</t>
  </si>
  <si>
    <t>$V$50 5</t>
  </si>
  <si>
    <t>$V$56 5</t>
  </si>
  <si>
    <t>$V$57 5</t>
  </si>
  <si>
    <t>$W$49 5</t>
  </si>
  <si>
    <t>$Y$46 5</t>
  </si>
  <si>
    <t>$Y$47 5</t>
  </si>
  <si>
    <t>$Y$50 5</t>
  </si>
  <si>
    <t>$Z$56 5</t>
  </si>
  <si>
    <t>$Z$46 5</t>
  </si>
  <si>
    <t>$Z$47 5</t>
  </si>
  <si>
    <t>$Z$50 5</t>
  </si>
  <si>
    <t>$AA$56 5</t>
  </si>
  <si>
    <t>Load test (minimum load:1.5MW)</t>
  </si>
  <si>
    <t>$AB$30 5</t>
  </si>
  <si>
    <t>$AB$48 5</t>
  </si>
  <si>
    <t>$AB$57 5</t>
  </si>
  <si>
    <t>Delta P requested to unload unit4 for fuel &amp; LO filter replacement  and LO sweetening</t>
  </si>
  <si>
    <t>$AB$16 5</t>
  </si>
  <si>
    <t>$AC$57 5</t>
  </si>
  <si>
    <t>$AC$30 5</t>
  </si>
  <si>
    <t>$AC$16 5</t>
  </si>
  <si>
    <t>$F$13 6</t>
  </si>
  <si>
    <t>$F$46 6</t>
  </si>
  <si>
    <t>$F$47 6</t>
  </si>
  <si>
    <t>$F$49 6</t>
  </si>
  <si>
    <t>$F$50 6</t>
  </si>
  <si>
    <t>$F$56 6</t>
  </si>
  <si>
    <t>$F$15 6</t>
  </si>
  <si>
    <t>$Y$64 5</t>
  </si>
  <si>
    <t>$Y$63 5</t>
  </si>
  <si>
    <t>$F$63 6</t>
  </si>
  <si>
    <t>$F$62 6</t>
  </si>
  <si>
    <t>$G$50 6</t>
  </si>
  <si>
    <t>$G$56 6</t>
  </si>
  <si>
    <t>$G$24 6</t>
  </si>
  <si>
    <t>$G$49 6</t>
  </si>
  <si>
    <t>$G$57 6</t>
  </si>
  <si>
    <t>$I$49 6</t>
  </si>
  <si>
    <t>$K$13 6</t>
  </si>
  <si>
    <t>$K$19 6</t>
  </si>
  <si>
    <t>$L$21 6</t>
  </si>
  <si>
    <t>$L$62 6</t>
  </si>
  <si>
    <t>$L$63 6</t>
  </si>
  <si>
    <t>$M$78 6</t>
  </si>
  <si>
    <t>$M$79 6</t>
  </si>
  <si>
    <t>$N$46 6</t>
  </si>
  <si>
    <t>$N$47 6</t>
  </si>
  <si>
    <t>$N$21 6</t>
  </si>
  <si>
    <t>$O$45 6</t>
  </si>
  <si>
    <t>$O$50 6</t>
  </si>
  <si>
    <t>$O$56 6</t>
  </si>
  <si>
    <t>$O$48 6</t>
  </si>
  <si>
    <t>$O$57 6</t>
  </si>
  <si>
    <t>$O$19 6</t>
  </si>
  <si>
    <t>$P$51 6</t>
  </si>
  <si>
    <t>$P$24 6</t>
  </si>
  <si>
    <t>$P$56 6</t>
  </si>
  <si>
    <t>$P$49 6</t>
  </si>
  <si>
    <t>$Q$57 6</t>
  </si>
  <si>
    <t>$Q$48 6</t>
  </si>
  <si>
    <t>$Q$29 6</t>
  </si>
  <si>
    <t>$Q$49 6</t>
  </si>
  <si>
    <t>$R$46 6</t>
  </si>
  <si>
    <t>$R$47 6</t>
  </si>
  <si>
    <t>$R$51 6</t>
  </si>
  <si>
    <t>$S$63 6</t>
  </si>
  <si>
    <t>$S$64 6</t>
  </si>
  <si>
    <t>$S$50 6</t>
  </si>
  <si>
    <t>$S$56 6</t>
  </si>
  <si>
    <t>$S$48 6</t>
  </si>
  <si>
    <t>$T$29 6</t>
  </si>
  <si>
    <t>$T$46 6</t>
  </si>
  <si>
    <t>$T$47 6</t>
  </si>
  <si>
    <t>$T$50 6</t>
  </si>
  <si>
    <t>$T$56 6</t>
  </si>
  <si>
    <t>$T$48 6</t>
  </si>
  <si>
    <t>$T$15 6</t>
  </si>
  <si>
    <t>$T$14 6</t>
  </si>
  <si>
    <t>$U$57 6</t>
  </si>
  <si>
    <t>$U$49 6</t>
  </si>
  <si>
    <t>$U$51 6</t>
  </si>
  <si>
    <t>$V$49 6</t>
  </si>
  <si>
    <t>$V$29 5</t>
  </si>
  <si>
    <t>$W$29 5</t>
  </si>
  <si>
    <t>$V$29 6</t>
  </si>
  <si>
    <t>$X$79 6</t>
  </si>
  <si>
    <t>$X$78 6</t>
  </si>
  <si>
    <t>$Y$46 6</t>
  </si>
  <si>
    <t>$Y$47 6</t>
  </si>
  <si>
    <t>cms</t>
  </si>
  <si>
    <t>$Y$50 6</t>
  </si>
  <si>
    <t>$Y$56 6</t>
  </si>
  <si>
    <t>$Y$48 6</t>
  </si>
  <si>
    <t>$Z$50 6</t>
  </si>
  <si>
    <t>$Y$57 6</t>
  </si>
  <si>
    <t>$Z$46 6</t>
  </si>
  <si>
    <t>$Z$56 6</t>
  </si>
  <si>
    <t>$Z$64 6</t>
  </si>
  <si>
    <t>$Z$48 6</t>
  </si>
  <si>
    <t>$Z$57 6</t>
  </si>
  <si>
    <t>$Z$47 6</t>
  </si>
  <si>
    <t>$AB$14 6</t>
  </si>
  <si>
    <t>$AB$13 6</t>
  </si>
  <si>
    <t>$AC$29 6</t>
  </si>
  <si>
    <t>$AA$64 6</t>
  </si>
  <si>
    <t>$F$19 7</t>
  </si>
  <si>
    <t>$G$24 7</t>
  </si>
  <si>
    <t>$H$21 7</t>
  </si>
  <si>
    <t>$G$64 7</t>
  </si>
  <si>
    <t>$G$62 7</t>
  </si>
  <si>
    <t>$I$13 7</t>
  </si>
  <si>
    <t>$K$13 7</t>
  </si>
  <si>
    <t>$L$49 7</t>
  </si>
  <si>
    <t>$L$46 7</t>
  </si>
  <si>
    <t>$L$47 7</t>
  </si>
  <si>
    <t>$L$21 7</t>
  </si>
  <si>
    <t>$L$15 7</t>
  </si>
  <si>
    <t>$M$50 7</t>
  </si>
  <si>
    <t>$N$78 7</t>
  </si>
  <si>
    <t>$N$79 7</t>
  </si>
  <si>
    <t>$N$56 7</t>
  </si>
  <si>
    <t>$N$24 7</t>
  </si>
  <si>
    <t>$N$19 7</t>
  </si>
  <si>
    <t>$O$48 7</t>
  </si>
  <si>
    <t>$O$57 7</t>
  </si>
  <si>
    <t>$O$49 7</t>
  </si>
  <si>
    <t>$O$46 7</t>
  </si>
  <si>
    <t>$O$47 7</t>
  </si>
  <si>
    <t>$O$56 7</t>
  </si>
  <si>
    <t>$O$29 7</t>
  </si>
  <si>
    <t>$P$46 7</t>
  </si>
  <si>
    <t>$P$50 7</t>
  </si>
  <si>
    <t>$P$15 7</t>
  </si>
  <si>
    <t>$P$51 7</t>
  </si>
  <si>
    <t>$P$48 7</t>
  </si>
  <si>
    <t>$Q$47 7</t>
  </si>
  <si>
    <t>$Q$50 7</t>
  </si>
  <si>
    <t>$Q$48 7</t>
  </si>
  <si>
    <t>$Q$56 7</t>
  </si>
  <si>
    <t>$R$57 7</t>
  </si>
  <si>
    <t>$S$57 7</t>
  </si>
  <si>
    <t>$S$62 7</t>
  </si>
  <si>
    <t>$S$63 7</t>
  </si>
  <si>
    <t>$X$29 7</t>
  </si>
  <si>
    <t>$Y$46 7</t>
  </si>
  <si>
    <t>$Y$49 7</t>
  </si>
  <si>
    <t>Load test (observation of freq stability)</t>
  </si>
  <si>
    <t>$Y$30 7</t>
  </si>
  <si>
    <t>$Z$29 7</t>
  </si>
  <si>
    <t>$Z$49 7</t>
  </si>
  <si>
    <t>$Z$46 7</t>
  </si>
  <si>
    <t>$Z$30 7</t>
  </si>
  <si>
    <t>$AA$19 7</t>
  </si>
  <si>
    <t>$AB$47 7</t>
  </si>
  <si>
    <t>$AB$56 7</t>
  </si>
  <si>
    <t>$AB$15 7</t>
  </si>
  <si>
    <t>$AB$48 7</t>
  </si>
  <si>
    <t>$AC$48 7</t>
  </si>
  <si>
    <t>$F$24 8</t>
  </si>
  <si>
    <t>$Y$63 7</t>
  </si>
  <si>
    <t>$Y$64 7</t>
  </si>
  <si>
    <t>$G$64 8</t>
  </si>
  <si>
    <t>$G$62 8</t>
  </si>
  <si>
    <t>$G$21 8</t>
  </si>
  <si>
    <t>$K$50 8</t>
  </si>
  <si>
    <t>$L$15 8</t>
  </si>
  <si>
    <t>$L$57 8</t>
  </si>
  <si>
    <t>$L$49 8</t>
  </si>
  <si>
    <t>$M$46 8</t>
  </si>
  <si>
    <t>$M$14 8</t>
  </si>
  <si>
    <t>$M$62 8</t>
  </si>
  <si>
    <t>$M$63 8</t>
  </si>
  <si>
    <t>$S$79 7</t>
  </si>
  <si>
    <t>$S$78 7</t>
  </si>
  <si>
    <t>$M$78 8</t>
  </si>
  <si>
    <t>$M$79 8</t>
  </si>
  <si>
    <t>$M$49 8</t>
  </si>
  <si>
    <t>$M$21 8</t>
  </si>
  <si>
    <t>$M$47 8</t>
  </si>
  <si>
    <t>$M$57 8</t>
  </si>
  <si>
    <t>$M$50 8</t>
  </si>
  <si>
    <t>$N$56 8</t>
  </si>
  <si>
    <t>$N$57 8</t>
  </si>
  <si>
    <t>$N$51 8</t>
  </si>
  <si>
    <t>$N$19 8</t>
  </si>
  <si>
    <t>$N$48 8</t>
  </si>
  <si>
    <t>$N$49 8</t>
  </si>
  <si>
    <t>$O$24 8</t>
  </si>
  <si>
    <t>$O$56 8</t>
  </si>
  <si>
    <t>$O$46 8</t>
  </si>
  <si>
    <t>$O$48 8</t>
  </si>
  <si>
    <t>$O$57 8</t>
  </si>
  <si>
    <t>$O$49 8</t>
  </si>
  <si>
    <t>$O$29 8</t>
  </si>
  <si>
    <t>$P$14 8</t>
  </si>
  <si>
    <t>$P$46 8</t>
  </si>
  <si>
    <t>$T$63 8</t>
  </si>
  <si>
    <t>$T$64 8</t>
  </si>
  <si>
    <t>$T$47 8</t>
  </si>
  <si>
    <t>$T$50 8</t>
  </si>
  <si>
    <t>$T$56 8</t>
  </si>
  <si>
    <t>$T$19 8</t>
  </si>
  <si>
    <t>$U$49 8</t>
  </si>
  <si>
    <t>$U$47 8</t>
  </si>
  <si>
    <t>$U$46 8</t>
  </si>
  <si>
    <t>$U$57 8</t>
  </si>
  <si>
    <t>$U$48 8</t>
  </si>
  <si>
    <t>$V$50 8</t>
  </si>
  <si>
    <t>$V$56 8</t>
  </si>
  <si>
    <t>$V$48 8</t>
  </si>
  <si>
    <t>$W$57 8</t>
  </si>
  <si>
    <t>$W$49 8</t>
  </si>
  <si>
    <t>$W$46 8</t>
  </si>
  <si>
    <t>$W$47 8</t>
  </si>
  <si>
    <t>$Y$64 8</t>
  </si>
  <si>
    <t>$Y$62 8</t>
  </si>
  <si>
    <t>$Y$78 8</t>
  </si>
  <si>
    <t>$Y$79 8</t>
  </si>
  <si>
    <t>$Y$47 8</t>
  </si>
  <si>
    <t>$Y$50 8</t>
  </si>
  <si>
    <t>$Y$48 8</t>
  </si>
  <si>
    <t>$Z$47 8</t>
  </si>
  <si>
    <t>$Z$48 8</t>
  </si>
  <si>
    <t>$Z$46 8</t>
  </si>
  <si>
    <t>$Z$49 8</t>
  </si>
  <si>
    <t>$Z$50 8</t>
  </si>
  <si>
    <t>$Z$57 8</t>
  </si>
  <si>
    <t>$Z$54 8</t>
  </si>
  <si>
    <t>$Z$53 8</t>
  </si>
  <si>
    <t>$Z$15 8</t>
  </si>
  <si>
    <t>$AA$49 8</t>
  </si>
  <si>
    <t>$AA$57 8</t>
  </si>
  <si>
    <t>$AA$46 8</t>
  </si>
  <si>
    <t>$AA$47 8</t>
  </si>
  <si>
    <t>$AA$50 8</t>
  </si>
  <si>
    <t>$AA$48 8</t>
  </si>
  <si>
    <t>$AA$54 8</t>
  </si>
  <si>
    <t>$AB$53 8</t>
  </si>
  <si>
    <t>$AB$59 8</t>
  </si>
  <si>
    <t>$F$16 9</t>
  </si>
  <si>
    <t>$F$62 9</t>
  </si>
  <si>
    <t>$F$63 9</t>
  </si>
  <si>
    <t>$G$78 9</t>
  </si>
  <si>
    <t>$G$79 9</t>
  </si>
  <si>
    <t>$G$49 9</t>
  </si>
  <si>
    <t>$G$57 9</t>
  </si>
  <si>
    <t>$G$58 9</t>
  </si>
  <si>
    <t>$G$13 9</t>
  </si>
  <si>
    <t>$G$46 9</t>
  </si>
  <si>
    <t>$G$47 9</t>
  </si>
  <si>
    <t>$G$50 9</t>
  </si>
  <si>
    <t>$G$45 9</t>
  </si>
  <si>
    <t>$G$54 9</t>
  </si>
  <si>
    <t>$G$55 9</t>
  </si>
  <si>
    <t>$G$53 9</t>
  </si>
  <si>
    <t>$G$59 9</t>
  </si>
  <si>
    <t>$G$48 9</t>
  </si>
  <si>
    <t>$G$14 9</t>
  </si>
  <si>
    <t>$H$48 9</t>
  </si>
  <si>
    <t>$H$58 9</t>
  </si>
  <si>
    <t>$H$16 9</t>
  </si>
  <si>
    <t>$H$45 9</t>
  </si>
  <si>
    <t>$H$57 9</t>
  </si>
  <si>
    <t>$H$46 9</t>
  </si>
  <si>
    <t>$H$49 9</t>
  </si>
  <si>
    <t>$H$47 9</t>
  </si>
  <si>
    <t>$H$50 9</t>
  </si>
  <si>
    <t>$H$54 9</t>
  </si>
  <si>
    <t>$H$55 9</t>
  </si>
  <si>
    <t>$H$53 9</t>
  </si>
  <si>
    <t>$H$59 9</t>
  </si>
  <si>
    <t>$H$15 9</t>
  </si>
  <si>
    <t>$H$14 9</t>
  </si>
  <si>
    <t>$H$29 9</t>
  </si>
  <si>
    <t>$J$24 9</t>
  </si>
  <si>
    <t>$J$58 9</t>
  </si>
  <si>
    <t>$K$57 9</t>
  </si>
  <si>
    <t>$L$49 9</t>
  </si>
  <si>
    <t>$L$46 9</t>
  </si>
  <si>
    <t>$L$47 9</t>
  </si>
  <si>
    <t>$L$13 9</t>
  </si>
  <si>
    <t>$L$50 9</t>
  </si>
  <si>
    <t>$L$58 9</t>
  </si>
  <si>
    <t>$L$57 9</t>
  </si>
  <si>
    <t>$M$63 9</t>
  </si>
  <si>
    <t>$M$64 9</t>
  </si>
  <si>
    <t>$M$49 9</t>
  </si>
  <si>
    <t>$M$46 9</t>
  </si>
  <si>
    <t>$M$47 9</t>
  </si>
  <si>
    <t>$M$50 9</t>
  </si>
  <si>
    <t>$N$28 9</t>
  </si>
  <si>
    <t>EMERGENCY UNLOAD DUE TO WATER LEAK AT UF PIPE LINE</t>
  </si>
  <si>
    <t>$N$49 9</t>
  </si>
  <si>
    <t>$N$57 9</t>
  </si>
  <si>
    <t>$N$24 9</t>
  </si>
  <si>
    <t>$O$47 9</t>
  </si>
  <si>
    <t>$O$50 9</t>
  </si>
  <si>
    <t>$O$56 9</t>
  </si>
  <si>
    <t>$O$57 9</t>
  </si>
  <si>
    <t>$O$49 9</t>
  </si>
  <si>
    <t>$O$46 9</t>
  </si>
  <si>
    <t>$O$29 9</t>
  </si>
  <si>
    <t>$P$49 9</t>
  </si>
  <si>
    <t>$P$57 9</t>
  </si>
  <si>
    <t>$P$14 9</t>
  </si>
  <si>
    <t>$P$50 9</t>
  </si>
  <si>
    <t>$Q$56 9</t>
  </si>
  <si>
    <t>$Q$57 9</t>
  </si>
  <si>
    <t>$Q$49 9</t>
  </si>
  <si>
    <t>$Q$46 9</t>
  </si>
  <si>
    <t>$Q$47 9</t>
  </si>
  <si>
    <t>$R$50 9</t>
  </si>
  <si>
    <t>$R$47 9</t>
  </si>
  <si>
    <t>$S$64 9</t>
  </si>
  <si>
    <t>$S$62 9</t>
  </si>
  <si>
    <t>$S$28 9</t>
  </si>
  <si>
    <t>$S$50 9</t>
  </si>
  <si>
    <t>$S$19 9</t>
  </si>
  <si>
    <t>$T$19 9</t>
  </si>
  <si>
    <t>$V$13 9</t>
  </si>
  <si>
    <t>$W$19 9</t>
  </si>
  <si>
    <t>$X$56 9</t>
  </si>
  <si>
    <t>$Y$48 9</t>
  </si>
  <si>
    <t>$Y$62 9</t>
  </si>
  <si>
    <t>$Y$63 9</t>
  </si>
  <si>
    <t>$Y$79 9</t>
  </si>
  <si>
    <t>$Y$78 9</t>
  </si>
  <si>
    <t>$Y$13 9</t>
  </si>
  <si>
    <t>$Y$57 9</t>
  </si>
  <si>
    <t>$Y$49 9</t>
  </si>
  <si>
    <t>$Y$46 9</t>
  </si>
  <si>
    <t>$Y$47 9</t>
  </si>
  <si>
    <t>$Z$56 9</t>
  </si>
  <si>
    <t>$Z$48 9</t>
  </si>
  <si>
    <t>$Z$50 9</t>
  </si>
  <si>
    <t>$Z$15 9</t>
  </si>
  <si>
    <t>$Z$57 9</t>
  </si>
  <si>
    <t>$Z$49 9</t>
  </si>
  <si>
    <t>$AA$46 9</t>
  </si>
  <si>
    <t>$AA$47 9</t>
  </si>
  <si>
    <t>$AA$50 9</t>
  </si>
  <si>
    <t>$AB$56 9</t>
  </si>
  <si>
    <t>$AC$48 9</t>
  </si>
  <si>
    <t>$AC$29 9</t>
  </si>
  <si>
    <t>$F$48 10</t>
  </si>
  <si>
    <t>$F$19 10</t>
  </si>
  <si>
    <t>$G$63 10</t>
  </si>
  <si>
    <t>$G$64 10</t>
  </si>
  <si>
    <t>$G$24 10</t>
  </si>
  <si>
    <t>$G$15 10</t>
  </si>
  <si>
    <t>$H$16 10</t>
  </si>
  <si>
    <t>$H$21 10</t>
  </si>
  <si>
    <t>$H$57 10</t>
  </si>
  <si>
    <t>$I$57 10</t>
  </si>
  <si>
    <t>Change unit to DG2</t>
  </si>
  <si>
    <t>$J$16 10</t>
  </si>
  <si>
    <t>$J$14 10</t>
  </si>
  <si>
    <t>$L$49 10</t>
  </si>
  <si>
    <t>$L$46 10</t>
  </si>
  <si>
    <t>$L$47 10</t>
  </si>
  <si>
    <t>$L$50 10</t>
  </si>
  <si>
    <t>$M$21 10</t>
  </si>
  <si>
    <t>$M$49 10</t>
  </si>
  <si>
    <t>$M$64 10</t>
  </si>
  <si>
    <t>$M$62 10</t>
  </si>
  <si>
    <t>$M$78 10</t>
  </si>
  <si>
    <t>$M$79 10</t>
  </si>
  <si>
    <t>$M$46 10</t>
  </si>
  <si>
    <t>$M$47 10</t>
  </si>
  <si>
    <t>$M$50 10</t>
  </si>
  <si>
    <t>$N$24 10</t>
  </si>
  <si>
    <t>$N$56 10</t>
  </si>
  <si>
    <t>$O$48 10</t>
  </si>
  <si>
    <t>$O$57 10</t>
  </si>
  <si>
    <t>$O$19 10</t>
  </si>
  <si>
    <t>$O$29 10</t>
  </si>
  <si>
    <t>$O$56 10</t>
  </si>
  <si>
    <t>$O$49 10</t>
  </si>
  <si>
    <t>$P$46 10</t>
  </si>
  <si>
    <t>$P$47 10</t>
  </si>
  <si>
    <t>$P$50 10</t>
  </si>
  <si>
    <t>$P$56 10</t>
  </si>
  <si>
    <t>$P$14 10</t>
  </si>
  <si>
    <t>$P$57 10</t>
  </si>
  <si>
    <t>$P$49 10</t>
  </si>
  <si>
    <t>$R$57 10</t>
  </si>
  <si>
    <t>$S$21 10</t>
  </si>
  <si>
    <t>$S$46 10</t>
  </si>
  <si>
    <t>$S$47 10</t>
  </si>
  <si>
    <t>$S$49 10</t>
  </si>
  <si>
    <t>$S$50 10</t>
  </si>
  <si>
    <t>$S$56 10</t>
  </si>
  <si>
    <t>$S$48 10</t>
  </si>
  <si>
    <t>$S$62 10</t>
  </si>
  <si>
    <t>$S$63 10</t>
  </si>
  <si>
    <t>$T$54 10</t>
  </si>
  <si>
    <t>$T$39 10</t>
  </si>
  <si>
    <t>$T$41 10</t>
  </si>
  <si>
    <t>$T$57 10</t>
  </si>
  <si>
    <t>$T$44 10</t>
  </si>
  <si>
    <t>$T$49 10</t>
  </si>
  <si>
    <t>$U$42 10</t>
  </si>
  <si>
    <t>$U$57 10</t>
  </si>
  <si>
    <t>$U$54 10</t>
  </si>
  <si>
    <t>$V$49 10</t>
  </si>
  <si>
    <t>$V$46 10</t>
  </si>
  <si>
    <t>$W$47 10</t>
  </si>
  <si>
    <t>$W$50 10</t>
  </si>
  <si>
    <t>$W$48 10</t>
  </si>
  <si>
    <t>$W$56 10</t>
  </si>
  <si>
    <t>TRIPPED
INDICATION: ACB TRIP</t>
  </si>
  <si>
    <t>$X$62 10</t>
  </si>
  <si>
    <t>$X$64 10</t>
  </si>
  <si>
    <t>$Y$79 10</t>
  </si>
  <si>
    <t>$Y$78 10</t>
  </si>
  <si>
    <t>$Y$62 10</t>
  </si>
  <si>
    <t>$Y$63 10</t>
  </si>
  <si>
    <t>$AB$46 10</t>
  </si>
  <si>
    <t>$AB$49 10</t>
  </si>
  <si>
    <t>$AB$57 10</t>
  </si>
  <si>
    <t>$AB$21 10</t>
  </si>
  <si>
    <t>$AB$13 10</t>
  </si>
  <si>
    <t>$AC$29 10</t>
  </si>
  <si>
    <t>$AC$47 10</t>
  </si>
  <si>
    <t>$AC$50 10</t>
  </si>
  <si>
    <t>$F$47 11</t>
  </si>
  <si>
    <t>$F$50 11</t>
  </si>
  <si>
    <t>$F$19 11</t>
  </si>
  <si>
    <t>$G$64 11</t>
  </si>
  <si>
    <t>$G$48 11</t>
  </si>
  <si>
    <t>$G$56 11</t>
  </si>
  <si>
    <t>$G$24 11</t>
  </si>
  <si>
    <t>Change unit to DG3</t>
  </si>
  <si>
    <t>$G$13 11</t>
  </si>
  <si>
    <t>$H$48 11</t>
  </si>
  <si>
    <t>$H$15 11</t>
  </si>
  <si>
    <t>$I$39 11</t>
  </si>
  <si>
    <t>$I$41 11</t>
  </si>
  <si>
    <t>$I$44 11</t>
  </si>
  <si>
    <t>$L$57 11</t>
  </si>
  <si>
    <t>$L$49 11</t>
  </si>
  <si>
    <t>$L$46 11</t>
  </si>
  <si>
    <t>$M$47 11</t>
  </si>
  <si>
    <t>$M$57 11</t>
  </si>
  <si>
    <t>$M$49 11</t>
  </si>
  <si>
    <t>$M$46 11</t>
  </si>
  <si>
    <t>$M$21 11</t>
  </si>
  <si>
    <t>$M$62 11</t>
  </si>
  <si>
    <t>$M$63 11</t>
  </si>
  <si>
    <t>$N$78 11</t>
  </si>
  <si>
    <t>$N$79 11</t>
  </si>
  <si>
    <t>$N$62 11</t>
  </si>
  <si>
    <t>$N$63 11</t>
  </si>
  <si>
    <t>$N$24 11</t>
  </si>
  <si>
    <t>$N$44 11</t>
  </si>
  <si>
    <t>$N$39 11</t>
  </si>
  <si>
    <t>$O$41 11</t>
  </si>
  <si>
    <t>$O$19 11</t>
  </si>
  <si>
    <t>$O$51 11</t>
  </si>
  <si>
    <t>$O$56 11</t>
  </si>
  <si>
    <t>$O$48 11</t>
  </si>
  <si>
    <t>$O$39 11</t>
  </si>
  <si>
    <t>A/T IND: HIGH TEMP</t>
  </si>
  <si>
    <t>$O$57 11</t>
  </si>
  <si>
    <t>$O$49 11</t>
  </si>
  <si>
    <t>$P$29 11</t>
  </si>
  <si>
    <t>$P$50 11</t>
  </si>
  <si>
    <t>$P$56 11</t>
  </si>
  <si>
    <t>$P$48 11</t>
  </si>
  <si>
    <t>$P$42 11</t>
  </si>
  <si>
    <t>A/T IND: HIGH FUEL TEMP</t>
  </si>
  <si>
    <t>$Q$46 11</t>
  </si>
  <si>
    <t>$Q$47 11</t>
  </si>
  <si>
    <t>$Q$15 11</t>
  </si>
  <si>
    <t>$Q$57 11</t>
  </si>
  <si>
    <t>$Q$49 11</t>
  </si>
  <si>
    <t>$S$62 11</t>
  </si>
  <si>
    <t>$S$63 11</t>
  </si>
  <si>
    <t>$T$42 11</t>
  </si>
  <si>
    <t>$T$63 11</t>
  </si>
  <si>
    <t>$U$50 11</t>
  </si>
  <si>
    <t>$W$27 11</t>
  </si>
  <si>
    <t>$W$50 11</t>
  </si>
  <si>
    <t>$X$44 11</t>
  </si>
  <si>
    <t>$X$42 11</t>
  </si>
  <si>
    <t>$X$41 11</t>
  </si>
  <si>
    <t>$X$14 11</t>
  </si>
  <si>
    <t>$Y$79 11</t>
  </si>
  <si>
    <t>$Y$78 11</t>
  </si>
  <si>
    <t>$Y$56 11</t>
  </si>
  <si>
    <t>$Y$48 11</t>
  </si>
  <si>
    <t>$Y$57 11</t>
  </si>
  <si>
    <t>$Y$49 11</t>
  </si>
  <si>
    <t>$Y$46 11</t>
  </si>
  <si>
    <t>$Y$47 11</t>
  </si>
  <si>
    <t>$Z$48 11</t>
  </si>
  <si>
    <t>$Y$29 11</t>
  </si>
  <si>
    <t>$Z$49 11</t>
  </si>
  <si>
    <t>$Z$50 11</t>
  </si>
  <si>
    <t>$Z$57 11</t>
  </si>
  <si>
    <t>$AA$46 11</t>
  </si>
  <si>
    <t>$AA$56 11</t>
  </si>
  <si>
    <t>For Flushing and loadtest / allowed 2.6MW</t>
  </si>
  <si>
    <t>$AA$29 11</t>
  </si>
  <si>
    <t>DMCI MAN 1 delcared commercial 2053H</t>
  </si>
  <si>
    <t>$AA$27 11</t>
  </si>
  <si>
    <t>$AA$50 11</t>
  </si>
  <si>
    <t>$AB$41 11</t>
  </si>
  <si>
    <t>$AB$42 11</t>
  </si>
  <si>
    <t>$AB$47 11</t>
  </si>
  <si>
    <t>$AB$56 11</t>
  </si>
  <si>
    <t>$AB$48 11</t>
  </si>
  <si>
    <t>$AB$54 11</t>
  </si>
  <si>
    <t>$AB$49 11</t>
  </si>
  <si>
    <t>$AB$57 11</t>
  </si>
  <si>
    <t>$AB$46 11</t>
  </si>
  <si>
    <t>$AB$62 11</t>
  </si>
  <si>
    <t>$AC$19 11</t>
  </si>
  <si>
    <t>$F$24 12</t>
  </si>
  <si>
    <t>$G$21 12</t>
  </si>
  <si>
    <t>$J$47 12</t>
  </si>
  <si>
    <t>$J$48 12</t>
  </si>
  <si>
    <t>$J$50 12</t>
  </si>
  <si>
    <t>$J$56 12</t>
  </si>
  <si>
    <t>$J$13 12</t>
  </si>
  <si>
    <t>$K$19 12</t>
  </si>
  <si>
    <t>$K$50 12</t>
  </si>
  <si>
    <t>$K$56 12</t>
  </si>
  <si>
    <t>$K$48 12</t>
  </si>
  <si>
    <t>$L$57 12</t>
  </si>
  <si>
    <t>$L$14 12</t>
  </si>
  <si>
    <t>$L$49 12</t>
  </si>
  <si>
    <t>$L$46 12</t>
  </si>
  <si>
    <t>$L$78 12</t>
  </si>
  <si>
    <t>$L$79 12</t>
  </si>
  <si>
    <t>$M$14 12</t>
  </si>
  <si>
    <t>$M$57 12</t>
  </si>
  <si>
    <t>$N$47 12</t>
  </si>
  <si>
    <t>$N$24 12</t>
  </si>
  <si>
    <t>$N$49 12</t>
  </si>
  <si>
    <t>$N$46 12</t>
  </si>
  <si>
    <t>$N$21 12</t>
  </si>
  <si>
    <t>$O$50 12</t>
  </si>
  <si>
    <t>$O$56 12</t>
  </si>
  <si>
    <t>$O$48 12</t>
  </si>
  <si>
    <t>$O$13 12</t>
  </si>
  <si>
    <t>$O$57 12</t>
  </si>
  <si>
    <t>$O$49 12</t>
  </si>
  <si>
    <t>$O$21 12</t>
  </si>
  <si>
    <t>$O$14 12</t>
  </si>
  <si>
    <t>$P$29 12</t>
  </si>
  <si>
    <t>$P$50 12</t>
  </si>
  <si>
    <t>$P$21 12</t>
  </si>
  <si>
    <t>$P$28 12</t>
  </si>
  <si>
    <t>$Q$56 12</t>
  </si>
  <si>
    <t>$Q$48 12</t>
  </si>
  <si>
    <t>$Q$41 12</t>
  </si>
  <si>
    <t>$Q$42 12</t>
  </si>
  <si>
    <t>$Q$57 12</t>
  </si>
  <si>
    <t>$R$46 12</t>
  </si>
  <si>
    <t>$R$14 12</t>
  </si>
  <si>
    <t>$R$47 12</t>
  </si>
  <si>
    <t>$S$49 12</t>
  </si>
  <si>
    <t>$S$46 12</t>
  </si>
  <si>
    <t>$S$50 12</t>
  </si>
  <si>
    <t>$T$56 12</t>
  </si>
  <si>
    <t>$T$48 12</t>
  </si>
  <si>
    <t>$T$57 12</t>
  </si>
  <si>
    <t>$T$49 12</t>
  </si>
  <si>
    <t>$T$51 12</t>
  </si>
  <si>
    <t>$T$47 12</t>
  </si>
  <si>
    <t>$T$46 12</t>
  </si>
  <si>
    <t>$U$47 12</t>
  </si>
  <si>
    <t>$U$50 12</t>
  </si>
  <si>
    <t>$U$56 12</t>
  </si>
  <si>
    <t>$U$48 12</t>
  </si>
  <si>
    <t>$V$47 12</t>
  </si>
  <si>
    <t>$W$57 12</t>
  </si>
  <si>
    <t>$W$49 12</t>
  </si>
  <si>
    <t>$W$46 12</t>
  </si>
  <si>
    <t>$W$47 12</t>
  </si>
  <si>
    <t>$Y$14 12</t>
  </si>
  <si>
    <t>$Y$50 12</t>
  </si>
  <si>
    <t>$Y$56 12</t>
  </si>
  <si>
    <t>$Y$51 12</t>
  </si>
  <si>
    <t>$Y$57 12</t>
  </si>
  <si>
    <t>$Z$50 12</t>
  </si>
  <si>
    <t>$Z$56 12</t>
  </si>
  <si>
    <t>$AA$51 12</t>
  </si>
  <si>
    <t>$AA$57 12</t>
  </si>
  <si>
    <t>$Y$79 12</t>
  </si>
  <si>
    <t>$Y$78 12</t>
  </si>
  <si>
    <t>$AB$14 12</t>
  </si>
  <si>
    <t>$AB$16 12</t>
  </si>
  <si>
    <t>$AC$29 12</t>
  </si>
  <si>
    <t>$F$21 13</t>
  </si>
  <si>
    <t>$G$19 13</t>
  </si>
  <si>
    <t>$H$46 13</t>
  </si>
  <si>
    <t>$H$49 13</t>
  </si>
  <si>
    <t>$H$47 13</t>
  </si>
  <si>
    <t>$H$24 13</t>
  </si>
  <si>
    <t>$I$49 13</t>
  </si>
  <si>
    <t>$I$46 13</t>
  </si>
  <si>
    <t>$I$47 13</t>
  </si>
  <si>
    <t>$K$16 13</t>
  </si>
  <si>
    <t>$K$13 13</t>
  </si>
  <si>
    <t>$L$50 13</t>
  </si>
  <si>
    <t>$M$78 13</t>
  </si>
  <si>
    <t>$M$79 13</t>
  </si>
  <si>
    <t>$N$19 13</t>
  </si>
  <si>
    <t>$N$50 13</t>
  </si>
  <si>
    <t>$N$24 13</t>
  </si>
  <si>
    <t>$O$56 13</t>
  </si>
  <si>
    <t>$O$51 13</t>
  </si>
  <si>
    <t>$P$48 13</t>
  </si>
  <si>
    <t>$P$47 13</t>
  </si>
  <si>
    <t>$P$21 13</t>
  </si>
  <si>
    <t>$P$54 13</t>
  </si>
  <si>
    <t>$P$46 13</t>
  </si>
  <si>
    <t>$P$29 13</t>
  </si>
  <si>
    <t>$P$56 13</t>
  </si>
  <si>
    <t>$Q$48 13</t>
  </si>
  <si>
    <t>$Q$51 13</t>
  </si>
  <si>
    <t>$Q$46 13</t>
  </si>
  <si>
    <t>$Q$54 13</t>
  </si>
  <si>
    <t>$Q$13 13</t>
  </si>
  <si>
    <t>$R$21 13</t>
  </si>
  <si>
    <t>$R$14 13</t>
  </si>
  <si>
    <t>$R$30 13</t>
  </si>
  <si>
    <t>$S$30 13</t>
  </si>
  <si>
    <t>$T$14 13</t>
  </si>
  <si>
    <t>$U$13 13</t>
  </si>
  <si>
    <t>$U$14 13</t>
  </si>
  <si>
    <t>$Y$46 13</t>
  </si>
  <si>
    <t>$Y$79 13</t>
  </si>
  <si>
    <t>$Y$78 13</t>
  </si>
  <si>
    <t>$Y$30 13</t>
  </si>
  <si>
    <t>$Y$47 13</t>
  </si>
  <si>
    <t>$Y$50 13</t>
  </si>
  <si>
    <t>$Y$42 13</t>
  </si>
  <si>
    <t>$Y$56 13</t>
  </si>
  <si>
    <t>$Z$46 13</t>
  </si>
  <si>
    <t>$Z$47 13</t>
  </si>
  <si>
    <t>$Z$50 13</t>
  </si>
  <si>
    <t>$AA$56 13</t>
  </si>
  <si>
    <t>$AB$46 13</t>
  </si>
  <si>
    <t>$AB$50 13</t>
  </si>
  <si>
    <t>$AB$57 13</t>
  </si>
  <si>
    <t>$AB$47 13</t>
  </si>
  <si>
    <t>$AB$56 13</t>
  </si>
  <si>
    <t>$AB$27 13</t>
  </si>
  <si>
    <t>$AB$13 13</t>
  </si>
  <si>
    <t>$AB$16 13</t>
  </si>
  <si>
    <t>$AC$56 13</t>
  </si>
  <si>
    <t>$AC$41 13</t>
  </si>
  <si>
    <t>$F$57 14</t>
  </si>
  <si>
    <t>$F$15 14</t>
  </si>
  <si>
    <t>$G$57 14</t>
  </si>
  <si>
    <t>$I$27 14</t>
  </si>
  <si>
    <t>$I$14 14</t>
  </si>
  <si>
    <t>$I$13 14</t>
  </si>
  <si>
    <t>$I$57 14</t>
  </si>
  <si>
    <t>$I$56 14</t>
  </si>
  <si>
    <t>$I$50 14</t>
  </si>
  <si>
    <t>$I$47 14</t>
  </si>
  <si>
    <t>$I$48 14</t>
  </si>
  <si>
    <t>$J$13 14</t>
  </si>
  <si>
    <t>$J$48 14</t>
  </si>
  <si>
    <t>$J$14 14</t>
  </si>
  <si>
    <t>$I$46 14</t>
  </si>
  <si>
    <t>$K$14 14</t>
  </si>
  <si>
    <t>$K$57 14</t>
  </si>
  <si>
    <t>$K$46 14</t>
  </si>
  <si>
    <t>$K$47 14</t>
  </si>
  <si>
    <t>$K$50 14</t>
  </si>
  <si>
    <t>$K$56 14</t>
  </si>
  <si>
    <t>$K$21 14</t>
  </si>
  <si>
    <t>$K$29 14</t>
  </si>
  <si>
    <t>$L$46 14</t>
  </si>
  <si>
    <t>$L$41 14</t>
  </si>
  <si>
    <t>$L$15 14</t>
  </si>
  <si>
    <t>$L$19 14</t>
  </si>
  <si>
    <t>$M$21 14</t>
  </si>
  <si>
    <t>$N$46 14</t>
  </si>
  <si>
    <t>$N$21 14</t>
  </si>
  <si>
    <t>$N$19 14</t>
  </si>
  <si>
    <t>$O$47 14</t>
  </si>
  <si>
    <t>$O$29 14</t>
  </si>
  <si>
    <t>$P$50 14</t>
  </si>
  <si>
    <t>$P$56 14</t>
  </si>
  <si>
    <t>$P$57 14</t>
  </si>
  <si>
    <t>$P$48 14</t>
  </si>
  <si>
    <t>$P$16 14</t>
  </si>
  <si>
    <t>$P$46 14</t>
  </si>
  <si>
    <t>$P$47 14</t>
  </si>
  <si>
    <t>$Q$48 14</t>
  </si>
  <si>
    <t>$R$57 14</t>
  </si>
  <si>
    <t>$R$46 14</t>
  </si>
  <si>
    <t>$T$47 14</t>
  </si>
  <si>
    <t>$T$50 14</t>
  </si>
  <si>
    <t>$U$56 14</t>
  </si>
  <si>
    <t>$U$57 14</t>
  </si>
  <si>
    <t>$V$46 14</t>
  </si>
  <si>
    <t>$W$47 14</t>
  </si>
  <si>
    <t>$W$50 14</t>
  </si>
  <si>
    <t>$W$56 14</t>
  </si>
  <si>
    <t>$M$78 14</t>
  </si>
  <si>
    <t>$M$79 14</t>
  </si>
  <si>
    <t>$Y$79 14</t>
  </si>
  <si>
    <t>$Y$78 14</t>
  </si>
  <si>
    <t>$AA$51 14</t>
  </si>
  <si>
    <t>$AA$14 14</t>
  </si>
  <si>
    <t>$AA$57 14</t>
  </si>
  <si>
    <t>$AA$46 14</t>
  </si>
  <si>
    <t>$AA$30 14</t>
  </si>
  <si>
    <t>$AB$28 14</t>
  </si>
  <si>
    <t>$AC$29 14</t>
  </si>
  <si>
    <t>$AC$19 14</t>
  </si>
  <si>
    <t>$AC$41 14</t>
  </si>
  <si>
    <t>$F$47 15</t>
  </si>
  <si>
    <t>$F$49 15</t>
  </si>
  <si>
    <t>$F$50 15</t>
  </si>
  <si>
    <t>$F$56 15</t>
  </si>
  <si>
    <t>$F$57 15</t>
  </si>
  <si>
    <t>$F$24 15</t>
  </si>
  <si>
    <t>$H$21 15</t>
  </si>
  <si>
    <t>$H$24 15</t>
  </si>
  <si>
    <t>$I$46 15</t>
  </si>
  <si>
    <t>$I$47 15</t>
  </si>
  <si>
    <t>$I$50 15</t>
  </si>
  <si>
    <t>$I$56 15</t>
  </si>
  <si>
    <t>$I$16 15</t>
  </si>
  <si>
    <t>$J$46 15</t>
  </si>
  <si>
    <t>$J$62 15</t>
  </si>
  <si>
    <t>$J$63 15</t>
  </si>
  <si>
    <t>$L$51 15</t>
  </si>
  <si>
    <t>$L$57 15</t>
  </si>
  <si>
    <t>$L$63 15</t>
  </si>
  <si>
    <t>$L$21 15</t>
  </si>
  <si>
    <t>$L$47 15</t>
  </si>
  <si>
    <t>$L$50 15</t>
  </si>
  <si>
    <t>$L$56 15</t>
  </si>
  <si>
    <t>$L$62 15</t>
  </si>
  <si>
    <t>$M$57 15</t>
  </si>
  <si>
    <t>$N$16 15</t>
  </si>
  <si>
    <t>$O$24 15</t>
  </si>
  <si>
    <t>$O$19 15</t>
  </si>
  <si>
    <t>$O$46 15</t>
  </si>
  <si>
    <t>$O$47 15</t>
  </si>
  <si>
    <t>$P$78 15</t>
  </si>
  <si>
    <t>$P$79 15</t>
  </si>
  <si>
    <t>$P$57 15</t>
  </si>
  <si>
    <t>$P$29 15</t>
  </si>
  <si>
    <t>$Q$14 15</t>
  </si>
  <si>
    <t>$Q$47 15</t>
  </si>
  <si>
    <t>$Q$57 15</t>
  </si>
  <si>
    <t>$Q$46 15</t>
  </si>
  <si>
    <t>$S$47 15</t>
  </si>
  <si>
    <t>$S$56 15</t>
  </si>
  <si>
    <t>$S$13 15</t>
  </si>
  <si>
    <t>$T$51 15</t>
  </si>
  <si>
    <t>$T$46 15</t>
  </si>
  <si>
    <t>$T$57 15</t>
  </si>
  <si>
    <t>$U$47 15</t>
  </si>
  <si>
    <t>$U$40 15</t>
  </si>
  <si>
    <t>$U$62 15</t>
  </si>
  <si>
    <t>$V$62 15</t>
  </si>
  <si>
    <t>$V$63 15</t>
  </si>
  <si>
    <t>$W$47 15</t>
  </si>
  <si>
    <t>$W$62 15</t>
  </si>
  <si>
    <t>$W$63 15</t>
  </si>
  <si>
    <t>$W$30 15</t>
  </si>
  <si>
    <t>$W$40 15</t>
  </si>
  <si>
    <t>$X$57 15</t>
  </si>
  <si>
    <t>$X$56 15</t>
  </si>
  <si>
    <t>$X$46 15</t>
  </si>
  <si>
    <t>$X$51 15</t>
  </si>
  <si>
    <t>Manually Open due to reverse power</t>
  </si>
  <si>
    <t>$X$30 15</t>
  </si>
  <si>
    <t>Loadtest (2nd Loadtest)</t>
  </si>
  <si>
    <t>final checking of unit</t>
  </si>
  <si>
    <t>$Y$30 15</t>
  </si>
  <si>
    <t>$Y$47 15</t>
  </si>
  <si>
    <t>$Y$46 15</t>
  </si>
  <si>
    <t>$Z$47 15</t>
  </si>
  <si>
    <t>$Z$46 15</t>
  </si>
  <si>
    <t>$AA$79 15</t>
  </si>
  <si>
    <t>$AA$78 15</t>
  </si>
  <si>
    <t>$AA$56 15</t>
  </si>
  <si>
    <t>$AA$51 15</t>
  </si>
  <si>
    <t>$AA$47 15</t>
  </si>
  <si>
    <t>$AA$57 15</t>
  </si>
  <si>
    <t>$AA$29 15</t>
  </si>
  <si>
    <t>$AA$54 15</t>
  </si>
  <si>
    <t>$AB$47 15</t>
  </si>
  <si>
    <t>$AB$57 15</t>
  </si>
  <si>
    <t>$AB$56 15</t>
  </si>
  <si>
    <t>$AB$51 15</t>
  </si>
  <si>
    <t>$AB$54 15</t>
  </si>
  <si>
    <t>$AC$24 15</t>
  </si>
  <si>
    <t>$F$56 16</t>
  </si>
  <si>
    <t>$F$19 16</t>
  </si>
  <si>
    <t>$G$13 16</t>
  </si>
  <si>
    <t>$G$15 16</t>
  </si>
  <si>
    <t>$G$21 16</t>
  </si>
  <si>
    <t>$I$14 16</t>
  </si>
  <si>
    <t>$I$54 16</t>
  </si>
  <si>
    <t>$I$51 16</t>
  </si>
  <si>
    <t>$J$54 16</t>
  </si>
  <si>
    <t>$K$47 16</t>
  </si>
  <si>
    <t>$L$57 16</t>
  </si>
  <si>
    <t>$L$56 16</t>
  </si>
  <si>
    <t>$L$21 16</t>
  </si>
  <si>
    <t>$L$51 16</t>
  </si>
  <si>
    <t>$L$47 16</t>
  </si>
  <si>
    <t>$M$78 16</t>
  </si>
  <si>
    <t>$M$79 16</t>
  </si>
  <si>
    <t>$M$56 16</t>
  </si>
  <si>
    <t>$N$47 16</t>
  </si>
  <si>
    <t>$N$24 16</t>
  </si>
  <si>
    <t>$N$51 16</t>
  </si>
  <si>
    <t>$O$54 16</t>
  </si>
  <si>
    <t>$O$47 16</t>
  </si>
  <si>
    <t>$O$50 16</t>
  </si>
  <si>
    <t>$O$56 16</t>
  </si>
  <si>
    <t>$O$15 16</t>
  </si>
  <si>
    <t>$O$51 16</t>
  </si>
  <si>
    <t>$P$47 16</t>
  </si>
  <si>
    <t>$P$51 16</t>
  </si>
  <si>
    <t>$P$19 16</t>
  </si>
  <si>
    <t>$P$56 16</t>
  </si>
  <si>
    <t>$P$29 16</t>
  </si>
  <si>
    <t>$S$54 16</t>
  </si>
  <si>
    <t>$S$78 16</t>
  </si>
  <si>
    <t>$T$47 16</t>
  </si>
  <si>
    <t>$T$50 16</t>
  </si>
  <si>
    <t>loadtest</t>
  </si>
  <si>
    <t>$T$64 16</t>
  </si>
  <si>
    <t>$T$56 16</t>
  </si>
  <si>
    <t>$U$78 16</t>
  </si>
  <si>
    <t>$U$79 16</t>
  </si>
  <si>
    <t>$V$63 16</t>
  </si>
  <si>
    <t>Declared Commercial / end of loadtest</t>
  </si>
  <si>
    <t>$V$64 16</t>
  </si>
  <si>
    <t>$V$30 16</t>
  </si>
  <si>
    <t>$W$50 16</t>
  </si>
  <si>
    <t>$X$47 16</t>
  </si>
  <si>
    <t>$X$56 16</t>
  </si>
  <si>
    <t>$Y$30 16</t>
  </si>
  <si>
    <t>$Y$79 16</t>
  </si>
  <si>
    <t>$Y$78 16</t>
  </si>
  <si>
    <t>$Y$63 16</t>
  </si>
  <si>
    <t>$Y$47 16</t>
  </si>
  <si>
    <t>$Y$50 16</t>
  </si>
  <si>
    <t>$Z$47 16</t>
  </si>
  <si>
    <t>$Z$56 16</t>
  </si>
  <si>
    <t>$AA$63 16</t>
  </si>
  <si>
    <t>$AA$50 16</t>
  </si>
  <si>
    <t>$AA$56 16</t>
  </si>
  <si>
    <t>$AB$14 16</t>
  </si>
  <si>
    <t>$AB$15 16</t>
  </si>
  <si>
    <t>$AB$51 16</t>
  </si>
  <si>
    <t>$AB$29 16</t>
  </si>
  <si>
    <t>$AC$24 16</t>
  </si>
  <si>
    <t>$F$19 17</t>
  </si>
  <si>
    <t>$G$21 17</t>
  </si>
  <si>
    <t>$J$47 17</t>
  </si>
  <si>
    <t>$J$50 17</t>
  </si>
  <si>
    <t>$J$56 17</t>
  </si>
  <si>
    <t>$J$16 17</t>
  </si>
  <si>
    <t>$J$51 17</t>
  </si>
  <si>
    <t>$K$50 17</t>
  </si>
  <si>
    <t>$K$56 17</t>
  </si>
  <si>
    <t>$L$51 17</t>
  </si>
  <si>
    <t>$K$21 17</t>
  </si>
  <si>
    <t>$N$47 17</t>
  </si>
  <si>
    <t>$N$50 17</t>
  </si>
  <si>
    <t>$N$15 17</t>
  </si>
  <si>
    <t>$O$56 17</t>
  </si>
  <si>
    <t>$O$16 17</t>
  </si>
  <si>
    <t>$O$15 17</t>
  </si>
  <si>
    <t>$O$47 17</t>
  </si>
  <si>
    <t>$O$50 17</t>
  </si>
  <si>
    <t>$P$54 17</t>
  </si>
  <si>
    <t>$P$19 17</t>
  </si>
  <si>
    <t>$Q$54 17</t>
  </si>
  <si>
    <t>$Q$15 17</t>
  </si>
  <si>
    <t>$R$51 17</t>
  </si>
  <si>
    <t>$R$16 17</t>
  </si>
  <si>
    <t>$S$47 17</t>
  </si>
  <si>
    <t>$F$63 17</t>
  </si>
  <si>
    <t>$F$62 17</t>
  </si>
  <si>
    <t>$L$62 17</t>
  </si>
  <si>
    <t>$L$64 17</t>
  </si>
  <si>
    <t>$S$64 17</t>
  </si>
  <si>
    <t>$S$63 17</t>
  </si>
  <si>
    <t>$S$50 17</t>
  </si>
  <si>
    <t>$S$24 17</t>
  </si>
  <si>
    <t>$S$54 17</t>
  </si>
  <si>
    <t>$S$51 17</t>
  </si>
  <si>
    <t>$U$56 17</t>
  </si>
  <si>
    <t>$U$47 17</t>
  </si>
  <si>
    <t>$W$50 17</t>
  </si>
  <si>
    <t>$W$56 17</t>
  </si>
  <si>
    <t>$M$78 17</t>
  </si>
  <si>
    <t>$M$79 17</t>
  </si>
  <si>
    <t>$Y$79 17</t>
  </si>
  <si>
    <t>$Y$78 17</t>
  </si>
  <si>
    <t>$Y$63 17</t>
  </si>
  <si>
    <t>$Y$62 17</t>
  </si>
  <si>
    <t>$Y$54 17</t>
  </si>
  <si>
    <t>$Y$51 17</t>
  </si>
  <si>
    <t>$Y$56 17</t>
  </si>
  <si>
    <t>$Z$19 17</t>
  </si>
  <si>
    <t>$F$24 18</t>
  </si>
  <si>
    <t>$G$62 18</t>
  </si>
  <si>
    <t>$G$64 18</t>
  </si>
  <si>
    <t>$G$21 18</t>
  </si>
  <si>
    <t>$H$47 18</t>
  </si>
  <si>
    <t>$H$50 18</t>
  </si>
  <si>
    <t>$H$51 18</t>
  </si>
  <si>
    <t>$H$56 18</t>
  </si>
  <si>
    <t>$H$15 18</t>
  </si>
  <si>
    <t>$I$47 18</t>
  </si>
  <si>
    <t>$I$50 18</t>
  </si>
  <si>
    <t>$J$56 18</t>
  </si>
  <si>
    <t>$M$64 18</t>
  </si>
  <si>
    <t>$M$63 18</t>
  </si>
  <si>
    <t>$M$51 18</t>
  </si>
  <si>
    <t>$N$47 18</t>
  </si>
  <si>
    <t>$O$50 18</t>
  </si>
  <si>
    <t>$O$56 18</t>
  </si>
  <si>
    <t>$O$21 18</t>
  </si>
  <si>
    <t>$O$47 18</t>
  </si>
  <si>
    <t>$P$78 18</t>
  </si>
  <si>
    <t>$P$79 18</t>
  </si>
  <si>
    <t>$Q$54 18</t>
  </si>
  <si>
    <t>$Q$51 18</t>
  </si>
  <si>
    <t>$Q$47 18</t>
  </si>
  <si>
    <t>$R$19 18</t>
  </si>
  <si>
    <t>$R$54 18</t>
  </si>
  <si>
    <t>$R$51 18</t>
  </si>
  <si>
    <t>$R$47 18</t>
  </si>
  <si>
    <t>$S$50 18</t>
  </si>
  <si>
    <t>$S$56 18</t>
  </si>
  <si>
    <t>$S$63 18</t>
  </si>
  <si>
    <t>$S$62 18</t>
  </si>
  <si>
    <t>$S$54 18</t>
  </si>
  <si>
    <t>$S$51 18</t>
  </si>
  <si>
    <t>$T$56 18</t>
  </si>
  <si>
    <t>$T$54 18</t>
  </si>
  <si>
    <t>$T$51 18</t>
  </si>
  <si>
    <t>$T$47 18</t>
  </si>
  <si>
    <t>$T$50 18</t>
  </si>
  <si>
    <t>$U$24 18</t>
  </si>
  <si>
    <t>$U$21 18</t>
  </si>
  <si>
    <t>GAS LEAK AT CYLINDER A5</t>
  </si>
  <si>
    <t>$U$47 18</t>
  </si>
  <si>
    <t>$V$50 18</t>
  </si>
  <si>
    <t>$W$56 18</t>
  </si>
  <si>
    <t>$X$54 18</t>
  </si>
  <si>
    <t>$X$47 18</t>
  </si>
  <si>
    <t>$Y$50 18</t>
  </si>
  <si>
    <t>$Y$56 18</t>
  </si>
  <si>
    <t>$Y$15 18</t>
  </si>
  <si>
    <t>$Y$79 18</t>
  </si>
  <si>
    <t>$Y$78 18</t>
  </si>
  <si>
    <t>$Y$62 18</t>
  </si>
  <si>
    <t>$Y$64 18</t>
  </si>
  <si>
    <t>$Y$54 18</t>
  </si>
  <si>
    <t>$Y$51 18</t>
  </si>
  <si>
    <t>$Y$47 18</t>
  </si>
  <si>
    <t>$Z$50 18</t>
  </si>
  <si>
    <t>$AA$54 18</t>
  </si>
  <si>
    <t>$AB$50 18</t>
  </si>
  <si>
    <t>$AC$56 18</t>
  </si>
  <si>
    <t>$AC$54 18</t>
  </si>
  <si>
    <t>$F$24 19</t>
  </si>
  <si>
    <t>$G$64 19</t>
  </si>
  <si>
    <t>$G$63 19</t>
  </si>
  <si>
    <t>$G$19 19</t>
  </si>
  <si>
    <t>$I$47 19</t>
  </si>
  <si>
    <t>$I$50 19</t>
  </si>
  <si>
    <t>$I$56 19</t>
  </si>
  <si>
    <t>$I$13 19</t>
  </si>
  <si>
    <t>$J$13 19</t>
  </si>
  <si>
    <t>$J$47 19</t>
  </si>
  <si>
    <t>$J$15 19</t>
  </si>
  <si>
    <t>$J$54 19</t>
  </si>
  <si>
    <t>$L$21 19</t>
  </si>
  <si>
    <t>$L$50 19</t>
  </si>
  <si>
    <t>$L$56 19</t>
  </si>
  <si>
    <t>$L$54 19</t>
  </si>
  <si>
    <t>$M$78 19</t>
  </si>
  <si>
    <t>$M$79 19</t>
  </si>
  <si>
    <t>$M$63 19</t>
  </si>
  <si>
    <t>$M$62 19</t>
  </si>
  <si>
    <t>$N$51 19</t>
  </si>
  <si>
    <t>$N$47 19</t>
  </si>
  <si>
    <t>$O$50 19</t>
  </si>
  <si>
    <t>$O$56 19</t>
  </si>
  <si>
    <t>$O$54 19</t>
  </si>
  <si>
    <t>$O$16 19</t>
  </si>
  <si>
    <t>$O$51 19</t>
  </si>
  <si>
    <t>$P$47 19</t>
  </si>
  <si>
    <t>$P$54 19</t>
  </si>
  <si>
    <t>$P$50 19</t>
  </si>
  <si>
    <t>$P$56 19</t>
  </si>
  <si>
    <t>$P$24 19</t>
  </si>
  <si>
    <t>$Q$51 19</t>
  </si>
  <si>
    <t>$R$47 19</t>
  </si>
  <si>
    <t>$R$50 19</t>
  </si>
  <si>
    <t>$S$19 19</t>
  </si>
  <si>
    <t>$S$51 19</t>
  </si>
  <si>
    <t>$S$47 19</t>
  </si>
  <si>
    <t>$T$56 19</t>
  </si>
  <si>
    <t>$T$54 19</t>
  </si>
  <si>
    <t>$T$51 19</t>
  </si>
  <si>
    <t>$W$15 19</t>
  </si>
  <si>
    <t>$W$14 19</t>
  </si>
  <si>
    <t>$W$54 19</t>
  </si>
  <si>
    <t>$S$62 19</t>
  </si>
  <si>
    <t>$S$64 19</t>
  </si>
  <si>
    <t>$X$50 19</t>
  </si>
  <si>
    <t>$X$47 19</t>
  </si>
  <si>
    <t>$Y$79 19</t>
  </si>
  <si>
    <t>$Y$78 19</t>
  </si>
  <si>
    <t>$Y$64 19</t>
  </si>
  <si>
    <t>$Y$63 19</t>
  </si>
  <si>
    <t>$Y$54 19</t>
  </si>
  <si>
    <t>$Y$51 19</t>
  </si>
  <si>
    <t>$Y$50 19</t>
  </si>
  <si>
    <t>$Y$29 19</t>
  </si>
  <si>
    <t>$Y$47 19</t>
  </si>
  <si>
    <t>$Y$56 19</t>
  </si>
  <si>
    <t>$Z$54 19</t>
  </si>
  <si>
    <t>$Z$51 19</t>
  </si>
  <si>
    <t>$Z$63 19</t>
  </si>
  <si>
    <t>$AA$63 19</t>
  </si>
  <si>
    <t>$AB$47 19</t>
  </si>
  <si>
    <t>$AB$50 19</t>
  </si>
  <si>
    <t>$AB$29 19</t>
  </si>
  <si>
    <t>$AC$19 19</t>
  </si>
  <si>
    <t>$F$24 20</t>
  </si>
  <si>
    <t>$F$56 20</t>
  </si>
  <si>
    <t>$F$54 20</t>
  </si>
  <si>
    <t>$F$51 20</t>
  </si>
  <si>
    <t>$F$47 20</t>
  </si>
  <si>
    <t>$F$50 20</t>
  </si>
  <si>
    <t>$F$21 20</t>
  </si>
  <si>
    <t>$G$62 20</t>
  </si>
  <si>
    <t>$G$63 20</t>
  </si>
  <si>
    <t>$G$47 20</t>
  </si>
  <si>
    <t>$G$50 20</t>
  </si>
  <si>
    <t>$J$14 20</t>
  </si>
  <si>
    <t>$J$13 20</t>
  </si>
  <si>
    <t>$K$62 20</t>
  </si>
  <si>
    <t>$K$64 20</t>
  </si>
  <si>
    <t>TRIPPED
INDICATION: OVERCURRENT</t>
  </si>
  <si>
    <t>$K$79 20</t>
  </si>
  <si>
    <t>$M$13 20</t>
  </si>
  <si>
    <t>$N$13 20</t>
  </si>
  <si>
    <t>$N$56 20</t>
  </si>
  <si>
    <t>$O$78 20</t>
  </si>
  <si>
    <t>$O$79 20</t>
  </si>
  <si>
    <t>$O$48 20</t>
  </si>
  <si>
    <t>$O$51 20</t>
  </si>
  <si>
    <t>$O$47 20</t>
  </si>
  <si>
    <t>$O$21 20</t>
  </si>
  <si>
    <t>$O$56 20</t>
  </si>
  <si>
    <t>$P$24 20</t>
  </si>
  <si>
    <t>$P$48 20</t>
  </si>
  <si>
    <t>$P$51 20</t>
  </si>
  <si>
    <t>$P$47 20</t>
  </si>
  <si>
    <t>$Q$47 20</t>
  </si>
  <si>
    <t>$Q$50 20</t>
  </si>
  <si>
    <t>$Q$19 20</t>
  </si>
  <si>
    <t>$Q$64 20</t>
  </si>
  <si>
    <t>$Q$63 20</t>
  </si>
  <si>
    <t>$T$56 20</t>
  </si>
  <si>
    <t>$U$54 20</t>
  </si>
  <si>
    <t>$W$56 20</t>
  </si>
  <si>
    <t>$X$54 20</t>
  </si>
  <si>
    <t>$X$51 20</t>
  </si>
  <si>
    <t>$Y$47 20</t>
  </si>
  <si>
    <t>$Y$50 20</t>
  </si>
  <si>
    <t>$Y$79 20</t>
  </si>
  <si>
    <t>$Y$78 20</t>
  </si>
  <si>
    <t>$Y$56 20</t>
  </si>
  <si>
    <t>$Y$54 20</t>
  </si>
  <si>
    <t>$Y$29 20</t>
  </si>
  <si>
    <t>$Z$51 20</t>
  </si>
  <si>
    <t>$Z$54 20</t>
  </si>
  <si>
    <t>$Z$47 20</t>
  </si>
  <si>
    <t>$Z$50 20</t>
  </si>
  <si>
    <t>$Z$56 20</t>
  </si>
  <si>
    <t>$AB$16 20</t>
  </si>
  <si>
    <t>$G$14 21</t>
  </si>
  <si>
    <t>$H$47 21</t>
  </si>
  <si>
    <t>$H$50 21</t>
  </si>
  <si>
    <t>$H$51 21</t>
  </si>
  <si>
    <t>$H$54 21</t>
  </si>
  <si>
    <t>$H$56 21</t>
  </si>
  <si>
    <t>$H$15 21</t>
  </si>
  <si>
    <t>$H$16 21</t>
  </si>
  <si>
    <t>$I$47 21</t>
  </si>
  <si>
    <t>$I$50 21</t>
  </si>
  <si>
    <t>$I$51 21</t>
  </si>
  <si>
    <t>$I$54 21</t>
  </si>
  <si>
    <t>$I$56 21</t>
  </si>
  <si>
    <t>$I$24 21</t>
  </si>
  <si>
    <t>$I$19 21</t>
  </si>
  <si>
    <t>$I$29 21</t>
  </si>
  <si>
    <t>$J$56 21</t>
  </si>
  <si>
    <t>$L$54 21</t>
  </si>
  <si>
    <t>$L$51 21</t>
  </si>
  <si>
    <t>$L$47 21</t>
  </si>
  <si>
    <t>$M$63 21</t>
  </si>
  <si>
    <t>$M$24 21</t>
  </si>
  <si>
    <t>$M$78 21</t>
  </si>
  <si>
    <t>$M$79 21</t>
  </si>
  <si>
    <t>$M$51 21</t>
  </si>
  <si>
    <t>$M$54 21</t>
  </si>
  <si>
    <t>$M$47 21</t>
  </si>
  <si>
    <t>$M$64 21</t>
  </si>
  <si>
    <t>$N$50 21</t>
  </si>
  <si>
    <t>$N$56 21</t>
  </si>
  <si>
    <t>$N$54 21</t>
  </si>
  <si>
    <t>$N$51 21</t>
  </si>
  <si>
    <t>$N$47 21</t>
  </si>
  <si>
    <t>$N$14 21</t>
  </si>
  <si>
    <t>$N$64 21</t>
  </si>
  <si>
    <t>$O$19 21</t>
  </si>
  <si>
    <t>$O$50 21</t>
  </si>
  <si>
    <t>$O$29 21</t>
  </si>
  <si>
    <t>$O$56 21</t>
  </si>
  <si>
    <t>$P$54 21</t>
  </si>
  <si>
    <t>$P$56 21</t>
  </si>
  <si>
    <t>$Q$54 21</t>
  </si>
  <si>
    <t>$Q$13 21</t>
  </si>
  <si>
    <t>$Q$51 21</t>
  </si>
  <si>
    <t>$Q$47 21</t>
  </si>
  <si>
    <t>$R$47 21</t>
  </si>
  <si>
    <t>$T$29 21</t>
  </si>
  <si>
    <t>$T$51 21</t>
  </si>
  <si>
    <t>$T$41 21</t>
  </si>
  <si>
    <t>$T$44 21</t>
  </si>
  <si>
    <t>$T$40 21</t>
  </si>
  <si>
    <t>$U$29 21</t>
  </si>
  <si>
    <t>$W$29 21</t>
  </si>
  <si>
    <t>$W$40 21</t>
  </si>
  <si>
    <t>$W$47 21</t>
  </si>
  <si>
    <t>$W$51 21</t>
  </si>
  <si>
    <t>$W$50 21</t>
  </si>
  <si>
    <t>$W$56 21</t>
  </si>
  <si>
    <t>$W$54 21</t>
  </si>
  <si>
    <t>$Y$79 21</t>
  </si>
  <si>
    <t>$Y$78 21</t>
  </si>
  <si>
    <t>$Z$44 21</t>
  </si>
  <si>
    <t>$AA$29 21</t>
  </si>
  <si>
    <t>$AA$47 21</t>
  </si>
  <si>
    <t>$AA$41 21</t>
  </si>
  <si>
    <t>$AB$47 21</t>
  </si>
  <si>
    <t>$AC$47 21</t>
  </si>
  <si>
    <t>$AC$56 21</t>
  </si>
  <si>
    <t>$AC$54 21</t>
  </si>
  <si>
    <t>$AC$15 21</t>
  </si>
  <si>
    <t>$F$19 22</t>
  </si>
  <si>
    <t>$G$21 22</t>
  </si>
  <si>
    <t>$H$51 22</t>
  </si>
  <si>
    <t>$H$54 22</t>
  </si>
  <si>
    <t>$H$24 22</t>
  </si>
  <si>
    <t>$J$15 22</t>
  </si>
  <si>
    <t>$J$13 22</t>
  </si>
  <si>
    <t>$L$47 22</t>
  </si>
  <si>
    <t>$L$13 22</t>
  </si>
  <si>
    <t>$M$78 22</t>
  </si>
  <si>
    <t>$M$79 22</t>
  </si>
  <si>
    <t>$M$13 22</t>
  </si>
  <si>
    <t>$M$47 22</t>
  </si>
  <si>
    <t>$N$50 22</t>
  </si>
  <si>
    <t>$N$56 22</t>
  </si>
  <si>
    <t>$N$21 22</t>
  </si>
  <si>
    <t>$N$51 22</t>
  </si>
  <si>
    <t>$N$54 22</t>
  </si>
  <si>
    <t>$N$47 22</t>
  </si>
  <si>
    <t>$N$19 22</t>
  </si>
  <si>
    <t>$N$24 22</t>
  </si>
  <si>
    <t>$N$29 22</t>
  </si>
  <si>
    <t>$P$13 22</t>
  </si>
  <si>
    <t>$P$56 22</t>
  </si>
  <si>
    <t>$P$54 22</t>
  </si>
  <si>
    <t>$P$47 22</t>
  </si>
  <si>
    <t>$P$51 22</t>
  </si>
  <si>
    <t>$P$50 22</t>
  </si>
  <si>
    <t>$Q$50 22</t>
  </si>
  <si>
    <t>$Q$63 22</t>
  </si>
  <si>
    <t>$R$47 22</t>
  </si>
  <si>
    <t>$R$56 22</t>
  </si>
  <si>
    <t>$R$50 22</t>
  </si>
  <si>
    <t>$R$51 22</t>
  </si>
  <si>
    <t>$R$54 22</t>
  </si>
  <si>
    <t>$R$19 22</t>
  </si>
  <si>
    <t>$S$19 22</t>
  </si>
  <si>
    <t>$T$63 22</t>
  </si>
  <si>
    <t>$T$27 22</t>
  </si>
  <si>
    <t>$U$44 22</t>
  </si>
  <si>
    <t>$U$63 22</t>
  </si>
  <si>
    <t>$U$27 22</t>
  </si>
  <si>
    <t>$V$47 22</t>
  </si>
  <si>
    <t>$V$50 22</t>
  </si>
  <si>
    <t>$W$62 22</t>
  </si>
  <si>
    <t>tripped indication: ACB TRIPPED</t>
  </si>
  <si>
    <t>$W$63 22</t>
  </si>
  <si>
    <t>$W$64 22</t>
  </si>
  <si>
    <t>$W$56 22</t>
  </si>
  <si>
    <t>$X$54 22</t>
  </si>
  <si>
    <t>$X$51 22</t>
  </si>
  <si>
    <t>$X$63 22</t>
  </si>
  <si>
    <t>A/T IND: ACB TRIPPED</t>
  </si>
  <si>
    <t>$X$64 22</t>
  </si>
  <si>
    <t>$X$62 22</t>
  </si>
  <si>
    <t>$Y$79 22</t>
  </si>
  <si>
    <t>$Y$78 22</t>
  </si>
  <si>
    <t>$Y$63 22</t>
  </si>
  <si>
    <t>$Z$63 22</t>
  </si>
  <si>
    <t>$Z$62 22</t>
  </si>
  <si>
    <t>$AA$47 22</t>
  </si>
  <si>
    <t>$AA$44 22</t>
  </si>
  <si>
    <t>UNLOADED DUE TO LOW OIL PRESSURE (DI UMANO)</t>
  </si>
  <si>
    <t>$AA$62 22</t>
  </si>
  <si>
    <t>$AA$29 22</t>
  </si>
  <si>
    <t>$AC$50 22</t>
  </si>
  <si>
    <t>$AC$56 22</t>
  </si>
  <si>
    <t>$AC$14 22</t>
  </si>
  <si>
    <t>$F$19 23</t>
  </si>
  <si>
    <t>$F$24 23</t>
  </si>
  <si>
    <t>$I$21 23</t>
  </si>
  <si>
    <t>$AB$63 22</t>
  </si>
  <si>
    <t>$L$54 23</t>
  </si>
  <si>
    <t>$M$19 23</t>
  </si>
  <si>
    <t>$M$54 23</t>
  </si>
  <si>
    <t>$M$14 23</t>
  </si>
  <si>
    <t>$M$16 23</t>
  </si>
  <si>
    <t>$M$21 23</t>
  </si>
  <si>
    <t>$O$24 23</t>
  </si>
  <si>
    <t>$N$51 23</t>
  </si>
  <si>
    <t>$O$47 23</t>
  </si>
  <si>
    <t>$O$50 23</t>
  </si>
  <si>
    <t>$O$56 23</t>
  </si>
  <si>
    <t>$O$54 23</t>
  </si>
  <si>
    <t>$O$29 23</t>
  </si>
  <si>
    <t>$P$16 23</t>
  </si>
  <si>
    <t>$Q$51 23</t>
  </si>
  <si>
    <t>$Q$47 23</t>
  </si>
  <si>
    <t>$S$51 23</t>
  </si>
  <si>
    <t>$T$47 23</t>
  </si>
  <si>
    <t>$U$50 23</t>
  </si>
  <si>
    <t>$U$62 23</t>
  </si>
  <si>
    <t>$U$64 23</t>
  </si>
  <si>
    <t>$W$50 23</t>
  </si>
  <si>
    <t>$W$44 23</t>
  </si>
  <si>
    <t>$X$56 23</t>
  </si>
  <si>
    <t>$X$54 23</t>
  </si>
  <si>
    <t>$X$47 23</t>
  </si>
  <si>
    <t>$X$50 23</t>
  </si>
  <si>
    <t>$X$51 23</t>
  </si>
  <si>
    <t>$Y$78 23</t>
  </si>
  <si>
    <t>$Y$79 23</t>
  </si>
  <si>
    <t>$Y$47 23</t>
  </si>
  <si>
    <t>$Y$30 23</t>
  </si>
  <si>
    <t>$Y$50 23</t>
  </si>
  <si>
    <t>$Z$47 23</t>
  </si>
  <si>
    <t>$Z$50 23</t>
  </si>
  <si>
    <t>$Z$62 23</t>
  </si>
  <si>
    <t>$Z$64 23</t>
  </si>
  <si>
    <t>$Z$63 23</t>
  </si>
  <si>
    <t>$Z$30 23</t>
  </si>
  <si>
    <t>$AA$29 23</t>
  </si>
  <si>
    <t>$AB$27 23</t>
  </si>
  <si>
    <t>$AC$64 23</t>
  </si>
  <si>
    <t>$AB$30 23</t>
  </si>
  <si>
    <t>$AC$56 23</t>
  </si>
  <si>
    <t>$AC$13 23</t>
  </si>
  <si>
    <t>$F$56 24</t>
  </si>
  <si>
    <t>$G$21 24</t>
  </si>
  <si>
    <t>UNLOADED DUE TO GAS LEAK AT CY. B1</t>
  </si>
  <si>
    <t>$H$19 24</t>
  </si>
  <si>
    <t>$I$13 24</t>
  </si>
  <si>
    <t>$I$15 24</t>
  </si>
  <si>
    <t>$K$44 24</t>
  </si>
  <si>
    <t>$K$27 24</t>
  </si>
  <si>
    <t>$L$27 24</t>
  </si>
  <si>
    <t>Declared Commercial Operation 0517H</t>
  </si>
  <si>
    <t>$L$21 24</t>
  </si>
  <si>
    <t>$L$64 24</t>
  </si>
  <si>
    <t>$L$62 24</t>
  </si>
  <si>
    <t>$N$51 24</t>
  </si>
  <si>
    <t>$N$54 24</t>
  </si>
  <si>
    <t>$N$50 24</t>
  </si>
  <si>
    <t>$O$56 24</t>
  </si>
  <si>
    <t>$O$21 24</t>
  </si>
  <si>
    <t>$O$15 24</t>
  </si>
  <si>
    <t>$O$51 24</t>
  </si>
  <si>
    <t>$O$47 24</t>
  </si>
  <si>
    <t>$O$19 24</t>
  </si>
  <si>
    <t>$P$29 24</t>
  </si>
  <si>
    <t>$P$44 24</t>
  </si>
  <si>
    <t>$P$28 24</t>
  </si>
  <si>
    <t>$Q$62 24</t>
  </si>
  <si>
    <t>$Q$42 24</t>
  </si>
  <si>
    <t>$Q$40 24</t>
  </si>
  <si>
    <t>$R$40 24</t>
  </si>
  <si>
    <t>$R$39 24</t>
  </si>
  <si>
    <t>$S$54 24</t>
  </si>
  <si>
    <t>$S$21 24</t>
  </si>
  <si>
    <t>$S$47 24</t>
  </si>
  <si>
    <t>$T$47 24</t>
  </si>
  <si>
    <t>$T$50 24</t>
  </si>
  <si>
    <t>$T$56 24</t>
  </si>
  <si>
    <t>$V$30 24</t>
  </si>
  <si>
    <t>$U$28 24</t>
  </si>
  <si>
    <t>$W$30 24</t>
  </si>
  <si>
    <t>$W$51 24</t>
  </si>
  <si>
    <t>$W$54 24</t>
  </si>
  <si>
    <t>$X$47 24</t>
  </si>
  <si>
    <t>$X$44 24</t>
  </si>
  <si>
    <t>$X$63 24</t>
  </si>
  <si>
    <t>$X$30 24</t>
  </si>
  <si>
    <t>$Y$39 24</t>
  </si>
  <si>
    <t>$Y$63 24</t>
  </si>
  <si>
    <t>$Z$42 24</t>
  </si>
  <si>
    <t>$AA$29 24</t>
  </si>
  <si>
    <t>$AB$63 24</t>
  </si>
  <si>
    <t>High EGT at cylinder A3</t>
  </si>
  <si>
    <t>$AB$24 24</t>
  </si>
  <si>
    <t>$AC$47 24</t>
  </si>
  <si>
    <t>$AC$50 24</t>
  </si>
  <si>
    <t>$AC$56 24</t>
  </si>
  <si>
    <t>$AC$54 24</t>
  </si>
  <si>
    <t>$AC$16 24</t>
  </si>
  <si>
    <t>$F$50 25</t>
  </si>
  <si>
    <t>$F$47 25</t>
  </si>
  <si>
    <t>$F$56 25</t>
  </si>
  <si>
    <t>$F$54 25</t>
  </si>
  <si>
    <t>$G$19 25</t>
  </si>
  <si>
    <t>$H$21 25</t>
  </si>
  <si>
    <t>$I$16 25</t>
  </si>
  <si>
    <t>$J$16 25</t>
  </si>
  <si>
    <t>$J$14 25</t>
  </si>
  <si>
    <t>$J$24 25</t>
  </si>
  <si>
    <t>$K$63 25</t>
  </si>
  <si>
    <t>$K$64 25</t>
  </si>
  <si>
    <t>$Y$79 24</t>
  </si>
  <si>
    <t>$Y$78 24</t>
  </si>
  <si>
    <t>$N$19 25</t>
  </si>
  <si>
    <t>$N$24 25</t>
  </si>
  <si>
    <t>$O$51 25</t>
  </si>
  <si>
    <t>$O$47 25</t>
  </si>
  <si>
    <t>$O$14 25</t>
  </si>
  <si>
    <t>$O$50 25</t>
  </si>
  <si>
    <t>$O$21 25</t>
  </si>
  <si>
    <t>$O$29 25</t>
  </si>
  <si>
    <t>$P$56 25</t>
  </si>
  <si>
    <t>$P$54 25</t>
  </si>
  <si>
    <t>$P$51 25</t>
  </si>
  <si>
    <t>$P$47 25</t>
  </si>
  <si>
    <t>$R$14 25</t>
  </si>
  <si>
    <t>$R$44 25</t>
  </si>
  <si>
    <t>$R$50 25</t>
  </si>
  <si>
    <t>$R$56 25</t>
  </si>
  <si>
    <t>$S$54 25</t>
  </si>
  <si>
    <t>$S$51 25</t>
  </si>
  <si>
    <t>$S$47 25</t>
  </si>
  <si>
    <t>$T$50 25</t>
  </si>
  <si>
    <t>$T$56 25</t>
  </si>
  <si>
    <t>$U$51 25</t>
  </si>
  <si>
    <t>$U$29 25</t>
  </si>
  <si>
    <t>$U$47 25</t>
  </si>
  <si>
    <t>$U$56 25</t>
  </si>
  <si>
    <t>$V$29 25</t>
  </si>
  <si>
    <t>$V$47 25</t>
  </si>
  <si>
    <t>$W$54 25</t>
  </si>
  <si>
    <t>$W$51 25</t>
  </si>
  <si>
    <t>$X$29 25</t>
  </si>
  <si>
    <t>$Y$47 25</t>
  </si>
  <si>
    <t>$Y$50 25</t>
  </si>
  <si>
    <t>$M$78 25</t>
  </si>
  <si>
    <t>$M$79 25</t>
  </si>
  <si>
    <t>$Y$79 25</t>
  </si>
  <si>
    <t>$Y$78 25</t>
  </si>
  <si>
    <t>$Z$50 25</t>
  </si>
  <si>
    <t>$Z$47 25</t>
  </si>
  <si>
    <t>$S$64 25</t>
  </si>
  <si>
    <t>$V$63 25</t>
  </si>
  <si>
    <t>$Y$63 25</t>
  </si>
  <si>
    <t>$AB$50 25</t>
  </si>
  <si>
    <t>$AB$56 25</t>
  </si>
  <si>
    <t>$AB$51 25</t>
  </si>
  <si>
    <t>$AB$54 25</t>
  </si>
  <si>
    <t>$AB$13 25</t>
  </si>
  <si>
    <t>$AC$56 25</t>
  </si>
  <si>
    <t>$AC$50 25</t>
  </si>
  <si>
    <t>$AC$54 25</t>
  </si>
  <si>
    <t>$AC$51 25</t>
  </si>
  <si>
    <t>$F$19 26</t>
  </si>
  <si>
    <t>$G$24 26</t>
  </si>
  <si>
    <t>$AA$62 25</t>
  </si>
  <si>
    <t>$H$21 26</t>
  </si>
  <si>
    <t>$F$62 26</t>
  </si>
  <si>
    <t>$F$63 26</t>
  </si>
  <si>
    <t>$L$13 26</t>
  </si>
  <si>
    <t>$M$78 26</t>
  </si>
  <si>
    <t>$M$79 26</t>
  </si>
  <si>
    <t>$M$63 26</t>
  </si>
  <si>
    <t>$M$64 26</t>
  </si>
  <si>
    <t>$M$13 26</t>
  </si>
  <si>
    <t>$M$47 26</t>
  </si>
  <si>
    <t>$N$47 26</t>
  </si>
  <si>
    <t>$N$14 26</t>
  </si>
  <si>
    <t>$N$21 26</t>
  </si>
  <si>
    <t>$O$24 26</t>
  </si>
  <si>
    <t>$O$50 26</t>
  </si>
  <si>
    <t>$O$56 26</t>
  </si>
  <si>
    <t>$O$14 26</t>
  </si>
  <si>
    <t>$P$54 26</t>
  </si>
  <si>
    <t>$P$51 26</t>
  </si>
  <si>
    <t>$P$47 26</t>
  </si>
  <si>
    <t>$P$50 26</t>
  </si>
  <si>
    <t>$P$56 26</t>
  </si>
  <si>
    <t>$Q$19 26</t>
  </si>
  <si>
    <t>$S$64 26</t>
  </si>
  <si>
    <t>$S$62 26</t>
  </si>
  <si>
    <t>$S$19 26</t>
  </si>
  <si>
    <t>$S$50 26</t>
  </si>
  <si>
    <t>$S$56 26</t>
  </si>
  <si>
    <t>$T$54 26</t>
  </si>
  <si>
    <t>$T$51 26</t>
  </si>
  <si>
    <t>$T$50 26</t>
  </si>
  <si>
    <t>$U$56 26</t>
  </si>
  <si>
    <t>$V$47 26</t>
  </si>
  <si>
    <t>$V$54 26</t>
  </si>
  <si>
    <t>$W$51 26</t>
  </si>
  <si>
    <t>$U$30 26</t>
  </si>
  <si>
    <t>$V$30 26</t>
  </si>
  <si>
    <t>$W$30 26</t>
  </si>
  <si>
    <t>$W$47 26</t>
  </si>
  <si>
    <t>$Y$79 26</t>
  </si>
  <si>
    <t>$Y$78 26</t>
  </si>
  <si>
    <t>$Y$50 26</t>
  </si>
  <si>
    <t>$Y$56 26</t>
  </si>
  <si>
    <t>$Y$54 26</t>
  </si>
  <si>
    <t>$Z$62 26</t>
  </si>
  <si>
    <t>$Z$63 26</t>
  </si>
  <si>
    <t>$Z$50 26</t>
  </si>
  <si>
    <t>$Z$56 26</t>
  </si>
  <si>
    <t>$Z$54 26</t>
  </si>
  <si>
    <t>$AB$47 26</t>
  </si>
  <si>
    <t>$AB$51 26</t>
  </si>
  <si>
    <t>$AB$50 26</t>
  </si>
  <si>
    <t>$AB$13 26</t>
  </si>
  <si>
    <t>$AC$47 26</t>
  </si>
  <si>
    <t>$F$54 27</t>
  </si>
  <si>
    <t>$F$56 27</t>
  </si>
  <si>
    <t>$F$14 27</t>
  </si>
  <si>
    <t>$F$47 27</t>
  </si>
  <si>
    <t>$F$51 27</t>
  </si>
  <si>
    <t>$G$15 27</t>
  </si>
  <si>
    <t>$G$16 27</t>
  </si>
  <si>
    <t>$F$50 27</t>
  </si>
  <si>
    <t>$G$51 27</t>
  </si>
  <si>
    <t>$G$54 27</t>
  </si>
  <si>
    <t>$G$50 27</t>
  </si>
  <si>
    <t>$G$47 27</t>
  </si>
  <si>
    <t>$G$24 27</t>
  </si>
  <si>
    <t>$H$56 27</t>
  </si>
  <si>
    <t>$G$63 27</t>
  </si>
  <si>
    <t>$G$64 27</t>
  </si>
  <si>
    <t>$I$21 27</t>
  </si>
  <si>
    <t>$I$51 27</t>
  </si>
  <si>
    <t>$I$54 27</t>
  </si>
  <si>
    <t>$I$47 27</t>
  </si>
  <si>
    <t>$I$50 27</t>
  </si>
  <si>
    <t>$I$56 27</t>
  </si>
  <si>
    <t>$J$15 27</t>
  </si>
  <si>
    <t>$J$16 27</t>
  </si>
  <si>
    <t>$J$54 27</t>
  </si>
  <si>
    <t>$J$47 27</t>
  </si>
  <si>
    <t>$J$51 27</t>
  </si>
  <si>
    <t>$J$50 27</t>
  </si>
  <si>
    <t>$J$56 27</t>
  </si>
  <si>
    <t>$J$14 27</t>
  </si>
  <si>
    <t>$M$78 27</t>
  </si>
  <si>
    <t>$M$79 27</t>
  </si>
  <si>
    <t>$M$64 27</t>
  </si>
  <si>
    <t>$M$62 27</t>
  </si>
  <si>
    <t>$N$13 27</t>
  </si>
  <si>
    <t>$L$24 27</t>
  </si>
  <si>
    <t>$P$54 27</t>
  </si>
  <si>
    <t>$P$19 27</t>
  </si>
  <si>
    <t>$Q$14 27</t>
  </si>
  <si>
    <t>$Q$16 27</t>
  </si>
  <si>
    <t>$R$30 27</t>
  </si>
  <si>
    <t>Negative kvar</t>
  </si>
  <si>
    <t>$R$54 27</t>
  </si>
  <si>
    <t>$R$51 27</t>
  </si>
  <si>
    <t>$R$56 27</t>
  </si>
  <si>
    <t>$R$21 27</t>
  </si>
  <si>
    <t>$R$50 27</t>
  </si>
  <si>
    <t>$S$50 27</t>
  </si>
  <si>
    <t>$S$47 27</t>
  </si>
  <si>
    <t>$T$50 27</t>
  </si>
  <si>
    <t>$T$29 27</t>
  </si>
  <si>
    <t>$T$54 27</t>
  </si>
  <si>
    <t>$T$51 27</t>
  </si>
  <si>
    <t>$T$47 27</t>
  </si>
  <si>
    <t>$T$56 27</t>
  </si>
  <si>
    <t>$V$21 27</t>
  </si>
  <si>
    <t>$V$29 27</t>
  </si>
  <si>
    <t>$V$47 27</t>
  </si>
  <si>
    <t>$V$50 27</t>
  </si>
  <si>
    <t>$V$56 27</t>
  </si>
  <si>
    <t>$W$30 27</t>
  </si>
  <si>
    <t>$X$54 27</t>
  </si>
  <si>
    <t>$X$51 27</t>
  </si>
  <si>
    <t>$Y$47 27</t>
  </si>
  <si>
    <t>$Y$50 27</t>
  </si>
  <si>
    <t>$Y$29 27</t>
  </si>
  <si>
    <t>$Y$56 27</t>
  </si>
  <si>
    <t>$Z$30 27</t>
  </si>
  <si>
    <t>$Z$54 27</t>
  </si>
  <si>
    <t>$Z$51 27</t>
  </si>
  <si>
    <t>$Z$47 27</t>
  </si>
  <si>
    <t>$Z$50 27</t>
  </si>
  <si>
    <t>$Z$56 27</t>
  </si>
  <si>
    <t>$T$62 27</t>
  </si>
  <si>
    <t>$T$63 27</t>
  </si>
  <si>
    <t>$AB$63 27</t>
  </si>
  <si>
    <t>$AB$64 27</t>
  </si>
  <si>
    <t>$AB$29 27</t>
  </si>
  <si>
    <t>$AC$19 27</t>
  </si>
  <si>
    <t>$F$21 28</t>
  </si>
  <si>
    <t>$G$16 28</t>
  </si>
  <si>
    <t>$G$15 28</t>
  </si>
  <si>
    <t>$H$13 28</t>
  </si>
  <si>
    <t>$Y$79 27</t>
  </si>
  <si>
    <t>$Y$78 27</t>
  </si>
  <si>
    <t>$M$78 28</t>
  </si>
  <si>
    <t>$M$79 28</t>
  </si>
  <si>
    <t>$M$54 28</t>
  </si>
  <si>
    <t>$M$19 28</t>
  </si>
  <si>
    <t>$N$54 28</t>
  </si>
  <si>
    <t>$N$51 28</t>
  </si>
  <si>
    <t>$N$47 28</t>
  </si>
  <si>
    <t>$N$50 28</t>
  </si>
  <si>
    <t>$N$56 28</t>
  </si>
  <si>
    <t>$O$54 28</t>
  </si>
  <si>
    <t>$O$13 28</t>
  </si>
  <si>
    <t>$O$51 28</t>
  </si>
  <si>
    <t>$O$47 28</t>
  </si>
  <si>
    <t>$O$21 28</t>
  </si>
  <si>
    <t>$P$47 28</t>
  </si>
  <si>
    <t>$P$54 28</t>
  </si>
  <si>
    <t>$P$51 28</t>
  </si>
  <si>
    <t>$P$29 28</t>
  </si>
  <si>
    <t>$P$50 28</t>
  </si>
  <si>
    <t>$P$56 28</t>
  </si>
  <si>
    <t>$R$50 28</t>
  </si>
  <si>
    <t>$J$64 28</t>
  </si>
  <si>
    <t>$J$62 28</t>
  </si>
  <si>
    <t>$R$62 28</t>
  </si>
  <si>
    <t>$R$63 28</t>
  </si>
  <si>
    <t>$S$24 28</t>
  </si>
  <si>
    <t>$U$56 28</t>
  </si>
  <si>
    <t>$U$15 28</t>
  </si>
  <si>
    <t>$U$51 28</t>
  </si>
  <si>
    <t>$U$54 28</t>
  </si>
  <si>
    <t>$U$47 28</t>
  </si>
  <si>
    <t>Emergency unload, need to inspect the smell of burning in the high voltage room</t>
  </si>
  <si>
    <t>$U$29 28</t>
  </si>
  <si>
    <t>$Y$79 28</t>
  </si>
  <si>
    <t>$Y$78 28</t>
  </si>
  <si>
    <t>$Y$63 28</t>
  </si>
  <si>
    <t>$Z$50 28</t>
  </si>
  <si>
    <t>$Z$14 28</t>
  </si>
  <si>
    <t>$Z$56 28</t>
  </si>
  <si>
    <t>$AA$50 28</t>
  </si>
  <si>
    <t>$AA$56 28</t>
  </si>
  <si>
    <t>$AA$64 28</t>
  </si>
  <si>
    <t>$AC$24 28</t>
  </si>
  <si>
    <t>$AC$14 28</t>
  </si>
  <si>
    <t>$AC$13 28</t>
  </si>
  <si>
    <t>$AC$21 28</t>
  </si>
  <si>
    <t>$H$54 29</t>
  </si>
  <si>
    <t>$H$15 29</t>
  </si>
  <si>
    <t>$I$54 29</t>
  </si>
  <si>
    <t>$L$51 29</t>
  </si>
  <si>
    <t>$K$64 29</t>
  </si>
  <si>
    <t>$K$62 29</t>
  </si>
  <si>
    <t>$L$47 29</t>
  </si>
  <si>
    <t>$L$50 29</t>
  </si>
  <si>
    <t>$L$56 29</t>
  </si>
  <si>
    <t>$M$50 29</t>
  </si>
  <si>
    <t>$M$19 29</t>
  </si>
  <si>
    <t>$M$51 29</t>
  </si>
  <si>
    <t>$M$47 29</t>
  </si>
  <si>
    <t>$M$56 29</t>
  </si>
  <si>
    <t>$M$78 29</t>
  </si>
  <si>
    <t>$M$79 29</t>
  </si>
  <si>
    <t>$N$13 29</t>
  </si>
  <si>
    <t>$N$54 29</t>
  </si>
  <si>
    <t>$O$51 29</t>
  </si>
  <si>
    <t>$O$21 29</t>
  </si>
  <si>
    <t>$O$47 29</t>
  </si>
  <si>
    <t>$O$50 29</t>
  </si>
  <si>
    <t>$O$56 29</t>
  </si>
  <si>
    <t>$O$54 29</t>
  </si>
  <si>
    <t>$O$24 29</t>
  </si>
  <si>
    <t>$P$54 29</t>
  </si>
  <si>
    <t>$P$15 29</t>
  </si>
  <si>
    <t>$P$29 29</t>
  </si>
  <si>
    <t>$P$51 29</t>
  </si>
  <si>
    <t>$P$47 29</t>
  </si>
  <si>
    <t>$P$50 29</t>
  </si>
  <si>
    <t>$P$56 29</t>
  </si>
  <si>
    <t>$R$47 29</t>
  </si>
  <si>
    <t>$R$51 29</t>
  </si>
  <si>
    <t>$R$54 29</t>
  </si>
  <si>
    <t>$R$29 29</t>
  </si>
  <si>
    <t>$R$50 29</t>
  </si>
  <si>
    <t>$S$62 29</t>
  </si>
  <si>
    <t>$S$63 29</t>
  </si>
  <si>
    <t>$S$50 29</t>
  </si>
  <si>
    <t>$S$47 29</t>
  </si>
  <si>
    <t>$U$54 29</t>
  </si>
  <si>
    <t>$U$56 29</t>
  </si>
  <si>
    <t>$V$56 29</t>
  </si>
  <si>
    <t>$V$54 29</t>
  </si>
  <si>
    <t>$V$62 29</t>
  </si>
  <si>
    <t>$V$64 29</t>
  </si>
  <si>
    <t>$W$62 29</t>
  </si>
  <si>
    <t>$W$64 29</t>
  </si>
  <si>
    <t>$X$19 29</t>
  </si>
  <si>
    <t>$Y$79 29</t>
  </si>
  <si>
    <t>$Y$78 29</t>
  </si>
  <si>
    <t>$Y$63 29</t>
  </si>
  <si>
    <t>$Y$51 29</t>
  </si>
  <si>
    <t>$Y$47 29</t>
  </si>
  <si>
    <t>$Z$51 29</t>
  </si>
  <si>
    <t>$Z$47 29</t>
  </si>
  <si>
    <t>$AB$64 29</t>
  </si>
  <si>
    <t>$AB$13 29</t>
  </si>
  <si>
    <t>$AC$24 29</t>
  </si>
  <si>
    <t>$G$21 30</t>
  </si>
  <si>
    <t>$H$16 30</t>
  </si>
  <si>
    <t>$K$64 30</t>
  </si>
  <si>
    <t>$K$63 30</t>
  </si>
  <si>
    <t>$L$56 30</t>
  </si>
  <si>
    <t>$L$50 30</t>
  </si>
  <si>
    <t>$M$50 30</t>
  </si>
  <si>
    <t>$M$78 30</t>
  </si>
  <si>
    <t>$M$79 30</t>
  </si>
  <si>
    <t>$M$56 30</t>
  </si>
  <si>
    <t>$M$19 30</t>
  </si>
  <si>
    <t>$N$54 30</t>
  </si>
  <si>
    <t>$N$51 30</t>
  </si>
  <si>
    <t>$N$50 30</t>
  </si>
  <si>
    <t>$N$56 30</t>
  </si>
  <si>
    <t>$N$13 30</t>
  </si>
  <si>
    <t>$O$51 30</t>
  </si>
  <si>
    <t>$O$47 30</t>
  </si>
  <si>
    <t>$O$50 30</t>
  </si>
  <si>
    <t>$O$21 30</t>
  </si>
  <si>
    <t>$O$16 30</t>
  </si>
  <si>
    <t>$O$24 30</t>
  </si>
  <si>
    <t>$O$56 30</t>
  </si>
  <si>
    <t>$O$62 30</t>
  </si>
  <si>
    <t>$O$64 30</t>
  </si>
  <si>
    <t>$P$16 30</t>
  </si>
  <si>
    <t>$P$54 30</t>
  </si>
  <si>
    <t>$P$51 30</t>
  </si>
  <si>
    <t>$P$56 30</t>
  </si>
  <si>
    <t>$Q$47 30</t>
  </si>
  <si>
    <t>$Q$50 30</t>
  </si>
  <si>
    <t>$Q$56 30</t>
  </si>
  <si>
    <t>$Q$54 30</t>
  </si>
  <si>
    <t>$Q$51 30</t>
  </si>
  <si>
    <t>$Q$62 30</t>
  </si>
  <si>
    <t>$Q$64 30</t>
  </si>
  <si>
    <t>$R$47 30</t>
  </si>
  <si>
    <t>$R$50 30</t>
  </si>
  <si>
    <t>$R$63 30</t>
  </si>
  <si>
    <t>$S$50 30</t>
  </si>
  <si>
    <t>$Q$30 30</t>
  </si>
  <si>
    <t>$R$30 30</t>
  </si>
  <si>
    <t>$S$30 30</t>
  </si>
  <si>
    <t>$S$56 30</t>
  </si>
  <si>
    <t>$T$54 30</t>
  </si>
  <si>
    <t>$T$51 30</t>
  </si>
  <si>
    <t>$T$47 30</t>
  </si>
  <si>
    <t>$T$50 30</t>
  </si>
  <si>
    <t>$T$29 30</t>
  </si>
  <si>
    <t>$T$56 30</t>
  </si>
  <si>
    <t>$U$29 30</t>
  </si>
  <si>
    <t>$U$30 30</t>
  </si>
  <si>
    <t>$X$29 30</t>
  </si>
  <si>
    <t>$Y$30 30</t>
  </si>
  <si>
    <t>$Y$29 30</t>
  </si>
  <si>
    <t>$Y$79 30</t>
  </si>
  <si>
    <t>$Y$78 30</t>
  </si>
  <si>
    <t>$Y$19 30</t>
  </si>
  <si>
    <t>$Z$14 30</t>
  </si>
  <si>
    <t>$Z$51 30</t>
  </si>
  <si>
    <t>$Z$54 30</t>
  </si>
  <si>
    <t>$AA$51 30</t>
  </si>
  <si>
    <t>$AA$54 30</t>
  </si>
  <si>
    <t>$AC$24 30</t>
  </si>
  <si>
    <t>$AC$21 30</t>
  </si>
  <si>
    <t>$T$62 30</t>
  </si>
  <si>
    <t>$Y$62 30</t>
  </si>
  <si>
    <t>$AA$63 30</t>
  </si>
  <si>
    <t>DELTA P 69kV</t>
  </si>
  <si>
    <t>DELTA P 13.8kV</t>
  </si>
  <si>
    <t>DMCI</t>
  </si>
  <si>
    <t xml:space="preserve">DATE </t>
  </si>
  <si>
    <t>U3</t>
  </si>
  <si>
    <t>THERMAL</t>
  </si>
  <si>
    <t>IRAWAN 69kV</t>
  </si>
  <si>
    <t>IRAWAN 13.8kV</t>
  </si>
  <si>
    <t>BROOKE'S</t>
  </si>
  <si>
    <t>N-1 (Old Meter)</t>
  </si>
  <si>
    <t>V-POWER</t>
  </si>
  <si>
    <t>MAN</t>
  </si>
  <si>
    <t>CODE</t>
  </si>
  <si>
    <t>FD</t>
  </si>
  <si>
    <t>FB</t>
  </si>
  <si>
    <t>0000H</t>
  </si>
  <si>
    <t>1200H</t>
  </si>
  <si>
    <t>07/25/2024</t>
  </si>
  <si>
    <t>09/25/2024</t>
  </si>
  <si>
    <t>POWER PLANT</t>
  </si>
  <si>
    <t>MEOT
MONTHLY MWH</t>
  </si>
  <si>
    <t xml:space="preserve"> MEOT
YEARLY MWH</t>
  </si>
  <si>
    <t>PREVIOUS READING DATE AND TIME</t>
  </si>
  <si>
    <t>PREVIOUS READING TIME</t>
  </si>
  <si>
    <t>HOURS PASSED</t>
  </si>
  <si>
    <t>HOURS REMAINING</t>
  </si>
  <si>
    <t>JAN 1, 2025
(69kV)</t>
  </si>
  <si>
    <t>JAN 1, 2025
(13.8kV)</t>
  </si>
  <si>
    <t>FEBRUARY 25, 2025
(69kV)</t>
  </si>
  <si>
    <t>FEBRUARY 25, 2025
(13.8kV)</t>
  </si>
  <si>
    <t>PREVIOUS CUTOFF READING (69kV)</t>
  </si>
  <si>
    <t>PREVIOUS CUTOFF READING (13.8kV)</t>
  </si>
  <si>
    <t xml:space="preserve">HOURLY AVG TO REACH MEOT </t>
  </si>
  <si>
    <t xml:space="preserve">ESTIMATED DAILY RUNNING TOTAL </t>
  </si>
  <si>
    <t>ESTIMATED RUNNING ENERGY CONSUMPTION
(MWH)</t>
  </si>
  <si>
    <t xml:space="preserve">ESTIMATED RUNNING HOURLY AVERAGE </t>
  </si>
  <si>
    <t>LATEST BILLING RUNNING HOURLY  AVERAGE</t>
  </si>
  <si>
    <t>JULY 25 TO DATE ENERGY CONSUMPTION</t>
  </si>
  <si>
    <t>JAN 1 TO DATE ENERGY CONSUMPTION</t>
  </si>
  <si>
    <t>LATEST BILLING RUNNING ENERGY CONSUMPTION
(MWH)</t>
  </si>
  <si>
    <t xml:space="preserve">AS OF </t>
  </si>
  <si>
    <t>HOUR</t>
  </si>
  <si>
    <t>Fd</t>
  </si>
  <si>
    <t>Fb</t>
  </si>
  <si>
    <t>DELTA P  (TPSA)</t>
  </si>
  <si>
    <t>YEARLY</t>
  </si>
  <si>
    <t>MONTHLY</t>
  </si>
  <si>
    <t>FEB25 TO DATE</t>
  </si>
  <si>
    <t>PPGI EPSA 3</t>
  </si>
  <si>
    <t>`</t>
  </si>
  <si>
    <t>DMCI PSA</t>
  </si>
  <si>
    <t>JULY 25, 2012</t>
  </si>
  <si>
    <t>N-1 (OLD METER)</t>
  </si>
  <si>
    <t>DMCI EPSA 3</t>
  </si>
  <si>
    <t>V POWER</t>
  </si>
  <si>
    <t>Feeder Multipliers</t>
  </si>
  <si>
    <t>PP S/S (PALECO)</t>
  </si>
  <si>
    <t>DELTAP (13.8kV)</t>
  </si>
  <si>
    <t>DELTAP (69kV)</t>
  </si>
  <si>
    <t>DMCI IRAWAN (13.8kV)</t>
  </si>
  <si>
    <t>DMCI IRAWAN (69kV)</t>
  </si>
  <si>
    <t>DMCI RIOTUBA</t>
  </si>
  <si>
    <t>DMCI ABORLAN (69 kV)</t>
  </si>
  <si>
    <t>PPGI 3</t>
  </si>
  <si>
    <t>PPGI 4</t>
  </si>
  <si>
    <t>DMCI BROOKE'S POINT (N-1)</t>
  </si>
  <si>
    <t>DMCI IRAWAN N-1 
(NEW METER)</t>
  </si>
  <si>
    <t>DMCI IRAWAN N-1 
(OLD METER)</t>
  </si>
  <si>
    <t>DMCI MAN</t>
  </si>
  <si>
    <t>Unit No.</t>
  </si>
  <si>
    <t>DG2</t>
  </si>
  <si>
    <t>DG3</t>
  </si>
  <si>
    <t>1230H</t>
  </si>
  <si>
    <t>LOW EGT IN CYLINDER A-1</t>
  </si>
  <si>
    <t>1755H</t>
  </si>
  <si>
    <t>DG4</t>
  </si>
  <si>
    <t>DG1</t>
  </si>
  <si>
    <t>RECTIFY LOW &amp; HIGH EGT</t>
  </si>
  <si>
    <t>INSPECTION OF MAIN BEARINGS W/ HIGH TEMP IND.</t>
  </si>
  <si>
    <t>requested to unload for fuel &amp; LO filter replacement  and LO sweetening</t>
  </si>
  <si>
    <t>DETACHED PYROPIPE</t>
  </si>
  <si>
    <t>communication failure bet.WOIS and PLC. Suspected problem on CPU of CFC011</t>
  </si>
  <si>
    <t>DG1 declared commercial at 1910h</t>
  </si>
  <si>
    <t>TOTAL Remaining HR</t>
  </si>
  <si>
    <t>1959H</t>
  </si>
  <si>
    <t>2145H</t>
  </si>
  <si>
    <t>2057H</t>
  </si>
  <si>
    <t>With turbine Wash for 30min</t>
  </si>
  <si>
    <t>1341H</t>
  </si>
  <si>
    <t>CMS (Sensor Failure lube oil inlet temperature)</t>
  </si>
  <si>
    <t>2022H</t>
  </si>
  <si>
    <t>1737H</t>
  </si>
  <si>
    <t>1526H</t>
  </si>
  <si>
    <t>0909H</t>
  </si>
  <si>
    <t>2229H</t>
  </si>
  <si>
    <t>0550H</t>
  </si>
  <si>
    <t>0412H</t>
  </si>
  <si>
    <t>2159H</t>
  </si>
  <si>
    <t>Loadtest started at 0657H</t>
  </si>
  <si>
    <t>JAN 1, 2024
(69kV)</t>
  </si>
  <si>
    <t>JAN 1, 2024
(13.8kV)</t>
  </si>
  <si>
    <t>JULY 25, 2024</t>
  </si>
  <si>
    <t>DELTA P  (EPSA 1)</t>
  </si>
  <si>
    <t xml:space="preserve">PPGI </t>
  </si>
  <si>
    <t>BROOKES (NARRA N-1)</t>
  </si>
  <si>
    <t>DMCI EPSA 2</t>
  </si>
  <si>
    <t>PREV CUT OFF</t>
  </si>
  <si>
    <t>NEXT CUT OFF</t>
  </si>
  <si>
    <t>MAX</t>
  </si>
  <si>
    <t>DEMAND</t>
  </si>
  <si>
    <t>ABORLAN1</t>
  </si>
  <si>
    <t>ABORLAN2</t>
  </si>
  <si>
    <t>DEP CAP</t>
  </si>
  <si>
    <t>LACK OF SUPPLY DUE TO HIGH DEMAND AND LOW COST</t>
  </si>
  <si>
    <t>1038H</t>
  </si>
  <si>
    <t>2213H</t>
  </si>
  <si>
    <t>2116H</t>
  </si>
  <si>
    <t>1107H</t>
  </si>
  <si>
    <t>0326H</t>
  </si>
  <si>
    <t>HR/DAY Remaining</t>
  </si>
  <si>
    <t>N-1 (NEW METER)</t>
  </si>
  <si>
    <t>Total Run Time</t>
  </si>
  <si>
    <t>Total Down Time</t>
  </si>
  <si>
    <t>DOWN TIME WITHIN DATE RANGE</t>
  </si>
  <si>
    <t>DOWN TIME SPILLTO DATE RANGE</t>
  </si>
  <si>
    <t>START DATE</t>
  </si>
  <si>
    <t>END DATE</t>
  </si>
  <si>
    <t>PPGI_Unit 2</t>
  </si>
  <si>
    <t>DMCI QUEZON_UP 18B</t>
  </si>
  <si>
    <t>DMCI BROOKES_UP 45</t>
  </si>
  <si>
    <t>DMCI BROOKES_UP 46</t>
  </si>
  <si>
    <t xml:space="preserve">DMCI IRAWAN </t>
  </si>
  <si>
    <t xml:space="preserve">PPGI U3 </t>
  </si>
  <si>
    <t>PPGI U4</t>
  </si>
  <si>
    <t xml:space="preserve">DEMAND </t>
  </si>
  <si>
    <t>RESERVE/DEFICIT</t>
  </si>
  <si>
    <t>WHAT:</t>
  </si>
  <si>
    <t>DELTA P REQUEST SHUTDOWN AT 0100H TO 0300H</t>
  </si>
  <si>
    <t>OBJECTIVE:</t>
  </si>
  <si>
    <t>TO CHECK CB 12 DUE TO REPORT OF AUTO RECLOSING LAST DEC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</si>
</sst>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2">
    <numFmt numFmtId="43" formatCode="_(* #,##0.00_);_(* \(#,##0.00\);_(* &quot;-&quot;??_);_(@_)"/>
    <numFmt numFmtId="164" formatCode="_-* #,##0.00_-;\-* #,##0.00_-;_-* &quot;-&quot;??_-;_-@_-"/>
    <numFmt numFmtId="165" formatCode="[$-3409]mmmm\ dd\,\ yyyy;@"/>
    <numFmt numFmtId="166" formatCode="[$-409]mmmm\ d\,\ yyyy;@"/>
    <numFmt numFmtId="167" formatCode="0.00_);\(0.00\)"/>
    <numFmt numFmtId="168" formatCode="0.000"/>
    <numFmt numFmtId="169" formatCode="hhmmss"/>
    <numFmt numFmtId="170" formatCode="0.0;\-0.0;;@"/>
    <numFmt numFmtId="171" formatCode="0.00;\-0.00;;@"/>
    <numFmt numFmtId="172" formatCode="mm/dd/yyyy;@"/>
    <numFmt numFmtId="173" formatCode="0.0000"/>
    <numFmt numFmtId="174" formatCode="0.0_ ;\-0.0\ "/>
    <numFmt numFmtId="175" formatCode="_-* #,##0.000000_-;\-* #,##0.000000_-;_-* &quot;-&quot;??_-;_-@_-"/>
    <numFmt numFmtId="176" formatCode="0.000%"/>
    <numFmt numFmtId="177" formatCode="mm/dd/yy;@"/>
    <numFmt numFmtId="178" formatCode="[h]"/>
    <numFmt numFmtId="179" formatCode="m/d/yyyy;@"/>
    <numFmt numFmtId="180" formatCode="_(* #,##0.000000_);_(* \(#,##0.000000\);_(* &quot;-&quot;??????_);_(@_)"/>
    <numFmt numFmtId="181" formatCode="[$-3409]dd\-mmm\-yy;@"/>
    <numFmt numFmtId="182" formatCode="_-* #,##0.000000_-;\-* #,##0.000000_-;_-* &quot;-&quot;??????_-;_-@_-"/>
    <numFmt numFmtId="183" formatCode="0.000000"/>
    <numFmt numFmtId="184" formatCode="_-* #,##0_-;\-* #,##0_-;_-* &quot;-&quot;??_-;_-@_-"/>
  </numFmts>
  <fonts count="7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color theme="1"/>
      <name val="Calibri"/>
      <family val="2"/>
      <scheme val="minor"/>
    </font>
    <font>
      <sz val="14"/>
      <name val="Arial"/>
      <family val="2"/>
    </font>
    <font>
      <sz val="10"/>
      <color rgb="FF000000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b/>
      <sz val="10"/>
      <color indexed="8"/>
      <name val="Calibri"/>
      <family val="2"/>
    </font>
    <font>
      <b/>
      <sz val="10"/>
      <color indexed="8"/>
      <name val="Arial"/>
      <family val="2"/>
    </font>
    <font>
      <sz val="12"/>
      <color theme="1"/>
      <name val="Arial"/>
      <family val="2"/>
    </font>
    <font>
      <b/>
      <sz val="10"/>
      <name val="Arial"/>
      <family val="2"/>
    </font>
    <font>
      <sz val="12"/>
      <color rgb="FFFF0000"/>
      <name val="Arial"/>
      <family val="2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6"/>
      <name val="Arial"/>
      <family val="2"/>
    </font>
    <font>
      <b/>
      <sz val="14"/>
      <color indexed="8"/>
      <name val="Arial"/>
      <family val="2"/>
    </font>
    <font>
      <b/>
      <sz val="18"/>
      <color rgb="FF000000"/>
      <name val="Calibri"/>
      <family val="2"/>
      <scheme val="minor"/>
    </font>
    <font>
      <b/>
      <sz val="18"/>
      <name val="Arial"/>
      <family val="2"/>
    </font>
    <font>
      <b/>
      <sz val="12"/>
      <color rgb="FFFFFFFF"/>
      <name val="Arial"/>
      <family val="2"/>
    </font>
    <font>
      <b/>
      <sz val="11"/>
      <color theme="1"/>
      <name val="Arial"/>
      <family val="2"/>
    </font>
    <font>
      <b/>
      <vertAlign val="subscript"/>
      <sz val="12"/>
      <color theme="0"/>
      <name val="Arial"/>
      <family val="2"/>
    </font>
    <font>
      <b/>
      <sz val="16"/>
      <color theme="1"/>
      <name val="Arial"/>
      <family val="2"/>
    </font>
    <font>
      <b/>
      <sz val="12"/>
      <name val="Arial"/>
      <family val="2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2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4"/>
      <color theme="1"/>
      <name val="Arial"/>
      <family val="2"/>
    </font>
    <font>
      <b/>
      <sz val="18"/>
      <color theme="1"/>
      <name val="Arial"/>
      <family val="2"/>
    </font>
    <font>
      <b/>
      <sz val="14"/>
      <color rgb="FF000000"/>
      <name val="Arial"/>
      <family val="2"/>
    </font>
    <font>
      <sz val="14"/>
      <color rgb="FF000000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2"/>
      <color theme="2"/>
      <name val="Arial"/>
      <family val="2"/>
    </font>
    <font>
      <sz val="18"/>
      <color theme="1"/>
      <name val="Calibri"/>
      <family val="2"/>
      <scheme val="minor"/>
    </font>
    <font>
      <sz val="11"/>
      <color theme="1"/>
      <name val="Bahnschrift SemiCondensed"/>
      <family val="2"/>
    </font>
    <font>
      <sz val="11"/>
      <color theme="1"/>
      <name val="Arial Black"/>
      <family val="2"/>
    </font>
    <font>
      <sz val="16"/>
      <color theme="1"/>
      <name val="Bahnschrift SemiCondensed"/>
      <family val="2"/>
    </font>
    <font>
      <sz val="9"/>
      <color theme="1"/>
      <name val="Calibri"/>
      <family val="2"/>
      <scheme val="minor"/>
    </font>
    <font>
      <sz val="11"/>
      <color rgb="FFFF0000"/>
      <name val="Bahnschrift SemiCondensed"/>
      <family val="2"/>
    </font>
    <font>
      <sz val="16"/>
      <color theme="0"/>
      <name val="Bahnschrift SemiCondensed"/>
      <family val="2"/>
    </font>
    <font>
      <b/>
      <sz val="14"/>
      <color theme="1"/>
      <name val="Calibri"/>
      <family val="2"/>
      <scheme val="minor"/>
    </font>
    <font>
      <sz val="11"/>
      <color rgb="FF242424"/>
      <name val="Consolas"/>
      <family val="3"/>
    </font>
    <font>
      <sz val="11"/>
      <name val="Arial"/>
      <family val="2"/>
    </font>
    <font>
      <sz val="11"/>
      <color theme="1"/>
      <name val="Microsoft Sans Serif"/>
      <family val="2"/>
    </font>
    <font>
      <b/>
      <sz val="26"/>
      <color theme="0"/>
      <name val="Microsoft Sans Serif"/>
      <family val="2"/>
    </font>
    <font>
      <b/>
      <sz val="26"/>
      <color theme="1"/>
      <name val="Microsoft Sans Serif"/>
      <family val="2"/>
    </font>
    <font>
      <sz val="26"/>
      <color theme="1"/>
      <name val="Microsoft Sans Serif"/>
      <family val="2"/>
    </font>
    <font>
      <b/>
      <sz val="11"/>
      <color rgb="FFFFFFFF"/>
      <name val="Arial"/>
      <family val="2"/>
    </font>
    <font>
      <b/>
      <sz val="10"/>
      <color rgb="FFFFFFFF"/>
      <name val="Arial"/>
      <family val="2"/>
    </font>
    <font>
      <b/>
      <sz val="11"/>
      <color theme="0"/>
      <name val="Arial"/>
      <family val="2"/>
    </font>
    <font>
      <b/>
      <sz val="11"/>
      <color rgb="FF000000"/>
      <name val="Arial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b/>
      <sz val="10"/>
      <color theme="1"/>
      <name val="Arial"/>
      <family val="2"/>
    </font>
    <font>
      <sz val="11"/>
      <name val="Bahnschrift SemiCondensed"/>
      <family val="2"/>
    </font>
    <font>
      <sz val="11"/>
      <color rgb="FFC00000"/>
      <name val="Bahnschrift SemiCondensed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0000"/>
      <name val="Calibri"/>
      <family val="2"/>
    </font>
    <font>
      <b/>
      <sz val="7"/>
      <color rgb="FFFFFFFF"/>
      <name val="Arial"/>
      <family val="2"/>
    </font>
    <font>
      <b/>
      <sz val="11"/>
      <color theme="1"/>
      <name val="Calibri"/>
      <family val="2"/>
      <scheme val="minor"/>
    </font>
    <font>
      <sz val="11"/>
      <color rgb="FFC00000"/>
      <name val="Arial"/>
      <family val="2"/>
    </font>
    <font>
      <sz val="11"/>
      <name val="Calibri"/>
      <family val="2"/>
    </font>
    <font>
      <b/>
      <sz val="12"/>
      <color rgb="FF000000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43C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043C79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A979CD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1923E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A9D08E"/>
        <bgColor rgb="FF000000"/>
      </patternFill>
    </fill>
  </fills>
  <borders count="9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35" fillId="0" borderId="0" applyNumberFormat="0" applyFill="0" applyBorder="0" applyAlignment="0" applyProtection="0"/>
  </cellStyleXfs>
  <cellXfs count="613">
    <xf numFmtId="0" fontId="0" fillId="0" borderId="0" xfId="0"/>
    <xf numFmtId="0" fontId="3" fillId="0" borderId="0" xfId="3" applyFont="1" applyAlignment="1">
      <alignment vertical="center"/>
    </xf>
    <xf numFmtId="0" fontId="4" fillId="0" borderId="0" xfId="0" applyFont="1" applyAlignment="1">
      <alignment horizontal="center"/>
    </xf>
    <xf numFmtId="0" fontId="2" fillId="0" borderId="0" xfId="3" applyAlignment="1">
      <alignment vertical="center"/>
    </xf>
    <xf numFmtId="0" fontId="6" fillId="0" borderId="0" xfId="3" applyFont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vertical="center"/>
    </xf>
    <xf numFmtId="0" fontId="9" fillId="0" borderId="2" xfId="0" applyFont="1" applyBorder="1" applyAlignment="1">
      <alignment horizontal="center" vertical="center"/>
    </xf>
    <xf numFmtId="167" fontId="11" fillId="4" borderId="2" xfId="1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0" fontId="9" fillId="7" borderId="2" xfId="0" applyFont="1" applyFill="1" applyBorder="1" applyAlignment="1">
      <alignment vertical="center"/>
    </xf>
    <xf numFmtId="0" fontId="9" fillId="7" borderId="2" xfId="0" applyFont="1" applyFill="1" applyBorder="1" applyAlignment="1">
      <alignment horizontal="left" vertical="center" indent="2"/>
    </xf>
    <xf numFmtId="0" fontId="13" fillId="0" borderId="2" xfId="0" applyFont="1" applyBorder="1" applyAlignment="1">
      <alignment horizontal="center" vertical="center"/>
    </xf>
    <xf numFmtId="2" fontId="13" fillId="0" borderId="2" xfId="0" applyNumberFormat="1" applyFont="1" applyBorder="1" applyAlignment="1">
      <alignment horizontal="center" vertical="center"/>
    </xf>
    <xf numFmtId="167" fontId="11" fillId="8" borderId="2" xfId="0" applyNumberFormat="1" applyFont="1" applyFill="1" applyBorder="1" applyAlignment="1">
      <alignment horizontal="center" vertical="center"/>
    </xf>
    <xf numFmtId="167" fontId="14" fillId="9" borderId="2" xfId="0" applyNumberFormat="1" applyFont="1" applyFill="1" applyBorder="1" applyAlignment="1">
      <alignment horizontal="center" vertical="center"/>
    </xf>
    <xf numFmtId="167" fontId="12" fillId="5" borderId="2" xfId="1" applyNumberFormat="1" applyFont="1" applyFill="1" applyBorder="1" applyAlignment="1">
      <alignment horizontal="center" vertical="center"/>
    </xf>
    <xf numFmtId="2" fontId="9" fillId="0" borderId="2" xfId="0" applyNumberFormat="1" applyFont="1" applyBorder="1" applyAlignment="1">
      <alignment horizontal="center" vertical="center"/>
    </xf>
    <xf numFmtId="168" fontId="13" fillId="0" borderId="2" xfId="0" applyNumberFormat="1" applyFont="1" applyBorder="1" applyAlignment="1">
      <alignment horizontal="center" vertical="center"/>
    </xf>
    <xf numFmtId="0" fontId="9" fillId="10" borderId="2" xfId="0" applyFont="1" applyFill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/>
    </xf>
    <xf numFmtId="167" fontId="11" fillId="3" borderId="2" xfId="1" applyNumberFormat="1" applyFont="1" applyFill="1" applyBorder="1" applyAlignment="1">
      <alignment horizontal="center" vertical="center"/>
    </xf>
    <xf numFmtId="167" fontId="11" fillId="2" borderId="2" xfId="0" applyNumberFormat="1" applyFont="1" applyFill="1" applyBorder="1" applyAlignment="1">
      <alignment horizontal="center" vertical="center"/>
    </xf>
    <xf numFmtId="0" fontId="16" fillId="0" borderId="0" xfId="0" applyFont="1"/>
    <xf numFmtId="0" fontId="7" fillId="2" borderId="0" xfId="0" applyFont="1" applyFill="1" applyAlignment="1">
      <alignment vertical="center"/>
    </xf>
    <xf numFmtId="2" fontId="9" fillId="10" borderId="2" xfId="0" applyNumberFormat="1" applyFont="1" applyFill="1" applyBorder="1" applyAlignment="1">
      <alignment horizontal="center" vertical="center"/>
    </xf>
    <xf numFmtId="167" fontId="13" fillId="0" borderId="0" xfId="0" applyNumberFormat="1" applyFont="1" applyAlignment="1">
      <alignment horizontal="center" vertical="center"/>
    </xf>
    <xf numFmtId="9" fontId="15" fillId="0" borderId="0" xfId="2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7" fontId="14" fillId="0" borderId="0" xfId="0" applyNumberFormat="1" applyFont="1" applyAlignment="1">
      <alignment horizontal="center" vertical="center"/>
    </xf>
    <xf numFmtId="167" fontId="11" fillId="0" borderId="0" xfId="1" applyNumberFormat="1" applyFont="1" applyFill="1" applyBorder="1" applyAlignment="1">
      <alignment horizontal="center" vertical="center"/>
    </xf>
    <xf numFmtId="2" fontId="13" fillId="0" borderId="0" xfId="0" applyNumberFormat="1" applyFont="1" applyAlignment="1">
      <alignment horizontal="center" vertical="center"/>
    </xf>
    <xf numFmtId="167" fontId="12" fillId="0" borderId="0" xfId="1" applyNumberFormat="1" applyFont="1" applyFill="1" applyBorder="1" applyAlignment="1">
      <alignment horizontal="center" vertical="center"/>
    </xf>
    <xf numFmtId="167" fontId="12" fillId="6" borderId="2" xfId="1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5" fillId="0" borderId="0" xfId="3" applyFont="1" applyAlignme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 indent="2"/>
    </xf>
    <xf numFmtId="167" fontId="11" fillId="0" borderId="0" xfId="0" applyNumberFormat="1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20" fontId="21" fillId="13" borderId="2" xfId="0" applyNumberFormat="1" applyFont="1" applyFill="1" applyBorder="1" applyAlignment="1">
      <alignment horizontal="center" vertical="center"/>
    </xf>
    <xf numFmtId="2" fontId="22" fillId="6" borderId="2" xfId="0" applyNumberFormat="1" applyFont="1" applyFill="1" applyBorder="1" applyAlignment="1">
      <alignment horizontal="center" vertical="center"/>
    </xf>
    <xf numFmtId="0" fontId="23" fillId="11" borderId="5" xfId="0" applyFont="1" applyFill="1" applyBorder="1" applyAlignment="1">
      <alignment horizontal="left" vertical="center"/>
    </xf>
    <xf numFmtId="2" fontId="22" fillId="12" borderId="2" xfId="0" applyNumberFormat="1" applyFont="1" applyFill="1" applyBorder="1" applyAlignment="1">
      <alignment horizontal="center" vertical="center"/>
    </xf>
    <xf numFmtId="0" fontId="3" fillId="14" borderId="2" xfId="0" applyFont="1" applyFill="1" applyBorder="1" applyAlignment="1">
      <alignment horizontal="center" vertical="center"/>
    </xf>
    <xf numFmtId="2" fontId="22" fillId="11" borderId="2" xfId="0" applyNumberFormat="1" applyFont="1" applyFill="1" applyBorder="1" applyAlignment="1">
      <alignment horizontal="center" vertical="center"/>
    </xf>
    <xf numFmtId="0" fontId="20" fillId="13" borderId="8" xfId="0" applyFont="1" applyFill="1" applyBorder="1" applyAlignment="1">
      <alignment horizontal="center" vertical="center"/>
    </xf>
    <xf numFmtId="0" fontId="20" fillId="13" borderId="9" xfId="0" applyFont="1" applyFill="1" applyBorder="1" applyAlignment="1">
      <alignment horizontal="center" vertical="center"/>
    </xf>
    <xf numFmtId="2" fontId="22" fillId="6" borderId="12" xfId="0" applyNumberFormat="1" applyFont="1" applyFill="1" applyBorder="1" applyAlignment="1">
      <alignment horizontal="center" vertical="center"/>
    </xf>
    <xf numFmtId="2" fontId="22" fillId="8" borderId="2" xfId="0" applyNumberFormat="1" applyFont="1" applyFill="1" applyBorder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5" fillId="0" borderId="0" xfId="3" applyFont="1" applyAlignment="1">
      <alignment horizontal="center" vertical="center"/>
    </xf>
    <xf numFmtId="0" fontId="2" fillId="0" borderId="0" xfId="3" applyAlignment="1">
      <alignment horizontal="center" vertical="center"/>
    </xf>
    <xf numFmtId="0" fontId="6" fillId="0" borderId="0" xfId="3" applyFont="1" applyAlignment="1">
      <alignment horizontal="center" vertical="center"/>
    </xf>
    <xf numFmtId="0" fontId="21" fillId="13" borderId="2" xfId="0" applyFont="1" applyFill="1" applyBorder="1" applyAlignment="1">
      <alignment horizontal="center" vertical="center"/>
    </xf>
    <xf numFmtId="0" fontId="21" fillId="13" borderId="2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29" fillId="14" borderId="2" xfId="1" applyNumberFormat="1" applyFont="1" applyFill="1" applyBorder="1" applyAlignment="1">
      <alignment horizontal="center" vertical="center"/>
    </xf>
    <xf numFmtId="2" fontId="29" fillId="11" borderId="2" xfId="0" applyNumberFormat="1" applyFont="1" applyFill="1" applyBorder="1" applyAlignment="1">
      <alignment horizontal="center" vertical="center"/>
    </xf>
    <xf numFmtId="2" fontId="29" fillId="8" borderId="2" xfId="0" applyNumberFormat="1" applyFont="1" applyFill="1" applyBorder="1" applyAlignment="1">
      <alignment horizontal="center" vertical="center"/>
    </xf>
    <xf numFmtId="2" fontId="9" fillId="11" borderId="2" xfId="0" applyNumberFormat="1" applyFont="1" applyFill="1" applyBorder="1" applyAlignment="1">
      <alignment horizontal="center" vertical="center"/>
    </xf>
    <xf numFmtId="2" fontId="30" fillId="11" borderId="2" xfId="0" applyNumberFormat="1" applyFont="1" applyFill="1" applyBorder="1" applyAlignment="1">
      <alignment horizontal="center" vertical="center"/>
    </xf>
    <xf numFmtId="0" fontId="13" fillId="0" borderId="2" xfId="0" quotePrefix="1" applyFont="1" applyBorder="1" applyAlignment="1">
      <alignment horizontal="center" vertical="center"/>
    </xf>
    <xf numFmtId="0" fontId="32" fillId="0" borderId="0" xfId="0" applyFont="1"/>
    <xf numFmtId="2" fontId="15" fillId="11" borderId="2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34" fillId="0" borderId="2" xfId="0" applyFont="1" applyBorder="1" applyAlignment="1">
      <alignment horizontal="center" vertical="center"/>
    </xf>
    <xf numFmtId="0" fontId="0" fillId="0" borderId="0" xfId="0" quotePrefix="1" applyAlignment="1">
      <alignment horizontal="left"/>
    </xf>
    <xf numFmtId="2" fontId="3" fillId="0" borderId="2" xfId="0" applyNumberFormat="1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2" fontId="36" fillId="0" borderId="2" xfId="0" applyNumberFormat="1" applyFont="1" applyBorder="1" applyAlignment="1">
      <alignment horizontal="center" vertical="center"/>
    </xf>
    <xf numFmtId="2" fontId="0" fillId="0" borderId="0" xfId="0" applyNumberFormat="1"/>
    <xf numFmtId="2" fontId="9" fillId="12" borderId="2" xfId="0" applyNumberFormat="1" applyFont="1" applyFill="1" applyBorder="1" applyAlignment="1">
      <alignment horizontal="center" vertical="center"/>
    </xf>
    <xf numFmtId="2" fontId="3" fillId="15" borderId="2" xfId="0" applyNumberFormat="1" applyFont="1" applyFill="1" applyBorder="1" applyAlignment="1">
      <alignment horizontal="center" vertical="center"/>
    </xf>
    <xf numFmtId="2" fontId="38" fillId="15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2" fillId="0" borderId="0" xfId="3" applyNumberFormat="1" applyAlignment="1">
      <alignment vertical="center"/>
    </xf>
    <xf numFmtId="0" fontId="40" fillId="0" borderId="30" xfId="0" applyFont="1" applyBorder="1" applyAlignment="1">
      <alignment horizontal="center"/>
    </xf>
    <xf numFmtId="174" fontId="0" fillId="0" borderId="0" xfId="0" applyNumberFormat="1"/>
    <xf numFmtId="2" fontId="39" fillId="0" borderId="5" xfId="0" applyNumberFormat="1" applyFont="1" applyBorder="1" applyAlignment="1">
      <alignment horizontal="center" vertical="center"/>
    </xf>
    <xf numFmtId="172" fontId="7" fillId="0" borderId="0" xfId="0" applyNumberFormat="1" applyFont="1" applyAlignment="1">
      <alignment horizontal="center"/>
    </xf>
    <xf numFmtId="0" fontId="40" fillId="0" borderId="27" xfId="0" applyFont="1" applyBorder="1" applyAlignment="1">
      <alignment horizontal="center"/>
    </xf>
    <xf numFmtId="0" fontId="40" fillId="0" borderId="29" xfId="0" quotePrefix="1" applyFont="1" applyBorder="1" applyAlignment="1">
      <alignment horizontal="center"/>
    </xf>
    <xf numFmtId="169" fontId="7" fillId="0" borderId="25" xfId="0" applyNumberFormat="1" applyFont="1" applyBorder="1" applyAlignment="1">
      <alignment horizontal="center"/>
    </xf>
    <xf numFmtId="0" fontId="40" fillId="0" borderId="29" xfId="0" applyFont="1" applyBorder="1" applyAlignment="1">
      <alignment horizontal="center"/>
    </xf>
    <xf numFmtId="170" fontId="40" fillId="0" borderId="29" xfId="0" quotePrefix="1" applyNumberFormat="1" applyFont="1" applyBorder="1" applyAlignment="1">
      <alignment horizontal="center"/>
    </xf>
    <xf numFmtId="0" fontId="27" fillId="0" borderId="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 wrapText="1"/>
    </xf>
    <xf numFmtId="172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7" fillId="0" borderId="2" xfId="0" quotePrefix="1" applyFont="1" applyBorder="1" applyAlignment="1">
      <alignment horizontal="center" vertical="center"/>
    </xf>
    <xf numFmtId="0" fontId="40" fillId="0" borderId="28" xfId="0" quotePrefix="1" applyFont="1" applyBorder="1" applyAlignment="1">
      <alignment horizontal="center"/>
    </xf>
    <xf numFmtId="169" fontId="40" fillId="0" borderId="24" xfId="0" applyNumberFormat="1" applyFont="1" applyBorder="1" applyAlignment="1">
      <alignment horizontal="center"/>
    </xf>
    <xf numFmtId="164" fontId="26" fillId="16" borderId="36" xfId="1" applyFont="1" applyFill="1" applyBorder="1" applyAlignment="1">
      <alignment horizontal="center" vertical="center"/>
    </xf>
    <xf numFmtId="46" fontId="27" fillId="0" borderId="2" xfId="0" applyNumberFormat="1" applyFont="1" applyBorder="1" applyAlignment="1">
      <alignment horizontal="center" vertical="center"/>
    </xf>
    <xf numFmtId="46" fontId="7" fillId="0" borderId="0" xfId="0" applyNumberFormat="1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14" fontId="41" fillId="17" borderId="2" xfId="0" applyNumberFormat="1" applyFont="1" applyFill="1" applyBorder="1" applyAlignment="1">
      <alignment horizontal="center" vertical="center"/>
    </xf>
    <xf numFmtId="164" fontId="7" fillId="0" borderId="2" xfId="1" applyFont="1" applyBorder="1" applyAlignment="1">
      <alignment horizontal="center"/>
    </xf>
    <xf numFmtId="164" fontId="7" fillId="0" borderId="0" xfId="1" applyFont="1" applyAlignment="1">
      <alignment horizontal="center"/>
    </xf>
    <xf numFmtId="20" fontId="42" fillId="13" borderId="2" xfId="0" applyNumberFormat="1" applyFont="1" applyFill="1" applyBorder="1" applyAlignment="1">
      <alignment horizontal="center" vertical="center"/>
    </xf>
    <xf numFmtId="3" fontId="0" fillId="0" borderId="0" xfId="0" applyNumberFormat="1"/>
    <xf numFmtId="0" fontId="0" fillId="0" borderId="0" xfId="0" applyAlignment="1">
      <alignment horizontal="left"/>
    </xf>
    <xf numFmtId="0" fontId="26" fillId="16" borderId="37" xfId="0" applyFont="1" applyFill="1" applyBorder="1" applyAlignment="1">
      <alignment horizontal="center" vertical="center"/>
    </xf>
    <xf numFmtId="0" fontId="26" fillId="16" borderId="39" xfId="0" applyFont="1" applyFill="1" applyBorder="1" applyAlignment="1">
      <alignment horizontal="center" vertical="center"/>
    </xf>
    <xf numFmtId="14" fontId="41" fillId="17" borderId="3" xfId="0" applyNumberFormat="1" applyFont="1" applyFill="1" applyBorder="1" applyAlignment="1">
      <alignment horizontal="center" vertical="center"/>
    </xf>
    <xf numFmtId="164" fontId="7" fillId="0" borderId="18" xfId="1" applyFont="1" applyBorder="1" applyAlignment="1">
      <alignment horizontal="center"/>
    </xf>
    <xf numFmtId="164" fontId="7" fillId="0" borderId="19" xfId="1" applyFont="1" applyBorder="1" applyAlignment="1">
      <alignment horizontal="center"/>
    </xf>
    <xf numFmtId="164" fontId="7" fillId="0" borderId="39" xfId="1" applyFont="1" applyBorder="1" applyAlignment="1">
      <alignment horizontal="center"/>
    </xf>
    <xf numFmtId="164" fontId="7" fillId="0" borderId="40" xfId="1" applyFont="1" applyBorder="1" applyAlignment="1">
      <alignment horizontal="center"/>
    </xf>
    <xf numFmtId="164" fontId="26" fillId="16" borderId="32" xfId="1" applyFont="1" applyFill="1" applyBorder="1" applyAlignment="1">
      <alignment horizontal="center" vertical="center"/>
    </xf>
    <xf numFmtId="164" fontId="7" fillId="0" borderId="3" xfId="1" applyFont="1" applyBorder="1" applyAlignment="1">
      <alignment horizontal="center"/>
    </xf>
    <xf numFmtId="164" fontId="7" fillId="0" borderId="0" xfId="1" applyFont="1" applyBorder="1" applyAlignment="1">
      <alignment horizontal="center"/>
    </xf>
    <xf numFmtId="17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8" borderId="6" xfId="0" applyFill="1" applyBorder="1"/>
    <xf numFmtId="0" fontId="0" fillId="18" borderId="0" xfId="0" applyFill="1"/>
    <xf numFmtId="0" fontId="0" fillId="18" borderId="8" xfId="0" applyFill="1" applyBorder="1"/>
    <xf numFmtId="0" fontId="0" fillId="18" borderId="7" xfId="0" applyFill="1" applyBorder="1"/>
    <xf numFmtId="0" fontId="0" fillId="18" borderId="1" xfId="0" applyFill="1" applyBorder="1"/>
    <xf numFmtId="0" fontId="0" fillId="18" borderId="9" xfId="0" applyFill="1" applyBorder="1"/>
    <xf numFmtId="0" fontId="0" fillId="18" borderId="10" xfId="0" applyFill="1" applyBorder="1"/>
    <xf numFmtId="0" fontId="0" fillId="18" borderId="11" xfId="0" applyFill="1" applyBorder="1"/>
    <xf numFmtId="0" fontId="0" fillId="18" borderId="12" xfId="0" applyFill="1" applyBorder="1"/>
    <xf numFmtId="0" fontId="0" fillId="18" borderId="6" xfId="0" applyFill="1" applyBorder="1" applyAlignment="1">
      <alignment horizontal="center" vertical="center"/>
    </xf>
    <xf numFmtId="0" fontId="0" fillId="17" borderId="0" xfId="0" applyFill="1"/>
    <xf numFmtId="0" fontId="0" fillId="17" borderId="0" xfId="0" applyFill="1" applyAlignment="1">
      <alignment horizontal="center"/>
    </xf>
    <xf numFmtId="172" fontId="0" fillId="17" borderId="0" xfId="0" applyNumberFormat="1" applyFill="1"/>
    <xf numFmtId="0" fontId="0" fillId="18" borderId="10" xfId="0" applyFill="1" applyBorder="1" applyAlignment="1">
      <alignment horizontal="center" vertical="center"/>
    </xf>
    <xf numFmtId="0" fontId="0" fillId="18" borderId="11" xfId="0" applyFill="1" applyBorder="1" applyAlignment="1">
      <alignment horizontal="center" vertical="center" wrapText="1"/>
    </xf>
    <xf numFmtId="0" fontId="0" fillId="18" borderId="12" xfId="0" applyFill="1" applyBorder="1" applyAlignment="1">
      <alignment horizontal="center" vertical="center" wrapText="1"/>
    </xf>
    <xf numFmtId="0" fontId="0" fillId="18" borderId="0" xfId="0" applyFill="1" applyAlignment="1">
      <alignment horizontal="center" vertical="center"/>
    </xf>
    <xf numFmtId="0" fontId="0" fillId="18" borderId="8" xfId="0" applyFill="1" applyBorder="1" applyAlignment="1">
      <alignment horizontal="center" vertical="center"/>
    </xf>
    <xf numFmtId="0" fontId="0" fillId="18" borderId="7" xfId="0" applyFill="1" applyBorder="1" applyAlignment="1">
      <alignment horizontal="center" vertical="center"/>
    </xf>
    <xf numFmtId="0" fontId="0" fillId="18" borderId="1" xfId="0" applyFill="1" applyBorder="1" applyAlignment="1">
      <alignment horizontal="center" vertical="center"/>
    </xf>
    <xf numFmtId="0" fontId="0" fillId="18" borderId="9" xfId="0" applyFill="1" applyBorder="1" applyAlignment="1">
      <alignment horizontal="center" vertical="center"/>
    </xf>
    <xf numFmtId="0" fontId="0" fillId="18" borderId="11" xfId="0" applyFill="1" applyBorder="1" applyAlignment="1">
      <alignment horizontal="center" vertical="center"/>
    </xf>
    <xf numFmtId="175" fontId="0" fillId="18" borderId="12" xfId="0" applyNumberFormat="1" applyFill="1" applyBorder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8" borderId="12" xfId="0" applyFill="1" applyBorder="1" applyAlignment="1">
      <alignment horizontal="center" vertical="center"/>
    </xf>
    <xf numFmtId="0" fontId="0" fillId="0" borderId="0" xfId="0" applyAlignment="1">
      <alignment horizontal="right"/>
    </xf>
    <xf numFmtId="177" fontId="44" fillId="18" borderId="0" xfId="0" applyNumberFormat="1" applyFont="1" applyFill="1" applyAlignment="1">
      <alignment horizontal="center" vertical="center"/>
    </xf>
    <xf numFmtId="22" fontId="44" fillId="18" borderId="0" xfId="0" applyNumberFormat="1" applyFont="1" applyFill="1" applyAlignment="1">
      <alignment horizontal="center" vertical="center"/>
    </xf>
    <xf numFmtId="175" fontId="44" fillId="18" borderId="8" xfId="0" applyNumberFormat="1" applyFont="1" applyFill="1" applyBorder="1" applyAlignment="1">
      <alignment horizontal="center" vertical="center"/>
    </xf>
    <xf numFmtId="0" fontId="45" fillId="18" borderId="6" xfId="0" applyFont="1" applyFill="1" applyBorder="1" applyAlignment="1">
      <alignment horizontal="center" vertical="center"/>
    </xf>
    <xf numFmtId="0" fontId="32" fillId="0" borderId="0" xfId="0" applyFont="1" applyAlignment="1">
      <alignment horizontal="right"/>
    </xf>
    <xf numFmtId="0" fontId="31" fillId="0" borderId="0" xfId="0" applyFont="1"/>
    <xf numFmtId="3" fontId="32" fillId="0" borderId="0" xfId="0" applyNumberFormat="1" applyFont="1"/>
    <xf numFmtId="0" fontId="0" fillId="0" borderId="2" xfId="0" applyBorder="1" applyAlignment="1">
      <alignment horizontal="center" vertical="center" wrapText="1"/>
    </xf>
    <xf numFmtId="2" fontId="7" fillId="0" borderId="0" xfId="0" applyNumberFormat="1" applyFont="1"/>
    <xf numFmtId="0" fontId="45" fillId="17" borderId="0" xfId="0" applyFont="1" applyFill="1" applyAlignment="1">
      <alignment horizontal="right" vertical="center"/>
    </xf>
    <xf numFmtId="177" fontId="0" fillId="0" borderId="0" xfId="0" applyNumberFormat="1" applyAlignment="1">
      <alignment horizontal="center"/>
    </xf>
    <xf numFmtId="164" fontId="44" fillId="18" borderId="0" xfId="1" applyFont="1" applyFill="1" applyAlignment="1">
      <alignment horizontal="center" vertical="center"/>
    </xf>
    <xf numFmtId="176" fontId="43" fillId="18" borderId="0" xfId="2" applyNumberFormat="1" applyFont="1" applyFill="1" applyAlignment="1">
      <alignment horizontal="center"/>
    </xf>
    <xf numFmtId="171" fontId="0" fillId="0" borderId="0" xfId="0" applyNumberFormat="1"/>
    <xf numFmtId="168" fontId="0" fillId="18" borderId="1" xfId="0" applyNumberFormat="1" applyFill="1" applyBorder="1" applyAlignment="1">
      <alignment horizontal="center" vertical="center"/>
    </xf>
    <xf numFmtId="168" fontId="0" fillId="17" borderId="0" xfId="0" applyNumberFormat="1" applyFill="1" applyAlignment="1">
      <alignment horizontal="center"/>
    </xf>
    <xf numFmtId="168" fontId="0" fillId="18" borderId="11" xfId="0" applyNumberFormat="1" applyFill="1" applyBorder="1" applyAlignment="1">
      <alignment horizontal="center" vertical="center"/>
    </xf>
    <xf numFmtId="168" fontId="0" fillId="17" borderId="0" xfId="0" applyNumberFormat="1" applyFill="1" applyAlignment="1">
      <alignment horizontal="center" vertical="center"/>
    </xf>
    <xf numFmtId="0" fontId="50" fillId="17" borderId="0" xfId="0" applyFont="1" applyFill="1"/>
    <xf numFmtId="164" fontId="44" fillId="18" borderId="1" xfId="1" applyFont="1" applyFill="1" applyBorder="1" applyAlignment="1">
      <alignment horizontal="center" vertical="center"/>
    </xf>
    <xf numFmtId="164" fontId="44" fillId="17" borderId="0" xfId="1" applyFont="1" applyFill="1" applyAlignment="1">
      <alignment horizontal="center"/>
    </xf>
    <xf numFmtId="164" fontId="44" fillId="18" borderId="11" xfId="1" applyFont="1" applyFill="1" applyBorder="1" applyAlignment="1">
      <alignment horizontal="center" vertical="center"/>
    </xf>
    <xf numFmtId="164" fontId="44" fillId="17" borderId="0" xfId="1" applyFont="1" applyFill="1" applyAlignment="1">
      <alignment horizontal="center" vertical="center"/>
    </xf>
    <xf numFmtId="46" fontId="27" fillId="0" borderId="0" xfId="0" applyNumberFormat="1" applyFont="1" applyAlignment="1">
      <alignment horizontal="center" vertical="center"/>
    </xf>
    <xf numFmtId="0" fontId="0" fillId="21" borderId="0" xfId="0" applyFill="1"/>
    <xf numFmtId="0" fontId="51" fillId="0" borderId="0" xfId="0" applyFont="1"/>
    <xf numFmtId="164" fontId="44" fillId="18" borderId="8" xfId="0" applyNumberFormat="1" applyFont="1" applyFill="1" applyBorder="1" applyAlignment="1">
      <alignment horizontal="center" vertical="center"/>
    </xf>
    <xf numFmtId="14" fontId="41" fillId="14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7" fillId="14" borderId="0" xfId="0" applyFont="1" applyFill="1" applyAlignment="1">
      <alignment horizontal="center"/>
    </xf>
    <xf numFmtId="164" fontId="7" fillId="14" borderId="39" xfId="1" applyFont="1" applyFill="1" applyBorder="1" applyAlignment="1">
      <alignment horizontal="center"/>
    </xf>
    <xf numFmtId="164" fontId="7" fillId="14" borderId="0" xfId="1" applyFont="1" applyFill="1" applyBorder="1" applyAlignment="1">
      <alignment horizontal="center"/>
    </xf>
    <xf numFmtId="164" fontId="7" fillId="14" borderId="0" xfId="1" applyFont="1" applyFill="1" applyAlignment="1">
      <alignment horizontal="center"/>
    </xf>
    <xf numFmtId="164" fontId="7" fillId="14" borderId="2" xfId="1" applyFont="1" applyFill="1" applyBorder="1" applyAlignment="1">
      <alignment horizontal="center"/>
    </xf>
    <xf numFmtId="164" fontId="44" fillId="22" borderId="0" xfId="1" applyFont="1" applyFill="1" applyAlignment="1">
      <alignment horizontal="center" vertical="center"/>
    </xf>
    <xf numFmtId="175" fontId="44" fillId="18" borderId="0" xfId="0" applyNumberFormat="1" applyFont="1" applyFill="1" applyAlignment="1">
      <alignment horizontal="center" vertical="center"/>
    </xf>
    <xf numFmtId="164" fontId="44" fillId="18" borderId="0" xfId="0" applyNumberFormat="1" applyFont="1" applyFill="1" applyAlignment="1">
      <alignment horizontal="center" vertical="center"/>
    </xf>
    <xf numFmtId="164" fontId="44" fillId="18" borderId="0" xfId="1" applyFont="1" applyFill="1" applyBorder="1" applyAlignment="1">
      <alignment horizontal="center" vertical="center"/>
    </xf>
    <xf numFmtId="178" fontId="44" fillId="18" borderId="0" xfId="0" applyNumberFormat="1" applyFont="1" applyFill="1" applyAlignment="1">
      <alignment horizontal="center" vertical="center"/>
    </xf>
    <xf numFmtId="178" fontId="48" fillId="19" borderId="0" xfId="0" applyNumberFormat="1" applyFont="1" applyFill="1" applyAlignment="1">
      <alignment horizontal="center" vertical="center"/>
    </xf>
    <xf numFmtId="168" fontId="46" fillId="18" borderId="0" xfId="1" applyNumberFormat="1" applyFont="1" applyFill="1" applyBorder="1" applyAlignment="1">
      <alignment horizontal="center" vertical="center"/>
    </xf>
    <xf numFmtId="0" fontId="44" fillId="18" borderId="0" xfId="1" applyNumberFormat="1" applyFont="1" applyFill="1" applyBorder="1" applyAlignment="1">
      <alignment horizontal="center" vertical="center"/>
    </xf>
    <xf numFmtId="168" fontId="46" fillId="20" borderId="0" xfId="0" applyNumberFormat="1" applyFont="1" applyFill="1" applyAlignment="1">
      <alignment horizontal="center" vertical="center"/>
    </xf>
    <xf numFmtId="168" fontId="49" fillId="13" borderId="0" xfId="0" applyNumberFormat="1" applyFont="1" applyFill="1" applyAlignment="1">
      <alignment horizontal="center" vertical="center"/>
    </xf>
    <xf numFmtId="168" fontId="0" fillId="18" borderId="0" xfId="0" applyNumberFormat="1" applyFill="1" applyAlignment="1">
      <alignment horizontal="center" vertical="center"/>
    </xf>
    <xf numFmtId="164" fontId="44" fillId="22" borderId="0" xfId="1" applyFont="1" applyFill="1" applyBorder="1" applyAlignment="1">
      <alignment horizontal="center" vertical="center"/>
    </xf>
    <xf numFmtId="164" fontId="44" fillId="8" borderId="0" xfId="1" applyFont="1" applyFill="1" applyBorder="1" applyAlignment="1">
      <alignment horizontal="center" vertical="center"/>
    </xf>
    <xf numFmtId="43" fontId="44" fillId="18" borderId="0" xfId="1" applyNumberFormat="1" applyFont="1" applyFill="1" applyBorder="1" applyAlignment="1">
      <alignment horizontal="center" vertical="center"/>
    </xf>
    <xf numFmtId="177" fontId="0" fillId="18" borderId="0" xfId="0" applyNumberFormat="1" applyFill="1" applyAlignment="1">
      <alignment horizontal="center" vertical="center"/>
    </xf>
    <xf numFmtId="22" fontId="0" fillId="18" borderId="0" xfId="0" applyNumberFormat="1" applyFill="1" applyAlignment="1">
      <alignment horizontal="center" vertical="center"/>
    </xf>
    <xf numFmtId="178" fontId="7" fillId="18" borderId="0" xfId="0" applyNumberFormat="1" applyFont="1" applyFill="1" applyAlignment="1">
      <alignment horizontal="center" vertical="center"/>
    </xf>
    <xf numFmtId="175" fontId="0" fillId="18" borderId="11" xfId="0" applyNumberFormat="1" applyFill="1" applyBorder="1" applyAlignment="1">
      <alignment horizontal="center" vertical="center"/>
    </xf>
    <xf numFmtId="175" fontId="44" fillId="22" borderId="0" xfId="0" applyNumberFormat="1" applyFont="1" applyFill="1" applyAlignment="1">
      <alignment horizontal="center" vertical="center"/>
    </xf>
    <xf numFmtId="179" fontId="44" fillId="18" borderId="0" xfId="0" applyNumberFormat="1" applyFont="1" applyFill="1" applyAlignment="1">
      <alignment horizontal="center" vertical="center"/>
    </xf>
    <xf numFmtId="178" fontId="0" fillId="18" borderId="0" xfId="0" applyNumberFormat="1" applyFill="1" applyAlignment="1">
      <alignment horizontal="center" vertical="center"/>
    </xf>
    <xf numFmtId="164" fontId="7" fillId="14" borderId="18" xfId="1" applyFont="1" applyFill="1" applyBorder="1" applyAlignment="1">
      <alignment horizontal="center"/>
    </xf>
    <xf numFmtId="164" fontId="7" fillId="14" borderId="19" xfId="1" applyFont="1" applyFill="1" applyBorder="1" applyAlignment="1">
      <alignment horizontal="center"/>
    </xf>
    <xf numFmtId="180" fontId="0" fillId="0" borderId="0" xfId="0" applyNumberFormat="1"/>
    <xf numFmtId="2" fontId="22" fillId="23" borderId="2" xfId="0" applyNumberFormat="1" applyFont="1" applyFill="1" applyBorder="1" applyAlignment="1">
      <alignment horizontal="center" vertical="center"/>
    </xf>
    <xf numFmtId="2" fontId="29" fillId="23" borderId="2" xfId="0" applyNumberFormat="1" applyFont="1" applyFill="1" applyBorder="1" applyAlignment="1">
      <alignment horizontal="center" vertical="center"/>
    </xf>
    <xf numFmtId="0" fontId="53" fillId="0" borderId="0" xfId="0" applyFont="1"/>
    <xf numFmtId="181" fontId="54" fillId="13" borderId="2" xfId="0" applyNumberFormat="1" applyFont="1" applyFill="1" applyBorder="1" applyAlignment="1">
      <alignment horizontal="center"/>
    </xf>
    <xf numFmtId="0" fontId="54" fillId="13" borderId="2" xfId="0" applyFont="1" applyFill="1" applyBorder="1" applyAlignment="1">
      <alignment horizontal="center"/>
    </xf>
    <xf numFmtId="0" fontId="55" fillId="0" borderId="0" xfId="0" applyFont="1" applyAlignment="1">
      <alignment horizontal="center"/>
    </xf>
    <xf numFmtId="181" fontId="56" fillId="0" borderId="2" xfId="0" applyNumberFormat="1" applyFont="1" applyBorder="1"/>
    <xf numFmtId="2" fontId="56" fillId="0" borderId="2" xfId="0" applyNumberFormat="1" applyFont="1" applyBorder="1"/>
    <xf numFmtId="0" fontId="56" fillId="0" borderId="0" xfId="0" applyFont="1"/>
    <xf numFmtId="181" fontId="56" fillId="11" borderId="2" xfId="0" applyNumberFormat="1" applyFont="1" applyFill="1" applyBorder="1"/>
    <xf numFmtId="2" fontId="56" fillId="11" borderId="2" xfId="0" applyNumberFormat="1" applyFont="1" applyFill="1" applyBorder="1"/>
    <xf numFmtId="181" fontId="56" fillId="0" borderId="0" xfId="0" applyNumberFormat="1" applyFont="1"/>
    <xf numFmtId="182" fontId="44" fillId="18" borderId="0" xfId="1" applyNumberFormat="1" applyFont="1" applyFill="1" applyBorder="1" applyAlignment="1">
      <alignment horizontal="center" vertical="center"/>
    </xf>
    <xf numFmtId="0" fontId="35" fillId="0" borderId="0" xfId="4" applyAlignment="1">
      <alignment horizontal="center"/>
    </xf>
    <xf numFmtId="0" fontId="27" fillId="0" borderId="49" xfId="0" quotePrefix="1" applyFont="1" applyBorder="1" applyAlignment="1">
      <alignment horizontal="center" vertical="center"/>
    </xf>
    <xf numFmtId="0" fontId="27" fillId="0" borderId="50" xfId="0" quotePrefix="1" applyFont="1" applyBorder="1" applyAlignment="1">
      <alignment horizontal="center" vertical="center"/>
    </xf>
    <xf numFmtId="0" fontId="27" fillId="0" borderId="50" xfId="0" applyFont="1" applyBorder="1" applyAlignment="1">
      <alignment horizontal="center" vertical="center"/>
    </xf>
    <xf numFmtId="46" fontId="27" fillId="0" borderId="51" xfId="0" applyNumberFormat="1" applyFont="1" applyBorder="1" applyAlignment="1">
      <alignment horizontal="center" vertical="center"/>
    </xf>
    <xf numFmtId="0" fontId="27" fillId="0" borderId="27" xfId="0" applyFont="1" applyBorder="1" applyAlignment="1">
      <alignment horizontal="center" vertical="center"/>
    </xf>
    <xf numFmtId="0" fontId="7" fillId="0" borderId="52" xfId="0" applyFont="1" applyBorder="1" applyAlignment="1">
      <alignment horizontal="center"/>
    </xf>
    <xf numFmtId="172" fontId="7" fillId="0" borderId="44" xfId="0" applyNumberFormat="1" applyFont="1" applyBorder="1" applyAlignment="1">
      <alignment horizontal="center" vertical="center"/>
    </xf>
    <xf numFmtId="0" fontId="7" fillId="0" borderId="44" xfId="0" applyFont="1" applyBorder="1" applyAlignment="1">
      <alignment horizontal="center"/>
    </xf>
    <xf numFmtId="46" fontId="7" fillId="0" borderId="53" xfId="0" applyNumberFormat="1" applyFont="1" applyBorder="1" applyAlignment="1">
      <alignment horizontal="center" vertical="center"/>
    </xf>
    <xf numFmtId="0" fontId="0" fillId="0" borderId="54" xfId="0" applyBorder="1"/>
    <xf numFmtId="0" fontId="0" fillId="0" borderId="55" xfId="0" applyBorder="1"/>
    <xf numFmtId="46" fontId="7" fillId="0" borderId="0" xfId="0" applyNumberFormat="1" applyFont="1"/>
    <xf numFmtId="172" fontId="27" fillId="0" borderId="50" xfId="0" quotePrefix="1" applyNumberFormat="1" applyFont="1" applyBorder="1" applyAlignment="1">
      <alignment horizontal="center" vertical="center"/>
    </xf>
    <xf numFmtId="172" fontId="0" fillId="0" borderId="0" xfId="0" applyNumberFormat="1"/>
    <xf numFmtId="0" fontId="0" fillId="0" borderId="0" xfId="0" applyAlignment="1">
      <alignment wrapText="1"/>
    </xf>
    <xf numFmtId="14" fontId="0" fillId="0" borderId="0" xfId="0" applyNumberFormat="1"/>
    <xf numFmtId="172" fontId="27" fillId="0" borderId="2" xfId="0" quotePrefix="1" applyNumberFormat="1" applyFont="1" applyBorder="1" applyAlignment="1">
      <alignment horizontal="center" vertical="center"/>
    </xf>
    <xf numFmtId="164" fontId="7" fillId="0" borderId="2" xfId="1" applyFont="1" applyFill="1" applyBorder="1" applyAlignment="1">
      <alignment horizontal="center"/>
    </xf>
    <xf numFmtId="0" fontId="44" fillId="18" borderId="0" xfId="0" applyFont="1" applyFill="1" applyAlignment="1">
      <alignment horizontal="center" vertical="center"/>
    </xf>
    <xf numFmtId="0" fontId="0" fillId="0" borderId="2" xfId="0" applyBorder="1" applyAlignment="1">
      <alignment horizontal="center"/>
    </xf>
    <xf numFmtId="20" fontId="21" fillId="13" borderId="14" xfId="0" applyNumberFormat="1" applyFont="1" applyFill="1" applyBorder="1" applyAlignment="1">
      <alignment horizontal="center" vertical="center"/>
    </xf>
    <xf numFmtId="0" fontId="0" fillId="21" borderId="2" xfId="0" applyFill="1" applyBorder="1" applyAlignment="1">
      <alignment horizontal="center"/>
    </xf>
    <xf numFmtId="0" fontId="0" fillId="17" borderId="2" xfId="0" applyFill="1" applyBorder="1" applyAlignment="1">
      <alignment horizontal="center"/>
    </xf>
    <xf numFmtId="0" fontId="0" fillId="0" borderId="17" xfId="0" applyBorder="1"/>
    <xf numFmtId="0" fontId="0" fillId="0" borderId="38" xfId="0" applyBorder="1"/>
    <xf numFmtId="0" fontId="0" fillId="0" borderId="31" xfId="0" applyBorder="1"/>
    <xf numFmtId="0" fontId="0" fillId="0" borderId="24" xfId="0" applyBorder="1"/>
    <xf numFmtId="0" fontId="0" fillId="0" borderId="37" xfId="0" applyBorder="1"/>
    <xf numFmtId="0" fontId="0" fillId="21" borderId="3" xfId="0" applyFill="1" applyBorder="1"/>
    <xf numFmtId="0" fontId="0" fillId="17" borderId="3" xfId="0" applyFill="1" applyBorder="1"/>
    <xf numFmtId="0" fontId="0" fillId="8" borderId="32" xfId="0" applyFill="1" applyBorder="1"/>
    <xf numFmtId="0" fontId="0" fillId="8" borderId="2" xfId="0" applyFill="1" applyBorder="1" applyAlignment="1">
      <alignment horizontal="center"/>
    </xf>
    <xf numFmtId="164" fontId="7" fillId="0" borderId="18" xfId="1" applyFont="1" applyFill="1" applyBorder="1" applyAlignment="1">
      <alignment horizontal="center"/>
    </xf>
    <xf numFmtId="164" fontId="7" fillId="0" borderId="3" xfId="1" applyFont="1" applyFill="1" applyBorder="1" applyAlignment="1">
      <alignment horizontal="center"/>
    </xf>
    <xf numFmtId="164" fontId="7" fillId="0" borderId="19" xfId="1" applyFont="1" applyFill="1" applyBorder="1" applyAlignment="1">
      <alignment horizontal="center"/>
    </xf>
    <xf numFmtId="164" fontId="7" fillId="0" borderId="39" xfId="1" applyFont="1" applyFill="1" applyBorder="1" applyAlignment="1">
      <alignment horizontal="center"/>
    </xf>
    <xf numFmtId="164" fontId="7" fillId="0" borderId="0" xfId="1" applyFont="1" applyFill="1" applyAlignment="1">
      <alignment horizontal="center"/>
    </xf>
    <xf numFmtId="164" fontId="7" fillId="0" borderId="0" xfId="1" applyFont="1" applyFill="1" applyBorder="1" applyAlignment="1">
      <alignment horizontal="center"/>
    </xf>
    <xf numFmtId="164" fontId="7" fillId="0" borderId="40" xfId="1" applyFont="1" applyFill="1" applyBorder="1" applyAlignment="1">
      <alignment horizontal="center"/>
    </xf>
    <xf numFmtId="164" fontId="52" fillId="0" borderId="2" xfId="1" applyFont="1" applyFill="1" applyBorder="1" applyAlignment="1">
      <alignment horizontal="center"/>
    </xf>
    <xf numFmtId="0" fontId="7" fillId="0" borderId="0" xfId="0" quotePrefix="1" applyFont="1" applyAlignment="1">
      <alignment horizontal="left"/>
    </xf>
    <xf numFmtId="0" fontId="7" fillId="0" borderId="6" xfId="0" applyFont="1" applyBorder="1" applyAlignment="1">
      <alignment horizontal="center"/>
    </xf>
    <xf numFmtId="0" fontId="26" fillId="16" borderId="41" xfId="0" applyFont="1" applyFill="1" applyBorder="1" applyAlignment="1">
      <alignment horizontal="center" vertical="center"/>
    </xf>
    <xf numFmtId="0" fontId="13" fillId="0" borderId="0" xfId="0" applyFont="1"/>
    <xf numFmtId="0" fontId="57" fillId="16" borderId="39" xfId="0" applyFont="1" applyFill="1" applyBorder="1" applyAlignment="1">
      <alignment horizontal="center" vertical="center"/>
    </xf>
    <xf numFmtId="0" fontId="57" fillId="16" borderId="40" xfId="0" applyFont="1" applyFill="1" applyBorder="1" applyAlignment="1">
      <alignment horizontal="center" vertical="center"/>
    </xf>
    <xf numFmtId="2" fontId="58" fillId="16" borderId="61" xfId="0" applyNumberFormat="1" applyFont="1" applyFill="1" applyBorder="1" applyAlignment="1">
      <alignment horizontal="center" vertical="center"/>
    </xf>
    <xf numFmtId="2" fontId="58" fillId="16" borderId="16" xfId="0" applyNumberFormat="1" applyFont="1" applyFill="1" applyBorder="1" applyAlignment="1">
      <alignment horizontal="center" vertical="center"/>
    </xf>
    <xf numFmtId="2" fontId="58" fillId="16" borderId="12" xfId="0" applyNumberFormat="1" applyFont="1" applyFill="1" applyBorder="1" applyAlignment="1">
      <alignment horizontal="center" vertical="center"/>
    </xf>
    <xf numFmtId="2" fontId="58" fillId="16" borderId="14" xfId="0" applyNumberFormat="1" applyFont="1" applyFill="1" applyBorder="1" applyAlignment="1">
      <alignment horizontal="center" vertical="center"/>
    </xf>
    <xf numFmtId="2" fontId="58" fillId="16" borderId="10" xfId="0" applyNumberFormat="1" applyFont="1" applyFill="1" applyBorder="1" applyAlignment="1">
      <alignment horizontal="center" vertical="center"/>
    </xf>
    <xf numFmtId="2" fontId="58" fillId="16" borderId="62" xfId="0" applyNumberFormat="1" applyFont="1" applyFill="1" applyBorder="1" applyAlignment="1">
      <alignment horizontal="center" vertical="center"/>
    </xf>
    <xf numFmtId="2" fontId="58" fillId="16" borderId="23" xfId="0" applyNumberFormat="1" applyFont="1" applyFill="1" applyBorder="1" applyAlignment="1">
      <alignment horizontal="center" vertical="center"/>
    </xf>
    <xf numFmtId="2" fontId="58" fillId="16" borderId="63" xfId="0" applyNumberFormat="1" applyFont="1" applyFill="1" applyBorder="1" applyAlignment="1">
      <alignment horizontal="center" vertical="center"/>
    </xf>
    <xf numFmtId="2" fontId="58" fillId="16" borderId="64" xfId="0" applyNumberFormat="1" applyFont="1" applyFill="1" applyBorder="1" applyAlignment="1">
      <alignment horizontal="center" vertical="center"/>
    </xf>
    <xf numFmtId="2" fontId="58" fillId="16" borderId="65" xfId="0" applyNumberFormat="1" applyFont="1" applyFill="1" applyBorder="1" applyAlignment="1">
      <alignment horizontal="center" vertical="center"/>
    </xf>
    <xf numFmtId="2" fontId="58" fillId="16" borderId="32" xfId="0" applyNumberFormat="1" applyFont="1" applyFill="1" applyBorder="1" applyAlignment="1">
      <alignment horizontal="center" vertical="center" wrapText="1"/>
    </xf>
    <xf numFmtId="0" fontId="57" fillId="16" borderId="32" xfId="0" applyFont="1" applyFill="1" applyBorder="1" applyAlignment="1">
      <alignment horizontal="center" vertical="center"/>
    </xf>
    <xf numFmtId="0" fontId="57" fillId="16" borderId="33" xfId="0" applyFont="1" applyFill="1" applyBorder="1" applyAlignment="1">
      <alignment horizontal="center" vertical="center"/>
    </xf>
    <xf numFmtId="2" fontId="59" fillId="8" borderId="39" xfId="0" applyNumberFormat="1" applyFont="1" applyFill="1" applyBorder="1"/>
    <xf numFmtId="2" fontId="59" fillId="8" borderId="40" xfId="0" applyNumberFormat="1" applyFont="1" applyFill="1" applyBorder="1"/>
    <xf numFmtId="2" fontId="59" fillId="8" borderId="37" xfId="0" applyNumberFormat="1" applyFont="1" applyFill="1" applyBorder="1"/>
    <xf numFmtId="2" fontId="7" fillId="0" borderId="20" xfId="0" applyNumberFormat="1" applyFont="1" applyBorder="1" applyAlignment="1">
      <alignment horizontal="center"/>
    </xf>
    <xf numFmtId="2" fontId="7" fillId="0" borderId="22" xfId="0" applyNumberFormat="1" applyFont="1" applyBorder="1" applyAlignment="1">
      <alignment horizontal="center"/>
    </xf>
    <xf numFmtId="2" fontId="7" fillId="0" borderId="56" xfId="0" applyNumberFormat="1" applyFont="1" applyBorder="1" applyAlignment="1">
      <alignment horizontal="center"/>
    </xf>
    <xf numFmtId="2" fontId="7" fillId="0" borderId="21" xfId="0" applyNumberFormat="1" applyFont="1" applyBorder="1" applyAlignment="1">
      <alignment horizontal="center"/>
    </xf>
    <xf numFmtId="2" fontId="7" fillId="0" borderId="57" xfId="0" applyNumberFormat="1" applyFont="1" applyBorder="1" applyAlignment="1">
      <alignment horizontal="center"/>
    </xf>
    <xf numFmtId="2" fontId="7" fillId="0" borderId="17" xfId="0" applyNumberFormat="1" applyFont="1" applyBorder="1" applyAlignment="1">
      <alignment horizontal="center"/>
    </xf>
    <xf numFmtId="2" fontId="7" fillId="11" borderId="18" xfId="0" applyNumberFormat="1" applyFont="1" applyFill="1" applyBorder="1" applyAlignment="1">
      <alignment horizontal="center"/>
    </xf>
    <xf numFmtId="2" fontId="7" fillId="11" borderId="19" xfId="0" applyNumberFormat="1" applyFont="1" applyFill="1" applyBorder="1" applyAlignment="1">
      <alignment horizontal="center"/>
    </xf>
    <xf numFmtId="2" fontId="7" fillId="11" borderId="5" xfId="0" applyNumberFormat="1" applyFont="1" applyFill="1" applyBorder="1" applyAlignment="1">
      <alignment horizontal="center"/>
    </xf>
    <xf numFmtId="2" fontId="7" fillId="11" borderId="2" xfId="0" applyNumberFormat="1" applyFont="1" applyFill="1" applyBorder="1" applyAlignment="1">
      <alignment horizontal="center"/>
    </xf>
    <xf numFmtId="2" fontId="7" fillId="11" borderId="3" xfId="0" applyNumberFormat="1" applyFont="1" applyFill="1" applyBorder="1" applyAlignment="1">
      <alignment horizontal="center"/>
    </xf>
    <xf numFmtId="2" fontId="7" fillId="11" borderId="38" xfId="0" applyNumberFormat="1" applyFont="1" applyFill="1" applyBorder="1" applyAlignment="1">
      <alignment horizontal="center"/>
    </xf>
    <xf numFmtId="2" fontId="7" fillId="11" borderId="4" xfId="0" applyNumberFormat="1" applyFont="1" applyFill="1" applyBorder="1" applyAlignment="1">
      <alignment horizontal="center"/>
    </xf>
    <xf numFmtId="2" fontId="7" fillId="0" borderId="18" xfId="0" applyNumberFormat="1" applyFont="1" applyBorder="1" applyAlignment="1">
      <alignment horizontal="center"/>
    </xf>
    <xf numFmtId="2" fontId="7" fillId="0" borderId="19" xfId="0" applyNumberFormat="1" applyFont="1" applyBorder="1" applyAlignment="1">
      <alignment horizontal="center"/>
    </xf>
    <xf numFmtId="2" fontId="7" fillId="0" borderId="5" xfId="0" applyNumberFormat="1" applyFont="1" applyBorder="1" applyAlignment="1">
      <alignment horizontal="center"/>
    </xf>
    <xf numFmtId="2" fontId="7" fillId="0" borderId="2" xfId="0" applyNumberFormat="1" applyFont="1" applyBorder="1" applyAlignment="1">
      <alignment horizontal="center"/>
    </xf>
    <xf numFmtId="2" fontId="7" fillId="0" borderId="3" xfId="0" applyNumberFormat="1" applyFont="1" applyBorder="1" applyAlignment="1">
      <alignment horizontal="center"/>
    </xf>
    <xf numFmtId="2" fontId="7" fillId="0" borderId="38" xfId="0" applyNumberFormat="1" applyFont="1" applyBorder="1" applyAlignment="1">
      <alignment horizontal="center"/>
    </xf>
    <xf numFmtId="2" fontId="7" fillId="0" borderId="4" xfId="0" applyNumberFormat="1" applyFont="1" applyBorder="1" applyAlignment="1">
      <alignment horizontal="center"/>
    </xf>
    <xf numFmtId="2" fontId="7" fillId="11" borderId="0" xfId="0" applyNumberFormat="1" applyFont="1" applyFill="1" applyAlignment="1">
      <alignment horizontal="center"/>
    </xf>
    <xf numFmtId="2" fontId="7" fillId="11" borderId="60" xfId="0" applyNumberFormat="1" applyFont="1" applyFill="1" applyBorder="1" applyAlignment="1">
      <alignment horizontal="center"/>
    </xf>
    <xf numFmtId="2" fontId="7" fillId="11" borderId="16" xfId="0" applyNumberFormat="1" applyFont="1" applyFill="1" applyBorder="1" applyAlignment="1">
      <alignment horizontal="center"/>
    </xf>
    <xf numFmtId="2" fontId="7" fillId="11" borderId="74" xfId="0" applyNumberFormat="1" applyFont="1" applyFill="1" applyBorder="1" applyAlignment="1">
      <alignment horizontal="center"/>
    </xf>
    <xf numFmtId="2" fontId="7" fillId="11" borderId="61" xfId="0" applyNumberFormat="1" applyFont="1" applyFill="1" applyBorder="1" applyAlignment="1">
      <alignment horizontal="center"/>
    </xf>
    <xf numFmtId="2" fontId="7" fillId="11" borderId="75" xfId="0" applyNumberFormat="1" applyFont="1" applyFill="1" applyBorder="1" applyAlignment="1">
      <alignment horizontal="center"/>
    </xf>
    <xf numFmtId="2" fontId="7" fillId="11" borderId="31" xfId="0" applyNumberFormat="1" applyFont="1" applyFill="1" applyBorder="1" applyAlignment="1">
      <alignment horizontal="center"/>
    </xf>
    <xf numFmtId="2" fontId="7" fillId="11" borderId="73" xfId="0" applyNumberFormat="1" applyFont="1" applyFill="1" applyBorder="1" applyAlignment="1">
      <alignment horizontal="center"/>
    </xf>
    <xf numFmtId="2" fontId="7" fillId="0" borderId="0" xfId="0" applyNumberFormat="1" applyFont="1" applyAlignment="1">
      <alignment horizontal="center"/>
    </xf>
    <xf numFmtId="2" fontId="7" fillId="0" borderId="6" xfId="0" applyNumberFormat="1" applyFont="1" applyBorder="1" applyAlignment="1">
      <alignment horizontal="center"/>
    </xf>
    <xf numFmtId="0" fontId="60" fillId="15" borderId="17" xfId="0" quotePrefix="1" applyFont="1" applyFill="1" applyBorder="1" applyAlignment="1">
      <alignment horizontal="center" vertical="center"/>
    </xf>
    <xf numFmtId="0" fontId="60" fillId="15" borderId="59" xfId="0" quotePrefix="1" applyFont="1" applyFill="1" applyBorder="1" applyAlignment="1">
      <alignment horizontal="center" vertical="center"/>
    </xf>
    <xf numFmtId="2" fontId="7" fillId="0" borderId="1" xfId="0" applyNumberFormat="1" applyFont="1" applyBorder="1" applyAlignment="1">
      <alignment horizontal="center"/>
    </xf>
    <xf numFmtId="0" fontId="60" fillId="25" borderId="38" xfId="0" quotePrefix="1" applyFont="1" applyFill="1" applyBorder="1" applyAlignment="1">
      <alignment horizontal="center" vertical="center"/>
    </xf>
    <xf numFmtId="0" fontId="60" fillId="15" borderId="76" xfId="0" quotePrefix="1" applyFont="1" applyFill="1" applyBorder="1" applyAlignment="1">
      <alignment horizontal="center" vertical="center"/>
    </xf>
    <xf numFmtId="0" fontId="60" fillId="25" borderId="31" xfId="0" quotePrefix="1" applyFont="1" applyFill="1" applyBorder="1" applyAlignment="1">
      <alignment horizontal="center" vertical="center"/>
    </xf>
    <xf numFmtId="0" fontId="60" fillId="15" borderId="33" xfId="0" quotePrefix="1" applyFont="1" applyFill="1" applyBorder="1" applyAlignment="1">
      <alignment horizontal="center" vertical="center"/>
    </xf>
    <xf numFmtId="0" fontId="30" fillId="7" borderId="2" xfId="0" applyFont="1" applyFill="1" applyBorder="1" applyAlignment="1">
      <alignment horizontal="left" vertical="center" indent="2"/>
    </xf>
    <xf numFmtId="0" fontId="0" fillId="0" borderId="2" xfId="0" applyBorder="1"/>
    <xf numFmtId="0" fontId="7" fillId="0" borderId="77" xfId="0" applyFont="1" applyBorder="1" applyAlignment="1">
      <alignment horizontal="center"/>
    </xf>
    <xf numFmtId="172" fontId="7" fillId="0" borderId="78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horizontal="center"/>
    </xf>
    <xf numFmtId="172" fontId="7" fillId="0" borderId="2" xfId="0" applyNumberFormat="1" applyFont="1" applyBorder="1" applyAlignment="1">
      <alignment horizontal="center"/>
    </xf>
    <xf numFmtId="0" fontId="7" fillId="0" borderId="79" xfId="0" applyFont="1" applyBorder="1" applyAlignment="1">
      <alignment horizontal="center"/>
    </xf>
    <xf numFmtId="172" fontId="7" fillId="0" borderId="80" xfId="0" applyNumberFormat="1" applyFont="1" applyBorder="1" applyAlignment="1">
      <alignment horizontal="center" vertical="center"/>
    </xf>
    <xf numFmtId="0" fontId="7" fillId="0" borderId="81" xfId="0" applyFont="1" applyBorder="1" applyAlignment="1">
      <alignment horizontal="center" vertical="center"/>
    </xf>
    <xf numFmtId="0" fontId="7" fillId="0" borderId="82" xfId="0" applyFont="1" applyBorder="1" applyAlignment="1">
      <alignment horizontal="center" vertical="center"/>
    </xf>
    <xf numFmtId="0" fontId="7" fillId="0" borderId="18" xfId="0" applyFont="1" applyBorder="1" applyAlignment="1">
      <alignment horizontal="center"/>
    </xf>
    <xf numFmtId="0" fontId="7" fillId="0" borderId="19" xfId="0" applyFont="1" applyBorder="1" applyAlignment="1">
      <alignment horizontal="center"/>
    </xf>
    <xf numFmtId="0" fontId="7" fillId="0" borderId="53" xfId="0" applyFont="1" applyBorder="1" applyAlignment="1">
      <alignment horizontal="center" vertical="center"/>
    </xf>
    <xf numFmtId="0" fontId="7" fillId="0" borderId="83" xfId="0" applyFont="1" applyBorder="1" applyAlignment="1">
      <alignment horizontal="center"/>
    </xf>
    <xf numFmtId="172" fontId="7" fillId="0" borderId="84" xfId="0" applyNumberFormat="1" applyFont="1" applyBorder="1" applyAlignment="1">
      <alignment horizontal="center" vertical="center"/>
    </xf>
    <xf numFmtId="0" fontId="7" fillId="0" borderId="85" xfId="0" applyFont="1" applyBorder="1" applyAlignment="1">
      <alignment horizontal="center" vertical="center"/>
    </xf>
    <xf numFmtId="46" fontId="7" fillId="0" borderId="86" xfId="0" applyNumberFormat="1" applyFont="1" applyBorder="1" applyAlignment="1">
      <alignment horizontal="center" vertical="center"/>
    </xf>
    <xf numFmtId="0" fontId="7" fillId="0" borderId="78" xfId="0" applyFont="1" applyBorder="1" applyAlignment="1">
      <alignment horizontal="center"/>
    </xf>
    <xf numFmtId="172" fontId="7" fillId="0" borderId="2" xfId="0" applyNumberFormat="1" applyFont="1" applyBorder="1" applyAlignment="1">
      <alignment horizontal="center" vertical="center"/>
    </xf>
    <xf numFmtId="0" fontId="7" fillId="0" borderId="80" xfId="0" applyFont="1" applyBorder="1" applyAlignment="1">
      <alignment horizontal="center"/>
    </xf>
    <xf numFmtId="46" fontId="7" fillId="0" borderId="81" xfId="0" applyNumberFormat="1" applyFont="1" applyBorder="1" applyAlignment="1">
      <alignment horizontal="center" vertical="center"/>
    </xf>
    <xf numFmtId="0" fontId="0" fillId="0" borderId="71" xfId="0" applyBorder="1"/>
    <xf numFmtId="0" fontId="7" fillId="0" borderId="87" xfId="0" applyFont="1" applyBorder="1" applyAlignment="1">
      <alignment horizontal="center"/>
    </xf>
    <xf numFmtId="0" fontId="7" fillId="0" borderId="88" xfId="0" applyFont="1" applyBorder="1" applyAlignment="1">
      <alignment horizontal="center" vertical="center"/>
    </xf>
    <xf numFmtId="46" fontId="7" fillId="0" borderId="85" xfId="0" applyNumberFormat="1" applyFont="1" applyBorder="1" applyAlignment="1">
      <alignment horizontal="center" vertical="center"/>
    </xf>
    <xf numFmtId="0" fontId="0" fillId="0" borderId="72" xfId="0" applyBorder="1"/>
    <xf numFmtId="20" fontId="7" fillId="0" borderId="53" xfId="0" applyNumberFormat="1" applyFont="1" applyBorder="1" applyAlignment="1">
      <alignment horizontal="center" vertical="center"/>
    </xf>
    <xf numFmtId="2" fontId="7" fillId="0" borderId="0" xfId="0" applyNumberFormat="1" applyFont="1" applyAlignment="1">
      <alignment vertical="center"/>
    </xf>
    <xf numFmtId="164" fontId="7" fillId="26" borderId="18" xfId="1" applyFont="1" applyFill="1" applyBorder="1" applyAlignment="1">
      <alignment horizontal="center"/>
    </xf>
    <xf numFmtId="164" fontId="7" fillId="26" borderId="3" xfId="1" applyFont="1" applyFill="1" applyBorder="1" applyAlignment="1">
      <alignment horizontal="center"/>
    </xf>
    <xf numFmtId="164" fontId="7" fillId="26" borderId="2" xfId="1" applyFont="1" applyFill="1" applyBorder="1" applyAlignment="1">
      <alignment horizontal="center"/>
    </xf>
    <xf numFmtId="164" fontId="7" fillId="26" borderId="19" xfId="1" applyFont="1" applyFill="1" applyBorder="1" applyAlignment="1">
      <alignment horizontal="center"/>
    </xf>
    <xf numFmtId="164" fontId="7" fillId="2" borderId="18" xfId="1" applyFont="1" applyFill="1" applyBorder="1" applyAlignment="1">
      <alignment horizontal="center"/>
    </xf>
    <xf numFmtId="164" fontId="7" fillId="2" borderId="3" xfId="1" applyFont="1" applyFill="1" applyBorder="1" applyAlignment="1">
      <alignment horizontal="center"/>
    </xf>
    <xf numFmtId="183" fontId="0" fillId="0" borderId="0" xfId="0" applyNumberFormat="1"/>
    <xf numFmtId="164" fontId="7" fillId="14" borderId="3" xfId="1" applyFont="1" applyFill="1" applyBorder="1" applyAlignment="1">
      <alignment horizontal="center"/>
    </xf>
    <xf numFmtId="164" fontId="26" fillId="16" borderId="89" xfId="1" applyFont="1" applyFill="1" applyBorder="1" applyAlignment="1">
      <alignment horizontal="center" vertical="center"/>
    </xf>
    <xf numFmtId="164" fontId="7" fillId="0" borderId="6" xfId="1" applyFont="1" applyBorder="1" applyAlignment="1">
      <alignment horizontal="center"/>
    </xf>
    <xf numFmtId="164" fontId="7" fillId="0" borderId="6" xfId="1" applyFont="1" applyFill="1" applyBorder="1" applyAlignment="1">
      <alignment horizontal="center"/>
    </xf>
    <xf numFmtId="20" fontId="7" fillId="0" borderId="44" xfId="0" applyNumberFormat="1" applyFont="1" applyBorder="1" applyAlignment="1">
      <alignment horizontal="center"/>
    </xf>
    <xf numFmtId="20" fontId="27" fillId="17" borderId="59" xfId="0" applyNumberFormat="1" applyFont="1" applyFill="1" applyBorder="1" applyAlignment="1">
      <alignment horizontal="center" vertical="center"/>
    </xf>
    <xf numFmtId="20" fontId="27" fillId="17" borderId="90" xfId="0" applyNumberFormat="1" applyFont="1" applyFill="1" applyBorder="1" applyAlignment="1">
      <alignment horizontal="center" vertical="center"/>
    </xf>
    <xf numFmtId="20" fontId="27" fillId="17" borderId="91" xfId="0" applyNumberFormat="1" applyFont="1" applyFill="1" applyBorder="1" applyAlignment="1">
      <alignment horizontal="center" vertical="center"/>
    </xf>
    <xf numFmtId="14" fontId="27" fillId="17" borderId="71" xfId="0" applyNumberFormat="1" applyFont="1" applyFill="1" applyBorder="1" applyAlignment="1">
      <alignment horizontal="center" vertical="center"/>
    </xf>
    <xf numFmtId="14" fontId="27" fillId="17" borderId="55" xfId="0" applyNumberFormat="1" applyFont="1" applyFill="1" applyBorder="1" applyAlignment="1">
      <alignment horizontal="center" vertical="center"/>
    </xf>
    <xf numFmtId="14" fontId="27" fillId="17" borderId="72" xfId="0" applyNumberFormat="1" applyFont="1" applyFill="1" applyBorder="1" applyAlignment="1">
      <alignment horizontal="center" vertical="center"/>
    </xf>
    <xf numFmtId="0" fontId="23" fillId="6" borderId="5" xfId="0" applyFont="1" applyFill="1" applyBorder="1" applyAlignment="1">
      <alignment horizontal="left" vertical="center"/>
    </xf>
    <xf numFmtId="2" fontId="9" fillId="6" borderId="2" xfId="0" applyNumberFormat="1" applyFont="1" applyFill="1" applyBorder="1" applyAlignment="1">
      <alignment horizontal="center" vertical="center"/>
    </xf>
    <xf numFmtId="0" fontId="61" fillId="6" borderId="4" xfId="0" applyFont="1" applyFill="1" applyBorder="1" applyAlignment="1">
      <alignment vertical="center"/>
    </xf>
    <xf numFmtId="0" fontId="61" fillId="6" borderId="2" xfId="0" applyFont="1" applyFill="1" applyBorder="1" applyAlignment="1">
      <alignment vertical="center"/>
    </xf>
    <xf numFmtId="2" fontId="62" fillId="6" borderId="2" xfId="0" applyNumberFormat="1" applyFont="1" applyFill="1" applyBorder="1" applyAlignment="1">
      <alignment horizontal="center" vertical="center"/>
    </xf>
    <xf numFmtId="0" fontId="61" fillId="0" borderId="2" xfId="0" applyFont="1" applyBorder="1" applyAlignment="1">
      <alignment vertical="center"/>
    </xf>
    <xf numFmtId="0" fontId="61" fillId="0" borderId="4" xfId="0" applyFont="1" applyBorder="1" applyAlignment="1">
      <alignment vertical="center"/>
    </xf>
    <xf numFmtId="2" fontId="62" fillId="0" borderId="2" xfId="0" applyNumberFormat="1" applyFont="1" applyBorder="1" applyAlignment="1">
      <alignment horizontal="center" vertical="center"/>
    </xf>
    <xf numFmtId="0" fontId="23" fillId="0" borderId="5" xfId="0" applyFont="1" applyBorder="1" applyAlignment="1">
      <alignment horizontal="left" vertical="center"/>
    </xf>
    <xf numFmtId="171" fontId="12" fillId="0" borderId="2" xfId="1" applyNumberFormat="1" applyFont="1" applyBorder="1" applyAlignment="1">
      <alignment horizontal="center" vertical="center"/>
    </xf>
    <xf numFmtId="2" fontId="7" fillId="0" borderId="58" xfId="0" applyNumberFormat="1" applyFont="1" applyBorder="1" applyAlignment="1">
      <alignment horizontal="center"/>
    </xf>
    <xf numFmtId="171" fontId="63" fillId="0" borderId="2" xfId="1" applyNumberFormat="1" applyFont="1" applyBorder="1" applyAlignment="1">
      <alignment horizontal="center" vertical="center"/>
    </xf>
    <xf numFmtId="164" fontId="48" fillId="22" borderId="0" xfId="1" applyFont="1" applyFill="1" applyBorder="1" applyAlignment="1">
      <alignment horizontal="center" vertical="center"/>
    </xf>
    <xf numFmtId="164" fontId="64" fillId="22" borderId="0" xfId="1" applyFont="1" applyFill="1" applyBorder="1" applyAlignment="1">
      <alignment horizontal="center" vertical="center"/>
    </xf>
    <xf numFmtId="164" fontId="64" fillId="8" borderId="0" xfId="1" applyFont="1" applyFill="1" applyBorder="1" applyAlignment="1">
      <alignment horizontal="center" vertical="center"/>
    </xf>
    <xf numFmtId="0" fontId="66" fillId="0" borderId="0" xfId="0" applyFont="1" applyAlignment="1">
      <alignment wrapText="1"/>
    </xf>
    <xf numFmtId="164" fontId="65" fillId="18" borderId="8" xfId="0" applyNumberFormat="1" applyFont="1" applyFill="1" applyBorder="1" applyAlignment="1">
      <alignment horizontal="center" vertical="center"/>
    </xf>
    <xf numFmtId="164" fontId="64" fillId="18" borderId="8" xfId="0" applyNumberFormat="1" applyFont="1" applyFill="1" applyBorder="1" applyAlignment="1">
      <alignment horizontal="center" vertical="center"/>
    </xf>
    <xf numFmtId="164" fontId="0" fillId="18" borderId="8" xfId="0" applyNumberFormat="1" applyFill="1" applyBorder="1" applyAlignment="1">
      <alignment horizontal="center" vertical="center"/>
    </xf>
    <xf numFmtId="164" fontId="0" fillId="18" borderId="9" xfId="0" applyNumberFormat="1" applyFill="1" applyBorder="1" applyAlignment="1">
      <alignment horizontal="center" vertical="center"/>
    </xf>
    <xf numFmtId="164" fontId="0" fillId="17" borderId="0" xfId="0" applyNumberFormat="1" applyFill="1" applyAlignment="1">
      <alignment horizontal="center"/>
    </xf>
    <xf numFmtId="164" fontId="0" fillId="18" borderId="12" xfId="0" applyNumberFormat="1" applyFill="1" applyBorder="1" applyAlignment="1">
      <alignment horizontal="center" vertical="center"/>
    </xf>
    <xf numFmtId="164" fontId="67" fillId="18" borderId="8" xfId="0" applyNumberFormat="1" applyFont="1" applyFill="1" applyBorder="1" applyAlignment="1">
      <alignment horizontal="center" vertical="center"/>
    </xf>
    <xf numFmtId="164" fontId="0" fillId="17" borderId="0" xfId="0" applyNumberFormat="1" applyFill="1" applyAlignment="1">
      <alignment horizontal="center" vertical="center"/>
    </xf>
    <xf numFmtId="164" fontId="0" fillId="18" borderId="0" xfId="0" applyNumberFormat="1" applyFill="1" applyAlignment="1">
      <alignment horizontal="center" vertical="center"/>
    </xf>
    <xf numFmtId="164" fontId="0" fillId="18" borderId="1" xfId="0" applyNumberFormat="1" applyFill="1" applyBorder="1" applyAlignment="1">
      <alignment horizontal="center" vertical="center"/>
    </xf>
    <xf numFmtId="164" fontId="0" fillId="18" borderId="11" xfId="0" applyNumberFormat="1" applyFill="1" applyBorder="1" applyAlignment="1">
      <alignment horizontal="center" vertical="center"/>
    </xf>
    <xf numFmtId="164" fontId="64" fillId="22" borderId="0" xfId="0" applyNumberFormat="1" applyFont="1" applyFill="1" applyAlignment="1">
      <alignment horizontal="center" vertical="center"/>
    </xf>
    <xf numFmtId="164" fontId="67" fillId="18" borderId="0" xfId="0" applyNumberFormat="1" applyFont="1" applyFill="1" applyAlignment="1">
      <alignment horizontal="center" vertical="center"/>
    </xf>
    <xf numFmtId="164" fontId="64" fillId="18" borderId="0" xfId="0" applyNumberFormat="1" applyFont="1" applyFill="1" applyAlignment="1">
      <alignment horizontal="center" vertical="center"/>
    </xf>
    <xf numFmtId="164" fontId="65" fillId="18" borderId="0" xfId="0" applyNumberFormat="1" applyFont="1" applyFill="1" applyAlignment="1">
      <alignment horizontal="center" vertical="center"/>
    </xf>
    <xf numFmtId="176" fontId="43" fillId="18" borderId="0" xfId="2" applyNumberFormat="1" applyFont="1" applyFill="1" applyBorder="1" applyAlignment="1">
      <alignment horizontal="center"/>
    </xf>
    <xf numFmtId="0" fontId="67" fillId="18" borderId="6" xfId="0" applyFont="1" applyFill="1" applyBorder="1" applyAlignment="1">
      <alignment horizontal="center" vertical="center"/>
    </xf>
    <xf numFmtId="184" fontId="0" fillId="0" borderId="0" xfId="1" applyNumberFormat="1" applyFont="1"/>
    <xf numFmtId="184" fontId="31" fillId="0" borderId="0" xfId="1" applyNumberFormat="1" applyFont="1"/>
    <xf numFmtId="184" fontId="0" fillId="0" borderId="0" xfId="1" applyNumberFormat="1" applyFont="1" applyAlignment="1">
      <alignment horizontal="right"/>
    </xf>
    <xf numFmtId="184" fontId="66" fillId="0" borderId="0" xfId="1" applyNumberFormat="1" applyFont="1" applyAlignment="1">
      <alignment horizontal="right"/>
    </xf>
    <xf numFmtId="0" fontId="66" fillId="0" borderId="0" xfId="0" applyFont="1"/>
    <xf numFmtId="164" fontId="0" fillId="18" borderId="0" xfId="1" applyFont="1" applyFill="1" applyAlignment="1">
      <alignment horizontal="center" vertical="center"/>
    </xf>
    <xf numFmtId="164" fontId="0" fillId="18" borderId="1" xfId="1" applyFont="1" applyFill="1" applyBorder="1" applyAlignment="1">
      <alignment horizontal="center" vertical="center"/>
    </xf>
    <xf numFmtId="164" fontId="0" fillId="17" borderId="0" xfId="1" applyFont="1" applyFill="1" applyAlignment="1">
      <alignment horizontal="center"/>
    </xf>
    <xf numFmtId="164" fontId="0" fillId="18" borderId="11" xfId="1" applyFont="1" applyFill="1" applyBorder="1" applyAlignment="1">
      <alignment horizontal="center" vertical="center"/>
    </xf>
    <xf numFmtId="164" fontId="0" fillId="17" borderId="0" xfId="1" applyFont="1" applyFill="1" applyAlignment="1">
      <alignment horizontal="center" vertical="center"/>
    </xf>
    <xf numFmtId="164" fontId="64" fillId="18" borderId="0" xfId="1" applyFont="1" applyFill="1" applyBorder="1" applyAlignment="1">
      <alignment horizontal="center" vertical="center"/>
    </xf>
    <xf numFmtId="164" fontId="64" fillId="22" borderId="8" xfId="0" applyNumberFormat="1" applyFont="1" applyFill="1" applyBorder="1" applyAlignment="1">
      <alignment horizontal="center" vertical="center"/>
    </xf>
    <xf numFmtId="164" fontId="7" fillId="27" borderId="2" xfId="1" applyFont="1" applyFill="1" applyBorder="1" applyAlignment="1">
      <alignment horizontal="center"/>
    </xf>
    <xf numFmtId="171" fontId="66" fillId="0" borderId="0" xfId="0" applyNumberFormat="1" applyFont="1"/>
    <xf numFmtId="164" fontId="65" fillId="18" borderId="0" xfId="1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68" fillId="0" borderId="0" xfId="0" applyFont="1"/>
    <xf numFmtId="0" fontId="40" fillId="0" borderId="0" xfId="0" applyFont="1"/>
    <xf numFmtId="21" fontId="40" fillId="0" borderId="0" xfId="0" applyNumberFormat="1" applyFont="1" applyAlignment="1">
      <alignment horizontal="center"/>
    </xf>
    <xf numFmtId="0" fontId="60" fillId="0" borderId="0" xfId="0" applyFont="1" applyAlignment="1">
      <alignment vertical="center"/>
    </xf>
    <xf numFmtId="0" fontId="0" fillId="0" borderId="0" xfId="0" applyAlignment="1">
      <alignment vertical="center"/>
    </xf>
    <xf numFmtId="46" fontId="27" fillId="10" borderId="0" xfId="0" applyNumberFormat="1" applyFont="1" applyFill="1" applyAlignment="1">
      <alignment horizontal="center" vertical="center" wrapText="1"/>
    </xf>
    <xf numFmtId="0" fontId="9" fillId="7" borderId="2" xfId="0" quotePrefix="1" applyFont="1" applyFill="1" applyBorder="1" applyAlignment="1">
      <alignment horizontal="left" vertical="center" indent="2"/>
    </xf>
    <xf numFmtId="0" fontId="7" fillId="0" borderId="2" xfId="0" applyFont="1" applyBorder="1" applyAlignment="1">
      <alignment horizontal="center" vertical="center"/>
    </xf>
    <xf numFmtId="46" fontId="7" fillId="0" borderId="2" xfId="0" applyNumberFormat="1" applyFont="1" applyBorder="1" applyAlignment="1">
      <alignment horizontal="center" vertical="center"/>
    </xf>
    <xf numFmtId="20" fontId="7" fillId="0" borderId="2" xfId="0" applyNumberFormat="1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20" fontId="7" fillId="0" borderId="2" xfId="0" applyNumberFormat="1" applyFont="1" applyBorder="1" applyAlignment="1">
      <alignment horizontal="center"/>
    </xf>
    <xf numFmtId="164" fontId="52" fillId="0" borderId="2" xfId="1" applyFont="1" applyBorder="1" applyAlignment="1">
      <alignment horizontal="center"/>
    </xf>
    <xf numFmtId="21" fontId="40" fillId="8" borderId="0" xfId="0" applyNumberFormat="1" applyFont="1" applyFill="1" applyAlignment="1">
      <alignment horizontal="center"/>
    </xf>
    <xf numFmtId="0" fontId="0" fillId="0" borderId="18" xfId="0" applyBorder="1"/>
    <xf numFmtId="3" fontId="0" fillId="0" borderId="18" xfId="0" applyNumberFormat="1" applyBorder="1"/>
    <xf numFmtId="2" fontId="69" fillId="16" borderId="61" xfId="0" applyNumberFormat="1" applyFont="1" applyFill="1" applyBorder="1" applyAlignment="1">
      <alignment horizontal="center" vertical="center" wrapText="1"/>
    </xf>
    <xf numFmtId="164" fontId="26" fillId="16" borderId="93" xfId="1" applyFont="1" applyFill="1" applyBorder="1" applyAlignment="1">
      <alignment horizontal="center" vertical="center"/>
    </xf>
    <xf numFmtId="164" fontId="26" fillId="16" borderId="94" xfId="1" applyFont="1" applyFill="1" applyBorder="1" applyAlignment="1">
      <alignment horizontal="center" vertical="center"/>
    </xf>
    <xf numFmtId="0" fontId="66" fillId="18" borderId="6" xfId="0" applyFont="1" applyFill="1" applyBorder="1" applyAlignment="1">
      <alignment horizontal="center" vertical="center"/>
    </xf>
    <xf numFmtId="164" fontId="70" fillId="18" borderId="11" xfId="0" applyNumberFormat="1" applyFont="1" applyFill="1" applyBorder="1" applyAlignment="1">
      <alignment horizontal="center" vertical="center"/>
    </xf>
    <xf numFmtId="0" fontId="64" fillId="18" borderId="0" xfId="1" applyNumberFormat="1" applyFont="1" applyFill="1" applyBorder="1" applyAlignment="1">
      <alignment horizontal="center" vertical="center"/>
    </xf>
    <xf numFmtId="172" fontId="7" fillId="8" borderId="0" xfId="0" applyNumberFormat="1" applyFont="1" applyFill="1" applyAlignment="1">
      <alignment horizontal="center"/>
    </xf>
    <xf numFmtId="0" fontId="7" fillId="8" borderId="0" xfId="0" applyFont="1" applyFill="1" applyAlignment="1">
      <alignment horizontal="center"/>
    </xf>
    <xf numFmtId="0" fontId="7" fillId="8" borderId="0" xfId="0" applyFont="1" applyFill="1" applyAlignment="1">
      <alignment horizontal="center" vertical="center"/>
    </xf>
    <xf numFmtId="172" fontId="7" fillId="8" borderId="0" xfId="0" applyNumberFormat="1" applyFont="1" applyFill="1" applyAlignment="1">
      <alignment horizontal="center" vertical="center"/>
    </xf>
    <xf numFmtId="0" fontId="7" fillId="0" borderId="11" xfId="0" applyFont="1" applyBorder="1" applyAlignment="1">
      <alignment horizontal="center"/>
    </xf>
    <xf numFmtId="172" fontId="7" fillId="0" borderId="11" xfId="0" applyNumberFormat="1" applyFont="1" applyBorder="1" applyAlignment="1">
      <alignment horizontal="center"/>
    </xf>
    <xf numFmtId="0" fontId="35" fillId="0" borderId="11" xfId="4" applyBorder="1" applyAlignment="1">
      <alignment horizontal="center"/>
    </xf>
    <xf numFmtId="2" fontId="7" fillId="0" borderId="42" xfId="0" applyNumberFormat="1" applyFont="1" applyBorder="1" applyAlignment="1">
      <alignment horizontal="center"/>
    </xf>
    <xf numFmtId="0" fontId="0" fillId="18" borderId="95" xfId="0" applyFill="1" applyBorder="1" applyAlignment="1">
      <alignment horizontal="center" vertical="center"/>
    </xf>
    <xf numFmtId="0" fontId="0" fillId="18" borderId="96" xfId="0" applyFill="1" applyBorder="1" applyAlignment="1">
      <alignment horizontal="center" vertical="center"/>
    </xf>
    <xf numFmtId="164" fontId="64" fillId="22" borderId="96" xfId="1" applyFont="1" applyFill="1" applyBorder="1" applyAlignment="1">
      <alignment horizontal="center" vertical="center"/>
    </xf>
    <xf numFmtId="164" fontId="44" fillId="18" borderId="96" xfId="1" applyFont="1" applyFill="1" applyBorder="1" applyAlignment="1">
      <alignment horizontal="center" vertical="center"/>
    </xf>
    <xf numFmtId="164" fontId="44" fillId="22" borderId="96" xfId="1" applyFont="1" applyFill="1" applyBorder="1" applyAlignment="1">
      <alignment horizontal="center" vertical="center"/>
    </xf>
    <xf numFmtId="164" fontId="44" fillId="8" borderId="96" xfId="1" applyFont="1" applyFill="1" applyBorder="1" applyAlignment="1">
      <alignment horizontal="center" vertical="center"/>
    </xf>
    <xf numFmtId="168" fontId="0" fillId="18" borderId="96" xfId="0" applyNumberFormat="1" applyFill="1" applyBorder="1" applyAlignment="1">
      <alignment horizontal="center" vertical="center"/>
    </xf>
    <xf numFmtId="0" fontId="64" fillId="18" borderId="96" xfId="1" applyNumberFormat="1" applyFont="1" applyFill="1" applyBorder="1" applyAlignment="1">
      <alignment horizontal="center" vertical="center"/>
    </xf>
    <xf numFmtId="0" fontId="44" fillId="18" borderId="96" xfId="1" applyNumberFormat="1" applyFont="1" applyFill="1" applyBorder="1" applyAlignment="1">
      <alignment horizontal="center" vertical="center"/>
    </xf>
    <xf numFmtId="175" fontId="44" fillId="18" borderId="96" xfId="0" applyNumberFormat="1" applyFont="1" applyFill="1" applyBorder="1" applyAlignment="1">
      <alignment horizontal="center" vertical="center"/>
    </xf>
    <xf numFmtId="164" fontId="64" fillId="18" borderId="96" xfId="0" applyNumberFormat="1" applyFont="1" applyFill="1" applyBorder="1" applyAlignment="1">
      <alignment horizontal="center" vertical="center"/>
    </xf>
    <xf numFmtId="164" fontId="64" fillId="18" borderId="97" xfId="0" applyNumberFormat="1" applyFont="1" applyFill="1" applyBorder="1" applyAlignment="1">
      <alignment horizontal="center" vertical="center"/>
    </xf>
    <xf numFmtId="171" fontId="9" fillId="7" borderId="2" xfId="0" applyNumberFormat="1" applyFont="1" applyFill="1" applyBorder="1" applyAlignment="1">
      <alignment horizontal="left" vertical="center" indent="2"/>
    </xf>
    <xf numFmtId="2" fontId="9" fillId="7" borderId="2" xfId="0" applyNumberFormat="1" applyFont="1" applyFill="1" applyBorder="1" applyAlignment="1">
      <alignment horizontal="center" vertical="center"/>
    </xf>
    <xf numFmtId="2" fontId="9" fillId="7" borderId="2" xfId="0" quotePrefix="1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center" wrapText="1"/>
    </xf>
    <xf numFmtId="0" fontId="35" fillId="0" borderId="0" xfId="4" applyFill="1" applyAlignment="1">
      <alignment horizontal="center"/>
    </xf>
    <xf numFmtId="164" fontId="71" fillId="0" borderId="18" xfId="1" applyFont="1" applyBorder="1" applyAlignment="1">
      <alignment horizontal="center"/>
    </xf>
    <xf numFmtId="164" fontId="71" fillId="0" borderId="19" xfId="1" applyFont="1" applyBorder="1" applyAlignment="1">
      <alignment horizontal="center"/>
    </xf>
    <xf numFmtId="14" fontId="7" fillId="0" borderId="2" xfId="0" applyNumberFormat="1" applyFont="1" applyBorder="1" applyAlignment="1">
      <alignment horizontal="center" vertical="center"/>
    </xf>
    <xf numFmtId="20" fontId="27" fillId="0" borderId="2" xfId="0" applyNumberFormat="1" applyFont="1" applyBorder="1" applyAlignment="1">
      <alignment horizontal="center" vertical="center"/>
    </xf>
    <xf numFmtId="20" fontId="0" fillId="0" borderId="0" xfId="0" applyNumberFormat="1"/>
    <xf numFmtId="20" fontId="0" fillId="0" borderId="0" xfId="0" applyNumberFormat="1" applyAlignment="1">
      <alignment wrapText="1"/>
    </xf>
    <xf numFmtId="2" fontId="36" fillId="6" borderId="2" xfId="0" applyNumberFormat="1" applyFont="1" applyFill="1" applyBorder="1" applyAlignment="1">
      <alignment horizontal="center" vertical="center"/>
    </xf>
    <xf numFmtId="0" fontId="0" fillId="6" borderId="0" xfId="0" applyFill="1"/>
    <xf numFmtId="0" fontId="3" fillId="26" borderId="0" xfId="3" applyFont="1" applyFill="1" applyAlignment="1">
      <alignment vertical="center"/>
    </xf>
    <xf numFmtId="2" fontId="36" fillId="26" borderId="2" xfId="0" applyNumberFormat="1" applyFont="1" applyFill="1" applyBorder="1" applyAlignment="1">
      <alignment horizontal="center" vertical="center"/>
    </xf>
    <xf numFmtId="0" fontId="5" fillId="27" borderId="0" xfId="3" applyFont="1" applyFill="1" applyAlignment="1">
      <alignment vertical="center"/>
    </xf>
    <xf numFmtId="2" fontId="36" fillId="27" borderId="2" xfId="0" applyNumberFormat="1" applyFont="1" applyFill="1" applyBorder="1" applyAlignment="1">
      <alignment horizontal="center" vertical="center"/>
    </xf>
    <xf numFmtId="0" fontId="5" fillId="27" borderId="0" xfId="3" applyFont="1" applyFill="1" applyAlignment="1">
      <alignment horizontal="center" vertical="center"/>
    </xf>
    <xf numFmtId="0" fontId="72" fillId="0" borderId="0" xfId="3" applyFont="1" applyAlignment="1">
      <alignment vertical="center"/>
    </xf>
    <xf numFmtId="46" fontId="52" fillId="0" borderId="2" xfId="0" applyNumberFormat="1" applyFont="1" applyBorder="1" applyAlignment="1">
      <alignment horizontal="center" vertical="center"/>
    </xf>
    <xf numFmtId="172" fontId="52" fillId="8" borderId="2" xfId="0" applyNumberFormat="1" applyFont="1" applyFill="1" applyBorder="1" applyAlignment="1">
      <alignment horizontal="center" vertical="center"/>
    </xf>
    <xf numFmtId="0" fontId="52" fillId="8" borderId="2" xfId="0" applyFont="1" applyFill="1" applyBorder="1" applyAlignment="1">
      <alignment horizontal="center"/>
    </xf>
    <xf numFmtId="0" fontId="7" fillId="8" borderId="2" xfId="0" applyFont="1" applyFill="1" applyBorder="1" applyAlignment="1">
      <alignment horizontal="center"/>
    </xf>
    <xf numFmtId="172" fontId="7" fillId="8" borderId="2" xfId="0" applyNumberFormat="1" applyFont="1" applyFill="1" applyBorder="1" applyAlignment="1">
      <alignment horizontal="center" vertical="center"/>
    </xf>
    <xf numFmtId="20" fontId="7" fillId="8" borderId="2" xfId="0" applyNumberFormat="1" applyFont="1" applyFill="1" applyBorder="1" applyAlignment="1">
      <alignment horizontal="center" vertical="center"/>
    </xf>
    <xf numFmtId="0" fontId="7" fillId="8" borderId="2" xfId="0" applyFont="1" applyFill="1" applyBorder="1" applyAlignment="1">
      <alignment horizontal="center" vertical="center"/>
    </xf>
    <xf numFmtId="14" fontId="7" fillId="8" borderId="2" xfId="0" applyNumberFormat="1" applyFont="1" applyFill="1" applyBorder="1" applyAlignment="1">
      <alignment horizontal="center" vertical="center"/>
    </xf>
    <xf numFmtId="0" fontId="52" fillId="0" borderId="2" xfId="0" applyFont="1" applyBorder="1" applyAlignment="1">
      <alignment horizontal="center"/>
    </xf>
    <xf numFmtId="172" fontId="52" fillId="0" borderId="2" xfId="0" applyNumberFormat="1" applyFont="1" applyBorder="1" applyAlignment="1">
      <alignment horizontal="center" vertical="center"/>
    </xf>
    <xf numFmtId="0" fontId="52" fillId="0" borderId="2" xfId="0" applyFont="1" applyBorder="1" applyAlignment="1">
      <alignment horizontal="center" vertical="center"/>
    </xf>
    <xf numFmtId="172" fontId="7" fillId="0" borderId="3" xfId="0" applyNumberFormat="1" applyFont="1" applyBorder="1" applyAlignment="1">
      <alignment horizontal="center" vertical="center"/>
    </xf>
    <xf numFmtId="172" fontId="7" fillId="0" borderId="15" xfId="0" applyNumberFormat="1" applyFont="1" applyBorder="1" applyAlignment="1">
      <alignment horizontal="center" vertical="center"/>
    </xf>
    <xf numFmtId="20" fontId="7" fillId="0" borderId="15" xfId="0" applyNumberFormat="1" applyFont="1" applyBorder="1" applyAlignment="1">
      <alignment horizontal="center" vertical="center"/>
    </xf>
    <xf numFmtId="172" fontId="7" fillId="0" borderId="5" xfId="0" applyNumberFormat="1" applyFont="1" applyBorder="1" applyAlignment="1">
      <alignment horizontal="center" vertical="center"/>
    </xf>
    <xf numFmtId="0" fontId="7" fillId="0" borderId="15" xfId="0" applyFont="1" applyBorder="1" applyAlignment="1">
      <alignment horizontal="center"/>
    </xf>
    <xf numFmtId="172" fontId="7" fillId="8" borderId="14" xfId="0" applyNumberFormat="1" applyFont="1" applyFill="1" applyBorder="1" applyAlignment="1">
      <alignment horizontal="center" vertical="center"/>
    </xf>
    <xf numFmtId="0" fontId="7" fillId="8" borderId="14" xfId="0" applyFont="1" applyFill="1" applyBorder="1" applyAlignment="1">
      <alignment horizontal="center" vertical="center"/>
    </xf>
    <xf numFmtId="172" fontId="7" fillId="8" borderId="2" xfId="0" applyNumberFormat="1" applyFont="1" applyFill="1" applyBorder="1" applyAlignment="1">
      <alignment horizontal="center"/>
    </xf>
    <xf numFmtId="171" fontId="63" fillId="28" borderId="2" xfId="1" applyNumberFormat="1" applyFont="1" applyFill="1" applyBorder="1" applyAlignment="1">
      <alignment horizontal="center" vertical="center"/>
    </xf>
    <xf numFmtId="0" fontId="73" fillId="29" borderId="2" xfId="0" applyFont="1" applyFill="1" applyBorder="1"/>
    <xf numFmtId="14" fontId="27" fillId="17" borderId="27" xfId="0" applyNumberFormat="1" applyFont="1" applyFill="1" applyBorder="1" applyAlignment="1">
      <alignment horizontal="center" vertical="center"/>
    </xf>
    <xf numFmtId="0" fontId="31" fillId="5" borderId="2" xfId="0" applyFont="1" applyFill="1" applyBorder="1"/>
    <xf numFmtId="2" fontId="22" fillId="6" borderId="10" xfId="0" applyNumberFormat="1" applyFont="1" applyFill="1" applyBorder="1" applyAlignment="1">
      <alignment horizontal="center" vertical="center"/>
    </xf>
    <xf numFmtId="2" fontId="22" fillId="6" borderId="11" xfId="0" applyNumberFormat="1" applyFont="1" applyFill="1" applyBorder="1" applyAlignment="1">
      <alignment horizontal="center" vertical="center"/>
    </xf>
    <xf numFmtId="2" fontId="22" fillId="6" borderId="12" xfId="0" applyNumberFormat="1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0" fillId="13" borderId="6" xfId="0" applyFont="1" applyFill="1" applyBorder="1" applyAlignment="1">
      <alignment horizontal="center" vertical="center"/>
    </xf>
    <xf numFmtId="0" fontId="20" fillId="13" borderId="0" xfId="0" applyFont="1" applyFill="1" applyAlignment="1">
      <alignment horizontal="center" vertical="center"/>
    </xf>
    <xf numFmtId="0" fontId="20" fillId="13" borderId="8" xfId="0" applyFont="1" applyFill="1" applyBorder="1" applyAlignment="1">
      <alignment horizontal="center" vertical="center"/>
    </xf>
    <xf numFmtId="0" fontId="20" fillId="13" borderId="7" xfId="0" applyFont="1" applyFill="1" applyBorder="1" applyAlignment="1">
      <alignment horizontal="center" vertical="center"/>
    </xf>
    <xf numFmtId="0" fontId="20" fillId="13" borderId="1" xfId="0" applyFont="1" applyFill="1" applyBorder="1" applyAlignment="1">
      <alignment horizontal="center" vertical="center"/>
    </xf>
    <xf numFmtId="0" fontId="20" fillId="13" borderId="9" xfId="0" applyFont="1" applyFill="1" applyBorder="1" applyAlignment="1">
      <alignment horizontal="center" vertical="center"/>
    </xf>
    <xf numFmtId="0" fontId="20" fillId="13" borderId="2" xfId="0" applyFont="1" applyFill="1" applyBorder="1" applyAlignment="1">
      <alignment horizontal="center" vertical="center"/>
    </xf>
    <xf numFmtId="0" fontId="23" fillId="11" borderId="3" xfId="0" applyFont="1" applyFill="1" applyBorder="1" applyAlignment="1">
      <alignment horizontal="left" vertical="center"/>
    </xf>
    <xf numFmtId="0" fontId="23" fillId="11" borderId="4" xfId="0" applyFont="1" applyFill="1" applyBorder="1" applyAlignment="1">
      <alignment horizontal="left" vertical="center"/>
    </xf>
    <xf numFmtId="0" fontId="23" fillId="11" borderId="5" xfId="0" applyFont="1" applyFill="1" applyBorder="1" applyAlignment="1">
      <alignment horizontal="left" vertical="center"/>
    </xf>
    <xf numFmtId="2" fontId="22" fillId="0" borderId="2" xfId="0" applyNumberFormat="1" applyFont="1" applyBorder="1" applyAlignment="1">
      <alignment horizontal="center" vertical="center"/>
    </xf>
    <xf numFmtId="0" fontId="22" fillId="14" borderId="2" xfId="0" applyFont="1" applyFill="1" applyBorder="1" applyAlignment="1">
      <alignment horizontal="center" vertical="center"/>
    </xf>
    <xf numFmtId="2" fontId="22" fillId="12" borderId="2" xfId="0" applyNumberFormat="1" applyFont="1" applyFill="1" applyBorder="1" applyAlignment="1">
      <alignment horizontal="center" vertical="center"/>
    </xf>
    <xf numFmtId="2" fontId="22" fillId="11" borderId="2" xfId="0" applyNumberFormat="1" applyFont="1" applyFill="1" applyBorder="1" applyAlignment="1">
      <alignment horizontal="center" vertical="center"/>
    </xf>
    <xf numFmtId="2" fontId="22" fillId="8" borderId="2" xfId="0" applyNumberFormat="1" applyFont="1" applyFill="1" applyBorder="1" applyAlignment="1">
      <alignment horizontal="center" vertical="center"/>
    </xf>
    <xf numFmtId="2" fontId="22" fillId="23" borderId="3" xfId="0" applyNumberFormat="1" applyFont="1" applyFill="1" applyBorder="1" applyAlignment="1">
      <alignment horizontal="center" vertical="center"/>
    </xf>
    <xf numFmtId="2" fontId="22" fillId="23" borderId="4" xfId="0" applyNumberFormat="1" applyFont="1" applyFill="1" applyBorder="1" applyAlignment="1">
      <alignment horizontal="center" vertical="center"/>
    </xf>
    <xf numFmtId="2" fontId="22" fillId="23" borderId="5" xfId="0" applyNumberFormat="1" applyFont="1" applyFill="1" applyBorder="1" applyAlignment="1">
      <alignment horizontal="center" vertical="center"/>
    </xf>
    <xf numFmtId="2" fontId="22" fillId="0" borderId="3" xfId="0" applyNumberFormat="1" applyFont="1" applyBorder="1" applyAlignment="1">
      <alignment horizontal="center" vertical="center"/>
    </xf>
    <xf numFmtId="2" fontId="22" fillId="0" borderId="4" xfId="0" applyNumberFormat="1" applyFont="1" applyBorder="1" applyAlignment="1">
      <alignment horizontal="center" vertical="center"/>
    </xf>
    <xf numFmtId="2" fontId="22" fillId="0" borderId="5" xfId="0" applyNumberFormat="1" applyFont="1" applyBorder="1" applyAlignment="1">
      <alignment horizontal="center" vertical="center"/>
    </xf>
    <xf numFmtId="0" fontId="33" fillId="11" borderId="4" xfId="0" applyFont="1" applyFill="1" applyBorder="1" applyAlignment="1">
      <alignment horizontal="left" vertical="center"/>
    </xf>
    <xf numFmtId="0" fontId="33" fillId="11" borderId="5" xfId="0" applyFont="1" applyFill="1" applyBorder="1" applyAlignment="1">
      <alignment horizontal="left" vertical="center"/>
    </xf>
    <xf numFmtId="0" fontId="7" fillId="0" borderId="0" xfId="0" applyFont="1" applyAlignment="1">
      <alignment horizontal="center" vertical="center"/>
    </xf>
    <xf numFmtId="165" fontId="37" fillId="0" borderId="1" xfId="0" applyNumberFormat="1" applyFont="1" applyBorder="1" applyAlignment="1">
      <alignment horizontal="center" vertical="center"/>
    </xf>
    <xf numFmtId="0" fontId="24" fillId="0" borderId="0" xfId="0" applyFont="1" applyAlignment="1">
      <alignment horizontal="center" vertical="center" readingOrder="1"/>
    </xf>
    <xf numFmtId="2" fontId="26" fillId="16" borderId="17" xfId="0" applyNumberFormat="1" applyFont="1" applyFill="1" applyBorder="1" applyAlignment="1">
      <alignment horizontal="center" vertical="center"/>
    </xf>
    <xf numFmtId="2" fontId="26" fillId="16" borderId="58" xfId="0" applyNumberFormat="1" applyFont="1" applyFill="1" applyBorder="1" applyAlignment="1">
      <alignment horizontal="center" vertical="center"/>
    </xf>
    <xf numFmtId="2" fontId="26" fillId="16" borderId="59" xfId="0" applyNumberFormat="1" applyFont="1" applyFill="1" applyBorder="1" applyAlignment="1">
      <alignment horizontal="center" vertical="center"/>
    </xf>
    <xf numFmtId="2" fontId="58" fillId="16" borderId="60" xfId="0" applyNumberFormat="1" applyFont="1" applyFill="1" applyBorder="1" applyAlignment="1">
      <alignment horizontal="center" vertical="center" wrapText="1"/>
    </xf>
    <xf numFmtId="2" fontId="58" fillId="16" borderId="61" xfId="0" applyNumberFormat="1" applyFont="1" applyFill="1" applyBorder="1" applyAlignment="1">
      <alignment horizontal="center" vertical="center"/>
    </xf>
    <xf numFmtId="2" fontId="58" fillId="16" borderId="9" xfId="0" applyNumberFormat="1" applyFont="1" applyFill="1" applyBorder="1" applyAlignment="1">
      <alignment horizontal="center" vertical="center" wrapText="1"/>
    </xf>
    <xf numFmtId="2" fontId="58" fillId="16" borderId="7" xfId="0" applyNumberFormat="1" applyFont="1" applyFill="1" applyBorder="1" applyAlignment="1">
      <alignment horizontal="center" vertical="center"/>
    </xf>
    <xf numFmtId="0" fontId="26" fillId="16" borderId="34" xfId="0" applyFont="1" applyFill="1" applyBorder="1" applyAlignment="1">
      <alignment horizontal="center" vertical="center"/>
    </xf>
    <xf numFmtId="0" fontId="26" fillId="16" borderId="35" xfId="0" applyFont="1" applyFill="1" applyBorder="1" applyAlignment="1">
      <alignment horizontal="center" vertical="center"/>
    </xf>
    <xf numFmtId="2" fontId="26" fillId="16" borderId="20" xfId="0" applyNumberFormat="1" applyFont="1" applyFill="1" applyBorder="1" applyAlignment="1">
      <alignment horizontal="center" vertical="center"/>
    </xf>
    <xf numFmtId="2" fontId="26" fillId="16" borderId="21" xfId="0" applyNumberFormat="1" applyFont="1" applyFill="1" applyBorder="1" applyAlignment="1">
      <alignment horizontal="center" vertical="center"/>
    </xf>
    <xf numFmtId="2" fontId="26" fillId="16" borderId="22" xfId="0" applyNumberFormat="1" applyFont="1" applyFill="1" applyBorder="1" applyAlignment="1">
      <alignment horizontal="center" vertical="center"/>
    </xf>
    <xf numFmtId="2" fontId="26" fillId="16" borderId="56" xfId="0" applyNumberFormat="1" applyFont="1" applyFill="1" applyBorder="1" applyAlignment="1">
      <alignment horizontal="center" vertical="center"/>
    </xf>
    <xf numFmtId="2" fontId="26" fillId="16" borderId="57" xfId="0" applyNumberFormat="1" applyFont="1" applyFill="1" applyBorder="1" applyAlignment="1">
      <alignment horizontal="center" vertical="center"/>
    </xf>
    <xf numFmtId="2" fontId="59" fillId="24" borderId="39" xfId="0" applyNumberFormat="1" applyFont="1" applyFill="1" applyBorder="1" applyAlignment="1">
      <alignment horizontal="center"/>
    </xf>
    <xf numFmtId="2" fontId="59" fillId="24" borderId="0" xfId="0" applyNumberFormat="1" applyFont="1" applyFill="1" applyAlignment="1">
      <alignment horizontal="center"/>
    </xf>
    <xf numFmtId="2" fontId="59" fillId="24" borderId="40" xfId="0" applyNumberFormat="1" applyFont="1" applyFill="1" applyBorder="1" applyAlignment="1">
      <alignment horizontal="center"/>
    </xf>
    <xf numFmtId="2" fontId="59" fillId="24" borderId="66" xfId="0" applyNumberFormat="1" applyFont="1" applyFill="1" applyBorder="1" applyAlignment="1">
      <alignment horizontal="center"/>
    </xf>
    <xf numFmtId="2" fontId="59" fillId="24" borderId="13" xfId="0" applyNumberFormat="1" applyFont="1" applyFill="1" applyBorder="1" applyAlignment="1">
      <alignment horizontal="center"/>
    </xf>
    <xf numFmtId="2" fontId="59" fillId="24" borderId="67" xfId="0" applyNumberFormat="1" applyFont="1" applyFill="1" applyBorder="1" applyAlignment="1">
      <alignment horizontal="center"/>
    </xf>
    <xf numFmtId="2" fontId="59" fillId="24" borderId="8" xfId="0" applyNumberFormat="1" applyFont="1" applyFill="1" applyBorder="1" applyAlignment="1">
      <alignment horizontal="center"/>
    </xf>
    <xf numFmtId="2" fontId="59" fillId="24" borderId="37" xfId="0" applyNumberFormat="1" applyFont="1" applyFill="1" applyBorder="1" applyAlignment="1">
      <alignment horizontal="center"/>
    </xf>
    <xf numFmtId="2" fontId="59" fillId="24" borderId="42" xfId="0" applyNumberFormat="1" applyFont="1" applyFill="1" applyBorder="1" applyAlignment="1">
      <alignment horizontal="center"/>
    </xf>
    <xf numFmtId="2" fontId="59" fillId="24" borderId="41" xfId="0" applyNumberFormat="1" applyFont="1" applyFill="1" applyBorder="1" applyAlignment="1">
      <alignment horizontal="center"/>
    </xf>
    <xf numFmtId="2" fontId="26" fillId="16" borderId="42" xfId="0" applyNumberFormat="1" applyFont="1" applyFill="1" applyBorder="1" applyAlignment="1">
      <alignment horizontal="center" vertical="center"/>
    </xf>
    <xf numFmtId="2" fontId="26" fillId="16" borderId="41" xfId="0" applyNumberFormat="1" applyFont="1" applyFill="1" applyBorder="1" applyAlignment="1">
      <alignment horizontal="center" vertical="center"/>
    </xf>
    <xf numFmtId="2" fontId="59" fillId="24" borderId="63" xfId="0" applyNumberFormat="1" applyFont="1" applyFill="1" applyBorder="1" applyAlignment="1">
      <alignment horizontal="center"/>
    </xf>
    <xf numFmtId="2" fontId="59" fillId="24" borderId="64" xfId="0" applyNumberFormat="1" applyFont="1" applyFill="1" applyBorder="1" applyAlignment="1">
      <alignment horizontal="center"/>
    </xf>
    <xf numFmtId="2" fontId="59" fillId="24" borderId="68" xfId="0" applyNumberFormat="1" applyFont="1" applyFill="1" applyBorder="1" applyAlignment="1">
      <alignment horizontal="center"/>
    </xf>
    <xf numFmtId="2" fontId="59" fillId="24" borderId="65" xfId="0" applyNumberFormat="1" applyFont="1" applyFill="1" applyBorder="1" applyAlignment="1">
      <alignment horizontal="center"/>
    </xf>
    <xf numFmtId="2" fontId="59" fillId="24" borderId="69" xfId="0" applyNumberFormat="1" applyFont="1" applyFill="1" applyBorder="1" applyAlignment="1">
      <alignment horizontal="center"/>
    </xf>
    <xf numFmtId="2" fontId="59" fillId="8" borderId="39" xfId="0" applyNumberFormat="1" applyFont="1" applyFill="1" applyBorder="1" applyAlignment="1">
      <alignment horizontal="center"/>
    </xf>
    <xf numFmtId="2" fontId="59" fillId="8" borderId="0" xfId="0" applyNumberFormat="1" applyFont="1" applyFill="1" applyAlignment="1">
      <alignment horizontal="center"/>
    </xf>
    <xf numFmtId="2" fontId="59" fillId="24" borderId="24" xfId="0" applyNumberFormat="1" applyFont="1" applyFill="1" applyBorder="1" applyAlignment="1">
      <alignment horizontal="center"/>
    </xf>
    <xf numFmtId="2" fontId="59" fillId="24" borderId="25" xfId="0" applyNumberFormat="1" applyFont="1" applyFill="1" applyBorder="1" applyAlignment="1">
      <alignment horizontal="center"/>
    </xf>
    <xf numFmtId="2" fontId="59" fillId="24" borderId="92" xfId="0" applyNumberFormat="1" applyFont="1" applyFill="1" applyBorder="1" applyAlignment="1">
      <alignment horizontal="center"/>
    </xf>
    <xf numFmtId="2" fontId="59" fillId="8" borderId="70" xfId="0" applyNumberFormat="1" applyFont="1" applyFill="1" applyBorder="1" applyAlignment="1">
      <alignment horizontal="center"/>
    </xf>
    <xf numFmtId="2" fontId="59" fillId="8" borderId="11" xfId="0" applyNumberFormat="1" applyFont="1" applyFill="1" applyBorder="1" applyAlignment="1">
      <alignment horizontal="center"/>
    </xf>
    <xf numFmtId="164" fontId="26" fillId="16" borderId="39" xfId="1" applyFont="1" applyFill="1" applyBorder="1" applyAlignment="1">
      <alignment horizontal="center" vertical="center"/>
    </xf>
    <xf numFmtId="164" fontId="26" fillId="16" borderId="35" xfId="1" applyFont="1" applyFill="1" applyBorder="1" applyAlignment="1">
      <alignment horizontal="center" vertical="center"/>
    </xf>
    <xf numFmtId="164" fontId="26" fillId="16" borderId="37" xfId="1" applyFont="1" applyFill="1" applyBorder="1" applyAlignment="1">
      <alignment horizontal="center" vertical="center"/>
    </xf>
    <xf numFmtId="164" fontId="26" fillId="16" borderId="34" xfId="1" applyFont="1" applyFill="1" applyBorder="1" applyAlignment="1">
      <alignment horizontal="center" vertical="center"/>
    </xf>
    <xf numFmtId="164" fontId="26" fillId="16" borderId="41" xfId="1" applyFont="1" applyFill="1" applyBorder="1" applyAlignment="1">
      <alignment horizontal="center" vertical="center"/>
    </xf>
    <xf numFmtId="164" fontId="26" fillId="16" borderId="40" xfId="1" applyFont="1" applyFill="1" applyBorder="1" applyAlignment="1">
      <alignment horizontal="center" vertical="center"/>
    </xf>
    <xf numFmtId="164" fontId="26" fillId="16" borderId="0" xfId="1" applyFont="1" applyFill="1" applyBorder="1" applyAlignment="1">
      <alignment horizontal="center" vertical="center"/>
    </xf>
    <xf numFmtId="176" fontId="43" fillId="18" borderId="37" xfId="2" applyNumberFormat="1" applyFont="1" applyFill="1" applyBorder="1" applyAlignment="1">
      <alignment horizontal="center"/>
    </xf>
    <xf numFmtId="176" fontId="43" fillId="18" borderId="42" xfId="2" applyNumberFormat="1" applyFont="1" applyFill="1" applyBorder="1" applyAlignment="1">
      <alignment horizontal="center"/>
    </xf>
    <xf numFmtId="176" fontId="43" fillId="18" borderId="41" xfId="2" applyNumberFormat="1" applyFont="1" applyFill="1" applyBorder="1" applyAlignment="1">
      <alignment horizontal="center"/>
    </xf>
    <xf numFmtId="176" fontId="43" fillId="18" borderId="32" xfId="2" applyNumberFormat="1" applyFont="1" applyFill="1" applyBorder="1" applyAlignment="1">
      <alignment horizontal="center"/>
    </xf>
    <xf numFmtId="176" fontId="43" fillId="18" borderId="26" xfId="2" applyNumberFormat="1" applyFont="1" applyFill="1" applyBorder="1" applyAlignment="1">
      <alignment horizontal="center"/>
    </xf>
    <xf numFmtId="176" fontId="43" fillId="18" borderId="33" xfId="2" applyNumberFormat="1" applyFont="1" applyFill="1" applyBorder="1" applyAlignment="1">
      <alignment horizontal="center"/>
    </xf>
    <xf numFmtId="0" fontId="0" fillId="0" borderId="2" xfId="0" quotePrefix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177" fontId="0" fillId="2" borderId="45" xfId="0" applyNumberFormat="1" applyFill="1" applyBorder="1" applyAlignment="1">
      <alignment horizontal="center" vertical="center"/>
    </xf>
    <xf numFmtId="177" fontId="0" fillId="2" borderId="46" xfId="0" applyNumberFormat="1" applyFill="1" applyBorder="1" applyAlignment="1">
      <alignment horizontal="center" vertical="center"/>
    </xf>
    <xf numFmtId="177" fontId="0" fillId="2" borderId="47" xfId="0" applyNumberFormat="1" applyFill="1" applyBorder="1" applyAlignment="1">
      <alignment horizontal="center" vertical="center"/>
    </xf>
    <xf numFmtId="177" fontId="0" fillId="2" borderId="48" xfId="0" applyNumberFormat="1" applyFill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47" fillId="0" borderId="11" xfId="0" quotePrefix="1" applyFont="1" applyBorder="1" applyAlignment="1">
      <alignment horizontal="center" vertical="center" wrapText="1"/>
    </xf>
    <xf numFmtId="0" fontId="47" fillId="0" borderId="12" xfId="0" applyFont="1" applyBorder="1" applyAlignment="1">
      <alignment horizontal="center" vertical="center" wrapText="1"/>
    </xf>
    <xf numFmtId="0" fontId="47" fillId="0" borderId="0" xfId="0" applyFont="1" applyAlignment="1">
      <alignment horizontal="center" vertical="center" wrapText="1"/>
    </xf>
    <xf numFmtId="0" fontId="47" fillId="0" borderId="8" xfId="0" applyFont="1" applyBorder="1" applyAlignment="1">
      <alignment horizontal="center" vertical="center" wrapText="1"/>
    </xf>
    <xf numFmtId="0" fontId="47" fillId="0" borderId="1" xfId="0" applyFont="1" applyBorder="1" applyAlignment="1">
      <alignment horizontal="center" vertical="center" wrapText="1"/>
    </xf>
    <xf numFmtId="0" fontId="47" fillId="0" borderId="9" xfId="0" applyFont="1" applyBorder="1" applyAlignment="1">
      <alignment horizontal="center" vertical="center" wrapText="1"/>
    </xf>
    <xf numFmtId="0" fontId="47" fillId="0" borderId="10" xfId="0" quotePrefix="1" applyFont="1" applyBorder="1" applyAlignment="1">
      <alignment horizontal="center" vertical="center" wrapText="1"/>
    </xf>
    <xf numFmtId="0" fontId="47" fillId="0" borderId="6" xfId="0" applyFont="1" applyBorder="1" applyAlignment="1">
      <alignment horizontal="center" vertical="center" wrapText="1"/>
    </xf>
    <xf numFmtId="0" fontId="47" fillId="0" borderId="7" xfId="0" applyFont="1" applyBorder="1" applyAlignment="1">
      <alignment horizontal="center" vertical="center" wrapText="1"/>
    </xf>
    <xf numFmtId="0" fontId="0" fillId="0" borderId="14" xfId="0" quotePrefix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8" borderId="14" xfId="0" quotePrefix="1" applyFill="1" applyBorder="1" applyAlignment="1">
      <alignment horizontal="center" vertical="center" wrapText="1"/>
    </xf>
    <xf numFmtId="0" fontId="0" fillId="8" borderId="13" xfId="0" applyFill="1" applyBorder="1" applyAlignment="1">
      <alignment horizontal="center" vertical="center" wrapText="1"/>
    </xf>
    <xf numFmtId="0" fontId="0" fillId="8" borderId="15" xfId="0" applyFill="1" applyBorder="1" applyAlignment="1">
      <alignment horizontal="center" vertical="center" wrapText="1"/>
    </xf>
    <xf numFmtId="0" fontId="0" fillId="8" borderId="2" xfId="0" quotePrefix="1" applyFill="1" applyBorder="1" applyAlignment="1">
      <alignment horizontal="center" vertical="center" wrapText="1"/>
    </xf>
    <xf numFmtId="0" fontId="0" fillId="8" borderId="2" xfId="0" applyFill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</cellXfs>
  <cellStyles count="5">
    <cellStyle name="Comma" xfId="1" builtinId="3"/>
    <cellStyle name="Hyperlink" xfId="4" builtinId="8"/>
    <cellStyle name="Normal" xfId="0" builtinId="0"/>
    <cellStyle name="Normal 2" xfId="3" xr:uid="{00000000-0005-0000-0000-000003000000}"/>
    <cellStyle name="Percent" xfId="2" builtinId="5"/>
  </cellStyles>
  <dxfs count="974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99"/>
      <color rgb="FFE9B0F2"/>
      <color rgb="FFCF8BDD"/>
      <color rgb="FFCC99FF"/>
      <color rgb="FFCCCCFF"/>
      <color rgb="FF99FF66"/>
      <color rgb="FF99FF46"/>
      <color rgb="FF66FF33"/>
      <color rgb="FFFF3300"/>
      <color rgb="FF043C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externalLink" Target="externalLinks/externalLink1.xml"/><Relationship Id="rId50" Type="http://schemas.openxmlformats.org/officeDocument/2006/relationships/sharedStrings" Target="sharedStrings.xml"/><Relationship Id="rId55" Type="http://schemas.microsoft.com/office/2017/06/relationships/rdSupportingPropertyBagStructure" Target="richData/rdsupportingpropertybagstructure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chartsheet" Target="chartsheets/sheet1.xml"/><Relationship Id="rId53" Type="http://schemas.microsoft.com/office/2017/06/relationships/rdRichValueStructure" Target="richData/rdrichvaluestructure.xml"/><Relationship Id="rId58" Type="http://schemas.microsoft.com/office/2017/10/relationships/person" Target="persons/person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56" Type="http://schemas.microsoft.com/office/2017/06/relationships/rdSupportingPropertyBag" Target="richData/rdsupportingpropertybag.xml"/><Relationship Id="rId8" Type="http://schemas.openxmlformats.org/officeDocument/2006/relationships/worksheet" Target="worksheets/sheet8.xml"/><Relationship Id="rId51" Type="http://schemas.openxmlformats.org/officeDocument/2006/relationships/sheetMetadata" Target="metadata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5.xml"/><Relationship Id="rId59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microsoft.com/office/2017/06/relationships/rdArray" Target="richData/rdarray.xml"/><Relationship Id="rId62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57" Type="http://schemas.microsoft.com/office/2017/06/relationships/rdRichValueTypes" Target="richData/rdRichValueTyp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17/06/relationships/rdRichValue" Target="richData/rdrichvalue.xml"/><Relationship Id="rId6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'1'!$A$102:$C$102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'1'!$F$102:$AC$102</c:f>
              <c:numCache>
                <c:formatCode>0.00</c:formatCode>
                <c:ptCount val="24"/>
                <c:pt idx="0">
                  <c:v>40.78</c:v>
                </c:pt>
                <c:pt idx="1">
                  <c:v>38.120000000000005</c:v>
                </c:pt>
                <c:pt idx="2">
                  <c:v>36.58</c:v>
                </c:pt>
                <c:pt idx="3">
                  <c:v>34.959999999999994</c:v>
                </c:pt>
                <c:pt idx="4">
                  <c:v>33.880000000000003</c:v>
                </c:pt>
                <c:pt idx="5">
                  <c:v>34.450000000000003</c:v>
                </c:pt>
                <c:pt idx="6">
                  <c:v>34.6</c:v>
                </c:pt>
                <c:pt idx="7">
                  <c:v>33.57</c:v>
                </c:pt>
                <c:pt idx="8">
                  <c:v>39.550000000000004</c:v>
                </c:pt>
                <c:pt idx="9">
                  <c:v>45.67</c:v>
                </c:pt>
                <c:pt idx="10">
                  <c:v>51.410000000000011</c:v>
                </c:pt>
                <c:pt idx="11">
                  <c:v>52.51</c:v>
                </c:pt>
                <c:pt idx="12">
                  <c:v>52.009999999999991</c:v>
                </c:pt>
                <c:pt idx="13">
                  <c:v>44.78</c:v>
                </c:pt>
                <c:pt idx="14">
                  <c:v>50.419999999999995</c:v>
                </c:pt>
                <c:pt idx="15">
                  <c:v>55.065000000000005</c:v>
                </c:pt>
                <c:pt idx="16">
                  <c:v>53.570000000000007</c:v>
                </c:pt>
                <c:pt idx="17">
                  <c:v>51.849999999999994</c:v>
                </c:pt>
                <c:pt idx="18">
                  <c:v>51.62</c:v>
                </c:pt>
                <c:pt idx="19">
                  <c:v>58.31</c:v>
                </c:pt>
                <c:pt idx="20">
                  <c:v>56.570000000000007</c:v>
                </c:pt>
                <c:pt idx="21">
                  <c:v>53.809999999999995</c:v>
                </c:pt>
                <c:pt idx="22">
                  <c:v>51.150000000000006</c:v>
                </c:pt>
                <c:pt idx="23">
                  <c:v>46.69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EF-474E-8BD3-B877DC35E64A}"/>
            </c:ext>
          </c:extLst>
        </c:ser>
        <c:ser>
          <c:idx val="4"/>
          <c:order val="1"/>
          <c:tx>
            <c:strRef>
              <c:f>'1'!$A$106:$C$106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'1'!$F$106:$AC$106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1.37</c:v>
                </c:pt>
                <c:pt idx="7">
                  <c:v>1.37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6.32</c:v>
                </c:pt>
                <c:pt idx="14">
                  <c:v>5.1100000000000003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1.46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EF-474E-8BD3-B877DC35E64A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F1EF-474E-8BD3-B877DC35E6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'2'!$A$102:$C$102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'2'!$F$102:$AC$102</c:f>
              <c:numCache>
                <c:formatCode>0.00</c:formatCode>
                <c:ptCount val="24"/>
                <c:pt idx="0">
                  <c:v>43.14</c:v>
                </c:pt>
                <c:pt idx="1">
                  <c:v>38.480000000000004</c:v>
                </c:pt>
                <c:pt idx="2">
                  <c:v>37.570000000000007</c:v>
                </c:pt>
                <c:pt idx="3">
                  <c:v>36.67</c:v>
                </c:pt>
                <c:pt idx="4">
                  <c:v>34.770000000000003</c:v>
                </c:pt>
                <c:pt idx="5">
                  <c:v>36.099999999999994</c:v>
                </c:pt>
                <c:pt idx="6">
                  <c:v>40.699999999999996</c:v>
                </c:pt>
                <c:pt idx="7">
                  <c:v>38.410000000000004</c:v>
                </c:pt>
                <c:pt idx="8">
                  <c:v>42.23</c:v>
                </c:pt>
                <c:pt idx="9">
                  <c:v>52.6</c:v>
                </c:pt>
                <c:pt idx="10">
                  <c:v>56.349999999999994</c:v>
                </c:pt>
                <c:pt idx="11">
                  <c:v>58.43</c:v>
                </c:pt>
                <c:pt idx="12">
                  <c:v>59.089999999999996</c:v>
                </c:pt>
                <c:pt idx="13">
                  <c:v>61.059999999999988</c:v>
                </c:pt>
                <c:pt idx="14">
                  <c:v>63.28</c:v>
                </c:pt>
                <c:pt idx="15">
                  <c:v>62.99</c:v>
                </c:pt>
                <c:pt idx="16">
                  <c:v>62.87</c:v>
                </c:pt>
                <c:pt idx="17">
                  <c:v>60.23</c:v>
                </c:pt>
                <c:pt idx="18">
                  <c:v>55.03</c:v>
                </c:pt>
                <c:pt idx="19">
                  <c:v>62.089999999999996</c:v>
                </c:pt>
                <c:pt idx="20">
                  <c:v>55.69</c:v>
                </c:pt>
                <c:pt idx="21">
                  <c:v>54.529999999999994</c:v>
                </c:pt>
                <c:pt idx="22">
                  <c:v>49.309999999999995</c:v>
                </c:pt>
                <c:pt idx="23">
                  <c:v>48.169999999999995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4B-4B1B-BC62-2C3D07106145}"/>
            </c:ext>
          </c:extLst>
        </c:ser>
        <c:ser>
          <c:idx val="4"/>
          <c:order val="1"/>
          <c:tx>
            <c:strRef>
              <c:f>'2'!$A$106:$C$106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'2'!$F$106:$AC$106</c:f>
              <c:numCache>
                <c:formatCode>0.00</c:formatCode>
                <c:ptCount val="24"/>
                <c:pt idx="0">
                  <c:v>0</c:v>
                </c:pt>
                <c:pt idx="1">
                  <c:v>1.28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4B-4B1B-BC62-2C3D07106145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ED4B-4B1B-BC62-2C3D071061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'3'!$A$102:$C$102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'3'!$F$102:$AC$102</c:f>
              <c:numCache>
                <c:formatCode>0.00</c:formatCode>
                <c:ptCount val="24"/>
                <c:pt idx="0">
                  <c:v>44.51</c:v>
                </c:pt>
                <c:pt idx="1">
                  <c:v>39.97</c:v>
                </c:pt>
                <c:pt idx="2">
                  <c:v>38.459999999999994</c:v>
                </c:pt>
                <c:pt idx="3">
                  <c:v>37.190000000000005</c:v>
                </c:pt>
                <c:pt idx="4">
                  <c:v>36.560000000000009</c:v>
                </c:pt>
                <c:pt idx="5">
                  <c:v>37.619999999999997</c:v>
                </c:pt>
                <c:pt idx="6">
                  <c:v>41.830000000000005</c:v>
                </c:pt>
                <c:pt idx="7">
                  <c:v>39.81</c:v>
                </c:pt>
                <c:pt idx="8">
                  <c:v>46.89</c:v>
                </c:pt>
                <c:pt idx="9">
                  <c:v>54.68</c:v>
                </c:pt>
                <c:pt idx="10">
                  <c:v>59.51</c:v>
                </c:pt>
                <c:pt idx="11">
                  <c:v>61.16</c:v>
                </c:pt>
                <c:pt idx="12">
                  <c:v>60.89</c:v>
                </c:pt>
                <c:pt idx="13">
                  <c:v>62.48</c:v>
                </c:pt>
                <c:pt idx="14">
                  <c:v>65.360000000000014</c:v>
                </c:pt>
                <c:pt idx="15">
                  <c:v>66.11999999999999</c:v>
                </c:pt>
                <c:pt idx="16">
                  <c:v>64.61999999999999</c:v>
                </c:pt>
                <c:pt idx="17">
                  <c:v>62.01</c:v>
                </c:pt>
                <c:pt idx="18">
                  <c:v>58.839999999999989</c:v>
                </c:pt>
                <c:pt idx="19">
                  <c:v>64.23</c:v>
                </c:pt>
                <c:pt idx="20">
                  <c:v>59.929999999999986</c:v>
                </c:pt>
                <c:pt idx="21">
                  <c:v>56.89</c:v>
                </c:pt>
                <c:pt idx="22">
                  <c:v>52.760000000000005</c:v>
                </c:pt>
                <c:pt idx="23">
                  <c:v>48.48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A7-417A-A9DF-B90FE6028E81}"/>
            </c:ext>
          </c:extLst>
        </c:ser>
        <c:ser>
          <c:idx val="4"/>
          <c:order val="1"/>
          <c:tx>
            <c:strRef>
              <c:f>'3'!$A$106:$C$106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'3'!$F$106:$AC$106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A7-417A-A9DF-B90FE6028E81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96A7-417A-A9DF-B90FE6028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'4'!$A$102:$C$102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'4'!$F$102:$AC$102</c:f>
              <c:numCache>
                <c:formatCode>0.00</c:formatCode>
                <c:ptCount val="24"/>
                <c:pt idx="0">
                  <c:v>44.99</c:v>
                </c:pt>
                <c:pt idx="1">
                  <c:v>43.11</c:v>
                </c:pt>
                <c:pt idx="2">
                  <c:v>40.35</c:v>
                </c:pt>
                <c:pt idx="3">
                  <c:v>40.47</c:v>
                </c:pt>
                <c:pt idx="4">
                  <c:v>38.829999999999991</c:v>
                </c:pt>
                <c:pt idx="5">
                  <c:v>39.32</c:v>
                </c:pt>
                <c:pt idx="6">
                  <c:v>42.420000000000009</c:v>
                </c:pt>
                <c:pt idx="7">
                  <c:v>41.1</c:v>
                </c:pt>
                <c:pt idx="8">
                  <c:v>46.459999999999994</c:v>
                </c:pt>
                <c:pt idx="9">
                  <c:v>56.54</c:v>
                </c:pt>
                <c:pt idx="10">
                  <c:v>60.97</c:v>
                </c:pt>
                <c:pt idx="11">
                  <c:v>58.699999999999996</c:v>
                </c:pt>
                <c:pt idx="12">
                  <c:v>62.6</c:v>
                </c:pt>
                <c:pt idx="13">
                  <c:v>63.37</c:v>
                </c:pt>
                <c:pt idx="14">
                  <c:v>65.849999999999994</c:v>
                </c:pt>
                <c:pt idx="15">
                  <c:v>66.31</c:v>
                </c:pt>
                <c:pt idx="16">
                  <c:v>64.715714285714284</c:v>
                </c:pt>
                <c:pt idx="17">
                  <c:v>61.87</c:v>
                </c:pt>
                <c:pt idx="18">
                  <c:v>59.33</c:v>
                </c:pt>
                <c:pt idx="19">
                  <c:v>57.85</c:v>
                </c:pt>
                <c:pt idx="20">
                  <c:v>60.19</c:v>
                </c:pt>
                <c:pt idx="21">
                  <c:v>57.65</c:v>
                </c:pt>
                <c:pt idx="22">
                  <c:v>52.3</c:v>
                </c:pt>
                <c:pt idx="23">
                  <c:v>48.750000000000007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DE-4D50-AA64-128E69B07780}"/>
            </c:ext>
          </c:extLst>
        </c:ser>
        <c:ser>
          <c:idx val="4"/>
          <c:order val="1"/>
          <c:tx>
            <c:strRef>
              <c:f>'4'!$A$106:$C$106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'4'!$F$106:$AC$106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3.4287000000000001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DE-4D50-AA64-128E69B07780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25DE-4D50-AA64-128E69B07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'5'!$A$102:$C$102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'5'!$F$102:$AC$102</c:f>
              <c:numCache>
                <c:formatCode>0.00</c:formatCode>
                <c:ptCount val="24"/>
                <c:pt idx="0">
                  <c:v>43.76</c:v>
                </c:pt>
                <c:pt idx="1">
                  <c:v>41.859999999999992</c:v>
                </c:pt>
                <c:pt idx="2">
                  <c:v>39.989999999999995</c:v>
                </c:pt>
                <c:pt idx="3">
                  <c:v>38.6</c:v>
                </c:pt>
                <c:pt idx="4">
                  <c:v>37.4</c:v>
                </c:pt>
                <c:pt idx="5">
                  <c:v>38.160000000000004</c:v>
                </c:pt>
                <c:pt idx="6">
                  <c:v>40.249999999999993</c:v>
                </c:pt>
                <c:pt idx="7">
                  <c:v>39.18</c:v>
                </c:pt>
                <c:pt idx="8">
                  <c:v>42.509999999999991</c:v>
                </c:pt>
                <c:pt idx="9">
                  <c:v>50.410000000000004</c:v>
                </c:pt>
                <c:pt idx="10">
                  <c:v>54.499999999999993</c:v>
                </c:pt>
                <c:pt idx="11">
                  <c:v>55.750000000000007</c:v>
                </c:pt>
                <c:pt idx="12">
                  <c:v>54.739999999999995</c:v>
                </c:pt>
                <c:pt idx="13">
                  <c:v>55.175000000000004</c:v>
                </c:pt>
                <c:pt idx="14">
                  <c:v>59.67</c:v>
                </c:pt>
                <c:pt idx="15">
                  <c:v>60.080000000000005</c:v>
                </c:pt>
                <c:pt idx="16">
                  <c:v>59.11</c:v>
                </c:pt>
                <c:pt idx="17">
                  <c:v>51.170000000000009</c:v>
                </c:pt>
                <c:pt idx="18">
                  <c:v>56.25</c:v>
                </c:pt>
                <c:pt idx="19">
                  <c:v>60.789999999999992</c:v>
                </c:pt>
                <c:pt idx="20">
                  <c:v>58.900000000000006</c:v>
                </c:pt>
                <c:pt idx="21">
                  <c:v>55.63</c:v>
                </c:pt>
                <c:pt idx="22">
                  <c:v>52.179999999999993</c:v>
                </c:pt>
                <c:pt idx="23">
                  <c:v>47.49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B6-4981-A8CF-0DA2521385CE}"/>
            </c:ext>
          </c:extLst>
        </c:ser>
        <c:ser>
          <c:idx val="4"/>
          <c:order val="1"/>
          <c:tx>
            <c:strRef>
              <c:f>'5'!$A$106:$C$106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'5'!$F$106:$AC$106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1.89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B6-4981-A8CF-0DA2521385CE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6DB6-4981-A8CF-0DA2521385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'6'!$A$102:$C$102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'6'!$F$102:$AC$102</c:f>
              <c:numCache>
                <c:formatCode>0.00</c:formatCode>
                <c:ptCount val="24"/>
                <c:pt idx="0">
                  <c:v>45.449999999999989</c:v>
                </c:pt>
                <c:pt idx="1">
                  <c:v>42.99</c:v>
                </c:pt>
                <c:pt idx="2">
                  <c:v>40.830000000000005</c:v>
                </c:pt>
                <c:pt idx="3">
                  <c:v>39.629999999999995</c:v>
                </c:pt>
                <c:pt idx="4">
                  <c:v>38.15</c:v>
                </c:pt>
                <c:pt idx="5">
                  <c:v>38.58</c:v>
                </c:pt>
                <c:pt idx="6">
                  <c:v>39.489999999999995</c:v>
                </c:pt>
                <c:pt idx="7">
                  <c:v>38.86999999999999</c:v>
                </c:pt>
                <c:pt idx="8">
                  <c:v>42.49</c:v>
                </c:pt>
                <c:pt idx="9">
                  <c:v>46.77</c:v>
                </c:pt>
                <c:pt idx="10">
                  <c:v>50.52</c:v>
                </c:pt>
                <c:pt idx="11">
                  <c:v>51.720000000000006</c:v>
                </c:pt>
                <c:pt idx="12">
                  <c:v>52.86999999999999</c:v>
                </c:pt>
                <c:pt idx="13">
                  <c:v>54.33</c:v>
                </c:pt>
                <c:pt idx="14">
                  <c:v>55.8</c:v>
                </c:pt>
                <c:pt idx="15">
                  <c:v>55.71</c:v>
                </c:pt>
                <c:pt idx="16">
                  <c:v>54.499999999999993</c:v>
                </c:pt>
                <c:pt idx="17">
                  <c:v>53.250000000000007</c:v>
                </c:pt>
                <c:pt idx="18">
                  <c:v>55.95</c:v>
                </c:pt>
                <c:pt idx="19">
                  <c:v>61.099999999999994</c:v>
                </c:pt>
                <c:pt idx="20">
                  <c:v>58.35</c:v>
                </c:pt>
                <c:pt idx="21">
                  <c:v>56.44</c:v>
                </c:pt>
                <c:pt idx="22">
                  <c:v>52.57</c:v>
                </c:pt>
                <c:pt idx="23">
                  <c:v>49.250000000000007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3B-4B73-82BC-7A2D1EFEEE06}"/>
            </c:ext>
          </c:extLst>
        </c:ser>
        <c:ser>
          <c:idx val="4"/>
          <c:order val="1"/>
          <c:tx>
            <c:strRef>
              <c:f>'6'!$A$106:$C$106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'6'!$F$106:$AC$106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3B-4B73-82BC-7A2D1EFEEE06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213B-4B73-82BC-7A2D1EFEEE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'7'!$A$102:$C$102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'7'!$F$102:$AC$102</c:f>
              <c:numCache>
                <c:formatCode>0.00</c:formatCode>
                <c:ptCount val="24"/>
                <c:pt idx="0">
                  <c:v>45.290000000000006</c:v>
                </c:pt>
                <c:pt idx="1">
                  <c:v>42.13</c:v>
                </c:pt>
                <c:pt idx="2">
                  <c:v>40.220000000000006</c:v>
                </c:pt>
                <c:pt idx="3">
                  <c:v>38.449999999999996</c:v>
                </c:pt>
                <c:pt idx="4">
                  <c:v>37.299999999999997</c:v>
                </c:pt>
                <c:pt idx="5">
                  <c:v>38.990000000000009</c:v>
                </c:pt>
                <c:pt idx="6">
                  <c:v>44.289999999999992</c:v>
                </c:pt>
                <c:pt idx="7">
                  <c:v>41.669999999999995</c:v>
                </c:pt>
                <c:pt idx="8">
                  <c:v>46.94</c:v>
                </c:pt>
                <c:pt idx="9">
                  <c:v>56.860000000000007</c:v>
                </c:pt>
                <c:pt idx="10">
                  <c:v>62.32</c:v>
                </c:pt>
                <c:pt idx="11">
                  <c:v>63.890000000000008</c:v>
                </c:pt>
                <c:pt idx="12">
                  <c:v>64.66</c:v>
                </c:pt>
                <c:pt idx="13">
                  <c:v>61.45</c:v>
                </c:pt>
                <c:pt idx="14">
                  <c:v>61.059999999999995</c:v>
                </c:pt>
                <c:pt idx="15">
                  <c:v>59.420000000000009</c:v>
                </c:pt>
                <c:pt idx="16">
                  <c:v>59.17</c:v>
                </c:pt>
                <c:pt idx="17">
                  <c:v>57.179999999999993</c:v>
                </c:pt>
                <c:pt idx="18">
                  <c:v>54.419999999999995</c:v>
                </c:pt>
                <c:pt idx="19">
                  <c:v>57.050000000000004</c:v>
                </c:pt>
                <c:pt idx="20">
                  <c:v>55.830000000000005</c:v>
                </c:pt>
                <c:pt idx="21">
                  <c:v>53.139999999999993</c:v>
                </c:pt>
                <c:pt idx="22">
                  <c:v>49.53</c:v>
                </c:pt>
                <c:pt idx="23">
                  <c:v>44.9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80-4E86-B3D5-074964D407C0}"/>
            </c:ext>
          </c:extLst>
        </c:ser>
        <c:ser>
          <c:idx val="4"/>
          <c:order val="1"/>
          <c:tx>
            <c:strRef>
              <c:f>'7'!$A$106:$C$106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'7'!$F$106:$AC$106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0.48</c:v>
                </c:pt>
                <c:pt idx="14">
                  <c:v>0.48</c:v>
                </c:pt>
                <c:pt idx="15">
                  <c:v>1.5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80-4E86-B3D5-074964D407C0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B080-4E86-B3D5-074964D407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'8'!$A$102:$C$102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'8'!$F$102:$AC$102</c:f>
              <c:numCache>
                <c:formatCode>0.00</c:formatCode>
                <c:ptCount val="24"/>
                <c:pt idx="0">
                  <c:v>42.08</c:v>
                </c:pt>
                <c:pt idx="1">
                  <c:v>39.660000000000004</c:v>
                </c:pt>
                <c:pt idx="2">
                  <c:v>37.72</c:v>
                </c:pt>
                <c:pt idx="3">
                  <c:v>37.019999999999996</c:v>
                </c:pt>
                <c:pt idx="4">
                  <c:v>36.72</c:v>
                </c:pt>
                <c:pt idx="5">
                  <c:v>40.200000000000003</c:v>
                </c:pt>
                <c:pt idx="6">
                  <c:v>42.330000000000005</c:v>
                </c:pt>
                <c:pt idx="7">
                  <c:v>40.739999999999995</c:v>
                </c:pt>
                <c:pt idx="8">
                  <c:v>48.2</c:v>
                </c:pt>
                <c:pt idx="9">
                  <c:v>54.939999999999991</c:v>
                </c:pt>
                <c:pt idx="10">
                  <c:v>61.140000000000008</c:v>
                </c:pt>
                <c:pt idx="11">
                  <c:v>62.22</c:v>
                </c:pt>
                <c:pt idx="12">
                  <c:v>63.389999999999993</c:v>
                </c:pt>
                <c:pt idx="13">
                  <c:v>64.64</c:v>
                </c:pt>
                <c:pt idx="14">
                  <c:v>66.97</c:v>
                </c:pt>
                <c:pt idx="15">
                  <c:v>66.029999999999987</c:v>
                </c:pt>
                <c:pt idx="16">
                  <c:v>64.88</c:v>
                </c:pt>
                <c:pt idx="17">
                  <c:v>61.69</c:v>
                </c:pt>
                <c:pt idx="18">
                  <c:v>60.629999999999995</c:v>
                </c:pt>
                <c:pt idx="19">
                  <c:v>62.76</c:v>
                </c:pt>
                <c:pt idx="20">
                  <c:v>60.02</c:v>
                </c:pt>
                <c:pt idx="21">
                  <c:v>56.120000000000005</c:v>
                </c:pt>
                <c:pt idx="22">
                  <c:v>53.45</c:v>
                </c:pt>
                <c:pt idx="23">
                  <c:v>49.800000000000004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61-4359-8268-3E7F10D67D08}"/>
            </c:ext>
          </c:extLst>
        </c:ser>
        <c:ser>
          <c:idx val="4"/>
          <c:order val="1"/>
          <c:tx>
            <c:strRef>
              <c:f>'8'!$A$106:$C$106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'8'!$F$106:$AC$106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1.44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61-4359-8268-3E7F10D67D08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CA61-4359-8268-3E7F10D67D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'9'!$A$103:$C$103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'9'!$F$103:$AC$103</c:f>
              <c:numCache>
                <c:formatCode>0.00</c:formatCode>
                <c:ptCount val="24"/>
                <c:pt idx="0">
                  <c:v>46.220000000000006</c:v>
                </c:pt>
                <c:pt idx="1">
                  <c:v>43.52</c:v>
                </c:pt>
                <c:pt idx="2">
                  <c:v>39.72</c:v>
                </c:pt>
                <c:pt idx="3">
                  <c:v>38.1</c:v>
                </c:pt>
                <c:pt idx="4">
                  <c:v>37.479999999999997</c:v>
                </c:pt>
                <c:pt idx="5">
                  <c:v>38.700000000000003</c:v>
                </c:pt>
                <c:pt idx="6">
                  <c:v>41.019999999999996</c:v>
                </c:pt>
                <c:pt idx="7">
                  <c:v>39.839999999999996</c:v>
                </c:pt>
                <c:pt idx="8">
                  <c:v>43.18</c:v>
                </c:pt>
                <c:pt idx="9">
                  <c:v>51.070000000000007</c:v>
                </c:pt>
                <c:pt idx="10">
                  <c:v>55.769999999999989</c:v>
                </c:pt>
                <c:pt idx="11">
                  <c:v>57.08</c:v>
                </c:pt>
                <c:pt idx="12">
                  <c:v>56.59</c:v>
                </c:pt>
                <c:pt idx="13">
                  <c:v>57.290000000000006</c:v>
                </c:pt>
                <c:pt idx="14">
                  <c:v>59.929999999999993</c:v>
                </c:pt>
                <c:pt idx="15">
                  <c:v>60.44</c:v>
                </c:pt>
                <c:pt idx="16">
                  <c:v>50.1</c:v>
                </c:pt>
                <c:pt idx="17">
                  <c:v>55.21</c:v>
                </c:pt>
                <c:pt idx="18">
                  <c:v>58.739999999999995</c:v>
                </c:pt>
                <c:pt idx="19">
                  <c:v>64.070000000000007</c:v>
                </c:pt>
                <c:pt idx="20">
                  <c:v>60.98</c:v>
                </c:pt>
                <c:pt idx="21">
                  <c:v>58.61</c:v>
                </c:pt>
                <c:pt idx="22">
                  <c:v>54.19</c:v>
                </c:pt>
                <c:pt idx="23">
                  <c:v>49.599999999999994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23-47F4-B714-8FD1721EBB18}"/>
            </c:ext>
          </c:extLst>
        </c:ser>
        <c:ser>
          <c:idx val="4"/>
          <c:order val="1"/>
          <c:tx>
            <c:strRef>
              <c:f>'9'!$A$107:$C$107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11.28</c:v>
                </c:pt>
                <c:pt idx="17">
                  <c:v>2.2759999999999998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23-47F4-B714-8FD1721EBB18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AD23-47F4-B714-8FD1721EBB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'10'!$A$103:$C$103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'10'!$F$11:$AC$11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'10'!$F$103:$AC$103</c:f>
              <c:numCache>
                <c:formatCode>0.00</c:formatCode>
                <c:ptCount val="24"/>
                <c:pt idx="0">
                  <c:v>44.220000000000006</c:v>
                </c:pt>
                <c:pt idx="1">
                  <c:v>42.650000000000006</c:v>
                </c:pt>
                <c:pt idx="2">
                  <c:v>40.74</c:v>
                </c:pt>
                <c:pt idx="3">
                  <c:v>39.970000000000006</c:v>
                </c:pt>
                <c:pt idx="4">
                  <c:v>39.050000000000004</c:v>
                </c:pt>
                <c:pt idx="5">
                  <c:v>39.699999999999996</c:v>
                </c:pt>
                <c:pt idx="6">
                  <c:v>42.579999999999991</c:v>
                </c:pt>
                <c:pt idx="7">
                  <c:v>42.059999999999995</c:v>
                </c:pt>
                <c:pt idx="8">
                  <c:v>48.440000000000005</c:v>
                </c:pt>
                <c:pt idx="9">
                  <c:v>58.07</c:v>
                </c:pt>
                <c:pt idx="10">
                  <c:v>61.289999999999992</c:v>
                </c:pt>
                <c:pt idx="11">
                  <c:v>64.7</c:v>
                </c:pt>
                <c:pt idx="12">
                  <c:v>65.36</c:v>
                </c:pt>
                <c:pt idx="13">
                  <c:v>65.97</c:v>
                </c:pt>
                <c:pt idx="14">
                  <c:v>68.25</c:v>
                </c:pt>
                <c:pt idx="15">
                  <c:v>68.210000000000008</c:v>
                </c:pt>
                <c:pt idx="16">
                  <c:v>66.86999999999999</c:v>
                </c:pt>
                <c:pt idx="17">
                  <c:v>61.949999999999996</c:v>
                </c:pt>
                <c:pt idx="18">
                  <c:v>65.72999999999999</c:v>
                </c:pt>
                <c:pt idx="19">
                  <c:v>64.960000000000008</c:v>
                </c:pt>
                <c:pt idx="20">
                  <c:v>61.269999999999996</c:v>
                </c:pt>
                <c:pt idx="21">
                  <c:v>59.699999999999996</c:v>
                </c:pt>
                <c:pt idx="22">
                  <c:v>55.289999999999992</c:v>
                </c:pt>
                <c:pt idx="23">
                  <c:v>51.580000000000005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E-44EB-8AB7-233FA5E29881}"/>
            </c:ext>
          </c:extLst>
        </c:ser>
        <c:ser>
          <c:idx val="4"/>
          <c:order val="1"/>
          <c:tx>
            <c:strRef>
              <c:f>'10'!$A$107:$C$107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'10'!$F$107:$AC$107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2E-44EB-8AB7-233FA5E29881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132E-44EB-8AB7-233FA5E298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'11'!$A$103:$C$103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'11'!$F$11:$AC$11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'11'!$F$103:$AC$103</c:f>
              <c:numCache>
                <c:formatCode>0.00</c:formatCode>
                <c:ptCount val="24"/>
                <c:pt idx="0">
                  <c:v>46.839999999999996</c:v>
                </c:pt>
                <c:pt idx="1">
                  <c:v>43.389999999999993</c:v>
                </c:pt>
                <c:pt idx="2">
                  <c:v>41.01</c:v>
                </c:pt>
                <c:pt idx="3">
                  <c:v>39.990000000000009</c:v>
                </c:pt>
                <c:pt idx="4">
                  <c:v>38.530000000000008</c:v>
                </c:pt>
                <c:pt idx="5">
                  <c:v>38.99</c:v>
                </c:pt>
                <c:pt idx="6">
                  <c:v>42.709999999999994</c:v>
                </c:pt>
                <c:pt idx="7">
                  <c:v>40.94</c:v>
                </c:pt>
                <c:pt idx="8">
                  <c:v>48.16</c:v>
                </c:pt>
                <c:pt idx="9">
                  <c:v>57.27</c:v>
                </c:pt>
                <c:pt idx="10">
                  <c:v>62.589999999999996</c:v>
                </c:pt>
                <c:pt idx="11">
                  <c:v>64.809999999999988</c:v>
                </c:pt>
                <c:pt idx="12">
                  <c:v>64.67</c:v>
                </c:pt>
                <c:pt idx="13">
                  <c:v>63.51</c:v>
                </c:pt>
                <c:pt idx="14">
                  <c:v>65.680000000000007</c:v>
                </c:pt>
                <c:pt idx="15">
                  <c:v>66.989999999999995</c:v>
                </c:pt>
                <c:pt idx="16">
                  <c:v>67.19</c:v>
                </c:pt>
                <c:pt idx="17">
                  <c:v>61.62</c:v>
                </c:pt>
                <c:pt idx="18">
                  <c:v>60.09</c:v>
                </c:pt>
                <c:pt idx="19">
                  <c:v>50.140000000000008</c:v>
                </c:pt>
                <c:pt idx="20">
                  <c:v>59.039999999999992</c:v>
                </c:pt>
                <c:pt idx="21">
                  <c:v>60.15</c:v>
                </c:pt>
                <c:pt idx="22">
                  <c:v>55.310000000000009</c:v>
                </c:pt>
                <c:pt idx="23">
                  <c:v>50.819999999999993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32-46E2-9C38-D2282EC2A2E8}"/>
            </c:ext>
          </c:extLst>
        </c:ser>
        <c:ser>
          <c:idx val="4"/>
          <c:order val="1"/>
          <c:tx>
            <c:strRef>
              <c:f>'11'!$A$107:$C$107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'11'!$F$107:$AC$107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0.98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1.52</c:v>
                </c:pt>
                <c:pt idx="14">
                  <c:v>0.68</c:v>
                </c:pt>
                <c:pt idx="15">
                  <c:v>0.89</c:v>
                </c:pt>
                <c:pt idx="16">
                  <c:v>0.89</c:v>
                </c:pt>
                <c:pt idx="17">
                  <c:v>0.9</c:v>
                </c:pt>
                <c:pt idx="18">
                  <c:v>1.03</c:v>
                </c:pt>
                <c:pt idx="19">
                  <c:v>13.11</c:v>
                </c:pt>
                <c:pt idx="20">
                  <c:v>0.8</c:v>
                </c:pt>
                <c:pt idx="21">
                  <c:v>0.85</c:v>
                </c:pt>
                <c:pt idx="22">
                  <c:v>0.88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32-46E2-9C38-D2282EC2A2E8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132-46E2-9C38-D2282EC2A2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'12'!$A$103:$C$103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'12'!$F$11:$AC$11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'12'!$F$103:$AC$103</c:f>
              <c:numCache>
                <c:formatCode>0.00</c:formatCode>
                <c:ptCount val="24"/>
                <c:pt idx="0">
                  <c:v>46.95</c:v>
                </c:pt>
                <c:pt idx="1">
                  <c:v>44.43</c:v>
                </c:pt>
                <c:pt idx="2">
                  <c:v>41.2</c:v>
                </c:pt>
                <c:pt idx="3">
                  <c:v>39.770000000000003</c:v>
                </c:pt>
                <c:pt idx="4">
                  <c:v>40.480000000000004</c:v>
                </c:pt>
                <c:pt idx="5">
                  <c:v>40.9</c:v>
                </c:pt>
                <c:pt idx="6">
                  <c:v>42.320000000000007</c:v>
                </c:pt>
                <c:pt idx="7">
                  <c:v>41.91</c:v>
                </c:pt>
                <c:pt idx="8">
                  <c:v>47.17</c:v>
                </c:pt>
                <c:pt idx="9">
                  <c:v>53.31</c:v>
                </c:pt>
                <c:pt idx="10">
                  <c:v>59.29</c:v>
                </c:pt>
                <c:pt idx="11">
                  <c:v>60.91</c:v>
                </c:pt>
                <c:pt idx="12">
                  <c:v>61.22999999999999</c:v>
                </c:pt>
                <c:pt idx="13">
                  <c:v>60.93</c:v>
                </c:pt>
                <c:pt idx="14">
                  <c:v>63.419999999999995</c:v>
                </c:pt>
                <c:pt idx="15">
                  <c:v>61.900000000000006</c:v>
                </c:pt>
                <c:pt idx="16">
                  <c:v>61.350000000000009</c:v>
                </c:pt>
                <c:pt idx="17">
                  <c:v>59.059999999999995</c:v>
                </c:pt>
                <c:pt idx="18">
                  <c:v>58.969999999999992</c:v>
                </c:pt>
                <c:pt idx="19">
                  <c:v>63.110000000000007</c:v>
                </c:pt>
                <c:pt idx="20">
                  <c:v>61.489999999999995</c:v>
                </c:pt>
                <c:pt idx="21">
                  <c:v>60.03</c:v>
                </c:pt>
                <c:pt idx="22">
                  <c:v>54.64</c:v>
                </c:pt>
                <c:pt idx="23">
                  <c:v>50.699999999999989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CD-46C4-9ACD-5EF7628A242A}"/>
            </c:ext>
          </c:extLst>
        </c:ser>
        <c:ser>
          <c:idx val="4"/>
          <c:order val="1"/>
          <c:tx>
            <c:strRef>
              <c:f>'12'!$A$107:$C$107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'12'!$F$107:$AC$107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2.63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0.41000000000000003</c:v>
                </c:pt>
                <c:pt idx="19">
                  <c:v>0.41000000000000003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CD-46C4-9ACD-5EF7628A242A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C9CD-46C4-9ACD-5EF7628A24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'13'!$A$103:$C$103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'13'!$F$11:$AC$11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'13'!$F$103:$AC$103</c:f>
              <c:numCache>
                <c:formatCode>0.00</c:formatCode>
                <c:ptCount val="24"/>
                <c:pt idx="0">
                  <c:v>46.309999999999995</c:v>
                </c:pt>
                <c:pt idx="1">
                  <c:v>43.96</c:v>
                </c:pt>
                <c:pt idx="2">
                  <c:v>43.75</c:v>
                </c:pt>
                <c:pt idx="3">
                  <c:v>41.570000000000007</c:v>
                </c:pt>
                <c:pt idx="4">
                  <c:v>40.11999999999999</c:v>
                </c:pt>
                <c:pt idx="5">
                  <c:v>40.83</c:v>
                </c:pt>
                <c:pt idx="6">
                  <c:v>41.89</c:v>
                </c:pt>
                <c:pt idx="7">
                  <c:v>41.809999999999995</c:v>
                </c:pt>
                <c:pt idx="8">
                  <c:v>43.759999999999991</c:v>
                </c:pt>
                <c:pt idx="9">
                  <c:v>50.360000000000007</c:v>
                </c:pt>
                <c:pt idx="10">
                  <c:v>52.08</c:v>
                </c:pt>
                <c:pt idx="11">
                  <c:v>52.54999999999999</c:v>
                </c:pt>
                <c:pt idx="12">
                  <c:v>54.91</c:v>
                </c:pt>
                <c:pt idx="13">
                  <c:v>56.319999999999993</c:v>
                </c:pt>
                <c:pt idx="14">
                  <c:v>58.219999999999992</c:v>
                </c:pt>
                <c:pt idx="15">
                  <c:v>58.569999999999993</c:v>
                </c:pt>
                <c:pt idx="16">
                  <c:v>58.39</c:v>
                </c:pt>
                <c:pt idx="17">
                  <c:v>56.519999999999989</c:v>
                </c:pt>
                <c:pt idx="18">
                  <c:v>57.459999999999994</c:v>
                </c:pt>
                <c:pt idx="19">
                  <c:v>61.739999999999995</c:v>
                </c:pt>
                <c:pt idx="20">
                  <c:v>60.2</c:v>
                </c:pt>
                <c:pt idx="21">
                  <c:v>58.09</c:v>
                </c:pt>
                <c:pt idx="22">
                  <c:v>55.54</c:v>
                </c:pt>
                <c:pt idx="23">
                  <c:v>51.690000000000005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C2-4A8D-B8C9-3E3996F76E7B}"/>
            </c:ext>
          </c:extLst>
        </c:ser>
        <c:ser>
          <c:idx val="4"/>
          <c:order val="1"/>
          <c:tx>
            <c:strRef>
              <c:f>'13'!$A$107:$C$107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'13'!$F$107:$AC$107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3.6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C2-4A8D-B8C9-3E3996F76E7B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1DC2-4A8D-B8C9-3E3996F76E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'14'!$A$103:$C$103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'14'!$F$11:$AC$11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'14'!$F$103:$AC$103</c:f>
              <c:numCache>
                <c:formatCode>0.00</c:formatCode>
                <c:ptCount val="24"/>
                <c:pt idx="0">
                  <c:v>47.150000000000006</c:v>
                </c:pt>
                <c:pt idx="1">
                  <c:v>44.089999999999996</c:v>
                </c:pt>
                <c:pt idx="2">
                  <c:v>41.61</c:v>
                </c:pt>
                <c:pt idx="3">
                  <c:v>40.290000000000006</c:v>
                </c:pt>
                <c:pt idx="4">
                  <c:v>39.65</c:v>
                </c:pt>
                <c:pt idx="5">
                  <c:v>40.589999999999996</c:v>
                </c:pt>
                <c:pt idx="6">
                  <c:v>42.269999999999996</c:v>
                </c:pt>
                <c:pt idx="7">
                  <c:v>42.96</c:v>
                </c:pt>
                <c:pt idx="8">
                  <c:v>49.5</c:v>
                </c:pt>
                <c:pt idx="9">
                  <c:v>59.22</c:v>
                </c:pt>
                <c:pt idx="10">
                  <c:v>63.61</c:v>
                </c:pt>
                <c:pt idx="11">
                  <c:v>65.64</c:v>
                </c:pt>
                <c:pt idx="12">
                  <c:v>66.31</c:v>
                </c:pt>
                <c:pt idx="13">
                  <c:v>67.309999999999988</c:v>
                </c:pt>
                <c:pt idx="14">
                  <c:v>68.77</c:v>
                </c:pt>
                <c:pt idx="15">
                  <c:v>68.150000000000006</c:v>
                </c:pt>
                <c:pt idx="16">
                  <c:v>67.63000000000001</c:v>
                </c:pt>
                <c:pt idx="17">
                  <c:v>63.390000000000008</c:v>
                </c:pt>
                <c:pt idx="18">
                  <c:v>59.41</c:v>
                </c:pt>
                <c:pt idx="19">
                  <c:v>63.69</c:v>
                </c:pt>
                <c:pt idx="20">
                  <c:v>58.540000000000006</c:v>
                </c:pt>
                <c:pt idx="21">
                  <c:v>58.959999999999994</c:v>
                </c:pt>
                <c:pt idx="22">
                  <c:v>55.35</c:v>
                </c:pt>
                <c:pt idx="23">
                  <c:v>52.010000000000012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B6-415F-997C-86546A5778D5}"/>
            </c:ext>
          </c:extLst>
        </c:ser>
        <c:ser>
          <c:idx val="4"/>
          <c:order val="1"/>
          <c:tx>
            <c:strRef>
              <c:f>'14'!$A$107:$C$107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'14'!$F$107:$AC$107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0.79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B6-415F-997C-86546A5778D5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6DB6-415F-997C-86546A5778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'15'!$A$103:$C$103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'15'!$F$11:$AC$11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'15'!$F$103:$AC$103</c:f>
              <c:numCache>
                <c:formatCode>0.00</c:formatCode>
                <c:ptCount val="24"/>
                <c:pt idx="0">
                  <c:v>47.649999999999991</c:v>
                </c:pt>
                <c:pt idx="1">
                  <c:v>44.79</c:v>
                </c:pt>
                <c:pt idx="2">
                  <c:v>42.09</c:v>
                </c:pt>
                <c:pt idx="3">
                  <c:v>40.090000000000003</c:v>
                </c:pt>
                <c:pt idx="4">
                  <c:v>38.619999999999997</c:v>
                </c:pt>
                <c:pt idx="5">
                  <c:v>38.64</c:v>
                </c:pt>
                <c:pt idx="6">
                  <c:v>41.99</c:v>
                </c:pt>
                <c:pt idx="7">
                  <c:v>39.21</c:v>
                </c:pt>
                <c:pt idx="8">
                  <c:v>45.68</c:v>
                </c:pt>
                <c:pt idx="9">
                  <c:v>56.629999999999995</c:v>
                </c:pt>
                <c:pt idx="10">
                  <c:v>61.28</c:v>
                </c:pt>
                <c:pt idx="11">
                  <c:v>60.39</c:v>
                </c:pt>
                <c:pt idx="12">
                  <c:v>59.720000000000006</c:v>
                </c:pt>
                <c:pt idx="13">
                  <c:v>63.86</c:v>
                </c:pt>
                <c:pt idx="14">
                  <c:v>66.730000000000018</c:v>
                </c:pt>
                <c:pt idx="15">
                  <c:v>66.899999999999991</c:v>
                </c:pt>
                <c:pt idx="16">
                  <c:v>66.62</c:v>
                </c:pt>
                <c:pt idx="17">
                  <c:v>63.15</c:v>
                </c:pt>
                <c:pt idx="18">
                  <c:v>60.21</c:v>
                </c:pt>
                <c:pt idx="19">
                  <c:v>64.259999999999991</c:v>
                </c:pt>
                <c:pt idx="20">
                  <c:v>60.669999999999995</c:v>
                </c:pt>
                <c:pt idx="21">
                  <c:v>57.36</c:v>
                </c:pt>
                <c:pt idx="22">
                  <c:v>53.89</c:v>
                </c:pt>
                <c:pt idx="23">
                  <c:v>50.91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65-42C2-95E0-0690EFA450FF}"/>
            </c:ext>
          </c:extLst>
        </c:ser>
        <c:ser>
          <c:idx val="4"/>
          <c:order val="1"/>
          <c:tx>
            <c:strRef>
              <c:f>'15'!$A$107:$C$107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'15'!$F$107:$AC$107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0.31</c:v>
                </c:pt>
                <c:pt idx="7">
                  <c:v>2.12</c:v>
                </c:pt>
                <c:pt idx="8">
                  <c:v>0.55000000000000004</c:v>
                </c:pt>
                <c:pt idx="9">
                  <c:v>0.56000000000000005</c:v>
                </c:pt>
                <c:pt idx="10">
                  <c:v>0.56000000000000005</c:v>
                </c:pt>
                <c:pt idx="11">
                  <c:v>0.69</c:v>
                </c:pt>
                <c:pt idx="12">
                  <c:v>0.71</c:v>
                </c:pt>
                <c:pt idx="13">
                  <c:v>0.88</c:v>
                </c:pt>
                <c:pt idx="14">
                  <c:v>0.9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65-42C2-95E0-0690EFA450FF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C965-42C2-95E0-0690EFA450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'16'!$A$103:$C$103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'16'!$F$11:$AC$11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'16'!$F$103:$AC$103</c:f>
              <c:numCache>
                <c:formatCode>0.00</c:formatCode>
                <c:ptCount val="24"/>
                <c:pt idx="0">
                  <c:v>46.22</c:v>
                </c:pt>
                <c:pt idx="1">
                  <c:v>43.22</c:v>
                </c:pt>
                <c:pt idx="2">
                  <c:v>40.799999999999997</c:v>
                </c:pt>
                <c:pt idx="3">
                  <c:v>38.85</c:v>
                </c:pt>
                <c:pt idx="4">
                  <c:v>38.07</c:v>
                </c:pt>
                <c:pt idx="5">
                  <c:v>38.699999999999996</c:v>
                </c:pt>
                <c:pt idx="6">
                  <c:v>40.92</c:v>
                </c:pt>
                <c:pt idx="7">
                  <c:v>39</c:v>
                </c:pt>
                <c:pt idx="8">
                  <c:v>45.96</c:v>
                </c:pt>
                <c:pt idx="9">
                  <c:v>55.109999999999992</c:v>
                </c:pt>
                <c:pt idx="10">
                  <c:v>60.05</c:v>
                </c:pt>
                <c:pt idx="11">
                  <c:v>60.29</c:v>
                </c:pt>
                <c:pt idx="12">
                  <c:v>60.97999999999999</c:v>
                </c:pt>
                <c:pt idx="13">
                  <c:v>59.79</c:v>
                </c:pt>
                <c:pt idx="14">
                  <c:v>62.510000000000005</c:v>
                </c:pt>
                <c:pt idx="15">
                  <c:v>63.470000000000006</c:v>
                </c:pt>
                <c:pt idx="16">
                  <c:v>63.04999999999999</c:v>
                </c:pt>
                <c:pt idx="17">
                  <c:v>57.75</c:v>
                </c:pt>
                <c:pt idx="18">
                  <c:v>57.949999999999996</c:v>
                </c:pt>
                <c:pt idx="19">
                  <c:v>63.609999999999992</c:v>
                </c:pt>
                <c:pt idx="20">
                  <c:v>61.599999999999994</c:v>
                </c:pt>
                <c:pt idx="21">
                  <c:v>56.92</c:v>
                </c:pt>
                <c:pt idx="22">
                  <c:v>52.859999999999992</c:v>
                </c:pt>
                <c:pt idx="23">
                  <c:v>50.44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8B-426A-A2D1-9DA9F5C04A95}"/>
            </c:ext>
          </c:extLst>
        </c:ser>
        <c:ser>
          <c:idx val="4"/>
          <c:order val="1"/>
          <c:tx>
            <c:strRef>
              <c:f>'16'!$A$107:$C$107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'16'!$F$107:$AC$107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0.89</c:v>
                </c:pt>
                <c:pt idx="14">
                  <c:v>0.89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8B-426A-A2D1-9DA9F5C04A95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B38B-426A-A2D1-9DA9F5C04A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'17'!$A$103:$C$103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'17'!$F$11:$AC$11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'17'!$F$103:$AC$103</c:f>
              <c:numCache>
                <c:formatCode>0.00</c:formatCode>
                <c:ptCount val="24"/>
                <c:pt idx="0">
                  <c:v>46.734999999999999</c:v>
                </c:pt>
                <c:pt idx="1">
                  <c:v>43.85</c:v>
                </c:pt>
                <c:pt idx="2">
                  <c:v>41.46</c:v>
                </c:pt>
                <c:pt idx="3">
                  <c:v>39.9</c:v>
                </c:pt>
                <c:pt idx="4">
                  <c:v>39.47</c:v>
                </c:pt>
                <c:pt idx="5">
                  <c:v>39.309999999999995</c:v>
                </c:pt>
                <c:pt idx="6">
                  <c:v>39.339999999999996</c:v>
                </c:pt>
                <c:pt idx="7">
                  <c:v>38.42</c:v>
                </c:pt>
                <c:pt idx="8">
                  <c:v>43.53</c:v>
                </c:pt>
                <c:pt idx="9">
                  <c:v>48.35</c:v>
                </c:pt>
                <c:pt idx="10">
                  <c:v>51.170000000000009</c:v>
                </c:pt>
                <c:pt idx="11">
                  <c:v>52.109999999999992</c:v>
                </c:pt>
                <c:pt idx="12">
                  <c:v>52.970000000000006</c:v>
                </c:pt>
                <c:pt idx="13">
                  <c:v>55.01</c:v>
                </c:pt>
                <c:pt idx="14">
                  <c:v>56.29</c:v>
                </c:pt>
                <c:pt idx="15">
                  <c:v>55.870000000000005</c:v>
                </c:pt>
                <c:pt idx="16">
                  <c:v>55.890000000000008</c:v>
                </c:pt>
                <c:pt idx="17">
                  <c:v>53.55</c:v>
                </c:pt>
                <c:pt idx="18">
                  <c:v>53.38</c:v>
                </c:pt>
                <c:pt idx="19">
                  <c:v>51.17</c:v>
                </c:pt>
                <c:pt idx="20">
                  <c:v>47.72</c:v>
                </c:pt>
                <c:pt idx="21">
                  <c:v>46.629999999999995</c:v>
                </c:pt>
                <c:pt idx="22">
                  <c:v>49.97</c:v>
                </c:pt>
                <c:pt idx="23">
                  <c:v>48.190000000000005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2D-48C4-BFCC-98F4B2B9ADFD}"/>
            </c:ext>
          </c:extLst>
        </c:ser>
        <c:ser>
          <c:idx val="4"/>
          <c:order val="1"/>
          <c:tx>
            <c:strRef>
              <c:f>'17'!$A$107:$C$107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'17'!$F$107:$AC$107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0.76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5.984</c:v>
                </c:pt>
                <c:pt idx="20">
                  <c:v>7.3940000000000001</c:v>
                </c:pt>
                <c:pt idx="21">
                  <c:v>5.984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2D-48C4-BFCC-98F4B2B9ADFD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C22D-48C4-BFCC-98F4B2B9AD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'18'!$A$103:$C$103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'18'!$F$11:$AC$11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'18'!$F$103:$AC$103</c:f>
              <c:numCache>
                <c:formatCode>0.00</c:formatCode>
                <c:ptCount val="24"/>
                <c:pt idx="0">
                  <c:v>45.01</c:v>
                </c:pt>
                <c:pt idx="1">
                  <c:v>41.839999999999996</c:v>
                </c:pt>
                <c:pt idx="2">
                  <c:v>40.35</c:v>
                </c:pt>
                <c:pt idx="3">
                  <c:v>38.42</c:v>
                </c:pt>
                <c:pt idx="4">
                  <c:v>38.089999999999996</c:v>
                </c:pt>
                <c:pt idx="5">
                  <c:v>36.859999999999992</c:v>
                </c:pt>
                <c:pt idx="6">
                  <c:v>37.919999999999995</c:v>
                </c:pt>
                <c:pt idx="7">
                  <c:v>37.36</c:v>
                </c:pt>
                <c:pt idx="8">
                  <c:v>38.49</c:v>
                </c:pt>
                <c:pt idx="9">
                  <c:v>40.789999999999992</c:v>
                </c:pt>
                <c:pt idx="10">
                  <c:v>42.230000000000004</c:v>
                </c:pt>
                <c:pt idx="11">
                  <c:v>43.54</c:v>
                </c:pt>
                <c:pt idx="12">
                  <c:v>44.589999999999996</c:v>
                </c:pt>
                <c:pt idx="13">
                  <c:v>46.57</c:v>
                </c:pt>
                <c:pt idx="14">
                  <c:v>47.899999999999991</c:v>
                </c:pt>
                <c:pt idx="15">
                  <c:v>48.080000000000005</c:v>
                </c:pt>
                <c:pt idx="16">
                  <c:v>46.34</c:v>
                </c:pt>
                <c:pt idx="17">
                  <c:v>45.509999999999991</c:v>
                </c:pt>
                <c:pt idx="18">
                  <c:v>45.92</c:v>
                </c:pt>
                <c:pt idx="19">
                  <c:v>53.830000000000005</c:v>
                </c:pt>
                <c:pt idx="20">
                  <c:v>53.970000000000006</c:v>
                </c:pt>
                <c:pt idx="21">
                  <c:v>54.279999999999994</c:v>
                </c:pt>
                <c:pt idx="22">
                  <c:v>52.37</c:v>
                </c:pt>
                <c:pt idx="23">
                  <c:v>49.11999999999999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5B-419C-9A76-E972E9B97BCC}"/>
            </c:ext>
          </c:extLst>
        </c:ser>
        <c:ser>
          <c:idx val="4"/>
          <c:order val="1"/>
          <c:tx>
            <c:strRef>
              <c:f>'18'!$A$107:$C$107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'18'!$F$107:$AC$107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15B-419C-9A76-E972E9B97BCC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15B-419C-9A76-E972E9B97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'19'!$A$103:$C$103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'19'!$F$11:$AC$11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'19'!$F$103:$AC$103</c:f>
              <c:numCache>
                <c:formatCode>0.00</c:formatCode>
                <c:ptCount val="24"/>
                <c:pt idx="0">
                  <c:v>45.27</c:v>
                </c:pt>
                <c:pt idx="1">
                  <c:v>42.580000000000005</c:v>
                </c:pt>
                <c:pt idx="2">
                  <c:v>40.229999999999997</c:v>
                </c:pt>
                <c:pt idx="3">
                  <c:v>40.27000000000001</c:v>
                </c:pt>
                <c:pt idx="4">
                  <c:v>39.440000000000005</c:v>
                </c:pt>
                <c:pt idx="5">
                  <c:v>39.480000000000004</c:v>
                </c:pt>
                <c:pt idx="6">
                  <c:v>40.540000000000006</c:v>
                </c:pt>
                <c:pt idx="7">
                  <c:v>39</c:v>
                </c:pt>
                <c:pt idx="8">
                  <c:v>42.93</c:v>
                </c:pt>
                <c:pt idx="9">
                  <c:v>48.48</c:v>
                </c:pt>
                <c:pt idx="10">
                  <c:v>49.08</c:v>
                </c:pt>
                <c:pt idx="11">
                  <c:v>52.84</c:v>
                </c:pt>
                <c:pt idx="12">
                  <c:v>54.949999999999989</c:v>
                </c:pt>
                <c:pt idx="13">
                  <c:v>55.83</c:v>
                </c:pt>
                <c:pt idx="14">
                  <c:v>57.5</c:v>
                </c:pt>
                <c:pt idx="15">
                  <c:v>57.230000000000004</c:v>
                </c:pt>
                <c:pt idx="16">
                  <c:v>57.430000000000007</c:v>
                </c:pt>
                <c:pt idx="17">
                  <c:v>56.480000000000004</c:v>
                </c:pt>
                <c:pt idx="18">
                  <c:v>55.65</c:v>
                </c:pt>
                <c:pt idx="19">
                  <c:v>60.92</c:v>
                </c:pt>
                <c:pt idx="20">
                  <c:v>59.28</c:v>
                </c:pt>
                <c:pt idx="21">
                  <c:v>57.899999999999991</c:v>
                </c:pt>
                <c:pt idx="22">
                  <c:v>53.260000000000005</c:v>
                </c:pt>
                <c:pt idx="23">
                  <c:v>51.790000000000006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9A-45BE-982D-D8DA3716CE41}"/>
            </c:ext>
          </c:extLst>
        </c:ser>
        <c:ser>
          <c:idx val="4"/>
          <c:order val="1"/>
          <c:tx>
            <c:strRef>
              <c:f>'19'!$A$107:$C$107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'19'!$F$107:$AC$107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89A-45BE-982D-D8DA3716CE41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189A-45BE-982D-D8DA3716CE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'20'!$A$103:$C$103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'20'!$F$11:$AC$11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'20'!$F$103:$AC$103</c:f>
              <c:numCache>
                <c:formatCode>0.00</c:formatCode>
                <c:ptCount val="24"/>
                <c:pt idx="0">
                  <c:v>47.250000000000007</c:v>
                </c:pt>
                <c:pt idx="1">
                  <c:v>44.29</c:v>
                </c:pt>
                <c:pt idx="2">
                  <c:v>42.59</c:v>
                </c:pt>
                <c:pt idx="3">
                  <c:v>41.07</c:v>
                </c:pt>
                <c:pt idx="4">
                  <c:v>40.869999999999997</c:v>
                </c:pt>
                <c:pt idx="5">
                  <c:v>39.930000000000007</c:v>
                </c:pt>
                <c:pt idx="6">
                  <c:v>39.739999999999995</c:v>
                </c:pt>
                <c:pt idx="7">
                  <c:v>40.43</c:v>
                </c:pt>
                <c:pt idx="8">
                  <c:v>42.61</c:v>
                </c:pt>
                <c:pt idx="9">
                  <c:v>49.250000000000007</c:v>
                </c:pt>
                <c:pt idx="10">
                  <c:v>52.52</c:v>
                </c:pt>
                <c:pt idx="11">
                  <c:v>53.78</c:v>
                </c:pt>
                <c:pt idx="12">
                  <c:v>53.87</c:v>
                </c:pt>
                <c:pt idx="13">
                  <c:v>53.720000000000006</c:v>
                </c:pt>
                <c:pt idx="14">
                  <c:v>56.26</c:v>
                </c:pt>
                <c:pt idx="15">
                  <c:v>56.69</c:v>
                </c:pt>
                <c:pt idx="16">
                  <c:v>56.31</c:v>
                </c:pt>
                <c:pt idx="17">
                  <c:v>55.45</c:v>
                </c:pt>
                <c:pt idx="18">
                  <c:v>56.05</c:v>
                </c:pt>
                <c:pt idx="19">
                  <c:v>62.339999999999996</c:v>
                </c:pt>
                <c:pt idx="20">
                  <c:v>58.539999999999992</c:v>
                </c:pt>
                <c:pt idx="21">
                  <c:v>60.32</c:v>
                </c:pt>
                <c:pt idx="22">
                  <c:v>56.440000000000005</c:v>
                </c:pt>
                <c:pt idx="23">
                  <c:v>52.569999999999993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7B-4375-A354-25B9FDEC15E0}"/>
            </c:ext>
          </c:extLst>
        </c:ser>
        <c:ser>
          <c:idx val="4"/>
          <c:order val="1"/>
          <c:tx>
            <c:strRef>
              <c:f>'20'!$A$107:$C$107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'20'!$F$107:$AC$107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7B-4375-A354-25B9FDEC15E0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E27B-4375-A354-25B9FDEC15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'21'!$A$103:$C$103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'21'!$F$11:$AC$11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'21'!$F$103:$AC$103</c:f>
              <c:numCache>
                <c:formatCode>0.00</c:formatCode>
                <c:ptCount val="24"/>
                <c:pt idx="0">
                  <c:v>47.32</c:v>
                </c:pt>
                <c:pt idx="1">
                  <c:v>46.72</c:v>
                </c:pt>
                <c:pt idx="2">
                  <c:v>45.84</c:v>
                </c:pt>
                <c:pt idx="3">
                  <c:v>42.679999999999993</c:v>
                </c:pt>
                <c:pt idx="4">
                  <c:v>41.46</c:v>
                </c:pt>
                <c:pt idx="5">
                  <c:v>41.489999999999995</c:v>
                </c:pt>
                <c:pt idx="6">
                  <c:v>44.120000000000005</c:v>
                </c:pt>
                <c:pt idx="7">
                  <c:v>42.449999999999996</c:v>
                </c:pt>
                <c:pt idx="8">
                  <c:v>50.669999999999995</c:v>
                </c:pt>
                <c:pt idx="9">
                  <c:v>62.440000000000005</c:v>
                </c:pt>
                <c:pt idx="10">
                  <c:v>65.220000000000013</c:v>
                </c:pt>
                <c:pt idx="11">
                  <c:v>66.64</c:v>
                </c:pt>
                <c:pt idx="12">
                  <c:v>68.459999999999994</c:v>
                </c:pt>
                <c:pt idx="13">
                  <c:v>70.759999999999991</c:v>
                </c:pt>
                <c:pt idx="14">
                  <c:v>66.670000000000016</c:v>
                </c:pt>
                <c:pt idx="15">
                  <c:v>68.570000000000007</c:v>
                </c:pt>
                <c:pt idx="16">
                  <c:v>67.900000000000006</c:v>
                </c:pt>
                <c:pt idx="17">
                  <c:v>68</c:v>
                </c:pt>
                <c:pt idx="18">
                  <c:v>62.29</c:v>
                </c:pt>
                <c:pt idx="19">
                  <c:v>66.48</c:v>
                </c:pt>
                <c:pt idx="20">
                  <c:v>63.74</c:v>
                </c:pt>
                <c:pt idx="21">
                  <c:v>62.34</c:v>
                </c:pt>
                <c:pt idx="22">
                  <c:v>57.25</c:v>
                </c:pt>
                <c:pt idx="23">
                  <c:v>55.160000000000011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6B-456E-BB63-059C761156DB}"/>
            </c:ext>
          </c:extLst>
        </c:ser>
        <c:ser>
          <c:idx val="4"/>
          <c:order val="1"/>
          <c:tx>
            <c:strRef>
              <c:f>'21'!$A$107:$C$107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'21'!$F$107:$AC$107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0.59</c:v>
                </c:pt>
                <c:pt idx="8">
                  <c:v>0.59</c:v>
                </c:pt>
                <c:pt idx="9">
                  <c:v>0</c:v>
                </c:pt>
                <c:pt idx="10">
                  <c:v>1.3</c:v>
                </c:pt>
                <c:pt idx="11">
                  <c:v>1.3</c:v>
                </c:pt>
                <c:pt idx="12">
                  <c:v>0</c:v>
                </c:pt>
                <c:pt idx="13">
                  <c:v>0</c:v>
                </c:pt>
                <c:pt idx="14">
                  <c:v>2.88</c:v>
                </c:pt>
                <c:pt idx="15">
                  <c:v>3.2034999999999996</c:v>
                </c:pt>
                <c:pt idx="16">
                  <c:v>3.2034999999999996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C6B-456E-BB63-059C761156DB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C6B-456E-BB63-059C76115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'22'!$A$103:$C$103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'22'!$F$11:$AC$11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'22'!$F$103:$AC$103</c:f>
              <c:numCache>
                <c:formatCode>0.00</c:formatCode>
                <c:ptCount val="24"/>
                <c:pt idx="0">
                  <c:v>49.71</c:v>
                </c:pt>
                <c:pt idx="1">
                  <c:v>47.640000000000008</c:v>
                </c:pt>
                <c:pt idx="2">
                  <c:v>45.41</c:v>
                </c:pt>
                <c:pt idx="3">
                  <c:v>43.190000000000005</c:v>
                </c:pt>
                <c:pt idx="4">
                  <c:v>42.56</c:v>
                </c:pt>
                <c:pt idx="5">
                  <c:v>42.329999999999991</c:v>
                </c:pt>
                <c:pt idx="6">
                  <c:v>45</c:v>
                </c:pt>
                <c:pt idx="7">
                  <c:v>44.77</c:v>
                </c:pt>
                <c:pt idx="8">
                  <c:v>53.66</c:v>
                </c:pt>
                <c:pt idx="9">
                  <c:v>62.64</c:v>
                </c:pt>
                <c:pt idx="10">
                  <c:v>67.45999999999998</c:v>
                </c:pt>
                <c:pt idx="11">
                  <c:v>68.640000000000015</c:v>
                </c:pt>
                <c:pt idx="12">
                  <c:v>68.459999999999994</c:v>
                </c:pt>
                <c:pt idx="13">
                  <c:v>70.889999999999986</c:v>
                </c:pt>
                <c:pt idx="14">
                  <c:v>65.540000000000006</c:v>
                </c:pt>
                <c:pt idx="15">
                  <c:v>71.08</c:v>
                </c:pt>
                <c:pt idx="16">
                  <c:v>70.650000000000006</c:v>
                </c:pt>
                <c:pt idx="17">
                  <c:v>67.72</c:v>
                </c:pt>
                <c:pt idx="18">
                  <c:v>62.419999999999995</c:v>
                </c:pt>
                <c:pt idx="19">
                  <c:v>66.739999999999995</c:v>
                </c:pt>
                <c:pt idx="20">
                  <c:v>62.629999999999995</c:v>
                </c:pt>
                <c:pt idx="21">
                  <c:v>61.37</c:v>
                </c:pt>
                <c:pt idx="22">
                  <c:v>56.47</c:v>
                </c:pt>
                <c:pt idx="23">
                  <c:v>54.24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74-4A03-89B7-940BED01256D}"/>
            </c:ext>
          </c:extLst>
        </c:ser>
        <c:ser>
          <c:idx val="4"/>
          <c:order val="1"/>
          <c:tx>
            <c:strRef>
              <c:f>'22'!$A$107:$C$107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'22'!$F$107:$AC$107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5.3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74-4A03-89B7-940BED01256D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E74-4A03-89B7-940BED0125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'23'!$A$103:$C$103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'23'!$F$11:$AC$11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'23'!$F$103:$AC$103</c:f>
              <c:numCache>
                <c:formatCode>0.00</c:formatCode>
                <c:ptCount val="24"/>
                <c:pt idx="0">
                  <c:v>46.95</c:v>
                </c:pt>
                <c:pt idx="1">
                  <c:v>46.929999999999993</c:v>
                </c:pt>
                <c:pt idx="2">
                  <c:v>44.44</c:v>
                </c:pt>
                <c:pt idx="3">
                  <c:v>43.210000000000008</c:v>
                </c:pt>
                <c:pt idx="4">
                  <c:v>41.83</c:v>
                </c:pt>
                <c:pt idx="5">
                  <c:v>42.150000000000006</c:v>
                </c:pt>
                <c:pt idx="6">
                  <c:v>44.63</c:v>
                </c:pt>
                <c:pt idx="7">
                  <c:v>44.740000000000009</c:v>
                </c:pt>
                <c:pt idx="8">
                  <c:v>50.920000000000009</c:v>
                </c:pt>
                <c:pt idx="9">
                  <c:v>61.83</c:v>
                </c:pt>
                <c:pt idx="10">
                  <c:v>63.260000000000005</c:v>
                </c:pt>
                <c:pt idx="11">
                  <c:v>70.14</c:v>
                </c:pt>
                <c:pt idx="12">
                  <c:v>68.460000000000008</c:v>
                </c:pt>
                <c:pt idx="13">
                  <c:v>69.660000000000011</c:v>
                </c:pt>
                <c:pt idx="14">
                  <c:v>71.429999999999993</c:v>
                </c:pt>
                <c:pt idx="15">
                  <c:v>66.02</c:v>
                </c:pt>
                <c:pt idx="16">
                  <c:v>67.100000000000009</c:v>
                </c:pt>
                <c:pt idx="17">
                  <c:v>66.88</c:v>
                </c:pt>
                <c:pt idx="18">
                  <c:v>63.08</c:v>
                </c:pt>
                <c:pt idx="19">
                  <c:v>65.569999999999993</c:v>
                </c:pt>
                <c:pt idx="20">
                  <c:v>64.009999999999991</c:v>
                </c:pt>
                <c:pt idx="21">
                  <c:v>58.709999999999994</c:v>
                </c:pt>
                <c:pt idx="22">
                  <c:v>55.4</c:v>
                </c:pt>
                <c:pt idx="23">
                  <c:v>52.53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A6-49C9-88DC-33AA4EB1D5D9}"/>
            </c:ext>
          </c:extLst>
        </c:ser>
        <c:ser>
          <c:idx val="4"/>
          <c:order val="1"/>
          <c:tx>
            <c:strRef>
              <c:f>'23'!$A$107:$C$107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'23'!$F$107:$AC$107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2.62</c:v>
                </c:pt>
                <c:pt idx="16">
                  <c:v>2.62</c:v>
                </c:pt>
                <c:pt idx="17">
                  <c:v>1.61</c:v>
                </c:pt>
                <c:pt idx="18">
                  <c:v>1.61</c:v>
                </c:pt>
                <c:pt idx="19">
                  <c:v>1.61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A6-49C9-88DC-33AA4EB1D5D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CA6-49C9-88DC-33AA4EB1D5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'24'!$A$103:$C$103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'24'!$F$11:$AC$11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'24'!$F$103:$AC$103</c:f>
              <c:numCache>
                <c:formatCode>0.00</c:formatCode>
                <c:ptCount val="24"/>
                <c:pt idx="0">
                  <c:v>47.929999999999993</c:v>
                </c:pt>
                <c:pt idx="1">
                  <c:v>46.009999999999991</c:v>
                </c:pt>
                <c:pt idx="2">
                  <c:v>43.809999999999995</c:v>
                </c:pt>
                <c:pt idx="3">
                  <c:v>41.699999999999996</c:v>
                </c:pt>
                <c:pt idx="4">
                  <c:v>40.369999999999997</c:v>
                </c:pt>
                <c:pt idx="5">
                  <c:v>40.929999999999993</c:v>
                </c:pt>
                <c:pt idx="6">
                  <c:v>44.4</c:v>
                </c:pt>
                <c:pt idx="7">
                  <c:v>44</c:v>
                </c:pt>
                <c:pt idx="8">
                  <c:v>51.13000000000001</c:v>
                </c:pt>
                <c:pt idx="9">
                  <c:v>62.72</c:v>
                </c:pt>
                <c:pt idx="10">
                  <c:v>66.63</c:v>
                </c:pt>
                <c:pt idx="11">
                  <c:v>68.36666666666666</c:v>
                </c:pt>
                <c:pt idx="12">
                  <c:v>68.476666666666659</c:v>
                </c:pt>
                <c:pt idx="13">
                  <c:v>70.87</c:v>
                </c:pt>
                <c:pt idx="14">
                  <c:v>74.09</c:v>
                </c:pt>
                <c:pt idx="15">
                  <c:v>72.7</c:v>
                </c:pt>
                <c:pt idx="16">
                  <c:v>70.150000000000006</c:v>
                </c:pt>
                <c:pt idx="17">
                  <c:v>68.400000000000006</c:v>
                </c:pt>
                <c:pt idx="18">
                  <c:v>63.443333333333342</c:v>
                </c:pt>
                <c:pt idx="19">
                  <c:v>67.33</c:v>
                </c:pt>
                <c:pt idx="20">
                  <c:v>64.240000000000009</c:v>
                </c:pt>
                <c:pt idx="21">
                  <c:v>59.349999999999994</c:v>
                </c:pt>
                <c:pt idx="22">
                  <c:v>54.830000000000005</c:v>
                </c:pt>
                <c:pt idx="23">
                  <c:v>50.85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91-4CD5-A971-D8142F6537AB}"/>
            </c:ext>
          </c:extLst>
        </c:ser>
        <c:ser>
          <c:idx val="4"/>
          <c:order val="1"/>
          <c:tx>
            <c:strRef>
              <c:f>'24'!$A$107:$C$107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'24'!$F$107:$AC$107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</c:v>
                </c:pt>
                <c:pt idx="16">
                  <c:v>0.6</c:v>
                </c:pt>
                <c:pt idx="17">
                  <c:v>0.6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1.4</c:v>
                </c:pt>
                <c:pt idx="22">
                  <c:v>1.4</c:v>
                </c:pt>
                <c:pt idx="23">
                  <c:v>2.15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91-4CD5-A971-D8142F6537AB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1A91-4CD5-A971-D8142F6537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'25'!$A$103:$C$103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'25'!$F$11:$AC$11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'25'!$F$103:$AC$103</c:f>
              <c:numCache>
                <c:formatCode>0.00</c:formatCode>
                <c:ptCount val="24"/>
                <c:pt idx="0">
                  <c:v>47.920000000000009</c:v>
                </c:pt>
                <c:pt idx="1">
                  <c:v>45.470000000000006</c:v>
                </c:pt>
                <c:pt idx="2">
                  <c:v>44.05</c:v>
                </c:pt>
                <c:pt idx="3">
                  <c:v>42.92</c:v>
                </c:pt>
                <c:pt idx="4">
                  <c:v>41.37</c:v>
                </c:pt>
                <c:pt idx="5">
                  <c:v>42.319999999999993</c:v>
                </c:pt>
                <c:pt idx="6">
                  <c:v>43.96</c:v>
                </c:pt>
                <c:pt idx="7">
                  <c:v>43.74</c:v>
                </c:pt>
                <c:pt idx="8">
                  <c:v>51.819999999999993</c:v>
                </c:pt>
                <c:pt idx="9">
                  <c:v>62.419999999999995</c:v>
                </c:pt>
                <c:pt idx="10">
                  <c:v>67.650000000000006</c:v>
                </c:pt>
                <c:pt idx="11">
                  <c:v>68.309999999999988</c:v>
                </c:pt>
                <c:pt idx="12">
                  <c:v>68.319999999999993</c:v>
                </c:pt>
                <c:pt idx="13">
                  <c:v>69.31</c:v>
                </c:pt>
                <c:pt idx="14">
                  <c:v>66.67</c:v>
                </c:pt>
                <c:pt idx="15">
                  <c:v>62.56</c:v>
                </c:pt>
                <c:pt idx="16">
                  <c:v>68.010000000000005</c:v>
                </c:pt>
                <c:pt idx="17">
                  <c:v>62.790000000000006</c:v>
                </c:pt>
                <c:pt idx="18">
                  <c:v>61.81</c:v>
                </c:pt>
                <c:pt idx="19">
                  <c:v>63.55</c:v>
                </c:pt>
                <c:pt idx="20">
                  <c:v>63.269999999999996</c:v>
                </c:pt>
                <c:pt idx="21">
                  <c:v>60.47</c:v>
                </c:pt>
                <c:pt idx="22">
                  <c:v>57.72999999999999</c:v>
                </c:pt>
                <c:pt idx="23">
                  <c:v>52.019999999999996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41-49C5-A5EB-8B59BF933563}"/>
            </c:ext>
          </c:extLst>
        </c:ser>
        <c:ser>
          <c:idx val="4"/>
          <c:order val="1"/>
          <c:tx>
            <c:strRef>
              <c:f>'25'!$A$107:$C$107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'25'!$F$107:$AC$107</c:f>
              <c:numCache>
                <c:formatCode>0.00</c:formatCode>
                <c:ptCount val="24"/>
                <c:pt idx="0">
                  <c:v>0</c:v>
                </c:pt>
                <c:pt idx="1">
                  <c:v>1.43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1.91</c:v>
                </c:pt>
                <c:pt idx="14">
                  <c:v>0</c:v>
                </c:pt>
                <c:pt idx="15">
                  <c:v>0</c:v>
                </c:pt>
                <c:pt idx="16">
                  <c:v>5.75</c:v>
                </c:pt>
                <c:pt idx="17">
                  <c:v>1.9300000000000002</c:v>
                </c:pt>
                <c:pt idx="18">
                  <c:v>0</c:v>
                </c:pt>
                <c:pt idx="19">
                  <c:v>1.4419999999999999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41-49C5-A5EB-8B59BF933563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AA41-49C5-A5EB-8B59BF933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'26'!$A$103:$C$103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'26'!$F$11:$AC$11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'26'!$F$103:$AC$103</c:f>
              <c:numCache>
                <c:formatCode>0.00</c:formatCode>
                <c:ptCount val="24"/>
                <c:pt idx="0">
                  <c:v>48.69</c:v>
                </c:pt>
                <c:pt idx="1">
                  <c:v>45.79</c:v>
                </c:pt>
                <c:pt idx="2">
                  <c:v>43.05</c:v>
                </c:pt>
                <c:pt idx="3">
                  <c:v>41.559999999999995</c:v>
                </c:pt>
                <c:pt idx="4">
                  <c:v>39.71</c:v>
                </c:pt>
                <c:pt idx="5">
                  <c:v>40.220000000000006</c:v>
                </c:pt>
                <c:pt idx="6">
                  <c:v>42.399999999999991</c:v>
                </c:pt>
                <c:pt idx="7">
                  <c:v>42.43</c:v>
                </c:pt>
                <c:pt idx="8">
                  <c:v>45.46</c:v>
                </c:pt>
                <c:pt idx="9">
                  <c:v>54.21</c:v>
                </c:pt>
                <c:pt idx="10">
                  <c:v>57.51</c:v>
                </c:pt>
                <c:pt idx="11">
                  <c:v>55.18</c:v>
                </c:pt>
                <c:pt idx="12">
                  <c:v>57.250800000000005</c:v>
                </c:pt>
                <c:pt idx="13">
                  <c:v>60.4</c:v>
                </c:pt>
                <c:pt idx="14">
                  <c:v>61.62</c:v>
                </c:pt>
                <c:pt idx="15">
                  <c:v>61.98</c:v>
                </c:pt>
                <c:pt idx="16">
                  <c:v>60.43</c:v>
                </c:pt>
                <c:pt idx="17">
                  <c:v>58.45</c:v>
                </c:pt>
                <c:pt idx="18">
                  <c:v>57.49</c:v>
                </c:pt>
                <c:pt idx="19">
                  <c:v>61.909999999999989</c:v>
                </c:pt>
                <c:pt idx="20">
                  <c:v>57.75</c:v>
                </c:pt>
                <c:pt idx="21">
                  <c:v>54.67</c:v>
                </c:pt>
                <c:pt idx="22">
                  <c:v>52.809999999999995</c:v>
                </c:pt>
                <c:pt idx="23">
                  <c:v>48.33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A8-4D71-899F-74811E3A41D8}"/>
            </c:ext>
          </c:extLst>
        </c:ser>
        <c:ser>
          <c:idx val="4"/>
          <c:order val="1"/>
          <c:tx>
            <c:strRef>
              <c:f>'26'!$A$107:$C$107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'26'!$F$107:$AC$107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A8-4D71-899F-74811E3A41D8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9DA8-4D71-899F-74811E3A41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'27'!$A$103:$C$103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'27'!$F$11:$AC$11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'27'!$F$103:$AC$103</c:f>
              <c:numCache>
                <c:formatCode>0.00</c:formatCode>
                <c:ptCount val="24"/>
                <c:pt idx="0">
                  <c:v>44.81</c:v>
                </c:pt>
                <c:pt idx="1">
                  <c:v>21.23</c:v>
                </c:pt>
                <c:pt idx="2">
                  <c:v>20.230000000000004</c:v>
                </c:pt>
                <c:pt idx="3">
                  <c:v>29.781000000000002</c:v>
                </c:pt>
                <c:pt idx="4">
                  <c:v>37.93</c:v>
                </c:pt>
                <c:pt idx="5">
                  <c:v>38.53</c:v>
                </c:pt>
                <c:pt idx="6">
                  <c:v>40.130000000000003</c:v>
                </c:pt>
                <c:pt idx="7">
                  <c:v>39.42</c:v>
                </c:pt>
                <c:pt idx="8">
                  <c:v>43.529999999999994</c:v>
                </c:pt>
                <c:pt idx="9">
                  <c:v>47.75</c:v>
                </c:pt>
                <c:pt idx="10">
                  <c:v>50.64</c:v>
                </c:pt>
                <c:pt idx="11">
                  <c:v>50.51</c:v>
                </c:pt>
                <c:pt idx="12">
                  <c:v>49.99</c:v>
                </c:pt>
                <c:pt idx="13">
                  <c:v>50.04</c:v>
                </c:pt>
                <c:pt idx="14">
                  <c:v>51.15</c:v>
                </c:pt>
                <c:pt idx="15">
                  <c:v>49.490000000000009</c:v>
                </c:pt>
                <c:pt idx="16">
                  <c:v>51.52</c:v>
                </c:pt>
                <c:pt idx="17">
                  <c:v>52.21</c:v>
                </c:pt>
                <c:pt idx="18">
                  <c:v>53.849999999999994</c:v>
                </c:pt>
                <c:pt idx="19">
                  <c:v>58.02</c:v>
                </c:pt>
                <c:pt idx="20">
                  <c:v>55.470000000000006</c:v>
                </c:pt>
                <c:pt idx="21">
                  <c:v>51.52</c:v>
                </c:pt>
                <c:pt idx="22">
                  <c:v>48.199999999999996</c:v>
                </c:pt>
                <c:pt idx="23">
                  <c:v>44.56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6D-492C-979A-C97A653EF374}"/>
            </c:ext>
          </c:extLst>
        </c:ser>
        <c:ser>
          <c:idx val="4"/>
          <c:order val="1"/>
          <c:tx>
            <c:strRef>
              <c:f>'27'!$A$107:$C$107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'27'!$F$107:$AC$107</c:f>
              <c:numCache>
                <c:formatCode>0.00</c:formatCode>
                <c:ptCount val="24"/>
                <c:pt idx="0">
                  <c:v>2.0299999999999998</c:v>
                </c:pt>
                <c:pt idx="1">
                  <c:v>21.67</c:v>
                </c:pt>
                <c:pt idx="2">
                  <c:v>21</c:v>
                </c:pt>
                <c:pt idx="3">
                  <c:v>11.92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6D-492C-979A-C97A653EF374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396D-492C-979A-C97A653EF3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'28'!$A$103:$C$103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'28'!$F$11:$AC$11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'28'!$F$103:$AC$103</c:f>
              <c:numCache>
                <c:formatCode>0.00</c:formatCode>
                <c:ptCount val="24"/>
                <c:pt idx="0">
                  <c:v>41.84</c:v>
                </c:pt>
                <c:pt idx="1">
                  <c:v>39.33</c:v>
                </c:pt>
                <c:pt idx="2">
                  <c:v>38.08</c:v>
                </c:pt>
                <c:pt idx="3">
                  <c:v>36.549999999999997</c:v>
                </c:pt>
                <c:pt idx="4">
                  <c:v>36.42</c:v>
                </c:pt>
                <c:pt idx="5">
                  <c:v>33.239999999999995</c:v>
                </c:pt>
                <c:pt idx="6">
                  <c:v>35.969999999999992</c:v>
                </c:pt>
                <c:pt idx="7">
                  <c:v>38.039999999999992</c:v>
                </c:pt>
                <c:pt idx="8">
                  <c:v>43.4</c:v>
                </c:pt>
                <c:pt idx="9">
                  <c:v>53.620000000000005</c:v>
                </c:pt>
                <c:pt idx="10">
                  <c:v>56.4</c:v>
                </c:pt>
                <c:pt idx="11">
                  <c:v>57.849999999999994</c:v>
                </c:pt>
                <c:pt idx="12">
                  <c:v>58.22</c:v>
                </c:pt>
                <c:pt idx="13">
                  <c:v>58.339999999999996</c:v>
                </c:pt>
                <c:pt idx="14">
                  <c:v>60.190000000000005</c:v>
                </c:pt>
                <c:pt idx="15">
                  <c:v>60.43</c:v>
                </c:pt>
                <c:pt idx="16">
                  <c:v>59.679999999999993</c:v>
                </c:pt>
                <c:pt idx="17">
                  <c:v>57.6</c:v>
                </c:pt>
                <c:pt idx="18">
                  <c:v>54.68</c:v>
                </c:pt>
                <c:pt idx="19">
                  <c:v>59</c:v>
                </c:pt>
                <c:pt idx="20">
                  <c:v>57.589999999999996</c:v>
                </c:pt>
                <c:pt idx="21">
                  <c:v>52.84</c:v>
                </c:pt>
                <c:pt idx="22">
                  <c:v>48.739999999999995</c:v>
                </c:pt>
                <c:pt idx="23">
                  <c:v>45.339999999999996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31-4A42-B779-7CC17A194B9B}"/>
            </c:ext>
          </c:extLst>
        </c:ser>
        <c:ser>
          <c:idx val="4"/>
          <c:order val="1"/>
          <c:tx>
            <c:strRef>
              <c:f>'28'!$A$107:$C$107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'28'!$F$107:$AC$107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0.35</c:v>
                </c:pt>
                <c:pt idx="5">
                  <c:v>2.1</c:v>
                </c:pt>
                <c:pt idx="6">
                  <c:v>0.35</c:v>
                </c:pt>
                <c:pt idx="7">
                  <c:v>0.52</c:v>
                </c:pt>
                <c:pt idx="8">
                  <c:v>0.52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31-4A42-B779-7CC17A194B9B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E731-4A42-B779-7CC17A194B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'29'!$A$103:$C$103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'29'!$F$11:$AC$11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'29'!$F$103:$AC$103</c:f>
              <c:numCache>
                <c:formatCode>0.00</c:formatCode>
                <c:ptCount val="24"/>
                <c:pt idx="0">
                  <c:v>41.94</c:v>
                </c:pt>
                <c:pt idx="1">
                  <c:v>39.419999999999995</c:v>
                </c:pt>
                <c:pt idx="2">
                  <c:v>38.89</c:v>
                </c:pt>
                <c:pt idx="3">
                  <c:v>36.949999999999996</c:v>
                </c:pt>
                <c:pt idx="4">
                  <c:v>35.389999999999993</c:v>
                </c:pt>
                <c:pt idx="5">
                  <c:v>36.879999999999995</c:v>
                </c:pt>
                <c:pt idx="6">
                  <c:v>40.369999999999997</c:v>
                </c:pt>
                <c:pt idx="7">
                  <c:v>40.680000000000007</c:v>
                </c:pt>
                <c:pt idx="8">
                  <c:v>47.61999999999999</c:v>
                </c:pt>
                <c:pt idx="9">
                  <c:v>56.860000000000007</c:v>
                </c:pt>
                <c:pt idx="10">
                  <c:v>61.38</c:v>
                </c:pt>
                <c:pt idx="11">
                  <c:v>61.9</c:v>
                </c:pt>
                <c:pt idx="12">
                  <c:v>63.430000000000007</c:v>
                </c:pt>
                <c:pt idx="13">
                  <c:v>59.679999999999993</c:v>
                </c:pt>
                <c:pt idx="14">
                  <c:v>59.059999999999995</c:v>
                </c:pt>
                <c:pt idx="15">
                  <c:v>63.45</c:v>
                </c:pt>
                <c:pt idx="16">
                  <c:v>60.570000000000007</c:v>
                </c:pt>
                <c:pt idx="17">
                  <c:v>57.440000000000005</c:v>
                </c:pt>
                <c:pt idx="18">
                  <c:v>55.849999999999994</c:v>
                </c:pt>
                <c:pt idx="19">
                  <c:v>60.57</c:v>
                </c:pt>
                <c:pt idx="20">
                  <c:v>56.27</c:v>
                </c:pt>
                <c:pt idx="21">
                  <c:v>53.18</c:v>
                </c:pt>
                <c:pt idx="22">
                  <c:v>49.370000000000005</c:v>
                </c:pt>
                <c:pt idx="23">
                  <c:v>47.1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CF-4EF2-8DA7-8BC6BE7EECB5}"/>
            </c:ext>
          </c:extLst>
        </c:ser>
        <c:ser>
          <c:idx val="4"/>
          <c:order val="1"/>
          <c:tx>
            <c:strRef>
              <c:f>'29'!$A$107:$C$107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'29'!$F$107:$AC$107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4.66</c:v>
                </c:pt>
                <c:pt idx="14">
                  <c:v>4.66</c:v>
                </c:pt>
                <c:pt idx="15">
                  <c:v>1.42</c:v>
                </c:pt>
                <c:pt idx="16">
                  <c:v>2.92</c:v>
                </c:pt>
                <c:pt idx="17">
                  <c:v>1.42</c:v>
                </c:pt>
                <c:pt idx="18">
                  <c:v>0.45</c:v>
                </c:pt>
                <c:pt idx="19">
                  <c:v>0.45</c:v>
                </c:pt>
                <c:pt idx="20">
                  <c:v>0.45</c:v>
                </c:pt>
                <c:pt idx="21">
                  <c:v>0.45</c:v>
                </c:pt>
                <c:pt idx="22">
                  <c:v>0.45</c:v>
                </c:pt>
                <c:pt idx="23">
                  <c:v>0.45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CF-4EF2-8DA7-8BC6BE7EECB5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4ACF-4EF2-8DA7-8BC6BE7EEC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'30'!$A$103:$C$103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'30'!$F$11:$AC$11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'30'!$F$103:$AC$103</c:f>
              <c:numCache>
                <c:formatCode>0.00</c:formatCode>
                <c:ptCount val="24"/>
                <c:pt idx="0">
                  <c:v>36.529999999999994</c:v>
                </c:pt>
                <c:pt idx="1">
                  <c:v>33.080000000000005</c:v>
                </c:pt>
                <c:pt idx="2">
                  <c:v>38.49</c:v>
                </c:pt>
                <c:pt idx="3">
                  <c:v>36.760000000000005</c:v>
                </c:pt>
                <c:pt idx="4">
                  <c:v>36.17</c:v>
                </c:pt>
                <c:pt idx="5">
                  <c:v>35.970000000000006</c:v>
                </c:pt>
                <c:pt idx="6">
                  <c:v>38.799999999999997</c:v>
                </c:pt>
                <c:pt idx="7">
                  <c:v>39.389999999999993</c:v>
                </c:pt>
                <c:pt idx="8">
                  <c:v>46.459999999999994</c:v>
                </c:pt>
                <c:pt idx="9">
                  <c:v>54.079999999999991</c:v>
                </c:pt>
                <c:pt idx="10">
                  <c:v>58.66</c:v>
                </c:pt>
                <c:pt idx="11">
                  <c:v>61.64</c:v>
                </c:pt>
                <c:pt idx="12">
                  <c:v>61.34</c:v>
                </c:pt>
                <c:pt idx="13">
                  <c:v>61.83</c:v>
                </c:pt>
                <c:pt idx="14">
                  <c:v>64.03</c:v>
                </c:pt>
                <c:pt idx="15">
                  <c:v>59.48</c:v>
                </c:pt>
                <c:pt idx="16">
                  <c:v>55.20000000000001</c:v>
                </c:pt>
                <c:pt idx="17">
                  <c:v>56.52</c:v>
                </c:pt>
                <c:pt idx="18">
                  <c:v>55.570000000000007</c:v>
                </c:pt>
                <c:pt idx="19">
                  <c:v>57.559999999999995</c:v>
                </c:pt>
                <c:pt idx="20">
                  <c:v>54.860000000000007</c:v>
                </c:pt>
                <c:pt idx="21">
                  <c:v>53.34</c:v>
                </c:pt>
                <c:pt idx="22">
                  <c:v>47.269999999999996</c:v>
                </c:pt>
                <c:pt idx="23">
                  <c:v>46.25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9D-4D31-9EFB-63E7BE6914F3}"/>
            </c:ext>
          </c:extLst>
        </c:ser>
        <c:ser>
          <c:idx val="4"/>
          <c:order val="1"/>
          <c:tx>
            <c:strRef>
              <c:f>'30'!$A$107:$C$107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'30'!$F$107:$AC$107</c:f>
              <c:numCache>
                <c:formatCode>0.00</c:formatCode>
                <c:ptCount val="24"/>
                <c:pt idx="0">
                  <c:v>0.45</c:v>
                </c:pt>
                <c:pt idx="1">
                  <c:v>2.36</c:v>
                </c:pt>
                <c:pt idx="2">
                  <c:v>0.45</c:v>
                </c:pt>
                <c:pt idx="3">
                  <c:v>0.45</c:v>
                </c:pt>
                <c:pt idx="4">
                  <c:v>0.45</c:v>
                </c:pt>
                <c:pt idx="5">
                  <c:v>0.45</c:v>
                </c:pt>
                <c:pt idx="6">
                  <c:v>0.45</c:v>
                </c:pt>
                <c:pt idx="7">
                  <c:v>0.45</c:v>
                </c:pt>
                <c:pt idx="8">
                  <c:v>0.45</c:v>
                </c:pt>
                <c:pt idx="9">
                  <c:v>0.45</c:v>
                </c:pt>
                <c:pt idx="10">
                  <c:v>0.45</c:v>
                </c:pt>
                <c:pt idx="11">
                  <c:v>0.45</c:v>
                </c:pt>
                <c:pt idx="12">
                  <c:v>0.45</c:v>
                </c:pt>
                <c:pt idx="13">
                  <c:v>0.45</c:v>
                </c:pt>
                <c:pt idx="14">
                  <c:v>0.85000000000000009</c:v>
                </c:pt>
                <c:pt idx="15">
                  <c:v>1.48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9D-4D31-9EFB-63E7BE6914F3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9A9D-4D31-9EFB-63E7BE6914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DEMAND</a:t>
            </a:r>
            <a:r>
              <a:rPr lang="en-PH" baseline="0"/>
              <a:t> DAILY </a:t>
            </a:r>
            <a:r>
              <a:rPr lang="en-PH"/>
              <a:t>RUNNING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70-48E0-8FDF-20D5718C4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5481968"/>
        <c:axId val="1795483888"/>
      </c:lineChart>
      <c:catAx>
        <c:axId val="17954819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3888"/>
        <c:crosses val="autoZero"/>
        <c:auto val="1"/>
        <c:lblAlgn val="ctr"/>
        <c:lblOffset val="100"/>
        <c:noMultiLvlLbl val="0"/>
      </c:catAx>
      <c:valAx>
        <c:axId val="179548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AVG WEEKEND</a:t>
            </a:r>
            <a:r>
              <a:rPr lang="en-ID" baseline="0"/>
              <a:t> DEMAND VS DEP CAP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AVG DEMAND 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9566959"/>
        <c:axId val="1229563119"/>
      </c:barChart>
      <c:lineChart>
        <c:grouping val="standard"/>
        <c:varyColors val="0"/>
        <c:ser>
          <c:idx val="1"/>
          <c:order val="1"/>
          <c:tx>
            <c:v>DEPENDABLE CAPACITY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DEMAND'!$A$28:$X$28</c:f>
              <c:numCache>
                <c:formatCode>General</c:formatCode>
                <c:ptCount val="24"/>
                <c:pt idx="0">
                  <c:v>42.93</c:v>
                </c:pt>
                <c:pt idx="1">
                  <c:v>43.43</c:v>
                </c:pt>
                <c:pt idx="2">
                  <c:v>42.95</c:v>
                </c:pt>
                <c:pt idx="3">
                  <c:v>42.92</c:v>
                </c:pt>
                <c:pt idx="4">
                  <c:v>42.75</c:v>
                </c:pt>
                <c:pt idx="5">
                  <c:v>43.33</c:v>
                </c:pt>
                <c:pt idx="6">
                  <c:v>43.29</c:v>
                </c:pt>
                <c:pt idx="7">
                  <c:v>43.32</c:v>
                </c:pt>
                <c:pt idx="8">
                  <c:v>43.27</c:v>
                </c:pt>
                <c:pt idx="9">
                  <c:v>43.31</c:v>
                </c:pt>
                <c:pt idx="10">
                  <c:v>43.32</c:v>
                </c:pt>
                <c:pt idx="11">
                  <c:v>43.22</c:v>
                </c:pt>
                <c:pt idx="12">
                  <c:v>43.42</c:v>
                </c:pt>
                <c:pt idx="13">
                  <c:v>43.43</c:v>
                </c:pt>
                <c:pt idx="14">
                  <c:v>43.410000000000004</c:v>
                </c:pt>
                <c:pt idx="15">
                  <c:v>43.38</c:v>
                </c:pt>
                <c:pt idx="16">
                  <c:v>43.28</c:v>
                </c:pt>
                <c:pt idx="17">
                  <c:v>43.19</c:v>
                </c:pt>
                <c:pt idx="18">
                  <c:v>43.27</c:v>
                </c:pt>
                <c:pt idx="19">
                  <c:v>43.28</c:v>
                </c:pt>
                <c:pt idx="20">
                  <c:v>43.300000000000004</c:v>
                </c:pt>
                <c:pt idx="21">
                  <c:v>43.36</c:v>
                </c:pt>
                <c:pt idx="22">
                  <c:v>43.46</c:v>
                </c:pt>
                <c:pt idx="23">
                  <c:v>43.25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566959"/>
        <c:axId val="1229563119"/>
      </c:lineChart>
      <c:catAx>
        <c:axId val="12295669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3119"/>
        <c:crosses val="autoZero"/>
        <c:auto val="1"/>
        <c:lblAlgn val="ctr"/>
        <c:lblOffset val="100"/>
        <c:noMultiLvlLbl val="0"/>
      </c:catAx>
      <c:valAx>
        <c:axId val="122956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6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FD4B-453D-BC02-4BB4BBD664A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FD4B-453D-BC02-4BB4BBD664AE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FD4B-453D-BC02-4BB4BBD664AE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FD4B-453D-BC02-4BB4BBD664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70912528"/>
        <c:axId val="770891888"/>
      </c:barChart>
      <c:catAx>
        <c:axId val="77091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891888"/>
        <c:crosses val="autoZero"/>
        <c:auto val="1"/>
        <c:lblAlgn val="ctr"/>
        <c:lblOffset val="100"/>
        <c:noMultiLvlLbl val="0"/>
      </c:catAx>
      <c:valAx>
        <c:axId val="77089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91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E759D1B-A189-4779-A448-FAADF840212C}">
  <sheetPr codeName="Chart1"/>
  <sheetViews>
    <sheetView zoomScale="118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9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0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9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0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9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0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C97B5A0-D668-4CA2-9375-172F1D02CEFD}"/>
            </a:ext>
          </a:extLst>
        </xdr:cNvPr>
        <xdr:cNvGrpSpPr/>
      </xdr:nvGrpSpPr>
      <xdr:grpSpPr>
        <a:xfrm>
          <a:off x="741317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4348CFE3-C08A-6F03-FDDC-55BEAB7901CC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57D1A27A-0F1B-D64A-3BB0-BDA3C6569B8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129</xdr:row>
      <xdr:rowOff>185057</xdr:rowOff>
    </xdr:from>
    <xdr:to>
      <xdr:col>28</xdr:col>
      <xdr:colOff>593272</xdr:colOff>
      <xdr:row>158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558FF8D5-1357-45E1-BD35-F3DB451D14EA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6240DA3-9667-4AE4-89E2-23AAA8793AF4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258497" name="Button 1" hidden="1">
              <a:extLst>
                <a:ext uri="{63B3BB69-23CF-44E3-9099-C40C66FF867C}">
                  <a14:compatExt spid="_x0000_s1258497"/>
                </a:ext>
                <a:ext uri="{FF2B5EF4-FFF2-40B4-BE49-F238E27FC236}">
                  <a16:creationId xmlns:a16="http://schemas.microsoft.com/office/drawing/2014/main" id="{00000000-0008-0000-0100-000001341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CFD47B9-05F2-4CB1-BE0C-45200593BDD4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F883510-03B8-4CED-8320-A5E7E6F42054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15BEB82C-925D-4534-BCFD-FC55152A4C8D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CA986DE7-6B5A-439D-9EC1-4C26FB36C2C7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77D4477A-D7E9-9C45-285D-5DF8F2B8A7AD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7AEE0594-5E8E-4E93-2DC4-632A45B96A6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129</xdr:row>
      <xdr:rowOff>185057</xdr:rowOff>
    </xdr:from>
    <xdr:to>
      <xdr:col>28</xdr:col>
      <xdr:colOff>593272</xdr:colOff>
      <xdr:row>158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A975C18-6C14-468A-BF45-E58426B257A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E7085D6-401E-423A-8433-0C42F32EA29A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276929" name="Button 1" hidden="1">
              <a:extLst>
                <a:ext uri="{63B3BB69-23CF-44E3-9099-C40C66FF867C}">
                  <a14:compatExt spid="_x0000_s1276929"/>
                </a:ext>
                <a:ext uri="{FF2B5EF4-FFF2-40B4-BE49-F238E27FC236}">
                  <a16:creationId xmlns:a16="http://schemas.microsoft.com/office/drawing/2014/main" id="{00000000-0008-0000-0200-0000017C1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4180D6B-E53C-4981-B399-B5B37347A887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777090A-3ACD-4683-BEF0-8C1549497C07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B4FE553-6091-429C-B1E8-D2353F09B7E0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6A40EE9-47AF-4B21-A545-8FB7649CF466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B67E3D25-7266-8701-12F2-3F2027ED1DF3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11E0EA3-04F6-4146-F9F1-00BD2B24758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129</xdr:row>
      <xdr:rowOff>185057</xdr:rowOff>
    </xdr:from>
    <xdr:to>
      <xdr:col>28</xdr:col>
      <xdr:colOff>593272</xdr:colOff>
      <xdr:row>158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7D9C5DC7-934A-418D-A4EC-91863F5739B9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030FBC9-0C0E-4D70-AD67-2D043C1C3E0F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277953" name="Button 1" hidden="1">
              <a:extLst>
                <a:ext uri="{63B3BB69-23CF-44E3-9099-C40C66FF867C}">
                  <a14:compatExt spid="_x0000_s1277953"/>
                </a:ext>
                <a:ext uri="{FF2B5EF4-FFF2-40B4-BE49-F238E27FC236}">
                  <a16:creationId xmlns:a16="http://schemas.microsoft.com/office/drawing/2014/main" id="{00000000-0008-0000-0300-000001801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359DC11-3EC4-4607-912A-BB91DF09EF0E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86AC882-429B-4DE9-96C3-9571FA388E60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CAEA3607-73F8-42D4-A645-ADA6238D02FD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0960056-02AA-45F5-BF7B-8A7532555404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6751B87D-1B7E-2F2A-CE6A-D17B46641537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AFA312FA-4061-567A-D583-A6540EFAE96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129</xdr:row>
      <xdr:rowOff>185057</xdr:rowOff>
    </xdr:from>
    <xdr:to>
      <xdr:col>28</xdr:col>
      <xdr:colOff>593272</xdr:colOff>
      <xdr:row>158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D2A8599B-20B2-40A7-AEDE-A639E3C1B0B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A5A5C49-CD62-48E1-AEF7-7A0CEE49143E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278977" name="Button 1" hidden="1">
              <a:extLst>
                <a:ext uri="{63B3BB69-23CF-44E3-9099-C40C66FF867C}">
                  <a14:compatExt spid="_x0000_s1278977"/>
                </a:ext>
                <a:ext uri="{FF2B5EF4-FFF2-40B4-BE49-F238E27FC236}">
                  <a16:creationId xmlns:a16="http://schemas.microsoft.com/office/drawing/2014/main" id="{00000000-0008-0000-0400-000001841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91A6196-991B-450F-A272-6008A00E54E1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FB655A5-5E7A-4F63-BAFB-742C7F9CA833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59286EDA-262E-4391-958A-2B1F84A7CBDC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31F21E4-3A24-4BF1-93B3-2A654BFCE1B7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2E8D876E-390B-231E-2333-B3F7188ADBA3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202D84E1-C60F-8A3E-DE93-A487277E46C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129</xdr:row>
      <xdr:rowOff>185057</xdr:rowOff>
    </xdr:from>
    <xdr:to>
      <xdr:col>28</xdr:col>
      <xdr:colOff>593272</xdr:colOff>
      <xdr:row>158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CE4E0B82-1D3F-4CCA-8C10-AE953DAAAAEB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E6AB780-E934-478B-B2BF-E2ED5504D317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296385" name="Button 1" hidden="1">
              <a:extLst>
                <a:ext uri="{63B3BB69-23CF-44E3-9099-C40C66FF867C}">
                  <a14:compatExt spid="_x0000_s1296385"/>
                </a:ext>
                <a:ext uri="{FF2B5EF4-FFF2-40B4-BE49-F238E27FC236}">
                  <a16:creationId xmlns:a16="http://schemas.microsoft.com/office/drawing/2014/main" id="{00000000-0008-0000-0500-000001C81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681497F-45A7-4081-B4EE-722C36B07B9E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33B55F1-E2C0-4DBE-80D3-900B498234B4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CCD96604-4A41-4EE4-9477-E9C65FC4EA07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1627A8AB-D4B5-42A2-96B9-BA7E07B3927C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E0B620CC-19F8-A566-5BF9-2C5ED7E0ACBC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E4ED347-16E2-9346-246E-DE2036C5FDC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129</xdr:row>
      <xdr:rowOff>185057</xdr:rowOff>
    </xdr:from>
    <xdr:to>
      <xdr:col>28</xdr:col>
      <xdr:colOff>593272</xdr:colOff>
      <xdr:row>158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671D61A-243D-4205-A927-E3A6337FFB80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8570C3B-A9F2-4CAD-B670-82EEFD40F0E4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297409" name="Button 1" hidden="1">
              <a:extLst>
                <a:ext uri="{63B3BB69-23CF-44E3-9099-C40C66FF867C}">
                  <a14:compatExt spid="_x0000_s1297409"/>
                </a:ext>
                <a:ext uri="{FF2B5EF4-FFF2-40B4-BE49-F238E27FC236}">
                  <a16:creationId xmlns:a16="http://schemas.microsoft.com/office/drawing/2014/main" id="{00000000-0008-0000-0600-000001CC1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97A3549-F56C-4159-BC69-F6CF5BA3B92B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D7F7F98-FDAC-4CE0-9928-1988949DB989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8DA471A-5297-445A-BCD5-512DD55DBFBE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800CB84-3C3C-4D97-B807-2931BCF53945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34693881-7145-E76B-13D3-8E9B8B69D29D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D0F66B68-FA8B-92F0-B2C3-D1A5150D8F8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129</xdr:row>
      <xdr:rowOff>185057</xdr:rowOff>
    </xdr:from>
    <xdr:to>
      <xdr:col>28</xdr:col>
      <xdr:colOff>593272</xdr:colOff>
      <xdr:row>158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AAC930A1-C3AF-4959-BEC5-D104B64EEEDF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AFBE606-A748-41D0-859E-25B2CC132D96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314817" name="Button 1" hidden="1">
              <a:extLst>
                <a:ext uri="{63B3BB69-23CF-44E3-9099-C40C66FF867C}">
                  <a14:compatExt spid="_x0000_s1314817"/>
                </a:ext>
                <a:ext uri="{FF2B5EF4-FFF2-40B4-BE49-F238E27FC236}">
                  <a16:creationId xmlns:a16="http://schemas.microsoft.com/office/drawing/2014/main" id="{00000000-0008-0000-0700-000001101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3031FB2-ECBB-4647-9C3E-F2DED721CACC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8BF2C61-EF73-4EBC-B135-06191C0D8712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13976589-7D75-4323-9F9E-5EBAEEF00433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5203B74-D160-4DF6-B4B2-3F1E66DCEF73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C5B6828-22D9-E5B8-6899-7BFB62D28229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AED79742-405C-0C5D-234D-4E0E8FBAE139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129</xdr:row>
      <xdr:rowOff>185057</xdr:rowOff>
    </xdr:from>
    <xdr:to>
      <xdr:col>28</xdr:col>
      <xdr:colOff>593272</xdr:colOff>
      <xdr:row>158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6654F384-E557-4E7C-B4FD-B44F701FC6AB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BA34391-6F36-4DBF-98A7-2D204CA03D87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332225" name="Button 1" hidden="1">
              <a:extLst>
                <a:ext uri="{63B3BB69-23CF-44E3-9099-C40C66FF867C}">
                  <a14:compatExt spid="_x0000_s1332225"/>
                </a:ext>
                <a:ext uri="{FF2B5EF4-FFF2-40B4-BE49-F238E27FC236}">
                  <a16:creationId xmlns:a16="http://schemas.microsoft.com/office/drawing/2014/main" id="{00000000-0008-0000-0800-000001541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9412C0A-0B01-4E95-ADB1-0B5AEFF069C7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585EDFB-9354-41B1-8301-52EA7DB740F2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BAA12AE8-0DC0-4C24-B841-1B6ADD811500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0BC85B7-5FEF-4FF9-9042-DEB4F24E44D8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513EF064-5CF1-CA2F-0647-56BBA213E9DB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7D9EF135-38FB-4266-E1BD-21736A942B2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79976CAF-CFAB-44B8-9452-B18184A09B5F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B71A6FA-0B98-4799-9363-7A2658B56AB7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349633" name="Button 1" hidden="1">
              <a:extLst>
                <a:ext uri="{63B3BB69-23CF-44E3-9099-C40C66FF867C}">
                  <a14:compatExt spid="_x0000_s1349633"/>
                </a:ext>
                <a:ext uri="{FF2B5EF4-FFF2-40B4-BE49-F238E27FC236}">
                  <a16:creationId xmlns:a16="http://schemas.microsoft.com/office/drawing/2014/main" id="{00000000-0008-0000-0900-000001981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4859324-8E8E-4663-B821-847DE060553A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001F5A5-6D69-4F5A-98F4-FBE46E8FC38C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8E3BEC4-AC34-4F7A-9BBC-26BC9A9ED834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C54D64F9-0C04-4D30-ADC3-D8B78272FFDA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394C8C0E-6E17-8E73-E884-6187EBB9C57F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8A301FA7-1CE4-94CA-6096-27F78E79567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788C4968-7B2D-4B59-B024-B39564320C60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0480AB0-6CDC-4FE8-BE90-0B8616D7880E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367041" name="Button 1" hidden="1">
              <a:extLst>
                <a:ext uri="{63B3BB69-23CF-44E3-9099-C40C66FF867C}">
                  <a14:compatExt spid="_x0000_s1367041"/>
                </a:ext>
                <a:ext uri="{FF2B5EF4-FFF2-40B4-BE49-F238E27FC236}">
                  <a16:creationId xmlns:a16="http://schemas.microsoft.com/office/drawing/2014/main" id="{00000000-0008-0000-0A00-000001DC1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C975480-B061-4982-9626-DDC3868EBCF4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6F921D8-4B77-4218-98A8-2FA044486AA4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08AABFE-7538-4941-ABFF-E2C5B5A6E8B1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A5CC60E-CC4C-486F-B9B8-862F95953417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4F010545-4A79-BB17-165C-739DEB7CED37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98D7B5EA-4E60-50F1-EB04-882BFD0CD5F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238A1A32-34CC-48A8-9583-B4D05C18331B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F9CE8BA-75D2-4303-9440-61A0EE174132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384449" name="Button 1" hidden="1">
              <a:extLst>
                <a:ext uri="{63B3BB69-23CF-44E3-9099-C40C66FF867C}">
                  <a14:compatExt spid="_x0000_s1384449"/>
                </a:ext>
                <a:ext uri="{FF2B5EF4-FFF2-40B4-BE49-F238E27FC236}">
                  <a16:creationId xmlns:a16="http://schemas.microsoft.com/office/drawing/2014/main" id="{00000000-0008-0000-0B00-00000120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C2C9EF7-BAD0-4BC1-B445-FE776BBA4165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7EDF452-7A3F-4E12-895F-AE146591D15B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17070C90-68D7-4B09-922F-570F26666EEA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D7C9EF1-8E14-49A1-876B-92312073398D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1DF237E-6FF6-4FA0-17DC-B14C0283FE7E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726945F8-2861-5C47-209F-E77740C53E6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7AE38D48-0FB3-43BB-A82D-778F7FCE6E87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64DE07B-D08C-49C6-9587-D8FF7F4A5DA3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401857" name="Button 1" hidden="1">
              <a:extLst>
                <a:ext uri="{63B3BB69-23CF-44E3-9099-C40C66FF867C}">
                  <a14:compatExt spid="_x0000_s1401857"/>
                </a:ext>
                <a:ext uri="{FF2B5EF4-FFF2-40B4-BE49-F238E27FC236}">
                  <a16:creationId xmlns:a16="http://schemas.microsoft.com/office/drawing/2014/main" id="{00000000-0008-0000-0C00-00000164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5515157-39B0-4ED5-A1CB-E6C9DD208DEF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BF562DE-ACE9-416A-90DA-751BEDBD13D5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8F4706EE-7A8C-4253-A2C6-E72212C25B3D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C828203-123F-44E0-82AB-F344217D6FF8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F6C05AE3-7A73-5C10-375E-A69633C2F4D9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5B8D1BD0-059F-FF87-5B7C-37977B092F0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EF87081B-F35D-4CC5-93B7-ACE7474C8281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A93A5F5-37BE-4E31-9EC7-FE7DC64D9190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419265" name="Button 1" hidden="1">
              <a:extLst>
                <a:ext uri="{63B3BB69-23CF-44E3-9099-C40C66FF867C}">
                  <a14:compatExt spid="_x0000_s1419265"/>
                </a:ext>
                <a:ext uri="{FF2B5EF4-FFF2-40B4-BE49-F238E27FC236}">
                  <a16:creationId xmlns:a16="http://schemas.microsoft.com/office/drawing/2014/main" id="{00000000-0008-0000-0D00-000001A8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42780C5-5067-4862-A63E-F165ECB6685B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19C3940-1317-4002-A8BF-80494ECAB812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8689FF3-CEE9-491D-8B26-834D9DBF779A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4D7E45D-C668-4CA9-AEA1-07F5FDE9E54A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547084E5-4E68-E616-93E2-9694A8E8DB0F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72C9858D-F819-9CE9-44C7-34280D58E209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E001B3B-F530-4748-88AB-72E7F6FA21C5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016BBA6-69FF-46F8-B156-292F84E1E7F6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420289" name="Button 1" hidden="1">
              <a:extLst>
                <a:ext uri="{63B3BB69-23CF-44E3-9099-C40C66FF867C}">
                  <a14:compatExt spid="_x0000_s1420289"/>
                </a:ext>
                <a:ext uri="{FF2B5EF4-FFF2-40B4-BE49-F238E27FC236}">
                  <a16:creationId xmlns:a16="http://schemas.microsoft.com/office/drawing/2014/main" id="{00000000-0008-0000-0E00-000001AC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E902567-9B85-468D-ADC6-E404F1BF1DF7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C6E7A38-879E-4A1E-AC32-325348660FA1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CC46D0E-7223-40DF-8760-8E146B66C9FB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088C664-5401-4928-A030-B522DD0C3CDE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58F0EB33-6AA8-169A-385A-D3199BEC37D1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33A7DBCA-4EB5-F693-E6D4-36F33949DB8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99B63543-9232-431E-A7C8-BC05390321F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9F5F6F3-2044-47BA-B4AC-0B445A0FAAC7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438721" name="Button 1" hidden="1">
              <a:extLst>
                <a:ext uri="{63B3BB69-23CF-44E3-9099-C40C66FF867C}">
                  <a14:compatExt spid="_x0000_s1438721"/>
                </a:ext>
                <a:ext uri="{FF2B5EF4-FFF2-40B4-BE49-F238E27FC236}">
                  <a16:creationId xmlns:a16="http://schemas.microsoft.com/office/drawing/2014/main" id="{00000000-0008-0000-0F00-000001F4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BC52E42-C898-4A8C-A15F-815C2D538E43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BCF4EC1-1D59-493F-93AF-3ABE69EE9DD1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304F89DF-0965-40D6-9D37-FA2E44A9E596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8608428-21B7-4EBB-988C-46E98A4AA55D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38D46A2E-A101-A483-F32F-684B6D3B15D5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AC797612-ABEF-7019-71EC-3AF8ACC5107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E77019BD-9FE9-4F29-9F21-D0ACDA95D56D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DEEF3F1-2FDE-48A1-B0A2-BD560974FCD4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456129" name="Button 1" hidden="1">
              <a:extLst>
                <a:ext uri="{63B3BB69-23CF-44E3-9099-C40C66FF867C}">
                  <a14:compatExt spid="_x0000_s1456129"/>
                </a:ext>
                <a:ext uri="{FF2B5EF4-FFF2-40B4-BE49-F238E27FC236}">
                  <a16:creationId xmlns:a16="http://schemas.microsoft.com/office/drawing/2014/main" id="{00000000-0008-0000-1000-00000138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5AEE12E-B275-4FB1-A811-A4F482330D6A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6F327FF-2E74-41A5-85F4-EED8C07C2F1F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41BA7661-1234-4241-B416-03C40F53556D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4B5C3092-A5B0-447D-8717-8B38E7889A87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87148B9-5EB4-6CD9-517B-4F8EAF1C6CD7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D36CA192-4A13-D014-C05D-22532FDB9FBB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970569B6-20D8-4C31-A5C1-7A17F399B4B1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C447C95-0893-4134-A126-B186258751DC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473537" name="Button 1" hidden="1">
              <a:extLst>
                <a:ext uri="{63B3BB69-23CF-44E3-9099-C40C66FF867C}">
                  <a14:compatExt spid="_x0000_s1473537"/>
                </a:ext>
                <a:ext uri="{FF2B5EF4-FFF2-40B4-BE49-F238E27FC236}">
                  <a16:creationId xmlns:a16="http://schemas.microsoft.com/office/drawing/2014/main" id="{00000000-0008-0000-1100-0000017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AE5D451-71A9-4DAD-9C7E-0B9030A12F0C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721D43B-D667-467A-A2F9-FCE34A07F7CF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7EF3276-FF61-453F-BBBB-BD257E6EA6CA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EBAA24D-8976-453E-B61B-5DEE6A6CF43C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DB20EC6E-E3EB-B499-71A7-7B2D372BDAF0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1689FF2-E552-337A-D994-915D027EFC3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0F9F790B-AF0D-4BB5-B5D1-C254C4A10267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0B0AED8-E174-46AF-BD9B-CF786A02E73A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474561" name="Button 1" hidden="1">
              <a:extLst>
                <a:ext uri="{63B3BB69-23CF-44E3-9099-C40C66FF867C}">
                  <a14:compatExt spid="_x0000_s1474561"/>
                </a:ext>
                <a:ext uri="{FF2B5EF4-FFF2-40B4-BE49-F238E27FC236}">
                  <a16:creationId xmlns:a16="http://schemas.microsoft.com/office/drawing/2014/main" id="{00000000-0008-0000-1200-00000180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A93F582-4D5E-4683-BBBD-06923911351C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9545248-9AF7-4A2F-9FE3-FFB6ECBB5C33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AC89B1DB-E863-44D9-A391-DCB15C26616F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CBCF71E-CF5C-49B8-AC0A-2331BBA069A9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25E2BFCC-835D-9CEA-F791-74DBE87C8C56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5E52D1A2-6726-9E7D-BBB8-4F2F66D4DB9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887EE388-C95B-427F-80E0-F0A758D358A6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863B3F1-9ED5-4EA4-A658-0405C23916D0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475585" name="Button 1" hidden="1">
              <a:extLst>
                <a:ext uri="{63B3BB69-23CF-44E3-9099-C40C66FF867C}">
                  <a14:compatExt spid="_x0000_s1475585"/>
                </a:ext>
                <a:ext uri="{FF2B5EF4-FFF2-40B4-BE49-F238E27FC236}">
                  <a16:creationId xmlns:a16="http://schemas.microsoft.com/office/drawing/2014/main" id="{00000000-0008-0000-1300-00000184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1C8196D-0276-4B00-9DFB-8742165F3465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85090E7-B9AE-4EE7-AD82-013BE6372162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A1CA0FDE-790F-49D3-A485-A6CF1DA9FFCB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D42D148-92A9-4007-8B70-C2881C21CB57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3A192A0E-16B2-1B1A-E5ED-6A8B55CB4F4C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1F7878DC-0898-FB53-DCAF-07E52F51CECD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0192BEC4-1860-4FD3-A93B-ADC4BDC9C990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B5D5303-CBE5-49E7-B6B9-1675E3867A98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476609" name="Button 1" hidden="1">
              <a:extLst>
                <a:ext uri="{63B3BB69-23CF-44E3-9099-C40C66FF867C}">
                  <a14:compatExt spid="_x0000_s1476609"/>
                </a:ext>
                <a:ext uri="{FF2B5EF4-FFF2-40B4-BE49-F238E27FC236}">
                  <a16:creationId xmlns:a16="http://schemas.microsoft.com/office/drawing/2014/main" id="{00000000-0008-0000-1400-00000188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F3556B4-C705-4646-9371-519EB92DFEC3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D8497C2-BE1C-42CB-B376-CE0A8634D62D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EB56B341-7805-4435-8D6E-AB9F11853EF3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2EBB921-A76C-4C50-A30B-1EF9D8125C0B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6A71B5B8-899E-6F18-BD33-5FB8A52A1395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C99DEA2-CBC1-2994-ABF8-499BA21DE779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8DA7353D-253A-46CF-9843-45633EA78A6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1BE5E0A-525A-4928-8C8E-110C4AB2E01B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494017" name="Button 1" hidden="1">
              <a:extLst>
                <a:ext uri="{63B3BB69-23CF-44E3-9099-C40C66FF867C}">
                  <a14:compatExt spid="_x0000_s1494017"/>
                </a:ext>
                <a:ext uri="{FF2B5EF4-FFF2-40B4-BE49-F238E27FC236}">
                  <a16:creationId xmlns:a16="http://schemas.microsoft.com/office/drawing/2014/main" id="{00000000-0008-0000-1500-000001C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F50E4F3-AE95-477C-9BE7-BBFA77B2F1A2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FA4CF39-231E-4BE8-863E-7151474D2EC3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61A9E2C-F955-41A2-A233-D83C65012B63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411D55E-0D1F-4569-ADEE-A9C225D04DC6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1EBC290-E09B-D092-22EE-33308C1194E5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C8F5539-CA4E-6A92-6B5E-233679F3E6B4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FCA6F958-BCC2-4BE4-BBBB-3D156EA39127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D013488-C318-4F96-B177-58D724D18EB8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511425" name="Button 1" hidden="1">
              <a:extLst>
                <a:ext uri="{63B3BB69-23CF-44E3-9099-C40C66FF867C}">
                  <a14:compatExt spid="_x0000_s1511425"/>
                </a:ext>
                <a:ext uri="{FF2B5EF4-FFF2-40B4-BE49-F238E27FC236}">
                  <a16:creationId xmlns:a16="http://schemas.microsoft.com/office/drawing/2014/main" id="{00000000-0008-0000-1600-000001101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EEF31FB-55E5-4DE5-8A39-1DCBEFC56FF7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7F03A19-BE8E-4A22-B284-1F056128F3D5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E342B9A7-0D7E-4A0C-A0B0-9C19A1FF12F4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8B0749A-A5A0-46F4-9672-8BB98D5B0037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22896593-618E-C99D-51D5-07BDBA503AA9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215F3DA4-334D-7CE6-F294-52386B57D9A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7952CC7D-ADC1-4C74-B03B-1609D3697158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466EE4D-0A9E-4D4C-8267-25E6FA5AE750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512449" name="Button 1" hidden="1">
              <a:extLst>
                <a:ext uri="{63B3BB69-23CF-44E3-9099-C40C66FF867C}">
                  <a14:compatExt spid="_x0000_s1512449"/>
                </a:ext>
                <a:ext uri="{FF2B5EF4-FFF2-40B4-BE49-F238E27FC236}">
                  <a16:creationId xmlns:a16="http://schemas.microsoft.com/office/drawing/2014/main" id="{00000000-0008-0000-1700-000001141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C772016-9B80-4523-ABA9-54EDCBBB61D6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1F56ACF-6462-48C0-95A5-918FE3CCEEA5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5CD22EF7-21AA-4DE4-A47E-4775E23A79A3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86EA402-4D79-4F8C-90E4-D2E48F85B863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5AED1C0F-AA57-382E-EDEE-C76E76C6240A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62F49F46-5A85-9837-F01F-69A4A74C3A5C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F8D51D5D-AFD4-498D-BBFA-792DE0BDE408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F799988-F13A-4EBE-87AF-E41A2E9D54C3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513473" name="Button 1" hidden="1">
              <a:extLst>
                <a:ext uri="{63B3BB69-23CF-44E3-9099-C40C66FF867C}">
                  <a14:compatExt spid="_x0000_s1513473"/>
                </a:ext>
                <a:ext uri="{FF2B5EF4-FFF2-40B4-BE49-F238E27FC236}">
                  <a16:creationId xmlns:a16="http://schemas.microsoft.com/office/drawing/2014/main" id="{00000000-0008-0000-1800-000001181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C301205-6C25-41B0-A7CB-9FEA09D15B6F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16AD653-A1F7-423A-A952-5A3E9521398C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E38291B6-309F-4E10-9C2B-034D2413CB45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FB59B7C-EF78-45B9-8EEF-036D61482B94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613BFC96-6748-1A1F-1853-E5E4299EC205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74DDA750-35E7-25A1-D336-008F165E55A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E4F4E481-D740-4ED9-BF6C-FB5B81532881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A2C2148-A305-4AE6-86A0-E246001B0753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514497" name="Button 1" hidden="1">
              <a:extLst>
                <a:ext uri="{63B3BB69-23CF-44E3-9099-C40C66FF867C}">
                  <a14:compatExt spid="_x0000_s1514497"/>
                </a:ext>
                <a:ext uri="{FF2B5EF4-FFF2-40B4-BE49-F238E27FC236}">
                  <a16:creationId xmlns:a16="http://schemas.microsoft.com/office/drawing/2014/main" id="{00000000-0008-0000-1900-0000011C1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299C003-C012-4455-8CEE-A361CFA1C73B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3A8A792-14F6-4161-9DAD-41C25C43F6C7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4B7A5CC7-63FC-4674-B519-461A98E3FCC2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4BAB5B20-CEE3-4EEA-A516-9586316E2C67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18696A21-7F18-81DF-415E-5C70D6430DF4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63D0A50F-188D-B7A3-FA02-60CDDC961EFC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5BF1D35-418F-4DC9-949D-7D72D560E1D0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6C9EAC2-2115-4B72-BF6F-30EF18EBA6DE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531905" name="Button 1" hidden="1">
              <a:extLst>
                <a:ext uri="{63B3BB69-23CF-44E3-9099-C40C66FF867C}">
                  <a14:compatExt spid="_x0000_s1531905"/>
                </a:ext>
                <a:ext uri="{FF2B5EF4-FFF2-40B4-BE49-F238E27FC236}">
                  <a16:creationId xmlns:a16="http://schemas.microsoft.com/office/drawing/2014/main" id="{00000000-0008-0000-1A00-000001601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8AC0F14-78E0-4BEF-95BC-4052F6AD9761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CFA0E35-5267-4440-B2CB-776031D86EB0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AB7EA9F2-13C4-4CED-A5C8-A63A4DB874FB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B171835-34D9-41AF-ABA0-AE585F958426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B99606F7-43FC-5639-DA0B-EA8AFE55F0A4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396471E8-B1DA-E551-F066-43E1E6B5CB3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F3BDE26B-0446-4974-A304-7020EFB502D5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099F1F5-4190-4F30-8DE0-B12CC0CCCCC8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532929" name="Button 1" hidden="1">
              <a:extLst>
                <a:ext uri="{63B3BB69-23CF-44E3-9099-C40C66FF867C}">
                  <a14:compatExt spid="_x0000_s1532929"/>
                </a:ext>
                <a:ext uri="{FF2B5EF4-FFF2-40B4-BE49-F238E27FC236}">
                  <a16:creationId xmlns:a16="http://schemas.microsoft.com/office/drawing/2014/main" id="{00000000-0008-0000-1B00-000001641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28E8CB5-17AC-4C08-9AFE-A3E759B43825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507C59C-B86B-42EB-A597-4C98080D3538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8A0EA844-6032-4A16-9ABE-6DAC6E8FC997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5E4DC5A-30B4-4EAF-9A30-F01682E1A0E8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B84C04D8-AD63-72FF-6626-1755EED1D745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738E9194-A4A8-6249-25AC-9D42626FDF6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96CB34FC-5D1F-494C-8474-CF2924644580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41A2223-D159-4636-9174-1EDA41D31152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550337" name="Button 1" hidden="1">
              <a:extLst>
                <a:ext uri="{63B3BB69-23CF-44E3-9099-C40C66FF867C}">
                  <a14:compatExt spid="_x0000_s1550337"/>
                </a:ext>
                <a:ext uri="{FF2B5EF4-FFF2-40B4-BE49-F238E27FC236}">
                  <a16:creationId xmlns:a16="http://schemas.microsoft.com/office/drawing/2014/main" id="{00000000-0008-0000-1C00-000001A81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B8E1491-6124-4F52-88B0-D0C9B6683717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91BAA0B-0D55-4CCB-8A4E-9BE2DC13A170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633E99FC-A2CE-4CD1-9BC3-1A7634DD146D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93D097C-CC77-421F-8119-3933C0D9F07F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1BF8A30-794C-2DE2-B53F-201F4FCF8D98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19478B5-7B40-8017-E98D-AF3788434F7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8BC23D3-09AA-4B3C-A7C5-B7DB9CEE2801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8D746EC-FBE0-4C43-901E-71F2596EF42D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551361" name="Button 1" hidden="1">
              <a:extLst>
                <a:ext uri="{63B3BB69-23CF-44E3-9099-C40C66FF867C}">
                  <a14:compatExt spid="_x0000_s1551361"/>
                </a:ext>
                <a:ext uri="{FF2B5EF4-FFF2-40B4-BE49-F238E27FC236}">
                  <a16:creationId xmlns:a16="http://schemas.microsoft.com/office/drawing/2014/main" id="{00000000-0008-0000-1D00-000001AC1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D655D49-CE94-4382-9F90-22C51BDB603D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7E169CF-81EC-49DE-B62A-2C89131EEFD0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565E3328-D8F2-4AF1-973E-AC9BB9AD2D49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439AED36-3A23-4B18-99D2-D13E929DFC4A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33BE8E80-4AF9-D1B1-C15B-E0626AD6261F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A3B152A-16FF-5584-88A8-6A68CBA3B85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BA81C6FE-93A6-4963-BC9F-69B620CE9B86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3F668D3-375D-489A-ABC9-099220F7FBDF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570817" name="Button 1" hidden="1">
              <a:extLst>
                <a:ext uri="{63B3BB69-23CF-44E3-9099-C40C66FF867C}">
                  <a14:compatExt spid="_x0000_s1570817"/>
                </a:ext>
                <a:ext uri="{FF2B5EF4-FFF2-40B4-BE49-F238E27FC236}">
                  <a16:creationId xmlns:a16="http://schemas.microsoft.com/office/drawing/2014/main" id="{00000000-0008-0000-1E00-000001F81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86588F2-539D-46DB-9C24-BED5F9BA4537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1DB3764-36BF-4F79-BA7D-2CE54562B9A6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4118423-9342-4ADD-9A33-6D30B666FA7E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514350</xdr:colOff>
      <xdr:row>0</xdr:row>
      <xdr:rowOff>142875</xdr:rowOff>
    </xdr:from>
    <xdr:to>
      <xdr:col>14</xdr:col>
      <xdr:colOff>609131</xdr:colOff>
      <xdr:row>23</xdr:row>
      <xdr:rowOff>85184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AC701D0-1556-0BFD-0E58-C1E606FAB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801475" y="142875"/>
          <a:ext cx="3752381" cy="432380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571501</xdr:colOff>
      <xdr:row>28</xdr:row>
      <xdr:rowOff>165100</xdr:rowOff>
    </xdr:from>
    <xdr:to>
      <xdr:col>37</xdr:col>
      <xdr:colOff>562429</xdr:colOff>
      <xdr:row>46</xdr:row>
      <xdr:rowOff>27214</xdr:rowOff>
    </xdr:to>
    <xdr:graphicFrame macro="">
      <xdr:nvGraphicFramePr>
        <xdr:cNvPr id="77" name="Chart 2">
          <a:extLst>
            <a:ext uri="{FF2B5EF4-FFF2-40B4-BE49-F238E27FC236}">
              <a16:creationId xmlns:a16="http://schemas.microsoft.com/office/drawing/2014/main" id="{F0C30E16-1F1C-A882-207B-65347C437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36285</xdr:colOff>
      <xdr:row>29</xdr:row>
      <xdr:rowOff>75290</xdr:rowOff>
    </xdr:from>
    <xdr:to>
      <xdr:col>18</xdr:col>
      <xdr:colOff>576034</xdr:colOff>
      <xdr:row>50</xdr:row>
      <xdr:rowOff>99786</xdr:rowOff>
    </xdr:to>
    <xdr:graphicFrame macro="">
      <xdr:nvGraphicFramePr>
        <xdr:cNvPr id="87" name="Chart 3">
          <a:extLst>
            <a:ext uri="{FF2B5EF4-FFF2-40B4-BE49-F238E27FC236}">
              <a16:creationId xmlns:a16="http://schemas.microsoft.com/office/drawing/2014/main" id="{AC04B4E5-884B-6CD0-721E-61FFD69837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absoluteAnchor>
    <xdr:pos x="0" y="0"/>
    <xdr:ext cx="9298983" cy="607824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A9EB8EA-3B5D-C4B2-7D64-A631D172543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3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31"/>
    </sheetNames>
    <sheetDataSet>
      <sheetData sheetId="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RAMOS, FERDINAND" id="{7438155D-CFEB-4446-9488-24C6245FC8C7}" userId="S::fcramos@transco.ph::381543aa-8951-45c0-b568-2134637d199e" providerId="AD"/>
  <person displayName="BUNGCAG, BEATRIZ GRACE" id="{C50523D2-99C1-4196-B1C1-78A02EED07A8}" userId="S::bfbungcag@transco.ph::283a4cac-f4d1-4b0c-862c-6c30c814df12" providerId="AD"/>
  <person displayName="CABRERA, SHAIRA A." id="{F270DF8A-29C0-4976-9773-1B4675CB89C6}" userId="S::shcabrera@transco.ph::ee4690c9-a453-4169-97c3-701164a7d380" providerId="AD"/>
</personList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1">
  <a r="12" c="12">
    <v t="s"/>
    <v>44.01</v>
    <v>37.909999999999997</v>
    <v>37.840000000000003</v>
    <v>37.090000000000003</v>
    <v>36.24</v>
    <v t="s">...</v>
    <v>61.29</v>
    <v>58.059999999999995</v>
    <v>55.94</v>
    <v>50.980000000000004</v>
    <v>47.1</v>
    <v>0</v>
    <v>42.42</v>
    <v>39.85</v>
    <v>38.11</v>
    <v>37.01</v>
    <v>36.244999999999997</v>
    <v t="s">...</v>
    <v>55.29</v>
    <v>55.019999999999996</v>
    <v>52.20000000000001</v>
    <v>47.660000000000004</v>
    <v>44.91</v>
    <v>1</v>
    <v>41.35</v>
    <v>38.729999999999997</v>
    <v>35.729999999999997</v>
    <v>35.250000000000007</v>
    <v>34.46</v>
    <v t="s">...</v>
    <v>53.23</v>
    <v>51.249999999999993</v>
    <v>48.169999999999995</v>
    <v>43.949999999999996</v>
    <v>40.47</v>
    <v>2</v>
    <v>38.01</v>
    <v>34.72</v>
    <v>33.18</v>
    <v>32.089999999999996</v>
    <v>32.46</v>
    <v t="s">...</v>
    <v>57.22</v>
    <v>51.41</v>
    <v>49.07</v>
    <v>43.81</v>
    <v>40.04</v>
    <v>3</v>
    <v>37.200000000000003</v>
    <v>35.910000000000004</v>
    <v>33.82</v>
    <v>32.660000000000004</v>
    <v>32.449999999999996</v>
    <v t="s">...</v>
    <v>56.870000000000005</v>
    <v>52.349999999999994</v>
    <v>49.52000000000001</v>
    <v>46.29</v>
    <v>42.01</v>
    <v>4</v>
    <v>37.950000000000003</v>
    <v>35.729999999999997</v>
    <v>34.299999999999997</v>
    <v>32.959999999999994</v>
    <v>32.630000000000003</v>
    <v t="s">...</v>
    <v>59.990000000000009</v>
    <v>56.860000000000007</v>
    <v>53.33</v>
    <v>47.889999999999993</v>
    <v>44.699999999999996</v>
    <v t="s">...</v>
    <v t="s">...</v>
    <v t="s">...</v>
    <v t="s">...</v>
    <v t="s">...</v>
    <v t="s">...</v>
    <v t="s">...</v>
    <v t="s">...</v>
    <v t="s">...</v>
    <v t="s">...</v>
    <v t="s">...</v>
    <v t="s">...</v>
    <v>7</v>
    <v>42.33</v>
    <v>40.029999999999994</v>
    <v>38.179999999999993</v>
    <v>36.75</v>
    <v>36.58</v>
    <v t="s">...</v>
    <v>57.959999999999994</v>
    <v>55</v>
    <v>53.1</v>
    <v>47.69</v>
    <v>45.96</v>
    <v>8</v>
    <v>41.03</v>
    <v>36.5</v>
    <v>36.950000000000003</v>
    <v>34.659999999999997</v>
    <v>35.86999999999999</v>
    <v t="s">...</v>
    <v>59.44</v>
    <v>54.73</v>
    <v>53.87</v>
    <v>50.1</v>
    <v>46.91</v>
    <v>9</v>
    <v>42.3</v>
    <v>39.779999999999994</v>
    <v>37.729999999999997</v>
    <v>36.339999999999996</v>
    <v>36.119999999999997</v>
    <v t="s">...</v>
    <v>61.379999999999988</v>
    <v>56.92</v>
    <v>54.88</v>
    <v>49.06</v>
    <v>45.440000000000005</v>
    <v>10</v>
    <v>42.15</v>
    <v>40.42</v>
    <v>38.379999999999995</v>
    <v>36.35</v>
    <v>36.1</v>
    <v t="s">...</v>
    <v>57.88</v>
    <v>54.204999999999998</v>
    <v>52.47</v>
    <v>47.169999999999995</v>
    <v>44.419999999999995</v>
    <v>11</v>
    <v>40.090000000000003</v>
    <v>38.419999999999995</v>
    <v>36.93</v>
    <v>35.519999999999996</v>
    <v>35.660000000000004</v>
    <v t="s">...</v>
    <v>57.85</v>
    <v>54.339999999999996</v>
    <v>51.91</v>
    <v>46.39</v>
    <v>43.1</v>
  </a>
</arrayData>
</file>

<file path=xl/richData/rdrichvalue.xml><?xml version="1.0" encoding="utf-8"?>
<rvData xmlns="http://schemas.microsoft.com/office/spreadsheetml/2017/richdata" count="3">
  <rv s="0">
    <v>0</v>
  </rv>
  <rv s="1">
    <v>DataFrame</v>
    <v>1</v>
    <v>0</v>
  </rv>
  <rv s="2">
    <v>&lt;class 'pandas.core.frame.DataFrame'&gt;</v>
    <v>DataFrame</v>
    <v xml:space="preserve">    44.01  37.91  37.84  37.09   36.24   38.40  40.95  39.20  45.07   54.27  \
0   42.42  39.85  38.11  37.01  36.245  35.785  38.35  37.64  41.30  50.090   
1   41.35  38.73  35.73  35.25  34.460  35.120  36.66  36.50  39.47  44.170   
2   38.01  34.7...</v>
    <v>1</v>
    <v>2</v>
  </rv>
</rvData>
</file>

<file path=xl/richData/rdrichvaluestructure.xml><?xml version="1.0" encoding="utf-8"?>
<rvStructures xmlns="http://schemas.microsoft.com/office/spreadsheetml/2017/richdata" count="3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</rvStructures>
</file>

<file path=xl/richData/rdsupportingpropertybag.xml><?xml version="1.0" encoding="utf-8"?>
<supportingPropertyBags xmlns="http://schemas.microsoft.com/office/spreadsheetml/2017/richdata2">
  <spbData count="3">
    <spb s="0">
      <v>12</v>
      <v>24</v>
      <v>DataFrame</v>
      <v>arrayPreview</v>
      <v>1</v>
    </spb>
    <spb s="1">
      <v>0</v>
    </spb>
    <spb s="2">
      <v>https://www.anaconda.com/excel</v>
      <v>https://res.cdn.office.net/officepysvc/prod-service/anacondalogo.png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3">
  <s>
    <k n="drw" t="i"/>
    <k n="dcol" t="i"/>
    <k n="name" t="s"/>
    <k n="array" t="s"/>
    <k n="headers" t="b"/>
  </s>
  <s>
    <k n="ArrayCardInfo" t="spb"/>
  </s>
  <s>
    <k n="link" t="s"/>
    <k n="logo" t="s"/>
    <k n="name" t="s"/>
  </s>
</spb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S106" dT="2025-04-16T05:30:18.56" personId="{C50523D2-99C1-4196-B1C1-78A02EED07A8}" id="{0DA3AD2B-BDE2-4FA7-9560-944A55DDF9EF}">
    <text>a/t RT</text>
  </threadedComment>
  <threadedComment ref="T106" dT="2025-04-16T05:30:18.56" personId="{C50523D2-99C1-4196-B1C1-78A02EED07A8}" id="{C7D728CC-C4AC-4D14-BF66-E808ACCF51B1}">
    <text>a/t RT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M104" dT="2025-04-20T23:14:32.46" personId="{C50523D2-99C1-4196-B1C1-78A02EED07A8}" id="{E1A283D1-829A-44B1-9533-99CE1E1BF51B}">
    <text>QUEZON</text>
  </threadedComment>
  <threadedComment ref="N104" dT="2025-04-20T23:14:32.46" personId="{C50523D2-99C1-4196-B1C1-78A02EED07A8}" id="{101456F0-3F69-4257-B177-FB40B8B43BE4}">
    <text>QUEZON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U106" dT="2025-04-24T10:35:47.99" personId="{7438155D-CFEB-4446-9488-24C6245FC8C7}" id="{365AA562-5253-4E14-B915-77187048986D}">
    <text>taytay barrio</text>
  </threadedComment>
  <threadedComment ref="V106" dT="2025-04-24T10:35:47.99" personId="{7438155D-CFEB-4446-9488-24C6245FC8C7}" id="{B4C6B29F-0CFD-4A96-AA22-343435113B59}">
    <text>taytay barrio</text>
  </threadedComment>
  <threadedComment ref="W106" dT="2025-04-24T10:35:47.99" personId="{7438155D-CFEB-4446-9488-24C6245FC8C7}" id="{B8BE3A6F-9D5E-4E09-BC13-C2E5792B1D5B}">
    <text>taytay barrio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U106" dT="2025-04-29T10:00:39.76" personId="{F270DF8A-29C0-4976-9773-1B4675CB89C6}" id="{54EB763D-1802-4E3E-99E2-F74F8E59DB29}">
    <text>taytay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4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5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6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7.xml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8.xml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9.xml"/><Relationship Id="rId4" Type="http://schemas.openxmlformats.org/officeDocument/2006/relationships/ctrlProp" Target="../ctrlProps/ctrlProp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10.xml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comments" Target="../comments11.xml"/><Relationship Id="rId4" Type="http://schemas.openxmlformats.org/officeDocument/2006/relationships/ctrlProp" Target="../ctrlProps/ctrlProp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comments" Target="../comments12.xml"/><Relationship Id="rId4" Type="http://schemas.openxmlformats.org/officeDocument/2006/relationships/ctrlProp" Target="../ctrlProps/ctrlProp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openxmlformats.org/officeDocument/2006/relationships/comments" Target="../comments13.xml"/><Relationship Id="rId4" Type="http://schemas.openxmlformats.org/officeDocument/2006/relationships/ctrlProp" Target="../ctrlProps/ctrlProp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5" Type="http://schemas.openxmlformats.org/officeDocument/2006/relationships/comments" Target="../comments14.xml"/><Relationship Id="rId4" Type="http://schemas.openxmlformats.org/officeDocument/2006/relationships/ctrlProp" Target="../ctrlProps/ctrlProp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5" Type="http://schemas.openxmlformats.org/officeDocument/2006/relationships/comments" Target="../comments15.xml"/><Relationship Id="rId4" Type="http://schemas.openxmlformats.org/officeDocument/2006/relationships/ctrlProp" Target="../ctrlProps/ctrlProp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6.xml"/><Relationship Id="rId4" Type="http://schemas.openxmlformats.org/officeDocument/2006/relationships/ctrlProp" Target="../ctrlProps/ctrlProp1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5" Type="http://schemas.openxmlformats.org/officeDocument/2006/relationships/comments" Target="../comments17.xml"/><Relationship Id="rId4" Type="http://schemas.openxmlformats.org/officeDocument/2006/relationships/ctrlProp" Target="../ctrlProps/ctrlProp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5" Type="http://schemas.openxmlformats.org/officeDocument/2006/relationships/comments" Target="../comments18.xml"/><Relationship Id="rId4" Type="http://schemas.openxmlformats.org/officeDocument/2006/relationships/ctrlProp" Target="../ctrlProps/ctrlProp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5" Type="http://schemas.openxmlformats.org/officeDocument/2006/relationships/comments" Target="../comments19.xml"/><Relationship Id="rId4" Type="http://schemas.openxmlformats.org/officeDocument/2006/relationships/ctrlProp" Target="../ctrlProps/ctrlProp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5" Type="http://schemas.openxmlformats.org/officeDocument/2006/relationships/comments" Target="../comments20.xml"/><Relationship Id="rId4" Type="http://schemas.openxmlformats.org/officeDocument/2006/relationships/ctrlProp" Target="../ctrlProps/ctrlProp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1.xml"/><Relationship Id="rId4" Type="http://schemas.openxmlformats.org/officeDocument/2006/relationships/ctrlProp" Target="../ctrlProps/ctrlProp2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5" Type="http://schemas.openxmlformats.org/officeDocument/2006/relationships/comments" Target="../comments22.xml"/><Relationship Id="rId4" Type="http://schemas.openxmlformats.org/officeDocument/2006/relationships/ctrlProp" Target="../ctrlProps/ctrlProp2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5" Type="http://schemas.openxmlformats.org/officeDocument/2006/relationships/comments" Target="../comments23.xml"/><Relationship Id="rId4" Type="http://schemas.openxmlformats.org/officeDocument/2006/relationships/ctrlProp" Target="../ctrlProps/ctrlProp23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6" Type="http://schemas.microsoft.com/office/2017/10/relationships/threadedComment" Target="../threadedComments/threadedComment3.xml"/><Relationship Id="rId5" Type="http://schemas.openxmlformats.org/officeDocument/2006/relationships/comments" Target="../comments24.xml"/><Relationship Id="rId4" Type="http://schemas.openxmlformats.org/officeDocument/2006/relationships/ctrlProp" Target="../ctrlProps/ctrlProp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5" Type="http://schemas.openxmlformats.org/officeDocument/2006/relationships/comments" Target="../comments25.xml"/><Relationship Id="rId4" Type="http://schemas.openxmlformats.org/officeDocument/2006/relationships/ctrlProp" Target="../ctrlProps/ctrlProp2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5" Type="http://schemas.openxmlformats.org/officeDocument/2006/relationships/comments" Target="../comments26.xml"/><Relationship Id="rId4" Type="http://schemas.openxmlformats.org/officeDocument/2006/relationships/ctrlProp" Target="../ctrlProps/ctrlProp2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5" Type="http://schemas.openxmlformats.org/officeDocument/2006/relationships/comments" Target="../comments27.xml"/><Relationship Id="rId4" Type="http://schemas.openxmlformats.org/officeDocument/2006/relationships/ctrlProp" Target="../ctrlProps/ctrlProp2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5" Type="http://schemas.openxmlformats.org/officeDocument/2006/relationships/comments" Target="../comments28.xml"/><Relationship Id="rId4" Type="http://schemas.openxmlformats.org/officeDocument/2006/relationships/ctrlProp" Target="../ctrlProps/ctrlProp28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6" Type="http://schemas.microsoft.com/office/2017/10/relationships/threadedComment" Target="../threadedComments/threadedComment4.xml"/><Relationship Id="rId5" Type="http://schemas.openxmlformats.org/officeDocument/2006/relationships/comments" Target="../comments29.xml"/><Relationship Id="rId4" Type="http://schemas.openxmlformats.org/officeDocument/2006/relationships/ctrlProp" Target="../ctrlProps/ctrlProp29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5" Type="http://schemas.openxmlformats.org/officeDocument/2006/relationships/comments" Target="../comments30.xml"/><Relationship Id="rId4" Type="http://schemas.openxmlformats.org/officeDocument/2006/relationships/ctrlProp" Target="../ctrlProps/ctrlProp30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26" Type="http://schemas.openxmlformats.org/officeDocument/2006/relationships/hyperlink" Target="4" TargetMode="External"/><Relationship Id="rId117" Type="http://schemas.openxmlformats.org/officeDocument/2006/relationships/hyperlink" Target="25" TargetMode="External"/><Relationship Id="rId21" Type="http://schemas.openxmlformats.org/officeDocument/2006/relationships/hyperlink" Target="4" TargetMode="External"/><Relationship Id="rId42" Type="http://schemas.openxmlformats.org/officeDocument/2006/relationships/hyperlink" Target="10" TargetMode="External"/><Relationship Id="rId47" Type="http://schemas.openxmlformats.org/officeDocument/2006/relationships/hyperlink" Target="11" TargetMode="External"/><Relationship Id="rId63" Type="http://schemas.openxmlformats.org/officeDocument/2006/relationships/hyperlink" Target="13" TargetMode="External"/><Relationship Id="rId68" Type="http://schemas.openxmlformats.org/officeDocument/2006/relationships/hyperlink" Target="https://transcogov-my.sharepoint.com/personal/sgarquero_transco_ph/Documents/Desktop/14" TargetMode="External"/><Relationship Id="rId84" Type="http://schemas.openxmlformats.org/officeDocument/2006/relationships/hyperlink" Target="18" TargetMode="External"/><Relationship Id="rId89" Type="http://schemas.openxmlformats.org/officeDocument/2006/relationships/hyperlink" Target="21" TargetMode="External"/><Relationship Id="rId112" Type="http://schemas.openxmlformats.org/officeDocument/2006/relationships/hyperlink" Target="24" TargetMode="External"/><Relationship Id="rId16" Type="http://schemas.openxmlformats.org/officeDocument/2006/relationships/hyperlink" Target="3" TargetMode="External"/><Relationship Id="rId107" Type="http://schemas.openxmlformats.org/officeDocument/2006/relationships/hyperlink" Target="24" TargetMode="External"/><Relationship Id="rId11" Type="http://schemas.openxmlformats.org/officeDocument/2006/relationships/hyperlink" Target="3" TargetMode="External"/><Relationship Id="rId32" Type="http://schemas.openxmlformats.org/officeDocument/2006/relationships/hyperlink" Target="5" TargetMode="External"/><Relationship Id="rId37" Type="http://schemas.openxmlformats.org/officeDocument/2006/relationships/hyperlink" Target="9" TargetMode="External"/><Relationship Id="rId53" Type="http://schemas.openxmlformats.org/officeDocument/2006/relationships/hyperlink" Target="11" TargetMode="External"/><Relationship Id="rId58" Type="http://schemas.openxmlformats.org/officeDocument/2006/relationships/hyperlink" Target="12" TargetMode="External"/><Relationship Id="rId74" Type="http://schemas.openxmlformats.org/officeDocument/2006/relationships/hyperlink" Target="15" TargetMode="External"/><Relationship Id="rId79" Type="http://schemas.openxmlformats.org/officeDocument/2006/relationships/hyperlink" Target="16" TargetMode="External"/><Relationship Id="rId102" Type="http://schemas.openxmlformats.org/officeDocument/2006/relationships/hyperlink" Target="22" TargetMode="External"/><Relationship Id="rId123" Type="http://schemas.openxmlformats.org/officeDocument/2006/relationships/hyperlink" Target="30" TargetMode="External"/><Relationship Id="rId5" Type="http://schemas.openxmlformats.org/officeDocument/2006/relationships/hyperlink" Target="1" TargetMode="External"/><Relationship Id="rId90" Type="http://schemas.openxmlformats.org/officeDocument/2006/relationships/hyperlink" Target="21" TargetMode="External"/><Relationship Id="rId95" Type="http://schemas.openxmlformats.org/officeDocument/2006/relationships/hyperlink" Target="22" TargetMode="External"/><Relationship Id="rId22" Type="http://schemas.openxmlformats.org/officeDocument/2006/relationships/hyperlink" Target="4" TargetMode="External"/><Relationship Id="rId27" Type="http://schemas.openxmlformats.org/officeDocument/2006/relationships/hyperlink" Target="4" TargetMode="External"/><Relationship Id="rId43" Type="http://schemas.openxmlformats.org/officeDocument/2006/relationships/hyperlink" Target="10" TargetMode="External"/><Relationship Id="rId48" Type="http://schemas.openxmlformats.org/officeDocument/2006/relationships/hyperlink" Target="11" TargetMode="External"/><Relationship Id="rId64" Type="http://schemas.openxmlformats.org/officeDocument/2006/relationships/hyperlink" Target="13" TargetMode="External"/><Relationship Id="rId69" Type="http://schemas.openxmlformats.org/officeDocument/2006/relationships/hyperlink" Target="15" TargetMode="External"/><Relationship Id="rId113" Type="http://schemas.openxmlformats.org/officeDocument/2006/relationships/hyperlink" Target="24" TargetMode="External"/><Relationship Id="rId118" Type="http://schemas.openxmlformats.org/officeDocument/2006/relationships/hyperlink" Target="26" TargetMode="External"/><Relationship Id="rId80" Type="http://schemas.openxmlformats.org/officeDocument/2006/relationships/hyperlink" Target="18" TargetMode="External"/><Relationship Id="rId85" Type="http://schemas.openxmlformats.org/officeDocument/2006/relationships/hyperlink" Target="18" TargetMode="External"/><Relationship Id="rId12" Type="http://schemas.openxmlformats.org/officeDocument/2006/relationships/hyperlink" Target="3" TargetMode="External"/><Relationship Id="rId17" Type="http://schemas.openxmlformats.org/officeDocument/2006/relationships/hyperlink" Target="3" TargetMode="External"/><Relationship Id="rId33" Type="http://schemas.openxmlformats.org/officeDocument/2006/relationships/hyperlink" Target="5" TargetMode="External"/><Relationship Id="rId38" Type="http://schemas.openxmlformats.org/officeDocument/2006/relationships/hyperlink" Target="9" TargetMode="External"/><Relationship Id="rId59" Type="http://schemas.openxmlformats.org/officeDocument/2006/relationships/hyperlink" Target="12" TargetMode="External"/><Relationship Id="rId103" Type="http://schemas.openxmlformats.org/officeDocument/2006/relationships/hyperlink" Target="22" TargetMode="External"/><Relationship Id="rId108" Type="http://schemas.openxmlformats.org/officeDocument/2006/relationships/hyperlink" Target="24" TargetMode="External"/><Relationship Id="rId124" Type="http://schemas.openxmlformats.org/officeDocument/2006/relationships/hyperlink" Target="30" TargetMode="External"/><Relationship Id="rId54" Type="http://schemas.openxmlformats.org/officeDocument/2006/relationships/hyperlink" Target="11" TargetMode="External"/><Relationship Id="rId70" Type="http://schemas.openxmlformats.org/officeDocument/2006/relationships/hyperlink" Target="15" TargetMode="External"/><Relationship Id="rId75" Type="http://schemas.openxmlformats.org/officeDocument/2006/relationships/hyperlink" Target="15" TargetMode="External"/><Relationship Id="rId91" Type="http://schemas.openxmlformats.org/officeDocument/2006/relationships/hyperlink" Target="21" TargetMode="External"/><Relationship Id="rId96" Type="http://schemas.openxmlformats.org/officeDocument/2006/relationships/hyperlink" Target="22" TargetMode="External"/><Relationship Id="rId1" Type="http://schemas.openxmlformats.org/officeDocument/2006/relationships/hyperlink" Target="29" TargetMode="External"/><Relationship Id="rId6" Type="http://schemas.openxmlformats.org/officeDocument/2006/relationships/hyperlink" Target="1" TargetMode="External"/><Relationship Id="rId23" Type="http://schemas.openxmlformats.org/officeDocument/2006/relationships/hyperlink" Target="4" TargetMode="External"/><Relationship Id="rId28" Type="http://schemas.openxmlformats.org/officeDocument/2006/relationships/hyperlink" Target="4" TargetMode="External"/><Relationship Id="rId49" Type="http://schemas.openxmlformats.org/officeDocument/2006/relationships/hyperlink" Target="11" TargetMode="External"/><Relationship Id="rId114" Type="http://schemas.openxmlformats.org/officeDocument/2006/relationships/hyperlink" Target="24" TargetMode="External"/><Relationship Id="rId119" Type="http://schemas.openxmlformats.org/officeDocument/2006/relationships/hyperlink" Target="27" TargetMode="External"/><Relationship Id="rId44" Type="http://schemas.openxmlformats.org/officeDocument/2006/relationships/hyperlink" Target="10" TargetMode="External"/><Relationship Id="rId60" Type="http://schemas.openxmlformats.org/officeDocument/2006/relationships/hyperlink" Target="12" TargetMode="External"/><Relationship Id="rId65" Type="http://schemas.openxmlformats.org/officeDocument/2006/relationships/hyperlink" Target="13" TargetMode="External"/><Relationship Id="rId81" Type="http://schemas.openxmlformats.org/officeDocument/2006/relationships/hyperlink" Target="18" TargetMode="External"/><Relationship Id="rId86" Type="http://schemas.openxmlformats.org/officeDocument/2006/relationships/hyperlink" Target="18" TargetMode="External"/><Relationship Id="rId13" Type="http://schemas.openxmlformats.org/officeDocument/2006/relationships/hyperlink" Target="3" TargetMode="External"/><Relationship Id="rId18" Type="http://schemas.openxmlformats.org/officeDocument/2006/relationships/hyperlink" Target="3" TargetMode="External"/><Relationship Id="rId39" Type="http://schemas.openxmlformats.org/officeDocument/2006/relationships/hyperlink" Target="9" TargetMode="External"/><Relationship Id="rId109" Type="http://schemas.openxmlformats.org/officeDocument/2006/relationships/hyperlink" Target="24" TargetMode="External"/><Relationship Id="rId34" Type="http://schemas.openxmlformats.org/officeDocument/2006/relationships/hyperlink" Target="8" TargetMode="External"/><Relationship Id="rId50" Type="http://schemas.openxmlformats.org/officeDocument/2006/relationships/hyperlink" Target="11" TargetMode="External"/><Relationship Id="rId55" Type="http://schemas.openxmlformats.org/officeDocument/2006/relationships/hyperlink" Target="11" TargetMode="External"/><Relationship Id="rId76" Type="http://schemas.openxmlformats.org/officeDocument/2006/relationships/hyperlink" Target="15" TargetMode="External"/><Relationship Id="rId97" Type="http://schemas.openxmlformats.org/officeDocument/2006/relationships/hyperlink" Target="22" TargetMode="External"/><Relationship Id="rId104" Type="http://schemas.openxmlformats.org/officeDocument/2006/relationships/hyperlink" Target="22" TargetMode="External"/><Relationship Id="rId120" Type="http://schemas.openxmlformats.org/officeDocument/2006/relationships/hyperlink" Target="27" TargetMode="External"/><Relationship Id="rId125" Type="http://schemas.openxmlformats.org/officeDocument/2006/relationships/hyperlink" Target="30" TargetMode="External"/><Relationship Id="rId7" Type="http://schemas.openxmlformats.org/officeDocument/2006/relationships/hyperlink" Target="2" TargetMode="External"/><Relationship Id="rId71" Type="http://schemas.openxmlformats.org/officeDocument/2006/relationships/hyperlink" Target="15" TargetMode="External"/><Relationship Id="rId92" Type="http://schemas.openxmlformats.org/officeDocument/2006/relationships/hyperlink" Target="21" TargetMode="External"/><Relationship Id="rId2" Type="http://schemas.openxmlformats.org/officeDocument/2006/relationships/hyperlink" Target="1" TargetMode="External"/><Relationship Id="rId29" Type="http://schemas.openxmlformats.org/officeDocument/2006/relationships/hyperlink" Target="4" TargetMode="External"/><Relationship Id="rId24" Type="http://schemas.openxmlformats.org/officeDocument/2006/relationships/hyperlink" Target="4" TargetMode="External"/><Relationship Id="rId40" Type="http://schemas.openxmlformats.org/officeDocument/2006/relationships/hyperlink" Target="9" TargetMode="External"/><Relationship Id="rId45" Type="http://schemas.openxmlformats.org/officeDocument/2006/relationships/hyperlink" Target="10" TargetMode="External"/><Relationship Id="rId66" Type="http://schemas.openxmlformats.org/officeDocument/2006/relationships/hyperlink" Target="13" TargetMode="External"/><Relationship Id="rId87" Type="http://schemas.openxmlformats.org/officeDocument/2006/relationships/hyperlink" Target="19" TargetMode="External"/><Relationship Id="rId110" Type="http://schemas.openxmlformats.org/officeDocument/2006/relationships/hyperlink" Target="24" TargetMode="External"/><Relationship Id="rId115" Type="http://schemas.openxmlformats.org/officeDocument/2006/relationships/hyperlink" Target="24" TargetMode="External"/><Relationship Id="rId61" Type="http://schemas.openxmlformats.org/officeDocument/2006/relationships/hyperlink" Target="12" TargetMode="External"/><Relationship Id="rId82" Type="http://schemas.openxmlformats.org/officeDocument/2006/relationships/hyperlink" Target="18" TargetMode="External"/><Relationship Id="rId19" Type="http://schemas.openxmlformats.org/officeDocument/2006/relationships/hyperlink" Target="3" TargetMode="External"/><Relationship Id="rId14" Type="http://schemas.openxmlformats.org/officeDocument/2006/relationships/hyperlink" Target="3" TargetMode="External"/><Relationship Id="rId30" Type="http://schemas.openxmlformats.org/officeDocument/2006/relationships/hyperlink" Target="5" TargetMode="External"/><Relationship Id="rId35" Type="http://schemas.openxmlformats.org/officeDocument/2006/relationships/hyperlink" Target="8" TargetMode="External"/><Relationship Id="rId56" Type="http://schemas.openxmlformats.org/officeDocument/2006/relationships/hyperlink" Target="12" TargetMode="External"/><Relationship Id="rId77" Type="http://schemas.openxmlformats.org/officeDocument/2006/relationships/hyperlink" Target="15" TargetMode="External"/><Relationship Id="rId100" Type="http://schemas.openxmlformats.org/officeDocument/2006/relationships/hyperlink" Target="22" TargetMode="External"/><Relationship Id="rId105" Type="http://schemas.openxmlformats.org/officeDocument/2006/relationships/hyperlink" Target="23" TargetMode="External"/><Relationship Id="rId8" Type="http://schemas.openxmlformats.org/officeDocument/2006/relationships/hyperlink" Target="2" TargetMode="External"/><Relationship Id="rId51" Type="http://schemas.openxmlformats.org/officeDocument/2006/relationships/hyperlink" Target="11" TargetMode="External"/><Relationship Id="rId72" Type="http://schemas.openxmlformats.org/officeDocument/2006/relationships/hyperlink" Target="15" TargetMode="External"/><Relationship Id="rId93" Type="http://schemas.openxmlformats.org/officeDocument/2006/relationships/hyperlink" Target="21" TargetMode="External"/><Relationship Id="rId98" Type="http://schemas.openxmlformats.org/officeDocument/2006/relationships/hyperlink" Target="22" TargetMode="External"/><Relationship Id="rId121" Type="http://schemas.openxmlformats.org/officeDocument/2006/relationships/hyperlink" Target="28" TargetMode="External"/><Relationship Id="rId3" Type="http://schemas.openxmlformats.org/officeDocument/2006/relationships/hyperlink" Target="28" TargetMode="External"/><Relationship Id="rId25" Type="http://schemas.openxmlformats.org/officeDocument/2006/relationships/hyperlink" Target="4" TargetMode="External"/><Relationship Id="rId46" Type="http://schemas.openxmlformats.org/officeDocument/2006/relationships/hyperlink" Target="11" TargetMode="External"/><Relationship Id="rId67" Type="http://schemas.openxmlformats.org/officeDocument/2006/relationships/hyperlink" Target="13" TargetMode="External"/><Relationship Id="rId116" Type="http://schemas.openxmlformats.org/officeDocument/2006/relationships/hyperlink" Target="25" TargetMode="External"/><Relationship Id="rId20" Type="http://schemas.openxmlformats.org/officeDocument/2006/relationships/hyperlink" Target="3" TargetMode="External"/><Relationship Id="rId41" Type="http://schemas.openxmlformats.org/officeDocument/2006/relationships/hyperlink" Target="9" TargetMode="External"/><Relationship Id="rId62" Type="http://schemas.openxmlformats.org/officeDocument/2006/relationships/hyperlink" Target="12" TargetMode="External"/><Relationship Id="rId83" Type="http://schemas.openxmlformats.org/officeDocument/2006/relationships/hyperlink" Target="18" TargetMode="External"/><Relationship Id="rId88" Type="http://schemas.openxmlformats.org/officeDocument/2006/relationships/hyperlink" Target="21" TargetMode="External"/><Relationship Id="rId111" Type="http://schemas.openxmlformats.org/officeDocument/2006/relationships/hyperlink" Target="24" TargetMode="External"/><Relationship Id="rId15" Type="http://schemas.openxmlformats.org/officeDocument/2006/relationships/hyperlink" Target="3" TargetMode="External"/><Relationship Id="rId36" Type="http://schemas.openxmlformats.org/officeDocument/2006/relationships/hyperlink" Target="9" TargetMode="External"/><Relationship Id="rId57" Type="http://schemas.openxmlformats.org/officeDocument/2006/relationships/hyperlink" Target="12" TargetMode="External"/><Relationship Id="rId106" Type="http://schemas.openxmlformats.org/officeDocument/2006/relationships/hyperlink" Target="24" TargetMode="External"/><Relationship Id="rId10" Type="http://schemas.openxmlformats.org/officeDocument/2006/relationships/hyperlink" Target="3" TargetMode="External"/><Relationship Id="rId31" Type="http://schemas.openxmlformats.org/officeDocument/2006/relationships/hyperlink" Target="5" TargetMode="External"/><Relationship Id="rId52" Type="http://schemas.openxmlformats.org/officeDocument/2006/relationships/hyperlink" Target="11" TargetMode="External"/><Relationship Id="rId73" Type="http://schemas.openxmlformats.org/officeDocument/2006/relationships/hyperlink" Target="15" TargetMode="External"/><Relationship Id="rId78" Type="http://schemas.openxmlformats.org/officeDocument/2006/relationships/hyperlink" Target="16" TargetMode="External"/><Relationship Id="rId94" Type="http://schemas.openxmlformats.org/officeDocument/2006/relationships/hyperlink" Target="21" TargetMode="External"/><Relationship Id="rId99" Type="http://schemas.openxmlformats.org/officeDocument/2006/relationships/hyperlink" Target="22" TargetMode="External"/><Relationship Id="rId101" Type="http://schemas.openxmlformats.org/officeDocument/2006/relationships/hyperlink" Target="22" TargetMode="External"/><Relationship Id="rId122" Type="http://schemas.openxmlformats.org/officeDocument/2006/relationships/hyperlink" Target="28" TargetMode="External"/><Relationship Id="rId4" Type="http://schemas.openxmlformats.org/officeDocument/2006/relationships/hyperlink" Target="26" TargetMode="External"/><Relationship Id="rId9" Type="http://schemas.openxmlformats.org/officeDocument/2006/relationships/hyperlink" Target="2" TargetMode="Externa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1.xml"/><Relationship Id="rId1" Type="http://schemas.openxmlformats.org/officeDocument/2006/relationships/vmlDrawing" Target="../drawings/vmlDrawing31.v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2.xml"/><Relationship Id="rId1" Type="http://schemas.openxmlformats.org/officeDocument/2006/relationships/vmlDrawing" Target="../drawings/vmlDrawing32.v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comments" Target="../comments33.xml"/><Relationship Id="rId1" Type="http://schemas.openxmlformats.org/officeDocument/2006/relationships/vmlDrawing" Target="../drawings/vmlDrawing33.v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4.xml"/><Relationship Id="rId1" Type="http://schemas.openxmlformats.org/officeDocument/2006/relationships/vmlDrawing" Target="../drawings/vmlDrawing3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88A7-8F1B-4C23-8F1F-B71A26C6F7ED}">
  <sheetPr codeName="Sheet11"/>
  <dimension ref="A1:AB65"/>
  <sheetViews>
    <sheetView tabSelected="1" topLeftCell="A33" workbookViewId="0">
      <selection activeCell="T49" sqref="T49"/>
    </sheetView>
  </sheetViews>
  <sheetFormatPr defaultRowHeight="14.45"/>
  <cols>
    <col min="1" max="2" width="9.140625" style="79"/>
  </cols>
  <sheetData>
    <row r="1" spans="1:27">
      <c r="E1">
        <f t="shared" ref="E1:J1" ca="1" si="0">AVERAGE(E3:E4,E10:E11)</f>
        <v>60.094999999999999</v>
      </c>
      <c r="F1">
        <f t="shared" ca="1" si="0"/>
        <v>60.177500000000002</v>
      </c>
      <c r="G1">
        <f t="shared" ca="1" si="0"/>
        <v>60.104999999999997</v>
      </c>
      <c r="H1">
        <f t="shared" ca="1" si="0"/>
        <v>60.099999999999994</v>
      </c>
      <c r="I1">
        <f t="shared" ca="1" si="0"/>
        <v>60.19</v>
      </c>
      <c r="J1">
        <f t="shared" ca="1" si="0"/>
        <v>60.252499999999998</v>
      </c>
    </row>
    <row r="2" spans="1:27" ht="15.6">
      <c r="A2" s="79" t="s">
        <v>0</v>
      </c>
      <c r="C2" s="43">
        <v>0</v>
      </c>
      <c r="D2" s="43">
        <v>4.1666666666666664E-2</v>
      </c>
      <c r="E2" s="43">
        <v>8.3333333333333329E-2</v>
      </c>
      <c r="F2" s="43">
        <v>0.125</v>
      </c>
      <c r="G2" s="43">
        <v>0.16666666666666699</v>
      </c>
      <c r="H2" s="43">
        <v>0.20833333333333301</v>
      </c>
      <c r="I2" s="43">
        <v>0.25</v>
      </c>
      <c r="J2" s="43">
        <v>0.29166666666666702</v>
      </c>
      <c r="K2" s="43">
        <v>0.33333333333333398</v>
      </c>
      <c r="L2" s="43">
        <v>0.375</v>
      </c>
      <c r="M2" s="43">
        <v>0.41666666666666702</v>
      </c>
      <c r="N2" s="43">
        <v>0.45833333333333398</v>
      </c>
      <c r="O2" s="43">
        <v>0.5</v>
      </c>
      <c r="P2" s="43">
        <v>0.54166666666666696</v>
      </c>
      <c r="Q2" s="43">
        <v>0.58333333333333404</v>
      </c>
      <c r="R2" s="43">
        <v>0.625</v>
      </c>
      <c r="S2" s="105">
        <v>0.66666666666666663</v>
      </c>
      <c r="T2" s="43">
        <v>0.70833333333333404</v>
      </c>
      <c r="U2" s="43">
        <v>0.750000000000001</v>
      </c>
      <c r="V2" s="43">
        <v>0.79166666666666696</v>
      </c>
      <c r="W2" s="43">
        <v>0.83333333333333337</v>
      </c>
      <c r="X2" s="43">
        <v>0.875000000000001</v>
      </c>
      <c r="Y2" s="43">
        <v>0.91666666666666696</v>
      </c>
      <c r="Z2" s="43">
        <v>0.95833333333333404</v>
      </c>
    </row>
    <row r="3" spans="1:27">
      <c r="A3" s="79">
        <v>1</v>
      </c>
      <c r="B3" s="79">
        <v>110</v>
      </c>
      <c r="C3" s="318" cm="1">
        <f t="array" aca="1" ref="C3" ca="1">INDIRECT("'"&amp;$A3&amp;"'!"&amp; "F" &amp; $B3)</f>
        <v>60.21</v>
      </c>
      <c r="D3" s="318" cm="1">
        <f t="array" aca="1" ref="D3" ca="1">INDIRECT("'"&amp;$A3&amp;"'!"&amp; "g" &amp; $B3)</f>
        <v>59.99</v>
      </c>
      <c r="E3" s="318" cm="1">
        <f t="array" aca="1" ref="E3" ca="1">INDIRECT("'"&amp;$A3&amp;"'!"&amp; "H" &amp; $B3)</f>
        <v>60.07</v>
      </c>
      <c r="F3" s="318" cm="1">
        <f t="array" aca="1" ref="F3" ca="1">INDIRECT("'"&amp;$A3&amp;"'!"&amp; "I" &amp; $B3)</f>
        <v>60.12</v>
      </c>
      <c r="G3" s="318" cm="1">
        <f t="array" aca="1" ref="G3" ca="1">INDIRECT("'"&amp;$A3&amp;"'!"&amp; "J" &amp; $B3)</f>
        <v>60.05</v>
      </c>
      <c r="H3" s="318" cm="1">
        <f t="array" aca="1" ref="H3" ca="1">INDIRECT("'"&amp;$A3&amp;"'!"&amp; "K" &amp; $B3)</f>
        <v>60.12</v>
      </c>
      <c r="I3" s="318" cm="1">
        <f t="array" aca="1" ref="I3" ca="1">INDIRECT("'"&amp;$A3&amp;"'!"&amp; "L" &amp; $B3)</f>
        <v>60.25</v>
      </c>
      <c r="J3" s="318" cm="1">
        <f t="array" aca="1" ref="J3" ca="1">INDIRECT("'"&amp;$A3&amp;"'!"&amp; "M" &amp; $B3)</f>
        <v>60.23</v>
      </c>
      <c r="K3" s="318" cm="1">
        <f t="array" aca="1" ref="K3" ca="1">INDIRECT("'"&amp;$A3&amp;"'!"&amp; "N" &amp; $B3)</f>
        <v>60.27</v>
      </c>
      <c r="L3" s="318" cm="1">
        <f t="array" aca="1" ref="L3" ca="1">INDIRECT("'"&amp;$A3&amp;"'!"&amp; "O" &amp; $B3)</f>
        <v>60.21</v>
      </c>
      <c r="M3" s="318" cm="1">
        <f t="array" aca="1" ref="M3" ca="1">INDIRECT("'"&amp;$A3&amp;"'!"&amp; "P" &amp; $B3)</f>
        <v>60.09</v>
      </c>
      <c r="N3" s="318" cm="1">
        <f t="array" aca="1" ref="N3" ca="1">INDIRECT("'"&amp;$A3&amp;"'!"&amp; "Q" &amp; $B3)</f>
        <v>60.13</v>
      </c>
      <c r="O3" s="318" cm="1">
        <f t="array" aca="1" ref="O3" ca="1">INDIRECT("'"&amp;$A3&amp;"'!"&amp; "R" &amp; $B3)</f>
        <v>60.1</v>
      </c>
      <c r="P3" s="318" cm="1">
        <f t="array" aca="1" ref="P3" ca="1">INDIRECT("'"&amp;$A3&amp;"'!"&amp; "S" &amp; $B3)</f>
        <v>60.3</v>
      </c>
      <c r="Q3" s="318" cm="1">
        <f t="array" aca="1" ref="Q3" ca="1">INDIRECT("'"&amp;$A3&amp;"'!"&amp; "T" &amp; $B3)</f>
        <v>60.29</v>
      </c>
      <c r="R3" s="318" cm="1">
        <f t="array" aca="1" ref="R3" ca="1">INDIRECT("'"&amp;$A3&amp;"'!"&amp; "U" &amp; $B3)</f>
        <v>60.15</v>
      </c>
      <c r="S3" s="318" cm="1">
        <f t="array" aca="1" ref="S3" ca="1">INDIRECT("'"&amp;$A3&amp;"'!"&amp; "V" &amp; $B3)</f>
        <v>60.23</v>
      </c>
      <c r="T3" s="318" cm="1">
        <f t="array" aca="1" ref="T3" ca="1">INDIRECT("'"&amp;$A3&amp;"'!"&amp; "W" &amp; $B3)</f>
        <v>60.29</v>
      </c>
      <c r="U3" s="318" cm="1">
        <f t="array" aca="1" ref="U3" ca="1">INDIRECT("'"&amp;$A3&amp;"'!"&amp; "X" &amp; $B3)</f>
        <v>60.35</v>
      </c>
      <c r="V3" s="318" cm="1">
        <f t="array" aca="1" ref="V3" ca="1">INDIRECT("'"&amp;$A3&amp;"'!"&amp; "Y" &amp; $B3)</f>
        <v>60.14</v>
      </c>
      <c r="W3" s="318" cm="1">
        <f t="array" aca="1" ref="W3" ca="1">INDIRECT("'"&amp;$A3&amp;"'!"&amp; "Z" &amp; $B3)</f>
        <v>60.18</v>
      </c>
      <c r="X3" s="318" cm="1">
        <f t="array" aca="1" ref="X3" ca="1">INDIRECT("'"&amp;$A3&amp;"'!"&amp; "AA" &amp; $B3)</f>
        <v>60.11</v>
      </c>
      <c r="Y3" s="318" cm="1">
        <f t="array" aca="1" ref="Y3" ca="1">INDIRECT("'"&amp;$A3&amp;"'!"&amp; "AB" &amp; $B3)</f>
        <v>60.1</v>
      </c>
      <c r="Z3" s="318" cm="1">
        <f t="array" aca="1" ref="Z3" ca="1">INDIRECT("'"&amp;$A3&amp;"'!"&amp; "AC" &amp; $B3)</f>
        <v>60.15</v>
      </c>
      <c r="AA3" s="75"/>
    </row>
    <row r="4" spans="1:27">
      <c r="A4" s="79">
        <v>2</v>
      </c>
      <c r="B4" s="79">
        <v>110</v>
      </c>
      <c r="C4" s="318" cm="1">
        <f t="array" aca="1" ref="C4" ca="1">INDIRECT("'"&amp;$A4&amp;"'!"&amp; "F" &amp; $B4)</f>
        <v>60.16</v>
      </c>
      <c r="D4" s="318" cm="1">
        <f t="array" aca="1" ref="D4" ca="1">INDIRECT("'"&amp;$A4&amp;"'!"&amp; "g" &amp; $B4)</f>
        <v>60.21</v>
      </c>
      <c r="E4" s="318" cm="1">
        <f t="array" aca="1" ref="E4" ca="1">INDIRECT("'"&amp;$A4&amp;"'!"&amp; "H" &amp; $B4)</f>
        <v>60.11</v>
      </c>
      <c r="F4" s="318" cm="1">
        <f t="array" aca="1" ref="F4" ca="1">INDIRECT("'"&amp;$A4&amp;"'!"&amp; "I" &amp; $B4)</f>
        <v>60.21</v>
      </c>
      <c r="G4" s="318" cm="1">
        <f t="array" aca="1" ref="G4" ca="1">INDIRECT("'"&amp;$A4&amp;"'!"&amp; "J" &amp; $B4)</f>
        <v>60.12</v>
      </c>
      <c r="H4" s="318" cm="1">
        <f t="array" aca="1" ref="H4" ca="1">INDIRECT("'"&amp;$A4&amp;"'!"&amp; "K" &amp; $B4)</f>
        <v>60.05</v>
      </c>
      <c r="I4" s="318" cm="1">
        <f t="array" aca="1" ref="I4" ca="1">INDIRECT("'"&amp;$A4&amp;"'!"&amp; "L" &amp; $B4)</f>
        <v>60.13</v>
      </c>
      <c r="J4" s="318" cm="1">
        <f t="array" aca="1" ref="J4" ca="1">INDIRECT("'"&amp;$A4&amp;"'!"&amp; "M" &amp; $B4)</f>
        <v>60.38</v>
      </c>
      <c r="K4" s="318" cm="1">
        <f t="array" aca="1" ref="K4" ca="1">INDIRECT("'"&amp;$A4&amp;"'!"&amp; "N" &amp; $B4)</f>
        <v>60.19</v>
      </c>
      <c r="L4" s="318" cm="1">
        <f t="array" aca="1" ref="L4" ca="1">INDIRECT("'"&amp;$A4&amp;"'!"&amp; "O" &amp; $B4)</f>
        <v>60.16</v>
      </c>
      <c r="M4" s="318" cm="1">
        <f t="array" aca="1" ref="M4" ca="1">INDIRECT("'"&amp;$A4&amp;"'!"&amp; "P" &amp; $B4)</f>
        <v>60.14</v>
      </c>
      <c r="N4" s="318" cm="1">
        <f t="array" aca="1" ref="N4" ca="1">INDIRECT("'"&amp;$A4&amp;"'!"&amp; "Q" &amp; $B4)</f>
        <v>60.22</v>
      </c>
      <c r="O4" s="318" cm="1">
        <f t="array" aca="1" ref="O4" ca="1">INDIRECT("'"&amp;$A4&amp;"'!"&amp; "R" &amp; $B4)</f>
        <v>60.07</v>
      </c>
      <c r="P4" s="318" cm="1">
        <f t="array" aca="1" ref="P4" ca="1">INDIRECT("'"&amp;$A4&amp;"'!"&amp; "S" &amp; $B4)</f>
        <v>60.13</v>
      </c>
      <c r="Q4" s="318" cm="1">
        <f t="array" aca="1" ref="Q4" ca="1">INDIRECT("'"&amp;$A4&amp;"'!"&amp; "T" &amp; $B4)</f>
        <v>60.17</v>
      </c>
      <c r="R4" s="318" cm="1">
        <f t="array" aca="1" ref="R4" ca="1">INDIRECT("'"&amp;$A4&amp;"'!"&amp; "U" &amp; $B4)</f>
        <v>60.16</v>
      </c>
      <c r="S4" s="318" cm="1">
        <f t="array" aca="1" ref="S4" ca="1">INDIRECT("'"&amp;$A4&amp;"'!"&amp; "V" &amp; $B4)</f>
        <v>60.18</v>
      </c>
      <c r="T4" s="318" cm="1">
        <f t="array" aca="1" ref="T4" ca="1">INDIRECT("'"&amp;$A4&amp;"'!"&amp; "W" &amp; $B4)</f>
        <v>60.24</v>
      </c>
      <c r="U4" s="318" cm="1">
        <f t="array" aca="1" ref="U4" ca="1">INDIRECT("'"&amp;$A4&amp;"'!"&amp; "X" &amp; $B4)</f>
        <v>60.21</v>
      </c>
      <c r="V4" s="318" cm="1">
        <f t="array" aca="1" ref="V4" ca="1">INDIRECT("'"&amp;$A4&amp;"'!"&amp; "Y" &amp; $B4)</f>
        <v>60.2</v>
      </c>
      <c r="W4" s="318" cm="1">
        <f t="array" aca="1" ref="W4" ca="1">INDIRECT("'"&amp;$A4&amp;"'!"&amp; "Z" &amp; $B4)</f>
        <v>60.16</v>
      </c>
      <c r="X4" s="318" cm="1">
        <f t="array" aca="1" ref="X4" ca="1">INDIRECT("'"&amp;$A4&amp;"'!"&amp; "AA" &amp; $B4)</f>
        <v>60.13</v>
      </c>
      <c r="Y4" s="318" cm="1">
        <f t="array" aca="1" ref="Y4" ca="1">INDIRECT("'"&amp;$A4&amp;"'!"&amp; "AB" &amp; $B4)</f>
        <v>60.13</v>
      </c>
      <c r="Z4" s="318" cm="1">
        <f t="array" aca="1" ref="Z4" ca="1">INDIRECT("'"&amp;$A4&amp;"'!"&amp; "AC" &amp; $B4)</f>
        <v>60.13</v>
      </c>
    </row>
    <row r="5" spans="1:27">
      <c r="A5" s="79">
        <v>3</v>
      </c>
      <c r="B5" s="79">
        <v>110</v>
      </c>
      <c r="C5" s="318" cm="1">
        <f t="array" aca="1" ref="C5" ca="1">INDIRECT("'"&amp;$A5&amp;"'!"&amp; "F" &amp; $B5)</f>
        <v>60.08</v>
      </c>
      <c r="D5" s="318" cm="1">
        <f t="array" aca="1" ref="D5" ca="1">INDIRECT("'"&amp;$A5&amp;"'!"&amp; "g" &amp; $B5)</f>
        <v>60.17</v>
      </c>
      <c r="E5" s="318" cm="1">
        <f t="array" aca="1" ref="E5" ca="1">INDIRECT("'"&amp;$A5&amp;"'!"&amp; "H" &amp; $B5)</f>
        <v>60.15</v>
      </c>
      <c r="F5" s="318" cm="1">
        <f t="array" aca="1" ref="F5" ca="1">INDIRECT("'"&amp;$A5&amp;"'!"&amp; "I" &amp; $B5)</f>
        <v>60.12</v>
      </c>
      <c r="G5" s="318" cm="1">
        <f t="array" aca="1" ref="G5" ca="1">INDIRECT("'"&amp;$A5&amp;"'!"&amp; "J" &amp; $B5)</f>
        <v>60.1</v>
      </c>
      <c r="H5" s="318" cm="1">
        <f t="array" aca="1" ref="H5" ca="1">INDIRECT("'"&amp;$A5&amp;"'!"&amp; "K" &amp; $B5)</f>
        <v>60.1</v>
      </c>
      <c r="I5" s="318" cm="1">
        <f t="array" aca="1" ref="I5" ca="1">INDIRECT("'"&amp;$A5&amp;"'!"&amp; "L" &amp; $B5)</f>
        <v>60.18</v>
      </c>
      <c r="J5" s="318" cm="1">
        <f t="array" aca="1" ref="J5" ca="1">INDIRECT("'"&amp;$A5&amp;"'!"&amp; "M" &amp; $B5)</f>
        <v>60.24</v>
      </c>
      <c r="K5" s="318" cm="1">
        <f t="array" aca="1" ref="K5" ca="1">INDIRECT("'"&amp;$A5&amp;"'!"&amp; "N" &amp; $B5)</f>
        <v>60.08</v>
      </c>
      <c r="L5" s="318" cm="1">
        <f t="array" aca="1" ref="L5" ca="1">INDIRECT("'"&amp;$A5&amp;"'!"&amp; "O" &amp; $B5)</f>
        <v>60.04</v>
      </c>
      <c r="M5" s="318" cm="1">
        <f t="array" aca="1" ref="M5" ca="1">INDIRECT("'"&amp;$A5&amp;"'!"&amp; "P" &amp; $B5)</f>
        <v>60.11</v>
      </c>
      <c r="N5" s="318" cm="1">
        <f t="array" aca="1" ref="N5" ca="1">INDIRECT("'"&amp;$A5&amp;"'!"&amp; "Q" &amp; $B5)</f>
        <v>60.13</v>
      </c>
      <c r="O5" s="318" cm="1">
        <f t="array" aca="1" ref="O5" ca="1">INDIRECT("'"&amp;$A5&amp;"'!"&amp; "R" &amp; $B5)</f>
        <v>60.18</v>
      </c>
      <c r="P5" s="318" cm="1">
        <f t="array" aca="1" ref="P5" ca="1">INDIRECT("'"&amp;$A5&amp;"'!"&amp; "S" &amp; $B5)</f>
        <v>60.04</v>
      </c>
      <c r="Q5" s="318" cm="1">
        <f t="array" aca="1" ref="Q5" ca="1">INDIRECT("'"&amp;$A5&amp;"'!"&amp; "T" &amp; $B5)</f>
        <v>60.14</v>
      </c>
      <c r="R5" s="318" cm="1">
        <f t="array" aca="1" ref="R5" ca="1">INDIRECT("'"&amp;$A5&amp;"'!"&amp; "U" &amp; $B5)</f>
        <v>59.98</v>
      </c>
      <c r="S5" s="318" cm="1">
        <f t="array" aca="1" ref="S5" ca="1">INDIRECT("'"&amp;$A5&amp;"'!"&amp; "V" &amp; $B5)</f>
        <v>60.14</v>
      </c>
      <c r="T5" s="318" cm="1">
        <f t="array" aca="1" ref="T5" ca="1">INDIRECT("'"&amp;$A5&amp;"'!"&amp; "W" &amp; $B5)</f>
        <v>60.21</v>
      </c>
      <c r="U5" s="318" cm="1">
        <f t="array" aca="1" ref="U5" ca="1">INDIRECT("'"&amp;$A5&amp;"'!"&amp; "X" &amp; $B5)</f>
        <v>60.17</v>
      </c>
      <c r="V5" s="318" cm="1">
        <f t="array" aca="1" ref="V5" ca="1">INDIRECT("'"&amp;$A5&amp;"'!"&amp; "Y" &amp; $B5)</f>
        <v>60.25</v>
      </c>
      <c r="W5" s="318" cm="1">
        <f t="array" aca="1" ref="W5" ca="1">INDIRECT("'"&amp;$A5&amp;"'!"&amp; "Z" &amp; $B5)</f>
        <v>60.16</v>
      </c>
      <c r="X5" s="318" cm="1">
        <f t="array" aca="1" ref="X5" ca="1">INDIRECT("'"&amp;$A5&amp;"'!"&amp; "AA" &amp; $B5)</f>
        <v>60.13</v>
      </c>
      <c r="Y5" s="318" cm="1">
        <f t="array" aca="1" ref="Y5" ca="1">INDIRECT("'"&amp;$A5&amp;"'!"&amp; "AB" &amp; $B5)</f>
        <v>60.14</v>
      </c>
      <c r="Z5" s="318" cm="1">
        <f t="array" aca="1" ref="Z5" ca="1">INDIRECT("'"&amp;$A5&amp;"'!"&amp; "AC" &amp; $B5)</f>
        <v>60.16</v>
      </c>
    </row>
    <row r="6" spans="1:27">
      <c r="A6" s="79">
        <v>4</v>
      </c>
      <c r="B6" s="79">
        <v>110</v>
      </c>
      <c r="C6" s="318" cm="1">
        <f t="array" aca="1" ref="C6" ca="1">INDIRECT("'"&amp;$A6&amp;"'!"&amp; "F" &amp; $B6)</f>
        <v>60.15</v>
      </c>
      <c r="D6" s="318" cm="1">
        <f t="array" aca="1" ref="D6" ca="1">INDIRECT("'"&amp;$A6&amp;"'!"&amp; "g" &amp; $B6)</f>
        <v>60.11</v>
      </c>
      <c r="E6" s="318" cm="1">
        <f t="array" aca="1" ref="E6" ca="1">INDIRECT("'"&amp;$A6&amp;"'!"&amp; "H" &amp; $B6)</f>
        <v>60.17</v>
      </c>
      <c r="F6" s="318" cm="1">
        <f t="array" aca="1" ref="F6" ca="1">INDIRECT("'"&amp;$A6&amp;"'!"&amp; "I" &amp; $B6)</f>
        <v>60.12</v>
      </c>
      <c r="G6" s="318" cm="1">
        <f t="array" aca="1" ref="G6" ca="1">INDIRECT("'"&amp;$A6&amp;"'!"&amp; "J" &amp; $B6)</f>
        <v>60.16</v>
      </c>
      <c r="H6" s="318" cm="1">
        <f t="array" aca="1" ref="H6" ca="1">INDIRECT("'"&amp;$A6&amp;"'!"&amp; "K" &amp; $B6)</f>
        <v>60.17</v>
      </c>
      <c r="I6" s="318" cm="1">
        <f t="array" aca="1" ref="I6" ca="1">INDIRECT("'"&amp;$A6&amp;"'!"&amp; "L" &amp; $B6)</f>
        <v>60.1</v>
      </c>
      <c r="J6" s="318" cm="1">
        <f t="array" aca="1" ref="J6" ca="1">INDIRECT("'"&amp;$A6&amp;"'!"&amp; "M" &amp; $B6)</f>
        <v>60.29</v>
      </c>
      <c r="K6" s="318" cm="1">
        <f t="array" aca="1" ref="K6" ca="1">INDIRECT("'"&amp;$A6&amp;"'!"&amp; "N" &amp; $B6)</f>
        <v>60.05</v>
      </c>
      <c r="L6" s="318" cm="1">
        <f t="array" aca="1" ref="L6" ca="1">INDIRECT("'"&amp;$A6&amp;"'!"&amp; "O" &amp; $B6)</f>
        <v>60.09</v>
      </c>
      <c r="M6" s="318" cm="1">
        <f t="array" aca="1" ref="M6" ca="1">INDIRECT("'"&amp;$A6&amp;"'!"&amp; "P" &amp; $B6)</f>
        <v>60.21</v>
      </c>
      <c r="N6" s="318" cm="1">
        <f t="array" aca="1" ref="N6" ca="1">INDIRECT("'"&amp;$A6&amp;"'!"&amp; "Q" &amp; $B6)</f>
        <v>60.34</v>
      </c>
      <c r="O6" s="318" cm="1">
        <f t="array" aca="1" ref="O6" ca="1">INDIRECT("'"&amp;$A6&amp;"'!"&amp; "R" &amp; $B6)</f>
        <v>60.24</v>
      </c>
      <c r="P6" s="318" cm="1">
        <f t="array" aca="1" ref="P6" ca="1">INDIRECT("'"&amp;$A6&amp;"'!"&amp; "S" &amp; $B6)</f>
        <v>60.23</v>
      </c>
      <c r="Q6" s="318" cm="1">
        <f t="array" aca="1" ref="Q6" ca="1">INDIRECT("'"&amp;$A6&amp;"'!"&amp; "T" &amp; $B6)</f>
        <v>60.25</v>
      </c>
      <c r="R6" s="318" cm="1">
        <f t="array" aca="1" ref="R6" ca="1">INDIRECT("'"&amp;$A6&amp;"'!"&amp; "U" &amp; $B6)</f>
        <v>60.04</v>
      </c>
      <c r="S6" s="318" cm="1">
        <f t="array" aca="1" ref="S6" ca="1">INDIRECT("'"&amp;$A6&amp;"'!"&amp; "V" &amp; $B6)</f>
        <v>60.01</v>
      </c>
      <c r="T6" s="318" cm="1">
        <f t="array" aca="1" ref="T6" ca="1">INDIRECT("'"&amp;$A6&amp;"'!"&amp; "W" &amp; $B6)</f>
        <v>60.21</v>
      </c>
      <c r="U6" s="318" cm="1">
        <f t="array" aca="1" ref="U6" ca="1">INDIRECT("'"&amp;$A6&amp;"'!"&amp; "X" &amp; $B6)</f>
        <v>60.19</v>
      </c>
      <c r="V6" s="318" cm="1">
        <f t="array" aca="1" ref="V6" ca="1">INDIRECT("'"&amp;$A6&amp;"'!"&amp; "Y" &amp; $B6)</f>
        <v>60.12</v>
      </c>
      <c r="W6" s="318" cm="1">
        <f t="array" aca="1" ref="W6" ca="1">INDIRECT("'"&amp;$A6&amp;"'!"&amp; "Z" &amp; $B6)</f>
        <v>60.16</v>
      </c>
      <c r="X6" s="318" cm="1">
        <f t="array" aca="1" ref="X6" ca="1">INDIRECT("'"&amp;$A6&amp;"'!"&amp; "AA" &amp; $B6)</f>
        <v>60.14</v>
      </c>
      <c r="Y6" s="318" cm="1">
        <f t="array" aca="1" ref="Y6" ca="1">INDIRECT("'"&amp;$A6&amp;"'!"&amp; "AB" &amp; $B6)</f>
        <v>60.23</v>
      </c>
      <c r="Z6" s="318" cm="1">
        <f t="array" aca="1" ref="Z6" ca="1">INDIRECT("'"&amp;$A6&amp;"'!"&amp; "AC" &amp; $B6)</f>
        <v>60.1</v>
      </c>
    </row>
    <row r="7" spans="1:27">
      <c r="A7" s="79">
        <v>5</v>
      </c>
      <c r="B7" s="79">
        <v>110</v>
      </c>
      <c r="C7" s="318" cm="1">
        <f t="array" aca="1" ref="C7" ca="1">INDIRECT("'"&amp;$A7&amp;"'!"&amp; "F" &amp; $B7)</f>
        <v>60.11</v>
      </c>
      <c r="D7" s="318" cm="1">
        <f t="array" aca="1" ref="D7" ca="1">INDIRECT("'"&amp;$A7&amp;"'!"&amp; "g" &amp; $B7)</f>
        <v>60.1</v>
      </c>
      <c r="E7" s="318" cm="1">
        <f t="array" aca="1" ref="E7" ca="1">INDIRECT("'"&amp;$A7&amp;"'!"&amp; "H" &amp; $B7)</f>
        <v>60.14</v>
      </c>
      <c r="F7" s="318" cm="1">
        <f t="array" aca="1" ref="F7" ca="1">INDIRECT("'"&amp;$A7&amp;"'!"&amp; "I" &amp; $B7)</f>
        <v>60.14</v>
      </c>
      <c r="G7" s="318" cm="1">
        <f t="array" aca="1" ref="G7" ca="1">INDIRECT("'"&amp;$A7&amp;"'!"&amp; "J" &amp; $B7)</f>
        <v>60.12</v>
      </c>
      <c r="H7" s="318" cm="1">
        <f t="array" aca="1" ref="H7" ca="1">INDIRECT("'"&amp;$A7&amp;"'!"&amp; "K" &amp; $B7)</f>
        <v>60.07</v>
      </c>
      <c r="I7" s="318" cm="1">
        <f t="array" aca="1" ref="I7" ca="1">INDIRECT("'"&amp;$A7&amp;"'!"&amp; "L" &amp; $B7)</f>
        <v>60.09</v>
      </c>
      <c r="J7" s="318" cm="1">
        <f t="array" aca="1" ref="J7" ca="1">INDIRECT("'"&amp;$A7&amp;"'!"&amp; "M" &amp; $B7)</f>
        <v>60.09</v>
      </c>
      <c r="K7" s="318" cm="1">
        <f t="array" aca="1" ref="K7" ca="1">INDIRECT("'"&amp;$A7&amp;"'!"&amp; "N" &amp; $B7)</f>
        <v>60.11</v>
      </c>
      <c r="L7" s="318" cm="1">
        <f t="array" aca="1" ref="L7" ca="1">INDIRECT("'"&amp;$A7&amp;"'!"&amp; "O" &amp; $B7)</f>
        <v>60.07</v>
      </c>
      <c r="M7" s="318" cm="1">
        <f t="array" aca="1" ref="M7" ca="1">INDIRECT("'"&amp;$A7&amp;"'!"&amp; "P" &amp; $B7)</f>
        <v>60.09</v>
      </c>
      <c r="N7" s="318" cm="1">
        <f t="array" aca="1" ref="N7" ca="1">INDIRECT("'"&amp;$A7&amp;"'!"&amp; "Q" &amp; $B7)</f>
        <v>60.15</v>
      </c>
      <c r="O7" s="318" cm="1">
        <f t="array" aca="1" ref="O7" ca="1">INDIRECT("'"&amp;$A7&amp;"'!"&amp; "R" &amp; $B7)</f>
        <v>60.16</v>
      </c>
      <c r="P7" s="318" cm="1">
        <f t="array" aca="1" ref="P7" ca="1">INDIRECT("'"&amp;$A7&amp;"'!"&amp; "S" &amp; $B7)</f>
        <v>60.18</v>
      </c>
      <c r="Q7" s="318" cm="1">
        <f t="array" aca="1" ref="Q7" ca="1">INDIRECT("'"&amp;$A7&amp;"'!"&amp; "T" &amp; $B7)</f>
        <v>60.12</v>
      </c>
      <c r="R7" s="318" cm="1">
        <f t="array" aca="1" ref="R7" ca="1">INDIRECT("'"&amp;$A7&amp;"'!"&amp; "U" &amp; $B7)</f>
        <v>60.17</v>
      </c>
      <c r="S7" s="318" cm="1">
        <f t="array" aca="1" ref="S7" ca="1">INDIRECT("'"&amp;$A7&amp;"'!"&amp; "V" &amp; $B7)</f>
        <v>60.07</v>
      </c>
      <c r="T7" s="318" cm="1">
        <f t="array" aca="1" ref="T7" ca="1">INDIRECT("'"&amp;$A7&amp;"'!"&amp; "W" &amp; $B7)</f>
        <v>60.37</v>
      </c>
      <c r="U7" s="318" cm="1">
        <f t="array" aca="1" ref="U7" ca="1">INDIRECT("'"&amp;$A7&amp;"'!"&amp; "X" &amp; $B7)</f>
        <v>60.19</v>
      </c>
      <c r="V7" s="318" cm="1">
        <f t="array" aca="1" ref="V7" ca="1">INDIRECT("'"&amp;$A7&amp;"'!"&amp; "Y" &amp; $B7)</f>
        <v>60.1</v>
      </c>
      <c r="W7" s="318" cm="1">
        <f t="array" aca="1" ref="W7" ca="1">INDIRECT("'"&amp;$A7&amp;"'!"&amp; "Z" &amp; $B7)</f>
        <v>60.17</v>
      </c>
      <c r="X7" s="318" cm="1">
        <f t="array" aca="1" ref="X7" ca="1">INDIRECT("'"&amp;$A7&amp;"'!"&amp; "AA" &amp; $B7)</f>
        <v>60.09</v>
      </c>
      <c r="Y7" s="318" cm="1">
        <f t="array" aca="1" ref="Y7" ca="1">INDIRECT("'"&amp;$A7&amp;"'!"&amp; "AB" &amp; $B7)</f>
        <v>60.19</v>
      </c>
      <c r="Z7" s="318" cm="1">
        <f t="array" aca="1" ref="Z7" ca="1">INDIRECT("'"&amp;$A7&amp;"'!"&amp; "AC" &amp; $B7)</f>
        <v>60.18</v>
      </c>
    </row>
    <row r="8" spans="1:27">
      <c r="A8" s="79">
        <v>6</v>
      </c>
      <c r="B8" s="79">
        <v>110</v>
      </c>
      <c r="C8" s="318" cm="1">
        <f t="array" aca="1" ref="C8" ca="1">INDIRECT("'"&amp;$A8&amp;"'!"&amp; "F" &amp; $B8)</f>
        <v>60.1</v>
      </c>
      <c r="D8" s="318" cm="1">
        <f t="array" aca="1" ref="D8" ca="1">INDIRECT("'"&amp;$A8&amp;"'!"&amp; "g" &amp; $B8)</f>
        <v>60.1</v>
      </c>
      <c r="E8" s="318" cm="1">
        <f t="array" aca="1" ref="E8" ca="1">INDIRECT("'"&amp;$A8&amp;"'!"&amp; "H" &amp; $B8)</f>
        <v>60.1</v>
      </c>
      <c r="F8" s="318" cm="1">
        <f t="array" aca="1" ref="F8" ca="1">INDIRECT("'"&amp;$A8&amp;"'!"&amp; "I" &amp; $B8)</f>
        <v>60.14</v>
      </c>
      <c r="G8" s="318" cm="1">
        <f t="array" aca="1" ref="G8" ca="1">INDIRECT("'"&amp;$A8&amp;"'!"&amp; "J" &amp; $B8)</f>
        <v>60.17</v>
      </c>
      <c r="H8" s="318" cm="1">
        <f t="array" aca="1" ref="H8" ca="1">INDIRECT("'"&amp;$A8&amp;"'!"&amp; "K" &amp; $B8)</f>
        <v>60.11</v>
      </c>
      <c r="I8" s="318" cm="1">
        <f t="array" aca="1" ref="I8" ca="1">INDIRECT("'"&amp;$A8&amp;"'!"&amp; "L" &amp; $B8)</f>
        <v>60.09</v>
      </c>
      <c r="J8" s="318" cm="1">
        <f t="array" aca="1" ref="J8" ca="1">INDIRECT("'"&amp;$A8&amp;"'!"&amp; "M" &amp; $B8)</f>
        <v>60.2</v>
      </c>
      <c r="K8" s="318" cm="1">
        <f t="array" aca="1" ref="K8" ca="1">INDIRECT("'"&amp;$A8&amp;"'!"&amp; "N" &amp; $B8)</f>
        <v>60.18</v>
      </c>
      <c r="L8" s="318" cm="1">
        <f t="array" aca="1" ref="L8" ca="1">INDIRECT("'"&amp;$A8&amp;"'!"&amp; "O" &amp; $B8)</f>
        <v>60.18</v>
      </c>
      <c r="M8" s="318" cm="1">
        <f t="array" aca="1" ref="M8" ca="1">INDIRECT("'"&amp;$A8&amp;"'!"&amp; "P" &amp; $B8)</f>
        <v>60.15</v>
      </c>
      <c r="N8" s="318" cm="1">
        <f t="array" aca="1" ref="N8" ca="1">INDIRECT("'"&amp;$A8&amp;"'!"&amp; "Q" &amp; $B8)</f>
        <v>60.21</v>
      </c>
      <c r="O8" s="318" cm="1">
        <f t="array" aca="1" ref="O8" ca="1">INDIRECT("'"&amp;$A8&amp;"'!"&amp; "R" &amp; $B8)</f>
        <v>60.15</v>
      </c>
      <c r="P8" s="318" cm="1">
        <f t="array" aca="1" ref="P8" ca="1">INDIRECT("'"&amp;$A8&amp;"'!"&amp; "S" &amp; $B8)</f>
        <v>60.17</v>
      </c>
      <c r="Q8" s="318" cm="1">
        <f t="array" aca="1" ref="Q8" ca="1">INDIRECT("'"&amp;$A8&amp;"'!"&amp; "T" &amp; $B8)</f>
        <v>60.15</v>
      </c>
      <c r="R8" s="318" cm="1">
        <f t="array" aca="1" ref="R8" ca="1">INDIRECT("'"&amp;$A8&amp;"'!"&amp; "U" &amp; $B8)</f>
        <v>60.13</v>
      </c>
      <c r="S8" s="318" cm="1">
        <f t="array" aca="1" ref="S8" ca="1">INDIRECT("'"&amp;$A8&amp;"'!"&amp; "V" &amp; $B8)</f>
        <v>60.2</v>
      </c>
      <c r="T8" s="318" cm="1">
        <f t="array" aca="1" ref="T8" ca="1">INDIRECT("'"&amp;$A8&amp;"'!"&amp; "W" &amp; $B8)</f>
        <v>60.13</v>
      </c>
      <c r="U8" s="318" cm="1">
        <f t="array" aca="1" ref="U8" ca="1">INDIRECT("'"&amp;$A8&amp;"'!"&amp; "X" &amp; $B8)</f>
        <v>60.13</v>
      </c>
      <c r="V8" s="318" cm="1">
        <f t="array" aca="1" ref="V8" ca="1">INDIRECT("'"&amp;$A8&amp;"'!"&amp; "Y" &amp; $B8)</f>
        <v>60.17</v>
      </c>
      <c r="W8" s="318" cm="1">
        <f t="array" aca="1" ref="W8" ca="1">INDIRECT("'"&amp;$A8&amp;"'!"&amp; "Z" &amp; $B8)</f>
        <v>60.14</v>
      </c>
      <c r="X8" s="318" cm="1">
        <f t="array" aca="1" ref="X8" ca="1">INDIRECT("'"&amp;$A8&amp;"'!"&amp; "AA" &amp; $B8)</f>
        <v>60.14</v>
      </c>
      <c r="Y8" s="318" cm="1">
        <f t="array" aca="1" ref="Y8" ca="1">INDIRECT("'"&amp;$A8&amp;"'!"&amp; "AB" &amp; $B8)</f>
        <v>60.18</v>
      </c>
      <c r="Z8" s="318" cm="1">
        <f t="array" aca="1" ref="Z8" ca="1">INDIRECT("'"&amp;$A8&amp;"'!"&amp; "AC" &amp; $B8)</f>
        <v>60.14</v>
      </c>
    </row>
    <row r="9" spans="1:27">
      <c r="A9" s="79">
        <v>7</v>
      </c>
      <c r="B9" s="79">
        <v>110</v>
      </c>
      <c r="C9" s="318" cm="1">
        <f t="array" aca="1" ref="C9" ca="1">INDIRECT("'"&amp;$A9&amp;"'!"&amp; "F" &amp; $B9)</f>
        <v>60.13</v>
      </c>
      <c r="D9" s="318" cm="1">
        <f t="array" aca="1" ref="D9" ca="1">INDIRECT("'"&amp;$A9&amp;"'!"&amp; "g" &amp; $B9)</f>
        <v>60.15</v>
      </c>
      <c r="E9" s="318" cm="1">
        <f t="array" aca="1" ref="E9" ca="1">INDIRECT("'"&amp;$A9&amp;"'!"&amp; "H" &amp; $B9)</f>
        <v>60.12</v>
      </c>
      <c r="F9" s="318" cm="1">
        <f t="array" aca="1" ref="F9" ca="1">INDIRECT("'"&amp;$A9&amp;"'!"&amp; "I" &amp; $B9)</f>
        <v>60.24</v>
      </c>
      <c r="G9" s="318" cm="1">
        <f t="array" aca="1" ref="G9" ca="1">INDIRECT("'"&amp;$A9&amp;"'!"&amp; "J" &amp; $B9)</f>
        <v>60.17</v>
      </c>
      <c r="H9" s="318" cm="1">
        <f t="array" aca="1" ref="H9" ca="1">INDIRECT("'"&amp;$A9&amp;"'!"&amp; "K" &amp; $B9)</f>
        <v>60.07</v>
      </c>
      <c r="I9" s="318" cm="1">
        <f t="array" aca="1" ref="I9" ca="1">INDIRECT("'"&amp;$A9&amp;"'!"&amp; "L" &amp; $B9)</f>
        <v>60.03</v>
      </c>
      <c r="J9" s="318" cm="1">
        <f t="array" aca="1" ref="J9" ca="1">INDIRECT("'"&amp;$A9&amp;"'!"&amp; "M" &amp; $B9)</f>
        <v>60.18</v>
      </c>
      <c r="K9" s="318" cm="1">
        <f t="array" aca="1" ref="K9" ca="1">INDIRECT("'"&amp;$A9&amp;"'!"&amp; "N" &amp; $B9)</f>
        <v>60.18</v>
      </c>
      <c r="L9" s="318" cm="1">
        <f t="array" aca="1" ref="L9" ca="1">INDIRECT("'"&amp;$A9&amp;"'!"&amp; "O" &amp; $B9)</f>
        <v>60.08</v>
      </c>
      <c r="M9" s="318" cm="1">
        <f t="array" aca="1" ref="M9" ca="1">INDIRECT("'"&amp;$A9&amp;"'!"&amp; "P" &amp; $B9)</f>
        <v>60.17</v>
      </c>
      <c r="N9" s="318" cm="1">
        <f t="array" aca="1" ref="N9" ca="1">INDIRECT("'"&amp;$A9&amp;"'!"&amp; "Q" &amp; $B9)</f>
        <v>60.15</v>
      </c>
      <c r="O9" s="318" cm="1">
        <f t="array" aca="1" ref="O9" ca="1">INDIRECT("'"&amp;$A9&amp;"'!"&amp; "R" &amp; $B9)</f>
        <v>60.2</v>
      </c>
      <c r="P9" s="318" cm="1">
        <f t="array" aca="1" ref="P9" ca="1">INDIRECT("'"&amp;$A9&amp;"'!"&amp; "S" &amp; $B9)</f>
        <v>60.16</v>
      </c>
      <c r="Q9" s="318" cm="1">
        <f t="array" aca="1" ref="Q9" ca="1">INDIRECT("'"&amp;$A9&amp;"'!"&amp; "T" &amp; $B9)</f>
        <v>60.16</v>
      </c>
      <c r="R9" s="318" cm="1">
        <f t="array" aca="1" ref="R9" ca="1">INDIRECT("'"&amp;$A9&amp;"'!"&amp; "U" &amp; $B9)</f>
        <v>60.3</v>
      </c>
      <c r="S9" s="318" cm="1">
        <f t="array" aca="1" ref="S9" ca="1">INDIRECT("'"&amp;$A9&amp;"'!"&amp; "V" &amp; $B9)</f>
        <v>60.2</v>
      </c>
      <c r="T9" s="318" cm="1">
        <f t="array" aca="1" ref="T9" ca="1">INDIRECT("'"&amp;$A9&amp;"'!"&amp; "W" &amp; $B9)</f>
        <v>60.3</v>
      </c>
      <c r="U9" s="318" cm="1">
        <f t="array" aca="1" ref="U9" ca="1">INDIRECT("'"&amp;$A9&amp;"'!"&amp; "X" &amp; $B9)</f>
        <v>60.2</v>
      </c>
      <c r="V9" s="318" cm="1">
        <f t="array" aca="1" ref="V9" ca="1">INDIRECT("'"&amp;$A9&amp;"'!"&amp; "Y" &amp; $B9)</f>
        <v>60.16</v>
      </c>
      <c r="W9" s="318" cm="1">
        <f t="array" aca="1" ref="W9" ca="1">INDIRECT("'"&amp;$A9&amp;"'!"&amp; "Z" &amp; $B9)</f>
        <v>60.38</v>
      </c>
      <c r="X9" s="318" cm="1">
        <f t="array" aca="1" ref="X9" ca="1">INDIRECT("'"&amp;$A9&amp;"'!"&amp; "AA" &amp; $B9)</f>
        <v>60.22</v>
      </c>
      <c r="Y9" s="318" cm="1">
        <f t="array" aca="1" ref="Y9" ca="1">INDIRECT("'"&amp;$A9&amp;"'!"&amp; "AB" &amp; $B9)</f>
        <v>60.06</v>
      </c>
      <c r="Z9" s="318" cm="1">
        <f t="array" aca="1" ref="Z9" ca="1">INDIRECT("'"&amp;$A9&amp;"'!"&amp; "AC" &amp; $B9)</f>
        <v>60.13</v>
      </c>
    </row>
    <row r="10" spans="1:27">
      <c r="A10" s="79">
        <v>8</v>
      </c>
      <c r="B10" s="79">
        <v>110</v>
      </c>
      <c r="C10" s="318" cm="1">
        <f t="array" aca="1" ref="C10" ca="1">INDIRECT("'"&amp;$A10&amp;"'!"&amp; "F" &amp; $B10)</f>
        <v>60.17</v>
      </c>
      <c r="D10" s="318" cm="1">
        <f t="array" aca="1" ref="D10" ca="1">INDIRECT("'"&amp;$A10&amp;"'!"&amp; "g" &amp; $B10)</f>
        <v>60.16</v>
      </c>
      <c r="E10" s="318" cm="1">
        <f t="array" aca="1" ref="E10" ca="1">INDIRECT("'"&amp;$A10&amp;"'!"&amp; "H" &amp; $B10)</f>
        <v>60.13</v>
      </c>
      <c r="F10" s="318" cm="1">
        <f t="array" aca="1" ref="F10" ca="1">INDIRECT("'"&amp;$A10&amp;"'!"&amp; "I" &amp; $B10)</f>
        <v>60.17</v>
      </c>
      <c r="G10" s="318" cm="1">
        <f t="array" aca="1" ref="G10" ca="1">INDIRECT("'"&amp;$A10&amp;"'!"&amp; "J" &amp; $B10)</f>
        <v>60.16</v>
      </c>
      <c r="H10" s="318" cm="1">
        <f t="array" aca="1" ref="H10" ca="1">INDIRECT("'"&amp;$A10&amp;"'!"&amp; "K" &amp; $B10)</f>
        <v>60.1</v>
      </c>
      <c r="I10" s="318" cm="1">
        <f t="array" aca="1" ref="I10" ca="1">INDIRECT("'"&amp;$A10&amp;"'!"&amp; "L" &amp; $B10)</f>
        <v>60.15</v>
      </c>
      <c r="J10" s="318" cm="1">
        <f t="array" aca="1" ref="J10" ca="1">INDIRECT("'"&amp;$A10&amp;"'!"&amp; "M" &amp; $B10)</f>
        <v>60.15</v>
      </c>
      <c r="K10" s="318" cm="1">
        <f t="array" aca="1" ref="K10" ca="1">INDIRECT("'"&amp;$A10&amp;"'!"&amp; "N" &amp; $B10)</f>
        <v>60.16</v>
      </c>
      <c r="L10" s="318" cm="1">
        <f t="array" aca="1" ref="L10" ca="1">INDIRECT("'"&amp;$A10&amp;"'!"&amp; "O" &amp; $B10)</f>
        <v>60.11</v>
      </c>
      <c r="M10" s="318" cm="1">
        <f t="array" aca="1" ref="M10" ca="1">INDIRECT("'"&amp;$A10&amp;"'!"&amp; "P" &amp; $B10)</f>
        <v>60.08</v>
      </c>
      <c r="N10" s="318" cm="1">
        <f t="array" aca="1" ref="N10" ca="1">INDIRECT("'"&amp;$A10&amp;"'!"&amp; "Q" &amp; $B10)</f>
        <v>60.18</v>
      </c>
      <c r="O10" s="318" cm="1">
        <f t="array" aca="1" ref="O10" ca="1">INDIRECT("'"&amp;$A10&amp;"'!"&amp; "R" &amp; $B10)</f>
        <v>60.14</v>
      </c>
      <c r="P10" s="318" cm="1">
        <f t="array" aca="1" ref="P10" ca="1">INDIRECT("'"&amp;$A10&amp;"'!"&amp; "S" &amp; $B10)</f>
        <v>60.12</v>
      </c>
      <c r="Q10" s="318" cm="1">
        <f t="array" aca="1" ref="Q10" ca="1">INDIRECT("'"&amp;$A10&amp;"'!"&amp; "T" &amp; $B10)</f>
        <v>59.72</v>
      </c>
      <c r="R10" s="318" cm="1">
        <f t="array" aca="1" ref="R10" ca="1">INDIRECT("'"&amp;$A10&amp;"'!"&amp; "U" &amp; $B10)</f>
        <v>60.09</v>
      </c>
      <c r="S10" s="318" cm="1">
        <f t="array" aca="1" ref="S10" ca="1">INDIRECT("'"&amp;$A10&amp;"'!"&amp; "V" &amp; $B10)</f>
        <v>60.12</v>
      </c>
      <c r="T10" s="318" cm="1">
        <f t="array" aca="1" ref="T10" ca="1">INDIRECT("'"&amp;$A10&amp;"'!"&amp; "W" &amp; $B10)</f>
        <v>60.08</v>
      </c>
      <c r="U10" s="318" cm="1">
        <f t="array" aca="1" ref="U10" ca="1">INDIRECT("'"&amp;$A10&amp;"'!"&amp; "X" &amp; $B10)</f>
        <v>60.13</v>
      </c>
      <c r="V10" s="318" cm="1">
        <f t="array" aca="1" ref="V10" ca="1">INDIRECT("'"&amp;$A10&amp;"'!"&amp; "Y" &amp; $B10)</f>
        <v>60.19</v>
      </c>
      <c r="W10" s="318" cm="1">
        <f t="array" aca="1" ref="W10" ca="1">INDIRECT("'"&amp;$A10&amp;"'!"&amp; "Z" &amp; $B10)</f>
        <v>60.25</v>
      </c>
      <c r="X10" s="318" cm="1">
        <f t="array" aca="1" ref="X10" ca="1">INDIRECT("'"&amp;$A10&amp;"'!"&amp; "AA" &amp; $B10)</f>
        <v>60.06</v>
      </c>
      <c r="Y10" s="318" cm="1">
        <f t="array" aca="1" ref="Y10" ca="1">INDIRECT("'"&amp;$A10&amp;"'!"&amp; "AB" &amp; $B10)</f>
        <v>60.17</v>
      </c>
      <c r="Z10" s="318" cm="1">
        <f t="array" aca="1" ref="Z10" ca="1">INDIRECT("'"&amp;$A10&amp;"'!"&amp; "AC" &amp; $B10)</f>
        <v>60.26</v>
      </c>
    </row>
    <row r="11" spans="1:27">
      <c r="A11" s="79">
        <v>9</v>
      </c>
      <c r="B11" s="79">
        <v>111</v>
      </c>
      <c r="C11" s="318" cm="1">
        <f t="array" aca="1" ref="C11" ca="1">INDIRECT("'"&amp;$A11&amp;"'!"&amp; "F" &amp; $B11)</f>
        <v>60.16</v>
      </c>
      <c r="D11" s="318" cm="1">
        <f t="array" aca="1" ref="D11" ca="1">INDIRECT("'"&amp;$A11&amp;"'!"&amp; "g" &amp; $B11)</f>
        <v>60.53</v>
      </c>
      <c r="E11" s="318" cm="1">
        <f t="array" aca="1" ref="E11" ca="1">INDIRECT("'"&amp;$A11&amp;"'!"&amp; "H" &amp; $B11)</f>
        <v>60.07</v>
      </c>
      <c r="F11" s="318" cm="1">
        <f t="array" aca="1" ref="F11" ca="1">INDIRECT("'"&amp;$A11&amp;"'!"&amp; "I" &amp; $B11)</f>
        <v>60.21</v>
      </c>
      <c r="G11" s="318" cm="1">
        <f t="array" aca="1" ref="G11" ca="1">INDIRECT("'"&amp;$A11&amp;"'!"&amp; "J" &amp; $B11)</f>
        <v>60.09</v>
      </c>
      <c r="H11" s="318" cm="1">
        <f t="array" aca="1" ref="H11" ca="1">INDIRECT("'"&amp;$A11&amp;"'!"&amp; "K" &amp; $B11)</f>
        <v>60.13</v>
      </c>
      <c r="I11" s="318" cm="1">
        <f t="array" aca="1" ref="I11" ca="1">INDIRECT("'"&amp;$A11&amp;"'!"&amp; "L" &amp; $B11)</f>
        <v>60.23</v>
      </c>
      <c r="J11" s="318" cm="1">
        <f t="array" aca="1" ref="J11" ca="1">INDIRECT("'"&amp;$A11&amp;"'!"&amp; "M" &amp; $B11)</f>
        <v>60.25</v>
      </c>
      <c r="K11" s="318" cm="1">
        <f t="array" aca="1" ref="K11" ca="1">INDIRECT("'"&amp;$A11&amp;"'!"&amp; "N" &amp; $B11)</f>
        <v>60.08</v>
      </c>
      <c r="L11" s="318" cm="1">
        <f t="array" aca="1" ref="L11" ca="1">INDIRECT("'"&amp;$A11&amp;"'!"&amp; "O" &amp; $B11)</f>
        <v>60.15</v>
      </c>
      <c r="M11" s="318" cm="1">
        <f t="array" aca="1" ref="M11" ca="1">INDIRECT("'"&amp;$A11&amp;"'!"&amp; "P" &amp; $B11)</f>
        <v>60.14</v>
      </c>
      <c r="N11" s="318" cm="1">
        <f t="array" aca="1" ref="N11" ca="1">INDIRECT("'"&amp;$A11&amp;"'!"&amp; "Q" &amp; $B11)</f>
        <v>60.11</v>
      </c>
      <c r="O11" s="318" cm="1">
        <f t="array" aca="1" ref="O11" ca="1">INDIRECT("'"&amp;$A11&amp;"'!"&amp; "R" &amp; $B11)</f>
        <v>60.12</v>
      </c>
      <c r="P11" s="318" cm="1">
        <f t="array" aca="1" ref="P11" ca="1">INDIRECT("'"&amp;$A11&amp;"'!"&amp; "S" &amp; $B11)</f>
        <v>60.23</v>
      </c>
      <c r="Q11" s="318" cm="1">
        <f t="array" aca="1" ref="Q11" ca="1">INDIRECT("'"&amp;$A11&amp;"'!"&amp; "T" &amp; $B11)</f>
        <v>60.09</v>
      </c>
      <c r="R11" s="318" cm="1">
        <f t="array" aca="1" ref="R11" ca="1">INDIRECT("'"&amp;$A11&amp;"'!"&amp; "U" &amp; $B11)</f>
        <v>60.26</v>
      </c>
      <c r="S11" s="318" cm="1">
        <f t="array" aca="1" ref="S11" ca="1">INDIRECT("'"&amp;$A11&amp;"'!"&amp; "V" &amp; $B11)</f>
        <v>60.54</v>
      </c>
      <c r="T11" s="318" cm="1">
        <f t="array" aca="1" ref="T11" ca="1">INDIRECT("'"&amp;$A11&amp;"'!"&amp; "W" &amp; $B11)</f>
        <v>60.28</v>
      </c>
      <c r="U11" s="318" cm="1">
        <f t="array" aca="1" ref="U11" ca="1">INDIRECT("'"&amp;$A11&amp;"'!"&amp; "X" &amp; $B11)</f>
        <v>60.08</v>
      </c>
      <c r="V11" s="318" cm="1">
        <f t="array" aca="1" ref="V11" ca="1">INDIRECT("'"&amp;$A11&amp;"'!"&amp; "Y" &amp; $B11)</f>
        <v>60.16</v>
      </c>
      <c r="W11" s="318" cm="1">
        <f t="array" aca="1" ref="W11" ca="1">INDIRECT("'"&amp;$A11&amp;"'!"&amp; "Z" &amp; $B11)</f>
        <v>60.22</v>
      </c>
      <c r="X11" s="318" cm="1">
        <f t="array" aca="1" ref="X11" ca="1">INDIRECT("'"&amp;$A11&amp;"'!"&amp; "AA" &amp; $B11)</f>
        <v>60.09</v>
      </c>
      <c r="Y11" s="318" cm="1">
        <f t="array" aca="1" ref="Y11" ca="1">INDIRECT("'"&amp;$A11&amp;"'!"&amp; "AB" &amp; $B11)</f>
        <v>60.09</v>
      </c>
      <c r="Z11" s="318" cm="1">
        <f t="array" aca="1" ref="Z11" ca="1">INDIRECT("'"&amp;$A11&amp;"'!"&amp; "AC" &amp; $B11)</f>
        <v>60.27</v>
      </c>
    </row>
    <row r="12" spans="1:27">
      <c r="A12" s="79">
        <v>10</v>
      </c>
      <c r="B12" s="79">
        <v>111</v>
      </c>
      <c r="C12" s="318" cm="1">
        <f t="array" aca="1" ref="C12" ca="1">INDIRECT("'"&amp;$A12&amp;"'!"&amp; "F" &amp; $B12)</f>
        <v>60.2</v>
      </c>
      <c r="D12" s="318" cm="1">
        <f t="array" aca="1" ref="D12" ca="1">INDIRECT("'"&amp;$A12&amp;"'!"&amp; "g" &amp; $B12)</f>
        <v>60.12</v>
      </c>
      <c r="E12" s="318" cm="1">
        <f t="array" aca="1" ref="E12" ca="1">INDIRECT("'"&amp;$A12&amp;"'!"&amp; "H" &amp; $B12)</f>
        <v>60.11</v>
      </c>
      <c r="F12" s="318" cm="1">
        <f t="array" aca="1" ref="F12" ca="1">INDIRECT("'"&amp;$A12&amp;"'!"&amp; "I" &amp; $B12)</f>
        <v>60.12</v>
      </c>
      <c r="G12" s="318" cm="1">
        <f t="array" aca="1" ref="G12" ca="1">INDIRECT("'"&amp;$A12&amp;"'!"&amp; "J" &amp; $B12)</f>
        <v>60.25</v>
      </c>
      <c r="H12" s="318" cm="1">
        <f t="array" aca="1" ref="H12" ca="1">INDIRECT("'"&amp;$A12&amp;"'!"&amp; "K" &amp; $B12)</f>
        <v>60.12</v>
      </c>
      <c r="I12" s="318" cm="1">
        <f t="array" aca="1" ref="I12" ca="1">INDIRECT("'"&amp;$A12&amp;"'!"&amp; "L" &amp; $B12)</f>
        <v>60.02</v>
      </c>
      <c r="J12" s="318" cm="1">
        <f t="array" aca="1" ref="J12" ca="1">INDIRECT("'"&amp;$A12&amp;"'!"&amp; "M" &amp; $B12)</f>
        <v>60.11</v>
      </c>
      <c r="K12" s="318" cm="1">
        <f t="array" aca="1" ref="K12" ca="1">INDIRECT("'"&amp;$A12&amp;"'!"&amp; "N" &amp; $B12)</f>
        <v>60.12</v>
      </c>
      <c r="L12" s="318" cm="1">
        <f t="array" aca="1" ref="L12" ca="1">INDIRECT("'"&amp;$A12&amp;"'!"&amp; "O" &amp; $B12)</f>
        <v>60.06</v>
      </c>
      <c r="M12" s="318" cm="1">
        <f t="array" aca="1" ref="M12" ca="1">INDIRECT("'"&amp;$A12&amp;"'!"&amp; "P" &amp; $B12)</f>
        <v>60.15</v>
      </c>
      <c r="N12" s="318" cm="1">
        <f t="array" aca="1" ref="N12" ca="1">INDIRECT("'"&amp;$A12&amp;"'!"&amp; "Q" &amp; $B12)</f>
        <v>60.13</v>
      </c>
      <c r="O12" s="318" cm="1">
        <f t="array" aca="1" ref="O12" ca="1">INDIRECT("'"&amp;$A12&amp;"'!"&amp; "R" &amp; $B12)</f>
        <v>60.19</v>
      </c>
      <c r="P12" s="318" cm="1">
        <f t="array" aca="1" ref="P12" ca="1">INDIRECT("'"&amp;$A12&amp;"'!"&amp; "S" &amp; $B12)</f>
        <v>60.13</v>
      </c>
      <c r="Q12" s="318" cm="1">
        <f t="array" aca="1" ref="Q12" ca="1">INDIRECT("'"&amp;$A12&amp;"'!"&amp; "T" &amp; $B12)</f>
        <v>60.15</v>
      </c>
      <c r="R12" s="318" cm="1">
        <f t="array" aca="1" ref="R12" ca="1">INDIRECT("'"&amp;$A12&amp;"'!"&amp; "U" &amp; $B12)</f>
        <v>60.15</v>
      </c>
      <c r="S12" s="318" cm="1">
        <f t="array" aca="1" ref="S12" ca="1">INDIRECT("'"&amp;$A12&amp;"'!"&amp; "V" &amp; $B12)</f>
        <v>60.14</v>
      </c>
      <c r="T12" s="318" cm="1">
        <f t="array" aca="1" ref="T12" ca="1">INDIRECT("'"&amp;$A12&amp;"'!"&amp; "W" &amp; $B12)</f>
        <v>60.19</v>
      </c>
      <c r="U12" s="318" cm="1">
        <f t="array" aca="1" ref="U12" ca="1">INDIRECT("'"&amp;$A12&amp;"'!"&amp; "X" &amp; $B12)</f>
        <v>60.13</v>
      </c>
      <c r="V12" s="318" cm="1">
        <f t="array" aca="1" ref="V12" ca="1">INDIRECT("'"&amp;$A12&amp;"'!"&amp; "Y" &amp; $B12)</f>
        <v>60.12</v>
      </c>
      <c r="W12" s="318" cm="1">
        <f t="array" aca="1" ref="W12" ca="1">INDIRECT("'"&amp;$A12&amp;"'!"&amp; "Z" &amp; $B12)</f>
        <v>60.11</v>
      </c>
      <c r="X12" s="318" cm="1">
        <f t="array" aca="1" ref="X12" ca="1">INDIRECT("'"&amp;$A12&amp;"'!"&amp; "AA" &amp; $B12)</f>
        <v>60.26</v>
      </c>
      <c r="Y12" s="318" cm="1">
        <f t="array" aca="1" ref="Y12" ca="1">INDIRECT("'"&amp;$A12&amp;"'!"&amp; "AB" &amp; $B12)</f>
        <v>60.21</v>
      </c>
      <c r="Z12" s="318" cm="1">
        <f t="array" aca="1" ref="Z12" ca="1">INDIRECT("'"&amp;$A12&amp;"'!"&amp; "AC" &amp; $B12)</f>
        <v>60.13</v>
      </c>
    </row>
    <row r="13" spans="1:27">
      <c r="A13" s="79">
        <v>11</v>
      </c>
      <c r="B13" s="79">
        <v>111</v>
      </c>
      <c r="C13" s="318" cm="1">
        <f t="array" aca="1" ref="C13" ca="1">INDIRECT("'"&amp;$A13&amp;"'!"&amp; "F" &amp; $B13)</f>
        <v>60.11</v>
      </c>
      <c r="D13" s="318" cm="1">
        <f t="array" aca="1" ref="D13" ca="1">INDIRECT("'"&amp;$A13&amp;"'!"&amp; "g" &amp; $B13)</f>
        <v>60.16</v>
      </c>
      <c r="E13" s="318" cm="1">
        <f t="array" aca="1" ref="E13" ca="1">INDIRECT("'"&amp;$A13&amp;"'!"&amp; "H" &amp; $B13)</f>
        <v>60.16</v>
      </c>
      <c r="F13" s="318" cm="1">
        <f t="array" aca="1" ref="F13" ca="1">INDIRECT("'"&amp;$A13&amp;"'!"&amp; "I" &amp; $B13)</f>
        <v>60.07</v>
      </c>
      <c r="G13" s="318" cm="1">
        <f t="array" aca="1" ref="G13" ca="1">INDIRECT("'"&amp;$A13&amp;"'!"&amp; "J" &amp; $B13)</f>
        <v>60.19</v>
      </c>
      <c r="H13" s="318" cm="1">
        <f t="array" aca="1" ref="H13" ca="1">INDIRECT("'"&amp;$A13&amp;"'!"&amp; "K" &amp; $B13)</f>
        <v>60.13</v>
      </c>
      <c r="I13" s="318" cm="1">
        <f t="array" aca="1" ref="I13" ca="1">INDIRECT("'"&amp;$A13&amp;"'!"&amp; "L" &amp; $B13)</f>
        <v>60.14</v>
      </c>
      <c r="J13" s="318" cm="1">
        <f t="array" aca="1" ref="J13" ca="1">INDIRECT("'"&amp;$A13&amp;"'!"&amp; "M" &amp; $B13)</f>
        <v>60.22</v>
      </c>
      <c r="K13" s="318" cm="1">
        <f t="array" aca="1" ref="K13" ca="1">INDIRECT("'"&amp;$A13&amp;"'!"&amp; "N" &amp; $B13)</f>
        <v>60.23</v>
      </c>
      <c r="L13" s="318" cm="1">
        <f t="array" aca="1" ref="L13" ca="1">INDIRECT("'"&amp;$A13&amp;"'!"&amp; "O" &amp; $B13)</f>
        <v>60.25</v>
      </c>
      <c r="M13" s="318" cm="1">
        <f t="array" aca="1" ref="M13" ca="1">INDIRECT("'"&amp;$A13&amp;"'!"&amp; "P" &amp; $B13)</f>
        <v>60.07</v>
      </c>
      <c r="N13" s="318" cm="1">
        <f t="array" aca="1" ref="N13" ca="1">INDIRECT("'"&amp;$A13&amp;"'!"&amp; "Q" &amp; $B13)</f>
        <v>60.12</v>
      </c>
      <c r="O13" s="318" cm="1">
        <f t="array" aca="1" ref="O13" ca="1">INDIRECT("'"&amp;$A13&amp;"'!"&amp; "R" &amp; $B13)</f>
        <v>60.15</v>
      </c>
      <c r="P13" s="318" cm="1">
        <f t="array" aca="1" ref="P13" ca="1">INDIRECT("'"&amp;$A13&amp;"'!"&amp; "S" &amp; $B13)</f>
        <v>60.12</v>
      </c>
      <c r="Q13" s="318" cm="1">
        <f t="array" aca="1" ref="Q13" ca="1">INDIRECT("'"&amp;$A13&amp;"'!"&amp; "T" &amp; $B13)</f>
        <v>60.16</v>
      </c>
      <c r="R13" s="318" cm="1">
        <f t="array" aca="1" ref="R13" ca="1">INDIRECT("'"&amp;$A13&amp;"'!"&amp; "U" &amp; $B13)</f>
        <v>60.23</v>
      </c>
      <c r="S13" s="318" cm="1">
        <f t="array" aca="1" ref="S13" ca="1">INDIRECT("'"&amp;$A13&amp;"'!"&amp; "V" &amp; $B13)</f>
        <v>60.13</v>
      </c>
      <c r="T13" s="318" cm="1">
        <f t="array" aca="1" ref="T13" ca="1">INDIRECT("'"&amp;$A13&amp;"'!"&amp; "W" &amp; $B13)</f>
        <v>60.37</v>
      </c>
      <c r="U13" s="318" cm="1">
        <f t="array" aca="1" ref="U13" ca="1">INDIRECT("'"&amp;$A13&amp;"'!"&amp; "X" &amp; $B13)</f>
        <v>60.06</v>
      </c>
      <c r="V13" s="318" cm="1">
        <f t="array" aca="1" ref="V13" ca="1">INDIRECT("'"&amp;$A13&amp;"'!"&amp; "Y" &amp; $B13)</f>
        <v>60.58</v>
      </c>
      <c r="W13" s="318" cm="1">
        <f t="array" aca="1" ref="W13" ca="1">INDIRECT("'"&amp;$A13&amp;"'!"&amp; "Z" &amp; $B13)</f>
        <v>60.3</v>
      </c>
      <c r="X13" s="318" cm="1">
        <f t="array" aca="1" ref="X13" ca="1">INDIRECT("'"&amp;$A13&amp;"'!"&amp; "AA" &amp; $B13)</f>
        <v>60.23</v>
      </c>
      <c r="Y13" s="318" cm="1">
        <f t="array" aca="1" ref="Y13" ca="1">INDIRECT("'"&amp;$A13&amp;"'!"&amp; "AB" &amp; $B13)</f>
        <v>60.01</v>
      </c>
      <c r="Z13" s="318" cm="1">
        <f t="array" aca="1" ref="Z13" ca="1">INDIRECT("'"&amp;$A13&amp;"'!"&amp; "AC" &amp; $B13)</f>
        <v>60.2</v>
      </c>
    </row>
    <row r="14" spans="1:27">
      <c r="A14" s="79">
        <v>12</v>
      </c>
      <c r="B14" s="79">
        <v>111</v>
      </c>
      <c r="C14" s="318" cm="1">
        <f t="array" aca="1" ref="C14" ca="1">INDIRECT("'"&amp;$A14&amp;"'!"&amp; "F" &amp; $B14)</f>
        <v>60.22</v>
      </c>
      <c r="D14" s="318" cm="1">
        <f t="array" aca="1" ref="D14" ca="1">INDIRECT("'"&amp;$A14&amp;"'!"&amp; "g" &amp; $B14)</f>
        <v>60.24</v>
      </c>
      <c r="E14" s="318" cm="1">
        <f t="array" aca="1" ref="E14" ca="1">INDIRECT("'"&amp;$A14&amp;"'!"&amp; "H" &amp; $B14)</f>
        <v>60.22</v>
      </c>
      <c r="F14" s="318" cm="1">
        <f t="array" aca="1" ref="F14" ca="1">INDIRECT("'"&amp;$A14&amp;"'!"&amp; "I" &amp; $B14)</f>
        <v>60.27</v>
      </c>
      <c r="G14" s="318" cm="1">
        <f t="array" aca="1" ref="G14" ca="1">INDIRECT("'"&amp;$A14&amp;"'!"&amp; "J" &amp; $B14)</f>
        <v>60.1</v>
      </c>
      <c r="H14" s="318" cm="1">
        <f t="array" aca="1" ref="H14" ca="1">INDIRECT("'"&amp;$A14&amp;"'!"&amp; "K" &amp; $B14)</f>
        <v>60.09</v>
      </c>
      <c r="I14" s="318" cm="1">
        <f t="array" aca="1" ref="I14" ca="1">INDIRECT("'"&amp;$A14&amp;"'!"&amp; "L" &amp; $B14)</f>
        <v>60.18</v>
      </c>
      <c r="J14" s="318" cm="1">
        <f t="array" aca="1" ref="J14" ca="1">INDIRECT("'"&amp;$A14&amp;"'!"&amp; "M" &amp; $B14)</f>
        <v>60.15</v>
      </c>
      <c r="K14" s="318" cm="1">
        <f t="array" aca="1" ref="K14" ca="1">INDIRECT("'"&amp;$A14&amp;"'!"&amp; "N" &amp; $B14)</f>
        <v>60.17</v>
      </c>
      <c r="L14" s="318" cm="1">
        <f t="array" aca="1" ref="L14" ca="1">INDIRECT("'"&amp;$A14&amp;"'!"&amp; "O" &amp; $B14)</f>
        <v>60.3</v>
      </c>
      <c r="M14" s="318" cm="1">
        <f t="array" aca="1" ref="M14" ca="1">INDIRECT("'"&amp;$A14&amp;"'!"&amp; "P" &amp; $B14)</f>
        <v>60.26</v>
      </c>
      <c r="N14" s="318" cm="1">
        <f t="array" aca="1" ref="N14" ca="1">INDIRECT("'"&amp;$A14&amp;"'!"&amp; "Q" &amp; $B14)</f>
        <v>60.2</v>
      </c>
      <c r="O14" s="318" cm="1">
        <f t="array" aca="1" ref="O14" ca="1">INDIRECT("'"&amp;$A14&amp;"'!"&amp; "R" &amp; $B14)</f>
        <v>60.15</v>
      </c>
      <c r="P14" s="318" cm="1">
        <f t="array" aca="1" ref="P14" ca="1">INDIRECT("'"&amp;$A14&amp;"'!"&amp; "S" &amp; $B14)</f>
        <v>60.12</v>
      </c>
      <c r="Q14" s="318" cm="1">
        <f t="array" aca="1" ref="Q14" ca="1">INDIRECT("'"&amp;$A14&amp;"'!"&amp; "T" &amp; $B14)</f>
        <v>60.22</v>
      </c>
      <c r="R14" s="318" cm="1">
        <f t="array" aca="1" ref="R14" ca="1">INDIRECT("'"&amp;$A14&amp;"'!"&amp; "U" &amp; $B14)</f>
        <v>60.07</v>
      </c>
      <c r="S14" s="318" cm="1">
        <f t="array" aca="1" ref="S14" ca="1">INDIRECT("'"&amp;$A14&amp;"'!"&amp; "V" &amp; $B14)</f>
        <v>60.16</v>
      </c>
      <c r="T14" s="318" cm="1">
        <f t="array" aca="1" ref="T14" ca="1">INDIRECT("'"&amp;$A14&amp;"'!"&amp; "W" &amp; $B14)</f>
        <v>60.17</v>
      </c>
      <c r="U14" s="318" cm="1">
        <f t="array" aca="1" ref="U14" ca="1">INDIRECT("'"&amp;$A14&amp;"'!"&amp; "X" &amp; $B14)</f>
        <v>60.09</v>
      </c>
      <c r="V14" s="318" cm="1">
        <f t="array" aca="1" ref="V14" ca="1">INDIRECT("'"&amp;$A14&amp;"'!"&amp; "Y" &amp; $B14)</f>
        <v>60.2</v>
      </c>
      <c r="W14" s="318" cm="1">
        <f t="array" aca="1" ref="W14" ca="1">INDIRECT("'"&amp;$A14&amp;"'!"&amp; "Z" &amp; $B14)</f>
        <v>60.21</v>
      </c>
      <c r="X14" s="318" cm="1">
        <f t="array" aca="1" ref="X14" ca="1">INDIRECT("'"&amp;$A14&amp;"'!"&amp; "AA" &amp; $B14)</f>
        <v>60.15</v>
      </c>
      <c r="Y14" s="318" cm="1">
        <f t="array" aca="1" ref="Y14" ca="1">INDIRECT("'"&amp;$A14&amp;"'!"&amp; "AB" &amp; $B14)</f>
        <v>60.16</v>
      </c>
      <c r="Z14" s="318" cm="1">
        <f t="array" aca="1" ref="Z14" ca="1">INDIRECT("'"&amp;$A14&amp;"'!"&amp; "AC" &amp; $B14)</f>
        <v>60.16</v>
      </c>
    </row>
    <row r="15" spans="1:27">
      <c r="A15" s="79">
        <v>13</v>
      </c>
      <c r="B15" s="79">
        <v>111</v>
      </c>
      <c r="C15" s="318" cm="1">
        <f t="array" aca="1" ref="C15" ca="1">INDIRECT("'"&amp;$A15&amp;"'!"&amp; "F" &amp; $B15)</f>
        <v>60.16</v>
      </c>
      <c r="D15" s="318" cm="1">
        <f t="array" aca="1" ref="D15" ca="1">INDIRECT("'"&amp;$A15&amp;"'!"&amp; "g" &amp; $B15)</f>
        <v>60.15</v>
      </c>
      <c r="E15" s="318" cm="1">
        <f t="array" aca="1" ref="E15" ca="1">INDIRECT("'"&amp;$A15&amp;"'!"&amp; "H" &amp; $B15)</f>
        <v>60.15</v>
      </c>
      <c r="F15" s="318" cm="1">
        <f t="array" aca="1" ref="F15" ca="1">INDIRECT("'"&amp;$A15&amp;"'!"&amp; "I" &amp; $B15)</f>
        <v>60.15</v>
      </c>
      <c r="G15" s="318" cm="1">
        <f t="array" aca="1" ref="G15" ca="1">INDIRECT("'"&amp;$A15&amp;"'!"&amp; "J" &amp; $B15)</f>
        <v>60.12</v>
      </c>
      <c r="H15" s="318" cm="1">
        <f t="array" aca="1" ref="H15" ca="1">INDIRECT("'"&amp;$A15&amp;"'!"&amp; "K" &amp; $B15)</f>
        <v>60.13</v>
      </c>
      <c r="I15" s="318" cm="1">
        <f t="array" aca="1" ref="I15" ca="1">INDIRECT("'"&amp;$A15&amp;"'!"&amp; "L" &amp; $B15)</f>
        <v>60.16</v>
      </c>
      <c r="J15" s="318" cm="1">
        <f t="array" aca="1" ref="J15" ca="1">INDIRECT("'"&amp;$A15&amp;"'!"&amp; "M" &amp; $B15)</f>
        <v>60.16</v>
      </c>
      <c r="K15" s="318" cm="1">
        <f t="array" aca="1" ref="K15" ca="1">INDIRECT("'"&amp;$A15&amp;"'!"&amp; "N" &amp; $B15)</f>
        <v>60.15</v>
      </c>
      <c r="L15" s="318" cm="1">
        <f t="array" aca="1" ref="L15" ca="1">INDIRECT("'"&amp;$A15&amp;"'!"&amp; "O" &amp; $B15)</f>
        <v>60.12</v>
      </c>
      <c r="M15" s="318" cm="1">
        <f t="array" aca="1" ref="M15" ca="1">INDIRECT("'"&amp;$A15&amp;"'!"&amp; "P" &amp; $B15)</f>
        <v>60.18</v>
      </c>
      <c r="N15" s="318" cm="1">
        <f t="array" aca="1" ref="N15" ca="1">INDIRECT("'"&amp;$A15&amp;"'!"&amp; "Q" &amp; $B15)</f>
        <v>60.13</v>
      </c>
      <c r="O15" s="318" cm="1">
        <f t="array" aca="1" ref="O15" ca="1">INDIRECT("'"&amp;$A15&amp;"'!"&amp; "R" &amp; $B15)</f>
        <v>60.27</v>
      </c>
      <c r="P15" s="318" cm="1">
        <f t="array" aca="1" ref="P15" ca="1">INDIRECT("'"&amp;$A15&amp;"'!"&amp; "S" &amp; $B15)</f>
        <v>60.13</v>
      </c>
      <c r="Q15" s="318" cm="1">
        <f t="array" aca="1" ref="Q15" ca="1">INDIRECT("'"&amp;$A15&amp;"'!"&amp; "T" &amp; $B15)</f>
        <v>60.14</v>
      </c>
      <c r="R15" s="318" cm="1">
        <f t="array" aca="1" ref="R15" ca="1">INDIRECT("'"&amp;$A15&amp;"'!"&amp; "U" &amp; $B15)</f>
        <v>60.04</v>
      </c>
      <c r="S15" s="318" cm="1">
        <f t="array" aca="1" ref="S15" ca="1">INDIRECT("'"&amp;$A15&amp;"'!"&amp; "V" &amp; $B15)</f>
        <v>60.09</v>
      </c>
      <c r="T15" s="318" cm="1">
        <f t="array" aca="1" ref="T15" ca="1">INDIRECT("'"&amp;$A15&amp;"'!"&amp; "W" &amp; $B15)</f>
        <v>60.19</v>
      </c>
      <c r="U15" s="318" cm="1">
        <f t="array" aca="1" ref="U15" ca="1">INDIRECT("'"&amp;$A15&amp;"'!"&amp; "X" &amp; $B15)</f>
        <v>60.07</v>
      </c>
      <c r="V15" s="318" cm="1">
        <f t="array" aca="1" ref="V15" ca="1">INDIRECT("'"&amp;$A15&amp;"'!"&amp; "Y" &amp; $B15)</f>
        <v>60.07</v>
      </c>
      <c r="W15" s="318" cm="1">
        <f t="array" aca="1" ref="W15" ca="1">INDIRECT("'"&amp;$A15&amp;"'!"&amp; "Z" &amp; $B15)</f>
        <v>60.16</v>
      </c>
      <c r="X15" s="318" cm="1">
        <f t="array" aca="1" ref="X15" ca="1">INDIRECT("'"&amp;$A15&amp;"'!"&amp; "AA" &amp; $B15)</f>
        <v>60.1</v>
      </c>
      <c r="Y15" s="318" cm="1">
        <f t="array" aca="1" ref="Y15" ca="1">INDIRECT("'"&amp;$A15&amp;"'!"&amp; "AB" &amp; $B15)</f>
        <v>60.1</v>
      </c>
      <c r="Z15" s="318" cm="1">
        <f t="array" aca="1" ref="Z15" ca="1">INDIRECT("'"&amp;$A15&amp;"'!"&amp; "AC" &amp; $B15)</f>
        <v>60.21</v>
      </c>
    </row>
    <row r="16" spans="1:27">
      <c r="A16" s="79">
        <v>14</v>
      </c>
      <c r="B16" s="79">
        <v>111</v>
      </c>
      <c r="C16" s="318" cm="1">
        <f t="array" aca="1" ref="C16" ca="1">INDIRECT("'"&amp;$A16&amp;"'!"&amp; "F" &amp; $B16)</f>
        <v>60.13</v>
      </c>
      <c r="D16" s="318" cm="1">
        <f t="array" aca="1" ref="D16" ca="1">INDIRECT("'"&amp;$A16&amp;"'!"&amp; "g" &amp; $B16)</f>
        <v>60.23</v>
      </c>
      <c r="E16" s="318" cm="1">
        <f t="array" aca="1" ref="E16" ca="1">INDIRECT("'"&amp;$A16&amp;"'!"&amp; "H" &amp; $B16)</f>
        <v>60.14</v>
      </c>
      <c r="F16" s="318" cm="1">
        <f t="array" aca="1" ref="F16" ca="1">INDIRECT("'"&amp;$A16&amp;"'!"&amp; "I" &amp; $B16)</f>
        <v>60.13</v>
      </c>
      <c r="G16" s="318" cm="1">
        <f t="array" aca="1" ref="G16" ca="1">INDIRECT("'"&amp;$A16&amp;"'!"&amp; "J" &amp; $B16)</f>
        <v>60.27</v>
      </c>
      <c r="H16" s="318" cm="1">
        <f t="array" aca="1" ref="H16" ca="1">INDIRECT("'"&amp;$A16&amp;"'!"&amp; "K" &amp; $B16)</f>
        <v>60.17</v>
      </c>
      <c r="I16" s="318" cm="1">
        <f t="array" aca="1" ref="I16" ca="1">INDIRECT("'"&amp;$A16&amp;"'!"&amp; "L" &amp; $B16)</f>
        <v>60.15</v>
      </c>
      <c r="J16" s="318" cm="1">
        <f t="array" aca="1" ref="J16" ca="1">INDIRECT("'"&amp;$A16&amp;"'!"&amp; "M" &amp; $B16)</f>
        <v>60.21</v>
      </c>
      <c r="K16" s="318" cm="1">
        <f t="array" aca="1" ref="K16" ca="1">INDIRECT("'"&amp;$A16&amp;"'!"&amp; "N" &amp; $B16)</f>
        <v>60.17</v>
      </c>
      <c r="L16" s="318" cm="1">
        <f t="array" aca="1" ref="L16" ca="1">INDIRECT("'"&amp;$A16&amp;"'!"&amp; "O" &amp; $B16)</f>
        <v>60.14</v>
      </c>
      <c r="M16" s="318" cm="1">
        <f t="array" aca="1" ref="M16" ca="1">INDIRECT("'"&amp;$A16&amp;"'!"&amp; "P" &amp; $B16)</f>
        <v>60.13</v>
      </c>
      <c r="N16" s="318" cm="1">
        <f t="array" aca="1" ref="N16" ca="1">INDIRECT("'"&amp;$A16&amp;"'!"&amp; "Q" &amp; $B16)</f>
        <v>60.14</v>
      </c>
      <c r="O16" s="318" cm="1">
        <f t="array" aca="1" ref="O16" ca="1">INDIRECT("'"&amp;$A16&amp;"'!"&amp; "R" &amp; $B16)</f>
        <v>60.16</v>
      </c>
      <c r="P16" s="318" cm="1">
        <f t="array" aca="1" ref="P16" ca="1">INDIRECT("'"&amp;$A16&amp;"'!"&amp; "S" &amp; $B16)</f>
        <v>60.11</v>
      </c>
      <c r="Q16" s="318" cm="1">
        <f t="array" aca="1" ref="Q16" ca="1">INDIRECT("'"&amp;$A16&amp;"'!"&amp; "T" &amp; $B16)</f>
        <v>60.15</v>
      </c>
      <c r="R16" s="318" cm="1">
        <f t="array" aca="1" ref="R16" ca="1">INDIRECT("'"&amp;$A16&amp;"'!"&amp; "U" &amp; $B16)</f>
        <v>60.18</v>
      </c>
      <c r="S16" s="318" cm="1">
        <f t="array" aca="1" ref="S16" ca="1">INDIRECT("'"&amp;$A16&amp;"'!"&amp; "V" &amp; $B16)</f>
        <v>60.18</v>
      </c>
      <c r="T16" s="318" cm="1">
        <f t="array" aca="1" ref="T16" ca="1">INDIRECT("'"&amp;$A16&amp;"'!"&amp; "W" &amp; $B16)</f>
        <v>60.2</v>
      </c>
      <c r="U16" s="318" cm="1">
        <f t="array" aca="1" ref="U16" ca="1">INDIRECT("'"&amp;$A16&amp;"'!"&amp; "X" &amp; $B16)</f>
        <v>60.18</v>
      </c>
      <c r="V16" s="318" cm="1">
        <f t="array" aca="1" ref="V16" ca="1">INDIRECT("'"&amp;$A16&amp;"'!"&amp; "Y" &amp; $B16)</f>
        <v>60.28</v>
      </c>
      <c r="W16" s="318" cm="1">
        <f t="array" aca="1" ref="W16" ca="1">INDIRECT("'"&amp;$A16&amp;"'!"&amp; "Z" &amp; $B16)</f>
        <v>60.17</v>
      </c>
      <c r="X16" s="318" cm="1">
        <f t="array" aca="1" ref="X16" ca="1">INDIRECT("'"&amp;$A16&amp;"'!"&amp; "AA" &amp; $B16)</f>
        <v>60.21</v>
      </c>
      <c r="Y16" s="318" cm="1">
        <f t="array" aca="1" ref="Y16" ca="1">INDIRECT("'"&amp;$A16&amp;"'!"&amp; "AB" &amp; $B16)</f>
        <v>60.21</v>
      </c>
      <c r="Z16" s="318" cm="1">
        <f t="array" aca="1" ref="Z16" ca="1">INDIRECT("'"&amp;$A16&amp;"'!"&amp; "AC" &amp; $B16)</f>
        <v>60.24</v>
      </c>
    </row>
    <row r="17" spans="1:26">
      <c r="A17" s="79">
        <v>15</v>
      </c>
      <c r="B17" s="79">
        <v>111</v>
      </c>
      <c r="C17" s="318" cm="1">
        <f t="array" aca="1" ref="C17" ca="1">INDIRECT("'"&amp;$A17&amp;"'!"&amp; "F" &amp; $B17)</f>
        <v>60.26</v>
      </c>
      <c r="D17" s="318" cm="1">
        <f t="array" aca="1" ref="D17" ca="1">INDIRECT("'"&amp;$A17&amp;"'!"&amp; "g" &amp; $B17)</f>
        <v>60.26</v>
      </c>
      <c r="E17" s="318" cm="1">
        <f t="array" aca="1" ref="E17" ca="1">INDIRECT("'"&amp;$A17&amp;"'!"&amp; "H" &amp; $B17)</f>
        <v>60.15</v>
      </c>
      <c r="F17" s="318" cm="1">
        <f t="array" aca="1" ref="F17" ca="1">INDIRECT("'"&amp;$A17&amp;"'!"&amp; "I" &amp; $B17)</f>
        <v>60.13</v>
      </c>
      <c r="G17" s="318" cm="1">
        <f t="array" aca="1" ref="G17" ca="1">INDIRECT("'"&amp;$A17&amp;"'!"&amp; "J" &amp; $B17)</f>
        <v>60.08</v>
      </c>
      <c r="H17" s="318" cm="1">
        <f t="array" aca="1" ref="H17" ca="1">INDIRECT("'"&amp;$A17&amp;"'!"&amp; "K" &amp; $B17)</f>
        <v>60.11</v>
      </c>
      <c r="I17" s="318" cm="1">
        <f t="array" aca="1" ref="I17" ca="1">INDIRECT("'"&amp;$A17&amp;"'!"&amp; "L" &amp; $B17)</f>
        <v>60.04</v>
      </c>
      <c r="J17" s="318" cm="1">
        <f t="array" aca="1" ref="J17" ca="1">INDIRECT("'"&amp;$A17&amp;"'!"&amp; "M" &amp; $B17)</f>
        <v>60.39</v>
      </c>
      <c r="K17" s="318" cm="1">
        <f t="array" aca="1" ref="K17" ca="1">INDIRECT("'"&amp;$A17&amp;"'!"&amp; "N" &amp; $B17)</f>
        <v>60.16</v>
      </c>
      <c r="L17" s="318" cm="1">
        <f t="array" aca="1" ref="L17" ca="1">INDIRECT("'"&amp;$A17&amp;"'!"&amp; "O" &amp; $B17)</f>
        <v>60.11</v>
      </c>
      <c r="M17" s="318" cm="1">
        <f t="array" aca="1" ref="M17" ca="1">INDIRECT("'"&amp;$A17&amp;"'!"&amp; "P" &amp; $B17)</f>
        <v>60.12</v>
      </c>
      <c r="N17" s="318" cm="1">
        <f t="array" aca="1" ref="N17" ca="1">INDIRECT("'"&amp;$A17&amp;"'!"&amp; "Q" &amp; $B17)</f>
        <v>60.34</v>
      </c>
      <c r="O17" s="318" cm="1">
        <f t="array" aca="1" ref="O17" ca="1">INDIRECT("'"&amp;$A17&amp;"'!"&amp; "R" &amp; $B17)</f>
        <v>60.29</v>
      </c>
      <c r="P17" s="318" cm="1">
        <f t="array" aca="1" ref="P17" ca="1">INDIRECT("'"&amp;$A17&amp;"'!"&amp; "S" &amp; $B17)</f>
        <v>60.14</v>
      </c>
      <c r="Q17" s="318" cm="1">
        <f t="array" aca="1" ref="Q17" ca="1">INDIRECT("'"&amp;$A17&amp;"'!"&amp; "T" &amp; $B17)</f>
        <v>60.14</v>
      </c>
      <c r="R17" s="318" cm="1">
        <f t="array" aca="1" ref="R17" ca="1">INDIRECT("'"&amp;$A17&amp;"'!"&amp; "U" &amp; $B17)</f>
        <v>60.11</v>
      </c>
      <c r="S17" s="318" cm="1">
        <f t="array" aca="1" ref="S17" ca="1">INDIRECT("'"&amp;$A17&amp;"'!"&amp; "V" &amp; $B17)</f>
        <v>60.2</v>
      </c>
      <c r="T17" s="318" cm="1">
        <f t="array" aca="1" ref="T17" ca="1">INDIRECT("'"&amp;$A17&amp;"'!"&amp; "W" &amp; $B17)</f>
        <v>60.28</v>
      </c>
      <c r="U17" s="318" cm="1">
        <f t="array" aca="1" ref="U17" ca="1">INDIRECT("'"&amp;$A17&amp;"'!"&amp; "X" &amp; $B17)</f>
        <v>60.07</v>
      </c>
      <c r="V17" s="318" cm="1">
        <f t="array" aca="1" ref="V17" ca="1">INDIRECT("'"&amp;$A17&amp;"'!"&amp; "Y" &amp; $B17)</f>
        <v>60.2</v>
      </c>
      <c r="W17" s="318" cm="1">
        <f t="array" aca="1" ref="W17" ca="1">INDIRECT("'"&amp;$A17&amp;"'!"&amp; "Z" &amp; $B17)</f>
        <v>60.17</v>
      </c>
      <c r="X17" s="318" cm="1">
        <f t="array" aca="1" ref="X17" ca="1">INDIRECT("'"&amp;$A17&amp;"'!"&amp; "AA" &amp; $B17)</f>
        <v>60.08</v>
      </c>
      <c r="Y17" s="318" cm="1">
        <f t="array" aca="1" ref="Y17" ca="1">INDIRECT("'"&amp;$A17&amp;"'!"&amp; "AB" &amp; $B17)</f>
        <v>60.2</v>
      </c>
      <c r="Z17" s="318" cm="1">
        <f t="array" aca="1" ref="Z17" ca="1">INDIRECT("'"&amp;$A17&amp;"'!"&amp; "AC" &amp; $B17)</f>
        <v>60.15</v>
      </c>
    </row>
    <row r="18" spans="1:26">
      <c r="A18" s="79">
        <v>16</v>
      </c>
      <c r="B18" s="79">
        <v>111</v>
      </c>
      <c r="C18" s="318" cm="1">
        <f t="array" aca="1" ref="C18" ca="1">INDIRECT("'"&amp;$A18&amp;"'!"&amp; "F" &amp; $B18)</f>
        <v>60.14</v>
      </c>
      <c r="D18" s="318" cm="1">
        <f t="array" aca="1" ref="D18" ca="1">INDIRECT("'"&amp;$A18&amp;"'!"&amp; "g" &amp; $B18)</f>
        <v>60.09</v>
      </c>
      <c r="E18" s="318" cm="1">
        <f t="array" aca="1" ref="E18" ca="1">INDIRECT("'"&amp;$A18&amp;"'!"&amp; "H" &amp; $B18)</f>
        <v>60.14</v>
      </c>
      <c r="F18" s="318" cm="1">
        <f t="array" aca="1" ref="F18" ca="1">INDIRECT("'"&amp;$A18&amp;"'!"&amp; "I" &amp; $B18)</f>
        <v>60.15</v>
      </c>
      <c r="G18" s="318" cm="1">
        <f t="array" aca="1" ref="G18" ca="1">INDIRECT("'"&amp;$A18&amp;"'!"&amp; "J" &amp; $B18)</f>
        <v>60.16</v>
      </c>
      <c r="H18" s="318" cm="1">
        <f t="array" aca="1" ref="H18" ca="1">INDIRECT("'"&amp;$A18&amp;"'!"&amp; "K" &amp; $B18)</f>
        <v>60.21</v>
      </c>
      <c r="I18" s="318" cm="1">
        <f t="array" aca="1" ref="I18" ca="1">INDIRECT("'"&amp;$A18&amp;"'!"&amp; "L" &amp; $B18)</f>
        <v>60.11</v>
      </c>
      <c r="J18" s="318" cm="1">
        <f t="array" aca="1" ref="J18" ca="1">INDIRECT("'"&amp;$A18&amp;"'!"&amp; "M" &amp; $B18)</f>
        <v>60.13</v>
      </c>
      <c r="K18" s="318" cm="1">
        <f t="array" aca="1" ref="K18" ca="1">INDIRECT("'"&amp;$A18&amp;"'!"&amp; "N" &amp; $B18)</f>
        <v>60.13</v>
      </c>
      <c r="L18" s="318" cm="1">
        <f t="array" aca="1" ref="L18" ca="1">INDIRECT("'"&amp;$A18&amp;"'!"&amp; "O" &amp; $B18)</f>
        <v>60.07</v>
      </c>
      <c r="M18" s="318" cm="1">
        <f t="array" aca="1" ref="M18" ca="1">INDIRECT("'"&amp;$A18&amp;"'!"&amp; "P" &amp; $B18)</f>
        <v>60.18</v>
      </c>
      <c r="N18" s="318" cm="1">
        <f t="array" aca="1" ref="N18" ca="1">INDIRECT("'"&amp;$A18&amp;"'!"&amp; "Q" &amp; $B18)</f>
        <v>60.14</v>
      </c>
      <c r="O18" s="318" cm="1">
        <f t="array" aca="1" ref="O18" ca="1">INDIRECT("'"&amp;$A18&amp;"'!"&amp; "R" &amp; $B18)</f>
        <v>60.18</v>
      </c>
      <c r="P18" s="318" cm="1">
        <f t="array" aca="1" ref="P18" ca="1">INDIRECT("'"&amp;$A18&amp;"'!"&amp; "S" &amp; $B18)</f>
        <v>60.01</v>
      </c>
      <c r="Q18" s="318" cm="1">
        <f t="array" aca="1" ref="Q18" ca="1">INDIRECT("'"&amp;$A18&amp;"'!"&amp; "T" &amp; $B18)</f>
        <v>60.13</v>
      </c>
      <c r="R18" s="318" cm="1">
        <f t="array" aca="1" ref="R18" ca="1">INDIRECT("'"&amp;$A18&amp;"'!"&amp; "U" &amp; $B18)</f>
        <v>60.13</v>
      </c>
      <c r="S18" s="318" cm="1">
        <f t="array" aca="1" ref="S18" ca="1">INDIRECT("'"&amp;$A18&amp;"'!"&amp; "V" &amp; $B18)</f>
        <v>60.19</v>
      </c>
      <c r="T18" s="318" cm="1">
        <f t="array" aca="1" ref="T18" ca="1">INDIRECT("'"&amp;$A18&amp;"'!"&amp; "W" &amp; $B18)</f>
        <v>60.23</v>
      </c>
      <c r="U18" s="318" cm="1">
        <f t="array" aca="1" ref="U18" ca="1">INDIRECT("'"&amp;$A18&amp;"'!"&amp; "X" &amp; $B18)</f>
        <v>60.17</v>
      </c>
      <c r="V18" s="318" cm="1">
        <f t="array" aca="1" ref="V18" ca="1">INDIRECT("'"&amp;$A18&amp;"'!"&amp; "Y" &amp; $B18)</f>
        <v>60.03</v>
      </c>
      <c r="W18" s="318" cm="1">
        <f t="array" aca="1" ref="W18" ca="1">INDIRECT("'"&amp;$A18&amp;"'!"&amp; "Z" &amp; $B18)</f>
        <v>60.23</v>
      </c>
      <c r="X18" s="318" cm="1">
        <f t="array" aca="1" ref="X18" ca="1">INDIRECT("'"&amp;$A18&amp;"'!"&amp; "AA" &amp; $B18)</f>
        <v>60.21</v>
      </c>
      <c r="Y18" s="318" cm="1">
        <f t="array" aca="1" ref="Y18" ca="1">INDIRECT("'"&amp;$A18&amp;"'!"&amp; "AB" &amp; $B18)</f>
        <v>60.17</v>
      </c>
      <c r="Z18" s="318" cm="1">
        <f t="array" aca="1" ref="Z18" ca="1">INDIRECT("'"&amp;$A18&amp;"'!"&amp; "AC" &amp; $B18)</f>
        <v>60.19</v>
      </c>
    </row>
    <row r="19" spans="1:26">
      <c r="A19" s="79">
        <v>17</v>
      </c>
      <c r="B19" s="79">
        <v>111</v>
      </c>
      <c r="C19" s="318" cm="1">
        <f t="array" aca="1" ref="C19" ca="1">INDIRECT("'"&amp;$A19&amp;"'!"&amp; "F" &amp; $B19)</f>
        <v>60.2</v>
      </c>
      <c r="D19" s="318" cm="1">
        <f t="array" aca="1" ref="D19" ca="1">INDIRECT("'"&amp;$A19&amp;"'!"&amp; "g" &amp; $B19)</f>
        <v>60.18</v>
      </c>
      <c r="E19" s="318" cm="1">
        <f t="array" aca="1" ref="E19" ca="1">INDIRECT("'"&amp;$A19&amp;"'!"&amp; "H" &amp; $B19)</f>
        <v>60.15</v>
      </c>
      <c r="F19" s="318" cm="1">
        <f t="array" aca="1" ref="F19" ca="1">INDIRECT("'"&amp;$A19&amp;"'!"&amp; "I" &amp; $B19)</f>
        <v>60.18</v>
      </c>
      <c r="G19" s="318" cm="1">
        <f t="array" aca="1" ref="G19" ca="1">INDIRECT("'"&amp;$A19&amp;"'!"&amp; "J" &amp; $B19)</f>
        <v>60.1</v>
      </c>
      <c r="H19" s="318" cm="1">
        <f t="array" aca="1" ref="H19" ca="1">INDIRECT("'"&amp;$A19&amp;"'!"&amp; "K" &amp; $B19)</f>
        <v>60.15</v>
      </c>
      <c r="I19" s="318" cm="1">
        <f t="array" aca="1" ref="I19" ca="1">INDIRECT("'"&amp;$A19&amp;"'!"&amp; "L" &amp; $B19)</f>
        <v>60.09</v>
      </c>
      <c r="J19" s="318" cm="1">
        <f t="array" aca="1" ref="J19" ca="1">INDIRECT("'"&amp;$A19&amp;"'!"&amp; "M" &amp; $B19)</f>
        <v>60.18</v>
      </c>
      <c r="K19" s="318" cm="1">
        <f t="array" aca="1" ref="K19" ca="1">INDIRECT("'"&amp;$A19&amp;"'!"&amp; "N" &amp; $B19)</f>
        <v>60.16</v>
      </c>
      <c r="L19" s="318" cm="1">
        <f t="array" aca="1" ref="L19" ca="1">INDIRECT("'"&amp;$A19&amp;"'!"&amp; "O" &amp; $B19)</f>
        <v>60.09</v>
      </c>
      <c r="M19" s="318" cm="1">
        <f t="array" aca="1" ref="M19" ca="1">INDIRECT("'"&amp;$A19&amp;"'!"&amp; "P" &amp; $B19)</f>
        <v>60.12</v>
      </c>
      <c r="N19" s="318" cm="1">
        <f t="array" aca="1" ref="N19" ca="1">INDIRECT("'"&amp;$A19&amp;"'!"&amp; "Q" &amp; $B19)</f>
        <v>60.15</v>
      </c>
      <c r="O19" s="318" cm="1">
        <f t="array" aca="1" ref="O19" ca="1">INDIRECT("'"&amp;$A19&amp;"'!"&amp; "R" &amp; $B19)</f>
        <v>60.09</v>
      </c>
      <c r="P19" s="318" cm="1">
        <f t="array" aca="1" ref="P19" ca="1">INDIRECT("'"&amp;$A19&amp;"'!"&amp; "S" &amp; $B19)</f>
        <v>60.11</v>
      </c>
      <c r="Q19" s="318" cm="1">
        <f t="array" aca="1" ref="Q19" ca="1">INDIRECT("'"&amp;$A19&amp;"'!"&amp; "T" &amp; $B19)</f>
        <v>60.19</v>
      </c>
      <c r="R19" s="318" cm="1">
        <f t="array" aca="1" ref="R19" ca="1">INDIRECT("'"&amp;$A19&amp;"'!"&amp; "U" &amp; $B19)</f>
        <v>60.19</v>
      </c>
      <c r="S19" s="318" cm="1">
        <f t="array" aca="1" ref="S19" ca="1">INDIRECT("'"&amp;$A19&amp;"'!"&amp; "V" &amp; $B19)</f>
        <v>60.13</v>
      </c>
      <c r="T19" s="318" cm="1">
        <f t="array" aca="1" ref="T19" ca="1">INDIRECT("'"&amp;$A19&amp;"'!"&amp; "W" &amp; $B19)</f>
        <v>60.14</v>
      </c>
      <c r="U19" s="318" cm="1">
        <f t="array" aca="1" ref="U19" ca="1">INDIRECT("'"&amp;$A19&amp;"'!"&amp; "X" &amp; $B19)</f>
        <v>60.11</v>
      </c>
      <c r="V19" s="318" cm="1">
        <f t="array" aca="1" ref="V19" ca="1">INDIRECT("'"&amp;$A19&amp;"'!"&amp; "Y" &amp; $B19)</f>
        <v>60.25</v>
      </c>
      <c r="W19" s="318" cm="1">
        <f t="array" aca="1" ref="W19" ca="1">INDIRECT("'"&amp;$A19&amp;"'!"&amp; "Z" &amp; $B19)</f>
        <v>60.24</v>
      </c>
      <c r="X19" s="318" cm="1">
        <f t="array" aca="1" ref="X19" ca="1">INDIRECT("'"&amp;$A19&amp;"'!"&amp; "AA" &amp; $B19)</f>
        <v>60.39</v>
      </c>
      <c r="Y19" s="318" cm="1">
        <f t="array" aca="1" ref="Y19" ca="1">INDIRECT("'"&amp;$A19&amp;"'!"&amp; "AB" &amp; $B19)</f>
        <v>60.19</v>
      </c>
      <c r="Z19" s="318" cm="1">
        <f t="array" aca="1" ref="Z19" ca="1">INDIRECT("'"&amp;$A19&amp;"'!"&amp; "AC" &amp; $B19)</f>
        <v>60.16</v>
      </c>
    </row>
    <row r="20" spans="1:26">
      <c r="A20" s="79">
        <v>18</v>
      </c>
      <c r="B20" s="79">
        <v>111</v>
      </c>
      <c r="C20" s="318" cm="1">
        <f t="array" aca="1" ref="C20" ca="1">INDIRECT("'"&amp;$A20&amp;"'!"&amp; "F" &amp; $B20)</f>
        <v>60.15</v>
      </c>
      <c r="D20" s="318" cm="1">
        <f t="array" aca="1" ref="D20" ca="1">INDIRECT("'"&amp;$A20&amp;"'!"&amp; "g" &amp; $B20)</f>
        <v>60.14</v>
      </c>
      <c r="E20" s="318" cm="1">
        <f t="array" aca="1" ref="E20" ca="1">INDIRECT("'"&amp;$A20&amp;"'!"&amp; "H" &amp; $B20)</f>
        <v>60.13</v>
      </c>
      <c r="F20" s="318" cm="1">
        <f t="array" aca="1" ref="F20" ca="1">INDIRECT("'"&amp;$A20&amp;"'!"&amp; "I" &amp; $B20)</f>
        <v>60.19</v>
      </c>
      <c r="G20" s="318" cm="1">
        <f t="array" aca="1" ref="G20" ca="1">INDIRECT("'"&amp;$A20&amp;"'!"&amp; "J" &amp; $B20)</f>
        <v>60.14</v>
      </c>
      <c r="H20" s="318" cm="1">
        <f t="array" aca="1" ref="H20" ca="1">INDIRECT("'"&amp;$A20&amp;"'!"&amp; "K" &amp; $B20)</f>
        <v>60.2</v>
      </c>
      <c r="I20" s="318" cm="1">
        <f t="array" aca="1" ref="I20" ca="1">INDIRECT("'"&amp;$A20&amp;"'!"&amp; "L" &amp; $B20)</f>
        <v>60.18</v>
      </c>
      <c r="J20" s="318" cm="1">
        <f t="array" aca="1" ref="J20" ca="1">INDIRECT("'"&amp;$A20&amp;"'!"&amp; "M" &amp; $B20)</f>
        <v>60.18</v>
      </c>
      <c r="K20" s="318" cm="1">
        <f t="array" aca="1" ref="K20" ca="1">INDIRECT("'"&amp;$A20&amp;"'!"&amp; "N" &amp; $B20)</f>
        <v>60.06</v>
      </c>
      <c r="L20" s="318" cm="1">
        <f t="array" aca="1" ref="L20" ca="1">INDIRECT("'"&amp;$A20&amp;"'!"&amp; "O" &amp; $B20)</f>
        <v>60.11</v>
      </c>
      <c r="M20" s="318" cm="1">
        <f t="array" aca="1" ref="M20" ca="1">INDIRECT("'"&amp;$A20&amp;"'!"&amp; "P" &amp; $B20)</f>
        <v>60.03</v>
      </c>
      <c r="N20" s="318" cm="1">
        <f t="array" aca="1" ref="N20" ca="1">INDIRECT("'"&amp;$A20&amp;"'!"&amp; "Q" &amp; $B20)</f>
        <v>60.13</v>
      </c>
      <c r="O20" s="318" cm="1">
        <f t="array" aca="1" ref="O20" ca="1">INDIRECT("'"&amp;$A20&amp;"'!"&amp; "R" &amp; $B20)</f>
        <v>60.1</v>
      </c>
      <c r="P20" s="318" cm="1">
        <f t="array" aca="1" ref="P20" ca="1">INDIRECT("'"&amp;$A20&amp;"'!"&amp; "S" &amp; $B20)</f>
        <v>60.12</v>
      </c>
      <c r="Q20" s="318" cm="1">
        <f t="array" aca="1" ref="Q20" ca="1">INDIRECT("'"&amp;$A20&amp;"'!"&amp; "T" &amp; $B20)</f>
        <v>60.1</v>
      </c>
      <c r="R20" s="318" cm="1">
        <f t="array" aca="1" ref="R20" ca="1">INDIRECT("'"&amp;$A20&amp;"'!"&amp; "U" &amp; $B20)</f>
        <v>60.07</v>
      </c>
      <c r="S20" s="318" cm="1">
        <f t="array" aca="1" ref="S20" ca="1">INDIRECT("'"&amp;$A20&amp;"'!"&amp; "V" &amp; $B20)</f>
        <v>60.14</v>
      </c>
      <c r="T20" s="318" cm="1">
        <f t="array" aca="1" ref="T20" ca="1">INDIRECT("'"&amp;$A20&amp;"'!"&amp; "W" &amp; $B20)</f>
        <v>60.17</v>
      </c>
      <c r="U20" s="318" cm="1">
        <f t="array" aca="1" ref="U20" ca="1">INDIRECT("'"&amp;$A20&amp;"'!"&amp; "X" &amp; $B20)</f>
        <v>60.14</v>
      </c>
      <c r="V20" s="318" cm="1">
        <f t="array" aca="1" ref="V20" ca="1">INDIRECT("'"&amp;$A20&amp;"'!"&amp; "Y" &amp; $B20)</f>
        <v>60.05</v>
      </c>
      <c r="W20" s="318" cm="1">
        <f t="array" aca="1" ref="W20" ca="1">INDIRECT("'"&amp;$A20&amp;"'!"&amp; "Z" &amp; $B20)</f>
        <v>60.11</v>
      </c>
      <c r="X20" s="318" cm="1">
        <f t="array" aca="1" ref="X20" ca="1">INDIRECT("'"&amp;$A20&amp;"'!"&amp; "AA" &amp; $B20)</f>
        <v>60.13</v>
      </c>
      <c r="Y20" s="318" cm="1">
        <f t="array" aca="1" ref="Y20" ca="1">INDIRECT("'"&amp;$A20&amp;"'!"&amp; "AB" &amp; $B20)</f>
        <v>60.17</v>
      </c>
      <c r="Z20" s="318" cm="1">
        <f t="array" aca="1" ref="Z20" ca="1">INDIRECT("'"&amp;$A20&amp;"'!"&amp; "AC" &amp; $B20)</f>
        <v>60.21</v>
      </c>
    </row>
    <row r="21" spans="1:26">
      <c r="A21" s="79">
        <v>19</v>
      </c>
      <c r="B21" s="79">
        <v>111</v>
      </c>
      <c r="C21" s="318" cm="1">
        <f t="array" aca="1" ref="C21" ca="1">INDIRECT("'"&amp;$A21&amp;"'!"&amp; "F" &amp; $B21)</f>
        <v>60.13</v>
      </c>
      <c r="D21" s="318" cm="1">
        <f t="array" aca="1" ref="D21" ca="1">INDIRECT("'"&amp;$A21&amp;"'!"&amp; "g" &amp; $B21)</f>
        <v>60.13</v>
      </c>
      <c r="E21" s="318" cm="1">
        <f t="array" aca="1" ref="E21" ca="1">INDIRECT("'"&amp;$A21&amp;"'!"&amp; "H" &amp; $B21)</f>
        <v>60.18</v>
      </c>
      <c r="F21" s="318" cm="1">
        <f t="array" aca="1" ref="F21" ca="1">INDIRECT("'"&amp;$A21&amp;"'!"&amp; "I" &amp; $B21)</f>
        <v>60.17</v>
      </c>
      <c r="G21" s="318" cm="1">
        <f t="array" aca="1" ref="G21" ca="1">INDIRECT("'"&amp;$A21&amp;"'!"&amp; "J" &amp; $B21)</f>
        <v>60.09</v>
      </c>
      <c r="H21" s="318" cm="1">
        <f t="array" aca="1" ref="H21" ca="1">INDIRECT("'"&amp;$A21&amp;"'!"&amp; "K" &amp; $B21)</f>
        <v>60.15</v>
      </c>
      <c r="I21" s="318" cm="1">
        <f t="array" aca="1" ref="I21" ca="1">INDIRECT("'"&amp;$A21&amp;"'!"&amp; "L" &amp; $B21)</f>
        <v>60.15</v>
      </c>
      <c r="J21" s="318" cm="1">
        <f t="array" aca="1" ref="J21" ca="1">INDIRECT("'"&amp;$A21&amp;"'!"&amp; "M" &amp; $B21)</f>
        <v>60.16</v>
      </c>
      <c r="K21" s="318" cm="1">
        <f t="array" aca="1" ref="K21" ca="1">INDIRECT("'"&amp;$A21&amp;"'!"&amp; "N" &amp; $B21)</f>
        <v>60.04</v>
      </c>
      <c r="L21" s="318" cm="1">
        <f t="array" aca="1" ref="L21" ca="1">INDIRECT("'"&amp;$A21&amp;"'!"&amp; "O" &amp; $B21)</f>
        <v>60.08</v>
      </c>
      <c r="M21" s="318" cm="1">
        <f t="array" aca="1" ref="M21" ca="1">INDIRECT("'"&amp;$A21&amp;"'!"&amp; "P" &amp; $B21)</f>
        <v>60.21</v>
      </c>
      <c r="N21" s="318" cm="1">
        <f t="array" aca="1" ref="N21" ca="1">INDIRECT("'"&amp;$A21&amp;"'!"&amp; "Q" &amp; $B21)</f>
        <v>60.15</v>
      </c>
      <c r="O21" s="318" cm="1">
        <f t="array" aca="1" ref="O21" ca="1">INDIRECT("'"&amp;$A21&amp;"'!"&amp; "R" &amp; $B21)</f>
        <v>60.05</v>
      </c>
      <c r="P21" s="318" cm="1">
        <f t="array" aca="1" ref="P21" ca="1">INDIRECT("'"&amp;$A21&amp;"'!"&amp; "S" &amp; $B21)</f>
        <v>60.18</v>
      </c>
      <c r="Q21" s="318" cm="1">
        <f t="array" aca="1" ref="Q21" ca="1">INDIRECT("'"&amp;$A21&amp;"'!"&amp; "T" &amp; $B21)</f>
        <v>60.2</v>
      </c>
      <c r="R21" s="318" cm="1">
        <f t="array" aca="1" ref="R21" ca="1">INDIRECT("'"&amp;$A21&amp;"'!"&amp; "U" &amp; $B21)</f>
        <v>60.16</v>
      </c>
      <c r="S21" s="318" cm="1">
        <f t="array" aca="1" ref="S21" ca="1">INDIRECT("'"&amp;$A21&amp;"'!"&amp; "V" &amp; $B21)</f>
        <v>60.16</v>
      </c>
      <c r="T21" s="318" cm="1">
        <f t="array" aca="1" ref="T21" ca="1">INDIRECT("'"&amp;$A21&amp;"'!"&amp; "W" &amp; $B21)</f>
        <v>60.22</v>
      </c>
      <c r="U21" s="318" cm="1">
        <f t="array" aca="1" ref="U21" ca="1">INDIRECT("'"&amp;$A21&amp;"'!"&amp; "X" &amp; $B21)</f>
        <v>60.22</v>
      </c>
      <c r="V21" s="318" cm="1">
        <f t="array" aca="1" ref="V21" ca="1">INDIRECT("'"&amp;$A21&amp;"'!"&amp; "Y" &amp; $B21)</f>
        <v>60.18</v>
      </c>
      <c r="W21" s="318" cm="1">
        <f t="array" aca="1" ref="W21" ca="1">INDIRECT("'"&amp;$A21&amp;"'!"&amp; "Z" &amp; $B21)</f>
        <v>60.15</v>
      </c>
      <c r="X21" s="318" cm="1">
        <f t="array" aca="1" ref="X21" ca="1">INDIRECT("'"&amp;$A21&amp;"'!"&amp; "AA" &amp; $B21)</f>
        <v>60.08</v>
      </c>
      <c r="Y21" s="318" cm="1">
        <f t="array" aca="1" ref="Y21" ca="1">INDIRECT("'"&amp;$A21&amp;"'!"&amp; "AB" &amp; $B21)</f>
        <v>60.12</v>
      </c>
      <c r="Z21" s="318" cm="1">
        <f t="array" aca="1" ref="Z21" ca="1">INDIRECT("'"&amp;$A21&amp;"'!"&amp; "AC" &amp; $B21)</f>
        <v>60.2</v>
      </c>
    </row>
    <row r="22" spans="1:26">
      <c r="A22" s="79">
        <v>20</v>
      </c>
      <c r="B22" s="79">
        <v>111</v>
      </c>
      <c r="C22" s="318" cm="1">
        <f t="array" aca="1" ref="C22" ca="1">INDIRECT("'"&amp;$A22&amp;"'!"&amp; "F" &amp; $B22)</f>
        <v>60.07</v>
      </c>
      <c r="D22" s="318" cm="1">
        <f t="array" aca="1" ref="D22" ca="1">INDIRECT("'"&amp;$A22&amp;"'!"&amp; "g" &amp; $B22)</f>
        <v>60.09</v>
      </c>
      <c r="E22" s="318" cm="1">
        <f t="array" aca="1" ref="E22" ca="1">INDIRECT("'"&amp;$A22&amp;"'!"&amp; "H" &amp; $B22)</f>
        <v>60.09</v>
      </c>
      <c r="F22" s="318" cm="1">
        <f t="array" aca="1" ref="F22" ca="1">INDIRECT("'"&amp;$A22&amp;"'!"&amp; "I" &amp; $B22)</f>
        <v>60.19</v>
      </c>
      <c r="G22" s="318" cm="1">
        <f t="array" aca="1" ref="G22" ca="1">INDIRECT("'"&amp;$A22&amp;"'!"&amp; "J" &amp; $B22)</f>
        <v>60.13</v>
      </c>
      <c r="H22" s="318" cm="1">
        <f t="array" aca="1" ref="H22" ca="1">INDIRECT("'"&amp;$A22&amp;"'!"&amp; "K" &amp; $B22)</f>
        <v>60.14</v>
      </c>
      <c r="I22" s="318" cm="1">
        <f t="array" aca="1" ref="I22" ca="1">INDIRECT("'"&amp;$A22&amp;"'!"&amp; "L" &amp; $B22)</f>
        <v>60.14</v>
      </c>
      <c r="J22" s="318" cm="1">
        <f t="array" aca="1" ref="J22" ca="1">INDIRECT("'"&amp;$A22&amp;"'!"&amp; "M" &amp; $B22)</f>
        <v>60.22</v>
      </c>
      <c r="K22" s="318" cm="1">
        <f t="array" aca="1" ref="K22" ca="1">INDIRECT("'"&amp;$A22&amp;"'!"&amp; "N" &amp; $B22)</f>
        <v>60.11</v>
      </c>
      <c r="L22" s="318" cm="1">
        <f t="array" aca="1" ref="L22" ca="1">INDIRECT("'"&amp;$A22&amp;"'!"&amp; "O" &amp; $B22)</f>
        <v>60.12</v>
      </c>
      <c r="M22" s="318" cm="1">
        <f t="array" aca="1" ref="M22" ca="1">INDIRECT("'"&amp;$A22&amp;"'!"&amp; "P" &amp; $B22)</f>
        <v>60.14</v>
      </c>
      <c r="N22" s="318" cm="1">
        <f t="array" aca="1" ref="N22" ca="1">INDIRECT("'"&amp;$A22&amp;"'!"&amp; "Q" &amp; $B22)</f>
        <v>60.16</v>
      </c>
      <c r="O22" s="318" cm="1">
        <f t="array" aca="1" ref="O22" ca="1">INDIRECT("'"&amp;$A22&amp;"'!"&amp; "R" &amp; $B22)</f>
        <v>60.2</v>
      </c>
      <c r="P22" s="318" cm="1">
        <f t="array" aca="1" ref="P22" ca="1">INDIRECT("'"&amp;$A22&amp;"'!"&amp; "S" &amp; $B22)</f>
        <v>60.15</v>
      </c>
      <c r="Q22" s="318" cm="1">
        <f t="array" aca="1" ref="Q22" ca="1">INDIRECT("'"&amp;$A22&amp;"'!"&amp; "T" &amp; $B22)</f>
        <v>60.08</v>
      </c>
      <c r="R22" s="318" cm="1">
        <f t="array" aca="1" ref="R22" ca="1">INDIRECT("'"&amp;$A22&amp;"'!"&amp; "U" &amp; $B22)</f>
        <v>60.16</v>
      </c>
      <c r="S22" s="318" cm="1">
        <f t="array" aca="1" ref="S22" ca="1">INDIRECT("'"&amp;$A22&amp;"'!"&amp; "V" &amp; $B22)</f>
        <v>60.13</v>
      </c>
      <c r="T22" s="318" cm="1">
        <f t="array" aca="1" ref="T22" ca="1">INDIRECT("'"&amp;$A22&amp;"'!"&amp; "W" &amp; $B22)</f>
        <v>60.17</v>
      </c>
      <c r="U22" s="318" cm="1">
        <f t="array" aca="1" ref="U22" ca="1">INDIRECT("'"&amp;$A22&amp;"'!"&amp; "X" &amp; $B22)</f>
        <v>60.09</v>
      </c>
      <c r="V22" s="318" cm="1">
        <f t="array" aca="1" ref="V22" ca="1">INDIRECT("'"&amp;$A22&amp;"'!"&amp; "Y" &amp; $B22)</f>
        <v>60.13</v>
      </c>
      <c r="W22" s="318" cm="1">
        <f t="array" aca="1" ref="W22" ca="1">INDIRECT("'"&amp;$A22&amp;"'!"&amp; "Z" &amp; $B22)</f>
        <v>60.16</v>
      </c>
      <c r="X22" s="318" cm="1">
        <f t="array" aca="1" ref="X22" ca="1">INDIRECT("'"&amp;$A22&amp;"'!"&amp; "AA" &amp; $B22)</f>
        <v>60.14</v>
      </c>
      <c r="Y22" s="318" cm="1">
        <f t="array" aca="1" ref="Y22" ca="1">INDIRECT("'"&amp;$A22&amp;"'!"&amp; "AB" &amp; $B22)</f>
        <v>60.12</v>
      </c>
      <c r="Z22" s="318" cm="1">
        <f t="array" aca="1" ref="Z22" ca="1">INDIRECT("'"&amp;$A22&amp;"'!"&amp; "AC" &amp; $B22)</f>
        <v>60.19</v>
      </c>
    </row>
    <row r="23" spans="1:26">
      <c r="A23" s="79">
        <v>21</v>
      </c>
      <c r="B23" s="79">
        <v>111</v>
      </c>
      <c r="C23" s="318" cm="1">
        <f t="array" aca="1" ref="C23" ca="1">INDIRECT("'"&amp;$A23&amp;"'!"&amp; "F" &amp; $B23)</f>
        <v>60.18</v>
      </c>
      <c r="D23" s="318" cm="1">
        <f t="array" aca="1" ref="D23" ca="1">INDIRECT("'"&amp;$A23&amp;"'!"&amp; "g" &amp; $B23)</f>
        <v>60.11</v>
      </c>
      <c r="E23" s="318" cm="1">
        <f t="array" aca="1" ref="E23" ca="1">INDIRECT("'"&amp;$A23&amp;"'!"&amp; "H" &amp; $B23)</f>
        <v>60.37</v>
      </c>
      <c r="F23" s="318" cm="1">
        <f t="array" aca="1" ref="F23" ca="1">INDIRECT("'"&amp;$A23&amp;"'!"&amp; "I" &amp; $B23)</f>
        <v>60.12</v>
      </c>
      <c r="G23" s="318" cm="1">
        <f t="array" aca="1" ref="G23" ca="1">INDIRECT("'"&amp;$A23&amp;"'!"&amp; "J" &amp; $B23)</f>
        <v>60.17</v>
      </c>
      <c r="H23" s="318" cm="1">
        <f t="array" aca="1" ref="H23" ca="1">INDIRECT("'"&amp;$A23&amp;"'!"&amp; "K" &amp; $B23)</f>
        <v>60.13</v>
      </c>
      <c r="I23" s="318" cm="1">
        <f t="array" aca="1" ref="I23" ca="1">INDIRECT("'"&amp;$A23&amp;"'!"&amp; "L" &amp; $B23)</f>
        <v>60.14</v>
      </c>
      <c r="J23" s="318" cm="1">
        <f t="array" aca="1" ref="J23" ca="1">INDIRECT("'"&amp;$A23&amp;"'!"&amp; "M" &amp; $B23)</f>
        <v>60.13</v>
      </c>
      <c r="K23" s="318" cm="1">
        <f t="array" aca="1" ref="K23" ca="1">INDIRECT("'"&amp;$A23&amp;"'!"&amp; "N" &amp; $B23)</f>
        <v>60.07</v>
      </c>
      <c r="L23" s="318" cm="1">
        <f t="array" aca="1" ref="L23" ca="1">INDIRECT("'"&amp;$A23&amp;"'!"&amp; "O" &amp; $B23)</f>
        <v>60.15</v>
      </c>
      <c r="M23" s="318" cm="1">
        <f t="array" aca="1" ref="M23" ca="1">INDIRECT("'"&amp;$A23&amp;"'!"&amp; "P" &amp; $B23)</f>
        <v>60.13</v>
      </c>
      <c r="N23" s="318" cm="1">
        <f t="array" aca="1" ref="N23" ca="1">INDIRECT("'"&amp;$A23&amp;"'!"&amp; "Q" &amp; $B23)</f>
        <v>60.1</v>
      </c>
      <c r="O23" s="318" cm="1">
        <f t="array" aca="1" ref="O23" ca="1">INDIRECT("'"&amp;$A23&amp;"'!"&amp; "R" &amp; $B23)</f>
        <v>60.11</v>
      </c>
      <c r="P23" s="318" cm="1">
        <f t="array" aca="1" ref="P23" ca="1">INDIRECT("'"&amp;$A23&amp;"'!"&amp; "S" &amp; $B23)</f>
        <v>60.05</v>
      </c>
      <c r="Q23" s="318" cm="1">
        <f t="array" aca="1" ref="Q23" ca="1">INDIRECT("'"&amp;$A23&amp;"'!"&amp; "T" &amp; $B23)</f>
        <v>60.08</v>
      </c>
      <c r="R23" s="318" cm="1">
        <f t="array" aca="1" ref="R23" ca="1">INDIRECT("'"&amp;$A23&amp;"'!"&amp; "U" &amp; $B23)</f>
        <v>60.13</v>
      </c>
      <c r="S23" s="318" cm="1">
        <f t="array" aca="1" ref="S23" ca="1">INDIRECT("'"&amp;$A23&amp;"'!"&amp; "V" &amp; $B23)</f>
        <v>60.11</v>
      </c>
      <c r="T23" s="318" cm="1">
        <f t="array" aca="1" ref="T23" ca="1">INDIRECT("'"&amp;$A23&amp;"'!"&amp; "W" &amp; $B23)</f>
        <v>60.26</v>
      </c>
      <c r="U23" s="318" cm="1">
        <f t="array" aca="1" ref="U23" ca="1">INDIRECT("'"&amp;$A23&amp;"'!"&amp; "X" &amp; $B23)</f>
        <v>60.16</v>
      </c>
      <c r="V23" s="318" cm="1">
        <f t="array" aca="1" ref="V23" ca="1">INDIRECT("'"&amp;$A23&amp;"'!"&amp; "Y" &amp; $B23)</f>
        <v>60.21</v>
      </c>
      <c r="W23" s="318" cm="1">
        <f t="array" aca="1" ref="W23" ca="1">INDIRECT("'"&amp;$A23&amp;"'!"&amp; "Z" &amp; $B23)</f>
        <v>60.19</v>
      </c>
      <c r="X23" s="318" cm="1">
        <f t="array" aca="1" ref="X23" ca="1">INDIRECT("'"&amp;$A23&amp;"'!"&amp; "AA" &amp; $B23)</f>
        <v>60.18</v>
      </c>
      <c r="Y23" s="318" cm="1">
        <f t="array" aca="1" ref="Y23" ca="1">INDIRECT("'"&amp;$A23&amp;"'!"&amp; "AB" &amp; $B23)</f>
        <v>60.17</v>
      </c>
      <c r="Z23" s="318" cm="1">
        <f t="array" aca="1" ref="Z23" ca="1">INDIRECT("'"&amp;$A23&amp;"'!"&amp; "AC" &amp; $B23)</f>
        <v>60.15</v>
      </c>
    </row>
    <row r="24" spans="1:26">
      <c r="A24" s="79">
        <v>22</v>
      </c>
      <c r="B24" s="79">
        <v>111</v>
      </c>
      <c r="C24" s="318" cm="1">
        <f t="array" aca="1" ref="C24" ca="1">INDIRECT("'"&amp;$A24&amp;"'!"&amp; "F" &amp; $B24)</f>
        <v>60.19</v>
      </c>
      <c r="D24" s="318" cm="1">
        <f t="array" aca="1" ref="D24" ca="1">INDIRECT("'"&amp;$A24&amp;"'!"&amp; "g" &amp; $B24)</f>
        <v>60.14</v>
      </c>
      <c r="E24" s="318" cm="1">
        <f t="array" aca="1" ref="E24" ca="1">INDIRECT("'"&amp;$A24&amp;"'!"&amp; "H" &amp; $B24)</f>
        <v>60.09</v>
      </c>
      <c r="F24" s="318" cm="1">
        <f t="array" aca="1" ref="F24" ca="1">INDIRECT("'"&amp;$A24&amp;"'!"&amp; "I" &amp; $B24)</f>
        <v>60.16</v>
      </c>
      <c r="G24" s="318" cm="1">
        <f t="array" aca="1" ref="G24" ca="1">INDIRECT("'"&amp;$A24&amp;"'!"&amp; "J" &amp; $B24)</f>
        <v>60.19</v>
      </c>
      <c r="H24" s="318" cm="1">
        <f t="array" aca="1" ref="H24" ca="1">INDIRECT("'"&amp;$A24&amp;"'!"&amp; "K" &amp; $B24)</f>
        <v>60.14</v>
      </c>
      <c r="I24" s="318" cm="1">
        <f t="array" aca="1" ref="I24" ca="1">INDIRECT("'"&amp;$A24&amp;"'!"&amp; "L" &amp; $B24)</f>
        <v>60.13</v>
      </c>
      <c r="J24" s="318" cm="1">
        <f t="array" aca="1" ref="J24" ca="1">INDIRECT("'"&amp;$A24&amp;"'!"&amp; "M" &amp; $B24)</f>
        <v>60.1</v>
      </c>
      <c r="K24" s="318" cm="1">
        <f t="array" aca="1" ref="K24" ca="1">INDIRECT("'"&amp;$A24&amp;"'!"&amp; "N" &amp; $B24)</f>
        <v>60.01</v>
      </c>
      <c r="L24" s="318" cm="1">
        <f t="array" aca="1" ref="L24" ca="1">INDIRECT("'"&amp;$A24&amp;"'!"&amp; "O" &amp; $B24)</f>
        <v>60.07</v>
      </c>
      <c r="M24" s="318" cm="1">
        <f t="array" aca="1" ref="M24" ca="1">INDIRECT("'"&amp;$A24&amp;"'!"&amp; "P" &amp; $B24)</f>
        <v>60.12</v>
      </c>
      <c r="N24" s="318" cm="1">
        <f t="array" aca="1" ref="N24" ca="1">INDIRECT("'"&amp;$A24&amp;"'!"&amp; "Q" &amp; $B24)</f>
        <v>60.02</v>
      </c>
      <c r="O24" s="318" cm="1">
        <f t="array" aca="1" ref="O24" ca="1">INDIRECT("'"&amp;$A24&amp;"'!"&amp; "R" &amp; $B24)</f>
        <v>60.19</v>
      </c>
      <c r="P24" s="318" cm="1">
        <f t="array" aca="1" ref="P24" ca="1">INDIRECT("'"&amp;$A24&amp;"'!"&amp; "S" &amp; $B24)</f>
        <v>60.12</v>
      </c>
      <c r="Q24" s="318" cm="1">
        <f t="array" aca="1" ref="Q24" ca="1">INDIRECT("'"&amp;$A24&amp;"'!"&amp; "T" &amp; $B24)</f>
        <v>60.16</v>
      </c>
      <c r="R24" s="318" cm="1">
        <f t="array" aca="1" ref="R24" ca="1">INDIRECT("'"&amp;$A24&amp;"'!"&amp; "U" &amp; $B24)</f>
        <v>60.21</v>
      </c>
      <c r="S24" s="318" cm="1">
        <f t="array" aca="1" ref="S24" ca="1">INDIRECT("'"&amp;$A24&amp;"'!"&amp; "V" &amp; $B24)</f>
        <v>60.12</v>
      </c>
      <c r="T24" s="318" cm="1">
        <f t="array" aca="1" ref="T24" ca="1">INDIRECT("'"&amp;$A24&amp;"'!"&amp; "W" &amp; $B24)</f>
        <v>60.21</v>
      </c>
      <c r="U24" s="318" cm="1">
        <f t="array" aca="1" ref="U24" ca="1">INDIRECT("'"&amp;$A24&amp;"'!"&amp; "X" &amp; $B24)</f>
        <v>60.19</v>
      </c>
      <c r="V24" s="318" cm="1">
        <f t="array" aca="1" ref="V24" ca="1">INDIRECT("'"&amp;$A24&amp;"'!"&amp; "Y" &amp; $B24)</f>
        <v>60.16</v>
      </c>
      <c r="W24" s="318" cm="1">
        <f t="array" aca="1" ref="W24" ca="1">INDIRECT("'"&amp;$A24&amp;"'!"&amp; "Z" &amp; $B24)</f>
        <v>60.16</v>
      </c>
      <c r="X24" s="318" cm="1">
        <f t="array" aca="1" ref="X24" ca="1">INDIRECT("'"&amp;$A24&amp;"'!"&amp; "AA" &amp; $B24)</f>
        <v>60.12</v>
      </c>
      <c r="Y24" s="318" cm="1">
        <f t="array" aca="1" ref="Y24" ca="1">INDIRECT("'"&amp;$A24&amp;"'!"&amp; "AB" &amp; $B24)</f>
        <v>60.16</v>
      </c>
      <c r="Z24" s="318" cm="1">
        <f t="array" aca="1" ref="Z24" ca="1">INDIRECT("'"&amp;$A24&amp;"'!"&amp; "AC" &amp; $B24)</f>
        <v>60.16</v>
      </c>
    </row>
    <row r="25" spans="1:26">
      <c r="A25" s="79">
        <v>23</v>
      </c>
      <c r="B25" s="79">
        <v>111</v>
      </c>
      <c r="C25" s="318" cm="1">
        <f t="array" aca="1" ref="C25" ca="1">INDIRECT("'"&amp;$A25&amp;"'!"&amp; "F" &amp; $B25)</f>
        <v>60.06</v>
      </c>
      <c r="D25" s="318" cm="1">
        <f t="array" aca="1" ref="D25" ca="1">INDIRECT("'"&amp;$A25&amp;"'!"&amp; "g" &amp; $B25)</f>
        <v>60.17</v>
      </c>
      <c r="E25" s="318" cm="1">
        <f t="array" aca="1" ref="E25" ca="1">INDIRECT("'"&amp;$A25&amp;"'!"&amp; "H" &amp; $B25)</f>
        <v>60.2</v>
      </c>
      <c r="F25" s="318" cm="1">
        <f t="array" aca="1" ref="F25" ca="1">INDIRECT("'"&amp;$A25&amp;"'!"&amp; "I" &amp; $B25)</f>
        <v>60.12</v>
      </c>
      <c r="G25" s="318" cm="1">
        <f t="array" aca="1" ref="G25" ca="1">INDIRECT("'"&amp;$A25&amp;"'!"&amp; "J" &amp; $B25)</f>
        <v>60.21</v>
      </c>
      <c r="H25" s="318" cm="1">
        <f t="array" aca="1" ref="H25" ca="1">INDIRECT("'"&amp;$A25&amp;"'!"&amp; "K" &amp; $B25)</f>
        <v>60.16</v>
      </c>
      <c r="I25" s="318" cm="1">
        <f t="array" aca="1" ref="I25" ca="1">INDIRECT("'"&amp;$A25&amp;"'!"&amp; "L" &amp; $B25)</f>
        <v>60.2</v>
      </c>
      <c r="J25" s="318" cm="1">
        <f t="array" aca="1" ref="J25" ca="1">INDIRECT("'"&amp;$A25&amp;"'!"&amp; "M" &amp; $B25)</f>
        <v>60.27</v>
      </c>
      <c r="K25" s="318" cm="1">
        <f t="array" aca="1" ref="K25" ca="1">INDIRECT("'"&amp;$A25&amp;"'!"&amp; "N" &amp; $B25)</f>
        <v>60.09</v>
      </c>
      <c r="L25" s="318" cm="1">
        <f t="array" aca="1" ref="L25" ca="1">INDIRECT("'"&amp;$A25&amp;"'!"&amp; "O" &amp; $B25)</f>
        <v>60.03</v>
      </c>
      <c r="M25" s="318" cm="1">
        <f t="array" aca="1" ref="M25" ca="1">INDIRECT("'"&amp;$A25&amp;"'!"&amp; "P" &amp; $B25)</f>
        <v>60.18</v>
      </c>
      <c r="N25" s="318" cm="1">
        <f t="array" aca="1" ref="N25" ca="1">INDIRECT("'"&amp;$A25&amp;"'!"&amp; "Q" &amp; $B25)</f>
        <v>59.99</v>
      </c>
      <c r="O25" s="318" cm="1">
        <f t="array" aca="1" ref="O25" ca="1">INDIRECT("'"&amp;$A25&amp;"'!"&amp; "R" &amp; $B25)</f>
        <v>60.13</v>
      </c>
      <c r="P25" s="318" cm="1">
        <f t="array" aca="1" ref="P25" ca="1">INDIRECT("'"&amp;$A25&amp;"'!"&amp; "S" &amp; $B25)</f>
        <v>60.13</v>
      </c>
      <c r="Q25" s="318" cm="1">
        <f t="array" aca="1" ref="Q25" ca="1">INDIRECT("'"&amp;$A25&amp;"'!"&amp; "T" &amp; $B25)</f>
        <v>60.08</v>
      </c>
      <c r="R25" s="318" cm="1">
        <f t="array" aca="1" ref="R25" ca="1">INDIRECT("'"&amp;$A25&amp;"'!"&amp; "U" &amp; $B25)</f>
        <v>60.27</v>
      </c>
      <c r="S25" s="318" cm="1">
        <f t="array" aca="1" ref="S25" ca="1">INDIRECT("'"&amp;$A25&amp;"'!"&amp; "V" &amp; $B25)</f>
        <v>60.13</v>
      </c>
      <c r="T25" s="318" cm="1">
        <f t="array" aca="1" ref="T25" ca="1">INDIRECT("'"&amp;$A25&amp;"'!"&amp; "W" &amp; $B25)</f>
        <v>60.22</v>
      </c>
      <c r="U25" s="318" cm="1">
        <f t="array" aca="1" ref="U25" ca="1">INDIRECT("'"&amp;$A25&amp;"'!"&amp; "X" &amp; $B25)</f>
        <v>60.17</v>
      </c>
      <c r="V25" s="318" cm="1">
        <f t="array" aca="1" ref="V25" ca="1">INDIRECT("'"&amp;$A25&amp;"'!"&amp; "Y" &amp; $B25)</f>
        <v>60.14</v>
      </c>
      <c r="W25" s="318" cm="1">
        <f t="array" aca="1" ref="W25" ca="1">INDIRECT("'"&amp;$A25&amp;"'!"&amp; "Z" &amp; $B25)</f>
        <v>60.23</v>
      </c>
      <c r="X25" s="318" cm="1">
        <f t="array" aca="1" ref="X25" ca="1">INDIRECT("'"&amp;$A25&amp;"'!"&amp; "AA" &amp; $B25)</f>
        <v>60.15</v>
      </c>
      <c r="Y25" s="318" cm="1">
        <f t="array" aca="1" ref="Y25" ca="1">INDIRECT("'"&amp;$A25&amp;"'!"&amp; "AB" &amp; $B25)</f>
        <v>60.27</v>
      </c>
      <c r="Z25" s="318" cm="1">
        <f t="array" aca="1" ref="Z25" ca="1">INDIRECT("'"&amp;$A25&amp;"'!"&amp; "AC" &amp; $B25)</f>
        <v>60.03</v>
      </c>
    </row>
    <row r="26" spans="1:26">
      <c r="A26" s="79">
        <v>24</v>
      </c>
      <c r="B26" s="79">
        <v>111</v>
      </c>
      <c r="C26" s="318" cm="1">
        <f t="array" aca="1" ref="C26" ca="1">INDIRECT("'"&amp;$A26&amp;"'!"&amp; "F" &amp; $B26)</f>
        <v>60.16</v>
      </c>
      <c r="D26" s="318" cm="1">
        <f t="array" aca="1" ref="D26" ca="1">INDIRECT("'"&amp;$A26&amp;"'!"&amp; "g" &amp; $B26)</f>
        <v>60.19</v>
      </c>
      <c r="E26" s="318" cm="1">
        <f t="array" aca="1" ref="E26" ca="1">INDIRECT("'"&amp;$A26&amp;"'!"&amp; "H" &amp; $B26)</f>
        <v>60.15</v>
      </c>
      <c r="F26" s="318" cm="1">
        <f t="array" aca="1" ref="F26" ca="1">INDIRECT("'"&amp;$A26&amp;"'!"&amp; "I" &amp; $B26)</f>
        <v>60.18</v>
      </c>
      <c r="G26" s="318" cm="1">
        <f t="array" aca="1" ref="G26" ca="1">INDIRECT("'"&amp;$A26&amp;"'!"&amp; "J" &amp; $B26)</f>
        <v>60.24</v>
      </c>
      <c r="H26" s="318" cm="1">
        <f t="array" aca="1" ref="H26" ca="1">INDIRECT("'"&amp;$A26&amp;"'!"&amp; "K" &amp; $B26)</f>
        <v>60.09</v>
      </c>
      <c r="I26" s="318" cm="1">
        <f t="array" aca="1" ref="I26" ca="1">INDIRECT("'"&amp;$A26&amp;"'!"&amp; "L" &amp; $B26)</f>
        <v>60.1</v>
      </c>
      <c r="J26" s="318" cm="1">
        <f t="array" aca="1" ref="J26" ca="1">INDIRECT("'"&amp;$A26&amp;"'!"&amp; "M" &amp; $B26)</f>
        <v>60.24</v>
      </c>
      <c r="K26" s="318" cm="1">
        <f t="array" aca="1" ref="K26" ca="1">INDIRECT("'"&amp;$A26&amp;"'!"&amp; "N" &amp; $B26)</f>
        <v>60.01</v>
      </c>
      <c r="L26" s="318" cm="1">
        <f t="array" aca="1" ref="L26" ca="1">INDIRECT("'"&amp;$A26&amp;"'!"&amp; "O" &amp; $B26)</f>
        <v>60.03</v>
      </c>
      <c r="M26" s="318" cm="1">
        <f t="array" aca="1" ref="M26" ca="1">INDIRECT("'"&amp;$A26&amp;"'!"&amp; "P" &amp; $B26)</f>
        <v>59.95</v>
      </c>
      <c r="N26" s="318" cm="1">
        <f t="array" aca="1" ref="N26" ca="1">INDIRECT("'"&amp;$A26&amp;"'!"&amp; "Q" &amp; $B26)</f>
        <v>60.12</v>
      </c>
      <c r="O26" s="318" cm="1">
        <f t="array" aca="1" ref="O26" ca="1">INDIRECT("'"&amp;$A26&amp;"'!"&amp; "R" &amp; $B26)</f>
        <v>60.14</v>
      </c>
      <c r="P26" s="318" cm="1">
        <f t="array" aca="1" ref="P26" ca="1">INDIRECT("'"&amp;$A26&amp;"'!"&amp; "S" &amp; $B26)</f>
        <v>60.1</v>
      </c>
      <c r="Q26" s="318" cm="1">
        <f t="array" aca="1" ref="Q26" ca="1">INDIRECT("'"&amp;$A26&amp;"'!"&amp; "T" &amp; $B26)</f>
        <v>60.05</v>
      </c>
      <c r="R26" s="318" cm="1">
        <f t="array" aca="1" ref="R26" ca="1">INDIRECT("'"&amp;$A26&amp;"'!"&amp; "U" &amp; $B26)</f>
        <v>60.22</v>
      </c>
      <c r="S26" s="318" cm="1">
        <f t="array" aca="1" ref="S26" ca="1">INDIRECT("'"&amp;$A26&amp;"'!"&amp; "V" &amp; $B26)</f>
        <v>60.18</v>
      </c>
      <c r="T26" s="318" cm="1">
        <f t="array" aca="1" ref="T26" ca="1">INDIRECT("'"&amp;$A26&amp;"'!"&amp; "W" &amp; $B26)</f>
        <v>60.2</v>
      </c>
      <c r="U26" s="318" cm="1">
        <f t="array" aca="1" ref="U26" ca="1">INDIRECT("'"&amp;$A26&amp;"'!"&amp; "X" &amp; $B26)</f>
        <v>60.12</v>
      </c>
      <c r="V26" s="318" cm="1">
        <f t="array" aca="1" ref="V26" ca="1">INDIRECT("'"&amp;$A26&amp;"'!"&amp; "Y" &amp; $B26)</f>
        <v>60.15</v>
      </c>
      <c r="W26" s="318" cm="1">
        <f t="array" aca="1" ref="W26" ca="1">INDIRECT("'"&amp;$A26&amp;"'!"&amp; "Z" &amp; $B26)</f>
        <v>60.15</v>
      </c>
      <c r="X26" s="318" cm="1">
        <f t="array" aca="1" ref="X26" ca="1">INDIRECT("'"&amp;$A26&amp;"'!"&amp; "AA" &amp; $B26)</f>
        <v>60.11</v>
      </c>
      <c r="Y26" s="318" cm="1">
        <f t="array" aca="1" ref="Y26" ca="1">INDIRECT("'"&amp;$A26&amp;"'!"&amp; "AB" &amp; $B26)</f>
        <v>60.17</v>
      </c>
      <c r="Z26" s="318" cm="1">
        <f t="array" aca="1" ref="Z26" ca="1">INDIRECT("'"&amp;$A26&amp;"'!"&amp; "AC" &amp; $B26)</f>
        <v>60.38</v>
      </c>
    </row>
    <row r="27" spans="1:26">
      <c r="A27" s="79">
        <v>25</v>
      </c>
      <c r="B27" s="79">
        <v>111</v>
      </c>
      <c r="C27" s="318" cm="1">
        <f t="array" aca="1" ref="C27" ca="1">INDIRECT("'"&amp;$A27&amp;"'!"&amp; "F" &amp; $B27)</f>
        <v>60.16</v>
      </c>
      <c r="D27" s="318" cm="1">
        <f t="array" aca="1" ref="D27" ca="1">INDIRECT("'"&amp;$A27&amp;"'!"&amp; "g" &amp; $B27)</f>
        <v>60.21</v>
      </c>
      <c r="E27" s="318" cm="1">
        <f t="array" aca="1" ref="E27" ca="1">INDIRECT("'"&amp;$A27&amp;"'!"&amp; "H" &amp; $B27)</f>
        <v>60.12</v>
      </c>
      <c r="F27" s="318" cm="1">
        <f t="array" aca="1" ref="F27" ca="1">INDIRECT("'"&amp;$A27&amp;"'!"&amp; "I" &amp; $B27)</f>
        <v>60.09</v>
      </c>
      <c r="G27" s="318" cm="1">
        <f t="array" aca="1" ref="G27" ca="1">INDIRECT("'"&amp;$A27&amp;"'!"&amp; "J" &amp; $B27)</f>
        <v>60.23</v>
      </c>
      <c r="H27" s="318" cm="1">
        <f t="array" aca="1" ref="H27" ca="1">INDIRECT("'"&amp;$A27&amp;"'!"&amp; "K" &amp; $B27)</f>
        <v>60.17</v>
      </c>
      <c r="I27" s="318" cm="1">
        <f t="array" aca="1" ref="I27" ca="1">INDIRECT("'"&amp;$A27&amp;"'!"&amp; "L" &amp; $B27)</f>
        <v>60.16</v>
      </c>
      <c r="J27" s="318" cm="1">
        <f t="array" aca="1" ref="J27" ca="1">INDIRECT("'"&amp;$A27&amp;"'!"&amp; "M" &amp; $B27)</f>
        <v>60.23</v>
      </c>
      <c r="K27" s="318" cm="1">
        <f t="array" aca="1" ref="K27" ca="1">INDIRECT("'"&amp;$A27&amp;"'!"&amp; "N" &amp; $B27)</f>
        <v>60.09</v>
      </c>
      <c r="L27" s="318" cm="1">
        <f t="array" aca="1" ref="L27" ca="1">INDIRECT("'"&amp;$A27&amp;"'!"&amp; "O" &amp; $B27)</f>
        <v>60.05</v>
      </c>
      <c r="M27" s="318" cm="1">
        <f t="array" aca="1" ref="M27" ca="1">INDIRECT("'"&amp;$A27&amp;"'!"&amp; "P" &amp; $B27)</f>
        <v>60.15</v>
      </c>
      <c r="N27" s="318" cm="1">
        <f t="array" aca="1" ref="N27" ca="1">INDIRECT("'"&amp;$A27&amp;"'!"&amp; "Q" &amp; $B27)</f>
        <v>60.17</v>
      </c>
      <c r="O27" s="318" cm="1">
        <f t="array" aca="1" ref="O27" ca="1">INDIRECT("'"&amp;$A27&amp;"'!"&amp; "R" &amp; $B27)</f>
        <v>60.16</v>
      </c>
      <c r="P27" s="318" cm="1">
        <f t="array" aca="1" ref="P27" ca="1">INDIRECT("'"&amp;$A27&amp;"'!"&amp; "S" &amp; $B27)</f>
        <v>60.16</v>
      </c>
      <c r="Q27" s="318" cm="1">
        <f t="array" aca="1" ref="Q27" ca="1">INDIRECT("'"&amp;$A27&amp;"'!"&amp; "T" &amp; $B27)</f>
        <v>60.14</v>
      </c>
      <c r="R27" s="318" cm="1">
        <f t="array" aca="1" ref="R27" ca="1">INDIRECT("'"&amp;$A27&amp;"'!"&amp; "U" &amp; $B27)</f>
        <v>60.21</v>
      </c>
      <c r="S27" s="318" cm="1">
        <f t="array" aca="1" ref="S27" ca="1">INDIRECT("'"&amp;$A27&amp;"'!"&amp; "V" &amp; $B27)</f>
        <v>60.15</v>
      </c>
      <c r="T27" s="318" cm="1">
        <f t="array" aca="1" ref="T27" ca="1">INDIRECT("'"&amp;$A27&amp;"'!"&amp; "W" &amp; $B27)</f>
        <v>60.17</v>
      </c>
      <c r="U27" s="318" cm="1">
        <f t="array" aca="1" ref="U27" ca="1">INDIRECT("'"&amp;$A27&amp;"'!"&amp; "X" &amp; $B27)</f>
        <v>60.08</v>
      </c>
      <c r="V27" s="318" cm="1">
        <f t="array" aca="1" ref="V27" ca="1">INDIRECT("'"&amp;$A27&amp;"'!"&amp; "Y" &amp; $B27)</f>
        <v>60.08</v>
      </c>
      <c r="W27" s="318" cm="1">
        <f t="array" aca="1" ref="W27" ca="1">INDIRECT("'"&amp;$A27&amp;"'!"&amp; "Z" &amp; $B27)</f>
        <v>60.08</v>
      </c>
      <c r="X27" s="318" cm="1">
        <f t="array" aca="1" ref="X27" ca="1">INDIRECT("'"&amp;$A27&amp;"'!"&amp; "AA" &amp; $B27)</f>
        <v>60.12</v>
      </c>
      <c r="Y27" s="318" cm="1">
        <f t="array" aca="1" ref="Y27" ca="1">INDIRECT("'"&amp;$A27&amp;"'!"&amp; "AB" &amp; $B27)</f>
        <v>60.16</v>
      </c>
      <c r="Z27" s="318" cm="1">
        <f t="array" aca="1" ref="Z27" ca="1">INDIRECT("'"&amp;$A27&amp;"'!"&amp; "AC" &amp; $B27)</f>
        <v>60.16</v>
      </c>
    </row>
    <row r="28" spans="1:26">
      <c r="A28" s="79">
        <v>26</v>
      </c>
      <c r="B28" s="79">
        <v>111</v>
      </c>
      <c r="C28" s="318" cm="1">
        <f t="array" aca="1" ref="C28" ca="1">INDIRECT("'"&amp;$A28&amp;"'!"&amp; "F" &amp; $B28)</f>
        <v>60.14</v>
      </c>
      <c r="D28" s="318" cm="1">
        <f t="array" aca="1" ref="D28" ca="1">INDIRECT("'"&amp;$A28&amp;"'!"&amp; "g" &amp; $B28)</f>
        <v>60.17</v>
      </c>
      <c r="E28" s="318" cm="1">
        <f t="array" aca="1" ref="E28" ca="1">INDIRECT("'"&amp;$A28&amp;"'!"&amp; "H" &amp; $B28)</f>
        <v>60.09</v>
      </c>
      <c r="F28" s="318" cm="1">
        <f t="array" aca="1" ref="F28" ca="1">INDIRECT("'"&amp;$A28&amp;"'!"&amp; "I" &amp; $B28)</f>
        <v>60.12</v>
      </c>
      <c r="G28" s="318" cm="1">
        <f t="array" aca="1" ref="G28" ca="1">INDIRECT("'"&amp;$A28&amp;"'!"&amp; "J" &amp; $B28)</f>
        <v>60.24</v>
      </c>
      <c r="H28" s="318" cm="1">
        <f t="array" aca="1" ref="H28" ca="1">INDIRECT("'"&amp;$A28&amp;"'!"&amp; "K" &amp; $B28)</f>
        <v>60.21</v>
      </c>
      <c r="I28" s="318" cm="1">
        <f t="array" aca="1" ref="I28" ca="1">INDIRECT("'"&amp;$A28&amp;"'!"&amp; "L" &amp; $B28)</f>
        <v>60.16</v>
      </c>
      <c r="J28" s="318" cm="1">
        <f t="array" aca="1" ref="J28" ca="1">INDIRECT("'"&amp;$A28&amp;"'!"&amp; "M" &amp; $B28)</f>
        <v>60.25</v>
      </c>
      <c r="K28" s="318" cm="1">
        <f t="array" aca="1" ref="K28" ca="1">INDIRECT("'"&amp;$A28&amp;"'!"&amp; "N" &amp; $B28)</f>
        <v>60.17</v>
      </c>
      <c r="L28" s="318" cm="1">
        <f t="array" aca="1" ref="L28" ca="1">INDIRECT("'"&amp;$A28&amp;"'!"&amp; "O" &amp; $B28)</f>
        <v>60.1</v>
      </c>
      <c r="M28" s="318" cm="1">
        <f t="array" aca="1" ref="M28" ca="1">INDIRECT("'"&amp;$A28&amp;"'!"&amp; "P" &amp; $B28)</f>
        <v>60.16</v>
      </c>
      <c r="N28" s="318" cm="1">
        <f t="array" aca="1" ref="N28" ca="1">INDIRECT("'"&amp;$A28&amp;"'!"&amp; "Q" &amp; $B28)</f>
        <v>60.3</v>
      </c>
      <c r="O28" s="318" cm="1">
        <f t="array" aca="1" ref="O28" ca="1">INDIRECT("'"&amp;$A28&amp;"'!"&amp; "R" &amp; $B28)</f>
        <v>60.13</v>
      </c>
      <c r="P28" s="318" cm="1">
        <f t="array" aca="1" ref="P28" ca="1">INDIRECT("'"&amp;$A28&amp;"'!"&amp; "S" &amp; $B28)</f>
        <v>60.15</v>
      </c>
      <c r="Q28" s="318" cm="1">
        <f t="array" aca="1" ref="Q28" ca="1">INDIRECT("'"&amp;$A28&amp;"'!"&amp; "T" &amp; $B28)</f>
        <v>60.2</v>
      </c>
      <c r="R28" s="318" cm="1">
        <f t="array" aca="1" ref="R28" ca="1">INDIRECT("'"&amp;$A28&amp;"'!"&amp; "U" &amp; $B28)</f>
        <v>60.03</v>
      </c>
      <c r="S28" s="318" cm="1">
        <f t="array" aca="1" ref="S28" ca="1">INDIRECT("'"&amp;$A28&amp;"'!"&amp; "V" &amp; $B28)</f>
        <v>60.15</v>
      </c>
      <c r="T28" s="318" cm="1">
        <f t="array" aca="1" ref="T28" ca="1">INDIRECT("'"&amp;$A28&amp;"'!"&amp; "W" &amp; $B28)</f>
        <v>60.06</v>
      </c>
      <c r="U28" s="318" cm="1">
        <f t="array" aca="1" ref="U28" ca="1">INDIRECT("'"&amp;$A28&amp;"'!"&amp; "X" &amp; $B28)</f>
        <v>60.06</v>
      </c>
      <c r="V28" s="318" cm="1">
        <f t="array" aca="1" ref="V28" ca="1">INDIRECT("'"&amp;$A28&amp;"'!"&amp; "Y" &amp; $B28)</f>
        <v>60.06</v>
      </c>
      <c r="W28" s="318" cm="1">
        <f t="array" aca="1" ref="W28" ca="1">INDIRECT("'"&amp;$A28&amp;"'!"&amp; "Z" &amp; $B28)</f>
        <v>60.16</v>
      </c>
      <c r="X28" s="318" cm="1">
        <f t="array" aca="1" ref="X28" ca="1">INDIRECT("'"&amp;$A28&amp;"'!"&amp; "AA" &amp; $B28)</f>
        <v>60.16</v>
      </c>
      <c r="Y28" s="318" cm="1">
        <f t="array" aca="1" ref="Y28" ca="1">INDIRECT("'"&amp;$A28&amp;"'!"&amp; "AB" &amp; $B28)</f>
        <v>60.14</v>
      </c>
      <c r="Z28" s="318" cm="1">
        <f t="array" aca="1" ref="Z28" ca="1">INDIRECT("'"&amp;$A28&amp;"'!"&amp; "AC" &amp; $B28)</f>
        <v>60.12</v>
      </c>
    </row>
    <row r="29" spans="1:26">
      <c r="A29" s="79">
        <v>27</v>
      </c>
      <c r="B29" s="79">
        <v>111</v>
      </c>
      <c r="C29" s="318" cm="1">
        <f t="array" aca="1" ref="C29" ca="1">INDIRECT("'"&amp;$A29&amp;"'!"&amp; "F" &amp; $B29)</f>
        <v>60.15</v>
      </c>
      <c r="D29" s="318" cm="1">
        <f t="array" aca="1" ref="D29" ca="1">INDIRECT("'"&amp;$A29&amp;"'!"&amp; "g" &amp; $B29)</f>
        <v>60.4</v>
      </c>
      <c r="E29" s="318" cm="1">
        <f t="array" aca="1" ref="E29" ca="1">INDIRECT("'"&amp;$A29&amp;"'!"&amp; "H" &amp; $B29)</f>
        <v>60.47</v>
      </c>
      <c r="F29" s="318" cm="1">
        <f t="array" aca="1" ref="F29" ca="1">INDIRECT("'"&amp;$A29&amp;"'!"&amp; "I" &amp; $B29)</f>
        <v>60.63</v>
      </c>
      <c r="G29" s="318" cm="1">
        <f t="array" aca="1" ref="G29" ca="1">INDIRECT("'"&amp;$A29&amp;"'!"&amp; "J" &amp; $B29)</f>
        <v>60.21</v>
      </c>
      <c r="H29" s="318" cm="1">
        <f t="array" aca="1" ref="H29" ca="1">INDIRECT("'"&amp;$A29&amp;"'!"&amp; "K" &amp; $B29)</f>
        <v>60.21</v>
      </c>
      <c r="I29" s="318" cm="1">
        <f t="array" aca="1" ref="I29" ca="1">INDIRECT("'"&amp;$A29&amp;"'!"&amp; "L" &amp; $B29)</f>
        <v>60.19</v>
      </c>
      <c r="J29" s="318" cm="1">
        <f t="array" aca="1" ref="J29" ca="1">INDIRECT("'"&amp;$A29&amp;"'!"&amp; "M" &amp; $B29)</f>
        <v>60.12</v>
      </c>
      <c r="K29" s="318" cm="1">
        <f t="array" aca="1" ref="K29" ca="1">INDIRECT("'"&amp;$A29&amp;"'!"&amp; "N" &amp; $B29)</f>
        <v>60.13</v>
      </c>
      <c r="L29" s="318" cm="1">
        <f t="array" aca="1" ref="L29" ca="1">INDIRECT("'"&amp;$A29&amp;"'!"&amp; "O" &amp; $B29)</f>
        <v>60.11</v>
      </c>
      <c r="M29" s="318" cm="1">
        <f t="array" aca="1" ref="M29" ca="1">INDIRECT("'"&amp;$A29&amp;"'!"&amp; "P" &amp; $B29)</f>
        <v>60.15</v>
      </c>
      <c r="N29" s="318" cm="1">
        <f t="array" aca="1" ref="N29" ca="1">INDIRECT("'"&amp;$A29&amp;"'!"&amp; "Q" &amp; $B29)</f>
        <v>60.23</v>
      </c>
      <c r="O29" s="318" cm="1">
        <f t="array" aca="1" ref="O29" ca="1">INDIRECT("'"&amp;$A29&amp;"'!"&amp; "R" &amp; $B29)</f>
        <v>60.17</v>
      </c>
      <c r="P29" s="318" cm="1">
        <f t="array" aca="1" ref="P29" ca="1">INDIRECT("'"&amp;$A29&amp;"'!"&amp; "S" &amp; $B29)</f>
        <v>60.2</v>
      </c>
      <c r="Q29" s="318" cm="1">
        <f t="array" aca="1" ref="Q29" ca="1">INDIRECT("'"&amp;$A29&amp;"'!"&amp; "T" &amp; $B29)</f>
        <v>60.2</v>
      </c>
      <c r="R29" s="318" cm="1">
        <f t="array" aca="1" ref="R29" ca="1">INDIRECT("'"&amp;$A29&amp;"'!"&amp; "U" &amp; $B29)</f>
        <v>60.17</v>
      </c>
      <c r="S29" s="318" cm="1">
        <f t="array" aca="1" ref="S29" ca="1">INDIRECT("'"&amp;$A29&amp;"'!"&amp; "V" &amp; $B29)</f>
        <v>60.12</v>
      </c>
      <c r="T29" s="318" cm="1">
        <f t="array" aca="1" ref="T29" ca="1">INDIRECT("'"&amp;$A29&amp;"'!"&amp; "W" &amp; $B29)</f>
        <v>60.12</v>
      </c>
      <c r="U29" s="318" cm="1">
        <f t="array" aca="1" ref="U29" ca="1">INDIRECT("'"&amp;$A29&amp;"'!"&amp; "X" &amp; $B29)</f>
        <v>60.09</v>
      </c>
      <c r="V29" s="318" cm="1">
        <f t="array" aca="1" ref="V29" ca="1">INDIRECT("'"&amp;$A29&amp;"'!"&amp; "Y" &amp; $B29)</f>
        <v>60.07</v>
      </c>
      <c r="W29" s="318" cm="1">
        <f t="array" aca="1" ref="W29" ca="1">INDIRECT("'"&amp;$A29&amp;"'!"&amp; "Z" &amp; $B29)</f>
        <v>60.15</v>
      </c>
      <c r="X29" s="318" cm="1">
        <f t="array" aca="1" ref="X29" ca="1">INDIRECT("'"&amp;$A29&amp;"'!"&amp; "AA" &amp; $B29)</f>
        <v>60.16</v>
      </c>
      <c r="Y29" s="318" cm="1">
        <f t="array" aca="1" ref="Y29" ca="1">INDIRECT("'"&amp;$A29&amp;"'!"&amp; "AB" &amp; $B29)</f>
        <v>60.14</v>
      </c>
      <c r="Z29" s="318" cm="1">
        <f t="array" aca="1" ref="Z29" ca="1">INDIRECT("'"&amp;$A29&amp;"'!"&amp; "AC" &amp; $B29)</f>
        <v>60.05</v>
      </c>
    </row>
    <row r="30" spans="1:26">
      <c r="A30" s="79">
        <v>28</v>
      </c>
      <c r="B30" s="79">
        <v>111</v>
      </c>
      <c r="C30" s="318" cm="1">
        <f t="array" aca="1" ref="C30" ca="1">INDIRECT("'"&amp;$A30&amp;"'!"&amp; "F" &amp; $B30)</f>
        <v>60.12</v>
      </c>
      <c r="D30" s="318" cm="1">
        <f t="array" aca="1" ref="D30" ca="1">INDIRECT("'"&amp;$A30&amp;"'!"&amp; "g" &amp; $B30)</f>
        <v>60.08</v>
      </c>
      <c r="E30" s="318" cm="1">
        <f t="array" aca="1" ref="E30" ca="1">INDIRECT("'"&amp;$A30&amp;"'!"&amp; "H" &amp; $B30)</f>
        <v>60.09</v>
      </c>
      <c r="F30" s="318" cm="1">
        <f t="array" aca="1" ref="F30" ca="1">INDIRECT("'"&amp;$A30&amp;"'!"&amp; "I" &amp; $B30)</f>
        <v>60.17</v>
      </c>
      <c r="G30" s="318" cm="1">
        <f t="array" aca="1" ref="G30" ca="1">INDIRECT("'"&amp;$A30&amp;"'!"&amp; "J" &amp; $B30)</f>
        <v>60.08</v>
      </c>
      <c r="H30" s="318" cm="1">
        <f t="array" aca="1" ref="H30" ca="1">INDIRECT("'"&amp;$A30&amp;"'!"&amp; "K" &amp; $B30)</f>
        <v>60.46</v>
      </c>
      <c r="I30" s="318" cm="1">
        <f t="array" aca="1" ref="I30" ca="1">INDIRECT("'"&amp;$A30&amp;"'!"&amp; "L" &amp; $B30)</f>
        <v>60.13</v>
      </c>
      <c r="J30" s="318" cm="1">
        <f t="array" aca="1" ref="J30" ca="1">INDIRECT("'"&amp;$A30&amp;"'!"&amp; "M" &amp; $B30)</f>
        <v>60.13</v>
      </c>
      <c r="K30" s="318" cm="1">
        <f t="array" aca="1" ref="K30" ca="1">INDIRECT("'"&amp;$A30&amp;"'!"&amp; "N" &amp; $B30)</f>
        <v>60.09</v>
      </c>
      <c r="L30" s="318" cm="1">
        <f t="array" aca="1" ref="L30" ca="1">INDIRECT("'"&amp;$A30&amp;"'!"&amp; "O" &amp; $B30)</f>
        <v>60.11</v>
      </c>
      <c r="M30" s="318" cm="1">
        <f t="array" aca="1" ref="M30" ca="1">INDIRECT("'"&amp;$A30&amp;"'!"&amp; "P" &amp; $B30)</f>
        <v>60.15</v>
      </c>
      <c r="N30" s="318" cm="1">
        <f t="array" aca="1" ref="N30" ca="1">INDIRECT("'"&amp;$A30&amp;"'!"&amp; "Q" &amp; $B30)</f>
        <v>60.17</v>
      </c>
      <c r="O30" s="318" cm="1">
        <f t="array" aca="1" ref="O30" ca="1">INDIRECT("'"&amp;$A30&amp;"'!"&amp; "R" &amp; $B30)</f>
        <v>60.16</v>
      </c>
      <c r="P30" s="318" cm="1">
        <f t="array" aca="1" ref="P30" ca="1">INDIRECT("'"&amp;$A30&amp;"'!"&amp; "S" &amp; $B30)</f>
        <v>60.23</v>
      </c>
      <c r="Q30" s="318" cm="1">
        <f t="array" aca="1" ref="Q30" ca="1">INDIRECT("'"&amp;$A30&amp;"'!"&amp; "T" &amp; $B30)</f>
        <v>60.23</v>
      </c>
      <c r="R30" s="318" cm="1">
        <f t="array" aca="1" ref="R30" ca="1">INDIRECT("'"&amp;$A30&amp;"'!"&amp; "U" &amp; $B30)</f>
        <v>60.14</v>
      </c>
      <c r="S30" s="318" cm="1">
        <f t="array" aca="1" ref="S30" ca="1">INDIRECT("'"&amp;$A30&amp;"'!"&amp; "V" &amp; $B30)</f>
        <v>60.07</v>
      </c>
      <c r="T30" s="318" cm="1">
        <f t="array" aca="1" ref="T30" ca="1">INDIRECT("'"&amp;$A30&amp;"'!"&amp; "W" &amp; $B30)</f>
        <v>60.15</v>
      </c>
      <c r="U30" s="318" cm="1">
        <f t="array" aca="1" ref="U30" ca="1">INDIRECT("'"&amp;$A30&amp;"'!"&amp; "X" &amp; $B30)</f>
        <v>60.19</v>
      </c>
      <c r="V30" s="318" cm="1">
        <f t="array" aca="1" ref="V30" ca="1">INDIRECT("'"&amp;$A30&amp;"'!"&amp; "Y" &amp; $B30)</f>
        <v>60.2</v>
      </c>
      <c r="W30" s="318" cm="1">
        <f t="array" aca="1" ref="W30" ca="1">INDIRECT("'"&amp;$A30&amp;"'!"&amp; "Z" &amp; $B30)</f>
        <v>60.16</v>
      </c>
      <c r="X30" s="318" cm="1">
        <f t="array" aca="1" ref="X30" ca="1">INDIRECT("'"&amp;$A30&amp;"'!"&amp; "AA" &amp; $B30)</f>
        <v>60.19</v>
      </c>
      <c r="Y30" s="318" cm="1">
        <f t="array" aca="1" ref="Y30" ca="1">INDIRECT("'"&amp;$A30&amp;"'!"&amp; "AB" &amp; $B30)</f>
        <v>60.18</v>
      </c>
      <c r="Z30" s="318" cm="1">
        <f t="array" aca="1" ref="Z30" ca="1">INDIRECT("'"&amp;$A30&amp;"'!"&amp; "AC" &amp; $B30)</f>
        <v>60.19</v>
      </c>
    </row>
    <row r="31" spans="1:26">
      <c r="A31" s="79">
        <v>29</v>
      </c>
      <c r="B31" s="79">
        <v>111</v>
      </c>
      <c r="C31" s="318" cm="1">
        <f t="array" aca="1" ref="C31" ca="1">INDIRECT("'"&amp;$A31&amp;"'!"&amp; "F" &amp; $B31)</f>
        <v>60.11</v>
      </c>
      <c r="D31" s="318" cm="1">
        <f t="array" aca="1" ref="D31" ca="1">INDIRECT("'"&amp;$A31&amp;"'!"&amp; "g" &amp; $B31)</f>
        <v>60.14</v>
      </c>
      <c r="E31" s="318" cm="1">
        <f t="array" aca="1" ref="E31" ca="1">INDIRECT("'"&amp;$A31&amp;"'!"&amp; "H" &amp; $B31)</f>
        <v>60.12</v>
      </c>
      <c r="F31" s="318" cm="1">
        <f t="array" aca="1" ref="F31" ca="1">INDIRECT("'"&amp;$A31&amp;"'!"&amp; "I" &amp; $B31)</f>
        <v>60.12</v>
      </c>
      <c r="G31" s="318" cm="1">
        <f t="array" aca="1" ref="G31" ca="1">INDIRECT("'"&amp;$A31&amp;"'!"&amp; "J" &amp; $B31)</f>
        <v>60.16</v>
      </c>
      <c r="H31" s="318" cm="1">
        <f t="array" aca="1" ref="H31" ca="1">INDIRECT("'"&amp;$A31&amp;"'!"&amp; "K" &amp; $B31)</f>
        <v>60.05</v>
      </c>
      <c r="I31" s="318" cm="1">
        <f t="array" aca="1" ref="I31" ca="1">INDIRECT("'"&amp;$A31&amp;"'!"&amp; "L" &amp; $B31)</f>
        <v>60.17</v>
      </c>
      <c r="J31" s="318" cm="1">
        <f t="array" aca="1" ref="J31" ca="1">INDIRECT("'"&amp;$A31&amp;"'!"&amp; "M" &amp; $B31)</f>
        <v>60.16</v>
      </c>
      <c r="K31" s="318" cm="1">
        <f t="array" aca="1" ref="K31" ca="1">INDIRECT("'"&amp;$A31&amp;"'!"&amp; "N" &amp; $B31)</f>
        <v>60.05</v>
      </c>
      <c r="L31" s="318" cm="1">
        <f t="array" aca="1" ref="L31" ca="1">INDIRECT("'"&amp;$A31&amp;"'!"&amp; "O" &amp; $B31)</f>
        <v>60.07</v>
      </c>
      <c r="M31" s="318" cm="1">
        <f t="array" aca="1" ref="M31" ca="1">INDIRECT("'"&amp;$A31&amp;"'!"&amp; "P" &amp; $B31)</f>
        <v>60.14</v>
      </c>
      <c r="N31" s="318" cm="1">
        <f t="array" aca="1" ref="N31" ca="1">INDIRECT("'"&amp;$A31&amp;"'!"&amp; "Q" &amp; $B31)</f>
        <v>60.16</v>
      </c>
      <c r="O31" s="318" cm="1">
        <f t="array" aca="1" ref="O31" ca="1">INDIRECT("'"&amp;$A31&amp;"'!"&amp; "R" &amp; $B31)</f>
        <v>60.18</v>
      </c>
      <c r="P31" s="318" cm="1">
        <f t="array" aca="1" ref="P31" ca="1">INDIRECT("'"&amp;$A31&amp;"'!"&amp; "S" &amp; $B31)</f>
        <v>60.22</v>
      </c>
      <c r="Q31" s="318" cm="1">
        <f t="array" aca="1" ref="Q31" ca="1">INDIRECT("'"&amp;$A31&amp;"'!"&amp; "T" &amp; $B31)</f>
        <v>60.24</v>
      </c>
      <c r="R31" s="318" cm="1">
        <f t="array" aca="1" ref="R31" ca="1">INDIRECT("'"&amp;$A31&amp;"'!"&amp; "U" &amp; $B31)</f>
        <v>60.13</v>
      </c>
      <c r="S31" s="318" cm="1">
        <f t="array" aca="1" ref="S31" ca="1">INDIRECT("'"&amp;$A31&amp;"'!"&amp; "V" &amp; $B31)</f>
        <v>60.12</v>
      </c>
      <c r="T31" s="318" cm="1">
        <f t="array" aca="1" ref="T31" ca="1">INDIRECT("'"&amp;$A31&amp;"'!"&amp; "W" &amp; $B31)</f>
        <v>60.24</v>
      </c>
      <c r="U31" s="318" cm="1">
        <f t="array" aca="1" ref="U31" ca="1">INDIRECT("'"&amp;$A31&amp;"'!"&amp; "X" &amp; $B31)</f>
        <v>60.09</v>
      </c>
      <c r="V31" s="318" cm="1">
        <f t="array" aca="1" ref="V31" ca="1">INDIRECT("'"&amp;$A31&amp;"'!"&amp; "Y" &amp; $B31)</f>
        <v>60.17</v>
      </c>
      <c r="W31" s="318" cm="1">
        <f t="array" aca="1" ref="W31" ca="1">INDIRECT("'"&amp;$A31&amp;"'!"&amp; "Z" &amp; $B31)</f>
        <v>60.16</v>
      </c>
      <c r="X31" s="318" cm="1">
        <f t="array" aca="1" ref="X31" ca="1">INDIRECT("'"&amp;$A31&amp;"'!"&amp; "AA" &amp; $B31)</f>
        <v>60.2</v>
      </c>
      <c r="Y31" s="318" cm="1">
        <f t="array" aca="1" ref="Y31" ca="1">INDIRECT("'"&amp;$A31&amp;"'!"&amp; "AB" &amp; $B31)</f>
        <v>60.16</v>
      </c>
      <c r="Z31" s="318" cm="1">
        <f t="array" aca="1" ref="Z31" ca="1">INDIRECT("'"&amp;$A31&amp;"'!"&amp; "AC" &amp; $B31)</f>
        <v>60.2</v>
      </c>
    </row>
    <row r="32" spans="1:26">
      <c r="A32" s="79">
        <v>30</v>
      </c>
      <c r="B32" s="79">
        <v>111</v>
      </c>
      <c r="C32" s="318" cm="1">
        <f t="array" aca="1" ref="C32" ca="1">INDIRECT("'"&amp;$A32&amp;"'!"&amp; "F" &amp; $B32)</f>
        <v>60.2</v>
      </c>
      <c r="D32" s="318" cm="1">
        <f t="array" aca="1" ref="D32" ca="1">INDIRECT("'"&amp;$A32&amp;"'!"&amp; "g" &amp; $B32)</f>
        <v>60.34</v>
      </c>
      <c r="E32" s="318" cm="1">
        <f t="array" aca="1" ref="E32" ca="1">INDIRECT("'"&amp;$A32&amp;"'!"&amp; "H" &amp; $B32)</f>
        <v>59.98</v>
      </c>
      <c r="F32" s="318" cm="1">
        <f t="array" aca="1" ref="F32" ca="1">INDIRECT("'"&amp;$A32&amp;"'!"&amp; "I" &amp; $B32)</f>
        <v>60.11</v>
      </c>
      <c r="G32" s="318" cm="1">
        <f t="array" aca="1" ref="G32" ca="1">INDIRECT("'"&amp;$A32&amp;"'!"&amp; "J" &amp; $B32)</f>
        <v>60.09</v>
      </c>
      <c r="H32" s="318" cm="1">
        <f t="array" aca="1" ref="H32" ca="1">INDIRECT("'"&amp;$A32&amp;"'!"&amp; "K" &amp; $B32)</f>
        <v>60.13</v>
      </c>
      <c r="I32" s="318" cm="1">
        <f t="array" aca="1" ref="I32" ca="1">INDIRECT("'"&amp;$A32&amp;"'!"&amp; "L" &amp; $B32)</f>
        <v>60.1</v>
      </c>
      <c r="J32" s="318" cm="1">
        <f t="array" aca="1" ref="J32" ca="1">INDIRECT("'"&amp;$A32&amp;"'!"&amp; "M" &amp; $B32)</f>
        <v>60.12</v>
      </c>
      <c r="K32" s="318" cm="1">
        <f t="array" aca="1" ref="K32" ca="1">INDIRECT("'"&amp;$A32&amp;"'!"&amp; "N" &amp; $B32)</f>
        <v>60.15</v>
      </c>
      <c r="L32" s="318" cm="1">
        <f t="array" aca="1" ref="L32" ca="1">INDIRECT("'"&amp;$A32&amp;"'!"&amp; "O" &amp; $B32)</f>
        <v>60.15</v>
      </c>
      <c r="M32" s="318" cm="1">
        <f t="array" aca="1" ref="M32" ca="1">INDIRECT("'"&amp;$A32&amp;"'!"&amp; "P" &amp; $B32)</f>
        <v>60.16</v>
      </c>
      <c r="N32" s="318" cm="1">
        <f t="array" aca="1" ref="N32" ca="1">INDIRECT("'"&amp;$A32&amp;"'!"&amp; "Q" &amp; $B32)</f>
        <v>60.06</v>
      </c>
      <c r="O32" s="318" cm="1">
        <f t="array" aca="1" ref="O32" ca="1">INDIRECT("'"&amp;$A32&amp;"'!"&amp; "R" &amp; $B32)</f>
        <v>60.17</v>
      </c>
      <c r="P32" s="318" cm="1">
        <f t="array" aca="1" ref="P32" ca="1">INDIRECT("'"&amp;$A32&amp;"'!"&amp; "S" &amp; $B32)</f>
        <v>60.19</v>
      </c>
      <c r="Q32" s="318" cm="1">
        <f t="array" aca="1" ref="Q32" ca="1">INDIRECT("'"&amp;$A32&amp;"'!"&amp; "T" &amp; $B32)</f>
        <v>60.18</v>
      </c>
      <c r="R32" s="318" cm="1">
        <f t="array" aca="1" ref="R32" ca="1">INDIRECT("'"&amp;$A32&amp;"'!"&amp; "U" &amp; $B32)</f>
        <v>60.25</v>
      </c>
      <c r="S32" s="318" cm="1">
        <f t="array" aca="1" ref="S32" ca="1">INDIRECT("'"&amp;$A32&amp;"'!"&amp; "V" &amp; $B32)</f>
        <v>60.27</v>
      </c>
      <c r="T32" s="318" cm="1">
        <f t="array" aca="1" ref="T32" ca="1">INDIRECT("'"&amp;$A32&amp;"'!"&amp; "W" &amp; $B32)</f>
        <v>60.37</v>
      </c>
      <c r="U32" s="318" cm="1">
        <f t="array" aca="1" ref="U32" ca="1">INDIRECT("'"&amp;$A32&amp;"'!"&amp; "X" &amp; $B32)</f>
        <v>60.32</v>
      </c>
      <c r="V32" s="318" cm="1">
        <f t="array" aca="1" ref="V32" ca="1">INDIRECT("'"&amp;$A32&amp;"'!"&amp; "Y" &amp; $B32)</f>
        <v>60.23</v>
      </c>
      <c r="W32" s="318" cm="1">
        <f t="array" aca="1" ref="W32" ca="1">INDIRECT("'"&amp;$A32&amp;"'!"&amp; "Z" &amp; $B32)</f>
        <v>60.15</v>
      </c>
      <c r="X32" s="318" cm="1">
        <f t="array" aca="1" ref="X32" ca="1">INDIRECT("'"&amp;$A32&amp;"'!"&amp; "AA" &amp; $B32)</f>
        <v>60.17</v>
      </c>
      <c r="Y32" s="318" cm="1">
        <f t="array" aca="1" ref="Y32" ca="1">INDIRECT("'"&amp;$A32&amp;"'!"&amp; "AB" &amp; $B32)</f>
        <v>60.15</v>
      </c>
      <c r="Z32" s="318" cm="1">
        <f t="array" aca="1" ref="Z32" ca="1">INDIRECT("'"&amp;$A32&amp;"'!"&amp; "AC" &amp; $B32)</f>
        <v>60.01</v>
      </c>
    </row>
    <row r="33" spans="1:28">
      <c r="A33" s="79">
        <v>31</v>
      </c>
      <c r="B33" s="79">
        <v>111</v>
      </c>
      <c r="C33" s="318" cm="1">
        <f t="array" aca="1" ref="C33" ca="1">INDIRECT("'"&amp;$A33&amp;"'!"&amp; "F" &amp; $B33)</f>
        <v>0</v>
      </c>
      <c r="D33" s="318" cm="1">
        <f t="array" aca="1" ref="D33" ca="1">INDIRECT("'"&amp;$A33&amp;"'!"&amp; "g" &amp; $B33)</f>
        <v>0</v>
      </c>
      <c r="E33" s="318" cm="1">
        <f t="array" aca="1" ref="E33" ca="1">INDIRECT("'"&amp;$A33&amp;"'!"&amp; "H" &amp; $B33)</f>
        <v>0</v>
      </c>
      <c r="F33" s="318" cm="1">
        <f t="array" aca="1" ref="F33" ca="1">INDIRECT("'"&amp;$A33&amp;"'!"&amp; "I" &amp; $B33)</f>
        <v>0</v>
      </c>
      <c r="G33" s="318" cm="1">
        <f t="array" aca="1" ref="G33" ca="1">INDIRECT("'"&amp;$A33&amp;"'!"&amp; "J" &amp; $B33)</f>
        <v>0</v>
      </c>
      <c r="H33" s="318" cm="1">
        <f t="array" aca="1" ref="H33" ca="1">INDIRECT("'"&amp;$A33&amp;"'!"&amp; "K" &amp; $B33)</f>
        <v>0</v>
      </c>
      <c r="I33" s="318" cm="1">
        <f t="array" aca="1" ref="I33" ca="1">INDIRECT("'"&amp;$A33&amp;"'!"&amp; "L" &amp; $B33)</f>
        <v>0</v>
      </c>
      <c r="J33" s="318" cm="1">
        <f t="array" aca="1" ref="J33" ca="1">INDIRECT("'"&amp;$A33&amp;"'!"&amp; "M" &amp; $B33)</f>
        <v>0</v>
      </c>
      <c r="K33" s="318" cm="1">
        <f t="array" aca="1" ref="K33" ca="1">INDIRECT("'"&amp;$A33&amp;"'!"&amp; "N" &amp; $B33)</f>
        <v>0</v>
      </c>
      <c r="L33" s="318" cm="1">
        <f t="array" aca="1" ref="L33" ca="1">INDIRECT("'"&amp;$A33&amp;"'!"&amp; "O" &amp; $B33)</f>
        <v>0</v>
      </c>
      <c r="M33" s="318" cm="1">
        <f t="array" aca="1" ref="M33" ca="1">INDIRECT("'"&amp;$A33&amp;"'!"&amp; "P" &amp; $B33)</f>
        <v>0</v>
      </c>
      <c r="N33" s="318" cm="1">
        <f t="array" aca="1" ref="N33" ca="1">INDIRECT("'"&amp;$A33&amp;"'!"&amp; "Q" &amp; $B33)</f>
        <v>0</v>
      </c>
      <c r="O33" s="318" cm="1">
        <f t="array" aca="1" ref="O33" ca="1">INDIRECT("'"&amp;$A33&amp;"'!"&amp; "R" &amp; $B33)</f>
        <v>0</v>
      </c>
      <c r="P33" s="318" cm="1">
        <f t="array" aca="1" ref="P33" ca="1">INDIRECT("'"&amp;$A33&amp;"'!"&amp; "S" &amp; $B33)</f>
        <v>0</v>
      </c>
      <c r="Q33" s="318" cm="1">
        <f t="array" aca="1" ref="Q33" ca="1">INDIRECT("'"&amp;$A33&amp;"'!"&amp; "T" &amp; $B33)</f>
        <v>0</v>
      </c>
      <c r="R33" s="318" cm="1">
        <f t="array" aca="1" ref="R33" ca="1">INDIRECT("'"&amp;$A33&amp;"'!"&amp; "U" &amp; $B33)</f>
        <v>0</v>
      </c>
      <c r="S33" s="318" cm="1">
        <f t="array" aca="1" ref="S33" ca="1">INDIRECT("'"&amp;$A33&amp;"'!"&amp; "V" &amp; $B33)</f>
        <v>0</v>
      </c>
      <c r="T33" s="318" cm="1">
        <f t="array" aca="1" ref="T33" ca="1">INDIRECT("'"&amp;$A33&amp;"'!"&amp; "W" &amp; $B33)</f>
        <v>0</v>
      </c>
      <c r="U33" s="318" cm="1">
        <f t="array" aca="1" ref="U33" ca="1">INDIRECT("'"&amp;$A33&amp;"'!"&amp; "X" &amp; $B33)</f>
        <v>0</v>
      </c>
      <c r="V33" s="318" cm="1">
        <f t="array" aca="1" ref="V33" ca="1">INDIRECT("'"&amp;$A33&amp;"'!"&amp; "Y" &amp; $B33)</f>
        <v>0</v>
      </c>
      <c r="W33" s="318" cm="1">
        <f t="array" aca="1" ref="W33" ca="1">INDIRECT("'"&amp;$A33&amp;"'!"&amp; "Z" &amp; $B33)</f>
        <v>0</v>
      </c>
      <c r="X33" s="318" cm="1">
        <f t="array" aca="1" ref="X33" ca="1">INDIRECT("'"&amp;$A33&amp;"'!"&amp; "AA" &amp; $B33)</f>
        <v>0</v>
      </c>
      <c r="Y33" s="318" cm="1">
        <f t="array" aca="1" ref="Y33" ca="1">INDIRECT("'"&amp;$A33&amp;"'!"&amp; "AB" &amp; $B33)</f>
        <v>0</v>
      </c>
      <c r="Z33" s="318" cm="1">
        <f t="array" aca="1" ref="Z33" ca="1">INDIRECT("'"&amp;$A33&amp;"'!"&amp; "AC" &amp; $B33)</f>
        <v>0</v>
      </c>
    </row>
    <row r="35" spans="1:28">
      <c r="A35" s="79">
        <v>1</v>
      </c>
      <c r="B35" s="79">
        <v>107</v>
      </c>
      <c r="C35" s="318" cm="1">
        <f t="array" aca="1" ref="C35" ca="1">INDIRECT("'"&amp;$A35&amp;"'!"&amp; "F" &amp; $B35)</f>
        <v>40.78</v>
      </c>
      <c r="D35" s="318" cm="1">
        <f t="array" aca="1" ref="D35" ca="1">INDIRECT("'"&amp;$A35&amp;"'!"&amp; "g" &amp; $B35)</f>
        <v>38.120000000000005</v>
      </c>
      <c r="E35" s="318" cm="1">
        <f t="array" aca="1" ref="E35" ca="1">INDIRECT("'"&amp;$A35&amp;"'!"&amp; "H" &amp; $B35)</f>
        <v>36.58</v>
      </c>
      <c r="F35" s="318" cm="1">
        <f t="array" aca="1" ref="F35" ca="1">INDIRECT("'"&amp;$A35&amp;"'!"&amp; "I" &amp; $B35)</f>
        <v>34.959999999999994</v>
      </c>
      <c r="G35" s="318" cm="1">
        <f t="array" aca="1" ref="G35" ca="1">INDIRECT("'"&amp;$A35&amp;"'!"&amp; "J" &amp; $B35)</f>
        <v>33.880000000000003</v>
      </c>
      <c r="H35" s="318" cm="1">
        <f t="array" aca="1" ref="H35" ca="1">INDIRECT("'"&amp;$A35&amp;"'!"&amp; "K" &amp; $B35)</f>
        <v>34.450000000000003</v>
      </c>
      <c r="I35" s="318" cm="1">
        <f t="array" aca="1" ref="I35" ca="1">INDIRECT("'"&amp;$A35&amp;"'!"&amp; "L" &amp; $B35)</f>
        <v>35.97</v>
      </c>
      <c r="J35" s="318" cm="1">
        <f t="array" aca="1" ref="J35" ca="1">INDIRECT("'"&amp;$A35&amp;"'!"&amp; "M" &amp; $B35)</f>
        <v>34.94</v>
      </c>
      <c r="K35" s="318" cm="1">
        <f t="array" aca="1" ref="K35" ca="1">INDIRECT("'"&amp;$A35&amp;"'!"&amp; "N" &amp; $B35)</f>
        <v>39.550000000000004</v>
      </c>
      <c r="L35" s="318" cm="1">
        <f t="array" aca="1" ref="L35" ca="1">INDIRECT("'"&amp;$A35&amp;"'!"&amp; "O" &amp; $B35)</f>
        <v>45.67</v>
      </c>
      <c r="M35" s="318" cm="1">
        <f t="array" aca="1" ref="M35" ca="1">INDIRECT("'"&amp;$A35&amp;"'!"&amp; "P" &amp; $B35)</f>
        <v>51.410000000000011</v>
      </c>
      <c r="N35" s="318" cm="1">
        <f t="array" aca="1" ref="N35" ca="1">INDIRECT("'"&amp;$A35&amp;"'!"&amp; "Q" &amp; $B35)</f>
        <v>52.51</v>
      </c>
      <c r="O35" s="318" cm="1">
        <f t="array" aca="1" ref="O35" ca="1">INDIRECT("'"&amp;$A35&amp;"'!"&amp; "R" &amp; $B35)</f>
        <v>52.009999999999991</v>
      </c>
      <c r="P35" s="318" cm="1">
        <f t="array" aca="1" ref="P35" ca="1">INDIRECT("'"&amp;$A35&amp;"'!"&amp; "S" &amp; $B35)</f>
        <v>51.1</v>
      </c>
      <c r="Q35" s="318" cm="1">
        <f t="array" aca="1" ref="Q35" ca="1">INDIRECT("'"&amp;$A35&amp;"'!"&amp; "T" &amp; $B35)</f>
        <v>55.529999999999994</v>
      </c>
      <c r="R35" s="318" cm="1">
        <f t="array" aca="1" ref="R35" ca="1">INDIRECT("'"&amp;$A35&amp;"'!"&amp; "U" &amp; $B35)</f>
        <v>55.065000000000005</v>
      </c>
      <c r="S35" s="318" cm="1">
        <f t="array" aca="1" ref="S35" ca="1">INDIRECT("'"&amp;$A35&amp;"'!"&amp; "V" &amp; $B35)</f>
        <v>53.570000000000007</v>
      </c>
      <c r="T35" s="318" cm="1">
        <f t="array" aca="1" ref="T35" ca="1">INDIRECT("'"&amp;$A35&amp;"'!"&amp; "W" &amp; $B35)</f>
        <v>51.849999999999994</v>
      </c>
      <c r="U35" s="318" cm="1">
        <f t="array" aca="1" ref="U35" ca="1">INDIRECT("'"&amp;$A35&amp;"'!"&amp; "X" &amp; $B35)</f>
        <v>53.08</v>
      </c>
      <c r="V35" s="318" cm="1">
        <f t="array" aca="1" ref="V35" ca="1">INDIRECT("'"&amp;$A35&amp;"'!"&amp; "Y" &amp; $B35)</f>
        <v>58.31</v>
      </c>
      <c r="W35" s="318" cm="1">
        <f t="array" aca="1" ref="W35" ca="1">INDIRECT("'"&amp;$A35&amp;"'!"&amp; "Z" &amp; $B35)</f>
        <v>56.570000000000007</v>
      </c>
      <c r="X35" s="318" cm="1">
        <f t="array" aca="1" ref="X35" ca="1">INDIRECT("'"&amp;$A35&amp;"'!"&amp; "AA" &amp; $B35)</f>
        <v>53.809999999999995</v>
      </c>
      <c r="Y35" s="318" cm="1">
        <f t="array" aca="1" ref="Y35" ca="1">INDIRECT("'"&amp;$A35&amp;"'!"&amp; "AB" &amp; $B35)</f>
        <v>51.150000000000006</v>
      </c>
      <c r="Z35" s="318" cm="1">
        <f t="array" aca="1" ref="Z35" ca="1">INDIRECT("'"&amp;$A35&amp;"'!"&amp; "AC" &amp; $B35)</f>
        <v>46.69</v>
      </c>
      <c r="AB35">
        <f ca="1">MAX(C35:Z35)</f>
        <v>58.31</v>
      </c>
    </row>
    <row r="36" spans="1:28">
      <c r="A36" s="79">
        <v>2</v>
      </c>
      <c r="B36" s="79">
        <v>107</v>
      </c>
      <c r="C36" s="318" cm="1">
        <f t="array" aca="1" ref="C36" ca="1">INDIRECT("'"&amp;$A36&amp;"'!"&amp; "F" &amp; $B36)</f>
        <v>43.14</v>
      </c>
      <c r="D36" s="318" cm="1">
        <f t="array" aca="1" ref="D36" ca="1">INDIRECT("'"&amp;$A36&amp;"'!"&amp; "g" &amp; $B36)</f>
        <v>39.760000000000005</v>
      </c>
      <c r="E36" s="318" cm="1">
        <f t="array" aca="1" ref="E36" ca="1">INDIRECT("'"&amp;$A36&amp;"'!"&amp; "H" &amp; $B36)</f>
        <v>37.570000000000007</v>
      </c>
      <c r="F36" s="318" cm="1">
        <f t="array" aca="1" ref="F36" ca="1">INDIRECT("'"&amp;$A36&amp;"'!"&amp; "I" &amp; $B36)</f>
        <v>36.67</v>
      </c>
      <c r="G36" s="318" cm="1">
        <f t="array" aca="1" ref="G36" ca="1">INDIRECT("'"&amp;$A36&amp;"'!"&amp; "J" &amp; $B36)</f>
        <v>34.770000000000003</v>
      </c>
      <c r="H36" s="318" cm="1">
        <f t="array" aca="1" ref="H36" ca="1">INDIRECT("'"&amp;$A36&amp;"'!"&amp; "K" &amp; $B36)</f>
        <v>36.099999999999994</v>
      </c>
      <c r="I36" s="318" cm="1">
        <f t="array" aca="1" ref="I36" ca="1">INDIRECT("'"&amp;$A36&amp;"'!"&amp; "L" &amp; $B36)</f>
        <v>40.699999999999996</v>
      </c>
      <c r="J36" s="318" cm="1">
        <f t="array" aca="1" ref="J36" ca="1">INDIRECT("'"&amp;$A36&amp;"'!"&amp; "M" &amp; $B36)</f>
        <v>38.410000000000004</v>
      </c>
      <c r="K36" s="318" cm="1">
        <f t="array" aca="1" ref="K36" ca="1">INDIRECT("'"&amp;$A36&amp;"'!"&amp; "N" &amp; $B36)</f>
        <v>42.23</v>
      </c>
      <c r="L36" s="318" cm="1">
        <f t="array" aca="1" ref="L36" ca="1">INDIRECT("'"&amp;$A36&amp;"'!"&amp; "O" &amp; $B36)</f>
        <v>52.6</v>
      </c>
      <c r="M36" s="318" cm="1">
        <f t="array" aca="1" ref="M36" ca="1">INDIRECT("'"&amp;$A36&amp;"'!"&amp; "P" &amp; $B36)</f>
        <v>56.349999999999994</v>
      </c>
      <c r="N36" s="318" cm="1">
        <f t="array" aca="1" ref="N36" ca="1">INDIRECT("'"&amp;$A36&amp;"'!"&amp; "Q" &amp; $B36)</f>
        <v>58.43</v>
      </c>
      <c r="O36" s="318" cm="1">
        <f t="array" aca="1" ref="O36" ca="1">INDIRECT("'"&amp;$A36&amp;"'!"&amp; "R" &amp; $B36)</f>
        <v>59.089999999999996</v>
      </c>
      <c r="P36" s="318" cm="1">
        <f t="array" aca="1" ref="P36" ca="1">INDIRECT("'"&amp;$A36&amp;"'!"&amp; "S" &amp; $B36)</f>
        <v>61.059999999999988</v>
      </c>
      <c r="Q36" s="318" cm="1">
        <f t="array" aca="1" ref="Q36" ca="1">INDIRECT("'"&amp;$A36&amp;"'!"&amp; "T" &amp; $B36)</f>
        <v>63.28</v>
      </c>
      <c r="R36" s="318" cm="1">
        <f t="array" aca="1" ref="R36" ca="1">INDIRECT("'"&amp;$A36&amp;"'!"&amp; "U" &amp; $B36)</f>
        <v>62.99</v>
      </c>
      <c r="S36" s="318" cm="1">
        <f t="array" aca="1" ref="S36" ca="1">INDIRECT("'"&amp;$A36&amp;"'!"&amp; "V" &amp; $B36)</f>
        <v>62.87</v>
      </c>
      <c r="T36" s="318" cm="1">
        <f t="array" aca="1" ref="T36" ca="1">INDIRECT("'"&amp;$A36&amp;"'!"&amp; "W" &amp; $B36)</f>
        <v>60.23</v>
      </c>
      <c r="U36" s="318" cm="1">
        <f t="array" aca="1" ref="U36" ca="1">INDIRECT("'"&amp;$A36&amp;"'!"&amp; "X" &amp; $B36)</f>
        <v>55.03</v>
      </c>
      <c r="V36" s="318" cm="1">
        <f t="array" aca="1" ref="V36" ca="1">INDIRECT("'"&amp;$A36&amp;"'!"&amp; "Y" &amp; $B36)</f>
        <v>62.089999999999996</v>
      </c>
      <c r="W36" s="318" cm="1">
        <f t="array" aca="1" ref="W36" ca="1">INDIRECT("'"&amp;$A36&amp;"'!"&amp; "Z" &amp; $B36)</f>
        <v>55.69</v>
      </c>
      <c r="X36" s="318" cm="1">
        <f t="array" aca="1" ref="X36" ca="1">INDIRECT("'"&amp;$A36&amp;"'!"&amp; "AA" &amp; $B36)</f>
        <v>54.529999999999994</v>
      </c>
      <c r="Y36" s="318" cm="1">
        <f t="array" aca="1" ref="Y36" ca="1">INDIRECT("'"&amp;$A36&amp;"'!"&amp; "AB" &amp; $B36)</f>
        <v>49.309999999999995</v>
      </c>
      <c r="Z36" s="318" cm="1">
        <f t="array" aca="1" ref="Z36" ca="1">INDIRECT("'"&amp;$A36&amp;"'!"&amp; "AC" &amp; $B36)</f>
        <v>48.169999999999995</v>
      </c>
      <c r="AB36">
        <f t="shared" ref="AB36:AB64" ca="1" si="1">MAX(C36:Z36)</f>
        <v>63.28</v>
      </c>
    </row>
    <row r="37" spans="1:28">
      <c r="A37" s="79">
        <v>3</v>
      </c>
      <c r="B37" s="79">
        <v>107</v>
      </c>
      <c r="C37" s="318" cm="1">
        <f t="array" aca="1" ref="C37" ca="1">INDIRECT("'"&amp;$A37&amp;"'!"&amp; "F" &amp; $B37)</f>
        <v>44.51</v>
      </c>
      <c r="D37" s="318" cm="1">
        <f t="array" aca="1" ref="D37" ca="1">INDIRECT("'"&amp;$A37&amp;"'!"&amp; "g" &amp; $B37)</f>
        <v>39.97</v>
      </c>
      <c r="E37" s="318" cm="1">
        <f t="array" aca="1" ref="E37" ca="1">INDIRECT("'"&amp;$A37&amp;"'!"&amp; "H" &amp; $B37)</f>
        <v>38.459999999999994</v>
      </c>
      <c r="F37" s="318" cm="1">
        <f t="array" aca="1" ref="F37" ca="1">INDIRECT("'"&amp;$A37&amp;"'!"&amp; "I" &amp; $B37)</f>
        <v>37.190000000000005</v>
      </c>
      <c r="G37" s="318" cm="1">
        <f t="array" aca="1" ref="G37" ca="1">INDIRECT("'"&amp;$A37&amp;"'!"&amp; "J" &amp; $B37)</f>
        <v>36.560000000000009</v>
      </c>
      <c r="H37" s="318" cm="1">
        <f t="array" aca="1" ref="H37" ca="1">INDIRECT("'"&amp;$A37&amp;"'!"&amp; "K" &amp; $B37)</f>
        <v>37.619999999999997</v>
      </c>
      <c r="I37" s="318" cm="1">
        <f t="array" aca="1" ref="I37" ca="1">INDIRECT("'"&amp;$A37&amp;"'!"&amp; "L" &amp; $B37)</f>
        <v>41.830000000000005</v>
      </c>
      <c r="J37" s="318" cm="1">
        <f t="array" aca="1" ref="J37" ca="1">INDIRECT("'"&amp;$A37&amp;"'!"&amp; "M" &amp; $B37)</f>
        <v>39.81</v>
      </c>
      <c r="K37" s="318" cm="1">
        <f t="array" aca="1" ref="K37" ca="1">INDIRECT("'"&amp;$A37&amp;"'!"&amp; "N" &amp; $B37)</f>
        <v>46.89</v>
      </c>
      <c r="L37" s="318" cm="1">
        <f t="array" aca="1" ref="L37" ca="1">INDIRECT("'"&amp;$A37&amp;"'!"&amp; "O" &amp; $B37)</f>
        <v>54.68</v>
      </c>
      <c r="M37" s="318" cm="1">
        <f t="array" aca="1" ref="M37" ca="1">INDIRECT("'"&amp;$A37&amp;"'!"&amp; "P" &amp; $B37)</f>
        <v>59.51</v>
      </c>
      <c r="N37" s="318" cm="1">
        <f t="array" aca="1" ref="N37" ca="1">INDIRECT("'"&amp;$A37&amp;"'!"&amp; "Q" &amp; $B37)</f>
        <v>61.16</v>
      </c>
      <c r="O37" s="318" cm="1">
        <f t="array" aca="1" ref="O37" ca="1">INDIRECT("'"&amp;$A37&amp;"'!"&amp; "R" &amp; $B37)</f>
        <v>60.89</v>
      </c>
      <c r="P37" s="318" cm="1">
        <f t="array" aca="1" ref="P37" ca="1">INDIRECT("'"&amp;$A37&amp;"'!"&amp; "S" &amp; $B37)</f>
        <v>62.48</v>
      </c>
      <c r="Q37" s="318" cm="1">
        <f t="array" aca="1" ref="Q37" ca="1">INDIRECT("'"&amp;$A37&amp;"'!"&amp; "T" &amp; $B37)</f>
        <v>65.360000000000014</v>
      </c>
      <c r="R37" s="318" cm="1">
        <f t="array" aca="1" ref="R37" ca="1">INDIRECT("'"&amp;$A37&amp;"'!"&amp; "U" &amp; $B37)</f>
        <v>66.11999999999999</v>
      </c>
      <c r="S37" s="318" cm="1">
        <f t="array" aca="1" ref="S37" ca="1">INDIRECT("'"&amp;$A37&amp;"'!"&amp; "V" &amp; $B37)</f>
        <v>64.61999999999999</v>
      </c>
      <c r="T37" s="318" cm="1">
        <f t="array" aca="1" ref="T37" ca="1">INDIRECT("'"&amp;$A37&amp;"'!"&amp; "W" &amp; $B37)</f>
        <v>62.01</v>
      </c>
      <c r="U37" s="318" cm="1">
        <f t="array" aca="1" ref="U37" ca="1">INDIRECT("'"&amp;$A37&amp;"'!"&amp; "X" &amp; $B37)</f>
        <v>58.839999999999989</v>
      </c>
      <c r="V37" s="318" cm="1">
        <f t="array" aca="1" ref="V37" ca="1">INDIRECT("'"&amp;$A37&amp;"'!"&amp; "Y" &amp; $B37)</f>
        <v>64.23</v>
      </c>
      <c r="W37" s="318" cm="1">
        <f t="array" aca="1" ref="W37" ca="1">INDIRECT("'"&amp;$A37&amp;"'!"&amp; "Z" &amp; $B37)</f>
        <v>59.929999999999986</v>
      </c>
      <c r="X37" s="318" cm="1">
        <f t="array" aca="1" ref="X37" ca="1">INDIRECT("'"&amp;$A37&amp;"'!"&amp; "AA" &amp; $B37)</f>
        <v>56.89</v>
      </c>
      <c r="Y37" s="318" cm="1">
        <f t="array" aca="1" ref="Y37" ca="1">INDIRECT("'"&amp;$A37&amp;"'!"&amp; "AB" &amp; $B37)</f>
        <v>52.760000000000005</v>
      </c>
      <c r="Z37" s="318" cm="1">
        <f t="array" aca="1" ref="Z37" ca="1">INDIRECT("'"&amp;$A37&amp;"'!"&amp; "AC" &amp; $B37)</f>
        <v>48.48</v>
      </c>
      <c r="AB37">
        <f t="shared" ca="1" si="1"/>
        <v>66.11999999999999</v>
      </c>
    </row>
    <row r="38" spans="1:28">
      <c r="A38" s="79">
        <v>4</v>
      </c>
      <c r="B38" s="79">
        <v>107</v>
      </c>
      <c r="C38" s="318" cm="1">
        <f t="array" aca="1" ref="C38" ca="1">INDIRECT("'"&amp;$A38&amp;"'!"&amp; "F" &amp; $B38)</f>
        <v>44.99</v>
      </c>
      <c r="D38" s="318" cm="1">
        <f t="array" aca="1" ref="D38" ca="1">INDIRECT("'"&amp;$A38&amp;"'!"&amp; "g" &amp; $B38)</f>
        <v>43.11</v>
      </c>
      <c r="E38" s="318" cm="1">
        <f t="array" aca="1" ref="E38" ca="1">INDIRECT("'"&amp;$A38&amp;"'!"&amp; "H" &amp; $B38)</f>
        <v>40.35</v>
      </c>
      <c r="F38" s="318" cm="1">
        <f t="array" aca="1" ref="F38" ca="1">INDIRECT("'"&amp;$A38&amp;"'!"&amp; "I" &amp; $B38)</f>
        <v>40.47</v>
      </c>
      <c r="G38" s="318" cm="1">
        <f t="array" aca="1" ref="G38" ca="1">INDIRECT("'"&amp;$A38&amp;"'!"&amp; "J" &amp; $B38)</f>
        <v>38.829999999999991</v>
      </c>
      <c r="H38" s="318" cm="1">
        <f t="array" aca="1" ref="H38" ca="1">INDIRECT("'"&amp;$A38&amp;"'!"&amp; "K" &amp; $B38)</f>
        <v>39.32</v>
      </c>
      <c r="I38" s="318" cm="1">
        <f t="array" aca="1" ref="I38" ca="1">INDIRECT("'"&amp;$A38&amp;"'!"&amp; "L" &amp; $B38)</f>
        <v>42.420000000000009</v>
      </c>
      <c r="J38" s="318" cm="1">
        <f t="array" aca="1" ref="J38" ca="1">INDIRECT("'"&amp;$A38&amp;"'!"&amp; "M" &amp; $B38)</f>
        <v>41.1</v>
      </c>
      <c r="K38" s="318" cm="1">
        <f t="array" aca="1" ref="K38" ca="1">INDIRECT("'"&amp;$A38&amp;"'!"&amp; "N" &amp; $B38)</f>
        <v>46.459999999999994</v>
      </c>
      <c r="L38" s="318" cm="1">
        <f t="array" aca="1" ref="L38" ca="1">INDIRECT("'"&amp;$A38&amp;"'!"&amp; "O" &amp; $B38)</f>
        <v>56.54</v>
      </c>
      <c r="M38" s="318" cm="1">
        <f t="array" aca="1" ref="M38" ca="1">INDIRECT("'"&amp;$A38&amp;"'!"&amp; "P" &amp; $B38)</f>
        <v>60.97</v>
      </c>
      <c r="N38" s="318" cm="1">
        <f t="array" aca="1" ref="N38" ca="1">INDIRECT("'"&amp;$A38&amp;"'!"&amp; "Q" &amp; $B38)</f>
        <v>62.128699999999995</v>
      </c>
      <c r="O38" s="318" cm="1">
        <f t="array" aca="1" ref="O38" ca="1">INDIRECT("'"&amp;$A38&amp;"'!"&amp; "R" &amp; $B38)</f>
        <v>62.6</v>
      </c>
      <c r="P38" s="318" cm="1">
        <f t="array" aca="1" ref="P38" ca="1">INDIRECT("'"&amp;$A38&amp;"'!"&amp; "S" &amp; $B38)</f>
        <v>63.37</v>
      </c>
      <c r="Q38" s="318" cm="1">
        <f t="array" aca="1" ref="Q38" ca="1">INDIRECT("'"&amp;$A38&amp;"'!"&amp; "T" &amp; $B38)</f>
        <v>65.849999999999994</v>
      </c>
      <c r="R38" s="318" cm="1">
        <f t="array" aca="1" ref="R38" ca="1">INDIRECT("'"&amp;$A38&amp;"'!"&amp; "U" &amp; $B38)</f>
        <v>66.31</v>
      </c>
      <c r="S38" s="318" cm="1">
        <f t="array" aca="1" ref="S38" ca="1">INDIRECT("'"&amp;$A38&amp;"'!"&amp; "V" &amp; $B38)</f>
        <v>64.715714285714284</v>
      </c>
      <c r="T38" s="318" cm="1">
        <f t="array" aca="1" ref="T38" ca="1">INDIRECT("'"&amp;$A38&amp;"'!"&amp; "W" &amp; $B38)</f>
        <v>61.87</v>
      </c>
      <c r="U38" s="318" cm="1">
        <f t="array" aca="1" ref="U38" ca="1">INDIRECT("'"&amp;$A38&amp;"'!"&amp; "X" &amp; $B38)</f>
        <v>59.33</v>
      </c>
      <c r="V38" s="318" cm="1">
        <f t="array" aca="1" ref="V38" ca="1">INDIRECT("'"&amp;$A38&amp;"'!"&amp; "Y" &amp; $B38)</f>
        <v>57.85</v>
      </c>
      <c r="W38" s="318" cm="1">
        <f t="array" aca="1" ref="W38" ca="1">INDIRECT("'"&amp;$A38&amp;"'!"&amp; "Z" &amp; $B38)</f>
        <v>60.19</v>
      </c>
      <c r="X38" s="318" cm="1">
        <f t="array" aca="1" ref="X38" ca="1">INDIRECT("'"&amp;$A38&amp;"'!"&amp; "AA" &amp; $B38)</f>
        <v>57.65</v>
      </c>
      <c r="Y38" s="318" cm="1">
        <f t="array" aca="1" ref="Y38" ca="1">INDIRECT("'"&amp;$A38&amp;"'!"&amp; "AB" &amp; $B38)</f>
        <v>52.3</v>
      </c>
      <c r="Z38" s="318" cm="1">
        <f t="array" aca="1" ref="Z38" ca="1">INDIRECT("'"&amp;$A38&amp;"'!"&amp; "AC" &amp; $B38)</f>
        <v>48.750000000000007</v>
      </c>
      <c r="AB38">
        <f t="shared" ca="1" si="1"/>
        <v>66.31</v>
      </c>
    </row>
    <row r="39" spans="1:28">
      <c r="A39" s="79">
        <v>5</v>
      </c>
      <c r="B39" s="79">
        <v>107</v>
      </c>
      <c r="C39" s="318" cm="1">
        <f t="array" aca="1" ref="C39" ca="1">INDIRECT("'"&amp;$A39&amp;"'!"&amp; "F" &amp; $B39)</f>
        <v>43.76</v>
      </c>
      <c r="D39" s="318" cm="1">
        <f t="array" aca="1" ref="D39" ca="1">INDIRECT("'"&amp;$A39&amp;"'!"&amp; "g" &amp; $B39)</f>
        <v>41.859999999999992</v>
      </c>
      <c r="E39" s="318" cm="1">
        <f t="array" aca="1" ref="E39" ca="1">INDIRECT("'"&amp;$A39&amp;"'!"&amp; "H" &amp; $B39)</f>
        <v>39.989999999999995</v>
      </c>
      <c r="F39" s="318" cm="1">
        <f t="array" aca="1" ref="F39" ca="1">INDIRECT("'"&amp;$A39&amp;"'!"&amp; "I" &amp; $B39)</f>
        <v>38.6</v>
      </c>
      <c r="G39" s="318" cm="1">
        <f t="array" aca="1" ref="G39" ca="1">INDIRECT("'"&amp;$A39&amp;"'!"&amp; "J" &amp; $B39)</f>
        <v>37.4</v>
      </c>
      <c r="H39" s="318" cm="1">
        <f t="array" aca="1" ref="H39" ca="1">INDIRECT("'"&amp;$A39&amp;"'!"&amp; "K" &amp; $B39)</f>
        <v>38.160000000000004</v>
      </c>
      <c r="I39" s="318" cm="1">
        <f t="array" aca="1" ref="I39" ca="1">INDIRECT("'"&amp;$A39&amp;"'!"&amp; "L" &amp; $B39)</f>
        <v>40.249999999999993</v>
      </c>
      <c r="J39" s="318" cm="1">
        <f t="array" aca="1" ref="J39" ca="1">INDIRECT("'"&amp;$A39&amp;"'!"&amp; "M" &amp; $B39)</f>
        <v>39.18</v>
      </c>
      <c r="K39" s="318" cm="1">
        <f t="array" aca="1" ref="K39" ca="1">INDIRECT("'"&amp;$A39&amp;"'!"&amp; "N" &amp; $B39)</f>
        <v>42.509999999999991</v>
      </c>
      <c r="L39" s="318" cm="1">
        <f t="array" aca="1" ref="L39" ca="1">INDIRECT("'"&amp;$A39&amp;"'!"&amp; "O" &amp; $B39)</f>
        <v>50.410000000000004</v>
      </c>
      <c r="M39" s="318" cm="1">
        <f t="array" aca="1" ref="M39" ca="1">INDIRECT("'"&amp;$A39&amp;"'!"&amp; "P" &amp; $B39)</f>
        <v>54.499999999999993</v>
      </c>
      <c r="N39" s="318" cm="1">
        <f t="array" aca="1" ref="N39" ca="1">INDIRECT("'"&amp;$A39&amp;"'!"&amp; "Q" &amp; $B39)</f>
        <v>55.750000000000007</v>
      </c>
      <c r="O39" s="318" cm="1">
        <f t="array" aca="1" ref="O39" ca="1">INDIRECT("'"&amp;$A39&amp;"'!"&amp; "R" &amp; $B39)</f>
        <v>54.739999999999995</v>
      </c>
      <c r="P39" s="318" cm="1">
        <f t="array" aca="1" ref="P39" ca="1">INDIRECT("'"&amp;$A39&amp;"'!"&amp; "S" &amp; $B39)</f>
        <v>55.175000000000004</v>
      </c>
      <c r="Q39" s="318" cm="1">
        <f t="array" aca="1" ref="Q39" ca="1">INDIRECT("'"&amp;$A39&amp;"'!"&amp; "T" &amp; $B39)</f>
        <v>59.67</v>
      </c>
      <c r="R39" s="318" cm="1">
        <f t="array" aca="1" ref="R39" ca="1">INDIRECT("'"&amp;$A39&amp;"'!"&amp; "U" &amp; $B39)</f>
        <v>60.080000000000005</v>
      </c>
      <c r="S39" s="318" cm="1">
        <f t="array" aca="1" ref="S39" ca="1">INDIRECT("'"&amp;$A39&amp;"'!"&amp; "V" &amp; $B39)</f>
        <v>59.11</v>
      </c>
      <c r="T39" s="318" cm="1">
        <f t="array" aca="1" ref="T39" ca="1">INDIRECT("'"&amp;$A39&amp;"'!"&amp; "W" &amp; $B39)</f>
        <v>53.060000000000009</v>
      </c>
      <c r="U39" s="318" cm="1">
        <f t="array" aca="1" ref="U39" ca="1">INDIRECT("'"&amp;$A39&amp;"'!"&amp; "X" &amp; $B39)</f>
        <v>56.25</v>
      </c>
      <c r="V39" s="318" cm="1">
        <f t="array" aca="1" ref="V39" ca="1">INDIRECT("'"&amp;$A39&amp;"'!"&amp; "Y" &amp; $B39)</f>
        <v>60.789999999999992</v>
      </c>
      <c r="W39" s="318" cm="1">
        <f t="array" aca="1" ref="W39" ca="1">INDIRECT("'"&amp;$A39&amp;"'!"&amp; "Z" &amp; $B39)</f>
        <v>58.900000000000006</v>
      </c>
      <c r="X39" s="318" cm="1">
        <f t="array" aca="1" ref="X39" ca="1">INDIRECT("'"&amp;$A39&amp;"'!"&amp; "AA" &amp; $B39)</f>
        <v>55.63</v>
      </c>
      <c r="Y39" s="318" cm="1">
        <f t="array" aca="1" ref="Y39" ca="1">INDIRECT("'"&amp;$A39&amp;"'!"&amp; "AB" &amp; $B39)</f>
        <v>52.179999999999993</v>
      </c>
      <c r="Z39" s="318" cm="1">
        <f t="array" aca="1" ref="Z39" ca="1">INDIRECT("'"&amp;$A39&amp;"'!"&amp; "AC" &amp; $B39)</f>
        <v>47.49</v>
      </c>
      <c r="AB39">
        <f t="shared" ca="1" si="1"/>
        <v>60.789999999999992</v>
      </c>
    </row>
    <row r="40" spans="1:28">
      <c r="A40" s="79">
        <v>6</v>
      </c>
      <c r="B40" s="79">
        <v>107</v>
      </c>
      <c r="C40" s="318" cm="1">
        <f t="array" aca="1" ref="C40" ca="1">INDIRECT("'"&amp;$A40&amp;"'!"&amp; "F" &amp; $B40)</f>
        <v>45.449999999999989</v>
      </c>
      <c r="D40" s="318" cm="1">
        <f t="array" aca="1" ref="D40" ca="1">INDIRECT("'"&amp;$A40&amp;"'!"&amp; "g" &amp; $B40)</f>
        <v>42.99</v>
      </c>
      <c r="E40" s="318" cm="1">
        <f t="array" aca="1" ref="E40" ca="1">INDIRECT("'"&amp;$A40&amp;"'!"&amp; "H" &amp; $B40)</f>
        <v>40.830000000000005</v>
      </c>
      <c r="F40" s="318" cm="1">
        <f t="array" aca="1" ref="F40" ca="1">INDIRECT("'"&amp;$A40&amp;"'!"&amp; "I" &amp; $B40)</f>
        <v>39.629999999999995</v>
      </c>
      <c r="G40" s="318" cm="1">
        <f t="array" aca="1" ref="G40" ca="1">INDIRECT("'"&amp;$A40&amp;"'!"&amp; "J" &amp; $B40)</f>
        <v>38.15</v>
      </c>
      <c r="H40" s="318" cm="1">
        <f t="array" aca="1" ref="H40" ca="1">INDIRECT("'"&amp;$A40&amp;"'!"&amp; "K" &amp; $B40)</f>
        <v>38.58</v>
      </c>
      <c r="I40" s="318" cm="1">
        <f t="array" aca="1" ref="I40" ca="1">INDIRECT("'"&amp;$A40&amp;"'!"&amp; "L" &amp; $B40)</f>
        <v>39.489999999999995</v>
      </c>
      <c r="J40" s="318" cm="1">
        <f t="array" aca="1" ref="J40" ca="1">INDIRECT("'"&amp;$A40&amp;"'!"&amp; "M" &amp; $B40)</f>
        <v>38.86999999999999</v>
      </c>
      <c r="K40" s="318" cm="1">
        <f t="array" aca="1" ref="K40" ca="1">INDIRECT("'"&amp;$A40&amp;"'!"&amp; "N" &amp; $B40)</f>
        <v>42.49</v>
      </c>
      <c r="L40" s="318" cm="1">
        <f t="array" aca="1" ref="L40" ca="1">INDIRECT("'"&amp;$A40&amp;"'!"&amp; "O" &amp; $B40)</f>
        <v>46.77</v>
      </c>
      <c r="M40" s="318" cm="1">
        <f t="array" aca="1" ref="M40" ca="1">INDIRECT("'"&amp;$A40&amp;"'!"&amp; "P" &amp; $B40)</f>
        <v>50.52</v>
      </c>
      <c r="N40" s="318" cm="1">
        <f t="array" aca="1" ref="N40" ca="1">INDIRECT("'"&amp;$A40&amp;"'!"&amp; "Q" &amp; $B40)</f>
        <v>51.720000000000006</v>
      </c>
      <c r="O40" s="318" cm="1">
        <f t="array" aca="1" ref="O40" ca="1">INDIRECT("'"&amp;$A40&amp;"'!"&amp; "R" &amp; $B40)</f>
        <v>52.86999999999999</v>
      </c>
      <c r="P40" s="318" cm="1">
        <f t="array" aca="1" ref="P40" ca="1">INDIRECT("'"&amp;$A40&amp;"'!"&amp; "S" &amp; $B40)</f>
        <v>54.33</v>
      </c>
      <c r="Q40" s="318" cm="1">
        <f t="array" aca="1" ref="Q40" ca="1">INDIRECT("'"&amp;$A40&amp;"'!"&amp; "T" &amp; $B40)</f>
        <v>55.8</v>
      </c>
      <c r="R40" s="318" cm="1">
        <f t="array" aca="1" ref="R40" ca="1">INDIRECT("'"&amp;$A40&amp;"'!"&amp; "U" &amp; $B40)</f>
        <v>55.71</v>
      </c>
      <c r="S40" s="318" cm="1">
        <f t="array" aca="1" ref="S40" ca="1">INDIRECT("'"&amp;$A40&amp;"'!"&amp; "V" &amp; $B40)</f>
        <v>54.499999999999993</v>
      </c>
      <c r="T40" s="318" cm="1">
        <f t="array" aca="1" ref="T40" ca="1">INDIRECT("'"&amp;$A40&amp;"'!"&amp; "W" &amp; $B40)</f>
        <v>53.250000000000007</v>
      </c>
      <c r="U40" s="318" cm="1">
        <f t="array" aca="1" ref="U40" ca="1">INDIRECT("'"&amp;$A40&amp;"'!"&amp; "X" &amp; $B40)</f>
        <v>55.95</v>
      </c>
      <c r="V40" s="318" cm="1">
        <f t="array" aca="1" ref="V40" ca="1">INDIRECT("'"&amp;$A40&amp;"'!"&amp; "Y" &amp; $B40)</f>
        <v>61.099999999999994</v>
      </c>
      <c r="W40" s="318" cm="1">
        <f t="array" aca="1" ref="W40" ca="1">INDIRECT("'"&amp;$A40&amp;"'!"&amp; "Z" &amp; $B40)</f>
        <v>58.35</v>
      </c>
      <c r="X40" s="318" cm="1">
        <f t="array" aca="1" ref="X40" ca="1">INDIRECT("'"&amp;$A40&amp;"'!"&amp; "AA" &amp; $B40)</f>
        <v>56.44</v>
      </c>
      <c r="Y40" s="318" cm="1">
        <f t="array" aca="1" ref="Y40" ca="1">INDIRECT("'"&amp;$A40&amp;"'!"&amp; "AB" &amp; $B40)</f>
        <v>52.57</v>
      </c>
      <c r="Z40" s="318" cm="1">
        <f t="array" aca="1" ref="Z40" ca="1">INDIRECT("'"&amp;$A40&amp;"'!"&amp; "AC" &amp; $B40)</f>
        <v>49.250000000000007</v>
      </c>
      <c r="AB40">
        <f t="shared" ca="1" si="1"/>
        <v>61.099999999999994</v>
      </c>
    </row>
    <row r="41" spans="1:28">
      <c r="A41" s="79">
        <v>7</v>
      </c>
      <c r="B41" s="79">
        <v>107</v>
      </c>
      <c r="C41" s="318" cm="1">
        <f t="array" aca="1" ref="C41" ca="1">INDIRECT("'"&amp;$A41&amp;"'!"&amp; "F" &amp; $B41)</f>
        <v>45.290000000000006</v>
      </c>
      <c r="D41" s="318" cm="1">
        <f t="array" aca="1" ref="D41" ca="1">INDIRECT("'"&amp;$A41&amp;"'!"&amp; "g" &amp; $B41)</f>
        <v>42.13</v>
      </c>
      <c r="E41" s="318" cm="1">
        <f t="array" aca="1" ref="E41" ca="1">INDIRECT("'"&amp;$A41&amp;"'!"&amp; "H" &amp; $B41)</f>
        <v>40.220000000000006</v>
      </c>
      <c r="F41" s="318" cm="1">
        <f t="array" aca="1" ref="F41" ca="1">INDIRECT("'"&amp;$A41&amp;"'!"&amp; "I" &amp; $B41)</f>
        <v>38.449999999999996</v>
      </c>
      <c r="G41" s="318" cm="1">
        <f t="array" aca="1" ref="G41" ca="1">INDIRECT("'"&amp;$A41&amp;"'!"&amp; "J" &amp; $B41)</f>
        <v>37.299999999999997</v>
      </c>
      <c r="H41" s="318" cm="1">
        <f t="array" aca="1" ref="H41" ca="1">INDIRECT("'"&amp;$A41&amp;"'!"&amp; "K" &amp; $B41)</f>
        <v>38.990000000000009</v>
      </c>
      <c r="I41" s="318" cm="1">
        <f t="array" aca="1" ref="I41" ca="1">INDIRECT("'"&amp;$A41&amp;"'!"&amp; "L" &amp; $B41)</f>
        <v>44.289999999999992</v>
      </c>
      <c r="J41" s="318" cm="1">
        <f t="array" aca="1" ref="J41" ca="1">INDIRECT("'"&amp;$A41&amp;"'!"&amp; "M" &amp; $B41)</f>
        <v>41.669999999999995</v>
      </c>
      <c r="K41" s="318" cm="1">
        <f t="array" aca="1" ref="K41" ca="1">INDIRECT("'"&amp;$A41&amp;"'!"&amp; "N" &amp; $B41)</f>
        <v>46.94</v>
      </c>
      <c r="L41" s="318" cm="1">
        <f t="array" aca="1" ref="L41" ca="1">INDIRECT("'"&amp;$A41&amp;"'!"&amp; "O" &amp; $B41)</f>
        <v>56.860000000000007</v>
      </c>
      <c r="M41" s="318" cm="1">
        <f t="array" aca="1" ref="M41" ca="1">INDIRECT("'"&amp;$A41&amp;"'!"&amp; "P" &amp; $B41)</f>
        <v>62.32</v>
      </c>
      <c r="N41" s="318" cm="1">
        <f t="array" aca="1" ref="N41" ca="1">INDIRECT("'"&amp;$A41&amp;"'!"&amp; "Q" &amp; $B41)</f>
        <v>63.890000000000008</v>
      </c>
      <c r="O41" s="318" cm="1">
        <f t="array" aca="1" ref="O41" ca="1">INDIRECT("'"&amp;$A41&amp;"'!"&amp; "R" &amp; $B41)</f>
        <v>64.66</v>
      </c>
      <c r="P41" s="318" cm="1">
        <f t="array" aca="1" ref="P41" ca="1">INDIRECT("'"&amp;$A41&amp;"'!"&amp; "S" &amp; $B41)</f>
        <v>61.93</v>
      </c>
      <c r="Q41" s="318" cm="1">
        <f t="array" aca="1" ref="Q41" ca="1">INDIRECT("'"&amp;$A41&amp;"'!"&amp; "T" &amp; $B41)</f>
        <v>61.539999999999992</v>
      </c>
      <c r="R41" s="318" cm="1">
        <f t="array" aca="1" ref="R41" ca="1">INDIRECT("'"&amp;$A41&amp;"'!"&amp; "U" &amp; $B41)</f>
        <v>60.920000000000009</v>
      </c>
      <c r="S41" s="318" cm="1">
        <f t="array" aca="1" ref="S41" ca="1">INDIRECT("'"&amp;$A41&amp;"'!"&amp; "V" &amp; $B41)</f>
        <v>59.17</v>
      </c>
      <c r="T41" s="318" cm="1">
        <f t="array" aca="1" ref="T41" ca="1">INDIRECT("'"&amp;$A41&amp;"'!"&amp; "W" &amp; $B41)</f>
        <v>57.179999999999993</v>
      </c>
      <c r="U41" s="318" cm="1">
        <f t="array" aca="1" ref="U41" ca="1">INDIRECT("'"&amp;$A41&amp;"'!"&amp; "X" &amp; $B41)</f>
        <v>54.419999999999995</v>
      </c>
      <c r="V41" s="318" cm="1">
        <f t="array" aca="1" ref="V41" ca="1">INDIRECT("'"&amp;$A41&amp;"'!"&amp; "Y" &amp; $B41)</f>
        <v>57.050000000000004</v>
      </c>
      <c r="W41" s="318" cm="1">
        <f t="array" aca="1" ref="W41" ca="1">INDIRECT("'"&amp;$A41&amp;"'!"&amp; "Z" &amp; $B41)</f>
        <v>55.830000000000005</v>
      </c>
      <c r="X41" s="318" cm="1">
        <f t="array" aca="1" ref="X41" ca="1">INDIRECT("'"&amp;$A41&amp;"'!"&amp; "AA" &amp; $B41)</f>
        <v>53.139999999999993</v>
      </c>
      <c r="Y41" s="318" cm="1">
        <f t="array" aca="1" ref="Y41" ca="1">INDIRECT("'"&amp;$A41&amp;"'!"&amp; "AB" &amp; $B41)</f>
        <v>49.53</v>
      </c>
      <c r="Z41" s="318" cm="1">
        <f t="array" aca="1" ref="Z41" ca="1">INDIRECT("'"&amp;$A41&amp;"'!"&amp; "AC" &amp; $B41)</f>
        <v>44.9</v>
      </c>
      <c r="AB41">
        <f t="shared" ca="1" si="1"/>
        <v>64.66</v>
      </c>
    </row>
    <row r="42" spans="1:28">
      <c r="A42" s="79">
        <v>8</v>
      </c>
      <c r="B42" s="79">
        <v>107</v>
      </c>
      <c r="C42" s="318" cm="1">
        <f t="array" aca="1" ref="C42" ca="1">INDIRECT("'"&amp;$A42&amp;"'!"&amp; "F" &amp; $B42)</f>
        <v>42.08</v>
      </c>
      <c r="D42" s="318" cm="1">
        <f t="array" aca="1" ref="D42" ca="1">INDIRECT("'"&amp;$A42&amp;"'!"&amp; "g" &amp; $B42)</f>
        <v>39.660000000000004</v>
      </c>
      <c r="E42" s="318" cm="1">
        <f t="array" aca="1" ref="E42" ca="1">INDIRECT("'"&amp;$A42&amp;"'!"&amp; "H" &amp; $B42)</f>
        <v>37.72</v>
      </c>
      <c r="F42" s="318" cm="1">
        <f t="array" aca="1" ref="F42" ca="1">INDIRECT("'"&amp;$A42&amp;"'!"&amp; "I" &amp; $B42)</f>
        <v>37.019999999999996</v>
      </c>
      <c r="G42" s="318" cm="1">
        <f t="array" aca="1" ref="G42" ca="1">INDIRECT("'"&amp;$A42&amp;"'!"&amp; "J" &amp; $B42)</f>
        <v>36.72</v>
      </c>
      <c r="H42" s="318" cm="1">
        <f t="array" aca="1" ref="H42" ca="1">INDIRECT("'"&amp;$A42&amp;"'!"&amp; "K" &amp; $B42)</f>
        <v>40.200000000000003</v>
      </c>
      <c r="I42" s="318" cm="1">
        <f t="array" aca="1" ref="I42" ca="1">INDIRECT("'"&amp;$A42&amp;"'!"&amp; "L" &amp; $B42)</f>
        <v>42.330000000000005</v>
      </c>
      <c r="J42" s="318" cm="1">
        <f t="array" aca="1" ref="J42" ca="1">INDIRECT("'"&amp;$A42&amp;"'!"&amp; "M" &amp; $B42)</f>
        <v>40.739999999999995</v>
      </c>
      <c r="K42" s="318" cm="1">
        <f t="array" aca="1" ref="K42" ca="1">INDIRECT("'"&amp;$A42&amp;"'!"&amp; "N" &amp; $B42)</f>
        <v>48.2</v>
      </c>
      <c r="L42" s="318" cm="1">
        <f t="array" aca="1" ref="L42" ca="1">INDIRECT("'"&amp;$A42&amp;"'!"&amp; "O" &amp; $B42)</f>
        <v>54.939999999999991</v>
      </c>
      <c r="M42" s="318" cm="1">
        <f t="array" aca="1" ref="M42" ca="1">INDIRECT("'"&amp;$A42&amp;"'!"&amp; "P" &amp; $B42)</f>
        <v>61.140000000000008</v>
      </c>
      <c r="N42" s="318" cm="1">
        <f t="array" aca="1" ref="N42" ca="1">INDIRECT("'"&amp;$A42&amp;"'!"&amp; "Q" &amp; $B42)</f>
        <v>62.22</v>
      </c>
      <c r="O42" s="318" cm="1">
        <f t="array" aca="1" ref="O42" ca="1">INDIRECT("'"&amp;$A42&amp;"'!"&amp; "R" &amp; $B42)</f>
        <v>63.389999999999993</v>
      </c>
      <c r="P42" s="318" cm="1">
        <f t="array" aca="1" ref="P42" ca="1">INDIRECT("'"&amp;$A42&amp;"'!"&amp; "S" &amp; $B42)</f>
        <v>64.64</v>
      </c>
      <c r="Q42" s="318" cm="1">
        <f t="array" aca="1" ref="Q42" ca="1">INDIRECT("'"&amp;$A42&amp;"'!"&amp; "T" &amp; $B42)</f>
        <v>66.97</v>
      </c>
      <c r="R42" s="318" cm="1">
        <f t="array" aca="1" ref="R42" ca="1">INDIRECT("'"&amp;$A42&amp;"'!"&amp; "U" &amp; $B42)</f>
        <v>66.029999999999987</v>
      </c>
      <c r="S42" s="318" cm="1">
        <f t="array" aca="1" ref="S42" ca="1">INDIRECT("'"&amp;$A42&amp;"'!"&amp; "V" &amp; $B42)</f>
        <v>64.88</v>
      </c>
      <c r="T42" s="318" cm="1">
        <f t="array" aca="1" ref="T42" ca="1">INDIRECT("'"&amp;$A42&amp;"'!"&amp; "W" &amp; $B42)</f>
        <v>61.69</v>
      </c>
      <c r="U42" s="318" cm="1">
        <f t="array" aca="1" ref="U42" ca="1">INDIRECT("'"&amp;$A42&amp;"'!"&amp; "X" &amp; $B42)</f>
        <v>60.629999999999995</v>
      </c>
      <c r="V42" s="318" cm="1">
        <f t="array" aca="1" ref="V42" ca="1">INDIRECT("'"&amp;$A42&amp;"'!"&amp; "Y" &amp; $B42)</f>
        <v>62.76</v>
      </c>
      <c r="W42" s="318" cm="1">
        <f t="array" aca="1" ref="W42" ca="1">INDIRECT("'"&amp;$A42&amp;"'!"&amp; "Z" &amp; $B42)</f>
        <v>60.02</v>
      </c>
      <c r="X42" s="318" cm="1">
        <f t="array" aca="1" ref="X42" ca="1">INDIRECT("'"&amp;$A42&amp;"'!"&amp; "AA" &amp; $B42)</f>
        <v>57.56</v>
      </c>
      <c r="Y42" s="318" cm="1">
        <f t="array" aca="1" ref="Y42" ca="1">INDIRECT("'"&amp;$A42&amp;"'!"&amp; "AB" &amp; $B42)</f>
        <v>53.45</v>
      </c>
      <c r="Z42" s="318" cm="1">
        <f t="array" aca="1" ref="Z42" ca="1">INDIRECT("'"&amp;$A42&amp;"'!"&amp; "AC" &amp; $B42)</f>
        <v>49.800000000000004</v>
      </c>
      <c r="AB42">
        <f t="shared" ca="1" si="1"/>
        <v>66.97</v>
      </c>
    </row>
    <row r="43" spans="1:28">
      <c r="A43" s="79">
        <v>9</v>
      </c>
      <c r="B43" s="79">
        <v>108</v>
      </c>
      <c r="C43" s="318" cm="1">
        <f t="array" aca="1" ref="C43" ca="1">INDIRECT("'"&amp;$A43&amp;"'!"&amp; "F" &amp; $B43)</f>
        <v>46.220000000000006</v>
      </c>
      <c r="D43" s="318" cm="1">
        <f t="array" aca="1" ref="D43" ca="1">INDIRECT("'"&amp;$A43&amp;"'!"&amp; "g" &amp; $B43)</f>
        <v>43.52</v>
      </c>
      <c r="E43" s="318" cm="1">
        <f t="array" aca="1" ref="E43" ca="1">INDIRECT("'"&amp;$A43&amp;"'!"&amp; "H" &amp; $B43)</f>
        <v>39.72</v>
      </c>
      <c r="F43" s="318" cm="1">
        <f t="array" aca="1" ref="F43" ca="1">INDIRECT("'"&amp;$A43&amp;"'!"&amp; "I" &amp; $B43)</f>
        <v>38.1</v>
      </c>
      <c r="G43" s="318" cm="1">
        <f t="array" aca="1" ref="G43" ca="1">INDIRECT("'"&amp;$A43&amp;"'!"&amp; "J" &amp; $B43)</f>
        <v>37.479999999999997</v>
      </c>
      <c r="H43" s="318" cm="1">
        <f t="array" aca="1" ref="H43" ca="1">INDIRECT("'"&amp;$A43&amp;"'!"&amp; "K" &amp; $B43)</f>
        <v>38.700000000000003</v>
      </c>
      <c r="I43" s="318" cm="1">
        <f t="array" aca="1" ref="I43" ca="1">INDIRECT("'"&amp;$A43&amp;"'!"&amp; "L" &amp; $B43)</f>
        <v>41.019999999999996</v>
      </c>
      <c r="J43" s="318" cm="1">
        <f t="array" aca="1" ref="J43" ca="1">INDIRECT("'"&amp;$A43&amp;"'!"&amp; "M" &amp; $B43)</f>
        <v>39.839999999999996</v>
      </c>
      <c r="K43" s="318" cm="1">
        <f t="array" aca="1" ref="K43" ca="1">INDIRECT("'"&amp;$A43&amp;"'!"&amp; "N" &amp; $B43)</f>
        <v>43.18</v>
      </c>
      <c r="L43" s="318" cm="1">
        <f t="array" aca="1" ref="L43" ca="1">INDIRECT("'"&amp;$A43&amp;"'!"&amp; "O" &amp; $B43)</f>
        <v>51.070000000000007</v>
      </c>
      <c r="M43" s="318" cm="1">
        <f t="array" aca="1" ref="M43" ca="1">INDIRECT("'"&amp;$A43&amp;"'!"&amp; "P" &amp; $B43)</f>
        <v>55.769999999999989</v>
      </c>
      <c r="N43" s="318" cm="1">
        <f t="array" aca="1" ref="N43" ca="1">INDIRECT("'"&amp;$A43&amp;"'!"&amp; "Q" &amp; $B43)</f>
        <v>57.08</v>
      </c>
      <c r="O43" s="318" cm="1">
        <f t="array" aca="1" ref="O43" ca="1">INDIRECT("'"&amp;$A43&amp;"'!"&amp; "R" &amp; $B43)</f>
        <v>56.59</v>
      </c>
      <c r="P43" s="318" cm="1">
        <f t="array" aca="1" ref="P43" ca="1">INDIRECT("'"&amp;$A43&amp;"'!"&amp; "S" &amp; $B43)</f>
        <v>57.290000000000006</v>
      </c>
      <c r="Q43" s="318" cm="1">
        <f t="array" aca="1" ref="Q43" ca="1">INDIRECT("'"&amp;$A43&amp;"'!"&amp; "T" &amp; $B43)</f>
        <v>59.929999999999993</v>
      </c>
      <c r="R43" s="318" cm="1">
        <f t="array" aca="1" ref="R43" ca="1">INDIRECT("'"&amp;$A43&amp;"'!"&amp; "U" &amp; $B43)</f>
        <v>60.44</v>
      </c>
      <c r="S43" s="318" cm="1">
        <f t="array" aca="1" ref="S43" ca="1">INDIRECT("'"&amp;$A43&amp;"'!"&amp; "V" &amp; $B43)</f>
        <v>61.38</v>
      </c>
      <c r="T43" s="318" cm="1">
        <f t="array" aca="1" ref="T43" ca="1">INDIRECT("'"&amp;$A43&amp;"'!"&amp; "W" &amp; $B43)</f>
        <v>57.486000000000004</v>
      </c>
      <c r="U43" s="318" cm="1">
        <f t="array" aca="1" ref="U43" ca="1">INDIRECT("'"&amp;$A43&amp;"'!"&amp; "X" &amp; $B43)</f>
        <v>58.739999999999995</v>
      </c>
      <c r="V43" s="318" cm="1">
        <f t="array" aca="1" ref="V43" ca="1">INDIRECT("'"&amp;$A43&amp;"'!"&amp; "Y" &amp; $B43)</f>
        <v>64.070000000000007</v>
      </c>
      <c r="W43" s="318" cm="1">
        <f t="array" aca="1" ref="W43" ca="1">INDIRECT("'"&amp;$A43&amp;"'!"&amp; "Z" &amp; $B43)</f>
        <v>60.98</v>
      </c>
      <c r="X43" s="318" cm="1">
        <f t="array" aca="1" ref="X43" ca="1">INDIRECT("'"&amp;$A43&amp;"'!"&amp; "AA" &amp; $B43)</f>
        <v>58.61</v>
      </c>
      <c r="Y43" s="318" cm="1">
        <f t="array" aca="1" ref="Y43" ca="1">INDIRECT("'"&amp;$A43&amp;"'!"&amp; "AB" &amp; $B43)</f>
        <v>54.19</v>
      </c>
      <c r="Z43" s="318" cm="1">
        <f t="array" aca="1" ref="Z43" ca="1">INDIRECT("'"&amp;$A43&amp;"'!"&amp; "AC" &amp; $B43)</f>
        <v>49.599999999999994</v>
      </c>
      <c r="AB43">
        <f t="shared" ca="1" si="1"/>
        <v>64.070000000000007</v>
      </c>
    </row>
    <row r="44" spans="1:28">
      <c r="A44" s="79">
        <v>10</v>
      </c>
      <c r="B44" s="79">
        <v>108</v>
      </c>
      <c r="C44" s="318" cm="1">
        <f t="array" aca="1" ref="C44" ca="1">INDIRECT("'"&amp;$A44&amp;"'!"&amp; "F" &amp; $B44)</f>
        <v>44.220000000000006</v>
      </c>
      <c r="D44" s="318" cm="1">
        <f t="array" aca="1" ref="D44" ca="1">INDIRECT("'"&amp;$A44&amp;"'!"&amp; "g" &amp; $B44)</f>
        <v>42.650000000000006</v>
      </c>
      <c r="E44" s="318" cm="1">
        <f t="array" aca="1" ref="E44" ca="1">INDIRECT("'"&amp;$A44&amp;"'!"&amp; "H" &amp; $B44)</f>
        <v>40.74</v>
      </c>
      <c r="F44" s="318" cm="1">
        <f t="array" aca="1" ref="F44" ca="1">INDIRECT("'"&amp;$A44&amp;"'!"&amp; "I" &amp; $B44)</f>
        <v>39.970000000000006</v>
      </c>
      <c r="G44" s="318" cm="1">
        <f t="array" aca="1" ref="G44" ca="1">INDIRECT("'"&amp;$A44&amp;"'!"&amp; "J" &amp; $B44)</f>
        <v>39.050000000000004</v>
      </c>
      <c r="H44" s="318" cm="1">
        <f t="array" aca="1" ref="H44" ca="1">INDIRECT("'"&amp;$A44&amp;"'!"&amp; "K" &amp; $B44)</f>
        <v>39.699999999999996</v>
      </c>
      <c r="I44" s="318" cm="1">
        <f t="array" aca="1" ref="I44" ca="1">INDIRECT("'"&amp;$A44&amp;"'!"&amp; "L" &amp; $B44)</f>
        <v>42.579999999999991</v>
      </c>
      <c r="J44" s="318" cm="1">
        <f t="array" aca="1" ref="J44" ca="1">INDIRECT("'"&amp;$A44&amp;"'!"&amp; "M" &amp; $B44)</f>
        <v>42.059999999999995</v>
      </c>
      <c r="K44" s="318" cm="1">
        <f t="array" aca="1" ref="K44" ca="1">INDIRECT("'"&amp;$A44&amp;"'!"&amp; "N" &amp; $B44)</f>
        <v>48.440000000000005</v>
      </c>
      <c r="L44" s="318" cm="1">
        <f t="array" aca="1" ref="L44" ca="1">INDIRECT("'"&amp;$A44&amp;"'!"&amp; "O" &amp; $B44)</f>
        <v>58.07</v>
      </c>
      <c r="M44" s="318" cm="1">
        <f t="array" aca="1" ref="M44" ca="1">INDIRECT("'"&amp;$A44&amp;"'!"&amp; "P" &amp; $B44)</f>
        <v>61.289999999999992</v>
      </c>
      <c r="N44" s="318" cm="1">
        <f t="array" aca="1" ref="N44" ca="1">INDIRECT("'"&amp;$A44&amp;"'!"&amp; "Q" &amp; $B44)</f>
        <v>64.7</v>
      </c>
      <c r="O44" s="318" cm="1">
        <f t="array" aca="1" ref="O44" ca="1">INDIRECT("'"&amp;$A44&amp;"'!"&amp; "R" &amp; $B44)</f>
        <v>65.36</v>
      </c>
      <c r="P44" s="318" cm="1">
        <f t="array" aca="1" ref="P44" ca="1">INDIRECT("'"&amp;$A44&amp;"'!"&amp; "S" &amp; $B44)</f>
        <v>65.97</v>
      </c>
      <c r="Q44" s="318" cm="1">
        <f t="array" aca="1" ref="Q44" ca="1">INDIRECT("'"&amp;$A44&amp;"'!"&amp; "T" &amp; $B44)</f>
        <v>68.25</v>
      </c>
      <c r="R44" s="318" cm="1">
        <f t="array" aca="1" ref="R44" ca="1">INDIRECT("'"&amp;$A44&amp;"'!"&amp; "U" &amp; $B44)</f>
        <v>68.210000000000008</v>
      </c>
      <c r="S44" s="318" cm="1">
        <f t="array" aca="1" ref="S44" ca="1">INDIRECT("'"&amp;$A44&amp;"'!"&amp; "V" &amp; $B44)</f>
        <v>66.86999999999999</v>
      </c>
      <c r="T44" s="318" cm="1">
        <f t="array" aca="1" ref="T44" ca="1">INDIRECT("'"&amp;$A44&amp;"'!"&amp; "W" &amp; $B44)</f>
        <v>61.949999999999996</v>
      </c>
      <c r="U44" s="318" cm="1">
        <f t="array" aca="1" ref="U44" ca="1">INDIRECT("'"&amp;$A44&amp;"'!"&amp; "X" &amp; $B44)</f>
        <v>65.72999999999999</v>
      </c>
      <c r="V44" s="318" cm="1">
        <f t="array" aca="1" ref="V44" ca="1">INDIRECT("'"&amp;$A44&amp;"'!"&amp; "Y" &amp; $B44)</f>
        <v>64.960000000000008</v>
      </c>
      <c r="W44" s="318" cm="1">
        <f t="array" aca="1" ref="W44" ca="1">INDIRECT("'"&amp;$A44&amp;"'!"&amp; "Z" &amp; $B44)</f>
        <v>61.269999999999996</v>
      </c>
      <c r="X44" s="318" cm="1">
        <f t="array" aca="1" ref="X44" ca="1">INDIRECT("'"&amp;$A44&amp;"'!"&amp; "AA" &amp; $B44)</f>
        <v>59.699999999999996</v>
      </c>
      <c r="Y44" s="318" cm="1">
        <f t="array" aca="1" ref="Y44" ca="1">INDIRECT("'"&amp;$A44&amp;"'!"&amp; "AB" &amp; $B44)</f>
        <v>55.289999999999992</v>
      </c>
      <c r="Z44" s="318" cm="1">
        <f t="array" aca="1" ref="Z44" ca="1">INDIRECT("'"&amp;$A44&amp;"'!"&amp; "AC" &amp; $B44)</f>
        <v>51.580000000000005</v>
      </c>
      <c r="AB44">
        <f t="shared" ca="1" si="1"/>
        <v>68.25</v>
      </c>
    </row>
    <row r="45" spans="1:28">
      <c r="A45" s="79">
        <v>11</v>
      </c>
      <c r="B45" s="79">
        <v>108</v>
      </c>
      <c r="C45" s="318" cm="1">
        <f t="array" aca="1" ref="C45" ca="1">INDIRECT("'"&amp;$A45&amp;"'!"&amp; "F" &amp; $B45)</f>
        <v>46.839999999999996</v>
      </c>
      <c r="D45" s="318" cm="1">
        <f t="array" aca="1" ref="D45" ca="1">INDIRECT("'"&amp;$A45&amp;"'!"&amp; "g" &amp; $B45)</f>
        <v>43.389999999999993</v>
      </c>
      <c r="E45" s="318" cm="1">
        <f t="array" aca="1" ref="E45" ca="1">INDIRECT("'"&amp;$A45&amp;"'!"&amp; "H" &amp; $B45)</f>
        <v>41.01</v>
      </c>
      <c r="F45" s="318" cm="1">
        <f t="array" aca="1" ref="F45" ca="1">INDIRECT("'"&amp;$A45&amp;"'!"&amp; "I" &amp; $B45)</f>
        <v>39.990000000000009</v>
      </c>
      <c r="G45" s="318" cm="1">
        <f t="array" aca="1" ref="G45" ca="1">INDIRECT("'"&amp;$A45&amp;"'!"&amp; "J" &amp; $B45)</f>
        <v>38.530000000000008</v>
      </c>
      <c r="H45" s="318" cm="1">
        <f t="array" aca="1" ref="H45" ca="1">INDIRECT("'"&amp;$A45&amp;"'!"&amp; "K" &amp; $B45)</f>
        <v>38.99</v>
      </c>
      <c r="I45" s="318" cm="1">
        <f t="array" aca="1" ref="I45" ca="1">INDIRECT("'"&amp;$A45&amp;"'!"&amp; "L" &amp; $B45)</f>
        <v>42.709999999999994</v>
      </c>
      <c r="J45" s="318" cm="1">
        <f t="array" aca="1" ref="J45" ca="1">INDIRECT("'"&amp;$A45&amp;"'!"&amp; "M" &amp; $B45)</f>
        <v>41.919999999999995</v>
      </c>
      <c r="K45" s="318" cm="1">
        <f t="array" aca="1" ref="K45" ca="1">INDIRECT("'"&amp;$A45&amp;"'!"&amp; "N" &amp; $B45)</f>
        <v>48.16</v>
      </c>
      <c r="L45" s="318" cm="1">
        <f t="array" aca="1" ref="L45" ca="1">INDIRECT("'"&amp;$A45&amp;"'!"&amp; "O" &amp; $B45)</f>
        <v>57.27</v>
      </c>
      <c r="M45" s="318" cm="1">
        <f t="array" aca="1" ref="M45" ca="1">INDIRECT("'"&amp;$A45&amp;"'!"&amp; "P" &amp; $B45)</f>
        <v>62.589999999999996</v>
      </c>
      <c r="N45" s="318" cm="1">
        <f t="array" aca="1" ref="N45" ca="1">INDIRECT("'"&amp;$A45&amp;"'!"&amp; "Q" &amp; $B45)</f>
        <v>64.809999999999988</v>
      </c>
      <c r="O45" s="318" cm="1">
        <f t="array" aca="1" ref="O45" ca="1">INDIRECT("'"&amp;$A45&amp;"'!"&amp; "R" &amp; $B45)</f>
        <v>64.67</v>
      </c>
      <c r="P45" s="318" cm="1">
        <f t="array" aca="1" ref="P45" ca="1">INDIRECT("'"&amp;$A45&amp;"'!"&amp; "S" &amp; $B45)</f>
        <v>65.03</v>
      </c>
      <c r="Q45" s="318" cm="1">
        <f t="array" aca="1" ref="Q45" ca="1">INDIRECT("'"&amp;$A45&amp;"'!"&amp; "T" &amp; $B45)</f>
        <v>66.360000000000014</v>
      </c>
      <c r="R45" s="318" cm="1">
        <f t="array" aca="1" ref="R45" ca="1">INDIRECT("'"&amp;$A45&amp;"'!"&amp; "U" &amp; $B45)</f>
        <v>67.88</v>
      </c>
      <c r="S45" s="318" cm="1">
        <f t="array" aca="1" ref="S45" ca="1">INDIRECT("'"&amp;$A45&amp;"'!"&amp; "V" &amp; $B45)</f>
        <v>68.08</v>
      </c>
      <c r="T45" s="318" cm="1">
        <f t="array" aca="1" ref="T45" ca="1">INDIRECT("'"&amp;$A45&amp;"'!"&amp; "W" &amp; $B45)</f>
        <v>62.519999999999996</v>
      </c>
      <c r="U45" s="318" cm="1">
        <f t="array" aca="1" ref="U45" ca="1">INDIRECT("'"&amp;$A45&amp;"'!"&amp; "X" &amp; $B45)</f>
        <v>61.120000000000005</v>
      </c>
      <c r="V45" s="318" cm="1">
        <f t="array" aca="1" ref="V45" ca="1">INDIRECT("'"&amp;$A45&amp;"'!"&amp; "Y" &amp; $B45)</f>
        <v>63.250000000000007</v>
      </c>
      <c r="W45" s="318" cm="1">
        <f t="array" aca="1" ref="W45" ca="1">INDIRECT("'"&amp;$A45&amp;"'!"&amp; "Z" &amp; $B45)</f>
        <v>59.839999999999989</v>
      </c>
      <c r="X45" s="318" cm="1">
        <f t="array" aca="1" ref="X45" ca="1">INDIRECT("'"&amp;$A45&amp;"'!"&amp; "AA" &amp; $B45)</f>
        <v>61</v>
      </c>
      <c r="Y45" s="318" cm="1">
        <f t="array" aca="1" ref="Y45" ca="1">INDIRECT("'"&amp;$A45&amp;"'!"&amp; "AB" &amp; $B45)</f>
        <v>56.190000000000012</v>
      </c>
      <c r="Z45" s="318" cm="1">
        <f t="array" aca="1" ref="Z45" ca="1">INDIRECT("'"&amp;$A45&amp;"'!"&amp; "AC" &amp; $B45)</f>
        <v>50.819999999999993</v>
      </c>
      <c r="AB45">
        <f t="shared" ca="1" si="1"/>
        <v>68.08</v>
      </c>
    </row>
    <row r="46" spans="1:28">
      <c r="A46" s="79">
        <v>12</v>
      </c>
      <c r="B46" s="79">
        <v>108</v>
      </c>
      <c r="C46" s="318" cm="1">
        <f t="array" aca="1" ref="C46" ca="1">INDIRECT("'"&amp;$A46&amp;"'!"&amp; "F" &amp; $B46)</f>
        <v>46.95</v>
      </c>
      <c r="D46" s="318" cm="1">
        <f t="array" aca="1" ref="D46" ca="1">INDIRECT("'"&amp;$A46&amp;"'!"&amp; "g" &amp; $B46)</f>
        <v>44.43</v>
      </c>
      <c r="E46" s="318" cm="1">
        <f t="array" aca="1" ref="E46" ca="1">INDIRECT("'"&amp;$A46&amp;"'!"&amp; "H" &amp; $B46)</f>
        <v>41.2</v>
      </c>
      <c r="F46" s="318" cm="1">
        <f t="array" aca="1" ref="F46" ca="1">INDIRECT("'"&amp;$A46&amp;"'!"&amp; "I" &amp; $B46)</f>
        <v>39.770000000000003</v>
      </c>
      <c r="G46" s="318" cm="1">
        <f t="array" aca="1" ref="G46" ca="1">INDIRECT("'"&amp;$A46&amp;"'!"&amp; "J" &amp; $B46)</f>
        <v>40.480000000000004</v>
      </c>
      <c r="H46" s="318" cm="1">
        <f t="array" aca="1" ref="H46" ca="1">INDIRECT("'"&amp;$A46&amp;"'!"&amp; "K" &amp; $B46)</f>
        <v>40.9</v>
      </c>
      <c r="I46" s="318" cm="1">
        <f t="array" aca="1" ref="I46" ca="1">INDIRECT("'"&amp;$A46&amp;"'!"&amp; "L" &amp; $B46)</f>
        <v>42.320000000000007</v>
      </c>
      <c r="J46" s="318" cm="1">
        <f t="array" aca="1" ref="J46" ca="1">INDIRECT("'"&amp;$A46&amp;"'!"&amp; "M" &amp; $B46)</f>
        <v>41.91</v>
      </c>
      <c r="K46" s="318" cm="1">
        <f t="array" aca="1" ref="K46" ca="1">INDIRECT("'"&amp;$A46&amp;"'!"&amp; "N" &amp; $B46)</f>
        <v>47.17</v>
      </c>
      <c r="L46" s="318" cm="1">
        <f t="array" aca="1" ref="L46" ca="1">INDIRECT("'"&amp;$A46&amp;"'!"&amp; "O" &amp; $B46)</f>
        <v>55.940000000000005</v>
      </c>
      <c r="M46" s="318" cm="1">
        <f t="array" aca="1" ref="M46" ca="1">INDIRECT("'"&amp;$A46&amp;"'!"&amp; "P" &amp; $B46)</f>
        <v>59.29</v>
      </c>
      <c r="N46" s="318" cm="1">
        <f t="array" aca="1" ref="N46" ca="1">INDIRECT("'"&amp;$A46&amp;"'!"&amp; "Q" &amp; $B46)</f>
        <v>60.91</v>
      </c>
      <c r="O46" s="318" cm="1">
        <f t="array" aca="1" ref="O46" ca="1">INDIRECT("'"&amp;$A46&amp;"'!"&amp; "R" &amp; $B46)</f>
        <v>61.22999999999999</v>
      </c>
      <c r="P46" s="318" cm="1">
        <f t="array" aca="1" ref="P46" ca="1">INDIRECT("'"&amp;$A46&amp;"'!"&amp; "S" &amp; $B46)</f>
        <v>60.93</v>
      </c>
      <c r="Q46" s="318" cm="1">
        <f t="array" aca="1" ref="Q46" ca="1">INDIRECT("'"&amp;$A46&amp;"'!"&amp; "T" &amp; $B46)</f>
        <v>63.419999999999995</v>
      </c>
      <c r="R46" s="318" cm="1">
        <f t="array" aca="1" ref="R46" ca="1">INDIRECT("'"&amp;$A46&amp;"'!"&amp; "U" &amp; $B46)</f>
        <v>61.900000000000006</v>
      </c>
      <c r="S46" s="318" cm="1">
        <f t="array" aca="1" ref="S46" ca="1">INDIRECT("'"&amp;$A46&amp;"'!"&amp; "V" &amp; $B46)</f>
        <v>61.350000000000009</v>
      </c>
      <c r="T46" s="318" cm="1">
        <f t="array" aca="1" ref="T46" ca="1">INDIRECT("'"&amp;$A46&amp;"'!"&amp; "W" &amp; $B46)</f>
        <v>59.059999999999995</v>
      </c>
      <c r="U46" s="318" cm="1">
        <f t="array" aca="1" ref="U46" ca="1">INDIRECT("'"&amp;$A46&amp;"'!"&amp; "X" &amp; $B46)</f>
        <v>59.379999999999988</v>
      </c>
      <c r="V46" s="318" cm="1">
        <f t="array" aca="1" ref="V46" ca="1">INDIRECT("'"&amp;$A46&amp;"'!"&amp; "Y" &amp; $B46)</f>
        <v>63.52</v>
      </c>
      <c r="W46" s="318" cm="1">
        <f t="array" aca="1" ref="W46" ca="1">INDIRECT("'"&amp;$A46&amp;"'!"&amp; "Z" &amp; $B46)</f>
        <v>61.489999999999995</v>
      </c>
      <c r="X46" s="318" cm="1">
        <f t="array" aca="1" ref="X46" ca="1">INDIRECT("'"&amp;$A46&amp;"'!"&amp; "AA" &amp; $B46)</f>
        <v>60.03</v>
      </c>
      <c r="Y46" s="318" cm="1">
        <f t="array" aca="1" ref="Y46" ca="1">INDIRECT("'"&amp;$A46&amp;"'!"&amp; "AB" &amp; $B46)</f>
        <v>54.64</v>
      </c>
      <c r="Z46" s="318" cm="1">
        <f t="array" aca="1" ref="Z46" ca="1">INDIRECT("'"&amp;$A46&amp;"'!"&amp; "AC" &amp; $B46)</f>
        <v>50.699999999999989</v>
      </c>
      <c r="AB46">
        <f t="shared" ca="1" si="1"/>
        <v>63.52</v>
      </c>
    </row>
    <row r="47" spans="1:28">
      <c r="A47" s="79">
        <v>13</v>
      </c>
      <c r="B47" s="79">
        <v>108</v>
      </c>
      <c r="C47" s="318" cm="1">
        <f t="array" aca="1" ref="C47" ca="1">INDIRECT("'"&amp;$A47&amp;"'!"&amp; "F" &amp; $B47)</f>
        <v>46.309999999999995</v>
      </c>
      <c r="D47" s="318" cm="1">
        <f t="array" aca="1" ref="D47" ca="1">INDIRECT("'"&amp;$A47&amp;"'!"&amp; "g" &amp; $B47)</f>
        <v>43.96</v>
      </c>
      <c r="E47" s="318" cm="1">
        <f t="array" aca="1" ref="E47" ca="1">INDIRECT("'"&amp;$A47&amp;"'!"&amp; "H" &amp; $B47)</f>
        <v>43.75</v>
      </c>
      <c r="F47" s="318" cm="1">
        <f t="array" aca="1" ref="F47" ca="1">INDIRECT("'"&amp;$A47&amp;"'!"&amp; "I" &amp; $B47)</f>
        <v>41.570000000000007</v>
      </c>
      <c r="G47" s="318" cm="1">
        <f t="array" aca="1" ref="G47" ca="1">INDIRECT("'"&amp;$A47&amp;"'!"&amp; "J" &amp; $B47)</f>
        <v>40.11999999999999</v>
      </c>
      <c r="H47" s="318" cm="1">
        <f t="array" aca="1" ref="H47" ca="1">INDIRECT("'"&amp;$A47&amp;"'!"&amp; "K" &amp; $B47)</f>
        <v>40.83</v>
      </c>
      <c r="I47" s="318" cm="1">
        <f t="array" aca="1" ref="I47" ca="1">INDIRECT("'"&amp;$A47&amp;"'!"&amp; "L" &amp; $B47)</f>
        <v>41.89</v>
      </c>
      <c r="J47" s="318" cm="1">
        <f t="array" aca="1" ref="J47" ca="1">INDIRECT("'"&amp;$A47&amp;"'!"&amp; "M" &amp; $B47)</f>
        <v>41.809999999999995</v>
      </c>
      <c r="K47" s="318" cm="1">
        <f t="array" aca="1" ref="K47" ca="1">INDIRECT("'"&amp;$A47&amp;"'!"&amp; "N" &amp; $B47)</f>
        <v>43.759999999999991</v>
      </c>
      <c r="L47" s="318" cm="1">
        <f t="array" aca="1" ref="L47" ca="1">INDIRECT("'"&amp;$A47&amp;"'!"&amp; "O" &amp; $B47)</f>
        <v>50.360000000000007</v>
      </c>
      <c r="M47" s="318" cm="1">
        <f t="array" aca="1" ref="M47" ca="1">INDIRECT("'"&amp;$A47&amp;"'!"&amp; "P" &amp; $B47)</f>
        <v>55.68</v>
      </c>
      <c r="N47" s="318" cm="1">
        <f t="array" aca="1" ref="N47" ca="1">INDIRECT("'"&amp;$A47&amp;"'!"&amp; "Q" &amp; $B47)</f>
        <v>52.54999999999999</v>
      </c>
      <c r="O47" s="318" cm="1">
        <f t="array" aca="1" ref="O47" ca="1">INDIRECT("'"&amp;$A47&amp;"'!"&amp; "R" &amp; $B47)</f>
        <v>54.91</v>
      </c>
      <c r="P47" s="318" cm="1">
        <f t="array" aca="1" ref="P47" ca="1">INDIRECT("'"&amp;$A47&amp;"'!"&amp; "S" &amp; $B47)</f>
        <v>56.319999999999993</v>
      </c>
      <c r="Q47" s="318" cm="1">
        <f t="array" aca="1" ref="Q47" ca="1">INDIRECT("'"&amp;$A47&amp;"'!"&amp; "T" &amp; $B47)</f>
        <v>58.219999999999992</v>
      </c>
      <c r="R47" s="318" cm="1">
        <f t="array" aca="1" ref="R47" ca="1">INDIRECT("'"&amp;$A47&amp;"'!"&amp; "U" &amp; $B47)</f>
        <v>58.569999999999993</v>
      </c>
      <c r="S47" s="318" cm="1">
        <f t="array" aca="1" ref="S47" ca="1">INDIRECT("'"&amp;$A47&amp;"'!"&amp; "V" &amp; $B47)</f>
        <v>58.39</v>
      </c>
      <c r="T47" s="318" cm="1">
        <f t="array" aca="1" ref="T47" ca="1">INDIRECT("'"&amp;$A47&amp;"'!"&amp; "W" &amp; $B47)</f>
        <v>56.519999999999989</v>
      </c>
      <c r="U47" s="318" cm="1">
        <f t="array" aca="1" ref="U47" ca="1">INDIRECT("'"&amp;$A47&amp;"'!"&amp; "X" &amp; $B47)</f>
        <v>57.459999999999994</v>
      </c>
      <c r="V47" s="318" cm="1">
        <f t="array" aca="1" ref="V47" ca="1">INDIRECT("'"&amp;$A47&amp;"'!"&amp; "Y" &amp; $B47)</f>
        <v>61.739999999999995</v>
      </c>
      <c r="W47" s="318" cm="1">
        <f t="array" aca="1" ref="W47" ca="1">INDIRECT("'"&amp;$A47&amp;"'!"&amp; "Z" &amp; $B47)</f>
        <v>60.2</v>
      </c>
      <c r="X47" s="318" cm="1">
        <f t="array" aca="1" ref="X47" ca="1">INDIRECT("'"&amp;$A47&amp;"'!"&amp; "AA" &amp; $B47)</f>
        <v>58.09</v>
      </c>
      <c r="Y47" s="318" cm="1">
        <f t="array" aca="1" ref="Y47" ca="1">INDIRECT("'"&amp;$A47&amp;"'!"&amp; "AB" &amp; $B47)</f>
        <v>55.54</v>
      </c>
      <c r="Z47" s="318" cm="1">
        <f t="array" aca="1" ref="Z47" ca="1">INDIRECT("'"&amp;$A47&amp;"'!"&amp; "AC" &amp; $B47)</f>
        <v>51.690000000000005</v>
      </c>
      <c r="AB47">
        <f t="shared" ca="1" si="1"/>
        <v>61.739999999999995</v>
      </c>
    </row>
    <row r="48" spans="1:28">
      <c r="A48" s="79">
        <v>14</v>
      </c>
      <c r="B48" s="79">
        <v>108</v>
      </c>
      <c r="C48" s="318" cm="1">
        <f t="array" aca="1" ref="C48" ca="1">INDIRECT("'"&amp;$A48&amp;"'!"&amp; "F" &amp; $B48)</f>
        <v>47.150000000000006</v>
      </c>
      <c r="D48" s="318" cm="1">
        <f t="array" aca="1" ref="D48" ca="1">INDIRECT("'"&amp;$A48&amp;"'!"&amp; "g" &amp; $B48)</f>
        <v>44.089999999999996</v>
      </c>
      <c r="E48" s="318" cm="1">
        <f t="array" aca="1" ref="E48" ca="1">INDIRECT("'"&amp;$A48&amp;"'!"&amp; "H" &amp; $B48)</f>
        <v>41.61</v>
      </c>
      <c r="F48" s="318" cm="1">
        <f t="array" aca="1" ref="F48" ca="1">INDIRECT("'"&amp;$A48&amp;"'!"&amp; "I" &amp; $B48)</f>
        <v>40.290000000000006</v>
      </c>
      <c r="G48" s="318" cm="1">
        <f t="array" aca="1" ref="G48" ca="1">INDIRECT("'"&amp;$A48&amp;"'!"&amp; "J" &amp; $B48)</f>
        <v>39.65</v>
      </c>
      <c r="H48" s="318" cm="1">
        <f t="array" aca="1" ref="H48" ca="1">INDIRECT("'"&amp;$A48&amp;"'!"&amp; "K" &amp; $B48)</f>
        <v>40.589999999999996</v>
      </c>
      <c r="I48" s="318" cm="1">
        <f t="array" aca="1" ref="I48" ca="1">INDIRECT("'"&amp;$A48&amp;"'!"&amp; "L" &amp; $B48)</f>
        <v>43.059999999999995</v>
      </c>
      <c r="J48" s="318" cm="1">
        <f t="array" aca="1" ref="J48" ca="1">INDIRECT("'"&amp;$A48&amp;"'!"&amp; "M" &amp; $B48)</f>
        <v>42.96</v>
      </c>
      <c r="K48" s="318" cm="1">
        <f t="array" aca="1" ref="K48" ca="1">INDIRECT("'"&amp;$A48&amp;"'!"&amp; "N" &amp; $B48)</f>
        <v>49.5</v>
      </c>
      <c r="L48" s="318" cm="1">
        <f t="array" aca="1" ref="L48" ca="1">INDIRECT("'"&amp;$A48&amp;"'!"&amp; "O" &amp; $B48)</f>
        <v>59.22</v>
      </c>
      <c r="M48" s="318" cm="1">
        <f t="array" aca="1" ref="M48" ca="1">INDIRECT("'"&amp;$A48&amp;"'!"&amp; "P" &amp; $B48)</f>
        <v>63.61</v>
      </c>
      <c r="N48" s="318" cm="1">
        <f t="array" aca="1" ref="N48" ca="1">INDIRECT("'"&amp;$A48&amp;"'!"&amp; "Q" &amp; $B48)</f>
        <v>65.64</v>
      </c>
      <c r="O48" s="318" cm="1">
        <f t="array" aca="1" ref="O48" ca="1">INDIRECT("'"&amp;$A48&amp;"'!"&amp; "R" &amp; $B48)</f>
        <v>66.31</v>
      </c>
      <c r="P48" s="318" cm="1">
        <f t="array" aca="1" ref="P48" ca="1">INDIRECT("'"&amp;$A48&amp;"'!"&amp; "S" &amp; $B48)</f>
        <v>67.309999999999988</v>
      </c>
      <c r="Q48" s="318" cm="1">
        <f t="array" aca="1" ref="Q48" ca="1">INDIRECT("'"&amp;$A48&amp;"'!"&amp; "T" &amp; $B48)</f>
        <v>68.77</v>
      </c>
      <c r="R48" s="318" cm="1">
        <f t="array" aca="1" ref="R48" ca="1">INDIRECT("'"&amp;$A48&amp;"'!"&amp; "U" &amp; $B48)</f>
        <v>68.150000000000006</v>
      </c>
      <c r="S48" s="318" cm="1">
        <f t="array" aca="1" ref="S48" ca="1">INDIRECT("'"&amp;$A48&amp;"'!"&amp; "V" &amp; $B48)</f>
        <v>67.63000000000001</v>
      </c>
      <c r="T48" s="318" cm="1">
        <f t="array" aca="1" ref="T48" ca="1">INDIRECT("'"&amp;$A48&amp;"'!"&amp; "W" &amp; $B48)</f>
        <v>63.390000000000008</v>
      </c>
      <c r="U48" s="318" cm="1">
        <f t="array" aca="1" ref="U48" ca="1">INDIRECT("'"&amp;$A48&amp;"'!"&amp; "X" &amp; $B48)</f>
        <v>59.41</v>
      </c>
      <c r="V48" s="318" cm="1">
        <f t="array" aca="1" ref="V48" ca="1">INDIRECT("'"&amp;$A48&amp;"'!"&amp; "Y" &amp; $B48)</f>
        <v>63.69</v>
      </c>
      <c r="W48" s="318" cm="1">
        <f t="array" aca="1" ref="W48" ca="1">INDIRECT("'"&amp;$A48&amp;"'!"&amp; "Z" &amp; $B48)</f>
        <v>58.540000000000006</v>
      </c>
      <c r="X48" s="318" cm="1">
        <f t="array" aca="1" ref="X48" ca="1">INDIRECT("'"&amp;$A48&amp;"'!"&amp; "AA" &amp; $B48)</f>
        <v>58.959999999999994</v>
      </c>
      <c r="Y48" s="318" cm="1">
        <f t="array" aca="1" ref="Y48" ca="1">INDIRECT("'"&amp;$A48&amp;"'!"&amp; "AB" &amp; $B48)</f>
        <v>55.35</v>
      </c>
      <c r="Z48" s="318" cm="1">
        <f t="array" aca="1" ref="Z48" ca="1">INDIRECT("'"&amp;$A48&amp;"'!"&amp; "AC" &amp; $B48)</f>
        <v>52.010000000000012</v>
      </c>
      <c r="AB48">
        <f t="shared" ca="1" si="1"/>
        <v>68.77</v>
      </c>
    </row>
    <row r="49" spans="1:28">
      <c r="A49" s="79">
        <v>15</v>
      </c>
      <c r="B49" s="79">
        <v>108</v>
      </c>
      <c r="C49" s="318" cm="1">
        <f t="array" aca="1" ref="C49" ca="1">INDIRECT("'"&amp;$A49&amp;"'!"&amp; "F" &amp; $B49)</f>
        <v>47.649999999999991</v>
      </c>
      <c r="D49" s="318" cm="1">
        <f t="array" aca="1" ref="D49" ca="1">INDIRECT("'"&amp;$A49&amp;"'!"&amp; "g" &amp; $B49)</f>
        <v>44.79</v>
      </c>
      <c r="E49" s="318" cm="1">
        <f t="array" aca="1" ref="E49" ca="1">INDIRECT("'"&amp;$A49&amp;"'!"&amp; "H" &amp; $B49)</f>
        <v>42.09</v>
      </c>
      <c r="F49" s="318" cm="1">
        <f t="array" aca="1" ref="F49" ca="1">INDIRECT("'"&amp;$A49&amp;"'!"&amp; "I" &amp; $B49)</f>
        <v>40.090000000000003</v>
      </c>
      <c r="G49" s="318" cm="1">
        <f t="array" aca="1" ref="G49" ca="1">INDIRECT("'"&amp;$A49&amp;"'!"&amp; "J" &amp; $B49)</f>
        <v>38.619999999999997</v>
      </c>
      <c r="H49" s="318" cm="1">
        <f t="array" aca="1" ref="H49" ca="1">INDIRECT("'"&amp;$A49&amp;"'!"&amp; "K" &amp; $B49)</f>
        <v>38.64</v>
      </c>
      <c r="I49" s="318" cm="1">
        <f t="array" aca="1" ref="I49" ca="1">INDIRECT("'"&amp;$A49&amp;"'!"&amp; "L" &amp; $B49)</f>
        <v>42.300000000000004</v>
      </c>
      <c r="J49" s="318" cm="1">
        <f t="array" aca="1" ref="J49" ca="1">INDIRECT("'"&amp;$A49&amp;"'!"&amp; "M" &amp; $B49)</f>
        <v>41.33</v>
      </c>
      <c r="K49" s="318" cm="1">
        <f t="array" aca="1" ref="K49" ca="1">INDIRECT("'"&amp;$A49&amp;"'!"&amp; "N" &amp; $B49)</f>
        <v>46.23</v>
      </c>
      <c r="L49" s="318" cm="1">
        <f t="array" aca="1" ref="L49" ca="1">INDIRECT("'"&amp;$A49&amp;"'!"&amp; "O" &amp; $B49)</f>
        <v>57.19</v>
      </c>
      <c r="M49" s="318" cm="1">
        <f t="array" aca="1" ref="M49" ca="1">INDIRECT("'"&amp;$A49&amp;"'!"&amp; "P" &amp; $B49)</f>
        <v>61.84</v>
      </c>
      <c r="N49" s="318" cm="1">
        <f t="array" aca="1" ref="N49" ca="1">INDIRECT("'"&amp;$A49&amp;"'!"&amp; "Q" &amp; $B49)</f>
        <v>61.08</v>
      </c>
      <c r="O49" s="318" cm="1">
        <f t="array" aca="1" ref="O49" ca="1">INDIRECT("'"&amp;$A49&amp;"'!"&amp; "R" &amp; $B49)</f>
        <v>60.430000000000007</v>
      </c>
      <c r="P49" s="318" cm="1">
        <f t="array" aca="1" ref="P49" ca="1">INDIRECT("'"&amp;$A49&amp;"'!"&amp; "S" &amp; $B49)</f>
        <v>64.739999999999995</v>
      </c>
      <c r="Q49" s="318" cm="1">
        <f t="array" aca="1" ref="Q49" ca="1">INDIRECT("'"&amp;$A49&amp;"'!"&amp; "T" &amp; $B49)</f>
        <v>67.630000000000024</v>
      </c>
      <c r="R49" s="318" cm="1">
        <f t="array" aca="1" ref="R49" ca="1">INDIRECT("'"&amp;$A49&amp;"'!"&amp; "U" &amp; $B49)</f>
        <v>66.899999999999991</v>
      </c>
      <c r="S49" s="318" cm="1">
        <f t="array" aca="1" ref="S49" ca="1">INDIRECT("'"&amp;$A49&amp;"'!"&amp; "V" &amp; $B49)</f>
        <v>66.62</v>
      </c>
      <c r="T49" s="318" cm="1">
        <f t="array" aca="1" ref="T49" ca="1">INDIRECT("'"&amp;$A49&amp;"'!"&amp; "W" &amp; $B49)</f>
        <v>63.15</v>
      </c>
      <c r="U49" s="318" cm="1">
        <f t="array" aca="1" ref="U49" ca="1">INDIRECT("'"&amp;$A49&amp;"'!"&amp; "X" &amp; $B49)</f>
        <v>60.21</v>
      </c>
      <c r="V49" s="318" cm="1">
        <f t="array" aca="1" ref="V49" ca="1">INDIRECT("'"&amp;$A49&amp;"'!"&amp; "Y" &amp; $B49)</f>
        <v>64.259999999999991</v>
      </c>
      <c r="W49" s="318" cm="1">
        <f t="array" aca="1" ref="W49" ca="1">INDIRECT("'"&amp;$A49&amp;"'!"&amp; "Z" &amp; $B49)</f>
        <v>60.669999999999995</v>
      </c>
      <c r="X49" s="318" cm="1">
        <f t="array" aca="1" ref="X49" ca="1">INDIRECT("'"&amp;$A49&amp;"'!"&amp; "AA" &amp; $B49)</f>
        <v>57.36</v>
      </c>
      <c r="Y49" s="318" cm="1">
        <f t="array" aca="1" ref="Y49" ca="1">INDIRECT("'"&amp;$A49&amp;"'!"&amp; "AB" &amp; $B49)</f>
        <v>53.89</v>
      </c>
      <c r="Z49" s="318" cm="1">
        <f t="array" aca="1" ref="Z49" ca="1">INDIRECT("'"&amp;$A49&amp;"'!"&amp; "AC" &amp; $B49)</f>
        <v>50.91</v>
      </c>
      <c r="AB49">
        <f t="shared" ca="1" si="1"/>
        <v>67.630000000000024</v>
      </c>
    </row>
    <row r="50" spans="1:28">
      <c r="A50" s="79">
        <v>16</v>
      </c>
      <c r="B50" s="79">
        <v>108</v>
      </c>
      <c r="C50" s="318" cm="1">
        <f t="array" aca="1" ref="C50" ca="1">INDIRECT("'"&amp;$A50&amp;"'!"&amp; "F" &amp; $B50)</f>
        <v>46.22</v>
      </c>
      <c r="D50" s="318" cm="1">
        <f t="array" aca="1" ref="D50" ca="1">INDIRECT("'"&amp;$A50&amp;"'!"&amp; "g" &amp; $B50)</f>
        <v>43.22</v>
      </c>
      <c r="E50" s="318" cm="1">
        <f t="array" aca="1" ref="E50" ca="1">INDIRECT("'"&amp;$A50&amp;"'!"&amp; "H" &amp; $B50)</f>
        <v>40.799999999999997</v>
      </c>
      <c r="F50" s="318" cm="1">
        <f t="array" aca="1" ref="F50" ca="1">INDIRECT("'"&amp;$A50&amp;"'!"&amp; "I" &amp; $B50)</f>
        <v>38.85</v>
      </c>
      <c r="G50" s="318" cm="1">
        <f t="array" aca="1" ref="G50" ca="1">INDIRECT("'"&amp;$A50&amp;"'!"&amp; "J" &amp; $B50)</f>
        <v>38.07</v>
      </c>
      <c r="H50" s="318" cm="1">
        <f t="array" aca="1" ref="H50" ca="1">INDIRECT("'"&amp;$A50&amp;"'!"&amp; "K" &amp; $B50)</f>
        <v>38.699999999999996</v>
      </c>
      <c r="I50" s="318" cm="1">
        <f t="array" aca="1" ref="I50" ca="1">INDIRECT("'"&amp;$A50&amp;"'!"&amp; "L" &amp; $B50)</f>
        <v>40.92</v>
      </c>
      <c r="J50" s="318" cm="1">
        <f t="array" aca="1" ref="J50" ca="1">INDIRECT("'"&amp;$A50&amp;"'!"&amp; "M" &amp; $B50)</f>
        <v>39</v>
      </c>
      <c r="K50" s="318" cm="1">
        <f t="array" aca="1" ref="K50" ca="1">INDIRECT("'"&amp;$A50&amp;"'!"&amp; "N" &amp; $B50)</f>
        <v>45.96</v>
      </c>
      <c r="L50" s="318" cm="1">
        <f t="array" aca="1" ref="L50" ca="1">INDIRECT("'"&amp;$A50&amp;"'!"&amp; "O" &amp; $B50)</f>
        <v>55.109999999999992</v>
      </c>
      <c r="M50" s="318" cm="1">
        <f t="array" aca="1" ref="M50" ca="1">INDIRECT("'"&amp;$A50&amp;"'!"&amp; "P" &amp; $B50)</f>
        <v>60.05</v>
      </c>
      <c r="N50" s="318" cm="1">
        <f t="array" aca="1" ref="N50" ca="1">INDIRECT("'"&amp;$A50&amp;"'!"&amp; "Q" &amp; $B50)</f>
        <v>60.29</v>
      </c>
      <c r="O50" s="318" cm="1">
        <f t="array" aca="1" ref="O50" ca="1">INDIRECT("'"&amp;$A50&amp;"'!"&amp; "R" &amp; $B50)</f>
        <v>60.97999999999999</v>
      </c>
      <c r="P50" s="318" cm="1">
        <f t="array" aca="1" ref="P50" ca="1">INDIRECT("'"&amp;$A50&amp;"'!"&amp; "S" &amp; $B50)</f>
        <v>60.68</v>
      </c>
      <c r="Q50" s="318" cm="1">
        <f t="array" aca="1" ref="Q50" ca="1">INDIRECT("'"&amp;$A50&amp;"'!"&amp; "T" &amp; $B50)</f>
        <v>63.400000000000006</v>
      </c>
      <c r="R50" s="318" cm="1">
        <f t="array" aca="1" ref="R50" ca="1">INDIRECT("'"&amp;$A50&amp;"'!"&amp; "U" &amp; $B50)</f>
        <v>63.470000000000006</v>
      </c>
      <c r="S50" s="318" cm="1">
        <f t="array" aca="1" ref="S50" ca="1">INDIRECT("'"&amp;$A50&amp;"'!"&amp; "V" &amp; $B50)</f>
        <v>63.04999999999999</v>
      </c>
      <c r="T50" s="318" cm="1">
        <f t="array" aca="1" ref="T50" ca="1">INDIRECT("'"&amp;$A50&amp;"'!"&amp; "W" &amp; $B50)</f>
        <v>57.75</v>
      </c>
      <c r="U50" s="318" cm="1">
        <f t="array" aca="1" ref="U50" ca="1">INDIRECT("'"&amp;$A50&amp;"'!"&amp; "X" &amp; $B50)</f>
        <v>57.949999999999996</v>
      </c>
      <c r="V50" s="318" cm="1">
        <f t="array" aca="1" ref="V50" ca="1">INDIRECT("'"&amp;$A50&amp;"'!"&amp; "Y" &amp; $B50)</f>
        <v>63.609999999999992</v>
      </c>
      <c r="W50" s="318" cm="1">
        <f t="array" aca="1" ref="W50" ca="1">INDIRECT("'"&amp;$A50&amp;"'!"&amp; "Z" &amp; $B50)</f>
        <v>61.599999999999994</v>
      </c>
      <c r="X50" s="318" cm="1">
        <f t="array" aca="1" ref="X50" ca="1">INDIRECT("'"&amp;$A50&amp;"'!"&amp; "AA" &amp; $B50)</f>
        <v>56.92</v>
      </c>
      <c r="Y50" s="318" cm="1">
        <f t="array" aca="1" ref="Y50" ca="1">INDIRECT("'"&amp;$A50&amp;"'!"&amp; "AB" &amp; $B50)</f>
        <v>52.859999999999992</v>
      </c>
      <c r="Z50" s="318" cm="1">
        <f t="array" aca="1" ref="Z50" ca="1">INDIRECT("'"&amp;$A50&amp;"'!"&amp; "AC" &amp; $B50)</f>
        <v>50.44</v>
      </c>
      <c r="AB50">
        <f t="shared" ca="1" si="1"/>
        <v>63.609999999999992</v>
      </c>
    </row>
    <row r="51" spans="1:28">
      <c r="A51" s="79">
        <v>17</v>
      </c>
      <c r="B51" s="79">
        <v>108</v>
      </c>
      <c r="C51" s="318" cm="1">
        <f t="array" aca="1" ref="C51" ca="1">INDIRECT("'"&amp;$A51&amp;"'!"&amp; "F" &amp; $B51)</f>
        <v>46.734999999999999</v>
      </c>
      <c r="D51" s="318" cm="1">
        <f t="array" aca="1" ref="D51" ca="1">INDIRECT("'"&amp;$A51&amp;"'!"&amp; "g" &amp; $B51)</f>
        <v>43.85</v>
      </c>
      <c r="E51" s="318" cm="1">
        <f t="array" aca="1" ref="E51" ca="1">INDIRECT("'"&amp;$A51&amp;"'!"&amp; "H" &amp; $B51)</f>
        <v>41.46</v>
      </c>
      <c r="F51" s="318" cm="1">
        <f t="array" aca="1" ref="F51" ca="1">INDIRECT("'"&amp;$A51&amp;"'!"&amp; "I" &amp; $B51)</f>
        <v>39.9</v>
      </c>
      <c r="G51" s="318" cm="1">
        <f t="array" aca="1" ref="G51" ca="1">INDIRECT("'"&amp;$A51&amp;"'!"&amp; "J" &amp; $B51)</f>
        <v>39.47</v>
      </c>
      <c r="H51" s="318" cm="1">
        <f t="array" aca="1" ref="H51" ca="1">INDIRECT("'"&amp;$A51&amp;"'!"&amp; "K" &amp; $B51)</f>
        <v>39.309999999999995</v>
      </c>
      <c r="I51" s="318" cm="1">
        <f t="array" aca="1" ref="I51" ca="1">INDIRECT("'"&amp;$A51&amp;"'!"&amp; "L" &amp; $B51)</f>
        <v>39.339999999999996</v>
      </c>
      <c r="J51" s="318" cm="1">
        <f t="array" aca="1" ref="J51" ca="1">INDIRECT("'"&amp;$A51&amp;"'!"&amp; "M" &amp; $B51)</f>
        <v>38.42</v>
      </c>
      <c r="K51" s="318" cm="1">
        <f t="array" aca="1" ref="K51" ca="1">INDIRECT("'"&amp;$A51&amp;"'!"&amp; "N" &amp; $B51)</f>
        <v>43.53</v>
      </c>
      <c r="L51" s="318" cm="1">
        <f t="array" aca="1" ref="L51" ca="1">INDIRECT("'"&amp;$A51&amp;"'!"&amp; "O" &amp; $B51)</f>
        <v>48.35</v>
      </c>
      <c r="M51" s="318" cm="1">
        <f t="array" aca="1" ref="M51" ca="1">INDIRECT("'"&amp;$A51&amp;"'!"&amp; "P" &amp; $B51)</f>
        <v>51.170000000000009</v>
      </c>
      <c r="N51" s="318" cm="1">
        <f t="array" aca="1" ref="N51" ca="1">INDIRECT("'"&amp;$A51&amp;"'!"&amp; "Q" &amp; $B51)</f>
        <v>52.109999999999992</v>
      </c>
      <c r="O51" s="318" cm="1">
        <f t="array" aca="1" ref="O51" ca="1">INDIRECT("'"&amp;$A51&amp;"'!"&amp; "R" &amp; $B51)</f>
        <v>52.970000000000006</v>
      </c>
      <c r="P51" s="318" cm="1">
        <f t="array" aca="1" ref="P51" ca="1">INDIRECT("'"&amp;$A51&amp;"'!"&amp; "S" &amp; $B51)</f>
        <v>55.01</v>
      </c>
      <c r="Q51" s="318" cm="1">
        <f t="array" aca="1" ref="Q51" ca="1">INDIRECT("'"&amp;$A51&amp;"'!"&amp; "T" &amp; $B51)</f>
        <v>56.29</v>
      </c>
      <c r="R51" s="318" cm="1">
        <f t="array" aca="1" ref="R51" ca="1">INDIRECT("'"&amp;$A51&amp;"'!"&amp; "U" &amp; $B51)</f>
        <v>56.63</v>
      </c>
      <c r="S51" s="318" cm="1">
        <f t="array" aca="1" ref="S51" ca="1">INDIRECT("'"&amp;$A51&amp;"'!"&amp; "V" &amp; $B51)</f>
        <v>55.890000000000008</v>
      </c>
      <c r="T51" s="318" cm="1">
        <f t="array" aca="1" ref="T51" ca="1">INDIRECT("'"&amp;$A51&amp;"'!"&amp; "W" &amp; $B51)</f>
        <v>53.55</v>
      </c>
      <c r="U51" s="318" cm="1">
        <f t="array" aca="1" ref="U51" ca="1">INDIRECT("'"&amp;$A51&amp;"'!"&amp; "X" &amp; $B51)</f>
        <v>53.38</v>
      </c>
      <c r="V51" s="318" cm="1">
        <f t="array" aca="1" ref="V51" ca="1">INDIRECT("'"&amp;$A51&amp;"'!"&amp; "Y" &amp; $B51)</f>
        <v>57.154000000000003</v>
      </c>
      <c r="W51" s="318" cm="1">
        <f t="array" aca="1" ref="W51" ca="1">INDIRECT("'"&amp;$A51&amp;"'!"&amp; "Z" &amp; $B51)</f>
        <v>55.113999999999997</v>
      </c>
      <c r="X51" s="318" cm="1">
        <f t="array" aca="1" ref="X51" ca="1">INDIRECT("'"&amp;$A51&amp;"'!"&amp; "AA" &amp; $B51)</f>
        <v>52.613999999999997</v>
      </c>
      <c r="Y51" s="318" cm="1">
        <f t="array" aca="1" ref="Y51" ca="1">INDIRECT("'"&amp;$A51&amp;"'!"&amp; "AB" &amp; $B51)</f>
        <v>49.97</v>
      </c>
      <c r="Z51" s="318" cm="1">
        <f t="array" aca="1" ref="Z51" ca="1">INDIRECT("'"&amp;$A51&amp;"'!"&amp; "AC" &amp; $B51)</f>
        <v>48.190000000000005</v>
      </c>
      <c r="AB51">
        <f t="shared" ca="1" si="1"/>
        <v>57.154000000000003</v>
      </c>
    </row>
    <row r="52" spans="1:28">
      <c r="A52" s="79">
        <v>18</v>
      </c>
      <c r="B52" s="79">
        <v>108</v>
      </c>
      <c r="C52" s="318" cm="1">
        <f t="array" aca="1" ref="C52" ca="1">INDIRECT("'"&amp;$A52&amp;"'!"&amp; "F" &amp; $B52)</f>
        <v>45.01</v>
      </c>
      <c r="D52" s="318" cm="1">
        <f t="array" aca="1" ref="D52" ca="1">INDIRECT("'"&amp;$A52&amp;"'!"&amp; "g" &amp; $B52)</f>
        <v>41.839999999999996</v>
      </c>
      <c r="E52" s="318" cm="1">
        <f t="array" aca="1" ref="E52" ca="1">INDIRECT("'"&amp;$A52&amp;"'!"&amp; "H" &amp; $B52)</f>
        <v>40.35</v>
      </c>
      <c r="F52" s="318" cm="1">
        <f t="array" aca="1" ref="F52" ca="1">INDIRECT("'"&amp;$A52&amp;"'!"&amp; "I" &amp; $B52)</f>
        <v>38.42</v>
      </c>
      <c r="G52" s="318" cm="1">
        <f t="array" aca="1" ref="G52" ca="1">INDIRECT("'"&amp;$A52&amp;"'!"&amp; "J" &amp; $B52)</f>
        <v>38.089999999999996</v>
      </c>
      <c r="H52" s="318" cm="1">
        <f t="array" aca="1" ref="H52" ca="1">INDIRECT("'"&amp;$A52&amp;"'!"&amp; "K" &amp; $B52)</f>
        <v>36.859999999999992</v>
      </c>
      <c r="I52" s="318" cm="1">
        <f t="array" aca="1" ref="I52" ca="1">INDIRECT("'"&amp;$A52&amp;"'!"&amp; "L" &amp; $B52)</f>
        <v>37.919999999999995</v>
      </c>
      <c r="J52" s="318" cm="1">
        <f t="array" aca="1" ref="J52" ca="1">INDIRECT("'"&amp;$A52&amp;"'!"&amp; "M" &amp; $B52)</f>
        <v>37.36</v>
      </c>
      <c r="K52" s="318" cm="1">
        <f t="array" aca="1" ref="K52" ca="1">INDIRECT("'"&amp;$A52&amp;"'!"&amp; "N" &amp; $B52)</f>
        <v>38.49</v>
      </c>
      <c r="L52" s="318" cm="1">
        <f t="array" aca="1" ref="L52" ca="1">INDIRECT("'"&amp;$A52&amp;"'!"&amp; "O" &amp; $B52)</f>
        <v>40.789999999999992</v>
      </c>
      <c r="M52" s="318" cm="1">
        <f t="array" aca="1" ref="M52" ca="1">INDIRECT("'"&amp;$A52&amp;"'!"&amp; "P" &amp; $B52)</f>
        <v>42.230000000000004</v>
      </c>
      <c r="N52" s="318" cm="1">
        <f t="array" aca="1" ref="N52" ca="1">INDIRECT("'"&amp;$A52&amp;"'!"&amp; "Q" &amp; $B52)</f>
        <v>43.54</v>
      </c>
      <c r="O52" s="318" cm="1">
        <f t="array" aca="1" ref="O52" ca="1">INDIRECT("'"&amp;$A52&amp;"'!"&amp; "R" &amp; $B52)</f>
        <v>44.589999999999996</v>
      </c>
      <c r="P52" s="318" cm="1">
        <f t="array" aca="1" ref="P52" ca="1">INDIRECT("'"&amp;$A52&amp;"'!"&amp; "S" &amp; $B52)</f>
        <v>46.57</v>
      </c>
      <c r="Q52" s="318" cm="1">
        <f t="array" aca="1" ref="Q52" ca="1">INDIRECT("'"&amp;$A52&amp;"'!"&amp; "T" &amp; $B52)</f>
        <v>47.899999999999991</v>
      </c>
      <c r="R52" s="318" cm="1">
        <f t="array" aca="1" ref="R52" ca="1">INDIRECT("'"&amp;$A52&amp;"'!"&amp; "U" &amp; $B52)</f>
        <v>48.080000000000005</v>
      </c>
      <c r="S52" s="318" cm="1">
        <f t="array" aca="1" ref="S52" ca="1">INDIRECT("'"&amp;$A52&amp;"'!"&amp; "V" &amp; $B52)</f>
        <v>46.34</v>
      </c>
      <c r="T52" s="318" cm="1">
        <f t="array" aca="1" ref="T52" ca="1">INDIRECT("'"&amp;$A52&amp;"'!"&amp; "W" &amp; $B52)</f>
        <v>45.509999999999991</v>
      </c>
      <c r="U52" s="318" cm="1">
        <f t="array" aca="1" ref="U52" ca="1">INDIRECT("'"&amp;$A52&amp;"'!"&amp; "X" &amp; $B52)</f>
        <v>45.92</v>
      </c>
      <c r="V52" s="318" cm="1">
        <f t="array" aca="1" ref="V52" ca="1">INDIRECT("'"&amp;$A52&amp;"'!"&amp; "Y" &amp; $B52)</f>
        <v>53.830000000000005</v>
      </c>
      <c r="W52" s="318" cm="1">
        <f t="array" aca="1" ref="W52" ca="1">INDIRECT("'"&amp;$A52&amp;"'!"&amp; "Z" &amp; $B52)</f>
        <v>53.970000000000006</v>
      </c>
      <c r="X52" s="318" cm="1">
        <f t="array" aca="1" ref="X52" ca="1">INDIRECT("'"&amp;$A52&amp;"'!"&amp; "AA" &amp; $B52)</f>
        <v>54.279999999999994</v>
      </c>
      <c r="Y52" s="318" cm="1">
        <f t="array" aca="1" ref="Y52" ca="1">INDIRECT("'"&amp;$A52&amp;"'!"&amp; "AB" &amp; $B52)</f>
        <v>52.37</v>
      </c>
      <c r="Z52" s="318" cm="1">
        <f t="array" aca="1" ref="Z52" ca="1">INDIRECT("'"&amp;$A52&amp;"'!"&amp; "AC" &amp; $B52)</f>
        <v>49.11999999999999</v>
      </c>
      <c r="AB52">
        <f t="shared" ca="1" si="1"/>
        <v>54.279999999999994</v>
      </c>
    </row>
    <row r="53" spans="1:28">
      <c r="A53" s="79">
        <v>19</v>
      </c>
      <c r="B53" s="79">
        <v>108</v>
      </c>
      <c r="C53" s="318" cm="1">
        <f t="array" aca="1" ref="C53" ca="1">INDIRECT("'"&amp;$A53&amp;"'!"&amp; "F" &amp; $B53)</f>
        <v>45.27</v>
      </c>
      <c r="D53" s="318" cm="1">
        <f t="array" aca="1" ref="D53" ca="1">INDIRECT("'"&amp;$A53&amp;"'!"&amp; "g" &amp; $B53)</f>
        <v>42.580000000000005</v>
      </c>
      <c r="E53" s="318" cm="1">
        <f t="array" aca="1" ref="E53" ca="1">INDIRECT("'"&amp;$A53&amp;"'!"&amp; "H" &amp; $B53)</f>
        <v>40.229999999999997</v>
      </c>
      <c r="F53" s="318" cm="1">
        <f t="array" aca="1" ref="F53" ca="1">INDIRECT("'"&amp;$A53&amp;"'!"&amp; "I" &amp; $B53)</f>
        <v>40.27000000000001</v>
      </c>
      <c r="G53" s="318" cm="1">
        <f t="array" aca="1" ref="G53" ca="1">INDIRECT("'"&amp;$A53&amp;"'!"&amp; "J" &amp; $B53)</f>
        <v>39.440000000000005</v>
      </c>
      <c r="H53" s="318" cm="1">
        <f t="array" aca="1" ref="H53" ca="1">INDIRECT("'"&amp;$A53&amp;"'!"&amp; "K" &amp; $B53)</f>
        <v>39.480000000000004</v>
      </c>
      <c r="I53" s="318" cm="1">
        <f t="array" aca="1" ref="I53" ca="1">INDIRECT("'"&amp;$A53&amp;"'!"&amp; "L" &amp; $B53)</f>
        <v>40.540000000000006</v>
      </c>
      <c r="J53" s="318" cm="1">
        <f t="array" aca="1" ref="J53" ca="1">INDIRECT("'"&amp;$A53&amp;"'!"&amp; "M" &amp; $B53)</f>
        <v>39</v>
      </c>
      <c r="K53" s="318" cm="1">
        <f t="array" aca="1" ref="K53" ca="1">INDIRECT("'"&amp;$A53&amp;"'!"&amp; "N" &amp; $B53)</f>
        <v>42.93</v>
      </c>
      <c r="L53" s="318" cm="1">
        <f t="array" aca="1" ref="L53" ca="1">INDIRECT("'"&amp;$A53&amp;"'!"&amp; "O" &amp; $B53)</f>
        <v>48.48</v>
      </c>
      <c r="M53" s="318" cm="1">
        <f t="array" aca="1" ref="M53" ca="1">INDIRECT("'"&amp;$A53&amp;"'!"&amp; "P" &amp; $B53)</f>
        <v>50.68</v>
      </c>
      <c r="N53" s="318" cm="1">
        <f t="array" aca="1" ref="N53" ca="1">INDIRECT("'"&amp;$A53&amp;"'!"&amp; "Q" &amp; $B53)</f>
        <v>52.84</v>
      </c>
      <c r="O53" s="318" cm="1">
        <f t="array" aca="1" ref="O53" ca="1">INDIRECT("'"&amp;$A53&amp;"'!"&amp; "R" &amp; $B53)</f>
        <v>54.949999999999989</v>
      </c>
      <c r="P53" s="318" cm="1">
        <f t="array" aca="1" ref="P53" ca="1">INDIRECT("'"&amp;$A53&amp;"'!"&amp; "S" &amp; $B53)</f>
        <v>55.83</v>
      </c>
      <c r="Q53" s="318" cm="1">
        <f t="array" aca="1" ref="Q53" ca="1">INDIRECT("'"&amp;$A53&amp;"'!"&amp; "T" &amp; $B53)</f>
        <v>57.5</v>
      </c>
      <c r="R53" s="318" cm="1">
        <f t="array" aca="1" ref="R53" ca="1">INDIRECT("'"&amp;$A53&amp;"'!"&amp; "U" &amp; $B53)</f>
        <v>57.230000000000004</v>
      </c>
      <c r="S53" s="318" cm="1">
        <f t="array" aca="1" ref="S53" ca="1">INDIRECT("'"&amp;$A53&amp;"'!"&amp; "V" &amp; $B53)</f>
        <v>57.430000000000007</v>
      </c>
      <c r="T53" s="318" cm="1">
        <f t="array" aca="1" ref="T53" ca="1">INDIRECT("'"&amp;$A53&amp;"'!"&amp; "W" &amp; $B53)</f>
        <v>56.480000000000004</v>
      </c>
      <c r="U53" s="318" cm="1">
        <f t="array" aca="1" ref="U53" ca="1">INDIRECT("'"&amp;$A53&amp;"'!"&amp; "X" &amp; $B53)</f>
        <v>55.65</v>
      </c>
      <c r="V53" s="318" cm="1">
        <f t="array" aca="1" ref="V53" ca="1">INDIRECT("'"&amp;$A53&amp;"'!"&amp; "Y" &amp; $B53)</f>
        <v>60.92</v>
      </c>
      <c r="W53" s="318" cm="1">
        <f t="array" aca="1" ref="W53" ca="1">INDIRECT("'"&amp;$A53&amp;"'!"&amp; "Z" &amp; $B53)</f>
        <v>59.28</v>
      </c>
      <c r="X53" s="318" cm="1">
        <f t="array" aca="1" ref="X53" ca="1">INDIRECT("'"&amp;$A53&amp;"'!"&amp; "AA" &amp; $B53)</f>
        <v>57.899999999999991</v>
      </c>
      <c r="Y53" s="318" cm="1">
        <f t="array" aca="1" ref="Y53" ca="1">INDIRECT("'"&amp;$A53&amp;"'!"&amp; "AB" &amp; $B53)</f>
        <v>53.260000000000005</v>
      </c>
      <c r="Z53" s="318" cm="1">
        <f t="array" aca="1" ref="Z53" ca="1">INDIRECT("'"&amp;$A53&amp;"'!"&amp; "AC" &amp; $B53)</f>
        <v>51.790000000000006</v>
      </c>
      <c r="AB53">
        <f t="shared" ca="1" si="1"/>
        <v>60.92</v>
      </c>
    </row>
    <row r="54" spans="1:28">
      <c r="A54" s="79">
        <v>20</v>
      </c>
      <c r="B54" s="79">
        <v>108</v>
      </c>
      <c r="C54" s="318" cm="1">
        <f t="array" aca="1" ref="C54" ca="1">INDIRECT("'"&amp;$A54&amp;"'!"&amp; "F" &amp; $B54)</f>
        <v>47.250000000000007</v>
      </c>
      <c r="D54" s="318" cm="1">
        <f t="array" aca="1" ref="D54" ca="1">INDIRECT("'"&amp;$A54&amp;"'!"&amp; "g" &amp; $B54)</f>
        <v>44.29</v>
      </c>
      <c r="E54" s="318" cm="1">
        <f t="array" aca="1" ref="E54" ca="1">INDIRECT("'"&amp;$A54&amp;"'!"&amp; "H" &amp; $B54)</f>
        <v>42.59</v>
      </c>
      <c r="F54" s="318" cm="1">
        <f t="array" aca="1" ref="F54" ca="1">INDIRECT("'"&amp;$A54&amp;"'!"&amp; "I" &amp; $B54)</f>
        <v>41.07</v>
      </c>
      <c r="G54" s="318" cm="1">
        <f t="array" aca="1" ref="G54" ca="1">INDIRECT("'"&amp;$A54&amp;"'!"&amp; "J" &amp; $B54)</f>
        <v>40.869999999999997</v>
      </c>
      <c r="H54" s="318" cm="1">
        <f t="array" aca="1" ref="H54" ca="1">INDIRECT("'"&amp;$A54&amp;"'!"&amp; "K" &amp; $B54)</f>
        <v>39.930000000000007</v>
      </c>
      <c r="I54" s="318" cm="1">
        <f t="array" aca="1" ref="I54" ca="1">INDIRECT("'"&amp;$A54&amp;"'!"&amp; "L" &amp; $B54)</f>
        <v>39.739999999999995</v>
      </c>
      <c r="J54" s="318" cm="1">
        <f t="array" aca="1" ref="J54" ca="1">INDIRECT("'"&amp;$A54&amp;"'!"&amp; "M" &amp; $B54)</f>
        <v>40.43</v>
      </c>
      <c r="K54" s="318" cm="1">
        <f t="array" aca="1" ref="K54" ca="1">INDIRECT("'"&amp;$A54&amp;"'!"&amp; "N" &amp; $B54)</f>
        <v>42.61</v>
      </c>
      <c r="L54" s="318" cm="1">
        <f t="array" aca="1" ref="L54" ca="1">INDIRECT("'"&amp;$A54&amp;"'!"&amp; "O" &amp; $B54)</f>
        <v>49.250000000000007</v>
      </c>
      <c r="M54" s="318" cm="1">
        <f t="array" aca="1" ref="M54" ca="1">INDIRECT("'"&amp;$A54&amp;"'!"&amp; "P" &amp; $B54)</f>
        <v>52.52</v>
      </c>
      <c r="N54" s="318" cm="1">
        <f t="array" aca="1" ref="N54" ca="1">INDIRECT("'"&amp;$A54&amp;"'!"&amp; "Q" &amp; $B54)</f>
        <v>53.78</v>
      </c>
      <c r="O54" s="318" cm="1">
        <f t="array" aca="1" ref="O54" ca="1">INDIRECT("'"&amp;$A54&amp;"'!"&amp; "R" &amp; $B54)</f>
        <v>53.87</v>
      </c>
      <c r="P54" s="318" cm="1">
        <f t="array" aca="1" ref="P54" ca="1">INDIRECT("'"&amp;$A54&amp;"'!"&amp; "S" &amp; $B54)</f>
        <v>53.720000000000006</v>
      </c>
      <c r="Q54" s="318" cm="1">
        <f t="array" aca="1" ref="Q54" ca="1">INDIRECT("'"&amp;$A54&amp;"'!"&amp; "T" &amp; $B54)</f>
        <v>56.26</v>
      </c>
      <c r="R54" s="318" cm="1">
        <f t="array" aca="1" ref="R54" ca="1">INDIRECT("'"&amp;$A54&amp;"'!"&amp; "U" &amp; $B54)</f>
        <v>56.69</v>
      </c>
      <c r="S54" s="318" cm="1">
        <f t="array" aca="1" ref="S54" ca="1">INDIRECT("'"&amp;$A54&amp;"'!"&amp; "V" &amp; $B54)</f>
        <v>56.31</v>
      </c>
      <c r="T54" s="318" cm="1">
        <f t="array" aca="1" ref="T54" ca="1">INDIRECT("'"&amp;$A54&amp;"'!"&amp; "W" &amp; $B54)</f>
        <v>55.45</v>
      </c>
      <c r="U54" s="318" cm="1">
        <f t="array" aca="1" ref="U54" ca="1">INDIRECT("'"&amp;$A54&amp;"'!"&amp; "X" &amp; $B54)</f>
        <v>56.05</v>
      </c>
      <c r="V54" s="318" cm="1">
        <f t="array" aca="1" ref="V54" ca="1">INDIRECT("'"&amp;$A54&amp;"'!"&amp; "Y" &amp; $B54)</f>
        <v>62.339999999999996</v>
      </c>
      <c r="W54" s="318" cm="1">
        <f t="array" aca="1" ref="W54" ca="1">INDIRECT("'"&amp;$A54&amp;"'!"&amp; "Z" &amp; $B54)</f>
        <v>58.539999999999992</v>
      </c>
      <c r="X54" s="318" cm="1">
        <f t="array" aca="1" ref="X54" ca="1">INDIRECT("'"&amp;$A54&amp;"'!"&amp; "AA" &amp; $B54)</f>
        <v>60.32</v>
      </c>
      <c r="Y54" s="318" cm="1">
        <f t="array" aca="1" ref="Y54" ca="1">INDIRECT("'"&amp;$A54&amp;"'!"&amp; "AB" &amp; $B54)</f>
        <v>56.440000000000005</v>
      </c>
      <c r="Z54" s="318" cm="1">
        <f t="array" aca="1" ref="Z54" ca="1">INDIRECT("'"&amp;$A54&amp;"'!"&amp; "AC" &amp; $B54)</f>
        <v>52.569999999999993</v>
      </c>
      <c r="AB54">
        <f t="shared" ca="1" si="1"/>
        <v>62.339999999999996</v>
      </c>
    </row>
    <row r="55" spans="1:28">
      <c r="A55" s="79">
        <v>21</v>
      </c>
      <c r="B55" s="79">
        <v>108</v>
      </c>
      <c r="C55" s="318" cm="1">
        <f t="array" aca="1" ref="C55" ca="1">INDIRECT("'"&amp;$A55&amp;"'!"&amp; "F" &amp; $B55)</f>
        <v>47.32</v>
      </c>
      <c r="D55" s="318" cm="1">
        <f t="array" aca="1" ref="D55" ca="1">INDIRECT("'"&amp;$A55&amp;"'!"&amp; "g" &amp; $B55)</f>
        <v>46.72</v>
      </c>
      <c r="E55" s="318" cm="1">
        <f t="array" aca="1" ref="E55" ca="1">INDIRECT("'"&amp;$A55&amp;"'!"&amp; "H" &amp; $B55)</f>
        <v>45.84</v>
      </c>
      <c r="F55" s="318" cm="1">
        <f t="array" aca="1" ref="F55" ca="1">INDIRECT("'"&amp;$A55&amp;"'!"&amp; "I" &amp; $B55)</f>
        <v>42.679999999999993</v>
      </c>
      <c r="G55" s="318" cm="1">
        <f t="array" aca="1" ref="G55" ca="1">INDIRECT("'"&amp;$A55&amp;"'!"&amp; "J" &amp; $B55)</f>
        <v>41.46</v>
      </c>
      <c r="H55" s="318" cm="1">
        <f t="array" aca="1" ref="H55" ca="1">INDIRECT("'"&amp;$A55&amp;"'!"&amp; "K" &amp; $B55)</f>
        <v>41.489999999999995</v>
      </c>
      <c r="I55" s="318" cm="1">
        <f t="array" aca="1" ref="I55" ca="1">INDIRECT("'"&amp;$A55&amp;"'!"&amp; "L" &amp; $B55)</f>
        <v>44.120000000000005</v>
      </c>
      <c r="J55" s="318" cm="1">
        <f t="array" aca="1" ref="J55" ca="1">INDIRECT("'"&amp;$A55&amp;"'!"&amp; "M" &amp; $B55)</f>
        <v>43.04</v>
      </c>
      <c r="K55" s="318" cm="1">
        <f t="array" aca="1" ref="K55" ca="1">INDIRECT("'"&amp;$A55&amp;"'!"&amp; "N" &amp; $B55)</f>
        <v>51.26</v>
      </c>
      <c r="L55" s="318" cm="1">
        <f t="array" aca="1" ref="L55" ca="1">INDIRECT("'"&amp;$A55&amp;"'!"&amp; "O" &amp; $B55)</f>
        <v>62.440000000000005</v>
      </c>
      <c r="M55" s="318" cm="1">
        <f t="array" aca="1" ref="M55" ca="1">INDIRECT("'"&amp;$A55&amp;"'!"&amp; "P" &amp; $B55)</f>
        <v>66.52000000000001</v>
      </c>
      <c r="N55" s="318" cm="1">
        <f t="array" aca="1" ref="N55" ca="1">INDIRECT("'"&amp;$A55&amp;"'!"&amp; "Q" &amp; $B55)</f>
        <v>67.94</v>
      </c>
      <c r="O55" s="318" cm="1">
        <f t="array" aca="1" ref="O55" ca="1">INDIRECT("'"&amp;$A55&amp;"'!"&amp; "R" &amp; $B55)</f>
        <v>68.459999999999994</v>
      </c>
      <c r="P55" s="318" cm="1">
        <f t="array" aca="1" ref="P55" ca="1">INDIRECT("'"&amp;$A55&amp;"'!"&amp; "S" &amp; $B55)</f>
        <v>70.759999999999991</v>
      </c>
      <c r="Q55" s="318" cm="1">
        <f t="array" aca="1" ref="Q55" ca="1">INDIRECT("'"&amp;$A55&amp;"'!"&amp; "T" &amp; $B55)</f>
        <v>69.550000000000011</v>
      </c>
      <c r="R55" s="318" cm="1">
        <f t="array" aca="1" ref="R55" ca="1">INDIRECT("'"&amp;$A55&amp;"'!"&amp; "U" &amp; $B55)</f>
        <v>71.773500000000013</v>
      </c>
      <c r="S55" s="318" cm="1">
        <f t="array" aca="1" ref="S55" ca="1">INDIRECT("'"&amp;$A55&amp;"'!"&amp; "V" &amp; $B55)</f>
        <v>71.103500000000011</v>
      </c>
      <c r="T55" s="318" cm="1">
        <f t="array" aca="1" ref="T55" ca="1">INDIRECT("'"&amp;$A55&amp;"'!"&amp; "W" &amp; $B55)</f>
        <v>68</v>
      </c>
      <c r="U55" s="318" cm="1">
        <f t="array" aca="1" ref="U55" ca="1">INDIRECT("'"&amp;$A55&amp;"'!"&amp; "X" &amp; $B55)</f>
        <v>62.29</v>
      </c>
      <c r="V55" s="318" cm="1">
        <f t="array" aca="1" ref="V55" ca="1">INDIRECT("'"&amp;$A55&amp;"'!"&amp; "Y" &amp; $B55)</f>
        <v>66.48</v>
      </c>
      <c r="W55" s="318" cm="1">
        <f t="array" aca="1" ref="W55" ca="1">INDIRECT("'"&amp;$A55&amp;"'!"&amp; "Z" &amp; $B55)</f>
        <v>63.74</v>
      </c>
      <c r="X55" s="318" cm="1">
        <f t="array" aca="1" ref="X55" ca="1">INDIRECT("'"&amp;$A55&amp;"'!"&amp; "AA" &amp; $B55)</f>
        <v>62.34</v>
      </c>
      <c r="Y55" s="318" cm="1">
        <f t="array" aca="1" ref="Y55" ca="1">INDIRECT("'"&amp;$A55&amp;"'!"&amp; "AB" &amp; $B55)</f>
        <v>57.25</v>
      </c>
      <c r="Z55" s="318" cm="1">
        <f t="array" aca="1" ref="Z55" ca="1">INDIRECT("'"&amp;$A55&amp;"'!"&amp; "AC" &amp; $B55)</f>
        <v>55.160000000000011</v>
      </c>
      <c r="AB55">
        <f t="shared" ca="1" si="1"/>
        <v>71.773500000000013</v>
      </c>
    </row>
    <row r="56" spans="1:28">
      <c r="A56" s="79">
        <v>22</v>
      </c>
      <c r="B56" s="79">
        <v>108</v>
      </c>
      <c r="C56" s="318" cm="1">
        <f t="array" aca="1" ref="C56" ca="1">INDIRECT("'"&amp;$A56&amp;"'!"&amp; "F" &amp; $B56)</f>
        <v>49.71</v>
      </c>
      <c r="D56" s="318" cm="1">
        <f t="array" aca="1" ref="D56" ca="1">INDIRECT("'"&amp;$A56&amp;"'!"&amp; "g" &amp; $B56)</f>
        <v>47.640000000000008</v>
      </c>
      <c r="E56" s="318" cm="1">
        <f t="array" aca="1" ref="E56" ca="1">INDIRECT("'"&amp;$A56&amp;"'!"&amp; "H" &amp; $B56)</f>
        <v>45.41</v>
      </c>
      <c r="F56" s="318" cm="1">
        <f t="array" aca="1" ref="F56" ca="1">INDIRECT("'"&amp;$A56&amp;"'!"&amp; "I" &amp; $B56)</f>
        <v>43.190000000000005</v>
      </c>
      <c r="G56" s="318" cm="1">
        <f t="array" aca="1" ref="G56" ca="1">INDIRECT("'"&amp;$A56&amp;"'!"&amp; "J" &amp; $B56)</f>
        <v>42.56</v>
      </c>
      <c r="H56" s="318" cm="1">
        <f t="array" aca="1" ref="H56" ca="1">INDIRECT("'"&amp;$A56&amp;"'!"&amp; "K" &amp; $B56)</f>
        <v>42.329999999999991</v>
      </c>
      <c r="I56" s="318" cm="1">
        <f t="array" aca="1" ref="I56" ca="1">INDIRECT("'"&amp;$A56&amp;"'!"&amp; "L" &amp; $B56)</f>
        <v>45</v>
      </c>
      <c r="J56" s="318" cm="1">
        <f t="array" aca="1" ref="J56" ca="1">INDIRECT("'"&amp;$A56&amp;"'!"&amp; "M" &amp; $B56)</f>
        <v>44.77</v>
      </c>
      <c r="K56" s="318" cm="1">
        <f t="array" aca="1" ref="K56" ca="1">INDIRECT("'"&amp;$A56&amp;"'!"&amp; "N" &amp; $B56)</f>
        <v>53.66</v>
      </c>
      <c r="L56" s="318" cm="1">
        <f t="array" aca="1" ref="L56" ca="1">INDIRECT("'"&amp;$A56&amp;"'!"&amp; "O" &amp; $B56)</f>
        <v>62.64</v>
      </c>
      <c r="M56" s="318" cm="1">
        <f t="array" aca="1" ref="M56" ca="1">INDIRECT("'"&amp;$A56&amp;"'!"&amp; "P" &amp; $B56)</f>
        <v>67.45999999999998</v>
      </c>
      <c r="N56" s="318" cm="1">
        <f t="array" aca="1" ref="N56" ca="1">INDIRECT("'"&amp;$A56&amp;"'!"&amp; "Q" &amp; $B56)</f>
        <v>68.640000000000015</v>
      </c>
      <c r="O56" s="318" cm="1">
        <f t="array" aca="1" ref="O56" ca="1">INDIRECT("'"&amp;$A56&amp;"'!"&amp; "R" &amp; $B56)</f>
        <v>68.459999999999994</v>
      </c>
      <c r="P56" s="318" cm="1">
        <f t="array" aca="1" ref="P56" ca="1">INDIRECT("'"&amp;$A56&amp;"'!"&amp; "S" &amp; $B56)</f>
        <v>70.889999999999986</v>
      </c>
      <c r="Q56" s="318" cm="1">
        <f t="array" aca="1" ref="Q56" ca="1">INDIRECT("'"&amp;$A56&amp;"'!"&amp; "T" &amp; $B56)</f>
        <v>70.84</v>
      </c>
      <c r="R56" s="318" cm="1">
        <f t="array" aca="1" ref="R56" ca="1">INDIRECT("'"&amp;$A56&amp;"'!"&amp; "U" &amp; $B56)</f>
        <v>71.08</v>
      </c>
      <c r="S56" s="318" cm="1">
        <f t="array" aca="1" ref="S56" ca="1">INDIRECT("'"&amp;$A56&amp;"'!"&amp; "V" &amp; $B56)</f>
        <v>70.650000000000006</v>
      </c>
      <c r="T56" s="318" cm="1">
        <f t="array" aca="1" ref="T56" ca="1">INDIRECT("'"&amp;$A56&amp;"'!"&amp; "W" &amp; $B56)</f>
        <v>67.72</v>
      </c>
      <c r="U56" s="318" cm="1">
        <f t="array" aca="1" ref="U56" ca="1">INDIRECT("'"&amp;$A56&amp;"'!"&amp; "X" &amp; $B56)</f>
        <v>62.419999999999995</v>
      </c>
      <c r="V56" s="318" cm="1">
        <f t="array" aca="1" ref="V56" ca="1">INDIRECT("'"&amp;$A56&amp;"'!"&amp; "Y" &amp; $B56)</f>
        <v>66.739999999999995</v>
      </c>
      <c r="W56" s="318" cm="1">
        <f t="array" aca="1" ref="W56" ca="1">INDIRECT("'"&amp;$A56&amp;"'!"&amp; "Z" &amp; $B56)</f>
        <v>62.629999999999995</v>
      </c>
      <c r="X56" s="318" cm="1">
        <f t="array" aca="1" ref="X56" ca="1">INDIRECT("'"&amp;$A56&amp;"'!"&amp; "AA" &amp; $B56)</f>
        <v>61.37</v>
      </c>
      <c r="Y56" s="318" cm="1">
        <f t="array" aca="1" ref="Y56" ca="1">INDIRECT("'"&amp;$A56&amp;"'!"&amp; "AB" &amp; $B56)</f>
        <v>56.47</v>
      </c>
      <c r="Z56" s="318" cm="1">
        <f t="array" aca="1" ref="Z56" ca="1">INDIRECT("'"&amp;$A56&amp;"'!"&amp; "AC" &amp; $B56)</f>
        <v>54.24</v>
      </c>
      <c r="AB56">
        <f t="shared" ca="1" si="1"/>
        <v>71.08</v>
      </c>
    </row>
    <row r="57" spans="1:28">
      <c r="A57" s="79">
        <v>23</v>
      </c>
      <c r="B57" s="79">
        <v>108</v>
      </c>
      <c r="C57" s="318" cm="1">
        <f t="array" aca="1" ref="C57" ca="1">INDIRECT("'"&amp;$A57&amp;"'!"&amp; "F" &amp; $B57)</f>
        <v>46.95</v>
      </c>
      <c r="D57" s="318" cm="1">
        <f t="array" aca="1" ref="D57" ca="1">INDIRECT("'"&amp;$A57&amp;"'!"&amp; "g" &amp; $B57)</f>
        <v>46.929999999999993</v>
      </c>
      <c r="E57" s="318" cm="1">
        <f t="array" aca="1" ref="E57" ca="1">INDIRECT("'"&amp;$A57&amp;"'!"&amp; "H" &amp; $B57)</f>
        <v>44.44</v>
      </c>
      <c r="F57" s="318" cm="1">
        <f t="array" aca="1" ref="F57" ca="1">INDIRECT("'"&amp;$A57&amp;"'!"&amp; "I" &amp; $B57)</f>
        <v>43.210000000000008</v>
      </c>
      <c r="G57" s="318" cm="1">
        <f t="array" aca="1" ref="G57" ca="1">INDIRECT("'"&amp;$A57&amp;"'!"&amp; "J" &amp; $B57)</f>
        <v>41.83</v>
      </c>
      <c r="H57" s="318" cm="1">
        <f t="array" aca="1" ref="H57" ca="1">INDIRECT("'"&amp;$A57&amp;"'!"&amp; "K" &amp; $B57)</f>
        <v>42.150000000000006</v>
      </c>
      <c r="I57" s="318" cm="1">
        <f t="array" aca="1" ref="I57" ca="1">INDIRECT("'"&amp;$A57&amp;"'!"&amp; "L" &amp; $B57)</f>
        <v>44.63</v>
      </c>
      <c r="J57" s="318" cm="1">
        <f t="array" aca="1" ref="J57" ca="1">INDIRECT("'"&amp;$A57&amp;"'!"&amp; "M" &amp; $B57)</f>
        <v>44.740000000000009</v>
      </c>
      <c r="K57" s="318" cm="1">
        <f t="array" aca="1" ref="K57" ca="1">INDIRECT("'"&amp;$A57&amp;"'!"&amp; "N" &amp; $B57)</f>
        <v>50.920000000000009</v>
      </c>
      <c r="L57" s="318" cm="1">
        <f t="array" aca="1" ref="L57" ca="1">INDIRECT("'"&amp;$A57&amp;"'!"&amp; "O" &amp; $B57)</f>
        <v>61.83</v>
      </c>
      <c r="M57" s="318" cm="1">
        <f t="array" aca="1" ref="M57" ca="1">INDIRECT("'"&amp;$A57&amp;"'!"&amp; "P" &amp; $B57)</f>
        <v>63.260000000000005</v>
      </c>
      <c r="N57" s="318" cm="1">
        <f t="array" aca="1" ref="N57" ca="1">INDIRECT("'"&amp;$A57&amp;"'!"&amp; "Q" &amp; $B57)</f>
        <v>70.14</v>
      </c>
      <c r="O57" s="318" cm="1">
        <f t="array" aca="1" ref="O57" ca="1">INDIRECT("'"&amp;$A57&amp;"'!"&amp; "R" &amp; $B57)</f>
        <v>68.460000000000008</v>
      </c>
      <c r="P57" s="318" cm="1">
        <f t="array" aca="1" ref="P57" ca="1">INDIRECT("'"&amp;$A57&amp;"'!"&amp; "S" &amp; $B57)</f>
        <v>69.660000000000011</v>
      </c>
      <c r="Q57" s="318" cm="1">
        <f t="array" aca="1" ref="Q57" ca="1">INDIRECT("'"&amp;$A57&amp;"'!"&amp; "T" &amp; $B57)</f>
        <v>71.429999999999993</v>
      </c>
      <c r="R57" s="318" cm="1">
        <f t="array" aca="1" ref="R57" ca="1">INDIRECT("'"&amp;$A57&amp;"'!"&amp; "U" &amp; $B57)</f>
        <v>68.64</v>
      </c>
      <c r="S57" s="318" cm="1">
        <f t="array" aca="1" ref="S57" ca="1">INDIRECT("'"&amp;$A57&amp;"'!"&amp; "V" &amp; $B57)</f>
        <v>69.720000000000013</v>
      </c>
      <c r="T57" s="318" cm="1">
        <f t="array" aca="1" ref="T57" ca="1">INDIRECT("'"&amp;$A57&amp;"'!"&amp; "W" &amp; $B57)</f>
        <v>68.489999999999995</v>
      </c>
      <c r="U57" s="318" cm="1">
        <f t="array" aca="1" ref="U57" ca="1">INDIRECT("'"&amp;$A57&amp;"'!"&amp; "X" &amp; $B57)</f>
        <v>64.69</v>
      </c>
      <c r="V57" s="318" cm="1">
        <f t="array" aca="1" ref="V57" ca="1">INDIRECT("'"&amp;$A57&amp;"'!"&amp; "Y" &amp; $B57)</f>
        <v>67.179999999999993</v>
      </c>
      <c r="W57" s="318" cm="1">
        <f t="array" aca="1" ref="W57" ca="1">INDIRECT("'"&amp;$A57&amp;"'!"&amp; "Z" &amp; $B57)</f>
        <v>64.009999999999991</v>
      </c>
      <c r="X57" s="318" cm="1">
        <f t="array" aca="1" ref="X57" ca="1">INDIRECT("'"&amp;$A57&amp;"'!"&amp; "AA" &amp; $B57)</f>
        <v>58.709999999999994</v>
      </c>
      <c r="Y57" s="318" cm="1">
        <f t="array" aca="1" ref="Y57" ca="1">INDIRECT("'"&amp;$A57&amp;"'!"&amp; "AB" &amp; $B57)</f>
        <v>55.4</v>
      </c>
      <c r="Z57" s="318" cm="1">
        <f t="array" aca="1" ref="Z57" ca="1">INDIRECT("'"&amp;$A57&amp;"'!"&amp; "AC" &amp; $B57)</f>
        <v>52.53</v>
      </c>
      <c r="AB57">
        <f t="shared" ca="1" si="1"/>
        <v>71.429999999999993</v>
      </c>
    </row>
    <row r="58" spans="1:28" ht="15">
      <c r="A58" s="79">
        <v>24</v>
      </c>
      <c r="B58" s="79">
        <v>108</v>
      </c>
      <c r="C58" s="318" cm="1">
        <f t="array" aca="1" ref="C58" ca="1">INDIRECT("'"&amp;$A58&amp;"'!"&amp; "F" &amp; $B58)</f>
        <v>47.929999999999993</v>
      </c>
      <c r="D58" s="318" cm="1">
        <f t="array" aca="1" ref="D58" ca="1">INDIRECT("'"&amp;$A58&amp;"'!"&amp; "g" &amp; $B58)</f>
        <v>46.009999999999991</v>
      </c>
      <c r="E58" s="318" cm="1">
        <f t="array" aca="1" ref="E58" ca="1">INDIRECT("'"&amp;$A58&amp;"'!"&amp; "H" &amp; $B58)</f>
        <v>43.809999999999995</v>
      </c>
      <c r="F58" s="318" cm="1">
        <f t="array" aca="1" ref="F58" ca="1">INDIRECT("'"&amp;$A58&amp;"'!"&amp; "I" &amp; $B58)</f>
        <v>41.699999999999996</v>
      </c>
      <c r="G58" s="318" cm="1">
        <f t="array" aca="1" ref="G58" ca="1">INDIRECT("'"&amp;$A58&amp;"'!"&amp; "J" &amp; $B58)</f>
        <v>40.369999999999997</v>
      </c>
      <c r="H58" s="318" cm="1">
        <f t="array" aca="1" ref="H58" ca="1">INDIRECT("'"&amp;$A58&amp;"'!"&amp; "K" &amp; $B58)</f>
        <v>40.929999999999993</v>
      </c>
      <c r="I58" s="318" cm="1">
        <f t="array" aca="1" ref="I58" ca="1">INDIRECT("'"&amp;$A58&amp;"'!"&amp; "L" &amp; $B58)</f>
        <v>44.4</v>
      </c>
      <c r="J58" s="318" cm="1">
        <f t="array" aca="1" ref="J58" ca="1">INDIRECT("'"&amp;$A58&amp;"'!"&amp; "M" &amp; $B58)</f>
        <v>44</v>
      </c>
      <c r="K58" s="318" cm="1">
        <f t="array" aca="1" ref="K58" ca="1">INDIRECT("'"&amp;$A58&amp;"'!"&amp; "N" &amp; $B58)</f>
        <v>51.13000000000001</v>
      </c>
      <c r="L58" s="318" cm="1">
        <f t="array" aca="1" ref="L58" ca="1">INDIRECT("'"&amp;$A58&amp;"'!"&amp; "O" &amp; $B58)</f>
        <v>62.72</v>
      </c>
      <c r="M58" s="318" cm="1">
        <f t="array" aca="1" ref="M58" ca="1">INDIRECT("'"&amp;$A58&amp;"'!"&amp; "P" &amp; $B58)</f>
        <v>66.63</v>
      </c>
      <c r="N58" s="318" cm="1">
        <f t="array" aca="1" ref="N58" ca="1">INDIRECT("'"&amp;$A58&amp;"'!"&amp; "Q" &amp; $B58)</f>
        <v>68.36666666666666</v>
      </c>
      <c r="O58" s="318" cm="1">
        <f t="array" aca="1" ref="O58" ca="1">INDIRECT("'"&amp;$A58&amp;"'!"&amp; "R" &amp; $B58)</f>
        <v>68.476666666666659</v>
      </c>
      <c r="P58" s="318" cm="1">
        <f t="array" aca="1" ref="P58" ca="1">INDIRECT("'"&amp;$A58&amp;"'!"&amp; "S" &amp; $B58)</f>
        <v>70.87</v>
      </c>
      <c r="Q58" s="495" cm="1">
        <f t="array" aca="1" ref="Q58" ca="1">INDIRECT("'"&amp;$A58&amp;"'!"&amp; "T" &amp; $B58)</f>
        <v>74.09</v>
      </c>
      <c r="R58" s="318" cm="1">
        <f t="array" aca="1" ref="R58" ca="1">INDIRECT("'"&amp;$A58&amp;"'!"&amp; "U" &amp; $B58)</f>
        <v>73.3</v>
      </c>
      <c r="S58" s="318" cm="1">
        <f t="array" aca="1" ref="S58" ca="1">INDIRECT("'"&amp;$A58&amp;"'!"&amp; "V" &amp; $B58)</f>
        <v>70.75</v>
      </c>
      <c r="T58" s="318" cm="1">
        <f t="array" aca="1" ref="T58" ca="1">INDIRECT("'"&amp;$A58&amp;"'!"&amp; "W" &amp; $B58)</f>
        <v>69</v>
      </c>
      <c r="U58" s="318" cm="1">
        <f t="array" aca="1" ref="U58" ca="1">INDIRECT("'"&amp;$A58&amp;"'!"&amp; "X" &amp; $B58)</f>
        <v>63.443333333333342</v>
      </c>
      <c r="V58" s="318" cm="1">
        <f t="array" aca="1" ref="V58" ca="1">INDIRECT("'"&amp;$A58&amp;"'!"&amp; "Y" &amp; $B58)</f>
        <v>67.33</v>
      </c>
      <c r="W58" s="318" cm="1">
        <f t="array" aca="1" ref="W58" ca="1">INDIRECT("'"&amp;$A58&amp;"'!"&amp; "Z" &amp; $B58)</f>
        <v>64.240000000000009</v>
      </c>
      <c r="X58" s="318" cm="1">
        <f t="array" aca="1" ref="X58" ca="1">INDIRECT("'"&amp;$A58&amp;"'!"&amp; "AA" &amp; $B58)</f>
        <v>60.749999999999993</v>
      </c>
      <c r="Y58" s="318" cm="1">
        <f t="array" aca="1" ref="Y58" ca="1">INDIRECT("'"&amp;$A58&amp;"'!"&amp; "AB" &amp; $B58)</f>
        <v>56.230000000000004</v>
      </c>
      <c r="Z58" s="318" cm="1">
        <f t="array" aca="1" ref="Z58" ca="1">INDIRECT("'"&amp;$A58&amp;"'!"&amp; "AC" &amp; $B58)</f>
        <v>53</v>
      </c>
      <c r="AB58">
        <f t="shared" ca="1" si="1"/>
        <v>74.09</v>
      </c>
    </row>
    <row r="59" spans="1:28">
      <c r="A59" s="79">
        <v>25</v>
      </c>
      <c r="B59" s="79">
        <v>108</v>
      </c>
      <c r="C59" s="318" cm="1">
        <f t="array" aca="1" ref="C59" ca="1">INDIRECT("'"&amp;$A59&amp;"'!"&amp; "F" &amp; $B59)</f>
        <v>47.920000000000009</v>
      </c>
      <c r="D59" s="318" cm="1">
        <f t="array" aca="1" ref="D59" ca="1">INDIRECT("'"&amp;$A59&amp;"'!"&amp; "g" &amp; $B59)</f>
        <v>46.900000000000006</v>
      </c>
      <c r="E59" s="318" cm="1">
        <f t="array" aca="1" ref="E59" ca="1">INDIRECT("'"&amp;$A59&amp;"'!"&amp; "H" &amp; $B59)</f>
        <v>44.05</v>
      </c>
      <c r="F59" s="318" cm="1">
        <f t="array" aca="1" ref="F59" ca="1">INDIRECT("'"&amp;$A59&amp;"'!"&amp; "I" &amp; $B59)</f>
        <v>42.92</v>
      </c>
      <c r="G59" s="318" cm="1">
        <f t="array" aca="1" ref="G59" ca="1">INDIRECT("'"&amp;$A59&amp;"'!"&amp; "J" &amp; $B59)</f>
        <v>41.37</v>
      </c>
      <c r="H59" s="318" cm="1">
        <f t="array" aca="1" ref="H59" ca="1">INDIRECT("'"&amp;$A59&amp;"'!"&amp; "K" &amp; $B59)</f>
        <v>42.319999999999993</v>
      </c>
      <c r="I59" s="318" cm="1">
        <f t="array" aca="1" ref="I59" ca="1">INDIRECT("'"&amp;$A59&amp;"'!"&amp; "L" &amp; $B59)</f>
        <v>43.96</v>
      </c>
      <c r="J59" s="318" cm="1">
        <f t="array" aca="1" ref="J59" ca="1">INDIRECT("'"&amp;$A59&amp;"'!"&amp; "M" &amp; $B59)</f>
        <v>43.74</v>
      </c>
      <c r="K59" s="318" cm="1">
        <f t="array" aca="1" ref="K59" ca="1">INDIRECT("'"&amp;$A59&amp;"'!"&amp; "N" &amp; $B59)</f>
        <v>51.819999999999993</v>
      </c>
      <c r="L59" s="318" cm="1">
        <f t="array" aca="1" ref="L59" ca="1">INDIRECT("'"&amp;$A59&amp;"'!"&amp; "O" &amp; $B59)</f>
        <v>62.419999999999995</v>
      </c>
      <c r="M59" s="318" cm="1">
        <f t="array" aca="1" ref="M59" ca="1">INDIRECT("'"&amp;$A59&amp;"'!"&amp; "P" &amp; $B59)</f>
        <v>67.650000000000006</v>
      </c>
      <c r="N59" s="318" cm="1">
        <f t="array" aca="1" ref="N59" ca="1">INDIRECT("'"&amp;$A59&amp;"'!"&amp; "Q" &amp; $B59)</f>
        <v>68.309999999999988</v>
      </c>
      <c r="O59" s="318" cm="1">
        <f t="array" aca="1" ref="O59" ca="1">INDIRECT("'"&amp;$A59&amp;"'!"&amp; "R" &amp; $B59)</f>
        <v>68.319999999999993</v>
      </c>
      <c r="P59" s="318" cm="1">
        <f t="array" aca="1" ref="P59" ca="1">INDIRECT("'"&amp;$A59&amp;"'!"&amp; "S" &amp; $B59)</f>
        <v>71.22</v>
      </c>
      <c r="Q59" s="318" cm="1">
        <f t="array" aca="1" ref="Q59" ca="1">INDIRECT("'"&amp;$A59&amp;"'!"&amp; "T" &amp; $B59)</f>
        <v>66.67</v>
      </c>
      <c r="R59" s="318" cm="1">
        <f t="array" aca="1" ref="R59" ca="1">INDIRECT("'"&amp;$A59&amp;"'!"&amp; "U" &amp; $B59)</f>
        <v>62.56</v>
      </c>
      <c r="S59" s="318" cm="1">
        <f t="array" aca="1" ref="S59" ca="1">INDIRECT("'"&amp;$A59&amp;"'!"&amp; "V" &amp; $B59)</f>
        <v>73.760000000000005</v>
      </c>
      <c r="T59" s="318" cm="1">
        <f t="array" aca="1" ref="T59" ca="1">INDIRECT("'"&amp;$A59&amp;"'!"&amp; "W" &amp; $B59)</f>
        <v>64.720000000000013</v>
      </c>
      <c r="U59" s="318" cm="1">
        <f t="array" aca="1" ref="U59" ca="1">INDIRECT("'"&amp;$A59&amp;"'!"&amp; "X" &amp; $B59)</f>
        <v>61.81</v>
      </c>
      <c r="V59" s="318" cm="1">
        <f t="array" aca="1" ref="V59" ca="1">INDIRECT("'"&amp;$A59&amp;"'!"&amp; "Y" &amp; $B59)</f>
        <v>64.99199999999999</v>
      </c>
      <c r="W59" s="318" cm="1">
        <f t="array" aca="1" ref="W59" ca="1">INDIRECT("'"&amp;$A59&amp;"'!"&amp; "Z" &amp; $B59)</f>
        <v>63.269999999999996</v>
      </c>
      <c r="X59" s="318" cm="1">
        <f t="array" aca="1" ref="X59" ca="1">INDIRECT("'"&amp;$A59&amp;"'!"&amp; "AA" &amp; $B59)</f>
        <v>60.47</v>
      </c>
      <c r="Y59" s="318" cm="1">
        <f t="array" aca="1" ref="Y59" ca="1">INDIRECT("'"&amp;$A59&amp;"'!"&amp; "AB" &amp; $B59)</f>
        <v>57.72999999999999</v>
      </c>
      <c r="Z59" s="318" cm="1">
        <f t="array" aca="1" ref="Z59" ca="1">INDIRECT("'"&amp;$A59&amp;"'!"&amp; "AC" &amp; $B59)</f>
        <v>52.019999999999996</v>
      </c>
      <c r="AB59">
        <f t="shared" ca="1" si="1"/>
        <v>73.760000000000005</v>
      </c>
    </row>
    <row r="60" spans="1:28">
      <c r="A60" s="79">
        <v>26</v>
      </c>
      <c r="B60" s="79">
        <v>108</v>
      </c>
      <c r="C60" s="318" cm="1">
        <f t="array" aca="1" ref="C60" ca="1">INDIRECT("'"&amp;$A60&amp;"'!"&amp; "F" &amp; $B60)</f>
        <v>48.69</v>
      </c>
      <c r="D60" s="318" cm="1">
        <f t="array" aca="1" ref="D60" ca="1">INDIRECT("'"&amp;$A60&amp;"'!"&amp; "g" &amp; $B60)</f>
        <v>45.79</v>
      </c>
      <c r="E60" s="318" cm="1">
        <f t="array" aca="1" ref="E60" ca="1">INDIRECT("'"&amp;$A60&amp;"'!"&amp; "H" &amp; $B60)</f>
        <v>43.05</v>
      </c>
      <c r="F60" s="318" cm="1">
        <f t="array" aca="1" ref="F60" ca="1">INDIRECT("'"&amp;$A60&amp;"'!"&amp; "I" &amp; $B60)</f>
        <v>41.559999999999995</v>
      </c>
      <c r="G60" s="318" cm="1">
        <f t="array" aca="1" ref="G60" ca="1">INDIRECT("'"&amp;$A60&amp;"'!"&amp; "J" &amp; $B60)</f>
        <v>39.71</v>
      </c>
      <c r="H60" s="318" cm="1">
        <f t="array" aca="1" ref="H60" ca="1">INDIRECT("'"&amp;$A60&amp;"'!"&amp; "K" &amp; $B60)</f>
        <v>40.220000000000006</v>
      </c>
      <c r="I60" s="318" cm="1">
        <f t="array" aca="1" ref="I60" ca="1">INDIRECT("'"&amp;$A60&amp;"'!"&amp; "L" &amp; $B60)</f>
        <v>42.399999999999991</v>
      </c>
      <c r="J60" s="318" cm="1">
        <f t="array" aca="1" ref="J60" ca="1">INDIRECT("'"&amp;$A60&amp;"'!"&amp; "M" &amp; $B60)</f>
        <v>42.43</v>
      </c>
      <c r="K60" s="318" cm="1">
        <f t="array" aca="1" ref="K60" ca="1">INDIRECT("'"&amp;$A60&amp;"'!"&amp; "N" &amp; $B60)</f>
        <v>45.46</v>
      </c>
      <c r="L60" s="318" cm="1">
        <f t="array" aca="1" ref="L60" ca="1">INDIRECT("'"&amp;$A60&amp;"'!"&amp; "O" &amp; $B60)</f>
        <v>54.21</v>
      </c>
      <c r="M60" s="318" cm="1">
        <f t="array" aca="1" ref="M60" ca="1">INDIRECT("'"&amp;$A60&amp;"'!"&amp; "P" &amp; $B60)</f>
        <v>57.51</v>
      </c>
      <c r="N60" s="318" cm="1">
        <f t="array" aca="1" ref="N60" ca="1">INDIRECT("'"&amp;$A60&amp;"'!"&amp; "Q" &amp; $B60)</f>
        <v>56.68</v>
      </c>
      <c r="O60" s="318" cm="1">
        <f t="array" aca="1" ref="O60" ca="1">INDIRECT("'"&amp;$A60&amp;"'!"&amp; "R" &amp; $B60)</f>
        <v>57.250800000000005</v>
      </c>
      <c r="P60" s="318" cm="1">
        <f t="array" aca="1" ref="P60" ca="1">INDIRECT("'"&amp;$A60&amp;"'!"&amp; "S" &amp; $B60)</f>
        <v>60.4</v>
      </c>
      <c r="Q60" s="318" cm="1">
        <f t="array" aca="1" ref="Q60" ca="1">INDIRECT("'"&amp;$A60&amp;"'!"&amp; "T" &amp; $B60)</f>
        <v>61.62</v>
      </c>
      <c r="R60" s="318" cm="1">
        <f t="array" aca="1" ref="R60" ca="1">INDIRECT("'"&amp;$A60&amp;"'!"&amp; "U" &amp; $B60)</f>
        <v>61.98</v>
      </c>
      <c r="S60" s="318" cm="1">
        <f t="array" aca="1" ref="S60" ca="1">INDIRECT("'"&amp;$A60&amp;"'!"&amp; "V" &amp; $B60)</f>
        <v>60.43</v>
      </c>
      <c r="T60" s="318" cm="1">
        <f t="array" aca="1" ref="T60" ca="1">INDIRECT("'"&amp;$A60&amp;"'!"&amp; "W" &amp; $B60)</f>
        <v>58.45</v>
      </c>
      <c r="U60" s="318" cm="1">
        <f t="array" aca="1" ref="U60" ca="1">INDIRECT("'"&amp;$A60&amp;"'!"&amp; "X" &amp; $B60)</f>
        <v>57.49</v>
      </c>
      <c r="V60" s="318" cm="1">
        <f t="array" aca="1" ref="V60" ca="1">INDIRECT("'"&amp;$A60&amp;"'!"&amp; "Y" &amp; $B60)</f>
        <v>61.909999999999989</v>
      </c>
      <c r="W60" s="318" cm="1">
        <f t="array" aca="1" ref="W60" ca="1">INDIRECT("'"&amp;$A60&amp;"'!"&amp; "Z" &amp; $B60)</f>
        <v>57.75</v>
      </c>
      <c r="X60" s="318" cm="1">
        <f t="array" aca="1" ref="X60" ca="1">INDIRECT("'"&amp;$A60&amp;"'!"&amp; "AA" &amp; $B60)</f>
        <v>54.67</v>
      </c>
      <c r="Y60" s="318" cm="1">
        <f t="array" aca="1" ref="Y60" ca="1">INDIRECT("'"&amp;$A60&amp;"'!"&amp; "AB" &amp; $B60)</f>
        <v>52.809999999999995</v>
      </c>
      <c r="Z60" s="318" cm="1">
        <f t="array" aca="1" ref="Z60" ca="1">INDIRECT("'"&amp;$A60&amp;"'!"&amp; "AC" &amp; $B60)</f>
        <v>48.33</v>
      </c>
      <c r="AB60">
        <f t="shared" ca="1" si="1"/>
        <v>61.98</v>
      </c>
    </row>
    <row r="61" spans="1:28">
      <c r="A61" s="79">
        <v>27</v>
      </c>
      <c r="B61" s="79">
        <v>108</v>
      </c>
      <c r="C61" s="318" cm="1">
        <f t="array" aca="1" ref="C61" ca="1">INDIRECT("'"&amp;$A61&amp;"'!"&amp; "F" &amp; $B61)</f>
        <v>46.84</v>
      </c>
      <c r="D61" s="318" cm="1">
        <f t="array" aca="1" ref="D61" ca="1">INDIRECT("'"&amp;$A61&amp;"'!"&amp; "g" &amp; $B61)</f>
        <v>42.900000000000006</v>
      </c>
      <c r="E61" s="318" cm="1">
        <f t="array" aca="1" ref="E61" ca="1">INDIRECT("'"&amp;$A61&amp;"'!"&amp; "H" &amp; $B61)</f>
        <v>41.230000000000004</v>
      </c>
      <c r="F61" s="318" cm="1">
        <f t="array" aca="1" ref="F61" ca="1">INDIRECT("'"&amp;$A61&amp;"'!"&amp; "I" &amp; $B61)</f>
        <v>41.701000000000001</v>
      </c>
      <c r="G61" s="318" cm="1">
        <f t="array" aca="1" ref="G61" ca="1">INDIRECT("'"&amp;$A61&amp;"'!"&amp; "J" &amp; $B61)</f>
        <v>37.93</v>
      </c>
      <c r="H61" s="318" cm="1">
        <f t="array" aca="1" ref="H61" ca="1">INDIRECT("'"&amp;$A61&amp;"'!"&amp; "K" &amp; $B61)</f>
        <v>38.53</v>
      </c>
      <c r="I61" s="318" cm="1">
        <f t="array" aca="1" ref="I61" ca="1">INDIRECT("'"&amp;$A61&amp;"'!"&amp; "L" &amp; $B61)</f>
        <v>40.130000000000003</v>
      </c>
      <c r="J61" s="318" cm="1">
        <f t="array" aca="1" ref="J61" ca="1">INDIRECT("'"&amp;$A61&amp;"'!"&amp; "M" &amp; $B61)</f>
        <v>39.42</v>
      </c>
      <c r="K61" s="318" cm="1">
        <f t="array" aca="1" ref="K61" ca="1">INDIRECT("'"&amp;$A61&amp;"'!"&amp; "N" &amp; $B61)</f>
        <v>43.529999999999994</v>
      </c>
      <c r="L61" s="318" cm="1">
        <f t="array" aca="1" ref="L61" ca="1">INDIRECT("'"&amp;$A61&amp;"'!"&amp; "O" &amp; $B61)</f>
        <v>47.75</v>
      </c>
      <c r="M61" s="318" cm="1">
        <f t="array" aca="1" ref="M61" ca="1">INDIRECT("'"&amp;$A61&amp;"'!"&amp; "P" &amp; $B61)</f>
        <v>50.64</v>
      </c>
      <c r="N61" s="318" cm="1">
        <f t="array" aca="1" ref="N61" ca="1">INDIRECT("'"&amp;$A61&amp;"'!"&amp; "Q" &amp; $B61)</f>
        <v>50.51</v>
      </c>
      <c r="O61" s="318" cm="1">
        <f t="array" aca="1" ref="O61" ca="1">INDIRECT("'"&amp;$A61&amp;"'!"&amp; "R" &amp; $B61)</f>
        <v>49.99</v>
      </c>
      <c r="P61" s="318" cm="1">
        <f t="array" aca="1" ref="P61" ca="1">INDIRECT("'"&amp;$A61&amp;"'!"&amp; "S" &amp; $B61)</f>
        <v>50.04</v>
      </c>
      <c r="Q61" s="318" cm="1">
        <f t="array" aca="1" ref="Q61" ca="1">INDIRECT("'"&amp;$A61&amp;"'!"&amp; "T" &amp; $B61)</f>
        <v>51.15</v>
      </c>
      <c r="R61" s="318" cm="1">
        <f t="array" aca="1" ref="R61" ca="1">INDIRECT("'"&amp;$A61&amp;"'!"&amp; "U" &amp; $B61)</f>
        <v>49.490000000000009</v>
      </c>
      <c r="S61" s="318" cm="1">
        <f t="array" aca="1" ref="S61" ca="1">INDIRECT("'"&amp;$A61&amp;"'!"&amp; "V" &amp; $B61)</f>
        <v>51.52</v>
      </c>
      <c r="T61" s="318" cm="1">
        <f t="array" aca="1" ref="T61" ca="1">INDIRECT("'"&amp;$A61&amp;"'!"&amp; "W" &amp; $B61)</f>
        <v>52.21</v>
      </c>
      <c r="U61" s="318" cm="1">
        <f t="array" aca="1" ref="U61" ca="1">INDIRECT("'"&amp;$A61&amp;"'!"&amp; "X" &amp; $B61)</f>
        <v>53.849999999999994</v>
      </c>
      <c r="V61" s="318" cm="1">
        <f t="array" aca="1" ref="V61" ca="1">INDIRECT("'"&amp;$A61&amp;"'!"&amp; "Y" &amp; $B61)</f>
        <v>58.02</v>
      </c>
      <c r="W61" s="318" cm="1">
        <f t="array" aca="1" ref="W61" ca="1">INDIRECT("'"&amp;$A61&amp;"'!"&amp; "Z" &amp; $B61)</f>
        <v>55.470000000000006</v>
      </c>
      <c r="X61" s="318" cm="1">
        <f t="array" aca="1" ref="X61" ca="1">INDIRECT("'"&amp;$A61&amp;"'!"&amp; "AA" &amp; $B61)</f>
        <v>51.52</v>
      </c>
      <c r="Y61" s="318" cm="1">
        <f t="array" aca="1" ref="Y61" ca="1">INDIRECT("'"&amp;$A61&amp;"'!"&amp; "AB" &amp; $B61)</f>
        <v>48.199999999999996</v>
      </c>
      <c r="Z61" s="318" cm="1">
        <f t="array" aca="1" ref="Z61" ca="1">INDIRECT("'"&amp;$A61&amp;"'!"&amp; "AC" &amp; $B61)</f>
        <v>44.56</v>
      </c>
      <c r="AB61">
        <f t="shared" ca="1" si="1"/>
        <v>58.02</v>
      </c>
    </row>
    <row r="62" spans="1:28">
      <c r="A62" s="79">
        <v>28</v>
      </c>
      <c r="B62" s="79">
        <v>108</v>
      </c>
      <c r="C62" s="318" cm="1">
        <f t="array" aca="1" ref="C62" ca="1">INDIRECT("'"&amp;$A62&amp;"'!"&amp; "F" &amp; $B62)</f>
        <v>41.84</v>
      </c>
      <c r="D62" s="318" cm="1">
        <f t="array" aca="1" ref="D62" ca="1">INDIRECT("'"&amp;$A62&amp;"'!"&amp; "g" &amp; $B62)</f>
        <v>39.33</v>
      </c>
      <c r="E62" s="318" cm="1">
        <f t="array" aca="1" ref="E62" ca="1">INDIRECT("'"&amp;$A62&amp;"'!"&amp; "H" &amp; $B62)</f>
        <v>38.08</v>
      </c>
      <c r="F62" s="318" cm="1">
        <f t="array" aca="1" ref="F62" ca="1">INDIRECT("'"&amp;$A62&amp;"'!"&amp; "I" &amp; $B62)</f>
        <v>36.549999999999997</v>
      </c>
      <c r="G62" s="318" cm="1">
        <f t="array" aca="1" ref="G62" ca="1">INDIRECT("'"&amp;$A62&amp;"'!"&amp; "J" &amp; $B62)</f>
        <v>36.770000000000003</v>
      </c>
      <c r="H62" s="318" cm="1">
        <f t="array" aca="1" ref="H62" ca="1">INDIRECT("'"&amp;$A62&amp;"'!"&amp; "K" &amp; $B62)</f>
        <v>35.339999999999996</v>
      </c>
      <c r="I62" s="318" cm="1">
        <f t="array" aca="1" ref="I62" ca="1">INDIRECT("'"&amp;$A62&amp;"'!"&amp; "L" &amp; $B62)</f>
        <v>36.319999999999993</v>
      </c>
      <c r="J62" s="318" cm="1">
        <f t="array" aca="1" ref="J62" ca="1">INDIRECT("'"&amp;$A62&amp;"'!"&amp; "M" &amp; $B62)</f>
        <v>38.559999999999995</v>
      </c>
      <c r="K62" s="318" cm="1">
        <f t="array" aca="1" ref="K62" ca="1">INDIRECT("'"&amp;$A62&amp;"'!"&amp; "N" &amp; $B62)</f>
        <v>43.92</v>
      </c>
      <c r="L62" s="318" cm="1">
        <f t="array" aca="1" ref="L62" ca="1">INDIRECT("'"&amp;$A62&amp;"'!"&amp; "O" &amp; $B62)</f>
        <v>53.620000000000005</v>
      </c>
      <c r="M62" s="318" cm="1">
        <f t="array" aca="1" ref="M62" ca="1">INDIRECT("'"&amp;$A62&amp;"'!"&amp; "P" &amp; $B62)</f>
        <v>56.4</v>
      </c>
      <c r="N62" s="318" cm="1">
        <f t="array" aca="1" ref="N62" ca="1">INDIRECT("'"&amp;$A62&amp;"'!"&amp; "Q" &amp; $B62)</f>
        <v>57.849999999999994</v>
      </c>
      <c r="O62" s="318" cm="1">
        <f t="array" aca="1" ref="O62" ca="1">INDIRECT("'"&amp;$A62&amp;"'!"&amp; "R" &amp; $B62)</f>
        <v>58.22</v>
      </c>
      <c r="P62" s="318" cm="1">
        <f t="array" aca="1" ref="P62" ca="1">INDIRECT("'"&amp;$A62&amp;"'!"&amp; "S" &amp; $B62)</f>
        <v>58.339999999999996</v>
      </c>
      <c r="Q62" s="318" cm="1">
        <f t="array" aca="1" ref="Q62" ca="1">INDIRECT("'"&amp;$A62&amp;"'!"&amp; "T" &amp; $B62)</f>
        <v>60.190000000000005</v>
      </c>
      <c r="R62" s="318" cm="1">
        <f t="array" aca="1" ref="R62" ca="1">INDIRECT("'"&amp;$A62&amp;"'!"&amp; "U" &amp; $B62)</f>
        <v>60.43</v>
      </c>
      <c r="S62" s="318" cm="1">
        <f t="array" aca="1" ref="S62" ca="1">INDIRECT("'"&amp;$A62&amp;"'!"&amp; "V" &amp; $B62)</f>
        <v>59.679999999999993</v>
      </c>
      <c r="T62" s="318" cm="1">
        <f t="array" aca="1" ref="T62" ca="1">INDIRECT("'"&amp;$A62&amp;"'!"&amp; "W" &amp; $B62)</f>
        <v>57.6</v>
      </c>
      <c r="U62" s="318" cm="1">
        <f t="array" aca="1" ref="U62" ca="1">INDIRECT("'"&amp;$A62&amp;"'!"&amp; "X" &amp; $B62)</f>
        <v>54.68</v>
      </c>
      <c r="V62" s="318" cm="1">
        <f t="array" aca="1" ref="V62" ca="1">INDIRECT("'"&amp;$A62&amp;"'!"&amp; "Y" &amp; $B62)</f>
        <v>59</v>
      </c>
      <c r="W62" s="318" cm="1">
        <f t="array" aca="1" ref="W62" ca="1">INDIRECT("'"&amp;$A62&amp;"'!"&amp; "Z" &amp; $B62)</f>
        <v>57.589999999999996</v>
      </c>
      <c r="X62" s="318" cm="1">
        <f t="array" aca="1" ref="X62" ca="1">INDIRECT("'"&amp;$A62&amp;"'!"&amp; "AA" &amp; $B62)</f>
        <v>52.84</v>
      </c>
      <c r="Y62" s="318" cm="1">
        <f t="array" aca="1" ref="Y62" ca="1">INDIRECT("'"&amp;$A62&amp;"'!"&amp; "AB" &amp; $B62)</f>
        <v>48.739999999999995</v>
      </c>
      <c r="Z62" s="318" cm="1">
        <f t="array" aca="1" ref="Z62" ca="1">INDIRECT("'"&amp;$A62&amp;"'!"&amp; "AC" &amp; $B62)</f>
        <v>45.339999999999996</v>
      </c>
      <c r="AB62">
        <f t="shared" ca="1" si="1"/>
        <v>60.43</v>
      </c>
    </row>
    <row r="63" spans="1:28">
      <c r="A63" s="79">
        <v>29</v>
      </c>
      <c r="B63" s="79">
        <v>108</v>
      </c>
      <c r="C63" s="318" cm="1">
        <f t="array" aca="1" ref="C63" ca="1">INDIRECT("'"&amp;$A63&amp;"'!"&amp; "F" &amp; $B63)</f>
        <v>41.94</v>
      </c>
      <c r="D63" s="318" cm="1">
        <f t="array" aca="1" ref="D63" ca="1">INDIRECT("'"&amp;$A63&amp;"'!"&amp; "g" &amp; $B63)</f>
        <v>39.419999999999995</v>
      </c>
      <c r="E63" s="318" cm="1">
        <f t="array" aca="1" ref="E63" ca="1">INDIRECT("'"&amp;$A63&amp;"'!"&amp; "H" &amp; $B63)</f>
        <v>38.89</v>
      </c>
      <c r="F63" s="318" cm="1">
        <f t="array" aca="1" ref="F63" ca="1">INDIRECT("'"&amp;$A63&amp;"'!"&amp; "I" &amp; $B63)</f>
        <v>36.949999999999996</v>
      </c>
      <c r="G63" s="318" cm="1">
        <f t="array" aca="1" ref="G63" ca="1">INDIRECT("'"&amp;$A63&amp;"'!"&amp; "J" &amp; $B63)</f>
        <v>35.389999999999993</v>
      </c>
      <c r="H63" s="318" cm="1">
        <f t="array" aca="1" ref="H63" ca="1">INDIRECT("'"&amp;$A63&amp;"'!"&amp; "K" &amp; $B63)</f>
        <v>36.879999999999995</v>
      </c>
      <c r="I63" s="318" cm="1">
        <f t="array" aca="1" ref="I63" ca="1">INDIRECT("'"&amp;$A63&amp;"'!"&amp; "L" &amp; $B63)</f>
        <v>40.369999999999997</v>
      </c>
      <c r="J63" s="318" cm="1">
        <f t="array" aca="1" ref="J63" ca="1">INDIRECT("'"&amp;$A63&amp;"'!"&amp; "M" &amp; $B63)</f>
        <v>40.680000000000007</v>
      </c>
      <c r="K63" s="318" cm="1">
        <f t="array" aca="1" ref="K63" ca="1">INDIRECT("'"&amp;$A63&amp;"'!"&amp; "N" &amp; $B63)</f>
        <v>47.61999999999999</v>
      </c>
      <c r="L63" s="318" cm="1">
        <f t="array" aca="1" ref="L63" ca="1">INDIRECT("'"&amp;$A63&amp;"'!"&amp; "O" &amp; $B63)</f>
        <v>56.860000000000007</v>
      </c>
      <c r="M63" s="318" cm="1">
        <f t="array" aca="1" ref="M63" ca="1">INDIRECT("'"&amp;$A63&amp;"'!"&amp; "P" &amp; $B63)</f>
        <v>61.38</v>
      </c>
      <c r="N63" s="318" cm="1">
        <f t="array" aca="1" ref="N63" ca="1">INDIRECT("'"&amp;$A63&amp;"'!"&amp; "Q" &amp; $B63)</f>
        <v>61.9</v>
      </c>
      <c r="O63" s="318" cm="1">
        <f t="array" aca="1" ref="O63" ca="1">INDIRECT("'"&amp;$A63&amp;"'!"&amp; "R" &amp; $B63)</f>
        <v>63.430000000000007</v>
      </c>
      <c r="P63" s="318" cm="1">
        <f t="array" aca="1" ref="P63" ca="1">INDIRECT("'"&amp;$A63&amp;"'!"&amp; "S" &amp; $B63)</f>
        <v>64.339999999999989</v>
      </c>
      <c r="Q63" s="318" cm="1">
        <f t="array" aca="1" ref="Q63" ca="1">INDIRECT("'"&amp;$A63&amp;"'!"&amp; "T" &amp; $B63)</f>
        <v>63.72</v>
      </c>
      <c r="R63" s="318" cm="1">
        <f t="array" aca="1" ref="R63" ca="1">INDIRECT("'"&amp;$A63&amp;"'!"&amp; "U" &amp; $B63)</f>
        <v>64.87</v>
      </c>
      <c r="S63" s="318" cm="1">
        <f t="array" aca="1" ref="S63" ca="1">INDIRECT("'"&amp;$A63&amp;"'!"&amp; "V" &amp; $B63)</f>
        <v>63.490000000000009</v>
      </c>
      <c r="T63" s="318" cm="1">
        <f t="array" aca="1" ref="T63" ca="1">INDIRECT("'"&amp;$A63&amp;"'!"&amp; "W" &amp; $B63)</f>
        <v>58.860000000000007</v>
      </c>
      <c r="U63" s="318" cm="1">
        <f t="array" aca="1" ref="U63" ca="1">INDIRECT("'"&amp;$A63&amp;"'!"&amp; "X" &amp; $B63)</f>
        <v>56.3</v>
      </c>
      <c r="V63" s="318" cm="1">
        <f t="array" aca="1" ref="V63" ca="1">INDIRECT("'"&amp;$A63&amp;"'!"&amp; "Y" &amp; $B63)</f>
        <v>61.02</v>
      </c>
      <c r="W63" s="318" cm="1">
        <f t="array" aca="1" ref="W63" ca="1">INDIRECT("'"&amp;$A63&amp;"'!"&amp; "Z" &amp; $B63)</f>
        <v>56.720000000000006</v>
      </c>
      <c r="X63" s="318" cm="1">
        <f t="array" aca="1" ref="X63" ca="1">INDIRECT("'"&amp;$A63&amp;"'!"&amp; "AA" &amp; $B63)</f>
        <v>53.63</v>
      </c>
      <c r="Y63" s="318" cm="1">
        <f t="array" aca="1" ref="Y63" ca="1">INDIRECT("'"&amp;$A63&amp;"'!"&amp; "AB" &amp; $B63)</f>
        <v>49.820000000000007</v>
      </c>
      <c r="Z63" s="318" cm="1">
        <f t="array" aca="1" ref="Z63" ca="1">INDIRECT("'"&amp;$A63&amp;"'!"&amp; "AC" &amp; $B63)</f>
        <v>47.550000000000004</v>
      </c>
      <c r="AB63">
        <f t="shared" ca="1" si="1"/>
        <v>64.87</v>
      </c>
    </row>
    <row r="64" spans="1:28">
      <c r="A64" s="79">
        <v>30</v>
      </c>
      <c r="B64" s="79">
        <v>108</v>
      </c>
      <c r="C64" s="318" cm="1">
        <f t="array" aca="1" ref="C64" ca="1">INDIRECT("'"&amp;$A64&amp;"'!"&amp; "F" &amp; $B64)</f>
        <v>36.979999999999997</v>
      </c>
      <c r="D64" s="318" cm="1">
        <f t="array" aca="1" ref="D64" ca="1">INDIRECT("'"&amp;$A64&amp;"'!"&amp; "g" &amp; $B64)</f>
        <v>35.440000000000005</v>
      </c>
      <c r="E64" s="318" cm="1">
        <f t="array" aca="1" ref="E64" ca="1">INDIRECT("'"&amp;$A64&amp;"'!"&amp; "H" &amp; $B64)</f>
        <v>38.940000000000005</v>
      </c>
      <c r="F64" s="318" cm="1">
        <f t="array" aca="1" ref="F64" ca="1">INDIRECT("'"&amp;$A64&amp;"'!"&amp; "I" &amp; $B64)</f>
        <v>37.210000000000008</v>
      </c>
      <c r="G64" s="318" cm="1">
        <f t="array" aca="1" ref="G64" ca="1">INDIRECT("'"&amp;$A64&amp;"'!"&amp; "J" &amp; $B64)</f>
        <v>36.620000000000005</v>
      </c>
      <c r="H64" s="318" cm="1">
        <f t="array" aca="1" ref="H64" ca="1">INDIRECT("'"&amp;$A64&amp;"'!"&amp; "K" &amp; $B64)</f>
        <v>36.420000000000009</v>
      </c>
      <c r="I64" s="318" cm="1">
        <f t="array" aca="1" ref="I64" ca="1">INDIRECT("'"&amp;$A64&amp;"'!"&amp; "L" &amp; $B64)</f>
        <v>39.25</v>
      </c>
      <c r="J64" s="318" cm="1">
        <f t="array" aca="1" ref="J64" ca="1">INDIRECT("'"&amp;$A64&amp;"'!"&amp; "M" &amp; $B64)</f>
        <v>39.839999999999996</v>
      </c>
      <c r="K64" s="318" cm="1">
        <f t="array" aca="1" ref="K64" ca="1">INDIRECT("'"&amp;$A64&amp;"'!"&amp; "N" &amp; $B64)</f>
        <v>46.91</v>
      </c>
      <c r="L64" s="318" cm="1">
        <f t="array" aca="1" ref="L64" ca="1">INDIRECT("'"&amp;$A64&amp;"'!"&amp; "O" &amp; $B64)</f>
        <v>54.529999999999994</v>
      </c>
      <c r="M64" s="318" cm="1">
        <f t="array" aca="1" ref="M64" ca="1">INDIRECT("'"&amp;$A64&amp;"'!"&amp; "P" &amp; $B64)</f>
        <v>59.11</v>
      </c>
      <c r="N64" s="318" cm="1">
        <f t="array" aca="1" ref="N64" ca="1">INDIRECT("'"&amp;$A64&amp;"'!"&amp; "Q" &amp; $B64)</f>
        <v>62.09</v>
      </c>
      <c r="O64" s="318" cm="1">
        <f t="array" aca="1" ref="O64" ca="1">INDIRECT("'"&amp;$A64&amp;"'!"&amp; "R" &amp; $B64)</f>
        <v>61.790000000000006</v>
      </c>
      <c r="P64" s="318" cm="1">
        <f t="array" aca="1" ref="P64" ca="1">INDIRECT("'"&amp;$A64&amp;"'!"&amp; "S" &amp; $B64)</f>
        <v>62.28</v>
      </c>
      <c r="Q64" s="318" cm="1">
        <f t="array" aca="1" ref="Q64" ca="1">INDIRECT("'"&amp;$A64&amp;"'!"&amp; "T" &amp; $B64)</f>
        <v>64.88</v>
      </c>
      <c r="R64" s="318" cm="1">
        <f t="array" aca="1" ref="R64" ca="1">INDIRECT("'"&amp;$A64&amp;"'!"&amp; "U" &amp; $B64)</f>
        <v>60.959999999999994</v>
      </c>
      <c r="S64" s="318" cm="1">
        <f t="array" aca="1" ref="S64" ca="1">INDIRECT("'"&amp;$A64&amp;"'!"&amp; "V" &amp; $B64)</f>
        <v>55.20000000000001</v>
      </c>
      <c r="T64" s="318" cm="1">
        <f t="array" aca="1" ref="T64" ca="1">INDIRECT("'"&amp;$A64&amp;"'!"&amp; "W" &amp; $B64)</f>
        <v>56.52</v>
      </c>
      <c r="U64" s="318" cm="1">
        <f t="array" aca="1" ref="U64" ca="1">INDIRECT("'"&amp;$A64&amp;"'!"&amp; "X" &amp; $B64)</f>
        <v>55.570000000000007</v>
      </c>
      <c r="V64" s="318" cm="1">
        <f t="array" aca="1" ref="V64" ca="1">INDIRECT("'"&amp;$A64&amp;"'!"&amp; "Y" &amp; $B64)</f>
        <v>57.559999999999995</v>
      </c>
      <c r="W64" s="318" cm="1">
        <f t="array" aca="1" ref="W64" ca="1">INDIRECT("'"&amp;$A64&amp;"'!"&amp; "Z" &amp; $B64)</f>
        <v>54.860000000000007</v>
      </c>
      <c r="X64" s="318" cm="1">
        <f t="array" aca="1" ref="X64" ca="1">INDIRECT("'"&amp;$A64&amp;"'!"&amp; "AA" &amp; $B64)</f>
        <v>53.34</v>
      </c>
      <c r="Y64" s="318" cm="1">
        <f t="array" aca="1" ref="Y64" ca="1">INDIRECT("'"&amp;$A64&amp;"'!"&amp; "AB" &amp; $B64)</f>
        <v>47.269999999999996</v>
      </c>
      <c r="Z64" s="318" cm="1">
        <f t="array" aca="1" ref="Z64" ca="1">INDIRECT("'"&amp;$A64&amp;"'!"&amp; "AC" &amp; $B64)</f>
        <v>46.25</v>
      </c>
      <c r="AB64">
        <f t="shared" ca="1" si="1"/>
        <v>64.88</v>
      </c>
    </row>
    <row r="65" spans="1:26">
      <c r="A65" s="79">
        <v>31</v>
      </c>
      <c r="B65" s="79">
        <v>108</v>
      </c>
      <c r="C65" s="318" cm="1">
        <f t="array" aca="1" ref="C65" ca="1">INDIRECT("'"&amp;$A65&amp;"'!"&amp; "F" &amp; $B65)</f>
        <v>0</v>
      </c>
      <c r="D65" s="318" cm="1">
        <f t="array" aca="1" ref="D65" ca="1">INDIRECT("'"&amp;$A65&amp;"'!"&amp; "g" &amp; $B65)</f>
        <v>0</v>
      </c>
      <c r="E65" s="318" cm="1">
        <f t="array" aca="1" ref="E65" ca="1">INDIRECT("'"&amp;$A65&amp;"'!"&amp; "H" &amp; $B65)</f>
        <v>0</v>
      </c>
      <c r="F65" s="318" cm="1">
        <f t="array" aca="1" ref="F65" ca="1">INDIRECT("'"&amp;$A65&amp;"'!"&amp; "I" &amp; $B65)</f>
        <v>0</v>
      </c>
      <c r="G65" s="318" cm="1">
        <f t="array" aca="1" ref="G65" ca="1">INDIRECT("'"&amp;$A65&amp;"'!"&amp; "J" &amp; $B65)</f>
        <v>0</v>
      </c>
      <c r="H65" s="318" cm="1">
        <f t="array" aca="1" ref="H65" ca="1">INDIRECT("'"&amp;$A65&amp;"'!"&amp; "K" &amp; $B65)</f>
        <v>0</v>
      </c>
      <c r="I65" s="318" cm="1">
        <f t="array" aca="1" ref="I65" ca="1">INDIRECT("'"&amp;$A65&amp;"'!"&amp; "L" &amp; $B65)</f>
        <v>0</v>
      </c>
      <c r="J65" s="318" cm="1">
        <f t="array" aca="1" ref="J65" ca="1">INDIRECT("'"&amp;$A65&amp;"'!"&amp; "M" &amp; $B65)</f>
        <v>0</v>
      </c>
      <c r="K65" s="318" cm="1">
        <f t="array" aca="1" ref="K65" ca="1">INDIRECT("'"&amp;$A65&amp;"'!"&amp; "N" &amp; $B65)</f>
        <v>0</v>
      </c>
      <c r="L65" s="318" cm="1">
        <f t="array" aca="1" ref="L65" ca="1">INDIRECT("'"&amp;$A65&amp;"'!"&amp; "O" &amp; $B65)</f>
        <v>0</v>
      </c>
      <c r="M65" s="318" cm="1">
        <f t="array" aca="1" ref="M65" ca="1">INDIRECT("'"&amp;$A65&amp;"'!"&amp; "P" &amp; $B65)</f>
        <v>0</v>
      </c>
      <c r="N65" s="318" cm="1">
        <f t="array" aca="1" ref="N65" ca="1">INDIRECT("'"&amp;$A65&amp;"'!"&amp; "Q" &amp; $B65)</f>
        <v>0</v>
      </c>
      <c r="O65" s="318" cm="1">
        <f t="array" aca="1" ref="O65" ca="1">INDIRECT("'"&amp;$A65&amp;"'!"&amp; "R" &amp; $B65)</f>
        <v>0</v>
      </c>
      <c r="P65" s="318" cm="1">
        <f t="array" aca="1" ref="P65" ca="1">INDIRECT("'"&amp;$A65&amp;"'!"&amp; "S" &amp; $B65)</f>
        <v>0</v>
      </c>
      <c r="Q65" s="318" cm="1">
        <f t="array" aca="1" ref="Q65" ca="1">INDIRECT("'"&amp;$A65&amp;"'!"&amp; "T" &amp; $B65)</f>
        <v>0</v>
      </c>
      <c r="R65" s="318" cm="1">
        <f t="array" aca="1" ref="R65" ca="1">INDIRECT("'"&amp;$A65&amp;"'!"&amp; "U" &amp; $B65)</f>
        <v>0</v>
      </c>
      <c r="S65" s="318" cm="1">
        <f t="array" aca="1" ref="S65" ca="1">INDIRECT("'"&amp;$A65&amp;"'!"&amp; "V" &amp; $B65)</f>
        <v>0</v>
      </c>
      <c r="T65" s="318" cm="1">
        <f t="array" aca="1" ref="T65" ca="1">INDIRECT("'"&amp;$A65&amp;"'!"&amp; "W" &amp; $B65)</f>
        <v>0</v>
      </c>
      <c r="U65" s="318" cm="1">
        <f t="array" aca="1" ref="U65" ca="1">INDIRECT("'"&amp;$A65&amp;"'!"&amp; "X" &amp; $B65)</f>
        <v>0</v>
      </c>
      <c r="V65" s="318" cm="1">
        <f t="array" aca="1" ref="V65" ca="1">INDIRECT("'"&amp;$A65&amp;"'!"&amp; "Y" &amp; $B65)</f>
        <v>0</v>
      </c>
      <c r="W65" s="318" cm="1">
        <f t="array" aca="1" ref="W65" ca="1">INDIRECT("'"&amp;$A65&amp;"'!"&amp; "Z" &amp; $B65)</f>
        <v>0</v>
      </c>
      <c r="X65" s="318" cm="1">
        <f t="array" aca="1" ref="X65" ca="1">INDIRECT("'"&amp;$A65&amp;"'!"&amp; "AA" &amp; $B65)</f>
        <v>0</v>
      </c>
      <c r="Y65" s="318" cm="1">
        <f t="array" aca="1" ref="Y65" ca="1">INDIRECT("'"&amp;$A65&amp;"'!"&amp; "AB" &amp; $B65)</f>
        <v>0</v>
      </c>
      <c r="Z65" s="318" cm="1">
        <f t="array" aca="1" ref="Z65" ca="1">INDIRECT("'"&amp;$A65&amp;"'!"&amp; "AC" &amp; $B65)</f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CAE5A1-4989-4C19-8550-EE7A224F0F34}">
  <sheetPr codeName="Sheet157"/>
  <dimension ref="A2:DT140"/>
  <sheetViews>
    <sheetView zoomScale="70" zoomScaleNormal="70" zoomScaleSheetLayoutView="51" zoomScalePageLayoutView="55" workbookViewId="0">
      <pane xSplit="5" ySplit="11" topLeftCell="G12" activePane="bottomRight" state="frozen"/>
      <selection pane="bottomRight" activeCell="N21" sqref="N21"/>
      <selection pane="bottomLeft" activeCell="AJ44" sqref="AJ44"/>
      <selection pane="topRight" activeCell="AJ44" sqref="AJ4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customWidth="1"/>
    <col min="6" max="6" width="12.7109375" bestFit="1" customWidth="1"/>
    <col min="7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4.140625" customWidth="1"/>
    <col min="31" max="31" width="4.425781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4">
      <c r="C2" s="16"/>
      <c r="D2" s="23" t="s">
        <v>1</v>
      </c>
      <c r="E2" s="22" t="s">
        <v>2</v>
      </c>
      <c r="F2" s="22"/>
    </row>
    <row r="3" spans="1:44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4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  <c r="AR4">
        <f>2.73/2</f>
        <v>1.365</v>
      </c>
    </row>
    <row r="5" spans="1:44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4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4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4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23"/>
      <c r="N8" s="523"/>
      <c r="O8" s="52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4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24" t="e" cm="1">
        <f t="array" aca="1" ref="M9" ca="1">TEXT(TODAY(),"mmmm")&amp;" "&amp;MID(CELL("filename",A1),FIND("]",CELL("filename",A1))+1,255)&amp;", "&amp;TEXT(TODAY(),"yyyy")</f>
        <v>#VALUE!</v>
      </c>
      <c r="N9" s="524"/>
      <c r="O9" s="524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4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4"/>
      <c r="R10" s="344"/>
      <c r="S10" s="344"/>
      <c r="T10" s="344"/>
      <c r="U10" s="344"/>
      <c r="V10" s="344"/>
      <c r="W10" s="344"/>
      <c r="X10" s="344"/>
      <c r="Y10" s="344"/>
      <c r="Z10" s="344"/>
      <c r="AA10" s="344"/>
      <c r="AB10" s="344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4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4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17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477.79999999999978</v>
      </c>
    </row>
    <row r="13" spans="1:44">
      <c r="A13" s="14" t="s">
        <v>22</v>
      </c>
      <c r="B13" s="15"/>
      <c r="C13" s="15">
        <v>7.2</v>
      </c>
      <c r="D13" s="15"/>
      <c r="E13" s="15"/>
      <c r="F13" s="372"/>
      <c r="G13" s="372"/>
      <c r="H13" s="372"/>
      <c r="I13" s="372"/>
      <c r="J13" s="372"/>
      <c r="K13" s="372"/>
      <c r="L13" s="374"/>
      <c r="M13" s="372"/>
      <c r="N13" s="372">
        <v>4.8</v>
      </c>
      <c r="O13" s="372">
        <v>6.5</v>
      </c>
      <c r="P13" s="372">
        <v>6.9</v>
      </c>
      <c r="Q13" s="372">
        <v>6.7</v>
      </c>
      <c r="R13" s="372">
        <v>6.7</v>
      </c>
      <c r="S13" s="372">
        <v>6.3</v>
      </c>
      <c r="T13" s="372">
        <v>6.5</v>
      </c>
      <c r="U13" s="372">
        <v>6.5</v>
      </c>
      <c r="V13" s="372">
        <v>6.4</v>
      </c>
      <c r="W13" s="372">
        <v>6.2</v>
      </c>
      <c r="X13" s="372">
        <v>6.4</v>
      </c>
      <c r="Y13" s="372">
        <v>6.6</v>
      </c>
      <c r="Z13" s="372">
        <v>6.7</v>
      </c>
      <c r="AA13" s="372">
        <v>6.2</v>
      </c>
      <c r="AB13" s="372">
        <v>7</v>
      </c>
      <c r="AC13" s="372"/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15</v>
      </c>
    </row>
    <row r="14" spans="1:44">
      <c r="A14" s="14" t="s">
        <v>23</v>
      </c>
      <c r="B14" s="15"/>
      <c r="C14" s="15">
        <v>7.2</v>
      </c>
      <c r="D14" s="15"/>
      <c r="E14" s="15"/>
      <c r="F14" s="372">
        <v>6.7</v>
      </c>
      <c r="G14" s="372">
        <v>1.4</v>
      </c>
      <c r="H14" s="374"/>
      <c r="I14" s="372"/>
      <c r="J14" s="372"/>
      <c r="K14" s="372"/>
      <c r="L14" s="372"/>
      <c r="M14" s="372"/>
      <c r="N14" s="372"/>
      <c r="O14" s="372"/>
      <c r="P14" s="372"/>
      <c r="Q14" s="372"/>
      <c r="R14" s="372"/>
      <c r="S14" s="372"/>
      <c r="T14" s="372">
        <v>2.9</v>
      </c>
      <c r="U14" s="372">
        <v>6.5</v>
      </c>
      <c r="V14" s="372">
        <v>6.4</v>
      </c>
      <c r="W14" s="372">
        <v>6.2</v>
      </c>
      <c r="X14" s="372">
        <v>6.4</v>
      </c>
      <c r="Y14" s="372">
        <v>6.6</v>
      </c>
      <c r="Z14" s="372">
        <v>6.7</v>
      </c>
      <c r="AA14" s="372">
        <v>6.2</v>
      </c>
      <c r="AB14" s="372">
        <v>6.2</v>
      </c>
      <c r="AC14" s="372">
        <v>6.5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12</v>
      </c>
    </row>
    <row r="15" spans="1:44">
      <c r="A15" s="66" t="s">
        <v>24</v>
      </c>
      <c r="B15" s="15"/>
      <c r="C15" s="15">
        <v>7.2</v>
      </c>
      <c r="D15" s="15"/>
      <c r="E15" s="15"/>
      <c r="F15" s="372">
        <v>6.5</v>
      </c>
      <c r="G15" s="372">
        <v>7.1</v>
      </c>
      <c r="H15" s="374">
        <v>6.8</v>
      </c>
      <c r="I15" s="372">
        <v>6.7</v>
      </c>
      <c r="J15" s="372">
        <v>6.7</v>
      </c>
      <c r="K15" s="374">
        <v>6.7</v>
      </c>
      <c r="L15" s="374">
        <v>6.2</v>
      </c>
      <c r="M15" s="374">
        <v>6.6</v>
      </c>
      <c r="N15" s="372">
        <v>5.8</v>
      </c>
      <c r="O15" s="372">
        <v>6.5</v>
      </c>
      <c r="P15" s="372">
        <v>6.9</v>
      </c>
      <c r="Q15" s="372">
        <v>6.7</v>
      </c>
      <c r="R15" s="372">
        <v>6.7</v>
      </c>
      <c r="S15" s="372">
        <v>6.3</v>
      </c>
      <c r="T15" s="372">
        <v>6.5</v>
      </c>
      <c r="U15" s="372">
        <v>6.5</v>
      </c>
      <c r="V15" s="372">
        <v>6.4</v>
      </c>
      <c r="W15" s="372">
        <v>6.2</v>
      </c>
      <c r="X15" s="372">
        <v>6.4</v>
      </c>
      <c r="Y15" s="372">
        <v>6.6</v>
      </c>
      <c r="Z15" s="372">
        <v>6.7</v>
      </c>
      <c r="AA15" s="372">
        <v>6.2</v>
      </c>
      <c r="AB15" s="372">
        <v>6.2</v>
      </c>
      <c r="AC15" s="372">
        <v>6.5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4">
      <c r="A16" s="14" t="s">
        <v>25</v>
      </c>
      <c r="B16" s="15"/>
      <c r="C16" s="15">
        <v>7.2</v>
      </c>
      <c r="D16" s="15"/>
      <c r="E16" s="15"/>
      <c r="F16" s="372">
        <v>6.5</v>
      </c>
      <c r="G16" s="372">
        <v>7.1</v>
      </c>
      <c r="H16" s="374">
        <v>6.8</v>
      </c>
      <c r="I16" s="372">
        <v>6.7</v>
      </c>
      <c r="J16" s="372">
        <v>6.7</v>
      </c>
      <c r="K16" s="374">
        <v>6.7</v>
      </c>
      <c r="L16" s="374">
        <v>6.2</v>
      </c>
      <c r="M16" s="374">
        <v>6.5</v>
      </c>
      <c r="N16" s="372">
        <v>5.8</v>
      </c>
      <c r="O16" s="372">
        <v>6.5</v>
      </c>
      <c r="P16" s="372">
        <v>6.9</v>
      </c>
      <c r="Q16" s="372">
        <v>6.7</v>
      </c>
      <c r="R16" s="372">
        <v>6.7</v>
      </c>
      <c r="S16" s="372">
        <v>6.3</v>
      </c>
      <c r="T16" s="372">
        <v>6.5</v>
      </c>
      <c r="U16" s="372">
        <v>6.5</v>
      </c>
      <c r="V16" s="372">
        <v>6.4</v>
      </c>
      <c r="W16" s="372">
        <v>6.2</v>
      </c>
      <c r="X16" s="372">
        <v>6.4</v>
      </c>
      <c r="Y16" s="372">
        <v>6.6</v>
      </c>
      <c r="Z16" s="372">
        <v>6.7</v>
      </c>
      <c r="AA16" s="372">
        <v>6.2</v>
      </c>
      <c r="AB16" s="372">
        <v>6.2</v>
      </c>
      <c r="AC16" s="372">
        <v>6.5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19.7</v>
      </c>
      <c r="G17" s="19">
        <f t="shared" ref="G17:AC17" si="1">SUM(G13:G16)</f>
        <v>15.6</v>
      </c>
      <c r="H17" s="19">
        <f t="shared" si="1"/>
        <v>13.6</v>
      </c>
      <c r="I17" s="19">
        <f t="shared" si="1"/>
        <v>13.4</v>
      </c>
      <c r="J17" s="19">
        <f t="shared" si="1"/>
        <v>13.4</v>
      </c>
      <c r="K17" s="19">
        <f t="shared" si="1"/>
        <v>13.4</v>
      </c>
      <c r="L17" s="19">
        <f t="shared" si="1"/>
        <v>12.4</v>
      </c>
      <c r="M17" s="19">
        <f t="shared" si="1"/>
        <v>13.1</v>
      </c>
      <c r="N17" s="19">
        <f t="shared" si="1"/>
        <v>16.399999999999999</v>
      </c>
      <c r="O17" s="19">
        <f t="shared" si="1"/>
        <v>19.5</v>
      </c>
      <c r="P17" s="19">
        <f t="shared" si="1"/>
        <v>20.700000000000003</v>
      </c>
      <c r="Q17" s="19">
        <f t="shared" si="1"/>
        <v>20.100000000000001</v>
      </c>
      <c r="R17" s="19">
        <f t="shared" si="1"/>
        <v>20.100000000000001</v>
      </c>
      <c r="S17" s="19">
        <f t="shared" si="1"/>
        <v>18.899999999999999</v>
      </c>
      <c r="T17" s="19">
        <f t="shared" si="1"/>
        <v>22.4</v>
      </c>
      <c r="U17" s="19">
        <f t="shared" si="1"/>
        <v>26</v>
      </c>
      <c r="V17" s="19">
        <f t="shared" si="1"/>
        <v>25.6</v>
      </c>
      <c r="W17" s="19">
        <f t="shared" si="1"/>
        <v>24.8</v>
      </c>
      <c r="X17" s="19">
        <f t="shared" si="1"/>
        <v>25.6</v>
      </c>
      <c r="Y17" s="19">
        <f t="shared" si="1"/>
        <v>26.4</v>
      </c>
      <c r="Z17" s="19">
        <f t="shared" si="1"/>
        <v>26.8</v>
      </c>
      <c r="AA17" s="19">
        <f t="shared" si="1"/>
        <v>24.8</v>
      </c>
      <c r="AB17" s="19">
        <f t="shared" si="1"/>
        <v>25.599999999999998</v>
      </c>
      <c r="AC17" s="19">
        <f t="shared" si="1"/>
        <v>19.5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75.8</v>
      </c>
    </row>
    <row r="19" spans="1:51">
      <c r="A19" s="14" t="s">
        <v>22</v>
      </c>
      <c r="B19" s="15"/>
      <c r="C19" s="15">
        <v>3</v>
      </c>
      <c r="D19" s="15"/>
      <c r="E19" s="15"/>
      <c r="F19" s="372" t="s">
        <v>9</v>
      </c>
      <c r="G19" s="372" t="s">
        <v>9</v>
      </c>
      <c r="H19" s="372" t="s">
        <v>9</v>
      </c>
      <c r="I19" s="372" t="s">
        <v>9</v>
      </c>
      <c r="J19" s="372" t="s">
        <v>9</v>
      </c>
      <c r="K19" s="374" t="s">
        <v>9</v>
      </c>
      <c r="L19" s="374" t="s">
        <v>9</v>
      </c>
      <c r="M19" s="374"/>
      <c r="N19" s="374"/>
      <c r="O19" s="372"/>
      <c r="P19" s="374">
        <v>2.8</v>
      </c>
      <c r="Q19" s="372">
        <v>2.8</v>
      </c>
      <c r="R19" s="372">
        <v>2.8</v>
      </c>
      <c r="S19" s="372">
        <v>2</v>
      </c>
      <c r="T19" s="372">
        <v>2</v>
      </c>
      <c r="U19" s="372">
        <v>2.5</v>
      </c>
      <c r="V19" s="372">
        <v>2.6</v>
      </c>
      <c r="W19" s="372">
        <v>2.1</v>
      </c>
      <c r="X19" s="372">
        <v>2.1</v>
      </c>
      <c r="Y19" s="372">
        <v>2.6</v>
      </c>
      <c r="Z19" s="372">
        <v>2</v>
      </c>
      <c r="AA19" s="372">
        <v>2.4</v>
      </c>
      <c r="AB19" s="372">
        <v>2.6</v>
      </c>
      <c r="AC19" s="372">
        <v>2.6</v>
      </c>
      <c r="AD19" s="41"/>
      <c r="AE19" s="41"/>
      <c r="AF19" s="11">
        <f>COUNTIF(F19:AC19,$AJ$8)</f>
        <v>7</v>
      </c>
      <c r="AG19" s="11">
        <f>COUNTIF(G19:AD19,$AJ$7)</f>
        <v>0</v>
      </c>
      <c r="AH19" s="11">
        <f>COUNT(F19:AC19)</f>
        <v>14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372"/>
      <c r="G20" s="372"/>
      <c r="H20" s="372"/>
      <c r="I20" s="372"/>
      <c r="J20" s="372"/>
      <c r="K20" s="374"/>
      <c r="L20" s="374"/>
      <c r="M20" s="374"/>
      <c r="N20" s="372"/>
      <c r="O20" s="372"/>
      <c r="P20" s="372"/>
      <c r="Q20" s="372"/>
      <c r="R20" s="372"/>
      <c r="S20" s="372"/>
      <c r="T20" s="372"/>
      <c r="U20" s="372"/>
      <c r="V20" s="372"/>
      <c r="W20" s="372"/>
      <c r="X20" s="372"/>
      <c r="Y20" s="372"/>
      <c r="Z20" s="372"/>
      <c r="AA20" s="372"/>
      <c r="AB20" s="372"/>
      <c r="AC20" s="372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2"/>
      <c r="G21" s="372"/>
      <c r="H21" s="372"/>
      <c r="I21" s="372"/>
      <c r="J21" s="372"/>
      <c r="K21" s="374"/>
      <c r="L21" s="374">
        <v>0.5</v>
      </c>
      <c r="M21" s="374">
        <v>2</v>
      </c>
      <c r="N21" s="372">
        <v>3.3</v>
      </c>
      <c r="O21" s="372" t="s">
        <v>9</v>
      </c>
      <c r="P21" s="372">
        <v>3.7</v>
      </c>
      <c r="Q21" s="372">
        <v>3.8</v>
      </c>
      <c r="R21" s="372">
        <v>3.8</v>
      </c>
      <c r="S21" s="372">
        <v>3</v>
      </c>
      <c r="T21" s="372">
        <v>3</v>
      </c>
      <c r="U21" s="372">
        <v>3</v>
      </c>
      <c r="V21" s="372">
        <v>3</v>
      </c>
      <c r="W21" s="372">
        <v>3</v>
      </c>
      <c r="X21" s="372">
        <v>3</v>
      </c>
      <c r="Y21" s="372">
        <v>3.8</v>
      </c>
      <c r="Z21" s="372">
        <v>3</v>
      </c>
      <c r="AA21" s="372" t="s">
        <v>9</v>
      </c>
      <c r="AB21" s="372" t="s">
        <v>9</v>
      </c>
      <c r="AC21" s="372" t="s">
        <v>9</v>
      </c>
      <c r="AD21" s="41"/>
      <c r="AE21" s="41"/>
      <c r="AF21" s="11">
        <f>COUNTIF(F21:AC21,$AJ$8)</f>
        <v>4</v>
      </c>
      <c r="AG21" s="11">
        <f>COUNTIF(G21:AD21,$AJ$7)</f>
        <v>0</v>
      </c>
      <c r="AH21" s="11">
        <f>COUNT(F21:AC21)</f>
        <v>14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0.5</v>
      </c>
      <c r="M22" s="19">
        <f t="shared" si="3"/>
        <v>2</v>
      </c>
      <c r="N22" s="19">
        <f t="shared" si="3"/>
        <v>3.3</v>
      </c>
      <c r="O22" s="19">
        <f t="shared" si="3"/>
        <v>0</v>
      </c>
      <c r="P22" s="19">
        <f t="shared" si="3"/>
        <v>6.5</v>
      </c>
      <c r="Q22" s="19">
        <f t="shared" si="3"/>
        <v>6.6</v>
      </c>
      <c r="R22" s="19">
        <f t="shared" si="3"/>
        <v>6.6</v>
      </c>
      <c r="S22" s="19">
        <f>SUM(S19:S21)</f>
        <v>5</v>
      </c>
      <c r="T22" s="19">
        <f t="shared" ref="T22" si="4">SUM(T19:T21)</f>
        <v>5</v>
      </c>
      <c r="U22" s="19">
        <f t="shared" si="3"/>
        <v>5.5</v>
      </c>
      <c r="V22" s="19">
        <f t="shared" si="3"/>
        <v>5.6</v>
      </c>
      <c r="W22" s="19">
        <f t="shared" si="3"/>
        <v>5.0999999999999996</v>
      </c>
      <c r="X22" s="19">
        <f t="shared" si="3"/>
        <v>5.0999999999999996</v>
      </c>
      <c r="Y22" s="19">
        <f t="shared" si="3"/>
        <v>6.4</v>
      </c>
      <c r="Z22" s="19">
        <f t="shared" si="3"/>
        <v>5</v>
      </c>
      <c r="AA22" s="19">
        <f t="shared" si="3"/>
        <v>2.4</v>
      </c>
      <c r="AB22" s="19">
        <f>SUM(AB19:AB21)</f>
        <v>2.6</v>
      </c>
      <c r="AC22" s="19">
        <f t="shared" si="3"/>
        <v>2.6</v>
      </c>
      <c r="AD22" s="41"/>
      <c r="AE22" s="41"/>
      <c r="AF22" s="11"/>
      <c r="AG22" s="11"/>
      <c r="AH22" s="11"/>
      <c r="AI22" s="400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409">
        <f>SUM(F24:AC24)</f>
        <v>50.899999999999984</v>
      </c>
    </row>
    <row r="24" spans="1:51">
      <c r="A24" s="14" t="s">
        <v>22</v>
      </c>
      <c r="B24" s="20"/>
      <c r="C24" s="15">
        <v>4.5</v>
      </c>
      <c r="D24" s="15"/>
      <c r="E24" s="15"/>
      <c r="F24" s="372"/>
      <c r="G24" s="372"/>
      <c r="H24" s="372"/>
      <c r="I24" s="372"/>
      <c r="J24" s="372"/>
      <c r="K24" s="374"/>
      <c r="L24" s="374"/>
      <c r="M24" s="374"/>
      <c r="N24" s="372"/>
      <c r="O24" s="372">
        <v>2.5</v>
      </c>
      <c r="P24" s="372">
        <v>3.8</v>
      </c>
      <c r="Q24" s="374">
        <v>3.8</v>
      </c>
      <c r="R24" s="372">
        <v>3.8</v>
      </c>
      <c r="S24" s="372">
        <v>3</v>
      </c>
      <c r="T24" s="372">
        <v>3</v>
      </c>
      <c r="U24" s="372">
        <v>3</v>
      </c>
      <c r="V24" s="372">
        <v>3</v>
      </c>
      <c r="W24" s="372">
        <v>3</v>
      </c>
      <c r="X24" s="372">
        <v>3</v>
      </c>
      <c r="Y24" s="372">
        <v>3.8</v>
      </c>
      <c r="Z24" s="372">
        <v>3.8</v>
      </c>
      <c r="AA24" s="372">
        <v>3.8</v>
      </c>
      <c r="AB24" s="372">
        <v>3.8</v>
      </c>
      <c r="AC24" s="372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15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2.5</v>
      </c>
      <c r="P25" s="19">
        <f t="shared" si="6"/>
        <v>3.8</v>
      </c>
      <c r="Q25" s="19">
        <f t="shared" si="6"/>
        <v>3.8</v>
      </c>
      <c r="R25" s="19">
        <f t="shared" si="6"/>
        <v>3.8</v>
      </c>
      <c r="S25" s="19">
        <f t="shared" si="6"/>
        <v>3</v>
      </c>
      <c r="T25" s="19">
        <f t="shared" si="6"/>
        <v>3</v>
      </c>
      <c r="U25" s="19">
        <f t="shared" si="6"/>
        <v>3</v>
      </c>
      <c r="V25" s="19">
        <f t="shared" si="6"/>
        <v>3</v>
      </c>
      <c r="W25" s="19">
        <f t="shared" si="6"/>
        <v>3</v>
      </c>
      <c r="X25" s="19">
        <f t="shared" si="6"/>
        <v>3</v>
      </c>
      <c r="Y25" s="19">
        <f t="shared" si="6"/>
        <v>3.8</v>
      </c>
      <c r="Z25" s="19">
        <f t="shared" si="6"/>
        <v>3.8</v>
      </c>
      <c r="AA25" s="19">
        <f t="shared" si="6"/>
        <v>3.8</v>
      </c>
      <c r="AB25" s="19">
        <f t="shared" si="6"/>
        <v>3.8</v>
      </c>
      <c r="AC25" s="19">
        <f t="shared" si="6"/>
        <v>3.8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92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2">
        <v>3.5</v>
      </c>
      <c r="G27" s="372">
        <v>4.0999999999999996</v>
      </c>
      <c r="H27" s="372">
        <v>4.3</v>
      </c>
      <c r="I27" s="372">
        <v>4.4000000000000004</v>
      </c>
      <c r="J27" s="374">
        <v>4</v>
      </c>
      <c r="K27" s="374">
        <v>3.9</v>
      </c>
      <c r="L27" s="374">
        <v>3.7</v>
      </c>
      <c r="M27" s="374">
        <v>3.5</v>
      </c>
      <c r="N27" s="372">
        <v>3.8</v>
      </c>
      <c r="O27" s="372">
        <v>4</v>
      </c>
      <c r="P27" s="372">
        <v>4.0999999999999996</v>
      </c>
      <c r="Q27" s="372">
        <v>4.2</v>
      </c>
      <c r="R27" s="372">
        <v>4</v>
      </c>
      <c r="S27" s="372">
        <v>3</v>
      </c>
      <c r="T27" s="374">
        <v>3.6</v>
      </c>
      <c r="U27" s="374">
        <v>4.0999999999999996</v>
      </c>
      <c r="V27" s="372">
        <v>3.9</v>
      </c>
      <c r="W27" s="372">
        <v>3.5</v>
      </c>
      <c r="X27" s="372">
        <v>3</v>
      </c>
      <c r="Y27" s="372">
        <v>4.0999999999999996</v>
      </c>
      <c r="Z27" s="372">
        <v>4</v>
      </c>
      <c r="AA27" s="372">
        <v>3.9</v>
      </c>
      <c r="AB27" s="372">
        <v>3.6</v>
      </c>
      <c r="AC27" s="372">
        <v>3.8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2" t="s">
        <v>9</v>
      </c>
      <c r="G28" s="372" t="s">
        <v>9</v>
      </c>
      <c r="H28" s="372" t="s">
        <v>9</v>
      </c>
      <c r="I28" s="372" t="s">
        <v>9</v>
      </c>
      <c r="J28" s="372" t="s">
        <v>9</v>
      </c>
      <c r="K28" s="374" t="s">
        <v>9</v>
      </c>
      <c r="L28" s="374" t="s">
        <v>9</v>
      </c>
      <c r="M28" s="374" t="s">
        <v>9</v>
      </c>
      <c r="N28" s="372" t="s">
        <v>9</v>
      </c>
      <c r="O28" s="372" t="s">
        <v>9</v>
      </c>
      <c r="P28" s="372" t="s">
        <v>9</v>
      </c>
      <c r="Q28" s="372" t="s">
        <v>9</v>
      </c>
      <c r="R28" s="372" t="s">
        <v>9</v>
      </c>
      <c r="S28" s="372" t="s">
        <v>9</v>
      </c>
      <c r="T28" s="374" t="s">
        <v>9</v>
      </c>
      <c r="U28" s="374" t="s">
        <v>9</v>
      </c>
      <c r="V28" s="372" t="s">
        <v>9</v>
      </c>
      <c r="W28" s="372" t="s">
        <v>9</v>
      </c>
      <c r="X28" s="372" t="s">
        <v>9</v>
      </c>
      <c r="Y28" s="372" t="s">
        <v>9</v>
      </c>
      <c r="Z28" s="372" t="s">
        <v>9</v>
      </c>
      <c r="AA28" s="372" t="s">
        <v>9</v>
      </c>
      <c r="AB28" s="372" t="s">
        <v>9</v>
      </c>
      <c r="AC28" s="372" t="s">
        <v>9</v>
      </c>
      <c r="AD28" s="41"/>
      <c r="AE28" s="41"/>
      <c r="AF28" s="11">
        <f>COUNTIF(F28:AC28,$AJ$8)</f>
        <v>24</v>
      </c>
      <c r="AG28" s="11">
        <f>COUNTIF(G28:AD28,$AJ$7)</f>
        <v>0</v>
      </c>
      <c r="AH28" s="11">
        <f>COUNT(F28:AC28)</f>
        <v>0</v>
      </c>
      <c r="AI28" s="159">
        <f>SUM(F29:AC30)</f>
        <v>0</v>
      </c>
    </row>
    <row r="29" spans="1:51" ht="15" customHeight="1">
      <c r="A29" s="14" t="s">
        <v>30</v>
      </c>
      <c r="B29" s="369"/>
      <c r="C29" s="370">
        <v>8.8000000000000007</v>
      </c>
      <c r="D29" s="371"/>
      <c r="E29" s="371"/>
      <c r="F29" s="372">
        <v>0</v>
      </c>
      <c r="G29" s="372">
        <v>0</v>
      </c>
      <c r="H29" s="372">
        <v>0</v>
      </c>
      <c r="I29" s="372">
        <v>0</v>
      </c>
      <c r="J29" s="372">
        <v>0</v>
      </c>
      <c r="K29" s="374">
        <v>0</v>
      </c>
      <c r="L29" s="374">
        <v>0</v>
      </c>
      <c r="M29" s="374"/>
      <c r="N29" s="374"/>
      <c r="O29" s="374"/>
      <c r="P29" s="374"/>
      <c r="Q29" s="374"/>
      <c r="R29" s="374"/>
      <c r="S29" s="374"/>
      <c r="T29" s="374"/>
      <c r="U29" s="374"/>
      <c r="V29" s="374"/>
      <c r="W29" s="374"/>
      <c r="X29" s="372"/>
      <c r="Y29" s="372"/>
      <c r="Z29" s="374"/>
      <c r="AA29" s="372"/>
      <c r="AB29" s="372"/>
      <c r="AC29" s="372"/>
    </row>
    <row r="30" spans="1:51" ht="15" customHeight="1">
      <c r="A30" s="14" t="s">
        <v>31</v>
      </c>
      <c r="B30" s="369"/>
      <c r="C30" s="370">
        <v>8.8000000000000007</v>
      </c>
      <c r="D30" s="371"/>
      <c r="E30" s="371"/>
      <c r="F30" s="372"/>
      <c r="G30" s="372"/>
      <c r="H30" s="372"/>
      <c r="I30" s="372"/>
      <c r="J30" s="372"/>
      <c r="K30" s="374"/>
      <c r="L30" s="374"/>
      <c r="M30" s="374"/>
      <c r="N30" s="372"/>
      <c r="O30" s="372"/>
      <c r="P30" s="372"/>
      <c r="Q30" s="372"/>
      <c r="R30" s="372"/>
      <c r="S30" s="372"/>
      <c r="T30" s="372"/>
      <c r="U30" s="372"/>
      <c r="V30" s="372"/>
      <c r="W30" s="372"/>
      <c r="X30" s="372"/>
      <c r="Y30" s="372"/>
      <c r="Z30" s="372"/>
      <c r="AA30" s="372"/>
      <c r="AB30" s="372"/>
      <c r="AC30" s="372"/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SUM(F27:F29)</f>
        <v>3.5</v>
      </c>
      <c r="G31" s="19">
        <f t="shared" ref="G31:AC31" si="8">SUM(G27:G29)</f>
        <v>4.0999999999999996</v>
      </c>
      <c r="H31" s="19">
        <f t="shared" si="8"/>
        <v>4.3</v>
      </c>
      <c r="I31" s="19">
        <f t="shared" si="8"/>
        <v>4.4000000000000004</v>
      </c>
      <c r="J31" s="19">
        <f t="shared" si="8"/>
        <v>4</v>
      </c>
      <c r="K31" s="19">
        <f t="shared" si="8"/>
        <v>3.9</v>
      </c>
      <c r="L31" s="19">
        <f t="shared" si="8"/>
        <v>3.7</v>
      </c>
      <c r="M31" s="19">
        <f t="shared" si="8"/>
        <v>3.5</v>
      </c>
      <c r="N31" s="19">
        <f t="shared" si="8"/>
        <v>3.8</v>
      </c>
      <c r="O31" s="19">
        <f t="shared" si="8"/>
        <v>4</v>
      </c>
      <c r="P31" s="19">
        <f t="shared" si="8"/>
        <v>4.0999999999999996</v>
      </c>
      <c r="Q31" s="19">
        <f t="shared" si="8"/>
        <v>4.2</v>
      </c>
      <c r="R31" s="19">
        <f t="shared" si="8"/>
        <v>4</v>
      </c>
      <c r="S31" s="19">
        <f t="shared" si="8"/>
        <v>3</v>
      </c>
      <c r="T31" s="19">
        <f>SUM(T27:T29)</f>
        <v>3.6</v>
      </c>
      <c r="U31" s="19">
        <f t="shared" si="8"/>
        <v>4.0999999999999996</v>
      </c>
      <c r="V31" s="19">
        <f t="shared" si="8"/>
        <v>3.9</v>
      </c>
      <c r="W31" s="19">
        <f t="shared" si="8"/>
        <v>3.5</v>
      </c>
      <c r="X31" s="19">
        <f t="shared" si="8"/>
        <v>3</v>
      </c>
      <c r="Y31" s="19">
        <f t="shared" si="8"/>
        <v>4.0999999999999996</v>
      </c>
      <c r="Z31" s="19">
        <f t="shared" si="8"/>
        <v>4</v>
      </c>
      <c r="AA31" s="19">
        <f t="shared" si="8"/>
        <v>3.9</v>
      </c>
      <c r="AB31" s="19">
        <f t="shared" si="8"/>
        <v>3.6</v>
      </c>
      <c r="AC31" s="19">
        <f t="shared" si="8"/>
        <v>3.8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334.85999999999996</v>
      </c>
    </row>
    <row r="33" spans="1:36">
      <c r="A33" s="14" t="s">
        <v>22</v>
      </c>
      <c r="B33" s="15"/>
      <c r="C33" s="15">
        <v>15</v>
      </c>
      <c r="D33" s="15"/>
      <c r="E33" s="15"/>
      <c r="F33" s="372">
        <v>13.3</v>
      </c>
      <c r="G33" s="372">
        <v>14.29</v>
      </c>
      <c r="H33" s="374">
        <v>14.29</v>
      </c>
      <c r="I33" s="372">
        <v>14.3</v>
      </c>
      <c r="J33" s="372">
        <v>14.28</v>
      </c>
      <c r="K33" s="374">
        <v>14.3</v>
      </c>
      <c r="L33" s="374">
        <v>14.27</v>
      </c>
      <c r="M33" s="374">
        <v>13.29</v>
      </c>
      <c r="N33" s="372">
        <v>14.28</v>
      </c>
      <c r="O33" s="372">
        <v>14.28</v>
      </c>
      <c r="P33" s="372">
        <v>14.3</v>
      </c>
      <c r="Q33" s="372">
        <v>14.29</v>
      </c>
      <c r="R33" s="372">
        <v>14.27</v>
      </c>
      <c r="S33" s="372">
        <v>12.78</v>
      </c>
      <c r="T33" s="372">
        <v>14.27</v>
      </c>
      <c r="U33" s="372">
        <v>14.3</v>
      </c>
      <c r="V33" s="372">
        <v>13.28</v>
      </c>
      <c r="W33" s="374">
        <v>13.29</v>
      </c>
      <c r="X33" s="372">
        <v>12.77</v>
      </c>
      <c r="Y33" s="372">
        <v>14.28</v>
      </c>
      <c r="Z33" s="372">
        <v>14.27</v>
      </c>
      <c r="AA33" s="372">
        <v>14.29</v>
      </c>
      <c r="AB33" s="372">
        <v>13.28</v>
      </c>
      <c r="AC33" s="372">
        <v>14.31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9">SUM(F33)</f>
        <v>13.3</v>
      </c>
      <c r="G34" s="19">
        <f t="shared" ref="G34:AC34" si="10">SUM(G33)</f>
        <v>14.29</v>
      </c>
      <c r="H34" s="19">
        <f t="shared" si="10"/>
        <v>14.29</v>
      </c>
      <c r="I34" s="19">
        <f t="shared" si="10"/>
        <v>14.3</v>
      </c>
      <c r="J34" s="19">
        <f t="shared" si="10"/>
        <v>14.28</v>
      </c>
      <c r="K34" s="19">
        <f t="shared" si="10"/>
        <v>14.3</v>
      </c>
      <c r="L34" s="19">
        <f t="shared" si="10"/>
        <v>14.27</v>
      </c>
      <c r="M34" s="19">
        <f t="shared" si="10"/>
        <v>13.29</v>
      </c>
      <c r="N34" s="19">
        <f t="shared" si="10"/>
        <v>14.28</v>
      </c>
      <c r="O34" s="19">
        <f t="shared" si="10"/>
        <v>14.28</v>
      </c>
      <c r="P34" s="19">
        <f t="shared" si="10"/>
        <v>14.3</v>
      </c>
      <c r="Q34" s="19">
        <f t="shared" si="10"/>
        <v>14.29</v>
      </c>
      <c r="R34" s="19">
        <f t="shared" si="10"/>
        <v>14.27</v>
      </c>
      <c r="S34" s="19">
        <f t="shared" si="10"/>
        <v>12.78</v>
      </c>
      <c r="T34" s="19">
        <f t="shared" si="10"/>
        <v>14.27</v>
      </c>
      <c r="U34" s="19">
        <f t="shared" si="10"/>
        <v>14.3</v>
      </c>
      <c r="V34" s="19">
        <f t="shared" si="10"/>
        <v>13.28</v>
      </c>
      <c r="W34" s="19">
        <f t="shared" si="10"/>
        <v>13.29</v>
      </c>
      <c r="X34" s="19">
        <f t="shared" si="10"/>
        <v>12.77</v>
      </c>
      <c r="Y34" s="19">
        <f t="shared" si="10"/>
        <v>14.28</v>
      </c>
      <c r="Z34" s="19">
        <f t="shared" si="10"/>
        <v>14.27</v>
      </c>
      <c r="AA34" s="19">
        <f t="shared" si="10"/>
        <v>14.29</v>
      </c>
      <c r="AB34" s="19">
        <f t="shared" si="10"/>
        <v>13.28</v>
      </c>
      <c r="AC34" s="19">
        <f t="shared" si="10"/>
        <v>14.31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13" t="s">
        <v>21</v>
      </c>
      <c r="G35" s="13" t="s">
        <v>21</v>
      </c>
      <c r="H35" s="13" t="s">
        <v>21</v>
      </c>
      <c r="I35" s="13" t="s">
        <v>21</v>
      </c>
      <c r="J35" s="13" t="s">
        <v>21</v>
      </c>
      <c r="K35" s="13" t="s">
        <v>21</v>
      </c>
      <c r="L35" s="13" t="s">
        <v>21</v>
      </c>
      <c r="M35" s="13" t="s">
        <v>21</v>
      </c>
      <c r="N35" s="13" t="s">
        <v>21</v>
      </c>
      <c r="O35" s="13" t="s">
        <v>21</v>
      </c>
      <c r="P35" s="13" t="s">
        <v>21</v>
      </c>
      <c r="Q35" s="13" t="s">
        <v>21</v>
      </c>
      <c r="R35" s="13" t="s">
        <v>21</v>
      </c>
      <c r="S35" s="13" t="s">
        <v>21</v>
      </c>
      <c r="T35" s="13" t="s">
        <v>21</v>
      </c>
      <c r="U35" s="13" t="s">
        <v>21</v>
      </c>
      <c r="V35" s="13" t="s">
        <v>21</v>
      </c>
      <c r="W35" s="418" t="s">
        <v>34</v>
      </c>
      <c r="X35" s="13" t="s">
        <v>21</v>
      </c>
      <c r="Y35" s="13" t="s">
        <v>21</v>
      </c>
      <c r="Z35" s="13" t="s">
        <v>21</v>
      </c>
      <c r="AA35" s="13" t="s">
        <v>21</v>
      </c>
      <c r="AB35" s="13" t="s">
        <v>21</v>
      </c>
      <c r="AC35" s="13" t="s">
        <v>21</v>
      </c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4.370000000000001</v>
      </c>
      <c r="AJ35" t="s">
        <v>35</v>
      </c>
    </row>
    <row r="36" spans="1:36">
      <c r="A36" s="70" t="s">
        <v>36</v>
      </c>
      <c r="B36" s="15"/>
      <c r="C36" s="15"/>
      <c r="D36" s="15"/>
      <c r="E36" s="15"/>
      <c r="F36" s="372"/>
      <c r="G36" s="372"/>
      <c r="H36" s="372"/>
      <c r="I36" s="372"/>
      <c r="J36" s="372"/>
      <c r="K36" s="374"/>
      <c r="L36" s="374"/>
      <c r="M36" s="374"/>
      <c r="N36" s="372"/>
      <c r="O36" s="372"/>
      <c r="P36" s="372"/>
      <c r="Q36" s="372"/>
      <c r="R36" s="372"/>
      <c r="S36" s="372"/>
      <c r="T36" s="372"/>
      <c r="U36" s="372"/>
      <c r="V36" s="372"/>
      <c r="W36" s="372"/>
      <c r="X36" s="372"/>
      <c r="Y36" s="372"/>
      <c r="Z36" s="372"/>
      <c r="AA36" s="372"/>
      <c r="AB36" s="372"/>
      <c r="AC36" s="372"/>
      <c r="AD36" s="41"/>
      <c r="AE36" s="41"/>
      <c r="AF36" s="11">
        <f t="shared" ref="AF36:AF59" si="11">COUNTIF(F36:AC36,$AJ$8)</f>
        <v>0</v>
      </c>
      <c r="AG36" s="11">
        <f t="shared" ref="AG36:AG59" si="12">COUNTIF(G36:AD36,$AJ$7)</f>
        <v>0</v>
      </c>
      <c r="AH36" s="11">
        <f t="shared" ref="AH36:AH59" si="13">COUNT(F36:AC36)</f>
        <v>0</v>
      </c>
      <c r="AI36" s="159">
        <f>SUM(F36:AC38,F40:AC40,F45:AC59)</f>
        <v>18.679999999999996</v>
      </c>
      <c r="AJ36" t="s">
        <v>37</v>
      </c>
    </row>
    <row r="37" spans="1:36">
      <c r="A37" s="70" t="s">
        <v>38</v>
      </c>
      <c r="B37" s="15"/>
      <c r="C37" s="15"/>
      <c r="D37" s="15"/>
      <c r="E37" s="15"/>
      <c r="F37" s="372"/>
      <c r="G37" s="372"/>
      <c r="H37" s="372"/>
      <c r="I37" s="372"/>
      <c r="J37" s="372"/>
      <c r="K37" s="374"/>
      <c r="L37" s="374"/>
      <c r="M37" s="374"/>
      <c r="N37" s="372"/>
      <c r="O37" s="372"/>
      <c r="P37" s="372"/>
      <c r="Q37" s="372"/>
      <c r="R37" s="372"/>
      <c r="S37" s="372"/>
      <c r="T37" s="372"/>
      <c r="U37" s="372"/>
      <c r="V37" s="372"/>
      <c r="W37" s="372"/>
      <c r="X37" s="372"/>
      <c r="Y37" s="372"/>
      <c r="Z37" s="372"/>
      <c r="AA37" s="372"/>
      <c r="AB37" s="372"/>
      <c r="AC37" s="372"/>
      <c r="AD37" s="41"/>
      <c r="AE37" s="41"/>
      <c r="AF37" s="11">
        <f t="shared" si="11"/>
        <v>0</v>
      </c>
      <c r="AG37" s="11">
        <f t="shared" si="12"/>
        <v>0</v>
      </c>
      <c r="AH37" s="11">
        <f t="shared" si="13"/>
        <v>0</v>
      </c>
    </row>
    <row r="38" spans="1:36">
      <c r="A38" s="70" t="s">
        <v>39</v>
      </c>
      <c r="B38" s="15"/>
      <c r="C38" s="15"/>
      <c r="D38" s="15"/>
      <c r="E38" s="15"/>
      <c r="F38" s="372"/>
      <c r="G38" s="372"/>
      <c r="H38" s="372"/>
      <c r="I38" s="372"/>
      <c r="J38" s="372"/>
      <c r="K38" s="374"/>
      <c r="L38" s="374"/>
      <c r="M38" s="374"/>
      <c r="N38" s="372"/>
      <c r="O38" s="372"/>
      <c r="P38" s="372"/>
      <c r="Q38" s="372"/>
      <c r="R38" s="372"/>
      <c r="S38" s="372"/>
      <c r="T38" s="372"/>
      <c r="U38" s="372"/>
      <c r="V38" s="372"/>
      <c r="W38" s="372"/>
      <c r="X38" s="372"/>
      <c r="Y38" s="372"/>
      <c r="Z38" s="372"/>
      <c r="AA38" s="372"/>
      <c r="AB38" s="372"/>
      <c r="AC38" s="372"/>
      <c r="AD38" s="41"/>
      <c r="AE38" s="41"/>
      <c r="AF38" s="11">
        <f t="shared" si="11"/>
        <v>0</v>
      </c>
      <c r="AG38" s="11">
        <f t="shared" si="12"/>
        <v>0</v>
      </c>
      <c r="AH38" s="11">
        <f t="shared" si="13"/>
        <v>0</v>
      </c>
    </row>
    <row r="39" spans="1:36">
      <c r="A39" s="70">
        <v>34</v>
      </c>
      <c r="B39" s="15"/>
      <c r="C39" s="15"/>
      <c r="D39" s="15"/>
      <c r="E39" s="15"/>
      <c r="F39" s="372">
        <v>0.86666666666666703</v>
      </c>
      <c r="G39" s="372" t="s">
        <v>9</v>
      </c>
      <c r="H39" s="372" t="s">
        <v>9</v>
      </c>
      <c r="I39" s="372" t="s">
        <v>9</v>
      </c>
      <c r="J39" s="372" t="s">
        <v>9</v>
      </c>
      <c r="K39" s="374" t="s">
        <v>9</v>
      </c>
      <c r="L39" s="374" t="s">
        <v>9</v>
      </c>
      <c r="M39" s="374" t="s">
        <v>9</v>
      </c>
      <c r="N39" s="372" t="s">
        <v>9</v>
      </c>
      <c r="O39" s="372" t="s">
        <v>9</v>
      </c>
      <c r="P39" s="372" t="s">
        <v>9</v>
      </c>
      <c r="Q39" s="372" t="s">
        <v>9</v>
      </c>
      <c r="R39" s="372" t="s">
        <v>9</v>
      </c>
      <c r="S39" s="372" t="s">
        <v>9</v>
      </c>
      <c r="T39" s="372" t="s">
        <v>9</v>
      </c>
      <c r="U39" s="372" t="s">
        <v>9</v>
      </c>
      <c r="V39" s="372" t="s">
        <v>9</v>
      </c>
      <c r="W39" s="372" t="s">
        <v>9</v>
      </c>
      <c r="X39" s="372" t="s">
        <v>9</v>
      </c>
      <c r="Y39" s="372" t="s">
        <v>9</v>
      </c>
      <c r="Z39" s="372" t="s">
        <v>9</v>
      </c>
      <c r="AA39" s="372" t="s">
        <v>9</v>
      </c>
      <c r="AB39" s="372" t="s">
        <v>9</v>
      </c>
      <c r="AC39" s="372" t="s">
        <v>9</v>
      </c>
      <c r="AD39" s="41"/>
      <c r="AE39" s="41"/>
      <c r="AF39" s="11">
        <f t="shared" si="11"/>
        <v>23</v>
      </c>
      <c r="AG39" s="11">
        <f t="shared" si="12"/>
        <v>0</v>
      </c>
      <c r="AH39" s="11">
        <f t="shared" si="13"/>
        <v>1</v>
      </c>
    </row>
    <row r="40" spans="1:36">
      <c r="A40" s="70">
        <v>35</v>
      </c>
      <c r="B40" s="15"/>
      <c r="C40" s="15">
        <v>0.85</v>
      </c>
      <c r="D40" s="15"/>
      <c r="E40" s="15"/>
      <c r="F40" s="372"/>
      <c r="G40" s="372"/>
      <c r="H40" s="372"/>
      <c r="I40" s="372"/>
      <c r="J40" s="372"/>
      <c r="K40" s="374"/>
      <c r="L40" s="374"/>
      <c r="M40" s="374"/>
      <c r="N40" s="372"/>
      <c r="O40" s="372"/>
      <c r="P40" s="372"/>
      <c r="Q40" s="372"/>
      <c r="R40" s="372"/>
      <c r="S40" s="372"/>
      <c r="T40" s="372"/>
      <c r="U40" s="372"/>
      <c r="V40" s="372"/>
      <c r="W40" s="372"/>
      <c r="X40" s="372"/>
      <c r="Y40" s="372"/>
      <c r="Z40" s="372"/>
      <c r="AA40" s="372"/>
      <c r="AB40" s="372"/>
      <c r="AC40" s="372"/>
      <c r="AD40" s="41"/>
      <c r="AE40" s="41"/>
      <c r="AF40" s="11">
        <f t="shared" si="11"/>
        <v>0</v>
      </c>
      <c r="AG40" s="11">
        <f t="shared" si="12"/>
        <v>0</v>
      </c>
      <c r="AH40" s="11">
        <f t="shared" si="13"/>
        <v>0</v>
      </c>
    </row>
    <row r="41" spans="1:36">
      <c r="A41" s="70">
        <v>36</v>
      </c>
      <c r="B41" s="15"/>
      <c r="C41" s="15">
        <v>1</v>
      </c>
      <c r="D41" s="15"/>
      <c r="E41" s="15"/>
      <c r="F41" s="372">
        <v>0.86666666666666703</v>
      </c>
      <c r="G41" s="372">
        <f>1.77/2</f>
        <v>0.88500000000000001</v>
      </c>
      <c r="H41" s="372"/>
      <c r="I41" s="372"/>
      <c r="J41" s="372"/>
      <c r="K41" s="374"/>
      <c r="L41" s="374"/>
      <c r="M41" s="374"/>
      <c r="N41" s="372"/>
      <c r="O41" s="372"/>
      <c r="P41" s="372"/>
      <c r="Q41" s="372"/>
      <c r="R41" s="372"/>
      <c r="S41" s="372"/>
      <c r="T41" s="372"/>
      <c r="U41" s="372"/>
      <c r="V41" s="372"/>
      <c r="W41" s="372"/>
      <c r="X41" s="372"/>
      <c r="Y41" s="372"/>
      <c r="Z41" s="372"/>
      <c r="AA41" s="372"/>
      <c r="AB41" s="372"/>
      <c r="AC41" s="372"/>
      <c r="AD41" s="41"/>
      <c r="AE41" s="41"/>
      <c r="AF41" s="11">
        <f t="shared" si="11"/>
        <v>0</v>
      </c>
      <c r="AG41" s="11">
        <f t="shared" si="12"/>
        <v>0</v>
      </c>
      <c r="AH41" s="11">
        <f t="shared" si="13"/>
        <v>2</v>
      </c>
    </row>
    <row r="42" spans="1:36">
      <c r="A42" s="70">
        <v>37</v>
      </c>
      <c r="B42" s="15"/>
      <c r="C42" s="15">
        <v>1</v>
      </c>
      <c r="D42" s="15"/>
      <c r="E42" s="15"/>
      <c r="F42" s="372">
        <v>0.86666666666666703</v>
      </c>
      <c r="G42" s="372">
        <f>1.77/2</f>
        <v>0.88500000000000001</v>
      </c>
      <c r="H42" s="372"/>
      <c r="I42" s="372"/>
      <c r="J42" s="372"/>
      <c r="K42" s="374"/>
      <c r="L42" s="374"/>
      <c r="M42" s="374"/>
      <c r="N42" s="372"/>
      <c r="O42" s="372"/>
      <c r="P42" s="372"/>
      <c r="Q42" s="372"/>
      <c r="R42" s="372"/>
      <c r="S42" s="372"/>
      <c r="T42" s="372"/>
      <c r="U42" s="372"/>
      <c r="V42" s="372"/>
      <c r="W42" s="372"/>
      <c r="X42" s="372"/>
      <c r="Y42" s="372"/>
      <c r="Z42" s="372"/>
      <c r="AA42" s="372"/>
      <c r="AB42" s="372"/>
      <c r="AC42" s="372"/>
      <c r="AD42" s="41"/>
      <c r="AE42" s="41"/>
      <c r="AF42" s="11">
        <f t="shared" si="11"/>
        <v>0</v>
      </c>
      <c r="AG42" s="11">
        <f t="shared" si="12"/>
        <v>0</v>
      </c>
      <c r="AH42" s="11">
        <f t="shared" si="13"/>
        <v>2</v>
      </c>
    </row>
    <row r="43" spans="1:36">
      <c r="A43" s="70">
        <v>38</v>
      </c>
      <c r="B43" s="15"/>
      <c r="C43" s="15"/>
      <c r="D43" s="15"/>
      <c r="E43" s="15"/>
      <c r="F43" s="372" t="s">
        <v>9</v>
      </c>
      <c r="G43" s="372" t="s">
        <v>9</v>
      </c>
      <c r="H43" s="372" t="s">
        <v>9</v>
      </c>
      <c r="I43" s="372" t="s">
        <v>9</v>
      </c>
      <c r="J43" s="372" t="s">
        <v>9</v>
      </c>
      <c r="K43" s="374" t="s">
        <v>9</v>
      </c>
      <c r="L43" s="374" t="s">
        <v>9</v>
      </c>
      <c r="M43" s="374" t="s">
        <v>9</v>
      </c>
      <c r="N43" s="372" t="s">
        <v>9</v>
      </c>
      <c r="O43" s="372" t="s">
        <v>9</v>
      </c>
      <c r="P43" s="372" t="s">
        <v>9</v>
      </c>
      <c r="Q43" s="372" t="s">
        <v>9</v>
      </c>
      <c r="R43" s="372" t="s">
        <v>9</v>
      </c>
      <c r="S43" s="372" t="s">
        <v>9</v>
      </c>
      <c r="T43" s="372" t="s">
        <v>9</v>
      </c>
      <c r="U43" s="372" t="s">
        <v>9</v>
      </c>
      <c r="V43" s="372" t="s">
        <v>9</v>
      </c>
      <c r="W43" s="372" t="s">
        <v>9</v>
      </c>
      <c r="X43" s="372" t="s">
        <v>9</v>
      </c>
      <c r="Y43" s="372" t="s">
        <v>9</v>
      </c>
      <c r="Z43" s="372" t="s">
        <v>9</v>
      </c>
      <c r="AA43" s="372" t="s">
        <v>9</v>
      </c>
      <c r="AB43" s="372" t="s">
        <v>9</v>
      </c>
      <c r="AC43" s="372" t="s">
        <v>9</v>
      </c>
      <c r="AD43" s="41"/>
      <c r="AE43" s="41"/>
      <c r="AF43" s="11">
        <f t="shared" si="11"/>
        <v>24</v>
      </c>
      <c r="AG43" s="11">
        <f t="shared" si="12"/>
        <v>0</v>
      </c>
      <c r="AH43" s="11">
        <f t="shared" si="13"/>
        <v>0</v>
      </c>
    </row>
    <row r="44" spans="1:36" ht="16.5" customHeight="1">
      <c r="A44" s="70">
        <v>39</v>
      </c>
      <c r="B44" s="15"/>
      <c r="C44" s="15">
        <v>1</v>
      </c>
      <c r="D44" s="15"/>
      <c r="E44" s="15"/>
      <c r="F44" s="372" t="s">
        <v>9</v>
      </c>
      <c r="G44" s="372" t="s">
        <v>9</v>
      </c>
      <c r="H44" s="372" t="s">
        <v>9</v>
      </c>
      <c r="I44" s="372" t="s">
        <v>9</v>
      </c>
      <c r="J44" s="372" t="s">
        <v>9</v>
      </c>
      <c r="K44" s="372" t="s">
        <v>9</v>
      </c>
      <c r="L44" s="374" t="s">
        <v>9</v>
      </c>
      <c r="M44" s="374" t="s">
        <v>9</v>
      </c>
      <c r="N44" s="372" t="s">
        <v>9</v>
      </c>
      <c r="O44" s="372" t="s">
        <v>9</v>
      </c>
      <c r="P44" s="372" t="s">
        <v>9</v>
      </c>
      <c r="Q44" s="372" t="s">
        <v>9</v>
      </c>
      <c r="R44" s="372" t="s">
        <v>9</v>
      </c>
      <c r="S44" s="372" t="s">
        <v>9</v>
      </c>
      <c r="T44" s="372" t="s">
        <v>9</v>
      </c>
      <c r="U44" s="372" t="s">
        <v>9</v>
      </c>
      <c r="V44" s="372" t="s">
        <v>9</v>
      </c>
      <c r="W44" s="372" t="s">
        <v>9</v>
      </c>
      <c r="X44" s="372" t="s">
        <v>9</v>
      </c>
      <c r="Y44" s="372" t="s">
        <v>9</v>
      </c>
      <c r="Z44" s="372" t="s">
        <v>9</v>
      </c>
      <c r="AA44" s="372" t="s">
        <v>9</v>
      </c>
      <c r="AB44" s="372" t="s">
        <v>9</v>
      </c>
      <c r="AC44" s="372" t="s">
        <v>9</v>
      </c>
      <c r="AD44" s="41"/>
      <c r="AE44" s="41"/>
      <c r="AF44" s="11">
        <f t="shared" si="11"/>
        <v>24</v>
      </c>
      <c r="AG44" s="11">
        <f t="shared" si="12"/>
        <v>0</v>
      </c>
      <c r="AH44" s="11">
        <f t="shared" si="13"/>
        <v>0</v>
      </c>
    </row>
    <row r="45" spans="1:36" ht="16.5" customHeight="1">
      <c r="A45" s="70" t="s">
        <v>40</v>
      </c>
      <c r="B45" s="15"/>
      <c r="C45" s="15">
        <v>0.85</v>
      </c>
      <c r="D45" s="15"/>
      <c r="E45" s="15"/>
      <c r="F45" s="372"/>
      <c r="G45" s="372"/>
      <c r="H45" s="372"/>
      <c r="I45" s="372"/>
      <c r="J45" s="372"/>
      <c r="K45" s="372"/>
      <c r="L45" s="372"/>
      <c r="M45" s="372"/>
      <c r="N45" s="372"/>
      <c r="O45" s="372"/>
      <c r="P45" s="372"/>
      <c r="Q45" s="372"/>
      <c r="R45" s="372"/>
      <c r="S45" s="372"/>
      <c r="T45" s="372"/>
      <c r="U45" s="372"/>
      <c r="V45" s="372"/>
      <c r="W45" s="372"/>
      <c r="X45" s="372"/>
      <c r="Y45" s="372"/>
      <c r="Z45" s="372"/>
      <c r="AA45" s="372"/>
      <c r="AB45" s="372"/>
      <c r="AC45" s="372"/>
      <c r="AD45" s="41"/>
      <c r="AE45" s="41"/>
      <c r="AF45" s="11">
        <f t="shared" si="11"/>
        <v>0</v>
      </c>
      <c r="AG45" s="11">
        <f t="shared" si="12"/>
        <v>0</v>
      </c>
      <c r="AH45" s="11">
        <f t="shared" si="13"/>
        <v>0</v>
      </c>
      <c r="AI45" s="159"/>
    </row>
    <row r="46" spans="1:36">
      <c r="A46" s="70" t="s">
        <v>41</v>
      </c>
      <c r="B46" s="15"/>
      <c r="C46" s="15">
        <v>0.75</v>
      </c>
      <c r="D46" s="15"/>
      <c r="E46" s="15"/>
      <c r="F46" s="372"/>
      <c r="G46" s="372"/>
      <c r="H46" s="372">
        <f>2.8/4</f>
        <v>0.7</v>
      </c>
      <c r="I46" s="372"/>
      <c r="J46" s="372"/>
      <c r="K46" s="372"/>
      <c r="L46" s="372"/>
      <c r="M46" s="374"/>
      <c r="N46" s="372"/>
      <c r="O46" s="372">
        <f>3.4/5</f>
        <v>0.67999999999999994</v>
      </c>
      <c r="P46" s="372"/>
      <c r="Q46" s="372"/>
      <c r="R46" s="372">
        <v>0</v>
      </c>
      <c r="S46" s="372">
        <v>0</v>
      </c>
      <c r="T46" s="372">
        <v>0</v>
      </c>
      <c r="U46" s="372">
        <v>0</v>
      </c>
      <c r="V46" s="372">
        <v>0</v>
      </c>
      <c r="W46" s="372">
        <v>0</v>
      </c>
      <c r="X46" s="372">
        <v>0</v>
      </c>
      <c r="Y46" s="372">
        <v>0</v>
      </c>
      <c r="Z46" s="372">
        <v>0</v>
      </c>
      <c r="AA46" s="372">
        <v>0.7</v>
      </c>
      <c r="AB46" s="372"/>
      <c r="AC46" s="372"/>
      <c r="AD46" s="41"/>
      <c r="AE46" s="41"/>
      <c r="AF46" s="11">
        <f t="shared" si="11"/>
        <v>0</v>
      </c>
      <c r="AG46" s="11">
        <f t="shared" si="12"/>
        <v>0</v>
      </c>
      <c r="AH46" s="11">
        <f t="shared" si="13"/>
        <v>12</v>
      </c>
      <c r="AI46" s="159"/>
    </row>
    <row r="47" spans="1:36">
      <c r="A47" s="70" t="s">
        <v>42</v>
      </c>
      <c r="B47" s="15"/>
      <c r="C47" s="15">
        <v>0.75</v>
      </c>
      <c r="D47" s="15"/>
      <c r="E47" s="15"/>
      <c r="F47" s="372"/>
      <c r="G47" s="372"/>
      <c r="H47" s="372">
        <f>2.8/4</f>
        <v>0.7</v>
      </c>
      <c r="I47" s="372">
        <f>1.33/2</f>
        <v>0.66500000000000004</v>
      </c>
      <c r="J47" s="372"/>
      <c r="K47" s="372"/>
      <c r="L47" s="372"/>
      <c r="M47" s="372"/>
      <c r="N47" s="372"/>
      <c r="O47" s="372">
        <f>3.4/5</f>
        <v>0.67999999999999994</v>
      </c>
      <c r="P47" s="372"/>
      <c r="Q47" s="372">
        <v>0.7</v>
      </c>
      <c r="R47" s="372">
        <f>1.4/2</f>
        <v>0.7</v>
      </c>
      <c r="S47" s="372">
        <v>0</v>
      </c>
      <c r="T47" s="372">
        <v>0</v>
      </c>
      <c r="U47" s="372">
        <v>0</v>
      </c>
      <c r="V47" s="372">
        <v>0</v>
      </c>
      <c r="W47" s="372">
        <v>0</v>
      </c>
      <c r="X47" s="372">
        <v>0</v>
      </c>
      <c r="Y47" s="372">
        <v>0</v>
      </c>
      <c r="Z47" s="372">
        <v>0</v>
      </c>
      <c r="AA47" s="372">
        <v>0.7</v>
      </c>
      <c r="AB47" s="372"/>
      <c r="AC47" s="372"/>
      <c r="AD47" s="41"/>
      <c r="AE47" s="41"/>
      <c r="AF47" s="11">
        <f t="shared" si="11"/>
        <v>0</v>
      </c>
      <c r="AG47" s="11">
        <f t="shared" si="12"/>
        <v>0</v>
      </c>
      <c r="AH47" s="11">
        <f t="shared" si="13"/>
        <v>14</v>
      </c>
    </row>
    <row r="48" spans="1:36">
      <c r="A48" s="70" t="s">
        <v>43</v>
      </c>
      <c r="B48" s="15"/>
      <c r="C48" s="15">
        <v>0.75</v>
      </c>
      <c r="D48" s="15"/>
      <c r="E48" s="15"/>
      <c r="F48" s="372"/>
      <c r="G48" s="372"/>
      <c r="H48" s="372"/>
      <c r="I48" s="372"/>
      <c r="J48" s="372"/>
      <c r="K48" s="372"/>
      <c r="L48" s="374">
        <f>2.12/3</f>
        <v>0.70666666666666667</v>
      </c>
      <c r="M48" s="372"/>
      <c r="N48" s="372"/>
      <c r="O48" s="372">
        <f>3.4/5</f>
        <v>0.67999999999999994</v>
      </c>
      <c r="P48" s="372"/>
      <c r="Q48" s="372"/>
      <c r="R48" s="372"/>
      <c r="S48" s="372"/>
      <c r="T48" s="372"/>
      <c r="U48" s="372"/>
      <c r="V48" s="372"/>
      <c r="W48" s="372"/>
      <c r="X48" s="372"/>
      <c r="Y48" s="372"/>
      <c r="Z48" s="372"/>
      <c r="AA48" s="372"/>
      <c r="AB48" s="372"/>
      <c r="AC48" s="372"/>
      <c r="AD48" s="41"/>
      <c r="AE48" s="41"/>
      <c r="AF48" s="11">
        <f t="shared" si="11"/>
        <v>0</v>
      </c>
      <c r="AG48" s="11">
        <f t="shared" si="12"/>
        <v>0</v>
      </c>
      <c r="AH48" s="11">
        <f t="shared" si="13"/>
        <v>2</v>
      </c>
    </row>
    <row r="49" spans="1:124" ht="15" customHeight="1">
      <c r="A49" s="70" t="s">
        <v>44</v>
      </c>
      <c r="B49" s="15"/>
      <c r="C49" s="15">
        <v>0.75</v>
      </c>
      <c r="D49" s="15"/>
      <c r="E49" s="15"/>
      <c r="F49" s="372"/>
      <c r="G49" s="372">
        <v>0.75</v>
      </c>
      <c r="H49" s="372">
        <f t="shared" ref="H49:H50" si="14">2.8/4</f>
        <v>0.7</v>
      </c>
      <c r="I49" s="372"/>
      <c r="J49" s="372"/>
      <c r="K49" s="372"/>
      <c r="L49" s="372"/>
      <c r="M49" s="374"/>
      <c r="N49" s="372"/>
      <c r="O49" s="372"/>
      <c r="P49" s="372"/>
      <c r="Q49" s="372"/>
      <c r="R49" s="372"/>
      <c r="S49" s="372"/>
      <c r="T49" s="372"/>
      <c r="U49" s="372"/>
      <c r="V49" s="372"/>
      <c r="W49" s="372"/>
      <c r="X49" s="372"/>
      <c r="Y49" s="372"/>
      <c r="Z49" s="372"/>
      <c r="AA49" s="372">
        <v>0.7</v>
      </c>
      <c r="AB49" s="372"/>
      <c r="AC49" s="372"/>
      <c r="AD49" s="41"/>
      <c r="AE49" s="41"/>
      <c r="AF49" s="11">
        <f t="shared" si="11"/>
        <v>0</v>
      </c>
      <c r="AG49" s="11">
        <f t="shared" si="12"/>
        <v>0</v>
      </c>
      <c r="AH49" s="11">
        <f t="shared" si="13"/>
        <v>3</v>
      </c>
    </row>
    <row r="50" spans="1:124" ht="16.5" customHeight="1">
      <c r="A50" s="70" t="s">
        <v>45</v>
      </c>
      <c r="B50" s="15"/>
      <c r="C50" s="15">
        <v>0.75</v>
      </c>
      <c r="D50" s="15"/>
      <c r="E50" s="15"/>
      <c r="F50" s="372"/>
      <c r="G50" s="372"/>
      <c r="H50" s="372">
        <f t="shared" si="14"/>
        <v>0.7</v>
      </c>
      <c r="I50" s="372">
        <f>1.33/2</f>
        <v>0.66500000000000004</v>
      </c>
      <c r="J50" s="374">
        <v>0.7</v>
      </c>
      <c r="K50" s="374">
        <f>1.34/2</f>
        <v>0.67</v>
      </c>
      <c r="L50" s="374"/>
      <c r="M50" s="374"/>
      <c r="N50" s="372"/>
      <c r="O50" s="372">
        <f>3.4/5</f>
        <v>0.67999999999999994</v>
      </c>
      <c r="P50" s="372"/>
      <c r="Q50" s="372"/>
      <c r="R50" s="372">
        <v>0.7</v>
      </c>
      <c r="S50" s="372">
        <v>0</v>
      </c>
      <c r="T50" s="372">
        <v>0</v>
      </c>
      <c r="U50" s="372">
        <v>0</v>
      </c>
      <c r="V50" s="372">
        <v>0</v>
      </c>
      <c r="W50" s="372">
        <v>0</v>
      </c>
      <c r="X50" s="372">
        <v>0</v>
      </c>
      <c r="Y50" s="372">
        <v>0</v>
      </c>
      <c r="Z50" s="372">
        <v>0</v>
      </c>
      <c r="AA50" s="372">
        <v>0</v>
      </c>
      <c r="AB50" s="372">
        <v>0</v>
      </c>
      <c r="AC50" s="372"/>
      <c r="AD50" s="41"/>
      <c r="AE50" s="41"/>
      <c r="AF50" s="11">
        <f t="shared" si="11"/>
        <v>0</v>
      </c>
      <c r="AG50" s="11">
        <f t="shared" si="12"/>
        <v>0</v>
      </c>
      <c r="AH50" s="11">
        <f t="shared" si="13"/>
        <v>16</v>
      </c>
    </row>
    <row r="51" spans="1:124">
      <c r="A51" s="70" t="s">
        <v>46</v>
      </c>
      <c r="B51" s="15"/>
      <c r="C51" s="15">
        <v>0.85</v>
      </c>
      <c r="D51" s="15"/>
      <c r="E51" s="15"/>
      <c r="F51" s="374" t="s">
        <v>9</v>
      </c>
      <c r="G51" s="374" t="s">
        <v>9</v>
      </c>
      <c r="H51" s="374" t="s">
        <v>9</v>
      </c>
      <c r="I51" s="374" t="s">
        <v>9</v>
      </c>
      <c r="J51" s="374" t="s">
        <v>9</v>
      </c>
      <c r="K51" s="374" t="s">
        <v>9</v>
      </c>
      <c r="L51" s="374" t="s">
        <v>9</v>
      </c>
      <c r="M51" s="374" t="s">
        <v>9</v>
      </c>
      <c r="N51" s="372" t="s">
        <v>9</v>
      </c>
      <c r="O51" s="372" t="s">
        <v>9</v>
      </c>
      <c r="P51" s="372" t="s">
        <v>9</v>
      </c>
      <c r="Q51" s="372" t="s">
        <v>9</v>
      </c>
      <c r="R51" s="372" t="s">
        <v>9</v>
      </c>
      <c r="S51" s="372" t="s">
        <v>9</v>
      </c>
      <c r="T51" s="372" t="s">
        <v>9</v>
      </c>
      <c r="U51" s="372" t="s">
        <v>9</v>
      </c>
      <c r="V51" s="372" t="s">
        <v>9</v>
      </c>
      <c r="W51" s="372" t="s">
        <v>9</v>
      </c>
      <c r="X51" s="372" t="s">
        <v>9</v>
      </c>
      <c r="Y51" s="372" t="s">
        <v>9</v>
      </c>
      <c r="Z51" s="372" t="s">
        <v>9</v>
      </c>
      <c r="AA51" s="372" t="s">
        <v>9</v>
      </c>
      <c r="AB51" s="372" t="s">
        <v>9</v>
      </c>
      <c r="AC51" s="372" t="s">
        <v>9</v>
      </c>
      <c r="AD51" s="41"/>
      <c r="AE51" s="41"/>
      <c r="AF51" s="11">
        <f t="shared" si="11"/>
        <v>24</v>
      </c>
      <c r="AG51" s="11">
        <f t="shared" si="12"/>
        <v>0</v>
      </c>
      <c r="AH51" s="11">
        <f t="shared" si="13"/>
        <v>0</v>
      </c>
    </row>
    <row r="52" spans="1:124">
      <c r="A52" s="70" t="s">
        <v>47</v>
      </c>
      <c r="B52" s="15"/>
      <c r="C52" s="15">
        <v>0.85</v>
      </c>
      <c r="D52" s="15"/>
      <c r="E52" s="15"/>
      <c r="F52" s="374" t="s">
        <v>9</v>
      </c>
      <c r="G52" s="374" t="s">
        <v>9</v>
      </c>
      <c r="H52" s="374" t="s">
        <v>9</v>
      </c>
      <c r="I52" s="374" t="s">
        <v>9</v>
      </c>
      <c r="J52" s="374" t="s">
        <v>9</v>
      </c>
      <c r="K52" s="374" t="s">
        <v>9</v>
      </c>
      <c r="L52" s="374" t="s">
        <v>9</v>
      </c>
      <c r="M52" s="374" t="s">
        <v>9</v>
      </c>
      <c r="N52" s="372" t="s">
        <v>9</v>
      </c>
      <c r="O52" s="372" t="s">
        <v>9</v>
      </c>
      <c r="P52" s="372" t="s">
        <v>9</v>
      </c>
      <c r="Q52" s="372" t="s">
        <v>9</v>
      </c>
      <c r="R52" s="372" t="s">
        <v>9</v>
      </c>
      <c r="S52" s="372" t="s">
        <v>9</v>
      </c>
      <c r="T52" s="372" t="s">
        <v>9</v>
      </c>
      <c r="U52" s="372" t="s">
        <v>9</v>
      </c>
      <c r="V52" s="372" t="s">
        <v>9</v>
      </c>
      <c r="W52" s="372" t="s">
        <v>9</v>
      </c>
      <c r="X52" s="372" t="s">
        <v>9</v>
      </c>
      <c r="Y52" s="372" t="s">
        <v>9</v>
      </c>
      <c r="Z52" s="372" t="s">
        <v>9</v>
      </c>
      <c r="AA52" s="372" t="s">
        <v>9</v>
      </c>
      <c r="AB52" s="372" t="s">
        <v>9</v>
      </c>
      <c r="AC52" s="372" t="s">
        <v>9</v>
      </c>
      <c r="AD52" s="41"/>
      <c r="AE52" s="41"/>
      <c r="AF52" s="11">
        <f t="shared" si="11"/>
        <v>24</v>
      </c>
      <c r="AG52" s="11">
        <f t="shared" si="12"/>
        <v>0</v>
      </c>
      <c r="AH52" s="11">
        <f t="shared" si="13"/>
        <v>0</v>
      </c>
    </row>
    <row r="53" spans="1:124">
      <c r="A53" s="70" t="s">
        <v>48</v>
      </c>
      <c r="B53" s="15"/>
      <c r="C53" s="15">
        <v>0.85</v>
      </c>
      <c r="D53" s="15"/>
      <c r="E53" s="15"/>
      <c r="F53" s="372"/>
      <c r="G53" s="372"/>
      <c r="H53" s="372"/>
      <c r="I53" s="372"/>
      <c r="J53" s="372"/>
      <c r="K53" s="374"/>
      <c r="L53" s="372"/>
      <c r="M53" s="374"/>
      <c r="N53" s="372"/>
      <c r="O53" s="372"/>
      <c r="P53" s="372"/>
      <c r="Q53" s="372"/>
      <c r="R53" s="372"/>
      <c r="S53" s="372"/>
      <c r="T53" s="372"/>
      <c r="U53" s="372"/>
      <c r="V53" s="372"/>
      <c r="W53" s="372"/>
      <c r="X53" s="372"/>
      <c r="Y53" s="372"/>
      <c r="Z53" s="372"/>
      <c r="AA53" s="372"/>
      <c r="AB53" s="372"/>
      <c r="AC53" s="372"/>
      <c r="AD53" s="41"/>
      <c r="AE53" s="41"/>
      <c r="AF53" s="11">
        <f t="shared" si="11"/>
        <v>0</v>
      </c>
      <c r="AG53" s="11">
        <f t="shared" si="12"/>
        <v>0</v>
      </c>
      <c r="AH53" s="11">
        <f t="shared" si="13"/>
        <v>0</v>
      </c>
    </row>
    <row r="54" spans="1:124" ht="16.5" customHeight="1">
      <c r="A54" s="70" t="s">
        <v>49</v>
      </c>
      <c r="B54" s="15"/>
      <c r="C54" s="15">
        <v>0.85</v>
      </c>
      <c r="D54" s="15"/>
      <c r="E54" s="15"/>
      <c r="F54" s="372"/>
      <c r="G54" s="372"/>
      <c r="H54" s="372"/>
      <c r="I54" s="372"/>
      <c r="J54" s="372"/>
      <c r="K54" s="374"/>
      <c r="L54" s="372"/>
      <c r="M54" s="374"/>
      <c r="N54" s="372"/>
      <c r="O54" s="372"/>
      <c r="P54" s="372"/>
      <c r="Q54" s="372"/>
      <c r="R54" s="372"/>
      <c r="S54" s="372"/>
      <c r="T54" s="372"/>
      <c r="U54" s="372"/>
      <c r="V54" s="372"/>
      <c r="W54" s="372"/>
      <c r="X54" s="372"/>
      <c r="Y54" s="372"/>
      <c r="Z54" s="372"/>
      <c r="AA54" s="372"/>
      <c r="AB54" s="372"/>
      <c r="AC54" s="372"/>
      <c r="AD54" s="41"/>
      <c r="AE54" s="41"/>
      <c r="AF54" s="11">
        <f t="shared" si="11"/>
        <v>0</v>
      </c>
      <c r="AG54" s="11">
        <f t="shared" si="12"/>
        <v>0</v>
      </c>
      <c r="AH54" s="11">
        <f t="shared" si="13"/>
        <v>0</v>
      </c>
    </row>
    <row r="55" spans="1:124">
      <c r="A55" s="70" t="s">
        <v>50</v>
      </c>
      <c r="B55" s="15"/>
      <c r="C55" s="15">
        <v>0.85</v>
      </c>
      <c r="D55" s="15"/>
      <c r="E55" s="15"/>
      <c r="F55" s="372"/>
      <c r="G55" s="372"/>
      <c r="H55" s="372"/>
      <c r="I55" s="372"/>
      <c r="J55" s="372"/>
      <c r="K55" s="374"/>
      <c r="L55" s="372"/>
      <c r="M55" s="374"/>
      <c r="N55" s="372"/>
      <c r="O55" s="372"/>
      <c r="P55" s="372"/>
      <c r="Q55" s="372"/>
      <c r="R55" s="372"/>
      <c r="S55" s="372"/>
      <c r="T55" s="372"/>
      <c r="U55" s="372"/>
      <c r="V55" s="372"/>
      <c r="W55" s="372"/>
      <c r="X55" s="372"/>
      <c r="Y55" s="372"/>
      <c r="Z55" s="372"/>
      <c r="AA55" s="372"/>
      <c r="AB55" s="372"/>
      <c r="AC55" s="372"/>
      <c r="AD55" s="41"/>
      <c r="AE55" s="41"/>
      <c r="AF55" s="11">
        <f>COUNTIF(F55:AC55,$AJ$8)</f>
        <v>0</v>
      </c>
      <c r="AG55" s="11">
        <f t="shared" si="12"/>
        <v>0</v>
      </c>
      <c r="AH55" s="11">
        <f>COUNT(F55:AC55)</f>
        <v>0</v>
      </c>
    </row>
    <row r="56" spans="1:124">
      <c r="A56" s="70" t="s">
        <v>51</v>
      </c>
      <c r="B56" s="15"/>
      <c r="C56" s="15">
        <v>0.75</v>
      </c>
      <c r="D56" s="15"/>
      <c r="E56" s="15"/>
      <c r="F56" s="372"/>
      <c r="G56" s="372"/>
      <c r="H56" s="372"/>
      <c r="I56" s="372"/>
      <c r="J56" s="372"/>
      <c r="K56" s="374">
        <f>1.34/2</f>
        <v>0.67</v>
      </c>
      <c r="L56" s="374">
        <f>2.12/3</f>
        <v>0.70666666666666667</v>
      </c>
      <c r="M56" s="374"/>
      <c r="N56" s="372"/>
      <c r="O56" s="372">
        <f>3.4/5</f>
        <v>0.67999999999999994</v>
      </c>
      <c r="P56" s="372"/>
      <c r="Q56" s="372"/>
      <c r="R56" s="372"/>
      <c r="S56" s="372"/>
      <c r="T56" s="372"/>
      <c r="U56" s="372"/>
      <c r="V56" s="372"/>
      <c r="W56" s="372"/>
      <c r="X56" s="372"/>
      <c r="Y56" s="372">
        <v>0.7</v>
      </c>
      <c r="Z56" s="372"/>
      <c r="AA56" s="372"/>
      <c r="AB56" s="372"/>
      <c r="AC56" s="372">
        <v>0.64</v>
      </c>
      <c r="AD56" s="41"/>
      <c r="AE56" s="41"/>
      <c r="AF56" s="11">
        <f t="shared" si="11"/>
        <v>0</v>
      </c>
      <c r="AG56" s="11">
        <f t="shared" si="12"/>
        <v>0</v>
      </c>
      <c r="AH56" s="11">
        <f t="shared" si="13"/>
        <v>5</v>
      </c>
    </row>
    <row r="57" spans="1:124">
      <c r="A57" s="70" t="s">
        <v>52</v>
      </c>
      <c r="B57" s="15"/>
      <c r="C57" s="15">
        <v>0.75</v>
      </c>
      <c r="D57" s="15"/>
      <c r="E57" s="15"/>
      <c r="F57" s="372"/>
      <c r="G57" s="372"/>
      <c r="H57" s="372"/>
      <c r="I57" s="372"/>
      <c r="J57" s="372"/>
      <c r="K57" s="374"/>
      <c r="L57" s="374">
        <f>2.12/3</f>
        <v>0.70666666666666667</v>
      </c>
      <c r="M57" s="374"/>
      <c r="N57" s="372"/>
      <c r="O57" s="372"/>
      <c r="P57" s="372"/>
      <c r="Q57" s="372">
        <v>0.7</v>
      </c>
      <c r="R57" s="372"/>
      <c r="S57" s="372"/>
      <c r="T57" s="372"/>
      <c r="U57" s="372"/>
      <c r="V57" s="372"/>
      <c r="W57" s="372"/>
      <c r="X57" s="372"/>
      <c r="Y57" s="372"/>
      <c r="Z57" s="372"/>
      <c r="AA57" s="372"/>
      <c r="AB57" s="372"/>
      <c r="AC57" s="372"/>
      <c r="AD57" s="41"/>
      <c r="AE57" s="41"/>
      <c r="AF57" s="11">
        <f t="shared" si="11"/>
        <v>0</v>
      </c>
      <c r="AG57" s="11">
        <f t="shared" si="12"/>
        <v>0</v>
      </c>
      <c r="AH57" s="11">
        <f t="shared" si="13"/>
        <v>2</v>
      </c>
    </row>
    <row r="58" spans="1:124">
      <c r="A58" s="70" t="s">
        <v>53</v>
      </c>
      <c r="B58" s="15"/>
      <c r="C58" s="15">
        <v>0.85</v>
      </c>
      <c r="D58" s="15"/>
      <c r="E58" s="15"/>
      <c r="F58" s="372"/>
      <c r="G58" s="372"/>
      <c r="H58" s="372"/>
      <c r="I58" s="372"/>
      <c r="J58" s="372"/>
      <c r="K58" s="374"/>
      <c r="L58" s="374"/>
      <c r="M58" s="374"/>
      <c r="N58" s="372"/>
      <c r="O58" s="372"/>
      <c r="P58" s="372"/>
      <c r="Q58" s="372"/>
      <c r="R58" s="372"/>
      <c r="S58" s="372"/>
      <c r="T58" s="372"/>
      <c r="U58" s="372"/>
      <c r="V58" s="372"/>
      <c r="W58" s="372"/>
      <c r="X58" s="372"/>
      <c r="Y58" s="372"/>
      <c r="Z58" s="372"/>
      <c r="AA58" s="372"/>
      <c r="AB58" s="372"/>
      <c r="AC58" s="372"/>
      <c r="AD58" s="41"/>
      <c r="AE58" s="41"/>
      <c r="AF58" s="11">
        <f t="shared" si="11"/>
        <v>0</v>
      </c>
      <c r="AG58" s="11">
        <f t="shared" si="12"/>
        <v>0</v>
      </c>
      <c r="AH58" s="11">
        <f t="shared" si="13"/>
        <v>0</v>
      </c>
    </row>
    <row r="59" spans="1:124">
      <c r="A59" s="70" t="s">
        <v>54</v>
      </c>
      <c r="B59" s="15"/>
      <c r="C59" s="15">
        <v>0.85</v>
      </c>
      <c r="D59" s="15"/>
      <c r="E59" s="15"/>
      <c r="F59" s="372"/>
      <c r="G59" s="372"/>
      <c r="H59" s="372"/>
      <c r="I59" s="372"/>
      <c r="J59" s="372"/>
      <c r="K59" s="374"/>
      <c r="L59" s="374"/>
      <c r="M59" s="374"/>
      <c r="N59" s="372"/>
      <c r="O59" s="372"/>
      <c r="P59" s="372"/>
      <c r="Q59" s="372"/>
      <c r="R59" s="372"/>
      <c r="S59" s="372"/>
      <c r="T59" s="372"/>
      <c r="U59" s="372"/>
      <c r="V59" s="372"/>
      <c r="W59" s="372"/>
      <c r="X59" s="372"/>
      <c r="Y59" s="372"/>
      <c r="Z59" s="372"/>
      <c r="AA59" s="372"/>
      <c r="AB59" s="372"/>
      <c r="AC59" s="372"/>
      <c r="AD59" s="41"/>
      <c r="AE59" s="41"/>
      <c r="AF59" s="11">
        <f t="shared" si="11"/>
        <v>0</v>
      </c>
      <c r="AG59" s="11">
        <f t="shared" si="12"/>
        <v>0</v>
      </c>
      <c r="AH59" s="11">
        <f t="shared" si="13"/>
        <v>0</v>
      </c>
    </row>
    <row r="60" spans="1:124">
      <c r="A60" s="9" t="s">
        <v>26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>SUM(F39:F59)</f>
        <v>2.600000000000001</v>
      </c>
      <c r="G60" s="19">
        <f t="shared" ref="G60:AC60" si="15">SUM(G39:G59)</f>
        <v>2.52</v>
      </c>
      <c r="H60" s="19">
        <f t="shared" si="15"/>
        <v>2.8</v>
      </c>
      <c r="I60" s="19">
        <f t="shared" si="15"/>
        <v>1.33</v>
      </c>
      <c r="J60" s="19">
        <f t="shared" si="15"/>
        <v>0.7</v>
      </c>
      <c r="K60" s="19">
        <f t="shared" si="15"/>
        <v>1.34</v>
      </c>
      <c r="L60" s="19">
        <f t="shared" si="15"/>
        <v>2.12</v>
      </c>
      <c r="M60" s="19">
        <f t="shared" si="15"/>
        <v>0</v>
      </c>
      <c r="N60" s="19">
        <f t="shared" si="15"/>
        <v>0</v>
      </c>
      <c r="O60" s="19">
        <f t="shared" si="15"/>
        <v>3.3999999999999995</v>
      </c>
      <c r="P60" s="19">
        <f t="shared" si="15"/>
        <v>0</v>
      </c>
      <c r="Q60" s="19">
        <f t="shared" si="15"/>
        <v>1.4</v>
      </c>
      <c r="R60" s="19">
        <f t="shared" si="15"/>
        <v>1.4</v>
      </c>
      <c r="S60" s="19">
        <f t="shared" si="15"/>
        <v>0</v>
      </c>
      <c r="T60" s="19">
        <f t="shared" si="15"/>
        <v>0</v>
      </c>
      <c r="U60" s="19">
        <f t="shared" si="15"/>
        <v>0</v>
      </c>
      <c r="V60" s="19">
        <f t="shared" si="15"/>
        <v>0</v>
      </c>
      <c r="W60" s="19">
        <f t="shared" si="15"/>
        <v>0</v>
      </c>
      <c r="X60" s="19">
        <f t="shared" si="15"/>
        <v>0</v>
      </c>
      <c r="Y60" s="19">
        <f t="shared" si="15"/>
        <v>0.7</v>
      </c>
      <c r="Z60" s="19">
        <f t="shared" si="15"/>
        <v>0</v>
      </c>
      <c r="AA60" s="19">
        <f t="shared" si="15"/>
        <v>2.0999999999999996</v>
      </c>
      <c r="AB60" s="19">
        <f t="shared" si="15"/>
        <v>0</v>
      </c>
      <c r="AC60" s="19">
        <f t="shared" si="15"/>
        <v>0.64</v>
      </c>
      <c r="AD60" s="34"/>
      <c r="AE60" s="34"/>
      <c r="AF60" s="11"/>
      <c r="AG60" s="11"/>
      <c r="AH60" s="11"/>
    </row>
    <row r="61" spans="1:124">
      <c r="A61" s="12" t="s">
        <v>55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26.915000000000003</v>
      </c>
      <c r="AN61" s="351"/>
    </row>
    <row r="62" spans="1:124">
      <c r="A62" s="14" t="s">
        <v>56</v>
      </c>
      <c r="B62" s="20"/>
      <c r="C62" s="15">
        <v>0.75</v>
      </c>
      <c r="D62" s="15"/>
      <c r="E62" s="15"/>
      <c r="F62" s="372"/>
      <c r="G62" s="372">
        <f>0.84/2</f>
        <v>0.42</v>
      </c>
      <c r="H62" s="372">
        <f>0.82/2</f>
        <v>0.41</v>
      </c>
      <c r="I62" s="372">
        <f>0.8/2</f>
        <v>0.4</v>
      </c>
      <c r="J62" s="372">
        <f>0.79/2</f>
        <v>0.39500000000000002</v>
      </c>
      <c r="K62" s="374">
        <f>0.79/2</f>
        <v>0.39500000000000002</v>
      </c>
      <c r="L62" s="372">
        <f>0.88/2</f>
        <v>0.44</v>
      </c>
      <c r="M62" s="372">
        <f>0.97/2</f>
        <v>0.48499999999999999</v>
      </c>
      <c r="N62" s="372">
        <v>0.5</v>
      </c>
      <c r="O62" s="372">
        <f>1.17/2</f>
        <v>0.58499999999999996</v>
      </c>
      <c r="P62" s="372">
        <f>1.17/2</f>
        <v>0.58499999999999996</v>
      </c>
      <c r="Q62" s="372">
        <f>1.25/2</f>
        <v>0.625</v>
      </c>
      <c r="R62" s="372">
        <f>0.97/2</f>
        <v>0.48499999999999999</v>
      </c>
      <c r="S62" s="372">
        <v>0</v>
      </c>
      <c r="T62" s="372">
        <v>0</v>
      </c>
      <c r="U62" s="372">
        <v>0</v>
      </c>
      <c r="V62" s="372">
        <v>0</v>
      </c>
      <c r="W62" s="372">
        <v>0</v>
      </c>
      <c r="X62" s="372">
        <v>0</v>
      </c>
      <c r="Y62" s="372">
        <f>1.6/2</f>
        <v>0.8</v>
      </c>
      <c r="Z62" s="372">
        <f>1.63/3</f>
        <v>0.54333333333333333</v>
      </c>
      <c r="AA62" s="372">
        <v>0.73499999999999999</v>
      </c>
      <c r="AB62" s="372">
        <v>0.64</v>
      </c>
      <c r="AC62" s="372">
        <v>0.56999999999999995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23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57</v>
      </c>
      <c r="B63" s="20"/>
      <c r="C63" s="15">
        <v>0.75</v>
      </c>
      <c r="D63" s="15"/>
      <c r="E63" s="15"/>
      <c r="F63" s="372">
        <f>0.87/2</f>
        <v>0.435</v>
      </c>
      <c r="G63" s="372">
        <f>0.84/2</f>
        <v>0.42</v>
      </c>
      <c r="H63" s="372">
        <f>0.82/2</f>
        <v>0.41</v>
      </c>
      <c r="I63" s="372">
        <f>0.8/2</f>
        <v>0.4</v>
      </c>
      <c r="J63" s="372">
        <f>0.79/2</f>
        <v>0.39500000000000002</v>
      </c>
      <c r="K63" s="374">
        <f>0.79/2</f>
        <v>0.39500000000000002</v>
      </c>
      <c r="L63" s="372">
        <f>0.88/2</f>
        <v>0.44</v>
      </c>
      <c r="M63" s="372"/>
      <c r="N63" s="372"/>
      <c r="O63" s="372"/>
      <c r="P63" s="372"/>
      <c r="Q63" s="372"/>
      <c r="R63" s="372"/>
      <c r="S63" s="372">
        <f>1.2/2</f>
        <v>0.6</v>
      </c>
      <c r="T63" s="372">
        <f>1.25/2</f>
        <v>0.625</v>
      </c>
      <c r="U63" s="372">
        <v>0.63</v>
      </c>
      <c r="V63" s="372">
        <v>0.63500000000000001</v>
      </c>
      <c r="W63" s="372">
        <v>0.63</v>
      </c>
      <c r="X63" s="372">
        <v>0.62</v>
      </c>
      <c r="Y63" s="372">
        <f>1.6/2</f>
        <v>0.8</v>
      </c>
      <c r="Z63" s="372">
        <f t="shared" ref="Z63:Z64" si="16">1.63/3</f>
        <v>0.54333333333333333</v>
      </c>
      <c r="AA63" s="372">
        <v>0.73499999999999999</v>
      </c>
      <c r="AB63" s="372">
        <v>0.64</v>
      </c>
      <c r="AC63" s="372">
        <v>0.56999999999999995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18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58</v>
      </c>
      <c r="B64" s="20"/>
      <c r="C64" s="15">
        <v>0.75</v>
      </c>
      <c r="D64" s="15"/>
      <c r="E64" s="15"/>
      <c r="F64" s="372">
        <f>0.87/2</f>
        <v>0.435</v>
      </c>
      <c r="G64" s="372"/>
      <c r="H64" s="372"/>
      <c r="I64" s="372"/>
      <c r="J64" s="372"/>
      <c r="K64" s="374"/>
      <c r="L64" s="372"/>
      <c r="M64" s="372">
        <f>0.97/2</f>
        <v>0.48499999999999999</v>
      </c>
      <c r="N64" s="372">
        <v>0.5</v>
      </c>
      <c r="O64" s="372">
        <f>1.17/2</f>
        <v>0.58499999999999996</v>
      </c>
      <c r="P64" s="372">
        <f>1.17/2</f>
        <v>0.58499999999999996</v>
      </c>
      <c r="Q64" s="372">
        <f>1.25/2</f>
        <v>0.625</v>
      </c>
      <c r="R64" s="372">
        <f>0.97/2</f>
        <v>0.48499999999999999</v>
      </c>
      <c r="S64" s="372">
        <f>1.2/2</f>
        <v>0.6</v>
      </c>
      <c r="T64" s="372">
        <f>1.25/2</f>
        <v>0.625</v>
      </c>
      <c r="U64" s="372">
        <f>1.25/2</f>
        <v>0.625</v>
      </c>
      <c r="V64" s="372">
        <v>0.63500000000000001</v>
      </c>
      <c r="W64" s="372">
        <v>0.63</v>
      </c>
      <c r="X64" s="372">
        <v>0.62</v>
      </c>
      <c r="Y64" s="372"/>
      <c r="Z64" s="372">
        <f t="shared" si="16"/>
        <v>0.54333333333333333</v>
      </c>
      <c r="AA64" s="372"/>
      <c r="AB64" s="372"/>
      <c r="AC64" s="372"/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14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0.87</v>
      </c>
      <c r="G65" s="19">
        <f t="shared" ref="G65" si="17">SUM(G62:G64)</f>
        <v>0.84</v>
      </c>
      <c r="H65" s="19">
        <f>SUM(H62:H64)</f>
        <v>0.82</v>
      </c>
      <c r="I65" s="19">
        <f>SUM(I62:I64)</f>
        <v>0.8</v>
      </c>
      <c r="J65" s="19">
        <f t="shared" ref="J65" si="18">SUM(J62:J64)</f>
        <v>0.79</v>
      </c>
      <c r="K65" s="19">
        <f>SUM(K62:K64)</f>
        <v>0.79</v>
      </c>
      <c r="L65" s="19">
        <f>SUM(L62:L64)</f>
        <v>0.88</v>
      </c>
      <c r="M65" s="19">
        <f>SUM(M62:M64)</f>
        <v>0.97</v>
      </c>
      <c r="N65" s="19">
        <f>SUM(N62:N64)</f>
        <v>1</v>
      </c>
      <c r="O65" s="19">
        <f t="shared" ref="O65:AB65" si="19">SUM(O62:O64)</f>
        <v>1.17</v>
      </c>
      <c r="P65" s="19">
        <f t="shared" si="19"/>
        <v>1.17</v>
      </c>
      <c r="Q65" s="19">
        <f t="shared" si="19"/>
        <v>1.25</v>
      </c>
      <c r="R65" s="19">
        <f t="shared" si="19"/>
        <v>0.97</v>
      </c>
      <c r="S65" s="19">
        <f t="shared" si="19"/>
        <v>1.2</v>
      </c>
      <c r="T65" s="19">
        <f t="shared" si="19"/>
        <v>1.25</v>
      </c>
      <c r="U65" s="19">
        <f t="shared" si="19"/>
        <v>1.2549999999999999</v>
      </c>
      <c r="V65" s="19">
        <f t="shared" si="19"/>
        <v>1.27</v>
      </c>
      <c r="W65" s="19">
        <f t="shared" si="19"/>
        <v>1.26</v>
      </c>
      <c r="X65" s="19">
        <f t="shared" si="19"/>
        <v>1.24</v>
      </c>
      <c r="Y65" s="19">
        <f>SUM(Y62:Y64)</f>
        <v>1.6</v>
      </c>
      <c r="Z65" s="19">
        <f t="shared" si="19"/>
        <v>1.63</v>
      </c>
      <c r="AA65" s="19">
        <f t="shared" si="19"/>
        <v>1.47</v>
      </c>
      <c r="AB65" s="19">
        <f t="shared" si="19"/>
        <v>1.28</v>
      </c>
      <c r="AC65" s="19">
        <f>SUM(AC62:AC64)</f>
        <v>1.1399999999999999</v>
      </c>
      <c r="AD65" s="34"/>
      <c r="AE65" s="34"/>
      <c r="AF65" s="11"/>
      <c r="AG65" s="11"/>
      <c r="AH65" s="11"/>
    </row>
    <row r="66" spans="1:124" hidden="1">
      <c r="A66" s="12" t="s">
        <v>59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idden="1">
      <c r="A67" s="14" t="s">
        <v>60</v>
      </c>
      <c r="B67" s="15"/>
      <c r="C67" s="15">
        <v>0.85</v>
      </c>
      <c r="D67" s="15"/>
      <c r="E67" s="15"/>
      <c r="F67" s="372"/>
      <c r="G67" s="372"/>
      <c r="H67" s="372"/>
      <c r="I67" s="372"/>
      <c r="J67" s="372"/>
      <c r="K67" s="374"/>
      <c r="L67" s="374"/>
      <c r="M67" s="374"/>
      <c r="N67" s="372"/>
      <c r="O67" s="372"/>
      <c r="P67" s="372"/>
      <c r="Q67" s="372"/>
      <c r="R67" s="372"/>
      <c r="S67" s="372"/>
      <c r="T67" s="372"/>
      <c r="U67" s="372"/>
      <c r="V67" s="372"/>
      <c r="W67" s="372"/>
      <c r="X67" s="372"/>
      <c r="Y67" s="372"/>
      <c r="Z67" s="372"/>
      <c r="AA67" s="372"/>
      <c r="AB67" s="372"/>
      <c r="AC67" s="372"/>
      <c r="AD67" s="35"/>
      <c r="AE67" s="35"/>
      <c r="AF67" s="11">
        <f t="shared" ref="AF67:AF75" si="20">COUNTIF(F67:AC67,$AF$11)</f>
        <v>0</v>
      </c>
      <c r="AG67" s="11">
        <f t="shared" ref="AG67:AG75" si="21">COUNTIF(G67:AC67,$AG$11)</f>
        <v>0</v>
      </c>
      <c r="AH67" s="11">
        <f t="shared" ref="AH67:AH75" si="22">COUNT(F67:AC67)</f>
        <v>0</v>
      </c>
    </row>
    <row r="68" spans="1:124" hidden="1">
      <c r="A68" s="14" t="s">
        <v>61</v>
      </c>
      <c r="B68" s="15"/>
      <c r="C68" s="15">
        <v>0.85</v>
      </c>
      <c r="D68" s="15"/>
      <c r="E68" s="15"/>
      <c r="F68" s="372"/>
      <c r="G68" s="372"/>
      <c r="H68" s="372"/>
      <c r="I68" s="372"/>
      <c r="J68" s="372"/>
      <c r="K68" s="374"/>
      <c r="L68" s="374"/>
      <c r="M68" s="374"/>
      <c r="N68" s="372"/>
      <c r="O68" s="372"/>
      <c r="P68" s="372"/>
      <c r="Q68" s="372"/>
      <c r="R68" s="372"/>
      <c r="S68" s="372"/>
      <c r="T68" s="372"/>
      <c r="U68" s="372"/>
      <c r="V68" s="372"/>
      <c r="W68" s="372"/>
      <c r="X68" s="372"/>
      <c r="Y68" s="372"/>
      <c r="Z68" s="372"/>
      <c r="AA68" s="372"/>
      <c r="AB68" s="372"/>
      <c r="AC68" s="372"/>
      <c r="AD68" s="35"/>
      <c r="AE68" s="35"/>
      <c r="AF68" s="11">
        <f t="shared" si="20"/>
        <v>0</v>
      </c>
      <c r="AG68" s="11">
        <f t="shared" si="21"/>
        <v>0</v>
      </c>
      <c r="AH68" s="11">
        <f t="shared" si="22"/>
        <v>0</v>
      </c>
    </row>
    <row r="69" spans="1:124" hidden="1">
      <c r="A69" s="14" t="s">
        <v>62</v>
      </c>
      <c r="B69" s="15"/>
      <c r="C69" s="15">
        <v>0.85</v>
      </c>
      <c r="D69" s="15"/>
      <c r="E69" s="15"/>
      <c r="F69" s="372"/>
      <c r="G69" s="372"/>
      <c r="H69" s="372"/>
      <c r="I69" s="372"/>
      <c r="J69" s="372"/>
      <c r="K69" s="374"/>
      <c r="L69" s="374"/>
      <c r="M69" s="374"/>
      <c r="N69" s="372"/>
      <c r="O69" s="372"/>
      <c r="P69" s="372"/>
      <c r="Q69" s="372"/>
      <c r="R69" s="372"/>
      <c r="S69" s="372"/>
      <c r="T69" s="372"/>
      <c r="U69" s="372"/>
      <c r="V69" s="372"/>
      <c r="W69" s="372"/>
      <c r="X69" s="372"/>
      <c r="Y69" s="372"/>
      <c r="Z69" s="372"/>
      <c r="AA69" s="372"/>
      <c r="AB69" s="372"/>
      <c r="AC69" s="372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2"/>
        <v>0</v>
      </c>
    </row>
    <row r="70" spans="1:124" hidden="1">
      <c r="A70" s="14" t="s">
        <v>63</v>
      </c>
      <c r="B70" s="15"/>
      <c r="C70" s="15">
        <v>0.85</v>
      </c>
      <c r="D70" s="15"/>
      <c r="E70" s="15"/>
      <c r="F70" s="372"/>
      <c r="G70" s="372"/>
      <c r="H70" s="372"/>
      <c r="I70" s="372"/>
      <c r="J70" s="372"/>
      <c r="K70" s="374"/>
      <c r="L70" s="374"/>
      <c r="M70" s="374"/>
      <c r="N70" s="372"/>
      <c r="O70" s="372"/>
      <c r="P70" s="372"/>
      <c r="Q70" s="372"/>
      <c r="R70" s="372"/>
      <c r="S70" s="372"/>
      <c r="T70" s="372"/>
      <c r="U70" s="372"/>
      <c r="V70" s="372"/>
      <c r="W70" s="372"/>
      <c r="X70" s="372"/>
      <c r="Y70" s="372"/>
      <c r="Z70" s="372"/>
      <c r="AA70" s="372"/>
      <c r="AB70" s="372"/>
      <c r="AC70" s="372"/>
      <c r="AD70" s="35"/>
      <c r="AE70" s="35"/>
      <c r="AF70" s="11">
        <f t="shared" si="20"/>
        <v>0</v>
      </c>
      <c r="AG70" s="11">
        <f t="shared" si="21"/>
        <v>0</v>
      </c>
      <c r="AH70" s="11">
        <f t="shared" si="22"/>
        <v>0</v>
      </c>
      <c r="AI70" s="5"/>
      <c r="AJ70" s="5"/>
      <c r="AK70" s="5"/>
      <c r="AL70" s="5"/>
    </row>
    <row r="71" spans="1:124" hidden="1">
      <c r="A71" s="14" t="s">
        <v>64</v>
      </c>
      <c r="B71" s="15"/>
      <c r="C71" s="15">
        <v>0.85</v>
      </c>
      <c r="D71" s="15"/>
      <c r="E71" s="15"/>
      <c r="F71" s="372"/>
      <c r="G71" s="372"/>
      <c r="H71" s="372"/>
      <c r="I71" s="372"/>
      <c r="J71" s="372"/>
      <c r="K71" s="374"/>
      <c r="L71" s="374"/>
      <c r="M71" s="374"/>
      <c r="N71" s="372"/>
      <c r="O71" s="372"/>
      <c r="P71" s="372"/>
      <c r="Q71" s="372"/>
      <c r="R71" s="372"/>
      <c r="S71" s="372"/>
      <c r="T71" s="372"/>
      <c r="U71" s="372"/>
      <c r="V71" s="372"/>
      <c r="W71" s="372"/>
      <c r="X71" s="372"/>
      <c r="Y71" s="372"/>
      <c r="Z71" s="372"/>
      <c r="AA71" s="372"/>
      <c r="AB71" s="372"/>
      <c r="AC71" s="372"/>
      <c r="AD71" s="35"/>
      <c r="AE71" s="35"/>
      <c r="AF71" s="11">
        <f t="shared" si="20"/>
        <v>0</v>
      </c>
      <c r="AG71" s="11">
        <f t="shared" si="21"/>
        <v>0</v>
      </c>
      <c r="AH71" s="11">
        <f t="shared" si="22"/>
        <v>0</v>
      </c>
    </row>
    <row r="72" spans="1:124" hidden="1">
      <c r="A72" s="14" t="s">
        <v>65</v>
      </c>
      <c r="B72" s="15"/>
      <c r="C72" s="15">
        <v>0.85</v>
      </c>
      <c r="D72" s="15"/>
      <c r="E72" s="15"/>
      <c r="F72" s="372"/>
      <c r="G72" s="372"/>
      <c r="H72" s="372"/>
      <c r="I72" s="372"/>
      <c r="J72" s="372"/>
      <c r="K72" s="374"/>
      <c r="L72" s="374"/>
      <c r="M72" s="374"/>
      <c r="N72" s="372"/>
      <c r="O72" s="372"/>
      <c r="P72" s="372"/>
      <c r="Q72" s="372"/>
      <c r="R72" s="372"/>
      <c r="S72" s="372"/>
      <c r="T72" s="372"/>
      <c r="U72" s="372"/>
      <c r="V72" s="372"/>
      <c r="W72" s="372"/>
      <c r="X72" s="372"/>
      <c r="Y72" s="372"/>
      <c r="Z72" s="372"/>
      <c r="AA72" s="372"/>
      <c r="AB72" s="372"/>
      <c r="AC72" s="372"/>
      <c r="AD72" s="35"/>
      <c r="AE72" s="35"/>
      <c r="AF72" s="11">
        <f t="shared" si="20"/>
        <v>0</v>
      </c>
      <c r="AG72" s="11">
        <f t="shared" si="21"/>
        <v>0</v>
      </c>
      <c r="AH72" s="11">
        <f t="shared" si="22"/>
        <v>0</v>
      </c>
    </row>
    <row r="73" spans="1:124" hidden="1">
      <c r="A73" s="14" t="s">
        <v>66</v>
      </c>
      <c r="B73" s="15"/>
      <c r="C73" s="15">
        <v>0.85</v>
      </c>
      <c r="D73" s="15"/>
      <c r="E73" s="15"/>
      <c r="F73" s="372"/>
      <c r="G73" s="372"/>
      <c r="H73" s="372"/>
      <c r="I73" s="372"/>
      <c r="J73" s="372"/>
      <c r="K73" s="374"/>
      <c r="L73" s="374"/>
      <c r="M73" s="374"/>
      <c r="N73" s="372"/>
      <c r="O73" s="372"/>
      <c r="P73" s="372"/>
      <c r="Q73" s="372"/>
      <c r="R73" s="372"/>
      <c r="S73" s="372"/>
      <c r="T73" s="372"/>
      <c r="U73" s="372"/>
      <c r="V73" s="372"/>
      <c r="W73" s="372"/>
      <c r="X73" s="372"/>
      <c r="Y73" s="372"/>
      <c r="Z73" s="372"/>
      <c r="AA73" s="372"/>
      <c r="AB73" s="372"/>
      <c r="AC73" s="372"/>
      <c r="AD73" s="35"/>
      <c r="AE73" s="35"/>
      <c r="AF73" s="11">
        <f t="shared" si="20"/>
        <v>0</v>
      </c>
      <c r="AG73" s="11">
        <f t="shared" si="21"/>
        <v>0</v>
      </c>
      <c r="AH73" s="11">
        <f t="shared" si="22"/>
        <v>0</v>
      </c>
    </row>
    <row r="74" spans="1:124" hidden="1">
      <c r="A74" s="14" t="s">
        <v>67</v>
      </c>
      <c r="B74" s="19"/>
      <c r="C74" s="15">
        <v>0.85</v>
      </c>
      <c r="D74" s="15"/>
      <c r="E74" s="15"/>
      <c r="F74" s="372"/>
      <c r="G74" s="372"/>
      <c r="H74" s="372"/>
      <c r="I74" s="372"/>
      <c r="J74" s="372"/>
      <c r="K74" s="374"/>
      <c r="L74" s="374"/>
      <c r="M74" s="374"/>
      <c r="N74" s="372"/>
      <c r="O74" s="372"/>
      <c r="P74" s="372"/>
      <c r="Q74" s="372"/>
      <c r="R74" s="372"/>
      <c r="S74" s="372"/>
      <c r="T74" s="372"/>
      <c r="U74" s="372"/>
      <c r="V74" s="372"/>
      <c r="W74" s="372"/>
      <c r="X74" s="372"/>
      <c r="Y74" s="372"/>
      <c r="Z74" s="372"/>
      <c r="AA74" s="372"/>
      <c r="AB74" s="372"/>
      <c r="AC74" s="372"/>
      <c r="AD74" s="29"/>
      <c r="AE74" s="29"/>
      <c r="AF74" s="11">
        <f t="shared" si="20"/>
        <v>0</v>
      </c>
      <c r="AG74" s="11">
        <f t="shared" si="21"/>
        <v>0</v>
      </c>
      <c r="AH74" s="11">
        <f t="shared" si="22"/>
        <v>0</v>
      </c>
    </row>
    <row r="75" spans="1:124" ht="15.75" hidden="1" customHeight="1">
      <c r="A75" s="14" t="s">
        <v>68</v>
      </c>
      <c r="B75" s="9"/>
      <c r="C75" s="15">
        <v>0.85</v>
      </c>
      <c r="D75" s="15"/>
      <c r="E75" s="15"/>
      <c r="F75" s="372"/>
      <c r="G75" s="372"/>
      <c r="H75" s="372"/>
      <c r="I75" s="372"/>
      <c r="J75" s="372"/>
      <c r="K75" s="374"/>
      <c r="L75" s="374"/>
      <c r="M75" s="374"/>
      <c r="N75" s="372"/>
      <c r="O75" s="372"/>
      <c r="P75" s="372"/>
      <c r="Q75" s="372"/>
      <c r="R75" s="372"/>
      <c r="S75" s="372"/>
      <c r="T75" s="372"/>
      <c r="U75" s="372"/>
      <c r="V75" s="372"/>
      <c r="W75" s="372"/>
      <c r="X75" s="372"/>
      <c r="Y75" s="372"/>
      <c r="Z75" s="372"/>
      <c r="AA75" s="372"/>
      <c r="AB75" s="372"/>
      <c r="AC75" s="372"/>
      <c r="AD75" s="31"/>
      <c r="AE75" s="31"/>
      <c r="AF75" s="11">
        <f t="shared" si="20"/>
        <v>0</v>
      </c>
      <c r="AG75" s="11">
        <f t="shared" si="21"/>
        <v>0</v>
      </c>
      <c r="AH75" s="11">
        <f t="shared" si="22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3">SUM(F67:F75)</f>
        <v>0</v>
      </c>
      <c r="G76" s="19">
        <f t="shared" ref="G76:AC76" si="24">SUM(G67:G75)</f>
        <v>0</v>
      </c>
      <c r="H76" s="19">
        <f t="shared" si="24"/>
        <v>0</v>
      </c>
      <c r="I76" s="19">
        <f t="shared" si="24"/>
        <v>0</v>
      </c>
      <c r="J76" s="19">
        <f t="shared" si="24"/>
        <v>0</v>
      </c>
      <c r="K76" s="19">
        <f t="shared" si="24"/>
        <v>0</v>
      </c>
      <c r="L76" s="19">
        <f>SUM(L67:L75)</f>
        <v>0</v>
      </c>
      <c r="M76" s="19">
        <f t="shared" si="24"/>
        <v>0</v>
      </c>
      <c r="N76" s="19">
        <f t="shared" si="24"/>
        <v>0</v>
      </c>
      <c r="O76" s="19">
        <f t="shared" si="24"/>
        <v>0</v>
      </c>
      <c r="P76" s="19">
        <f t="shared" si="24"/>
        <v>0</v>
      </c>
      <c r="Q76" s="19">
        <f>SUM(Q67:Q75)</f>
        <v>0</v>
      </c>
      <c r="R76" s="19">
        <f t="shared" si="24"/>
        <v>0</v>
      </c>
      <c r="S76" s="19">
        <f t="shared" si="24"/>
        <v>0</v>
      </c>
      <c r="T76" s="19">
        <f t="shared" si="24"/>
        <v>0</v>
      </c>
      <c r="U76" s="19">
        <f t="shared" si="24"/>
        <v>0</v>
      </c>
      <c r="V76" s="19">
        <f t="shared" si="24"/>
        <v>0</v>
      </c>
      <c r="W76" s="19">
        <f t="shared" si="24"/>
        <v>0</v>
      </c>
      <c r="X76" s="19">
        <f t="shared" si="24"/>
        <v>0</v>
      </c>
      <c r="Y76" s="19">
        <f t="shared" si="24"/>
        <v>0</v>
      </c>
      <c r="Z76" s="19">
        <f t="shared" si="24"/>
        <v>0</v>
      </c>
      <c r="AA76" s="19">
        <f t="shared" si="24"/>
        <v>0</v>
      </c>
      <c r="AB76" s="19">
        <f t="shared" si="24"/>
        <v>0</v>
      </c>
      <c r="AC76" s="19">
        <f t="shared" si="24"/>
        <v>0</v>
      </c>
      <c r="AD76" s="34"/>
      <c r="AE76" s="34"/>
      <c r="AF76" s="11"/>
      <c r="AG76" s="11"/>
      <c r="AH76" s="11"/>
    </row>
    <row r="77" spans="1:124">
      <c r="A77" s="12" t="s">
        <v>69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 t="s">
        <v>21</v>
      </c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20.599999999999998</v>
      </c>
    </row>
    <row r="78" spans="1:124">
      <c r="A78" s="14" t="s">
        <v>70</v>
      </c>
      <c r="B78" s="20"/>
      <c r="C78" s="15">
        <v>1</v>
      </c>
      <c r="D78" s="15"/>
      <c r="E78" s="15"/>
      <c r="F78" s="372"/>
      <c r="G78" s="372"/>
      <c r="H78" s="372">
        <v>0.77</v>
      </c>
      <c r="I78" s="372">
        <v>0.73</v>
      </c>
      <c r="J78" s="372">
        <v>0.71</v>
      </c>
      <c r="K78" s="374">
        <v>0.72</v>
      </c>
      <c r="L78" s="374">
        <v>0.73</v>
      </c>
      <c r="M78" s="374">
        <v>0.71</v>
      </c>
      <c r="N78" s="372">
        <v>0.77</v>
      </c>
      <c r="O78" s="372">
        <v>0.82</v>
      </c>
      <c r="P78" s="372">
        <v>0.84</v>
      </c>
      <c r="Q78" s="372">
        <v>0.87</v>
      </c>
      <c r="R78" s="372">
        <v>0.87</v>
      </c>
      <c r="S78" s="372">
        <v>0.9</v>
      </c>
      <c r="T78" s="372">
        <v>0.9</v>
      </c>
      <c r="U78" s="372">
        <v>0.91</v>
      </c>
      <c r="V78" s="372">
        <v>0.92</v>
      </c>
      <c r="W78" s="372">
        <v>0.9</v>
      </c>
      <c r="X78" s="372">
        <v>0.91</v>
      </c>
      <c r="Y78" s="372"/>
      <c r="Z78" s="372"/>
      <c r="AA78" s="372"/>
      <c r="AB78" s="372"/>
      <c r="AC78" s="372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17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71</v>
      </c>
      <c r="B79" s="20"/>
      <c r="C79" s="15">
        <v>1</v>
      </c>
      <c r="D79" s="15"/>
      <c r="E79" s="15"/>
      <c r="F79" s="372">
        <v>0.81</v>
      </c>
      <c r="G79" s="372">
        <v>0.77</v>
      </c>
      <c r="H79" s="372"/>
      <c r="I79" s="372"/>
      <c r="J79" s="372"/>
      <c r="K79" s="374"/>
      <c r="L79" s="374"/>
      <c r="M79" s="374"/>
      <c r="N79" s="372"/>
      <c r="O79" s="372"/>
      <c r="P79" s="372"/>
      <c r="Q79" s="372"/>
      <c r="R79" s="372"/>
      <c r="S79" s="372"/>
      <c r="T79" s="372"/>
      <c r="U79" s="372"/>
      <c r="V79" s="372"/>
      <c r="W79" s="372"/>
      <c r="X79" s="372"/>
      <c r="Y79" s="372">
        <v>1.03</v>
      </c>
      <c r="Z79" s="372">
        <v>1.07</v>
      </c>
      <c r="AA79" s="372">
        <v>1.05</v>
      </c>
      <c r="AB79" s="372">
        <v>0.99</v>
      </c>
      <c r="AC79" s="372">
        <v>0.9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7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" si="25">SUM(F78:F79)</f>
        <v>0.81</v>
      </c>
      <c r="G80" s="19">
        <f t="shared" ref="G80" si="26">SUM(G78:G79)</f>
        <v>0.77</v>
      </c>
      <c r="H80" s="19">
        <f>SUM(H78:H79)</f>
        <v>0.77</v>
      </c>
      <c r="I80" s="19">
        <f>SUM(I78:I79)</f>
        <v>0.73</v>
      </c>
      <c r="J80" s="19">
        <f t="shared" ref="J80:AC80" si="27">SUM(J78:J79)</f>
        <v>0.71</v>
      </c>
      <c r="K80" s="19">
        <f t="shared" si="27"/>
        <v>0.72</v>
      </c>
      <c r="L80" s="19">
        <f>SUM(L78:L79)</f>
        <v>0.73</v>
      </c>
      <c r="M80" s="19">
        <f t="shared" si="27"/>
        <v>0.71</v>
      </c>
      <c r="N80" s="19">
        <f t="shared" si="27"/>
        <v>0.77</v>
      </c>
      <c r="O80" s="19">
        <f>SUM(O78:O79)</f>
        <v>0.82</v>
      </c>
      <c r="P80" s="19">
        <f t="shared" si="27"/>
        <v>0.84</v>
      </c>
      <c r="Q80" s="19">
        <f t="shared" si="27"/>
        <v>0.87</v>
      </c>
      <c r="R80" s="19">
        <f t="shared" si="27"/>
        <v>0.87</v>
      </c>
      <c r="S80" s="19">
        <f t="shared" si="27"/>
        <v>0.9</v>
      </c>
      <c r="T80" s="19">
        <f t="shared" si="27"/>
        <v>0.9</v>
      </c>
      <c r="U80" s="19">
        <f t="shared" si="27"/>
        <v>0.91</v>
      </c>
      <c r="V80" s="19">
        <f t="shared" si="27"/>
        <v>0.92</v>
      </c>
      <c r="W80" s="19">
        <f t="shared" si="27"/>
        <v>0.9</v>
      </c>
      <c r="X80" s="19">
        <f t="shared" si="27"/>
        <v>0.91</v>
      </c>
      <c r="Y80" s="19">
        <f t="shared" si="27"/>
        <v>1.03</v>
      </c>
      <c r="Z80" s="19">
        <f t="shared" si="27"/>
        <v>1.07</v>
      </c>
      <c r="AA80" s="19">
        <f t="shared" si="27"/>
        <v>1.05</v>
      </c>
      <c r="AB80" s="19">
        <f t="shared" si="27"/>
        <v>0.99</v>
      </c>
      <c r="AC80" s="19">
        <f t="shared" si="27"/>
        <v>0.9</v>
      </c>
      <c r="AD80" s="34"/>
      <c r="AE80" s="34"/>
      <c r="AF80" s="11"/>
      <c r="AG80" s="11"/>
      <c r="AH80" s="11"/>
    </row>
    <row r="81" spans="1:40" ht="17.45" hidden="1">
      <c r="A81" s="366" t="s">
        <v>72</v>
      </c>
      <c r="B81" s="365"/>
      <c r="C81" s="367">
        <v>2</v>
      </c>
      <c r="D81" s="363"/>
      <c r="E81" s="363"/>
      <c r="F81" s="364"/>
      <c r="G81" s="364"/>
      <c r="H81" s="364"/>
      <c r="I81" s="364"/>
      <c r="J81" s="364"/>
      <c r="K81" s="364"/>
      <c r="L81" s="364"/>
      <c r="M81" s="364"/>
      <c r="N81" s="364"/>
      <c r="O81" s="364"/>
      <c r="P81" s="364"/>
      <c r="Q81" s="364"/>
      <c r="R81" s="364"/>
      <c r="S81" s="364"/>
      <c r="T81" s="364"/>
      <c r="U81" s="364"/>
      <c r="V81" s="364"/>
      <c r="W81" s="364"/>
      <c r="X81" s="364"/>
      <c r="Y81" s="364"/>
      <c r="Z81" s="364"/>
      <c r="AA81" s="364"/>
      <c r="AB81" s="364"/>
      <c r="AC81" s="364"/>
    </row>
    <row r="82" spans="1:40" ht="17.45" hidden="1">
      <c r="A82" s="368"/>
      <c r="B82" s="369"/>
      <c r="C82" s="370"/>
      <c r="D82" s="371"/>
      <c r="E82" s="371"/>
      <c r="F82" s="372"/>
      <c r="G82" s="372"/>
      <c r="H82" s="372"/>
      <c r="I82" s="372"/>
      <c r="J82" s="372"/>
      <c r="K82" s="374"/>
      <c r="L82" s="374"/>
      <c r="M82" s="374"/>
      <c r="N82" s="372"/>
      <c r="O82" s="372"/>
      <c r="P82" s="372"/>
      <c r="Q82" s="372"/>
      <c r="R82" s="372"/>
      <c r="S82" s="372"/>
      <c r="T82" s="372"/>
      <c r="U82" s="372"/>
      <c r="V82" s="372"/>
      <c r="W82" s="372"/>
      <c r="X82" s="372"/>
      <c r="Y82" s="372"/>
      <c r="Z82" s="372"/>
      <c r="AA82" s="372"/>
      <c r="AB82" s="372"/>
      <c r="AC82" s="372"/>
    </row>
    <row r="83" spans="1:40">
      <c r="A83" s="21" t="s">
        <v>73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" si="28">SUM(F17,F22,F25,F31,F34,F60,F65,F76,F80,F82)</f>
        <v>40.78</v>
      </c>
      <c r="G83" s="28">
        <f t="shared" ref="G83:AC83" si="29">SUM(G17,G22,G25,G31,G34,G60,G65,G76,G80,G82)</f>
        <v>38.120000000000005</v>
      </c>
      <c r="H83" s="28">
        <f t="shared" si="29"/>
        <v>36.58</v>
      </c>
      <c r="I83" s="28">
        <f t="shared" si="29"/>
        <v>34.959999999999994</v>
      </c>
      <c r="J83" s="28">
        <f t="shared" si="29"/>
        <v>33.880000000000003</v>
      </c>
      <c r="K83" s="28">
        <f t="shared" si="29"/>
        <v>34.450000000000003</v>
      </c>
      <c r="L83" s="28">
        <f t="shared" si="29"/>
        <v>34.6</v>
      </c>
      <c r="M83" s="28">
        <f t="shared" si="29"/>
        <v>33.57</v>
      </c>
      <c r="N83" s="28">
        <f t="shared" si="29"/>
        <v>39.550000000000004</v>
      </c>
      <c r="O83" s="28">
        <f>SUM(O17,O22,O25,O31,O34,O60,O65,O76,O80,O82)</f>
        <v>45.67</v>
      </c>
      <c r="P83" s="28">
        <f t="shared" si="29"/>
        <v>51.410000000000011</v>
      </c>
      <c r="Q83" s="28">
        <f t="shared" si="29"/>
        <v>52.51</v>
      </c>
      <c r="R83" s="28">
        <f t="shared" si="29"/>
        <v>52.009999999999991</v>
      </c>
      <c r="S83" s="28">
        <f t="shared" si="29"/>
        <v>44.78</v>
      </c>
      <c r="T83" s="28">
        <f t="shared" si="29"/>
        <v>50.419999999999995</v>
      </c>
      <c r="U83" s="28">
        <f>SUM(U17,U22,U25,U31,U34,U60,U65,U76,U80,U82)</f>
        <v>55.065000000000005</v>
      </c>
      <c r="V83" s="28">
        <f t="shared" si="29"/>
        <v>53.570000000000007</v>
      </c>
      <c r="W83" s="28">
        <f t="shared" si="29"/>
        <v>51.849999999999994</v>
      </c>
      <c r="X83" s="28">
        <f t="shared" si="29"/>
        <v>51.62</v>
      </c>
      <c r="Y83" s="28">
        <f t="shared" si="29"/>
        <v>58.31</v>
      </c>
      <c r="Z83" s="28">
        <f t="shared" si="29"/>
        <v>56.570000000000007</v>
      </c>
      <c r="AA83" s="28">
        <f t="shared" si="29"/>
        <v>53.809999999999995</v>
      </c>
      <c r="AB83" s="28">
        <f t="shared" si="29"/>
        <v>51.150000000000006</v>
      </c>
      <c r="AC83" s="28">
        <f t="shared" si="29"/>
        <v>46.690000000000005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25" t="s">
        <v>74</v>
      </c>
      <c r="B85" s="525"/>
      <c r="C85" s="525"/>
      <c r="D85" s="525"/>
      <c r="E85" s="525"/>
      <c r="F85" s="525"/>
      <c r="G85" s="525"/>
      <c r="H85" s="525"/>
      <c r="I85" s="525"/>
      <c r="J85" s="525"/>
      <c r="K85" s="525"/>
      <c r="L85" s="525"/>
      <c r="M85" s="525"/>
      <c r="N85" s="525"/>
      <c r="O85" s="525"/>
      <c r="P85" s="525"/>
      <c r="Q85" s="525"/>
      <c r="R85" s="525"/>
      <c r="S85" s="525"/>
      <c r="T85" s="525"/>
      <c r="U85" s="525"/>
      <c r="V85" s="525"/>
      <c r="W85" s="525"/>
      <c r="X85" s="525"/>
      <c r="Y85" s="525"/>
      <c r="Z85" s="525"/>
      <c r="AA85" s="525"/>
      <c r="AB85" s="525"/>
      <c r="AC85" s="525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</row>
    <row r="87" spans="1:40" ht="17.45">
      <c r="A87" s="500" t="s">
        <v>75</v>
      </c>
      <c r="B87" s="501"/>
      <c r="C87" s="502"/>
      <c r="D87" s="49"/>
      <c r="E87" s="49"/>
      <c r="F87" s="506" t="s">
        <v>76</v>
      </c>
      <c r="G87" s="506"/>
      <c r="H87" s="506"/>
      <c r="I87" s="506"/>
      <c r="J87" s="506"/>
      <c r="K87" s="506"/>
      <c r="L87" s="506"/>
      <c r="M87" s="506"/>
      <c r="N87" s="506"/>
      <c r="O87" s="506"/>
      <c r="P87" s="506"/>
      <c r="Q87" s="506"/>
      <c r="R87" s="506"/>
      <c r="S87" s="506"/>
      <c r="T87" s="506"/>
      <c r="U87" s="506"/>
      <c r="V87" s="506"/>
      <c r="W87" s="506"/>
      <c r="X87" s="506"/>
      <c r="Y87" s="506"/>
      <c r="Z87" s="506"/>
      <c r="AA87" s="506"/>
      <c r="AB87" s="506"/>
      <c r="AC87" s="506"/>
      <c r="AD87" s="5"/>
      <c r="AE87" s="5"/>
      <c r="AF87" s="5"/>
      <c r="AG87" s="5"/>
      <c r="AH87" s="5"/>
    </row>
    <row r="88" spans="1:40" ht="15.6" customHeight="1">
      <c r="A88" s="503"/>
      <c r="B88" s="504"/>
      <c r="C88" s="505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07" t="s">
        <v>27</v>
      </c>
      <c r="B89" s="508"/>
      <c r="C89" s="509"/>
      <c r="D89" s="45"/>
      <c r="E89" s="45"/>
      <c r="F89" s="64">
        <f t="shared" ref="F89:AC89" si="30">SUM(F22,F25)</f>
        <v>0</v>
      </c>
      <c r="G89" s="64">
        <f t="shared" si="30"/>
        <v>0</v>
      </c>
      <c r="H89" s="64">
        <f t="shared" si="30"/>
        <v>0</v>
      </c>
      <c r="I89" s="64">
        <f t="shared" si="30"/>
        <v>0</v>
      </c>
      <c r="J89" s="64">
        <f t="shared" si="30"/>
        <v>0</v>
      </c>
      <c r="K89" s="64">
        <f t="shared" si="30"/>
        <v>0</v>
      </c>
      <c r="L89" s="64">
        <f t="shared" si="30"/>
        <v>0.5</v>
      </c>
      <c r="M89" s="64">
        <f t="shared" si="30"/>
        <v>2</v>
      </c>
      <c r="N89" s="64">
        <f t="shared" si="30"/>
        <v>3.3</v>
      </c>
      <c r="O89" s="64">
        <f t="shared" si="30"/>
        <v>2.5</v>
      </c>
      <c r="P89" s="64">
        <f t="shared" si="30"/>
        <v>10.3</v>
      </c>
      <c r="Q89" s="64">
        <f t="shared" si="30"/>
        <v>10.399999999999999</v>
      </c>
      <c r="R89" s="64">
        <f t="shared" si="30"/>
        <v>10.399999999999999</v>
      </c>
      <c r="S89" s="64">
        <f t="shared" si="30"/>
        <v>8</v>
      </c>
      <c r="T89" s="64">
        <f t="shared" si="30"/>
        <v>8</v>
      </c>
      <c r="U89" s="64">
        <f t="shared" si="30"/>
        <v>8.5</v>
      </c>
      <c r="V89" s="64">
        <f t="shared" si="30"/>
        <v>8.6</v>
      </c>
      <c r="W89" s="64">
        <f t="shared" si="30"/>
        <v>8.1</v>
      </c>
      <c r="X89" s="64">
        <f t="shared" si="30"/>
        <v>8.1</v>
      </c>
      <c r="Y89" s="64">
        <f t="shared" si="30"/>
        <v>10.199999999999999</v>
      </c>
      <c r="Z89" s="64">
        <f t="shared" si="30"/>
        <v>8.8000000000000007</v>
      </c>
      <c r="AA89" s="64">
        <f t="shared" si="30"/>
        <v>6.1999999999999993</v>
      </c>
      <c r="AB89" s="64">
        <f t="shared" si="30"/>
        <v>6.4</v>
      </c>
      <c r="AC89" s="64">
        <f t="shared" si="30"/>
        <v>6.4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521" t="s">
        <v>77</v>
      </c>
      <c r="B90" s="521"/>
      <c r="C90" s="522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>
        <v>0.23300000000000001</v>
      </c>
      <c r="P90" s="68">
        <v>0.23499999999999999</v>
      </c>
      <c r="Q90" s="68">
        <v>0.2</v>
      </c>
      <c r="R90" s="68">
        <v>0.26500000000000001</v>
      </c>
      <c r="S90" s="68">
        <v>0.26900000000000002</v>
      </c>
      <c r="T90" s="68">
        <v>0.22900000000000001</v>
      </c>
      <c r="U90" s="68">
        <v>0.159</v>
      </c>
      <c r="V90" s="68">
        <v>0.222</v>
      </c>
      <c r="W90" s="68">
        <v>0.23200000000000001</v>
      </c>
      <c r="X90" s="68">
        <v>0.20399999999999999</v>
      </c>
      <c r="Y90" s="68">
        <v>0.222</v>
      </c>
      <c r="Z90" s="68">
        <v>0.22500000000000001</v>
      </c>
      <c r="AA90" s="68">
        <v>0.23300000000000001</v>
      </c>
      <c r="AB90" s="68">
        <v>0.254</v>
      </c>
      <c r="AC90" s="68">
        <v>0.26200000000000001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07" t="s">
        <v>78</v>
      </c>
      <c r="B91" s="508"/>
      <c r="C91" s="509"/>
      <c r="D91" s="45"/>
      <c r="E91" s="45"/>
      <c r="F91" s="64">
        <f t="shared" ref="F91:AC91" si="31">F17</f>
        <v>19.7</v>
      </c>
      <c r="G91" s="64">
        <f t="shared" si="31"/>
        <v>15.6</v>
      </c>
      <c r="H91" s="64">
        <f t="shared" si="31"/>
        <v>13.6</v>
      </c>
      <c r="I91" s="64">
        <f t="shared" si="31"/>
        <v>13.4</v>
      </c>
      <c r="J91" s="64">
        <f t="shared" si="31"/>
        <v>13.4</v>
      </c>
      <c r="K91" s="64">
        <f t="shared" si="31"/>
        <v>13.4</v>
      </c>
      <c r="L91" s="64">
        <f t="shared" si="31"/>
        <v>12.4</v>
      </c>
      <c r="M91" s="64">
        <f t="shared" si="31"/>
        <v>13.1</v>
      </c>
      <c r="N91" s="64">
        <f t="shared" si="31"/>
        <v>16.399999999999999</v>
      </c>
      <c r="O91" s="64">
        <f t="shared" si="31"/>
        <v>19.5</v>
      </c>
      <c r="P91" s="64">
        <f t="shared" si="31"/>
        <v>20.700000000000003</v>
      </c>
      <c r="Q91" s="64">
        <f t="shared" si="31"/>
        <v>20.100000000000001</v>
      </c>
      <c r="R91" s="64">
        <f t="shared" si="31"/>
        <v>20.100000000000001</v>
      </c>
      <c r="S91" s="64">
        <f t="shared" si="31"/>
        <v>18.899999999999999</v>
      </c>
      <c r="T91" s="64">
        <f t="shared" si="31"/>
        <v>22.4</v>
      </c>
      <c r="U91" s="64">
        <f t="shared" si="31"/>
        <v>26</v>
      </c>
      <c r="V91" s="64">
        <f t="shared" si="31"/>
        <v>25.6</v>
      </c>
      <c r="W91" s="64">
        <f t="shared" si="31"/>
        <v>24.8</v>
      </c>
      <c r="X91" s="64">
        <f t="shared" si="31"/>
        <v>25.6</v>
      </c>
      <c r="Y91" s="64">
        <f t="shared" si="31"/>
        <v>26.4</v>
      </c>
      <c r="Z91" s="64">
        <f t="shared" si="31"/>
        <v>26.8</v>
      </c>
      <c r="AA91" s="64">
        <f t="shared" si="31"/>
        <v>24.8</v>
      </c>
      <c r="AB91" s="64">
        <f t="shared" si="31"/>
        <v>25.599999999999998</v>
      </c>
      <c r="AC91" s="64">
        <f t="shared" si="31"/>
        <v>19.5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21" t="s">
        <v>79</v>
      </c>
      <c r="B92" s="521"/>
      <c r="C92" s="522"/>
      <c r="D92" s="45"/>
      <c r="E92" s="45"/>
      <c r="F92" s="68">
        <v>0.63700000000000001</v>
      </c>
      <c r="G92" s="68">
        <v>0.63500000000000001</v>
      </c>
      <c r="H92" s="68">
        <v>0.71499999999999997</v>
      </c>
      <c r="I92" s="68">
        <v>0.69099999999999995</v>
      </c>
      <c r="J92" s="68">
        <v>0.58099999999999996</v>
      </c>
      <c r="K92" s="68">
        <v>0.622</v>
      </c>
      <c r="L92" s="68">
        <v>0.61499999999999999</v>
      </c>
      <c r="M92" s="68">
        <v>0.85099999999999998</v>
      </c>
      <c r="N92" s="68">
        <v>0.72799999999999998</v>
      </c>
      <c r="O92" s="68">
        <v>0.85</v>
      </c>
      <c r="P92" s="68">
        <v>0.76800000000000002</v>
      </c>
      <c r="Q92" s="68">
        <v>0.78</v>
      </c>
      <c r="R92" s="68">
        <v>0.76400000000000001</v>
      </c>
      <c r="S92" s="68">
        <v>0.69199999999999995</v>
      </c>
      <c r="T92" s="68">
        <v>0.8</v>
      </c>
      <c r="U92" s="68">
        <v>0.81200000000000006</v>
      </c>
      <c r="V92" s="68">
        <v>0.69899999999999995</v>
      </c>
      <c r="W92" s="68">
        <v>0.81200000000000006</v>
      </c>
      <c r="X92" s="68">
        <v>0.64600000000000002</v>
      </c>
      <c r="Y92" s="68">
        <v>0.75</v>
      </c>
      <c r="Z92" s="68">
        <v>1.0229999999999999</v>
      </c>
      <c r="AA92" s="68">
        <v>1.0009999999999999</v>
      </c>
      <c r="AB92" s="68">
        <v>0.998</v>
      </c>
      <c r="AC92" s="68">
        <v>0.753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07" t="s">
        <v>29</v>
      </c>
      <c r="B93" s="508"/>
      <c r="C93" s="509"/>
      <c r="D93" s="45"/>
      <c r="E93" s="45"/>
      <c r="F93" s="65">
        <f t="shared" ref="F93:AC93" si="32">F31</f>
        <v>3.5</v>
      </c>
      <c r="G93" s="65">
        <f t="shared" si="32"/>
        <v>4.0999999999999996</v>
      </c>
      <c r="H93" s="65">
        <f t="shared" si="32"/>
        <v>4.3</v>
      </c>
      <c r="I93" s="65">
        <f t="shared" si="32"/>
        <v>4.4000000000000004</v>
      </c>
      <c r="J93" s="65">
        <f t="shared" si="32"/>
        <v>4</v>
      </c>
      <c r="K93" s="65">
        <f t="shared" si="32"/>
        <v>3.9</v>
      </c>
      <c r="L93" s="65">
        <f t="shared" si="32"/>
        <v>3.7</v>
      </c>
      <c r="M93" s="65">
        <f t="shared" si="32"/>
        <v>3.5</v>
      </c>
      <c r="N93" s="65">
        <f t="shared" si="32"/>
        <v>3.8</v>
      </c>
      <c r="O93" s="65">
        <f t="shared" si="32"/>
        <v>4</v>
      </c>
      <c r="P93" s="65">
        <f t="shared" si="32"/>
        <v>4.0999999999999996</v>
      </c>
      <c r="Q93" s="65">
        <f t="shared" si="32"/>
        <v>4.2</v>
      </c>
      <c r="R93" s="65">
        <f t="shared" si="32"/>
        <v>4</v>
      </c>
      <c r="S93" s="65">
        <f t="shared" si="32"/>
        <v>3</v>
      </c>
      <c r="T93" s="65">
        <f>T31</f>
        <v>3.6</v>
      </c>
      <c r="U93" s="65">
        <f t="shared" si="32"/>
        <v>4.0999999999999996</v>
      </c>
      <c r="V93" s="65">
        <f t="shared" si="32"/>
        <v>3.9</v>
      </c>
      <c r="W93" s="65">
        <f t="shared" si="32"/>
        <v>3.5</v>
      </c>
      <c r="X93" s="65">
        <f t="shared" si="32"/>
        <v>3</v>
      </c>
      <c r="Y93" s="65">
        <f t="shared" si="32"/>
        <v>4.0999999999999996</v>
      </c>
      <c r="Z93" s="65">
        <f t="shared" si="32"/>
        <v>4</v>
      </c>
      <c r="AA93" s="65">
        <f t="shared" si="32"/>
        <v>3.9</v>
      </c>
      <c r="AB93" s="65">
        <f t="shared" si="32"/>
        <v>3.6</v>
      </c>
      <c r="AC93" s="65">
        <f t="shared" si="32"/>
        <v>3.8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21" t="s">
        <v>80</v>
      </c>
      <c r="B94" s="521"/>
      <c r="C94" s="522"/>
      <c r="D94" s="45"/>
      <c r="E94" s="45"/>
      <c r="F94" s="68">
        <v>0.158</v>
      </c>
      <c r="G94" s="68">
        <v>0.17</v>
      </c>
      <c r="H94" s="68">
        <v>0.16600000000000001</v>
      </c>
      <c r="I94" s="68">
        <v>0.17499999999999999</v>
      </c>
      <c r="J94" s="68">
        <v>0.17599999999999999</v>
      </c>
      <c r="K94" s="68">
        <v>0.17599999999999999</v>
      </c>
      <c r="L94" s="68">
        <v>0.20599999999999999</v>
      </c>
      <c r="M94" s="68">
        <v>0.189</v>
      </c>
      <c r="N94" s="68">
        <v>0.19</v>
      </c>
      <c r="O94" s="68">
        <v>0.21</v>
      </c>
      <c r="P94" s="68">
        <v>0.23699999999999999</v>
      </c>
      <c r="Q94" s="68">
        <v>0.219</v>
      </c>
      <c r="R94" s="68">
        <v>0.216</v>
      </c>
      <c r="S94" s="68">
        <v>0.224</v>
      </c>
      <c r="T94" s="68">
        <v>0.19800000000000001</v>
      </c>
      <c r="U94" s="68">
        <v>0.20200000000000001</v>
      </c>
      <c r="V94" s="68">
        <v>0.222</v>
      </c>
      <c r="W94" s="68">
        <v>0.20300000000000001</v>
      </c>
      <c r="X94" s="68">
        <v>0.23100000000000001</v>
      </c>
      <c r="Y94" s="68">
        <v>0.21199999999999999</v>
      </c>
      <c r="Z94" s="68">
        <v>0.17199999999999999</v>
      </c>
      <c r="AA94" s="68">
        <v>0.17699999999999999</v>
      </c>
      <c r="AB94" s="68">
        <v>0.19700000000000001</v>
      </c>
      <c r="AC94" s="68">
        <v>0.16700000000000001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07" t="s">
        <v>32</v>
      </c>
      <c r="B95" s="508"/>
      <c r="C95" s="509"/>
      <c r="D95" s="45"/>
      <c r="E95" s="45"/>
      <c r="F95" s="65">
        <f t="shared" ref="F95:AC95" si="33">F34</f>
        <v>13.3</v>
      </c>
      <c r="G95" s="65">
        <f t="shared" si="33"/>
        <v>14.29</v>
      </c>
      <c r="H95" s="65">
        <f t="shared" si="33"/>
        <v>14.29</v>
      </c>
      <c r="I95" s="65">
        <f t="shared" si="33"/>
        <v>14.3</v>
      </c>
      <c r="J95" s="65">
        <f t="shared" si="33"/>
        <v>14.28</v>
      </c>
      <c r="K95" s="65">
        <f t="shared" si="33"/>
        <v>14.3</v>
      </c>
      <c r="L95" s="65">
        <f t="shared" si="33"/>
        <v>14.27</v>
      </c>
      <c r="M95" s="65">
        <f t="shared" si="33"/>
        <v>13.29</v>
      </c>
      <c r="N95" s="65">
        <f t="shared" si="33"/>
        <v>14.28</v>
      </c>
      <c r="O95" s="65">
        <f t="shared" si="33"/>
        <v>14.28</v>
      </c>
      <c r="P95" s="65">
        <f t="shared" si="33"/>
        <v>14.3</v>
      </c>
      <c r="Q95" s="65">
        <f t="shared" si="33"/>
        <v>14.29</v>
      </c>
      <c r="R95" s="65">
        <f t="shared" si="33"/>
        <v>14.27</v>
      </c>
      <c r="S95" s="65">
        <f t="shared" si="33"/>
        <v>12.78</v>
      </c>
      <c r="T95" s="65">
        <f t="shared" si="33"/>
        <v>14.27</v>
      </c>
      <c r="U95" s="65">
        <f t="shared" si="33"/>
        <v>14.3</v>
      </c>
      <c r="V95" s="65">
        <f t="shared" si="33"/>
        <v>13.28</v>
      </c>
      <c r="W95" s="65">
        <f t="shared" si="33"/>
        <v>13.29</v>
      </c>
      <c r="X95" s="65">
        <f t="shared" si="33"/>
        <v>12.77</v>
      </c>
      <c r="Y95" s="65">
        <f t="shared" si="33"/>
        <v>14.28</v>
      </c>
      <c r="Z95" s="65">
        <f t="shared" si="33"/>
        <v>14.27</v>
      </c>
      <c r="AA95" s="65">
        <f t="shared" si="33"/>
        <v>14.29</v>
      </c>
      <c r="AB95" s="65">
        <f t="shared" si="33"/>
        <v>13.28</v>
      </c>
      <c r="AC95" s="65">
        <f t="shared" si="33"/>
        <v>14.31</v>
      </c>
      <c r="AG95" s="5"/>
      <c r="AH95" s="5"/>
      <c r="AI95" s="5"/>
      <c r="AJ95" s="5"/>
      <c r="AK95" s="5"/>
      <c r="AL95" s="5"/>
      <c r="AM95" s="5"/>
      <c r="AN95" s="5"/>
    </row>
    <row r="96" spans="1:40" s="67" customFormat="1" ht="17.45">
      <c r="A96" s="521" t="s">
        <v>81</v>
      </c>
      <c r="B96" s="521"/>
      <c r="C96" s="522"/>
      <c r="D96" s="68"/>
      <c r="E96" s="68"/>
      <c r="F96" s="68">
        <v>0.7</v>
      </c>
      <c r="G96" s="68">
        <v>0.71</v>
      </c>
      <c r="H96" s="68">
        <v>0.71</v>
      </c>
      <c r="I96" s="68">
        <v>0.7</v>
      </c>
      <c r="J96" s="68">
        <v>0.72</v>
      </c>
      <c r="K96" s="68">
        <v>0.7</v>
      </c>
      <c r="L96" s="68">
        <v>0.73</v>
      </c>
      <c r="M96" s="68">
        <v>0.71</v>
      </c>
      <c r="N96" s="68">
        <v>0.72</v>
      </c>
      <c r="O96" s="68">
        <v>0.72</v>
      </c>
      <c r="P96" s="68">
        <v>0.7</v>
      </c>
      <c r="Q96" s="68">
        <v>0.71</v>
      </c>
      <c r="R96" s="68">
        <v>0.73</v>
      </c>
      <c r="S96" s="68">
        <v>0.72</v>
      </c>
      <c r="T96" s="68">
        <v>0.73</v>
      </c>
      <c r="U96" s="68">
        <v>0.7</v>
      </c>
      <c r="V96" s="68">
        <v>0.72</v>
      </c>
      <c r="W96" s="68">
        <v>0.71</v>
      </c>
      <c r="X96" s="68">
        <v>0.73</v>
      </c>
      <c r="Y96" s="68">
        <v>0.72</v>
      </c>
      <c r="Z96" s="68">
        <v>0.73</v>
      </c>
      <c r="AA96" s="68">
        <v>0.71</v>
      </c>
      <c r="AB96" s="68">
        <v>0.72</v>
      </c>
      <c r="AC96" s="68">
        <v>0.69</v>
      </c>
      <c r="AD96" s="69"/>
      <c r="AE96" s="69"/>
      <c r="AF96" s="69"/>
      <c r="AG96" s="69"/>
      <c r="AH96" s="69"/>
      <c r="AI96" s="69"/>
      <c r="AJ96" s="69"/>
      <c r="AK96" s="69"/>
    </row>
    <row r="97" spans="1:124" ht="17.45">
      <c r="A97" s="507" t="s">
        <v>33</v>
      </c>
      <c r="B97" s="508"/>
      <c r="C97" s="509"/>
      <c r="D97" s="45"/>
      <c r="E97" s="45"/>
      <c r="F97" s="64">
        <f t="shared" ref="F97:AC97" si="34">F60</f>
        <v>2.600000000000001</v>
      </c>
      <c r="G97" s="64">
        <f t="shared" si="34"/>
        <v>2.52</v>
      </c>
      <c r="H97" s="64">
        <f t="shared" si="34"/>
        <v>2.8</v>
      </c>
      <c r="I97" s="64">
        <f t="shared" si="34"/>
        <v>1.33</v>
      </c>
      <c r="J97" s="64">
        <f t="shared" si="34"/>
        <v>0.7</v>
      </c>
      <c r="K97" s="64">
        <f t="shared" si="34"/>
        <v>1.34</v>
      </c>
      <c r="L97" s="64">
        <f t="shared" si="34"/>
        <v>2.12</v>
      </c>
      <c r="M97" s="64">
        <f t="shared" si="34"/>
        <v>0</v>
      </c>
      <c r="N97" s="64">
        <f t="shared" si="34"/>
        <v>0</v>
      </c>
      <c r="O97" s="64">
        <f t="shared" si="34"/>
        <v>3.3999999999999995</v>
      </c>
      <c r="P97" s="64">
        <f t="shared" si="34"/>
        <v>0</v>
      </c>
      <c r="Q97" s="64">
        <f t="shared" si="34"/>
        <v>1.4</v>
      </c>
      <c r="R97" s="64">
        <f t="shared" si="34"/>
        <v>1.4</v>
      </c>
      <c r="S97" s="64">
        <f t="shared" si="34"/>
        <v>0</v>
      </c>
      <c r="T97" s="64">
        <f t="shared" si="34"/>
        <v>0</v>
      </c>
      <c r="U97" s="64">
        <f t="shared" si="34"/>
        <v>0</v>
      </c>
      <c r="V97" s="64">
        <f t="shared" si="34"/>
        <v>0</v>
      </c>
      <c r="W97" s="64">
        <f t="shared" si="34"/>
        <v>0</v>
      </c>
      <c r="X97" s="64">
        <f t="shared" si="34"/>
        <v>0</v>
      </c>
      <c r="Y97" s="64">
        <f t="shared" si="34"/>
        <v>0.7</v>
      </c>
      <c r="Z97" s="64">
        <f t="shared" si="34"/>
        <v>0</v>
      </c>
      <c r="AA97" s="64">
        <f t="shared" si="34"/>
        <v>2.0999999999999996</v>
      </c>
      <c r="AB97" s="64">
        <f t="shared" si="34"/>
        <v>0</v>
      </c>
      <c r="AC97" s="64">
        <f t="shared" si="34"/>
        <v>0.64</v>
      </c>
      <c r="AG97" s="5"/>
      <c r="AH97" s="5"/>
      <c r="AI97" s="5"/>
      <c r="AJ97" s="5"/>
      <c r="AK97" s="5"/>
      <c r="AL97" s="5"/>
      <c r="AM97" s="5"/>
      <c r="AN97" s="5"/>
    </row>
    <row r="98" spans="1:124" ht="17.45">
      <c r="A98" s="507" t="s">
        <v>55</v>
      </c>
      <c r="B98" s="508"/>
      <c r="C98" s="509"/>
      <c r="D98" s="45"/>
      <c r="E98" s="45"/>
      <c r="F98" s="64">
        <f t="shared" ref="F98:AC98" si="35">F65</f>
        <v>0.87</v>
      </c>
      <c r="G98" s="64">
        <f t="shared" si="35"/>
        <v>0.84</v>
      </c>
      <c r="H98" s="64">
        <f t="shared" si="35"/>
        <v>0.82</v>
      </c>
      <c r="I98" s="64">
        <f t="shared" si="35"/>
        <v>0.8</v>
      </c>
      <c r="J98" s="64">
        <f t="shared" si="35"/>
        <v>0.79</v>
      </c>
      <c r="K98" s="64">
        <f t="shared" si="35"/>
        <v>0.79</v>
      </c>
      <c r="L98" s="64">
        <f t="shared" si="35"/>
        <v>0.88</v>
      </c>
      <c r="M98" s="64">
        <f t="shared" si="35"/>
        <v>0.97</v>
      </c>
      <c r="N98" s="64">
        <f t="shared" si="35"/>
        <v>1</v>
      </c>
      <c r="O98" s="64">
        <f t="shared" si="35"/>
        <v>1.17</v>
      </c>
      <c r="P98" s="64">
        <f t="shared" si="35"/>
        <v>1.17</v>
      </c>
      <c r="Q98" s="64">
        <f t="shared" si="35"/>
        <v>1.25</v>
      </c>
      <c r="R98" s="64">
        <f t="shared" si="35"/>
        <v>0.97</v>
      </c>
      <c r="S98" s="64">
        <f t="shared" si="35"/>
        <v>1.2</v>
      </c>
      <c r="T98" s="64">
        <f t="shared" si="35"/>
        <v>1.25</v>
      </c>
      <c r="U98" s="64">
        <f t="shared" si="35"/>
        <v>1.2549999999999999</v>
      </c>
      <c r="V98" s="64">
        <f t="shared" si="35"/>
        <v>1.27</v>
      </c>
      <c r="W98" s="64">
        <f t="shared" si="35"/>
        <v>1.26</v>
      </c>
      <c r="X98" s="64">
        <f t="shared" si="35"/>
        <v>1.24</v>
      </c>
      <c r="Y98" s="64">
        <f t="shared" si="35"/>
        <v>1.6</v>
      </c>
      <c r="Z98" s="64">
        <f t="shared" si="35"/>
        <v>1.63</v>
      </c>
      <c r="AA98" s="64">
        <f t="shared" si="35"/>
        <v>1.47</v>
      </c>
      <c r="AB98" s="64">
        <f t="shared" si="35"/>
        <v>1.28</v>
      </c>
      <c r="AC98" s="64">
        <f t="shared" si="35"/>
        <v>1.1399999999999999</v>
      </c>
      <c r="AG98" s="5"/>
      <c r="AH98" s="5"/>
      <c r="AI98" s="5"/>
      <c r="AJ98" s="5"/>
      <c r="AK98" s="5"/>
      <c r="AL98" s="5"/>
      <c r="AM98" s="5"/>
      <c r="AN98" s="5"/>
    </row>
    <row r="99" spans="1:124" s="2" customFormat="1" ht="17.45">
      <c r="A99" s="507" t="s">
        <v>59</v>
      </c>
      <c r="B99" s="508"/>
      <c r="C99" s="509"/>
      <c r="D99" s="45"/>
      <c r="E99" s="45"/>
      <c r="F99" s="64">
        <f t="shared" ref="F99:AC99" si="36">F76</f>
        <v>0</v>
      </c>
      <c r="G99" s="64">
        <f t="shared" si="36"/>
        <v>0</v>
      </c>
      <c r="H99" s="64">
        <f t="shared" si="36"/>
        <v>0</v>
      </c>
      <c r="I99" s="64">
        <f t="shared" si="36"/>
        <v>0</v>
      </c>
      <c r="J99" s="64">
        <f t="shared" si="36"/>
        <v>0</v>
      </c>
      <c r="K99" s="64">
        <f t="shared" si="36"/>
        <v>0</v>
      </c>
      <c r="L99" s="64">
        <f t="shared" si="36"/>
        <v>0</v>
      </c>
      <c r="M99" s="64">
        <f t="shared" si="36"/>
        <v>0</v>
      </c>
      <c r="N99" s="64">
        <f t="shared" si="36"/>
        <v>0</v>
      </c>
      <c r="O99" s="64">
        <f t="shared" si="36"/>
        <v>0</v>
      </c>
      <c r="P99" s="64">
        <f t="shared" si="36"/>
        <v>0</v>
      </c>
      <c r="Q99" s="64">
        <f t="shared" si="36"/>
        <v>0</v>
      </c>
      <c r="R99" s="64">
        <f t="shared" si="36"/>
        <v>0</v>
      </c>
      <c r="S99" s="64">
        <f t="shared" si="36"/>
        <v>0</v>
      </c>
      <c r="T99" s="64">
        <f t="shared" si="36"/>
        <v>0</v>
      </c>
      <c r="U99" s="64">
        <f t="shared" si="36"/>
        <v>0</v>
      </c>
      <c r="V99" s="64">
        <f t="shared" si="36"/>
        <v>0</v>
      </c>
      <c r="W99" s="64">
        <f t="shared" si="36"/>
        <v>0</v>
      </c>
      <c r="X99" s="64">
        <f t="shared" si="36"/>
        <v>0</v>
      </c>
      <c r="Y99" s="64">
        <f t="shared" si="36"/>
        <v>0</v>
      </c>
      <c r="Z99" s="64">
        <f t="shared" si="36"/>
        <v>0</v>
      </c>
      <c r="AA99" s="64">
        <f t="shared" si="36"/>
        <v>0</v>
      </c>
      <c r="AB99" s="64">
        <f t="shared" si="36"/>
        <v>0</v>
      </c>
      <c r="AC99" s="64">
        <f t="shared" si="36"/>
        <v>0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>
      <c r="A100" s="507" t="s">
        <v>69</v>
      </c>
      <c r="B100" s="508"/>
      <c r="C100" s="509"/>
      <c r="D100" s="45"/>
      <c r="E100" s="45"/>
      <c r="F100" s="64">
        <f t="shared" ref="F100:AC100" si="37">F80</f>
        <v>0.81</v>
      </c>
      <c r="G100" s="64">
        <f t="shared" si="37"/>
        <v>0.77</v>
      </c>
      <c r="H100" s="64">
        <f t="shared" si="37"/>
        <v>0.77</v>
      </c>
      <c r="I100" s="64">
        <f t="shared" si="37"/>
        <v>0.73</v>
      </c>
      <c r="J100" s="64">
        <f t="shared" si="37"/>
        <v>0.71</v>
      </c>
      <c r="K100" s="64">
        <f t="shared" si="37"/>
        <v>0.72</v>
      </c>
      <c r="L100" s="64">
        <f t="shared" si="37"/>
        <v>0.73</v>
      </c>
      <c r="M100" s="64">
        <f t="shared" si="37"/>
        <v>0.71</v>
      </c>
      <c r="N100" s="64">
        <f t="shared" si="37"/>
        <v>0.77</v>
      </c>
      <c r="O100" s="64">
        <f t="shared" si="37"/>
        <v>0.82</v>
      </c>
      <c r="P100" s="64">
        <f t="shared" si="37"/>
        <v>0.84</v>
      </c>
      <c r="Q100" s="64">
        <f t="shared" si="37"/>
        <v>0.87</v>
      </c>
      <c r="R100" s="64">
        <f t="shared" si="37"/>
        <v>0.87</v>
      </c>
      <c r="S100" s="64">
        <f t="shared" si="37"/>
        <v>0.9</v>
      </c>
      <c r="T100" s="64">
        <f t="shared" si="37"/>
        <v>0.9</v>
      </c>
      <c r="U100" s="64">
        <f t="shared" si="37"/>
        <v>0.91</v>
      </c>
      <c r="V100" s="64">
        <f t="shared" si="37"/>
        <v>0.92</v>
      </c>
      <c r="W100" s="64">
        <f t="shared" si="37"/>
        <v>0.9</v>
      </c>
      <c r="X100" s="64">
        <f t="shared" si="37"/>
        <v>0.91</v>
      </c>
      <c r="Y100" s="64">
        <f t="shared" si="37"/>
        <v>1.03</v>
      </c>
      <c r="Z100" s="64">
        <f t="shared" si="37"/>
        <v>1.07</v>
      </c>
      <c r="AA100" s="64">
        <f t="shared" si="37"/>
        <v>1.05</v>
      </c>
      <c r="AB100" s="64">
        <f t="shared" si="37"/>
        <v>0.99</v>
      </c>
      <c r="AC100" s="64">
        <f t="shared" si="37"/>
        <v>0.9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 customHeight="1">
      <c r="A101" s="507" t="s">
        <v>72</v>
      </c>
      <c r="B101" s="508"/>
      <c r="C101" s="509"/>
      <c r="D101" s="45"/>
      <c r="E101" s="45"/>
      <c r="F101" s="64">
        <f t="shared" ref="F101:AC101" si="38">F82</f>
        <v>0</v>
      </c>
      <c r="G101" s="64">
        <f t="shared" si="38"/>
        <v>0</v>
      </c>
      <c r="H101" s="64">
        <f t="shared" si="38"/>
        <v>0</v>
      </c>
      <c r="I101" s="64">
        <f t="shared" si="38"/>
        <v>0</v>
      </c>
      <c r="J101" s="64">
        <f t="shared" si="38"/>
        <v>0</v>
      </c>
      <c r="K101" s="64">
        <f t="shared" si="38"/>
        <v>0</v>
      </c>
      <c r="L101" s="64">
        <f t="shared" si="38"/>
        <v>0</v>
      </c>
      <c r="M101" s="64">
        <f t="shared" si="38"/>
        <v>0</v>
      </c>
      <c r="N101" s="64">
        <f t="shared" si="38"/>
        <v>0</v>
      </c>
      <c r="O101" s="64">
        <f t="shared" si="38"/>
        <v>0</v>
      </c>
      <c r="P101" s="64">
        <f t="shared" si="38"/>
        <v>0</v>
      </c>
      <c r="Q101" s="64">
        <f t="shared" si="38"/>
        <v>0</v>
      </c>
      <c r="R101" s="64">
        <f t="shared" si="38"/>
        <v>0</v>
      </c>
      <c r="S101" s="64">
        <f t="shared" si="38"/>
        <v>0</v>
      </c>
      <c r="T101" s="64">
        <f t="shared" si="38"/>
        <v>0</v>
      </c>
      <c r="U101" s="64">
        <f t="shared" si="38"/>
        <v>0</v>
      </c>
      <c r="V101" s="64">
        <f t="shared" si="38"/>
        <v>0</v>
      </c>
      <c r="W101" s="64">
        <f t="shared" si="38"/>
        <v>0</v>
      </c>
      <c r="X101" s="64">
        <f t="shared" si="38"/>
        <v>0</v>
      </c>
      <c r="Y101" s="64">
        <f t="shared" si="38"/>
        <v>0</v>
      </c>
      <c r="Z101" s="64">
        <f t="shared" si="38"/>
        <v>0</v>
      </c>
      <c r="AA101" s="64">
        <f t="shared" si="38"/>
        <v>0</v>
      </c>
      <c r="AB101" s="64">
        <f t="shared" si="38"/>
        <v>0</v>
      </c>
      <c r="AC101" s="64">
        <f t="shared" si="38"/>
        <v>0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>
      <c r="A102" s="511" t="s">
        <v>82</v>
      </c>
      <c r="B102" s="511"/>
      <c r="C102" s="511"/>
      <c r="D102" s="47"/>
      <c r="E102" s="47"/>
      <c r="F102" s="61">
        <f t="shared" ref="F102:AC102" si="39">SUM(F89,F91,F93,F95,F97:F101,F81)</f>
        <v>40.78</v>
      </c>
      <c r="G102" s="61">
        <f t="shared" si="39"/>
        <v>38.120000000000005</v>
      </c>
      <c r="H102" s="61">
        <f t="shared" si="39"/>
        <v>36.58</v>
      </c>
      <c r="I102" s="61">
        <f t="shared" si="39"/>
        <v>34.959999999999994</v>
      </c>
      <c r="J102" s="61">
        <f t="shared" si="39"/>
        <v>33.880000000000003</v>
      </c>
      <c r="K102" s="61">
        <f>SUM(K89,K91,K93,K95,K97:K101,K81)</f>
        <v>34.450000000000003</v>
      </c>
      <c r="L102" s="61">
        <f t="shared" si="39"/>
        <v>34.6</v>
      </c>
      <c r="M102" s="61">
        <f t="shared" si="39"/>
        <v>33.57</v>
      </c>
      <c r="N102" s="61">
        <f t="shared" si="39"/>
        <v>39.550000000000004</v>
      </c>
      <c r="O102" s="61">
        <f t="shared" si="39"/>
        <v>45.67</v>
      </c>
      <c r="P102" s="61">
        <f t="shared" si="39"/>
        <v>51.410000000000011</v>
      </c>
      <c r="Q102" s="61">
        <f t="shared" si="39"/>
        <v>52.51</v>
      </c>
      <c r="R102" s="61">
        <f t="shared" si="39"/>
        <v>52.009999999999991</v>
      </c>
      <c r="S102" s="61">
        <f t="shared" si="39"/>
        <v>44.78</v>
      </c>
      <c r="T102" s="61">
        <f>SUM(T89,T91,T93,T95,T97:T101,T81)</f>
        <v>50.419999999999995</v>
      </c>
      <c r="U102" s="61">
        <f t="shared" si="39"/>
        <v>55.065000000000005</v>
      </c>
      <c r="V102" s="61">
        <f t="shared" si="39"/>
        <v>53.570000000000007</v>
      </c>
      <c r="W102" s="61">
        <f t="shared" si="39"/>
        <v>51.849999999999994</v>
      </c>
      <c r="X102" s="61">
        <f>SUM(X89,X91,X93,X95,X97:X101,X81)</f>
        <v>51.62</v>
      </c>
      <c r="Y102" s="61">
        <f t="shared" si="39"/>
        <v>58.31</v>
      </c>
      <c r="Z102" s="61">
        <f t="shared" si="39"/>
        <v>56.570000000000007</v>
      </c>
      <c r="AA102" s="61">
        <f t="shared" si="39"/>
        <v>53.809999999999995</v>
      </c>
      <c r="AB102" s="61">
        <f t="shared" si="39"/>
        <v>51.150000000000006</v>
      </c>
      <c r="AC102" s="61">
        <f t="shared" si="39"/>
        <v>46.69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12" t="s">
        <v>83</v>
      </c>
      <c r="B103" s="512"/>
      <c r="C103" s="512"/>
      <c r="D103" s="46"/>
      <c r="E103" s="46"/>
      <c r="F103" s="76"/>
      <c r="G103" s="76"/>
      <c r="H103" s="76"/>
      <c r="I103" s="76"/>
      <c r="J103" s="76"/>
      <c r="K103" s="76"/>
      <c r="L103" s="76"/>
      <c r="M103" s="76"/>
      <c r="N103" s="76"/>
      <c r="O103" s="76"/>
      <c r="P103" s="76"/>
      <c r="Q103" s="76"/>
      <c r="R103" s="76"/>
      <c r="S103" s="76"/>
      <c r="T103" s="76"/>
      <c r="U103" s="76"/>
      <c r="V103" s="76"/>
      <c r="W103" s="76"/>
      <c r="X103" s="76"/>
      <c r="Y103" s="76"/>
      <c r="Z103" s="76"/>
      <c r="AA103" s="76"/>
      <c r="AB103" s="76"/>
      <c r="AC103" s="76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12" t="s">
        <v>84</v>
      </c>
      <c r="B104" s="512"/>
      <c r="C104" s="512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12" t="s">
        <v>85</v>
      </c>
      <c r="B105" s="512"/>
      <c r="C105" s="512"/>
      <c r="D105" s="46"/>
      <c r="E105" s="46"/>
      <c r="F105" s="76"/>
      <c r="G105" s="76"/>
      <c r="H105" s="76"/>
      <c r="I105" s="76"/>
      <c r="J105" s="76"/>
      <c r="K105" s="76"/>
      <c r="L105" s="76">
        <v>1.37</v>
      </c>
      <c r="M105" s="76">
        <v>1.37</v>
      </c>
      <c r="N105" s="76"/>
      <c r="O105" s="76"/>
      <c r="P105" s="76"/>
      <c r="Q105" s="76"/>
      <c r="R105" s="76"/>
      <c r="S105" s="76">
        <v>6.32</v>
      </c>
      <c r="T105" s="76">
        <f>6.32-1.21</f>
        <v>5.1100000000000003</v>
      </c>
      <c r="U105" s="76"/>
      <c r="V105" s="76"/>
      <c r="W105" s="76"/>
      <c r="X105" s="76">
        <v>1.46</v>
      </c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11" t="s">
        <v>86</v>
      </c>
      <c r="B106" s="511"/>
      <c r="C106" s="511"/>
      <c r="D106" s="47"/>
      <c r="E106" s="47"/>
      <c r="F106" s="61">
        <f t="shared" ref="F106:AC106" si="40">SUM(F103:F105)</f>
        <v>0</v>
      </c>
      <c r="G106" s="61">
        <f t="shared" si="40"/>
        <v>0</v>
      </c>
      <c r="H106" s="61">
        <f t="shared" si="40"/>
        <v>0</v>
      </c>
      <c r="I106" s="61">
        <f t="shared" si="40"/>
        <v>0</v>
      </c>
      <c r="J106" s="61">
        <f t="shared" si="40"/>
        <v>0</v>
      </c>
      <c r="K106" s="61">
        <f t="shared" si="40"/>
        <v>0</v>
      </c>
      <c r="L106" s="61">
        <f t="shared" si="40"/>
        <v>1.37</v>
      </c>
      <c r="M106" s="61">
        <f t="shared" si="40"/>
        <v>1.37</v>
      </c>
      <c r="N106" s="61">
        <f t="shared" si="40"/>
        <v>0</v>
      </c>
      <c r="O106" s="61">
        <f t="shared" si="40"/>
        <v>0</v>
      </c>
      <c r="P106" s="61">
        <f t="shared" si="40"/>
        <v>0</v>
      </c>
      <c r="Q106" s="61">
        <f t="shared" si="40"/>
        <v>0</v>
      </c>
      <c r="R106" s="61">
        <f t="shared" si="40"/>
        <v>0</v>
      </c>
      <c r="S106" s="61">
        <f t="shared" si="40"/>
        <v>6.32</v>
      </c>
      <c r="T106" s="61">
        <f t="shared" si="40"/>
        <v>5.1100000000000003</v>
      </c>
      <c r="U106" s="61">
        <f t="shared" si="40"/>
        <v>0</v>
      </c>
      <c r="V106" s="61">
        <f t="shared" si="40"/>
        <v>0</v>
      </c>
      <c r="W106" s="61">
        <f t="shared" si="40"/>
        <v>0</v>
      </c>
      <c r="X106" s="61">
        <f t="shared" si="40"/>
        <v>1.46</v>
      </c>
      <c r="Y106" s="61">
        <f t="shared" si="40"/>
        <v>0</v>
      </c>
      <c r="Z106" s="61">
        <f t="shared" si="40"/>
        <v>0</v>
      </c>
      <c r="AA106" s="61">
        <f t="shared" si="40"/>
        <v>0</v>
      </c>
      <c r="AB106" s="61">
        <f t="shared" si="40"/>
        <v>0</v>
      </c>
      <c r="AC106" s="61">
        <f t="shared" si="40"/>
        <v>0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13" t="s">
        <v>87</v>
      </c>
      <c r="B107" s="513"/>
      <c r="C107" s="513"/>
      <c r="D107" s="48"/>
      <c r="E107" s="48"/>
      <c r="F107" s="62">
        <f t="shared" ref="F107:AC107" si="41">F102+F106</f>
        <v>40.78</v>
      </c>
      <c r="G107" s="62">
        <f t="shared" si="41"/>
        <v>38.120000000000005</v>
      </c>
      <c r="H107" s="62">
        <f t="shared" si="41"/>
        <v>36.58</v>
      </c>
      <c r="I107" s="62">
        <f t="shared" si="41"/>
        <v>34.959999999999994</v>
      </c>
      <c r="J107" s="62">
        <f t="shared" si="41"/>
        <v>33.880000000000003</v>
      </c>
      <c r="K107" s="62">
        <f t="shared" si="41"/>
        <v>34.450000000000003</v>
      </c>
      <c r="L107" s="62">
        <f t="shared" si="41"/>
        <v>35.97</v>
      </c>
      <c r="M107" s="62">
        <f t="shared" si="41"/>
        <v>34.94</v>
      </c>
      <c r="N107" s="62">
        <f t="shared" si="41"/>
        <v>39.550000000000004</v>
      </c>
      <c r="O107" s="62">
        <f t="shared" si="41"/>
        <v>45.67</v>
      </c>
      <c r="P107" s="62">
        <f t="shared" si="41"/>
        <v>51.410000000000011</v>
      </c>
      <c r="Q107" s="62">
        <f t="shared" si="41"/>
        <v>52.51</v>
      </c>
      <c r="R107" s="62">
        <f t="shared" si="41"/>
        <v>52.009999999999991</v>
      </c>
      <c r="S107" s="62">
        <f t="shared" si="41"/>
        <v>51.1</v>
      </c>
      <c r="T107" s="62">
        <f t="shared" si="41"/>
        <v>55.529999999999994</v>
      </c>
      <c r="U107" s="62">
        <f t="shared" si="41"/>
        <v>55.065000000000005</v>
      </c>
      <c r="V107" s="62">
        <f t="shared" si="41"/>
        <v>53.570000000000007</v>
      </c>
      <c r="W107" s="62">
        <f>W102+W106</f>
        <v>51.849999999999994</v>
      </c>
      <c r="X107" s="62">
        <f t="shared" si="41"/>
        <v>53.08</v>
      </c>
      <c r="Y107" s="62">
        <f t="shared" si="41"/>
        <v>58.31</v>
      </c>
      <c r="Z107" s="62">
        <f t="shared" si="41"/>
        <v>56.570000000000007</v>
      </c>
      <c r="AA107" s="62">
        <f t="shared" si="41"/>
        <v>53.809999999999995</v>
      </c>
      <c r="AB107" s="62">
        <f t="shared" si="41"/>
        <v>51.150000000000006</v>
      </c>
      <c r="AC107" s="62">
        <f t="shared" si="41"/>
        <v>46.69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1" hidden="1">
      <c r="A108" s="514" t="s">
        <v>88</v>
      </c>
      <c r="B108" s="514"/>
      <c r="C108" s="514"/>
      <c r="D108" s="52"/>
      <c r="E108" s="52"/>
      <c r="F108" s="63">
        <f t="shared" ref="F108:AC108" si="42">(COUNT(F13:F16))*7.2+(COUNT(F27:F28)*4.9)+(COUNT(F19:F21)*4.5)-F91-F93</f>
        <v>3.3000000000000007</v>
      </c>
      <c r="G108" s="63">
        <f t="shared" si="42"/>
        <v>6.8000000000000007</v>
      </c>
      <c r="H108" s="63">
        <f t="shared" si="42"/>
        <v>1.4000000000000012</v>
      </c>
      <c r="I108" s="63">
        <f t="shared" si="42"/>
        <v>1.5</v>
      </c>
      <c r="J108" s="63">
        <f t="shared" si="42"/>
        <v>1.9000000000000004</v>
      </c>
      <c r="K108" s="63">
        <f t="shared" si="42"/>
        <v>2.0000000000000004</v>
      </c>
      <c r="L108" s="63">
        <f t="shared" si="42"/>
        <v>7.7</v>
      </c>
      <c r="M108" s="63">
        <f t="shared" si="42"/>
        <v>7.2000000000000011</v>
      </c>
      <c r="N108" s="63">
        <f t="shared" si="42"/>
        <v>10.8</v>
      </c>
      <c r="O108" s="63">
        <f t="shared" si="42"/>
        <v>3</v>
      </c>
      <c r="P108" s="63">
        <f t="shared" si="42"/>
        <v>10.699999999999998</v>
      </c>
      <c r="Q108" s="63">
        <f t="shared" si="42"/>
        <v>11.2</v>
      </c>
      <c r="R108" s="63">
        <f t="shared" si="42"/>
        <v>11.399999999999999</v>
      </c>
      <c r="S108" s="63">
        <f t="shared" si="42"/>
        <v>13.600000000000001</v>
      </c>
      <c r="T108" s="63">
        <f>(COUNT(T13:T16))*7.2+(COUNT(T27:T28)*4.9)+(COUNT(T19:T21)*4.5)-T91-T93</f>
        <v>16.700000000000003</v>
      </c>
      <c r="U108" s="63">
        <f t="shared" si="42"/>
        <v>12.600000000000003</v>
      </c>
      <c r="V108" s="63">
        <f t="shared" si="42"/>
        <v>13.200000000000001</v>
      </c>
      <c r="W108" s="63">
        <f t="shared" si="42"/>
        <v>14.400000000000002</v>
      </c>
      <c r="X108" s="63">
        <f t="shared" si="42"/>
        <v>14.100000000000001</v>
      </c>
      <c r="Y108" s="63">
        <f t="shared" si="42"/>
        <v>12.200000000000005</v>
      </c>
      <c r="Z108" s="63">
        <f t="shared" si="42"/>
        <v>11.900000000000002</v>
      </c>
      <c r="AA108" s="63">
        <f t="shared" si="42"/>
        <v>9.5000000000000018</v>
      </c>
      <c r="AB108" s="63">
        <f t="shared" si="42"/>
        <v>9.0000000000000053</v>
      </c>
      <c r="AC108" s="63">
        <f t="shared" si="42"/>
        <v>7.7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>
      <c r="A109" s="515" t="s">
        <v>89</v>
      </c>
      <c r="B109" s="516"/>
      <c r="C109" s="517"/>
      <c r="D109" s="204"/>
      <c r="E109" s="204"/>
      <c r="F109" s="205">
        <f t="shared" ref="F109:P109" si="43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3.3000000000000025</v>
      </c>
      <c r="G109" s="205">
        <f t="shared" si="43"/>
        <v>6.8000000000000025</v>
      </c>
      <c r="H109" s="205">
        <f t="shared" si="43"/>
        <v>1.4000000000000012</v>
      </c>
      <c r="I109" s="205">
        <f t="shared" si="43"/>
        <v>1.5</v>
      </c>
      <c r="J109" s="205">
        <f t="shared" si="43"/>
        <v>1.9000000000000004</v>
      </c>
      <c r="K109" s="205">
        <f t="shared" si="43"/>
        <v>2.0000000000000004</v>
      </c>
      <c r="L109" s="205">
        <f t="shared" si="43"/>
        <v>7.2</v>
      </c>
      <c r="M109" s="205">
        <f t="shared" si="43"/>
        <v>5.2000000000000011</v>
      </c>
      <c r="N109" s="205">
        <f t="shared" si="43"/>
        <v>7.5000000000000044</v>
      </c>
      <c r="O109" s="205">
        <f t="shared" si="43"/>
        <v>5.0000000000000018</v>
      </c>
      <c r="P109" s="205">
        <f t="shared" si="43"/>
        <v>3.8999999999999986</v>
      </c>
      <c r="Q109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4.3000000000000007</v>
      </c>
      <c r="R109" s="205">
        <f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4.0999999999999996</v>
      </c>
      <c r="S109" s="205">
        <f t="shared" ref="S109:AC109" si="44">(AND(IF(S13&lt;&gt;0,1,0),IF(S13&lt;&gt;"CMS",1,0))*7.2)+(AND(IF(S14&lt;&gt;0,1,0),IF(S14&lt;&gt;"CMS",1,0))*7.2)+(AND(IF(S15&lt;&gt;0,1,0),IF(S15&lt;&gt;"CMS",1,0))*7.2)+(AND(IF(S16&lt;&gt;0,1,0),IF(S16&lt;&gt;"CMS",1,0))*7.2)-S17
+(AND(IF(S27&lt;&gt;0,1,0),IF(S27&lt;&gt;"CMS",1,0))*4.5)+(AND(IF(S28&lt;&gt;0,1,0),IF(S28&lt;&gt;"CMS",1,0))*4.5)-S31
+AND(IF(S24&lt;&gt;0,1,0),IF(S24&lt;&gt;"CMS",1,0))*4.5-S25
+(AND(IF(S19&lt;&gt;0,1,0),IF(S19&lt;&gt;"CMS",1,0))*3.5)+(AND(IF(S20&lt;&gt;0,1,0),IF(S20&lt;&gt;"CMS",1,0))*4.5)+(AND(IF(S21&lt;&gt;0,1,0),IF(S21&lt;&gt;"CMS",1,0))*4.5)-S22</f>
        <v>8.7000000000000028</v>
      </c>
      <c r="T109" s="205">
        <f t="shared" si="44"/>
        <v>11.800000000000004</v>
      </c>
      <c r="U109" s="205">
        <f t="shared" si="44"/>
        <v>7.2000000000000011</v>
      </c>
      <c r="V109" s="205">
        <f t="shared" si="44"/>
        <v>7.6999999999999993</v>
      </c>
      <c r="W109" s="205">
        <f>(AND(IF(W13&lt;&gt;0,1,0),IF(W13&lt;&gt;"CMS",1,0))*7.2)+(AND(IF(W14&lt;&gt;0,1,0),IF(W14&lt;&gt;"CMS",1,0))*7.2)+(AND(IF(W15&lt;&gt;0,1,0),IF(W15&lt;&gt;"CMS",1,0))*7.2)+(AND(IF(W16&lt;&gt;0,1,0),IF(W16&lt;&gt;"CMS",1,0))*7.2)-W17
+(AND(IF(W27&lt;&gt;0,1,0),IF(W27&lt;&gt;"CMS",1,0))*4.5)+(AND(IF(W28&lt;&gt;0,1,0),IF(W28&lt;&gt;"CMS",1,0))*4.5)-W31
+AND(IF(W24&lt;&gt;0,1,0),IF(W24&lt;&gt;"CMS",1,0))*4.5-W25
+(AND(IF(W19&lt;&gt;0,1,0),IF(W19&lt;&gt;"CMS",1,0))*3.5)+(AND(IF(W20&lt;&gt;0,1,0),IF(W20&lt;&gt;"CMS",1,0))*4.5)+(AND(IF(W21&lt;&gt;0,1,0),IF(W21&lt;&gt;"CMS",1,0))*4.5)-W22</f>
        <v>9.4</v>
      </c>
      <c r="X109" s="205">
        <f>(AND(IF(X13&lt;&gt;0,1,0),IF(X13&lt;&gt;"CMS",1,0))*7.2)+(AND(IF(X14&lt;&gt;0,1,0),IF(X14&lt;&gt;"CMS",1,0))*7.2)+(AND(IF(X15&lt;&gt;0,1,0),IF(X15&lt;&gt;"CMS",1,0))*7.2)+(AND(IF(X16&lt;&gt;0,1,0),IF(X16&lt;&gt;"CMS",1,0))*7.2)-X17
+(AND(IF(X27&lt;&gt;0,1,0),IF(X27&lt;&gt;"CMS",1,0))*4.5)+(AND(IF(X28&lt;&gt;0,1,0),IF(X28&lt;&gt;"CMS",1,0))*4.5)-X31
+AND(IF(X24&lt;&gt;0,1,0),IF(X24&lt;&gt;"CMS",1,0))*4.5-X25
+(AND(IF(X19&lt;&gt;0,1,0),IF(X19&lt;&gt;"CMS",1,0))*3.5)+(AND(IF(X20&lt;&gt;0,1,0),IF(X20&lt;&gt;"CMS",1,0))*4.5)+(AND(IF(X21&lt;&gt;0,1,0),IF(X21&lt;&gt;"CMS",1,0))*4.5)-X22</f>
        <v>9.1</v>
      </c>
      <c r="Y109" s="205">
        <f t="shared" si="44"/>
        <v>5.1000000000000032</v>
      </c>
      <c r="Z109" s="205">
        <f t="shared" si="44"/>
        <v>6.1999999999999993</v>
      </c>
      <c r="AA109" s="205">
        <f t="shared" si="44"/>
        <v>6.4</v>
      </c>
      <c r="AB109" s="205">
        <f t="shared" si="44"/>
        <v>5.7000000000000046</v>
      </c>
      <c r="AC109" s="205">
        <f t="shared" si="44"/>
        <v>4.4000000000000021</v>
      </c>
      <c r="AD109" s="26"/>
      <c r="AE109" s="26"/>
      <c r="AF109" s="466"/>
      <c r="AG109" t="s">
        <v>90</v>
      </c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10" t="s">
        <v>91</v>
      </c>
      <c r="B110" s="510"/>
      <c r="C110" s="510"/>
      <c r="D110" s="60"/>
      <c r="E110" s="72"/>
      <c r="F110" s="74">
        <v>60.21</v>
      </c>
      <c r="G110" s="74">
        <v>59.99</v>
      </c>
      <c r="H110" s="74">
        <v>60.07</v>
      </c>
      <c r="I110" s="74">
        <v>60.12</v>
      </c>
      <c r="J110" s="74">
        <v>60.05</v>
      </c>
      <c r="K110" s="74">
        <v>60.12</v>
      </c>
      <c r="L110" s="74">
        <v>60.25</v>
      </c>
      <c r="M110" s="74">
        <v>60.23</v>
      </c>
      <c r="N110" s="74">
        <v>60.27</v>
      </c>
      <c r="O110" s="74">
        <v>60.21</v>
      </c>
      <c r="P110" s="83">
        <v>60.09</v>
      </c>
      <c r="Q110" s="83">
        <v>60.13</v>
      </c>
      <c r="R110" s="83">
        <v>60.1</v>
      </c>
      <c r="S110" s="83">
        <v>60.3</v>
      </c>
      <c r="T110" s="83">
        <v>60.29</v>
      </c>
      <c r="U110" s="74">
        <v>60.15</v>
      </c>
      <c r="V110" s="74">
        <v>60.23</v>
      </c>
      <c r="W110" s="74">
        <v>60.29</v>
      </c>
      <c r="X110" s="74">
        <v>60.35</v>
      </c>
      <c r="Y110" s="74">
        <v>60.14</v>
      </c>
      <c r="Z110" s="74">
        <v>60.18</v>
      </c>
      <c r="AA110" s="74">
        <v>60.11</v>
      </c>
      <c r="AB110" s="74">
        <v>60.1</v>
      </c>
      <c r="AC110" s="74">
        <v>60.15</v>
      </c>
      <c r="AD110" s="26"/>
      <c r="AE110" s="26"/>
      <c r="AF110" s="467"/>
      <c r="AG110" t="s">
        <v>92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18" t="s">
        <v>93</v>
      </c>
      <c r="B111" s="519"/>
      <c r="C111" s="520"/>
      <c r="D111" s="60"/>
      <c r="E111" s="72"/>
      <c r="F111" s="74"/>
      <c r="G111" s="465">
        <v>0.75</v>
      </c>
      <c r="H111" s="465">
        <v>2.8</v>
      </c>
      <c r="I111" s="465">
        <v>1.33</v>
      </c>
      <c r="J111" s="465">
        <v>0.7</v>
      </c>
      <c r="K111" s="465">
        <v>1.34</v>
      </c>
      <c r="L111" s="465">
        <f>L60+L21</f>
        <v>2.62</v>
      </c>
      <c r="M111" s="465">
        <f>M60+M21</f>
        <v>2</v>
      </c>
      <c r="N111" s="465">
        <f>N60+N21</f>
        <v>3.3</v>
      </c>
      <c r="O111" s="468">
        <f>25-(O93+O95)-(4.7-O93)</f>
        <v>6.0199999999999987</v>
      </c>
      <c r="P111" s="468">
        <f>25-(P93+P95)-(4.7-P93)</f>
        <v>6.0000000000000009</v>
      </c>
      <c r="Q111" s="468">
        <f>25-(Q93+Q95)-(4.7-Q93)</f>
        <v>6.0100000000000016</v>
      </c>
      <c r="R111" s="468">
        <f>25-(R93+R95)-(4.7-R93)</f>
        <v>6.03</v>
      </c>
      <c r="S111" s="470">
        <v>5</v>
      </c>
      <c r="T111" s="470">
        <v>5</v>
      </c>
      <c r="U111" s="468">
        <f>25-(U93+U95)-(4.7-U93)</f>
        <v>6.0000000000000009</v>
      </c>
      <c r="V111" s="468">
        <f>25-(V93+V95)-(4.7-V93)</f>
        <v>7.02</v>
      </c>
      <c r="W111" s="468">
        <f>25-(W93+W95)-(4.7-W93)</f>
        <v>7.0100000000000007</v>
      </c>
      <c r="X111" s="470">
        <v>5</v>
      </c>
      <c r="Y111" s="468">
        <f>25-(Y93+Y95)-(4.7-Y93)</f>
        <v>6.0200000000000005</v>
      </c>
      <c r="Z111" s="468">
        <f>25-(Z93+Z95)-(4.7-Z93)</f>
        <v>6.03</v>
      </c>
      <c r="AA111" s="468">
        <f>25-(AA93+AA95)-(4.7-AA93)</f>
        <v>6.0100000000000016</v>
      </c>
      <c r="AB111" s="465">
        <f>5.4-(4.2-AB93)</f>
        <v>4.8000000000000007</v>
      </c>
      <c r="AC111" s="465">
        <f>5.4-(4.2-AC93)</f>
        <v>5</v>
      </c>
      <c r="AD111" s="26"/>
      <c r="AE111" s="26"/>
      <c r="AF111" s="469"/>
      <c r="AG111" s="38" t="s">
        <v>94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18" t="s">
        <v>95</v>
      </c>
      <c r="B112" s="519"/>
      <c r="C112" s="520"/>
      <c r="D112" s="60"/>
      <c r="E112" s="72"/>
      <c r="G112" s="74"/>
      <c r="H112" s="74"/>
      <c r="I112" s="74"/>
      <c r="J112" s="74"/>
      <c r="K112" s="74"/>
      <c r="L112" s="74"/>
      <c r="M112" s="74"/>
      <c r="N112" s="74"/>
      <c r="O112" s="74">
        <v>4.5</v>
      </c>
      <c r="P112" s="83"/>
      <c r="Q112" s="83"/>
      <c r="R112" s="83"/>
      <c r="S112" s="83"/>
      <c r="T112" s="83"/>
      <c r="U112" s="74"/>
      <c r="V112" s="74"/>
      <c r="W112" s="74"/>
      <c r="X112" s="74"/>
      <c r="Y112" s="74"/>
      <c r="Z112" s="74"/>
      <c r="AA112" s="74"/>
      <c r="AB112" s="74"/>
      <c r="AC112" s="74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10" t="s">
        <v>96</v>
      </c>
      <c r="B113" s="510"/>
      <c r="C113" s="510"/>
      <c r="D113" s="60"/>
      <c r="E113" s="72"/>
      <c r="F113" s="73"/>
      <c r="G113" s="73"/>
      <c r="H113" s="73"/>
      <c r="I113" s="73"/>
      <c r="J113" s="73"/>
      <c r="K113" s="73"/>
      <c r="L113" s="73"/>
      <c r="M113" s="73"/>
      <c r="N113" s="73"/>
      <c r="O113" s="73"/>
      <c r="P113" s="73"/>
      <c r="Q113" s="73"/>
      <c r="R113" s="73"/>
      <c r="S113" s="73"/>
      <c r="T113" s="73"/>
      <c r="U113" s="73"/>
      <c r="V113" s="73"/>
      <c r="W113" s="73"/>
      <c r="X113" s="73"/>
      <c r="Y113" s="73"/>
      <c r="Z113" s="73"/>
      <c r="AA113" s="73"/>
      <c r="AB113" s="73"/>
      <c r="AC113" s="73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10" t="s">
        <v>97</v>
      </c>
      <c r="B114" s="510"/>
      <c r="C114" s="510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idden="1">
      <c r="A115"/>
      <c r="B115"/>
      <c r="C115"/>
      <c r="D115" s="71"/>
      <c r="E115"/>
      <c r="F115" s="75"/>
      <c r="G115" s="75"/>
      <c r="H115" s="75"/>
      <c r="I115" s="75"/>
      <c r="J115" s="75"/>
      <c r="K115" s="75"/>
      <c r="L115" s="75"/>
      <c r="M115" s="75"/>
      <c r="N115" s="75"/>
      <c r="O115" s="75"/>
      <c r="P115" s="75"/>
      <c r="Q115" s="75"/>
      <c r="R115" s="75"/>
      <c r="S115" s="75"/>
      <c r="T115" s="75"/>
      <c r="U115" s="75"/>
      <c r="V115" s="75"/>
      <c r="W115" s="75"/>
      <c r="X115" s="75"/>
      <c r="Y115" s="75"/>
      <c r="Z115" s="75"/>
      <c r="AA115" s="75"/>
      <c r="AB115" s="75"/>
      <c r="AC115" s="75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9" hidden="1">
      <c r="A116" s="499" t="s">
        <v>98</v>
      </c>
      <c r="B116" s="499"/>
      <c r="C116" s="499"/>
      <c r="D116" s="499"/>
      <c r="E116" s="499"/>
      <c r="F116" s="499"/>
      <c r="G116" s="499"/>
      <c r="H116" s="499"/>
      <c r="I116" s="499"/>
      <c r="J116" s="499"/>
      <c r="K116" s="499"/>
      <c r="L116" s="499"/>
      <c r="M116" s="499"/>
      <c r="N116" s="499"/>
      <c r="O116" s="499"/>
      <c r="P116" s="499"/>
      <c r="Q116" s="499"/>
      <c r="R116" s="499"/>
      <c r="S116" s="499"/>
      <c r="T116" s="499"/>
      <c r="U116" s="499"/>
      <c r="V116" s="499"/>
      <c r="W116" s="499"/>
      <c r="X116" s="499"/>
      <c r="Y116" s="499"/>
      <c r="Z116" s="499"/>
      <c r="AA116" s="499"/>
      <c r="AB116" s="499"/>
      <c r="AC116" s="499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idden="1">
      <c r="A117"/>
      <c r="B117" s="5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 s="26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ht="17.45" hidden="1">
      <c r="A118" s="500" t="s">
        <v>75</v>
      </c>
      <c r="B118" s="501"/>
      <c r="C118" s="502"/>
      <c r="D118" s="49"/>
      <c r="E118" s="49"/>
      <c r="F118" s="506" t="s">
        <v>76</v>
      </c>
      <c r="G118" s="506"/>
      <c r="H118" s="506"/>
      <c r="I118" s="506"/>
      <c r="J118" s="506"/>
      <c r="K118" s="506"/>
      <c r="L118" s="506"/>
      <c r="M118" s="506"/>
      <c r="N118" s="506"/>
      <c r="O118" s="506"/>
      <c r="P118" s="506"/>
      <c r="Q118" s="506"/>
      <c r="R118" s="506"/>
      <c r="S118" s="506"/>
      <c r="T118" s="506"/>
      <c r="U118" s="506"/>
      <c r="V118" s="506"/>
      <c r="W118" s="506"/>
      <c r="X118" s="506"/>
      <c r="Y118" s="506"/>
      <c r="Z118" s="506"/>
      <c r="AA118" s="506"/>
      <c r="AB118" s="506"/>
      <c r="AC118" s="506"/>
      <c r="AD118" s="5"/>
      <c r="AE118" s="5"/>
      <c r="AF118" s="5"/>
      <c r="AG118" s="5"/>
      <c r="AH118" s="5"/>
    </row>
    <row r="119" spans="1:124" ht="15.6" hidden="1" customHeight="1">
      <c r="A119" s="503"/>
      <c r="B119" s="504"/>
      <c r="C119" s="505"/>
      <c r="D119" s="50"/>
      <c r="E119" s="50"/>
      <c r="F119" s="43">
        <v>0</v>
      </c>
      <c r="G119" s="43">
        <v>4.1666666666666699E-2</v>
      </c>
      <c r="H119" s="43">
        <v>8.3333333333333301E-2</v>
      </c>
      <c r="I119" s="43">
        <v>0.125</v>
      </c>
      <c r="J119" s="43">
        <v>0.16666666666666699</v>
      </c>
      <c r="K119" s="43">
        <v>0.20833333333333301</v>
      </c>
      <c r="L119" s="43">
        <v>0.25</v>
      </c>
      <c r="M119" s="43">
        <v>0.29166666666666702</v>
      </c>
      <c r="N119" s="43">
        <v>0.33333333333333398</v>
      </c>
      <c r="O119" s="43">
        <v>0.375</v>
      </c>
      <c r="P119" s="43">
        <v>0.41666666666666702</v>
      </c>
      <c r="Q119" s="43">
        <v>0.45833333333333398</v>
      </c>
      <c r="R119" s="43">
        <v>0.5</v>
      </c>
      <c r="S119" s="43">
        <v>0.54166666666666696</v>
      </c>
      <c r="T119" s="43">
        <v>0.58333333333333404</v>
      </c>
      <c r="U119" s="43">
        <v>0.625</v>
      </c>
      <c r="V119" s="43">
        <v>0.66666666666666696</v>
      </c>
      <c r="W119" s="43">
        <v>0.70833333333333404</v>
      </c>
      <c r="X119" s="43">
        <v>0.750000000000001</v>
      </c>
      <c r="Y119" s="43">
        <v>0.79166666666666696</v>
      </c>
      <c r="Z119" s="43">
        <v>0.83333333333333337</v>
      </c>
      <c r="AA119" s="43">
        <v>0.875000000000001</v>
      </c>
      <c r="AB119" s="43">
        <v>0.91666666666666696</v>
      </c>
      <c r="AC119" s="43">
        <v>0.95833333333333404</v>
      </c>
      <c r="AD119" s="37"/>
      <c r="AE119" s="37"/>
      <c r="AG119" s="5"/>
      <c r="AH119" s="5"/>
      <c r="AI119" s="5"/>
      <c r="AJ119" s="5"/>
      <c r="AK119" s="5"/>
      <c r="AL119" s="5"/>
      <c r="AM119" s="5"/>
      <c r="AN119" s="5"/>
    </row>
    <row r="120" spans="1:124" ht="17.45" hidden="1">
      <c r="A120" s="507" t="s">
        <v>27</v>
      </c>
      <c r="B120" s="508"/>
      <c r="C120" s="509"/>
      <c r="D120" s="45"/>
      <c r="E120" s="45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07" t="s">
        <v>78</v>
      </c>
      <c r="B121" s="508"/>
      <c r="C121" s="509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07" t="s">
        <v>29</v>
      </c>
      <c r="B122" s="508"/>
      <c r="C122" s="509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07" t="s">
        <v>32</v>
      </c>
      <c r="B123" s="508"/>
      <c r="C123" s="509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07" t="s">
        <v>33</v>
      </c>
      <c r="B124" s="508"/>
      <c r="C124" s="509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07" t="s">
        <v>55</v>
      </c>
      <c r="B125" s="508"/>
      <c r="C125" s="509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07" t="s">
        <v>59</v>
      </c>
      <c r="B126" s="508"/>
      <c r="C126" s="509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</row>
    <row r="127" spans="1:124" ht="17.45" hidden="1">
      <c r="A127" s="507" t="s">
        <v>69</v>
      </c>
      <c r="B127" s="508"/>
      <c r="C127" s="509"/>
      <c r="D127" s="45"/>
      <c r="E127" s="45"/>
      <c r="F127" s="78"/>
      <c r="G127" s="78"/>
      <c r="H127" s="78"/>
      <c r="I127" s="78"/>
      <c r="J127" s="78"/>
      <c r="K127" s="78"/>
      <c r="L127" s="78"/>
      <c r="M127" s="78"/>
      <c r="N127" s="78"/>
      <c r="O127" s="78"/>
      <c r="P127" s="78"/>
      <c r="Q127" s="78"/>
      <c r="R127" s="78"/>
      <c r="S127" s="78"/>
      <c r="T127" s="78"/>
      <c r="U127" s="78"/>
      <c r="V127" s="78"/>
      <c r="W127" s="78"/>
      <c r="X127" s="78"/>
      <c r="Y127" s="78"/>
      <c r="Z127" s="78"/>
      <c r="AA127" s="78"/>
      <c r="AB127" s="78"/>
      <c r="AC127" s="78"/>
    </row>
    <row r="128" spans="1:124" ht="15.6" hidden="1" customHeight="1">
      <c r="A128" s="496" t="s">
        <v>99</v>
      </c>
      <c r="B128" s="497"/>
      <c r="C128" s="498"/>
      <c r="D128" s="51"/>
      <c r="E128" s="51"/>
      <c r="F128" s="44">
        <f>SUM(F120:F127)</f>
        <v>0</v>
      </c>
      <c r="G128" s="44">
        <f t="shared" ref="G128:AB128" si="45">SUM(G120:G127)</f>
        <v>0</v>
      </c>
      <c r="H128" s="44">
        <f t="shared" si="45"/>
        <v>0</v>
      </c>
      <c r="I128" s="44">
        <f t="shared" si="45"/>
        <v>0</v>
      </c>
      <c r="J128" s="44">
        <f t="shared" si="45"/>
        <v>0</v>
      </c>
      <c r="K128" s="44">
        <f t="shared" si="45"/>
        <v>0</v>
      </c>
      <c r="L128" s="44">
        <f t="shared" si="45"/>
        <v>0</v>
      </c>
      <c r="M128" s="44">
        <f t="shared" si="45"/>
        <v>0</v>
      </c>
      <c r="N128" s="44">
        <f t="shared" si="45"/>
        <v>0</v>
      </c>
      <c r="O128" s="44">
        <f t="shared" si="45"/>
        <v>0</v>
      </c>
      <c r="P128" s="44">
        <f t="shared" si="45"/>
        <v>0</v>
      </c>
      <c r="Q128" s="44">
        <f t="shared" si="45"/>
        <v>0</v>
      </c>
      <c r="R128" s="44">
        <f t="shared" si="45"/>
        <v>0</v>
      </c>
      <c r="S128" s="44">
        <f t="shared" si="45"/>
        <v>0</v>
      </c>
      <c r="T128" s="44">
        <f t="shared" si="45"/>
        <v>0</v>
      </c>
      <c r="U128" s="44">
        <f t="shared" si="45"/>
        <v>0</v>
      </c>
      <c r="V128" s="44">
        <f t="shared" si="45"/>
        <v>0</v>
      </c>
      <c r="W128" s="44">
        <f t="shared" si="45"/>
        <v>0</v>
      </c>
      <c r="X128" s="44">
        <f t="shared" si="45"/>
        <v>0</v>
      </c>
      <c r="Y128" s="44">
        <f t="shared" si="45"/>
        <v>0</v>
      </c>
      <c r="Z128" s="44">
        <f t="shared" si="45"/>
        <v>0</v>
      </c>
      <c r="AA128" s="44">
        <f t="shared" si="45"/>
        <v>0</v>
      </c>
      <c r="AB128" s="44">
        <f t="shared" si="45"/>
        <v>0</v>
      </c>
      <c r="AC128" s="44">
        <f>SUM(AC120:AC127)</f>
        <v>0</v>
      </c>
    </row>
    <row r="129" spans="1:124">
      <c r="F129" s="75"/>
      <c r="G129" s="75"/>
      <c r="H129" s="75"/>
      <c r="I129" s="75"/>
      <c r="J129" s="75"/>
      <c r="K129" s="75"/>
      <c r="L129" s="75"/>
      <c r="M129" s="75"/>
      <c r="N129" s="75"/>
      <c r="O129" s="75"/>
      <c r="P129" s="75"/>
      <c r="Q129" s="75"/>
      <c r="R129" s="75"/>
      <c r="S129" s="75"/>
      <c r="T129" s="75"/>
      <c r="U129" s="75"/>
      <c r="V129" s="75"/>
      <c r="W129" s="75"/>
      <c r="X129" s="75"/>
      <c r="Y129" s="75"/>
      <c r="Z129" s="75"/>
      <c r="AA129" s="75"/>
      <c r="AB129" s="75"/>
      <c r="AC129" s="75"/>
      <c r="AD129" s="5"/>
      <c r="AE129" s="5"/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AB131" s="26"/>
      <c r="AC131" s="27"/>
      <c r="AD131" s="5"/>
      <c r="AE131" s="5"/>
    </row>
    <row r="132" spans="1:124" s="2" customFormat="1">
      <c r="A132"/>
      <c r="B132"/>
      <c r="AB132" s="26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>
      <c r="A133"/>
      <c r="B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 s="26"/>
      <c r="D135" s="26"/>
      <c r="E135" s="26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</row>
    <row r="138" spans="1:124">
      <c r="C138" s="26"/>
      <c r="D138" s="26"/>
      <c r="E138" s="26"/>
    </row>
    <row r="139" spans="1:124">
      <c r="C139" s="26"/>
      <c r="D139" s="26"/>
      <c r="E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</row>
    <row r="140" spans="1:124"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</sheetData>
  <mergeCells count="43">
    <mergeCell ref="A89:C89"/>
    <mergeCell ref="M8:O8"/>
    <mergeCell ref="M9:O9"/>
    <mergeCell ref="A85:AC85"/>
    <mergeCell ref="A87:C88"/>
    <mergeCell ref="F87:AC87"/>
    <mergeCell ref="A101:C101"/>
    <mergeCell ref="A90:C90"/>
    <mergeCell ref="A91:C91"/>
    <mergeCell ref="A92:C92"/>
    <mergeCell ref="A93:C93"/>
    <mergeCell ref="A94:C94"/>
    <mergeCell ref="A95:C95"/>
    <mergeCell ref="A96:C96"/>
    <mergeCell ref="A97:C97"/>
    <mergeCell ref="A98:C98"/>
    <mergeCell ref="A99:C99"/>
    <mergeCell ref="A100:C100"/>
    <mergeCell ref="A114:C114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3:C113"/>
    <mergeCell ref="A112:C112"/>
    <mergeCell ref="A128:C128"/>
    <mergeCell ref="A116:AC116"/>
    <mergeCell ref="A118:C119"/>
    <mergeCell ref="F118:AC118"/>
    <mergeCell ref="A120:C120"/>
    <mergeCell ref="A121:C121"/>
    <mergeCell ref="A122:C122"/>
    <mergeCell ref="A123:C123"/>
    <mergeCell ref="A124:C124"/>
    <mergeCell ref="A125:C125"/>
    <mergeCell ref="A126:C126"/>
    <mergeCell ref="A127:C127"/>
  </mergeCells>
  <conditionalFormatting sqref="F110:F111 G110:AC110 G112:AC112 G111:N111 S111:T111 X111 AB111:AC111">
    <cfRule type="cellIs" dxfId="9748" priority="461" operator="greaterThan">
      <formula>60.3</formula>
    </cfRule>
  </conditionalFormatting>
  <conditionalFormatting sqref="H13:L13 F51:AC52 N13:V13 H15:P16 Q14:V16 G53:AC59 G36:AC50 W13:AC16 G62:AC64">
    <cfRule type="cellIs" dxfId="9747" priority="452" operator="equal">
      <formula>"PMS"</formula>
    </cfRule>
    <cfRule type="containsText" dxfId="9746" priority="453" operator="containsText" text="CMS">
      <formula>NOT(ISERROR(SEARCH("CMS",F13)))</formula>
    </cfRule>
    <cfRule type="cellIs" dxfId="9745" priority="454" operator="equal">
      <formula>0</formula>
    </cfRule>
    <cfRule type="cellIs" dxfId="9744" priority="455" operator="greaterThan">
      <formula>0</formula>
    </cfRule>
    <cfRule type="cellIs" dxfId="9743" priority="456" operator="equal">
      <formula>"PMS"</formula>
    </cfRule>
    <cfRule type="containsText" dxfId="9742" priority="457" operator="containsText" text="CMS">
      <formula>NOT(ISERROR(SEARCH("CMS",F13)))</formula>
    </cfRule>
    <cfRule type="cellIs" dxfId="9741" priority="458" operator="equal">
      <formula>0</formula>
    </cfRule>
    <cfRule type="cellIs" dxfId="9740" priority="459" operator="greaterThan">
      <formula>0</formula>
    </cfRule>
  </conditionalFormatting>
  <conditionalFormatting sqref="H13:L13 F51:AC52 N13:V13 H15:P16 Q14:V16 G53:AC59 G36:AC50 W13:AC16 G62:AC64">
    <cfRule type="cellIs" dxfId="9739" priority="448" operator="equal">
      <formula>"PMS"</formula>
    </cfRule>
    <cfRule type="containsText" dxfId="9738" priority="449" operator="containsText" text="CMS">
      <formula>NOT(ISERROR(SEARCH("CMS",F13)))</formula>
    </cfRule>
    <cfRule type="cellIs" dxfId="9737" priority="450" operator="equal">
      <formula>0</formula>
    </cfRule>
    <cfRule type="cellIs" dxfId="9736" priority="451" operator="greaterThan">
      <formula>0</formula>
    </cfRule>
  </conditionalFormatting>
  <conditionalFormatting sqref="G19:Q19 U19:AC19 G20:AC21">
    <cfRule type="cellIs" dxfId="9735" priority="440" operator="equal">
      <formula>"PMS"</formula>
    </cfRule>
    <cfRule type="containsText" dxfId="9734" priority="441" operator="containsText" text="CMS">
      <formula>NOT(ISERROR(SEARCH("CMS",G19)))</formula>
    </cfRule>
    <cfRule type="cellIs" dxfId="9733" priority="442" operator="equal">
      <formula>0</formula>
    </cfRule>
    <cfRule type="cellIs" dxfId="9732" priority="443" operator="greaterThan">
      <formula>0</formula>
    </cfRule>
    <cfRule type="cellIs" dxfId="9731" priority="444" operator="equal">
      <formula>"PMS"</formula>
    </cfRule>
    <cfRule type="containsText" dxfId="9730" priority="445" operator="containsText" text="CMS">
      <formula>NOT(ISERROR(SEARCH("CMS",G19)))</formula>
    </cfRule>
    <cfRule type="cellIs" dxfId="9729" priority="446" operator="equal">
      <formula>0</formula>
    </cfRule>
    <cfRule type="cellIs" dxfId="9728" priority="447" operator="greaterThan">
      <formula>0</formula>
    </cfRule>
  </conditionalFormatting>
  <conditionalFormatting sqref="G19:Q19 U19:AC19 G20:AC21">
    <cfRule type="cellIs" dxfId="9727" priority="436" operator="equal">
      <formula>"PMS"</formula>
    </cfRule>
    <cfRule type="containsText" dxfId="9726" priority="437" operator="containsText" text="CMS">
      <formula>NOT(ISERROR(SEARCH("CMS",G19)))</formula>
    </cfRule>
    <cfRule type="cellIs" dxfId="9725" priority="438" operator="equal">
      <formula>0</formula>
    </cfRule>
    <cfRule type="cellIs" dxfId="9724" priority="439" operator="greaterThan">
      <formula>0</formula>
    </cfRule>
  </conditionalFormatting>
  <conditionalFormatting sqref="G24:M24 V24:AC24 O24:S24">
    <cfRule type="cellIs" dxfId="9723" priority="428" operator="equal">
      <formula>"PMS"</formula>
    </cfRule>
    <cfRule type="containsText" dxfId="9722" priority="429" operator="containsText" text="CMS">
      <formula>NOT(ISERROR(SEARCH("CMS",G24)))</formula>
    </cfRule>
    <cfRule type="cellIs" dxfId="9721" priority="430" operator="equal">
      <formula>0</formula>
    </cfRule>
    <cfRule type="cellIs" dxfId="9720" priority="431" operator="greaterThan">
      <formula>0</formula>
    </cfRule>
    <cfRule type="cellIs" dxfId="9719" priority="432" operator="equal">
      <formula>"PMS"</formula>
    </cfRule>
    <cfRule type="containsText" dxfId="9718" priority="433" operator="containsText" text="CMS">
      <formula>NOT(ISERROR(SEARCH("CMS",G24)))</formula>
    </cfRule>
    <cfRule type="cellIs" dxfId="9717" priority="434" operator="equal">
      <formula>0</formula>
    </cfRule>
    <cfRule type="cellIs" dxfId="9716" priority="435" operator="greaterThan">
      <formula>0</formula>
    </cfRule>
  </conditionalFormatting>
  <conditionalFormatting sqref="G24:M24 V24:AC24 O24:S24">
    <cfRule type="cellIs" dxfId="9715" priority="424" operator="equal">
      <formula>"PMS"</formula>
    </cfRule>
    <cfRule type="containsText" dxfId="9714" priority="425" operator="containsText" text="CMS">
      <formula>NOT(ISERROR(SEARCH("CMS",G24)))</formula>
    </cfRule>
    <cfRule type="cellIs" dxfId="9713" priority="426" operator="equal">
      <formula>0</formula>
    </cfRule>
    <cfRule type="cellIs" dxfId="9712" priority="427" operator="greaterThan">
      <formula>0</formula>
    </cfRule>
  </conditionalFormatting>
  <conditionalFormatting sqref="G27:AC30">
    <cfRule type="cellIs" dxfId="9711" priority="416" operator="equal">
      <formula>"PMS"</formula>
    </cfRule>
    <cfRule type="containsText" dxfId="9710" priority="417" operator="containsText" text="CMS">
      <formula>NOT(ISERROR(SEARCH("CMS",G27)))</formula>
    </cfRule>
    <cfRule type="cellIs" dxfId="9709" priority="418" operator="equal">
      <formula>0</formula>
    </cfRule>
    <cfRule type="cellIs" dxfId="9708" priority="419" operator="greaterThan">
      <formula>0</formula>
    </cfRule>
    <cfRule type="cellIs" dxfId="9707" priority="420" operator="equal">
      <formula>"PMS"</formula>
    </cfRule>
    <cfRule type="containsText" dxfId="9706" priority="421" operator="containsText" text="CMS">
      <formula>NOT(ISERROR(SEARCH("CMS",G27)))</formula>
    </cfRule>
    <cfRule type="cellIs" dxfId="9705" priority="422" operator="equal">
      <formula>0</formula>
    </cfRule>
    <cfRule type="cellIs" dxfId="9704" priority="423" operator="greaterThan">
      <formula>0</formula>
    </cfRule>
  </conditionalFormatting>
  <conditionalFormatting sqref="G27:AC30">
    <cfRule type="cellIs" dxfId="9703" priority="412" operator="equal">
      <formula>"PMS"</formula>
    </cfRule>
    <cfRule type="containsText" dxfId="9702" priority="413" operator="containsText" text="CMS">
      <formula>NOT(ISERROR(SEARCH("CMS",G27)))</formula>
    </cfRule>
    <cfRule type="cellIs" dxfId="9701" priority="414" operator="equal">
      <formula>0</formula>
    </cfRule>
    <cfRule type="cellIs" dxfId="9700" priority="415" operator="greaterThan">
      <formula>0</formula>
    </cfRule>
  </conditionalFormatting>
  <conditionalFormatting sqref="G33:AC33">
    <cfRule type="cellIs" dxfId="9699" priority="404" operator="equal">
      <formula>"PMS"</formula>
    </cfRule>
    <cfRule type="containsText" dxfId="9698" priority="405" operator="containsText" text="CMS">
      <formula>NOT(ISERROR(SEARCH("CMS",G33)))</formula>
    </cfRule>
    <cfRule type="cellIs" dxfId="9697" priority="406" operator="equal">
      <formula>0</formula>
    </cfRule>
    <cfRule type="cellIs" dxfId="9696" priority="407" operator="greaterThan">
      <formula>0</formula>
    </cfRule>
    <cfRule type="cellIs" dxfId="9695" priority="408" operator="equal">
      <formula>"PMS"</formula>
    </cfRule>
    <cfRule type="containsText" dxfId="9694" priority="409" operator="containsText" text="CMS">
      <formula>NOT(ISERROR(SEARCH("CMS",G33)))</formula>
    </cfRule>
    <cfRule type="cellIs" dxfId="9693" priority="410" operator="equal">
      <formula>0</formula>
    </cfRule>
    <cfRule type="cellIs" dxfId="9692" priority="411" operator="greaterThan">
      <formula>0</formula>
    </cfRule>
  </conditionalFormatting>
  <conditionalFormatting sqref="G33:AC33">
    <cfRule type="cellIs" dxfId="9691" priority="400" operator="equal">
      <formula>"PMS"</formula>
    </cfRule>
    <cfRule type="containsText" dxfId="9690" priority="401" operator="containsText" text="CMS">
      <formula>NOT(ISERROR(SEARCH("CMS",G33)))</formula>
    </cfRule>
    <cfRule type="cellIs" dxfId="9689" priority="402" operator="equal">
      <formula>0</formula>
    </cfRule>
    <cfRule type="cellIs" dxfId="9688" priority="403" operator="greaterThan">
      <formula>0</formula>
    </cfRule>
  </conditionalFormatting>
  <conditionalFormatting sqref="G67:AC75 G78:Q79 S78:AC79">
    <cfRule type="cellIs" dxfId="9687" priority="392" operator="equal">
      <formula>"PMS"</formula>
    </cfRule>
    <cfRule type="containsText" dxfId="9686" priority="393" operator="containsText" text="CMS">
      <formula>NOT(ISERROR(SEARCH("CMS",G67)))</formula>
    </cfRule>
    <cfRule type="cellIs" dxfId="9685" priority="394" operator="equal">
      <formula>0</formula>
    </cfRule>
    <cfRule type="cellIs" dxfId="9684" priority="395" operator="greaterThan">
      <formula>0</formula>
    </cfRule>
    <cfRule type="cellIs" dxfId="9683" priority="396" operator="equal">
      <formula>"PMS"</formula>
    </cfRule>
    <cfRule type="containsText" dxfId="9682" priority="397" operator="containsText" text="CMS">
      <formula>NOT(ISERROR(SEARCH("CMS",G67)))</formula>
    </cfRule>
    <cfRule type="cellIs" dxfId="9681" priority="398" operator="equal">
      <formula>0</formula>
    </cfRule>
    <cfRule type="cellIs" dxfId="9680" priority="399" operator="greaterThan">
      <formula>0</formula>
    </cfRule>
  </conditionalFormatting>
  <conditionalFormatting sqref="G67:AC75 G78:Q79 S78:AC79">
    <cfRule type="cellIs" dxfId="9679" priority="388" operator="equal">
      <formula>"PMS"</formula>
    </cfRule>
    <cfRule type="containsText" dxfId="9678" priority="389" operator="containsText" text="CMS">
      <formula>NOT(ISERROR(SEARCH("CMS",G67)))</formula>
    </cfRule>
    <cfRule type="cellIs" dxfId="9677" priority="390" operator="equal">
      <formula>0</formula>
    </cfRule>
    <cfRule type="cellIs" dxfId="9676" priority="391" operator="greaterThan">
      <formula>0</formula>
    </cfRule>
  </conditionalFormatting>
  <conditionalFormatting sqref="G82:AC82">
    <cfRule type="cellIs" dxfId="9675" priority="380" operator="equal">
      <formula>"PMS"</formula>
    </cfRule>
    <cfRule type="containsText" dxfId="9674" priority="381" operator="containsText" text="CMS">
      <formula>NOT(ISERROR(SEARCH("CMS",G82)))</formula>
    </cfRule>
    <cfRule type="cellIs" dxfId="9673" priority="382" operator="equal">
      <formula>0</formula>
    </cfRule>
    <cfRule type="cellIs" dxfId="9672" priority="383" operator="greaterThan">
      <formula>0</formula>
    </cfRule>
    <cfRule type="cellIs" dxfId="9671" priority="384" operator="equal">
      <formula>"PMS"</formula>
    </cfRule>
    <cfRule type="containsText" dxfId="9670" priority="385" operator="containsText" text="CMS">
      <formula>NOT(ISERROR(SEARCH("CMS",G82)))</formula>
    </cfRule>
    <cfRule type="cellIs" dxfId="9669" priority="386" operator="equal">
      <formula>0</formula>
    </cfRule>
    <cfRule type="cellIs" dxfId="9668" priority="387" operator="greaterThan">
      <formula>0</formula>
    </cfRule>
  </conditionalFormatting>
  <conditionalFormatting sqref="G82:AC82">
    <cfRule type="cellIs" dxfId="9667" priority="376" operator="equal">
      <formula>"PMS"</formula>
    </cfRule>
    <cfRule type="containsText" dxfId="9666" priority="377" operator="containsText" text="CMS">
      <formula>NOT(ISERROR(SEARCH("CMS",G82)))</formula>
    </cfRule>
    <cfRule type="cellIs" dxfId="9665" priority="378" operator="equal">
      <formula>0</formula>
    </cfRule>
    <cfRule type="cellIs" dxfId="9664" priority="379" operator="greaterThan">
      <formula>0</formula>
    </cfRule>
  </conditionalFormatting>
  <conditionalFormatting sqref="N24">
    <cfRule type="cellIs" dxfId="9663" priority="368" operator="equal">
      <formula>"PMS"</formula>
    </cfRule>
    <cfRule type="containsText" dxfId="9662" priority="369" operator="containsText" text="CMS">
      <formula>NOT(ISERROR(SEARCH("CMS",N24)))</formula>
    </cfRule>
    <cfRule type="cellIs" dxfId="9661" priority="370" operator="equal">
      <formula>0</formula>
    </cfRule>
    <cfRule type="cellIs" dxfId="9660" priority="371" operator="greaterThan">
      <formula>0</formula>
    </cfRule>
    <cfRule type="cellIs" dxfId="9659" priority="372" operator="equal">
      <formula>"PMS"</formula>
    </cfRule>
    <cfRule type="containsText" dxfId="9658" priority="373" operator="containsText" text="CMS">
      <formula>NOT(ISERROR(SEARCH("CMS",N24)))</formula>
    </cfRule>
    <cfRule type="cellIs" dxfId="9657" priority="374" operator="equal">
      <formula>0</formula>
    </cfRule>
    <cfRule type="cellIs" dxfId="9656" priority="375" operator="greaterThan">
      <formula>0</formula>
    </cfRule>
  </conditionalFormatting>
  <conditionalFormatting sqref="N24">
    <cfRule type="cellIs" dxfId="9655" priority="364" operator="equal">
      <formula>"PMS"</formula>
    </cfRule>
    <cfRule type="containsText" dxfId="9654" priority="365" operator="containsText" text="CMS">
      <formula>NOT(ISERROR(SEARCH("CMS",N24)))</formula>
    </cfRule>
    <cfRule type="cellIs" dxfId="9653" priority="366" operator="equal">
      <formula>0</formula>
    </cfRule>
    <cfRule type="cellIs" dxfId="9652" priority="367" operator="greaterThan">
      <formula>0</formula>
    </cfRule>
  </conditionalFormatting>
  <conditionalFormatting sqref="T24:U24">
    <cfRule type="cellIs" dxfId="9651" priority="356" operator="equal">
      <formula>"PMS"</formula>
    </cfRule>
    <cfRule type="containsText" dxfId="9650" priority="357" operator="containsText" text="CMS">
      <formula>NOT(ISERROR(SEARCH("CMS",T24)))</formula>
    </cfRule>
    <cfRule type="cellIs" dxfId="9649" priority="358" operator="equal">
      <formula>0</formula>
    </cfRule>
    <cfRule type="cellIs" dxfId="9648" priority="359" operator="greaterThan">
      <formula>0</formula>
    </cfRule>
    <cfRule type="cellIs" dxfId="9647" priority="360" operator="equal">
      <formula>"PMS"</formula>
    </cfRule>
    <cfRule type="containsText" dxfId="9646" priority="361" operator="containsText" text="CMS">
      <formula>NOT(ISERROR(SEARCH("CMS",T24)))</formula>
    </cfRule>
    <cfRule type="cellIs" dxfId="9645" priority="362" operator="equal">
      <formula>0</formula>
    </cfRule>
    <cfRule type="cellIs" dxfId="9644" priority="363" operator="greaterThan">
      <formula>0</formula>
    </cfRule>
  </conditionalFormatting>
  <conditionalFormatting sqref="T24:U24">
    <cfRule type="cellIs" dxfId="9643" priority="352" operator="equal">
      <formula>"PMS"</formula>
    </cfRule>
    <cfRule type="containsText" dxfId="9642" priority="353" operator="containsText" text="CMS">
      <formula>NOT(ISERROR(SEARCH("CMS",T24)))</formula>
    </cfRule>
    <cfRule type="cellIs" dxfId="9641" priority="354" operator="equal">
      <formula>0</formula>
    </cfRule>
    <cfRule type="cellIs" dxfId="9640" priority="355" operator="greaterThan">
      <formula>0</formula>
    </cfRule>
  </conditionalFormatting>
  <conditionalFormatting sqref="H14:P14">
    <cfRule type="cellIs" dxfId="9639" priority="344" operator="equal">
      <formula>"PMS"</formula>
    </cfRule>
    <cfRule type="containsText" dxfId="9638" priority="345" operator="containsText" text="CMS">
      <formula>NOT(ISERROR(SEARCH("CMS",H14)))</formula>
    </cfRule>
    <cfRule type="cellIs" dxfId="9637" priority="346" operator="equal">
      <formula>0</formula>
    </cfRule>
    <cfRule type="cellIs" dxfId="9636" priority="347" operator="greaterThan">
      <formula>0</formula>
    </cfRule>
    <cfRule type="cellIs" dxfId="9635" priority="348" operator="equal">
      <formula>"PMS"</formula>
    </cfRule>
    <cfRule type="containsText" dxfId="9634" priority="349" operator="containsText" text="CMS">
      <formula>NOT(ISERROR(SEARCH("CMS",H14)))</formula>
    </cfRule>
    <cfRule type="cellIs" dxfId="9633" priority="350" operator="equal">
      <formula>0</formula>
    </cfRule>
    <cfRule type="cellIs" dxfId="9632" priority="351" operator="greaterThan">
      <formula>0</formula>
    </cfRule>
  </conditionalFormatting>
  <conditionalFormatting sqref="H14:P14">
    <cfRule type="cellIs" dxfId="9631" priority="340" operator="equal">
      <formula>"PMS"</formula>
    </cfRule>
    <cfRule type="containsText" dxfId="9630" priority="341" operator="containsText" text="CMS">
      <formula>NOT(ISERROR(SEARCH("CMS",H14)))</formula>
    </cfRule>
    <cfRule type="cellIs" dxfId="9629" priority="342" operator="equal">
      <formula>0</formula>
    </cfRule>
    <cfRule type="cellIs" dxfId="9628" priority="343" operator="greaterThan">
      <formula>0</formula>
    </cfRule>
  </conditionalFormatting>
  <conditionalFormatting sqref="F36:F38 F58:F59">
    <cfRule type="cellIs" dxfId="9627" priority="248" operator="equal">
      <formula>"PMS"</formula>
    </cfRule>
    <cfRule type="containsText" dxfId="9626" priority="249" operator="containsText" text="CMS">
      <formula>NOT(ISERROR(SEARCH("CMS",F36)))</formula>
    </cfRule>
    <cfRule type="cellIs" dxfId="9625" priority="250" operator="equal">
      <formula>0</formula>
    </cfRule>
    <cfRule type="cellIs" dxfId="9624" priority="251" operator="greaterThan">
      <formula>0</formula>
    </cfRule>
    <cfRule type="cellIs" dxfId="9623" priority="252" operator="equal">
      <formula>"PMS"</formula>
    </cfRule>
    <cfRule type="containsText" dxfId="9622" priority="253" operator="containsText" text="CMS">
      <formula>NOT(ISERROR(SEARCH("CMS",F36)))</formula>
    </cfRule>
    <cfRule type="cellIs" dxfId="9621" priority="254" operator="equal">
      <formula>0</formula>
    </cfRule>
    <cfRule type="cellIs" dxfId="9620" priority="255" operator="greaterThan">
      <formula>0</formula>
    </cfRule>
  </conditionalFormatting>
  <conditionalFormatting sqref="F36:F38 F58:F59">
    <cfRule type="cellIs" dxfId="9619" priority="244" operator="equal">
      <formula>"PMS"</formula>
    </cfRule>
    <cfRule type="containsText" dxfId="9618" priority="245" operator="containsText" text="CMS">
      <formula>NOT(ISERROR(SEARCH("CMS",F36)))</formula>
    </cfRule>
    <cfRule type="cellIs" dxfId="9617" priority="246" operator="equal">
      <formula>0</formula>
    </cfRule>
    <cfRule type="cellIs" dxfId="9616" priority="247" operator="greaterThan">
      <formula>0</formula>
    </cfRule>
  </conditionalFormatting>
  <conditionalFormatting sqref="F67:F75 F78">
    <cfRule type="cellIs" dxfId="9615" priority="188" operator="equal">
      <formula>"PMS"</formula>
    </cfRule>
    <cfRule type="containsText" dxfId="9614" priority="189" operator="containsText" text="CMS">
      <formula>NOT(ISERROR(SEARCH("CMS",F67)))</formula>
    </cfRule>
    <cfRule type="cellIs" dxfId="9613" priority="190" operator="equal">
      <formula>0</formula>
    </cfRule>
    <cfRule type="cellIs" dxfId="9612" priority="191" operator="greaterThan">
      <formula>0</formula>
    </cfRule>
    <cfRule type="cellIs" dxfId="9611" priority="192" operator="equal">
      <formula>"PMS"</formula>
    </cfRule>
    <cfRule type="containsText" dxfId="9610" priority="193" operator="containsText" text="CMS">
      <formula>NOT(ISERROR(SEARCH("CMS",F67)))</formula>
    </cfRule>
    <cfRule type="cellIs" dxfId="9609" priority="194" operator="equal">
      <formula>0</formula>
    </cfRule>
    <cfRule type="cellIs" dxfId="9608" priority="195" operator="greaterThan">
      <formula>0</formula>
    </cfRule>
  </conditionalFormatting>
  <conditionalFormatting sqref="F67:F75 F78">
    <cfRule type="cellIs" dxfId="9607" priority="184" operator="equal">
      <formula>"PMS"</formula>
    </cfRule>
    <cfRule type="containsText" dxfId="9606" priority="185" operator="containsText" text="CMS">
      <formula>NOT(ISERROR(SEARCH("CMS",F67)))</formula>
    </cfRule>
    <cfRule type="cellIs" dxfId="9605" priority="186" operator="equal">
      <formula>0</formula>
    </cfRule>
    <cfRule type="cellIs" dxfId="9604" priority="187" operator="greaterThan">
      <formula>0</formula>
    </cfRule>
  </conditionalFormatting>
  <conditionalFormatting sqref="F82">
    <cfRule type="cellIs" dxfId="9603" priority="176" operator="equal">
      <formula>"PMS"</formula>
    </cfRule>
    <cfRule type="containsText" dxfId="9602" priority="177" operator="containsText" text="CMS">
      <formula>NOT(ISERROR(SEARCH("CMS",F82)))</formula>
    </cfRule>
    <cfRule type="cellIs" dxfId="9601" priority="178" operator="equal">
      <formula>0</formula>
    </cfRule>
    <cfRule type="cellIs" dxfId="9600" priority="179" operator="greaterThan">
      <formula>0</formula>
    </cfRule>
    <cfRule type="cellIs" dxfId="9599" priority="180" operator="equal">
      <formula>"PMS"</formula>
    </cfRule>
    <cfRule type="containsText" dxfId="9598" priority="181" operator="containsText" text="CMS">
      <formula>NOT(ISERROR(SEARCH("CMS",F82)))</formula>
    </cfRule>
    <cfRule type="cellIs" dxfId="9597" priority="182" operator="equal">
      <formula>0</formula>
    </cfRule>
    <cfRule type="cellIs" dxfId="9596" priority="183" operator="greaterThan">
      <formula>0</formula>
    </cfRule>
  </conditionalFormatting>
  <conditionalFormatting sqref="F82">
    <cfRule type="cellIs" dxfId="9595" priority="172" operator="equal">
      <formula>"PMS"</formula>
    </cfRule>
    <cfRule type="containsText" dxfId="9594" priority="173" operator="containsText" text="CMS">
      <formula>NOT(ISERROR(SEARCH("CMS",F82)))</formula>
    </cfRule>
    <cfRule type="cellIs" dxfId="9593" priority="174" operator="equal">
      <formula>0</formula>
    </cfRule>
    <cfRule type="cellIs" dxfId="9592" priority="175" operator="greaterThan">
      <formula>0</formula>
    </cfRule>
  </conditionalFormatting>
  <conditionalFormatting sqref="R19:T19">
    <cfRule type="cellIs" dxfId="9591" priority="164" operator="equal">
      <formula>"PMS"</formula>
    </cfRule>
    <cfRule type="containsText" dxfId="9590" priority="165" operator="containsText" text="CMS">
      <formula>NOT(ISERROR(SEARCH("CMS",R19)))</formula>
    </cfRule>
    <cfRule type="cellIs" dxfId="9589" priority="166" operator="equal">
      <formula>0</formula>
    </cfRule>
    <cfRule type="cellIs" dxfId="9588" priority="167" operator="greaterThan">
      <formula>0</formula>
    </cfRule>
    <cfRule type="cellIs" dxfId="9587" priority="168" operator="equal">
      <formula>"PMS"</formula>
    </cfRule>
    <cfRule type="containsText" dxfId="9586" priority="169" operator="containsText" text="CMS">
      <formula>NOT(ISERROR(SEARCH("CMS",R19)))</formula>
    </cfRule>
    <cfRule type="cellIs" dxfId="9585" priority="170" operator="equal">
      <formula>0</formula>
    </cfRule>
    <cfRule type="cellIs" dxfId="9584" priority="171" operator="greaterThan">
      <formula>0</formula>
    </cfRule>
  </conditionalFormatting>
  <conditionalFormatting sqref="R19:T19">
    <cfRule type="cellIs" dxfId="9583" priority="160" operator="equal">
      <formula>"PMS"</formula>
    </cfRule>
    <cfRule type="containsText" dxfId="9582" priority="161" operator="containsText" text="CMS">
      <formula>NOT(ISERROR(SEARCH("CMS",R19)))</formula>
    </cfRule>
    <cfRule type="cellIs" dxfId="9581" priority="162" operator="equal">
      <formula>0</formula>
    </cfRule>
    <cfRule type="cellIs" dxfId="9580" priority="163" operator="greaterThan">
      <formula>0</formula>
    </cfRule>
  </conditionalFormatting>
  <conditionalFormatting sqref="G13:G16">
    <cfRule type="cellIs" dxfId="9579" priority="140" operator="equal">
      <formula>"PMS"</formula>
    </cfRule>
    <cfRule type="containsText" dxfId="9578" priority="141" operator="containsText" text="CMS">
      <formula>NOT(ISERROR(SEARCH("CMS",G13)))</formula>
    </cfRule>
    <cfRule type="cellIs" dxfId="9577" priority="142" operator="equal">
      <formula>0</formula>
    </cfRule>
    <cfRule type="cellIs" dxfId="9576" priority="143" operator="greaterThan">
      <formula>0</formula>
    </cfRule>
    <cfRule type="cellIs" dxfId="9575" priority="144" operator="equal">
      <formula>"PMS"</formula>
    </cfRule>
    <cfRule type="containsText" dxfId="9574" priority="145" operator="containsText" text="CMS">
      <formula>NOT(ISERROR(SEARCH("CMS",G13)))</formula>
    </cfRule>
    <cfRule type="cellIs" dxfId="9573" priority="146" operator="equal">
      <formula>0</formula>
    </cfRule>
    <cfRule type="cellIs" dxfId="9572" priority="147" operator="greaterThan">
      <formula>0</formula>
    </cfRule>
  </conditionalFormatting>
  <conditionalFormatting sqref="G13:G16">
    <cfRule type="cellIs" dxfId="9571" priority="136" operator="equal">
      <formula>"PMS"</formula>
    </cfRule>
    <cfRule type="containsText" dxfId="9570" priority="137" operator="containsText" text="CMS">
      <formula>NOT(ISERROR(SEARCH("CMS",G13)))</formula>
    </cfRule>
    <cfRule type="cellIs" dxfId="9569" priority="138" operator="equal">
      <formula>0</formula>
    </cfRule>
    <cfRule type="cellIs" dxfId="9568" priority="139" operator="greaterThan">
      <formula>0</formula>
    </cfRule>
  </conditionalFormatting>
  <conditionalFormatting sqref="F13:F16">
    <cfRule type="cellIs" dxfId="9567" priority="128" operator="equal">
      <formula>"PMS"</formula>
    </cfRule>
    <cfRule type="containsText" dxfId="9566" priority="129" operator="containsText" text="CMS">
      <formula>NOT(ISERROR(SEARCH("CMS",F13)))</formula>
    </cfRule>
    <cfRule type="cellIs" dxfId="9565" priority="130" operator="equal">
      <formula>0</formula>
    </cfRule>
    <cfRule type="cellIs" dxfId="9564" priority="131" operator="greaterThan">
      <formula>0</formula>
    </cfRule>
    <cfRule type="cellIs" dxfId="9563" priority="132" operator="equal">
      <formula>"PMS"</formula>
    </cfRule>
    <cfRule type="containsText" dxfId="9562" priority="133" operator="containsText" text="CMS">
      <formula>NOT(ISERROR(SEARCH("CMS",F13)))</formula>
    </cfRule>
    <cfRule type="cellIs" dxfId="9561" priority="134" operator="equal">
      <formula>0</formula>
    </cfRule>
    <cfRule type="cellIs" dxfId="9560" priority="135" operator="greaterThan">
      <formula>0</formula>
    </cfRule>
  </conditionalFormatting>
  <conditionalFormatting sqref="F13:F16">
    <cfRule type="cellIs" dxfId="9559" priority="124" operator="equal">
      <formula>"PMS"</formula>
    </cfRule>
    <cfRule type="containsText" dxfId="9558" priority="125" operator="containsText" text="CMS">
      <formula>NOT(ISERROR(SEARCH("CMS",F13)))</formula>
    </cfRule>
    <cfRule type="cellIs" dxfId="9557" priority="126" operator="equal">
      <formula>0</formula>
    </cfRule>
    <cfRule type="cellIs" dxfId="9556" priority="127" operator="greaterThan">
      <formula>0</formula>
    </cfRule>
  </conditionalFormatting>
  <conditionalFormatting sqref="F19:F21">
    <cfRule type="cellIs" dxfId="9555" priority="116" operator="equal">
      <formula>"PMS"</formula>
    </cfRule>
    <cfRule type="containsText" dxfId="9554" priority="117" operator="containsText" text="CMS">
      <formula>NOT(ISERROR(SEARCH("CMS",F19)))</formula>
    </cfRule>
    <cfRule type="cellIs" dxfId="9553" priority="118" operator="equal">
      <formula>0</formula>
    </cfRule>
    <cfRule type="cellIs" dxfId="9552" priority="119" operator="greaterThan">
      <formula>0</formula>
    </cfRule>
    <cfRule type="cellIs" dxfId="9551" priority="120" operator="equal">
      <formula>"PMS"</formula>
    </cfRule>
    <cfRule type="containsText" dxfId="9550" priority="121" operator="containsText" text="CMS">
      <formula>NOT(ISERROR(SEARCH("CMS",F19)))</formula>
    </cfRule>
    <cfRule type="cellIs" dxfId="9549" priority="122" operator="equal">
      <formula>0</formula>
    </cfRule>
    <cfRule type="cellIs" dxfId="9548" priority="123" operator="greaterThan">
      <formula>0</formula>
    </cfRule>
  </conditionalFormatting>
  <conditionalFormatting sqref="F19:F21">
    <cfRule type="cellIs" dxfId="9547" priority="112" operator="equal">
      <formula>"PMS"</formula>
    </cfRule>
    <cfRule type="containsText" dxfId="9546" priority="113" operator="containsText" text="CMS">
      <formula>NOT(ISERROR(SEARCH("CMS",F19)))</formula>
    </cfRule>
    <cfRule type="cellIs" dxfId="9545" priority="114" operator="equal">
      <formula>0</formula>
    </cfRule>
    <cfRule type="cellIs" dxfId="9544" priority="115" operator="greaterThan">
      <formula>0</formula>
    </cfRule>
  </conditionalFormatting>
  <conditionalFormatting sqref="F24">
    <cfRule type="cellIs" dxfId="9543" priority="104" operator="equal">
      <formula>"PMS"</formula>
    </cfRule>
    <cfRule type="containsText" dxfId="9542" priority="105" operator="containsText" text="CMS">
      <formula>NOT(ISERROR(SEARCH("CMS",F24)))</formula>
    </cfRule>
    <cfRule type="cellIs" dxfId="9541" priority="106" operator="equal">
      <formula>0</formula>
    </cfRule>
    <cfRule type="cellIs" dxfId="9540" priority="107" operator="greaterThan">
      <formula>0</formula>
    </cfRule>
    <cfRule type="cellIs" dxfId="9539" priority="108" operator="equal">
      <formula>"PMS"</formula>
    </cfRule>
    <cfRule type="containsText" dxfId="9538" priority="109" operator="containsText" text="CMS">
      <formula>NOT(ISERROR(SEARCH("CMS",F24)))</formula>
    </cfRule>
    <cfRule type="cellIs" dxfId="9537" priority="110" operator="equal">
      <formula>0</formula>
    </cfRule>
    <cfRule type="cellIs" dxfId="9536" priority="111" operator="greaterThan">
      <formula>0</formula>
    </cfRule>
  </conditionalFormatting>
  <conditionalFormatting sqref="F24">
    <cfRule type="cellIs" dxfId="9535" priority="100" operator="equal">
      <formula>"PMS"</formula>
    </cfRule>
    <cfRule type="containsText" dxfId="9534" priority="101" operator="containsText" text="CMS">
      <formula>NOT(ISERROR(SEARCH("CMS",F24)))</formula>
    </cfRule>
    <cfRule type="cellIs" dxfId="9533" priority="102" operator="equal">
      <formula>0</formula>
    </cfRule>
    <cfRule type="cellIs" dxfId="9532" priority="103" operator="greaterThan">
      <formula>0</formula>
    </cfRule>
  </conditionalFormatting>
  <conditionalFormatting sqref="F27:F30">
    <cfRule type="cellIs" dxfId="9531" priority="92" operator="equal">
      <formula>"PMS"</formula>
    </cfRule>
    <cfRule type="containsText" dxfId="9530" priority="93" operator="containsText" text="CMS">
      <formula>NOT(ISERROR(SEARCH("CMS",F27)))</formula>
    </cfRule>
    <cfRule type="cellIs" dxfId="9529" priority="94" operator="equal">
      <formula>0</formula>
    </cfRule>
    <cfRule type="cellIs" dxfId="9528" priority="95" operator="greaterThan">
      <formula>0</formula>
    </cfRule>
    <cfRule type="cellIs" dxfId="9527" priority="96" operator="equal">
      <formula>"PMS"</formula>
    </cfRule>
    <cfRule type="containsText" dxfId="9526" priority="97" operator="containsText" text="CMS">
      <formula>NOT(ISERROR(SEARCH("CMS",F27)))</formula>
    </cfRule>
    <cfRule type="cellIs" dxfId="9525" priority="98" operator="equal">
      <formula>0</formula>
    </cfRule>
    <cfRule type="cellIs" dxfId="9524" priority="99" operator="greaterThan">
      <formula>0</formula>
    </cfRule>
  </conditionalFormatting>
  <conditionalFormatting sqref="F27:F30">
    <cfRule type="cellIs" dxfId="9523" priority="88" operator="equal">
      <formula>"PMS"</formula>
    </cfRule>
    <cfRule type="containsText" dxfId="9522" priority="89" operator="containsText" text="CMS">
      <formula>NOT(ISERROR(SEARCH("CMS",F27)))</formula>
    </cfRule>
    <cfRule type="cellIs" dxfId="9521" priority="90" operator="equal">
      <formula>0</formula>
    </cfRule>
    <cfRule type="cellIs" dxfId="9520" priority="91" operator="greaterThan">
      <formula>0</formula>
    </cfRule>
  </conditionalFormatting>
  <conditionalFormatting sqref="F33">
    <cfRule type="cellIs" dxfId="9519" priority="80" operator="equal">
      <formula>"PMS"</formula>
    </cfRule>
    <cfRule type="containsText" dxfId="9518" priority="81" operator="containsText" text="CMS">
      <formula>NOT(ISERROR(SEARCH("CMS",F33)))</formula>
    </cfRule>
    <cfRule type="cellIs" dxfId="9517" priority="82" operator="equal">
      <formula>0</formula>
    </cfRule>
    <cfRule type="cellIs" dxfId="9516" priority="83" operator="greaterThan">
      <formula>0</formula>
    </cfRule>
    <cfRule type="cellIs" dxfId="9515" priority="84" operator="equal">
      <formula>"PMS"</formula>
    </cfRule>
    <cfRule type="containsText" dxfId="9514" priority="85" operator="containsText" text="CMS">
      <formula>NOT(ISERROR(SEARCH("CMS",F33)))</formula>
    </cfRule>
    <cfRule type="cellIs" dxfId="9513" priority="86" operator="equal">
      <formula>0</formula>
    </cfRule>
    <cfRule type="cellIs" dxfId="9512" priority="87" operator="greaterThan">
      <formula>0</formula>
    </cfRule>
  </conditionalFormatting>
  <conditionalFormatting sqref="F33">
    <cfRule type="cellIs" dxfId="9511" priority="76" operator="equal">
      <formula>"PMS"</formula>
    </cfRule>
    <cfRule type="containsText" dxfId="9510" priority="77" operator="containsText" text="CMS">
      <formula>NOT(ISERROR(SEARCH("CMS",F33)))</formula>
    </cfRule>
    <cfRule type="cellIs" dxfId="9509" priority="78" operator="equal">
      <formula>0</formula>
    </cfRule>
    <cfRule type="cellIs" dxfId="9508" priority="79" operator="greaterThan">
      <formula>0</formula>
    </cfRule>
  </conditionalFormatting>
  <conditionalFormatting sqref="F39:F50 F53:F57">
    <cfRule type="cellIs" dxfId="9507" priority="68" operator="equal">
      <formula>"PMS"</formula>
    </cfRule>
    <cfRule type="containsText" dxfId="9506" priority="69" operator="containsText" text="CMS">
      <formula>NOT(ISERROR(SEARCH("CMS",F39)))</formula>
    </cfRule>
    <cfRule type="cellIs" dxfId="9505" priority="70" operator="equal">
      <formula>0</formula>
    </cfRule>
    <cfRule type="cellIs" dxfId="9504" priority="71" operator="greaterThan">
      <formula>0</formula>
    </cfRule>
    <cfRule type="cellIs" dxfId="9503" priority="72" operator="equal">
      <formula>"PMS"</formula>
    </cfRule>
    <cfRule type="containsText" dxfId="9502" priority="73" operator="containsText" text="CMS">
      <formula>NOT(ISERROR(SEARCH("CMS",F39)))</formula>
    </cfRule>
    <cfRule type="cellIs" dxfId="9501" priority="74" operator="equal">
      <formula>0</formula>
    </cfRule>
    <cfRule type="cellIs" dxfId="9500" priority="75" operator="greaterThan">
      <formula>0</formula>
    </cfRule>
  </conditionalFormatting>
  <conditionalFormatting sqref="F39:F50 F53:F57">
    <cfRule type="cellIs" dxfId="9499" priority="64" operator="equal">
      <formula>"PMS"</formula>
    </cfRule>
    <cfRule type="containsText" dxfId="9498" priority="65" operator="containsText" text="CMS">
      <formula>NOT(ISERROR(SEARCH("CMS",F39)))</formula>
    </cfRule>
    <cfRule type="cellIs" dxfId="9497" priority="66" operator="equal">
      <formula>0</formula>
    </cfRule>
    <cfRule type="cellIs" dxfId="9496" priority="67" operator="greaterThan">
      <formula>0</formula>
    </cfRule>
  </conditionalFormatting>
  <conditionalFormatting sqref="F62:F64">
    <cfRule type="cellIs" dxfId="9495" priority="44" operator="equal">
      <formula>"PMS"</formula>
    </cfRule>
    <cfRule type="containsText" dxfId="9494" priority="45" operator="containsText" text="CMS">
      <formula>NOT(ISERROR(SEARCH("CMS",F62)))</formula>
    </cfRule>
    <cfRule type="cellIs" dxfId="9493" priority="46" operator="equal">
      <formula>0</formula>
    </cfRule>
    <cfRule type="cellIs" dxfId="9492" priority="47" operator="greaterThan">
      <formula>0</formula>
    </cfRule>
    <cfRule type="cellIs" dxfId="9491" priority="48" operator="equal">
      <formula>"PMS"</formula>
    </cfRule>
    <cfRule type="containsText" dxfId="9490" priority="49" operator="containsText" text="CMS">
      <formula>NOT(ISERROR(SEARCH("CMS",F62)))</formula>
    </cfRule>
    <cfRule type="cellIs" dxfId="9489" priority="50" operator="equal">
      <formula>0</formula>
    </cfRule>
    <cfRule type="cellIs" dxfId="9488" priority="51" operator="greaterThan">
      <formula>0</formula>
    </cfRule>
  </conditionalFormatting>
  <conditionalFormatting sqref="F62:F64">
    <cfRule type="cellIs" dxfId="9487" priority="40" operator="equal">
      <formula>"PMS"</formula>
    </cfRule>
    <cfRule type="containsText" dxfId="9486" priority="41" operator="containsText" text="CMS">
      <formula>NOT(ISERROR(SEARCH("CMS",F62)))</formula>
    </cfRule>
    <cfRule type="cellIs" dxfId="9485" priority="42" operator="equal">
      <formula>0</formula>
    </cfRule>
    <cfRule type="cellIs" dxfId="9484" priority="43" operator="greaterThan">
      <formula>0</formula>
    </cfRule>
  </conditionalFormatting>
  <conditionalFormatting sqref="F79">
    <cfRule type="cellIs" dxfId="9483" priority="32" operator="equal">
      <formula>"PMS"</formula>
    </cfRule>
    <cfRule type="containsText" dxfId="9482" priority="33" operator="containsText" text="CMS">
      <formula>NOT(ISERROR(SEARCH("CMS",F79)))</formula>
    </cfRule>
    <cfRule type="cellIs" dxfId="9481" priority="34" operator="equal">
      <formula>0</formula>
    </cfRule>
    <cfRule type="cellIs" dxfId="9480" priority="35" operator="greaterThan">
      <formula>0</formula>
    </cfRule>
    <cfRule type="cellIs" dxfId="9479" priority="36" operator="equal">
      <formula>"PMS"</formula>
    </cfRule>
    <cfRule type="containsText" dxfId="9478" priority="37" operator="containsText" text="CMS">
      <formula>NOT(ISERROR(SEARCH("CMS",F79)))</formula>
    </cfRule>
    <cfRule type="cellIs" dxfId="9477" priority="38" operator="equal">
      <formula>0</formula>
    </cfRule>
    <cfRule type="cellIs" dxfId="9476" priority="39" operator="greaterThan">
      <formula>0</formula>
    </cfRule>
  </conditionalFormatting>
  <conditionalFormatting sqref="F79">
    <cfRule type="cellIs" dxfId="9475" priority="28" operator="equal">
      <formula>"PMS"</formula>
    </cfRule>
    <cfRule type="containsText" dxfId="9474" priority="29" operator="containsText" text="CMS">
      <formula>NOT(ISERROR(SEARCH("CMS",F79)))</formula>
    </cfRule>
    <cfRule type="cellIs" dxfId="9473" priority="30" operator="equal">
      <formula>0</formula>
    </cfRule>
    <cfRule type="cellIs" dxfId="9472" priority="31" operator="greaterThan">
      <formula>0</formula>
    </cfRule>
  </conditionalFormatting>
  <conditionalFormatting sqref="M13">
    <cfRule type="cellIs" dxfId="9471" priority="20" operator="equal">
      <formula>"PMS"</formula>
    </cfRule>
    <cfRule type="containsText" dxfId="9470" priority="21" operator="containsText" text="CMS">
      <formula>NOT(ISERROR(SEARCH("CMS",M13)))</formula>
    </cfRule>
    <cfRule type="cellIs" dxfId="9469" priority="22" operator="equal">
      <formula>0</formula>
    </cfRule>
    <cfRule type="cellIs" dxfId="9468" priority="23" operator="greaterThan">
      <formula>0</formula>
    </cfRule>
    <cfRule type="cellIs" dxfId="9467" priority="24" operator="equal">
      <formula>"PMS"</formula>
    </cfRule>
    <cfRule type="containsText" dxfId="9466" priority="25" operator="containsText" text="CMS">
      <formula>NOT(ISERROR(SEARCH("CMS",M13)))</formula>
    </cfRule>
    <cfRule type="cellIs" dxfId="9465" priority="26" operator="equal">
      <formula>0</formula>
    </cfRule>
    <cfRule type="cellIs" dxfId="9464" priority="27" operator="greaterThan">
      <formula>0</formula>
    </cfRule>
  </conditionalFormatting>
  <conditionalFormatting sqref="M13">
    <cfRule type="cellIs" dxfId="9463" priority="16" operator="equal">
      <formula>"PMS"</formula>
    </cfRule>
    <cfRule type="containsText" dxfId="9462" priority="17" operator="containsText" text="CMS">
      <formula>NOT(ISERROR(SEARCH("CMS",M13)))</formula>
    </cfRule>
    <cfRule type="cellIs" dxfId="9461" priority="18" operator="equal">
      <formula>0</formula>
    </cfRule>
    <cfRule type="cellIs" dxfId="9460" priority="19" operator="greaterThan">
      <formula>0</formula>
    </cfRule>
  </conditionalFormatting>
  <conditionalFormatting sqref="R78:R79">
    <cfRule type="cellIs" dxfId="9459" priority="8" operator="equal">
      <formula>"PMS"</formula>
    </cfRule>
    <cfRule type="containsText" dxfId="9458" priority="9" operator="containsText" text="CMS">
      <formula>NOT(ISERROR(SEARCH("CMS",R78)))</formula>
    </cfRule>
    <cfRule type="cellIs" dxfId="9457" priority="10" operator="equal">
      <formula>0</formula>
    </cfRule>
    <cfRule type="cellIs" dxfId="9456" priority="11" operator="greaterThan">
      <formula>0</formula>
    </cfRule>
    <cfRule type="cellIs" dxfId="9455" priority="12" operator="equal">
      <formula>"PMS"</formula>
    </cfRule>
    <cfRule type="containsText" dxfId="9454" priority="13" operator="containsText" text="CMS">
      <formula>NOT(ISERROR(SEARCH("CMS",R78)))</formula>
    </cfRule>
    <cfRule type="cellIs" dxfId="9453" priority="14" operator="equal">
      <formula>0</formula>
    </cfRule>
    <cfRule type="cellIs" dxfId="9452" priority="15" operator="greaterThan">
      <formula>0</formula>
    </cfRule>
  </conditionalFormatting>
  <conditionalFormatting sqref="R78:R79">
    <cfRule type="cellIs" dxfId="9451" priority="4" operator="equal">
      <formula>"PMS"</formula>
    </cfRule>
    <cfRule type="containsText" dxfId="9450" priority="5" operator="containsText" text="CMS">
      <formula>NOT(ISERROR(SEARCH("CMS",R78)))</formula>
    </cfRule>
    <cfRule type="cellIs" dxfId="9449" priority="6" operator="equal">
      <formula>0</formula>
    </cfRule>
    <cfRule type="cellIs" dxfId="9448" priority="7" operator="greaterThan">
      <formula>0</formula>
    </cfRule>
  </conditionalFormatting>
  <conditionalFormatting sqref="O111:R111">
    <cfRule type="cellIs" dxfId="9447" priority="3" operator="greaterThan">
      <formula>60.3</formula>
    </cfRule>
  </conditionalFormatting>
  <conditionalFormatting sqref="U111:W111">
    <cfRule type="cellIs" dxfId="9446" priority="2" operator="greaterThan">
      <formula>60.3</formula>
    </cfRule>
  </conditionalFormatting>
  <conditionalFormatting sqref="Y111:AA111">
    <cfRule type="cellIs" dxfId="9445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5849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49682F-D393-4B74-8030-E3CC2B9E6013}">
  <sheetPr codeName="Sheet158"/>
  <dimension ref="A2:DT140"/>
  <sheetViews>
    <sheetView zoomScale="70" zoomScaleNormal="70" zoomScaleSheetLayoutView="51" zoomScalePageLayoutView="55" workbookViewId="0">
      <pane xSplit="5" ySplit="11" topLeftCell="F12" activePane="bottomRight" state="frozen"/>
      <selection pane="bottomRight" activeCell="F110" sqref="F110"/>
      <selection pane="bottomLeft" activeCell="AJ44" sqref="AJ44"/>
      <selection pane="topRight" activeCell="AJ44" sqref="AJ4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4.140625" customWidth="1"/>
    <col min="31" max="31" width="4.425781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4">
      <c r="C2" s="16"/>
      <c r="D2" s="23" t="s">
        <v>1</v>
      </c>
      <c r="E2" s="22" t="s">
        <v>2</v>
      </c>
      <c r="F2" s="22"/>
    </row>
    <row r="3" spans="1:44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4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  <c r="AR4">
        <f>2.73/2</f>
        <v>1.365</v>
      </c>
    </row>
    <row r="5" spans="1:44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4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4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4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23"/>
      <c r="N8" s="523"/>
      <c r="O8" s="52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4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24" t="e" cm="1">
        <f t="array" aca="1" ref="M9" ca="1">TEXT(TODAY(),"mmmm")&amp;" "&amp;MID(CELL("filename",A1),FIND("]",CELL("filename",A1))+1,255)&amp;", "&amp;TEXT(TODAY(),"yyyy")</f>
        <v>#VALUE!</v>
      </c>
      <c r="N9" s="524"/>
      <c r="O9" s="524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4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4"/>
      <c r="R10" s="344"/>
      <c r="S10" s="344"/>
      <c r="T10" s="344"/>
      <c r="U10" s="344"/>
      <c r="V10" s="344"/>
      <c r="W10" s="344"/>
      <c r="X10" s="344"/>
      <c r="Y10" s="344"/>
      <c r="Z10" s="344"/>
      <c r="AA10" s="344"/>
      <c r="AB10" s="344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4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4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17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542.49999999999989</v>
      </c>
    </row>
    <row r="13" spans="1:44">
      <c r="A13" s="14" t="s">
        <v>22</v>
      </c>
      <c r="B13" s="15"/>
      <c r="C13" s="15">
        <v>7.2</v>
      </c>
      <c r="D13" s="15"/>
      <c r="E13" s="15"/>
      <c r="F13" s="372"/>
      <c r="G13" s="372"/>
      <c r="H13" s="372"/>
      <c r="I13" s="372"/>
      <c r="J13" s="372"/>
      <c r="K13" s="372"/>
      <c r="L13" s="374">
        <v>3.8</v>
      </c>
      <c r="M13" s="372">
        <v>6</v>
      </c>
      <c r="N13" s="372">
        <v>6.9</v>
      </c>
      <c r="O13" s="372">
        <v>7</v>
      </c>
      <c r="P13" s="372">
        <v>6.9</v>
      </c>
      <c r="Q13" s="372">
        <v>6.7</v>
      </c>
      <c r="R13" s="372">
        <v>6.8</v>
      </c>
      <c r="S13" s="372">
        <v>6.8</v>
      </c>
      <c r="T13" s="372">
        <v>6.8</v>
      </c>
      <c r="U13" s="372">
        <v>6.7</v>
      </c>
      <c r="V13" s="372">
        <v>6.7</v>
      </c>
      <c r="W13" s="372">
        <v>6.3</v>
      </c>
      <c r="X13" s="372">
        <v>6.3</v>
      </c>
      <c r="Y13" s="372">
        <v>6.6</v>
      </c>
      <c r="Z13" s="372">
        <v>6.7</v>
      </c>
      <c r="AA13" s="372">
        <v>6.6</v>
      </c>
      <c r="AB13" s="372" t="s">
        <v>9</v>
      </c>
      <c r="AC13" s="372" t="s">
        <v>9</v>
      </c>
      <c r="AD13" s="41"/>
      <c r="AE13" s="41"/>
      <c r="AF13" s="11">
        <f>COUNTIF(F13:AC13,$AJ$8)</f>
        <v>2</v>
      </c>
      <c r="AG13" s="11">
        <f>COUNTIF(F13:AD13,$AJ$7)</f>
        <v>0</v>
      </c>
      <c r="AH13" s="11">
        <f>COUNT(F13:AC13)</f>
        <v>16</v>
      </c>
    </row>
    <row r="14" spans="1:44">
      <c r="A14" s="14" t="s">
        <v>23</v>
      </c>
      <c r="B14" s="15"/>
      <c r="C14" s="15">
        <v>7.2</v>
      </c>
      <c r="D14" s="15"/>
      <c r="E14" s="15"/>
      <c r="F14" s="372">
        <v>6.5</v>
      </c>
      <c r="G14" s="372">
        <v>6.5</v>
      </c>
      <c r="H14" s="374">
        <v>6.7</v>
      </c>
      <c r="I14" s="372">
        <v>7</v>
      </c>
      <c r="J14" s="372">
        <v>0</v>
      </c>
      <c r="K14" s="372">
        <v>0</v>
      </c>
      <c r="L14" s="372">
        <v>0</v>
      </c>
      <c r="M14" s="372">
        <v>0</v>
      </c>
      <c r="N14" s="372">
        <v>0</v>
      </c>
      <c r="O14" s="372">
        <v>0</v>
      </c>
      <c r="P14" s="372">
        <v>6.9</v>
      </c>
      <c r="Q14" s="372">
        <v>6.7</v>
      </c>
      <c r="R14" s="372">
        <v>6.8</v>
      </c>
      <c r="S14" s="372">
        <v>6.8</v>
      </c>
      <c r="T14" s="372">
        <v>6.8</v>
      </c>
      <c r="U14" s="372">
        <v>6.7</v>
      </c>
      <c r="V14" s="372">
        <v>6.7</v>
      </c>
      <c r="W14" s="372">
        <v>6.3</v>
      </c>
      <c r="X14" s="372">
        <v>6.4</v>
      </c>
      <c r="Y14" s="372">
        <v>6.6</v>
      </c>
      <c r="Z14" s="372">
        <v>6.7</v>
      </c>
      <c r="AA14" s="372">
        <v>6.6</v>
      </c>
      <c r="AB14" s="372">
        <v>6.6</v>
      </c>
      <c r="AC14" s="372">
        <v>6.7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4">
      <c r="A15" s="66" t="s">
        <v>24</v>
      </c>
      <c r="B15" s="15"/>
      <c r="C15" s="15">
        <v>7.2</v>
      </c>
      <c r="D15" s="15"/>
      <c r="E15" s="15"/>
      <c r="F15" s="372">
        <v>6.5</v>
      </c>
      <c r="G15" s="372">
        <v>6.5</v>
      </c>
      <c r="H15" s="374">
        <v>6.7</v>
      </c>
      <c r="I15" s="372">
        <v>6.2</v>
      </c>
      <c r="J15" s="372">
        <v>6.7</v>
      </c>
      <c r="K15" s="374">
        <v>6.7</v>
      </c>
      <c r="L15" s="374">
        <v>6.7</v>
      </c>
      <c r="M15" s="374">
        <v>6</v>
      </c>
      <c r="N15" s="372">
        <v>6.9</v>
      </c>
      <c r="O15" s="372">
        <v>7</v>
      </c>
      <c r="P15" s="372">
        <v>6.9</v>
      </c>
      <c r="Q15" s="372">
        <v>6.7</v>
      </c>
      <c r="R15" s="372">
        <v>6.8</v>
      </c>
      <c r="S15" s="372">
        <v>6.8</v>
      </c>
      <c r="T15" s="372">
        <v>6.8</v>
      </c>
      <c r="U15" s="372">
        <v>6.7</v>
      </c>
      <c r="V15" s="372">
        <v>6.7</v>
      </c>
      <c r="W15" s="372">
        <v>6.4</v>
      </c>
      <c r="X15" s="372">
        <v>6.4</v>
      </c>
      <c r="Y15" s="372">
        <v>6.6</v>
      </c>
      <c r="Z15" s="372">
        <v>6.7</v>
      </c>
      <c r="AA15" s="372">
        <v>6.6</v>
      </c>
      <c r="AB15" s="372">
        <v>6.6</v>
      </c>
      <c r="AC15" s="372">
        <v>6.7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4">
      <c r="A16" s="14" t="s">
        <v>25</v>
      </c>
      <c r="B16" s="15"/>
      <c r="C16" s="15">
        <v>7.2</v>
      </c>
      <c r="D16" s="15"/>
      <c r="E16" s="15"/>
      <c r="F16" s="372">
        <v>6.5</v>
      </c>
      <c r="G16" s="372">
        <v>6.5</v>
      </c>
      <c r="H16" s="374">
        <v>6.7</v>
      </c>
      <c r="I16" s="372">
        <v>6.2</v>
      </c>
      <c r="J16" s="372">
        <v>6.7</v>
      </c>
      <c r="K16" s="374">
        <v>6.7</v>
      </c>
      <c r="L16" s="374">
        <v>6.7</v>
      </c>
      <c r="M16" s="374">
        <v>6</v>
      </c>
      <c r="N16" s="372">
        <v>6.9</v>
      </c>
      <c r="O16" s="372">
        <v>7</v>
      </c>
      <c r="P16" s="372">
        <v>6.9</v>
      </c>
      <c r="Q16" s="372">
        <v>6.7</v>
      </c>
      <c r="R16" s="372">
        <v>6.8</v>
      </c>
      <c r="S16" s="372">
        <v>6.8</v>
      </c>
      <c r="T16" s="372">
        <v>6.8</v>
      </c>
      <c r="U16" s="372">
        <v>6.7</v>
      </c>
      <c r="V16" s="372">
        <v>6.7</v>
      </c>
      <c r="W16" s="372">
        <v>6.5</v>
      </c>
      <c r="X16" s="372">
        <v>6.5</v>
      </c>
      <c r="Y16" s="372">
        <v>6.7</v>
      </c>
      <c r="Z16" s="372">
        <v>6.7</v>
      </c>
      <c r="AA16" s="372">
        <v>6.6</v>
      </c>
      <c r="AB16" s="372">
        <v>6.6</v>
      </c>
      <c r="AC16" s="372">
        <v>6.7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19.5</v>
      </c>
      <c r="G17" s="19">
        <f t="shared" ref="G17:AC17" si="1">SUM(G13:G16)</f>
        <v>19.5</v>
      </c>
      <c r="H17" s="19">
        <f t="shared" si="1"/>
        <v>20.100000000000001</v>
      </c>
      <c r="I17" s="19">
        <f t="shared" si="1"/>
        <v>19.399999999999999</v>
      </c>
      <c r="J17" s="19">
        <f t="shared" si="1"/>
        <v>13.4</v>
      </c>
      <c r="K17" s="19">
        <f t="shared" si="1"/>
        <v>13.4</v>
      </c>
      <c r="L17" s="19">
        <f t="shared" si="1"/>
        <v>17.2</v>
      </c>
      <c r="M17" s="19">
        <f t="shared" si="1"/>
        <v>18</v>
      </c>
      <c r="N17" s="19">
        <f t="shared" si="1"/>
        <v>20.700000000000003</v>
      </c>
      <c r="O17" s="19">
        <f t="shared" si="1"/>
        <v>21</v>
      </c>
      <c r="P17" s="19">
        <f t="shared" si="1"/>
        <v>27.6</v>
      </c>
      <c r="Q17" s="19">
        <f t="shared" si="1"/>
        <v>26.8</v>
      </c>
      <c r="R17" s="19">
        <f t="shared" si="1"/>
        <v>27.2</v>
      </c>
      <c r="S17" s="19">
        <f t="shared" si="1"/>
        <v>27.2</v>
      </c>
      <c r="T17" s="19">
        <f t="shared" si="1"/>
        <v>27.2</v>
      </c>
      <c r="U17" s="19">
        <f t="shared" si="1"/>
        <v>26.8</v>
      </c>
      <c r="V17" s="19">
        <f t="shared" si="1"/>
        <v>26.8</v>
      </c>
      <c r="W17" s="19">
        <f t="shared" si="1"/>
        <v>25.5</v>
      </c>
      <c r="X17" s="19">
        <f t="shared" si="1"/>
        <v>25.6</v>
      </c>
      <c r="Y17" s="19">
        <f t="shared" si="1"/>
        <v>26.499999999999996</v>
      </c>
      <c r="Z17" s="19">
        <f t="shared" si="1"/>
        <v>26.8</v>
      </c>
      <c r="AA17" s="19">
        <f t="shared" si="1"/>
        <v>26.4</v>
      </c>
      <c r="AB17" s="19">
        <f t="shared" si="1"/>
        <v>19.799999999999997</v>
      </c>
      <c r="AC17" s="19">
        <f t="shared" si="1"/>
        <v>20.100000000000001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88.399999999999991</v>
      </c>
    </row>
    <row r="19" spans="1:51">
      <c r="A19" s="14" t="s">
        <v>22</v>
      </c>
      <c r="B19" s="15"/>
      <c r="C19" s="15">
        <v>3</v>
      </c>
      <c r="D19" s="15"/>
      <c r="E19" s="15"/>
      <c r="F19" s="372">
        <v>2.6</v>
      </c>
      <c r="G19" s="372"/>
      <c r="H19" s="372"/>
      <c r="I19" s="372"/>
      <c r="J19" s="372"/>
      <c r="K19" s="374"/>
      <c r="L19" s="374"/>
      <c r="M19" s="374"/>
      <c r="N19" s="374"/>
      <c r="O19" s="372">
        <v>2.8</v>
      </c>
      <c r="P19" s="374">
        <v>2.6</v>
      </c>
      <c r="Q19" s="372">
        <v>2.8</v>
      </c>
      <c r="R19" s="372">
        <v>2.8</v>
      </c>
      <c r="S19" s="372">
        <v>2.8</v>
      </c>
      <c r="T19" s="372">
        <v>2.8</v>
      </c>
      <c r="U19" s="372">
        <v>2.8</v>
      </c>
      <c r="V19" s="372">
        <v>2.8</v>
      </c>
      <c r="W19" s="372">
        <v>2.6</v>
      </c>
      <c r="X19" s="372">
        <v>2.1</v>
      </c>
      <c r="Y19" s="372">
        <v>2.8</v>
      </c>
      <c r="Z19" s="372">
        <v>2</v>
      </c>
      <c r="AA19" s="372"/>
      <c r="AB19" s="372"/>
      <c r="AC19" s="372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13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372"/>
      <c r="G20" s="372"/>
      <c r="H20" s="372"/>
      <c r="I20" s="372"/>
      <c r="J20" s="372"/>
      <c r="K20" s="374"/>
      <c r="L20" s="374"/>
      <c r="M20" s="374"/>
      <c r="N20" s="372"/>
      <c r="O20" s="372"/>
      <c r="P20" s="372"/>
      <c r="Q20" s="372"/>
      <c r="R20" s="372"/>
      <c r="S20" s="372"/>
      <c r="T20" s="372"/>
      <c r="U20" s="372"/>
      <c r="V20" s="372"/>
      <c r="W20" s="372"/>
      <c r="X20" s="372"/>
      <c r="Y20" s="372"/>
      <c r="Z20" s="372"/>
      <c r="AA20" s="372"/>
      <c r="AB20" s="372"/>
      <c r="AC20" s="372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2" t="s">
        <v>9</v>
      </c>
      <c r="G21" s="372" t="s">
        <v>9</v>
      </c>
      <c r="H21" s="372" t="s">
        <v>9</v>
      </c>
      <c r="I21" s="372" t="s">
        <v>9</v>
      </c>
      <c r="J21" s="372" t="s">
        <v>9</v>
      </c>
      <c r="K21" s="374" t="s">
        <v>9</v>
      </c>
      <c r="L21" s="374">
        <v>0</v>
      </c>
      <c r="M21" s="374">
        <v>0</v>
      </c>
      <c r="N21" s="372">
        <v>0</v>
      </c>
      <c r="O21" s="372">
        <v>3.8</v>
      </c>
      <c r="P21" s="372">
        <v>3.6</v>
      </c>
      <c r="Q21" s="372">
        <v>3.8</v>
      </c>
      <c r="R21" s="372">
        <v>3.8</v>
      </c>
      <c r="S21" s="372">
        <v>3.8</v>
      </c>
      <c r="T21" s="372">
        <v>3.8</v>
      </c>
      <c r="U21" s="372">
        <v>3.8</v>
      </c>
      <c r="V21" s="372">
        <v>3.8</v>
      </c>
      <c r="W21" s="372">
        <v>3.5</v>
      </c>
      <c r="X21" s="372">
        <v>3</v>
      </c>
      <c r="Y21" s="372">
        <v>3.8</v>
      </c>
      <c r="Z21" s="372">
        <v>3</v>
      </c>
      <c r="AA21" s="372">
        <v>3.4</v>
      </c>
      <c r="AB21" s="372">
        <v>3.4</v>
      </c>
      <c r="AC21" s="372">
        <v>3.8</v>
      </c>
      <c r="AD21" s="41"/>
      <c r="AE21" s="41"/>
      <c r="AF21" s="11">
        <f>COUNTIF(F21:AC21,$AJ$8)</f>
        <v>6</v>
      </c>
      <c r="AG21" s="11">
        <f>COUNTIF(G21:AD21,$AJ$7)</f>
        <v>0</v>
      </c>
      <c r="AH21" s="11">
        <f>COUNT(F21:AC21)</f>
        <v>18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2.6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6.6</v>
      </c>
      <c r="P22" s="19">
        <f t="shared" si="3"/>
        <v>6.2</v>
      </c>
      <c r="Q22" s="19">
        <f t="shared" si="3"/>
        <v>6.6</v>
      </c>
      <c r="R22" s="19">
        <f t="shared" si="3"/>
        <v>6.6</v>
      </c>
      <c r="S22" s="19">
        <f>SUM(S19:S21)</f>
        <v>6.6</v>
      </c>
      <c r="T22" s="19">
        <f t="shared" ref="T22" si="4">SUM(T19:T21)</f>
        <v>6.6</v>
      </c>
      <c r="U22" s="19">
        <f t="shared" si="3"/>
        <v>6.6</v>
      </c>
      <c r="V22" s="19">
        <f t="shared" si="3"/>
        <v>6.6</v>
      </c>
      <c r="W22" s="19">
        <f t="shared" si="3"/>
        <v>6.1</v>
      </c>
      <c r="X22" s="19">
        <f t="shared" si="3"/>
        <v>5.0999999999999996</v>
      </c>
      <c r="Y22" s="19">
        <f t="shared" si="3"/>
        <v>6.6</v>
      </c>
      <c r="Z22" s="19">
        <f t="shared" si="3"/>
        <v>5</v>
      </c>
      <c r="AA22" s="19">
        <f t="shared" si="3"/>
        <v>3.4</v>
      </c>
      <c r="AB22" s="19">
        <f>SUM(AB19:AB21)</f>
        <v>3.4</v>
      </c>
      <c r="AC22" s="19">
        <f t="shared" si="3"/>
        <v>3.8</v>
      </c>
      <c r="AD22" s="41"/>
      <c r="AE22" s="41"/>
      <c r="AF22" s="11"/>
      <c r="AG22" s="11"/>
      <c r="AH22" s="11"/>
      <c r="AI22" s="400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409">
        <f>SUM(F24:AC24)</f>
        <v>68.299999999999983</v>
      </c>
    </row>
    <row r="24" spans="1:51">
      <c r="A24" s="14" t="s">
        <v>22</v>
      </c>
      <c r="B24" s="20"/>
      <c r="C24" s="15">
        <v>4.5</v>
      </c>
      <c r="D24" s="15"/>
      <c r="E24" s="15"/>
      <c r="F24" s="372"/>
      <c r="G24" s="372"/>
      <c r="H24" s="372"/>
      <c r="I24" s="372"/>
      <c r="J24" s="372">
        <v>3</v>
      </c>
      <c r="K24" s="374">
        <v>3</v>
      </c>
      <c r="L24" s="374">
        <v>3.8</v>
      </c>
      <c r="M24" s="374">
        <v>3</v>
      </c>
      <c r="N24" s="372">
        <v>3</v>
      </c>
      <c r="O24" s="372">
        <v>3.8</v>
      </c>
      <c r="P24" s="372">
        <v>3</v>
      </c>
      <c r="Q24" s="374">
        <v>3</v>
      </c>
      <c r="R24" s="372">
        <v>3.8</v>
      </c>
      <c r="S24" s="372">
        <v>3.8</v>
      </c>
      <c r="T24" s="372">
        <v>3.8</v>
      </c>
      <c r="U24" s="372">
        <v>3.8</v>
      </c>
      <c r="V24" s="372">
        <v>3.8</v>
      </c>
      <c r="W24" s="372">
        <v>3.8</v>
      </c>
      <c r="X24" s="372">
        <v>2.5</v>
      </c>
      <c r="Y24" s="372">
        <v>3.8</v>
      </c>
      <c r="Z24" s="372">
        <v>3</v>
      </c>
      <c r="AA24" s="372">
        <v>3</v>
      </c>
      <c r="AB24" s="372">
        <v>3.8</v>
      </c>
      <c r="AC24" s="372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20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3</v>
      </c>
      <c r="K25" s="19">
        <f t="shared" si="6"/>
        <v>3</v>
      </c>
      <c r="L25" s="19">
        <f t="shared" si="6"/>
        <v>3.8</v>
      </c>
      <c r="M25" s="19">
        <f t="shared" si="6"/>
        <v>3</v>
      </c>
      <c r="N25" s="19">
        <f t="shared" si="6"/>
        <v>3</v>
      </c>
      <c r="O25" s="19">
        <f t="shared" si="6"/>
        <v>3.8</v>
      </c>
      <c r="P25" s="19">
        <f t="shared" si="6"/>
        <v>3</v>
      </c>
      <c r="Q25" s="19">
        <f t="shared" si="6"/>
        <v>3</v>
      </c>
      <c r="R25" s="19">
        <f t="shared" si="6"/>
        <v>3.8</v>
      </c>
      <c r="S25" s="19">
        <f t="shared" si="6"/>
        <v>3.8</v>
      </c>
      <c r="T25" s="19">
        <f t="shared" si="6"/>
        <v>3.8</v>
      </c>
      <c r="U25" s="19">
        <f t="shared" si="6"/>
        <v>3.8</v>
      </c>
      <c r="V25" s="19">
        <f t="shared" si="6"/>
        <v>3.8</v>
      </c>
      <c r="W25" s="19">
        <f t="shared" si="6"/>
        <v>3.8</v>
      </c>
      <c r="X25" s="19">
        <f t="shared" si="6"/>
        <v>2.5</v>
      </c>
      <c r="Y25" s="19">
        <f t="shared" si="6"/>
        <v>3.8</v>
      </c>
      <c r="Z25" s="19">
        <f t="shared" si="6"/>
        <v>3</v>
      </c>
      <c r="AA25" s="19">
        <f t="shared" si="6"/>
        <v>3</v>
      </c>
      <c r="AB25" s="19">
        <f t="shared" si="6"/>
        <v>3.8</v>
      </c>
      <c r="AC25" s="19">
        <f t="shared" si="6"/>
        <v>3.8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86.3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2">
        <v>4.2</v>
      </c>
      <c r="G27" s="372">
        <v>3.9</v>
      </c>
      <c r="H27" s="372">
        <v>3</v>
      </c>
      <c r="I27" s="372">
        <v>2.9</v>
      </c>
      <c r="J27" s="374">
        <v>3.5</v>
      </c>
      <c r="K27" s="374">
        <v>3.8</v>
      </c>
      <c r="L27" s="374">
        <v>3.5</v>
      </c>
      <c r="M27" s="374">
        <v>2.8</v>
      </c>
      <c r="N27" s="372">
        <v>4</v>
      </c>
      <c r="O27" s="372">
        <v>4.0999999999999996</v>
      </c>
      <c r="P27" s="372">
        <v>3</v>
      </c>
      <c r="Q27" s="372">
        <v>4</v>
      </c>
      <c r="R27" s="372">
        <v>4.0999999999999996</v>
      </c>
      <c r="S27" s="372">
        <v>4</v>
      </c>
      <c r="T27" s="374">
        <v>4</v>
      </c>
      <c r="U27" s="374">
        <v>3.9</v>
      </c>
      <c r="V27" s="372">
        <v>3.8</v>
      </c>
      <c r="W27" s="372">
        <v>3.5</v>
      </c>
      <c r="X27" s="372">
        <v>3.5</v>
      </c>
      <c r="Y27" s="372">
        <v>3.6</v>
      </c>
      <c r="Z27" s="372">
        <v>3</v>
      </c>
      <c r="AA27" s="372">
        <v>3</v>
      </c>
      <c r="AB27" s="372">
        <v>3</v>
      </c>
      <c r="AC27" s="372">
        <v>4.2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2" t="s">
        <v>9</v>
      </c>
      <c r="G28" s="372" t="s">
        <v>9</v>
      </c>
      <c r="H28" s="372" t="s">
        <v>9</v>
      </c>
      <c r="I28" s="372" t="s">
        <v>9</v>
      </c>
      <c r="J28" s="372" t="s">
        <v>9</v>
      </c>
      <c r="K28" s="374" t="s">
        <v>9</v>
      </c>
      <c r="L28" s="374" t="s">
        <v>9</v>
      </c>
      <c r="M28" s="374" t="s">
        <v>9</v>
      </c>
      <c r="N28" s="372" t="s">
        <v>9</v>
      </c>
      <c r="O28" s="372" t="s">
        <v>9</v>
      </c>
      <c r="P28" s="372" t="s">
        <v>9</v>
      </c>
      <c r="Q28" s="372" t="s">
        <v>9</v>
      </c>
      <c r="R28" s="372" t="s">
        <v>9</v>
      </c>
      <c r="S28" s="372" t="s">
        <v>9</v>
      </c>
      <c r="T28" s="374" t="s">
        <v>9</v>
      </c>
      <c r="U28" s="374" t="s">
        <v>9</v>
      </c>
      <c r="V28" s="372" t="s">
        <v>9</v>
      </c>
      <c r="W28" s="372" t="s">
        <v>9</v>
      </c>
      <c r="X28" s="372" t="s">
        <v>9</v>
      </c>
      <c r="Y28" s="372" t="s">
        <v>9</v>
      </c>
      <c r="Z28" s="372" t="s">
        <v>9</v>
      </c>
      <c r="AA28" s="372" t="s">
        <v>9</v>
      </c>
      <c r="AB28" s="372" t="s">
        <v>9</v>
      </c>
      <c r="AC28" s="372" t="s">
        <v>9</v>
      </c>
      <c r="AD28" s="41"/>
      <c r="AE28" s="41"/>
      <c r="AF28" s="11">
        <f>COUNTIF(F28:AC28,$AJ$8)</f>
        <v>24</v>
      </c>
      <c r="AG28" s="11">
        <f>COUNTIF(G28:AD28,$AJ$7)</f>
        <v>0</v>
      </c>
      <c r="AH28" s="11">
        <f>COUNT(F28:AC28)</f>
        <v>0</v>
      </c>
      <c r="AI28" s="159">
        <f>SUM(F29:AC30)</f>
        <v>35.299999999999997</v>
      </c>
    </row>
    <row r="29" spans="1:51" ht="15" customHeight="1">
      <c r="A29" s="14" t="s">
        <v>30</v>
      </c>
      <c r="B29" s="369"/>
      <c r="C29" s="370">
        <v>8.8000000000000007</v>
      </c>
      <c r="D29" s="371"/>
      <c r="E29" s="371"/>
      <c r="F29" s="372"/>
      <c r="G29" s="372"/>
      <c r="H29" s="372"/>
      <c r="I29" s="372"/>
      <c r="J29" s="372"/>
      <c r="K29" s="374"/>
      <c r="L29" s="374"/>
      <c r="M29" s="374"/>
      <c r="N29" s="374"/>
      <c r="O29" s="374"/>
      <c r="P29" s="374"/>
      <c r="Q29" s="374"/>
      <c r="R29" s="374"/>
      <c r="S29" s="374"/>
      <c r="T29" s="374">
        <v>5</v>
      </c>
      <c r="U29" s="374">
        <v>5.2</v>
      </c>
      <c r="V29" s="374">
        <v>5.2</v>
      </c>
      <c r="W29" s="374">
        <v>4.7</v>
      </c>
      <c r="X29" s="372">
        <v>2.8</v>
      </c>
      <c r="Y29" s="372">
        <v>5.6</v>
      </c>
      <c r="Z29" s="374">
        <v>3</v>
      </c>
      <c r="AA29" s="372">
        <v>3</v>
      </c>
      <c r="AB29" s="372"/>
      <c r="AC29" s="372"/>
    </row>
    <row r="30" spans="1:51" ht="15" customHeight="1">
      <c r="A30" s="14" t="s">
        <v>31</v>
      </c>
      <c r="B30" s="369"/>
      <c r="C30" s="370">
        <v>8.8000000000000007</v>
      </c>
      <c r="D30" s="371"/>
      <c r="E30" s="371"/>
      <c r="F30" s="372"/>
      <c r="G30" s="372"/>
      <c r="H30" s="372"/>
      <c r="I30" s="372"/>
      <c r="J30" s="372"/>
      <c r="K30" s="374"/>
      <c r="L30" s="374"/>
      <c r="M30" s="374"/>
      <c r="N30" s="372"/>
      <c r="O30" s="372"/>
      <c r="P30" s="372"/>
      <c r="Q30" s="372"/>
      <c r="R30" s="372"/>
      <c r="S30" s="372"/>
      <c r="T30" s="372"/>
      <c r="U30" s="372"/>
      <c r="V30" s="372"/>
      <c r="W30" s="372"/>
      <c r="X30" s="372">
        <v>0.8</v>
      </c>
      <c r="Y30" s="372"/>
      <c r="Z30" s="372"/>
      <c r="AA30" s="372"/>
      <c r="AB30" s="372"/>
      <c r="AC30" s="372"/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SUM(F27:F29)</f>
        <v>4.2</v>
      </c>
      <c r="G31" s="19">
        <f t="shared" ref="G31:AC31" si="8">SUM(G27:G29)</f>
        <v>3.9</v>
      </c>
      <c r="H31" s="19">
        <f t="shared" si="8"/>
        <v>3</v>
      </c>
      <c r="I31" s="19">
        <f t="shared" si="8"/>
        <v>2.9</v>
      </c>
      <c r="J31" s="19">
        <f t="shared" si="8"/>
        <v>3.5</v>
      </c>
      <c r="K31" s="19">
        <f t="shared" si="8"/>
        <v>3.8</v>
      </c>
      <c r="L31" s="19">
        <f t="shared" si="8"/>
        <v>3.5</v>
      </c>
      <c r="M31" s="19">
        <f t="shared" si="8"/>
        <v>2.8</v>
      </c>
      <c r="N31" s="19">
        <f t="shared" si="8"/>
        <v>4</v>
      </c>
      <c r="O31" s="19">
        <f t="shared" si="8"/>
        <v>4.0999999999999996</v>
      </c>
      <c r="P31" s="19">
        <f t="shared" si="8"/>
        <v>3</v>
      </c>
      <c r="Q31" s="19">
        <f t="shared" si="8"/>
        <v>4</v>
      </c>
      <c r="R31" s="19">
        <f t="shared" si="8"/>
        <v>4.0999999999999996</v>
      </c>
      <c r="S31" s="19">
        <f t="shared" si="8"/>
        <v>4</v>
      </c>
      <c r="T31" s="19">
        <f>SUM(T27:T29)</f>
        <v>9</v>
      </c>
      <c r="U31" s="19">
        <f t="shared" si="8"/>
        <v>9.1</v>
      </c>
      <c r="V31" s="19">
        <f t="shared" si="8"/>
        <v>9</v>
      </c>
      <c r="W31" s="19">
        <f t="shared" si="8"/>
        <v>8.1999999999999993</v>
      </c>
      <c r="X31" s="19">
        <f t="shared" si="8"/>
        <v>6.3</v>
      </c>
      <c r="Y31" s="19">
        <f t="shared" si="8"/>
        <v>9.1999999999999993</v>
      </c>
      <c r="Z31" s="19">
        <f t="shared" si="8"/>
        <v>6</v>
      </c>
      <c r="AA31" s="19">
        <f t="shared" si="8"/>
        <v>6</v>
      </c>
      <c r="AB31" s="19">
        <f t="shared" si="8"/>
        <v>3</v>
      </c>
      <c r="AC31" s="19">
        <f t="shared" si="8"/>
        <v>4.2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330.72999999999996</v>
      </c>
    </row>
    <row r="33" spans="1:36">
      <c r="A33" s="14" t="s">
        <v>22</v>
      </c>
      <c r="B33" s="15"/>
      <c r="C33" s="15">
        <v>15</v>
      </c>
      <c r="D33" s="15"/>
      <c r="E33" s="15"/>
      <c r="F33" s="372">
        <v>14.24</v>
      </c>
      <c r="G33" s="372">
        <v>13.3</v>
      </c>
      <c r="H33" s="374">
        <v>12.8</v>
      </c>
      <c r="I33" s="372">
        <v>12.78</v>
      </c>
      <c r="J33" s="372">
        <v>13.3</v>
      </c>
      <c r="K33" s="374">
        <v>14.24</v>
      </c>
      <c r="L33" s="374">
        <v>14.3</v>
      </c>
      <c r="M33" s="374">
        <v>12.77</v>
      </c>
      <c r="N33" s="372">
        <v>12.76</v>
      </c>
      <c r="O33" s="372">
        <v>14.28</v>
      </c>
      <c r="P33" s="372">
        <v>14.3</v>
      </c>
      <c r="Q33" s="372">
        <v>14.28</v>
      </c>
      <c r="R33" s="372">
        <v>14.29</v>
      </c>
      <c r="S33" s="372">
        <v>14.27</v>
      </c>
      <c r="T33" s="372">
        <v>14.28</v>
      </c>
      <c r="U33" s="372">
        <v>14.28</v>
      </c>
      <c r="V33" s="372">
        <v>14.3</v>
      </c>
      <c r="W33" s="374">
        <v>14.28</v>
      </c>
      <c r="X33" s="372">
        <v>13.29</v>
      </c>
      <c r="Y33" s="372">
        <v>13.29</v>
      </c>
      <c r="Z33" s="372">
        <v>13.28</v>
      </c>
      <c r="AA33" s="372">
        <v>13.27</v>
      </c>
      <c r="AB33" s="372">
        <v>14.27</v>
      </c>
      <c r="AC33" s="372">
        <v>14.28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9">SUM(F33)</f>
        <v>14.24</v>
      </c>
      <c r="G34" s="19">
        <f t="shared" ref="G34:AC34" si="10">SUM(G33)</f>
        <v>13.3</v>
      </c>
      <c r="H34" s="19">
        <f t="shared" si="10"/>
        <v>12.8</v>
      </c>
      <c r="I34" s="19">
        <f t="shared" si="10"/>
        <v>12.78</v>
      </c>
      <c r="J34" s="19">
        <f t="shared" si="10"/>
        <v>13.3</v>
      </c>
      <c r="K34" s="19">
        <f t="shared" si="10"/>
        <v>14.24</v>
      </c>
      <c r="L34" s="19">
        <f t="shared" si="10"/>
        <v>14.3</v>
      </c>
      <c r="M34" s="19">
        <f t="shared" si="10"/>
        <v>12.77</v>
      </c>
      <c r="N34" s="19">
        <f t="shared" si="10"/>
        <v>12.76</v>
      </c>
      <c r="O34" s="19">
        <f t="shared" si="10"/>
        <v>14.28</v>
      </c>
      <c r="P34" s="19">
        <f t="shared" si="10"/>
        <v>14.3</v>
      </c>
      <c r="Q34" s="19">
        <f t="shared" si="10"/>
        <v>14.28</v>
      </c>
      <c r="R34" s="19">
        <f t="shared" si="10"/>
        <v>14.29</v>
      </c>
      <c r="S34" s="19">
        <f t="shared" si="10"/>
        <v>14.27</v>
      </c>
      <c r="T34" s="19">
        <f t="shared" si="10"/>
        <v>14.28</v>
      </c>
      <c r="U34" s="19">
        <f t="shared" si="10"/>
        <v>14.28</v>
      </c>
      <c r="V34" s="19">
        <f t="shared" si="10"/>
        <v>14.3</v>
      </c>
      <c r="W34" s="19">
        <f t="shared" si="10"/>
        <v>14.28</v>
      </c>
      <c r="X34" s="19">
        <f t="shared" si="10"/>
        <v>13.29</v>
      </c>
      <c r="Y34" s="19">
        <f t="shared" si="10"/>
        <v>13.29</v>
      </c>
      <c r="Z34" s="19">
        <f t="shared" si="10"/>
        <v>13.28</v>
      </c>
      <c r="AA34" s="19">
        <f t="shared" si="10"/>
        <v>13.27</v>
      </c>
      <c r="AB34" s="19">
        <f t="shared" si="10"/>
        <v>14.27</v>
      </c>
      <c r="AC34" s="19">
        <f t="shared" si="10"/>
        <v>14.28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13" t="s">
        <v>21</v>
      </c>
      <c r="G35" s="13" t="s">
        <v>21</v>
      </c>
      <c r="H35" s="13" t="s">
        <v>21</v>
      </c>
      <c r="I35" s="13" t="s">
        <v>21</v>
      </c>
      <c r="J35" s="13" t="s">
        <v>21</v>
      </c>
      <c r="K35" s="13" t="s">
        <v>21</v>
      </c>
      <c r="L35" s="13" t="s">
        <v>21</v>
      </c>
      <c r="M35" s="13" t="s">
        <v>21</v>
      </c>
      <c r="N35" s="13" t="s">
        <v>21</v>
      </c>
      <c r="O35" s="13" t="s">
        <v>21</v>
      </c>
      <c r="P35" s="13" t="s">
        <v>21</v>
      </c>
      <c r="Q35" s="13" t="s">
        <v>21</v>
      </c>
      <c r="R35" s="13" t="s">
        <v>21</v>
      </c>
      <c r="S35" s="13" t="s">
        <v>21</v>
      </c>
      <c r="T35" s="13" t="s">
        <v>21</v>
      </c>
      <c r="U35" s="13" t="s">
        <v>21</v>
      </c>
      <c r="V35" s="13" t="s">
        <v>21</v>
      </c>
      <c r="W35" s="418" t="s">
        <v>34</v>
      </c>
      <c r="X35" s="13" t="s">
        <v>21</v>
      </c>
      <c r="Y35" s="13" t="s">
        <v>21</v>
      </c>
      <c r="Z35" s="13" t="s">
        <v>21</v>
      </c>
      <c r="AA35" s="13" t="s">
        <v>21</v>
      </c>
      <c r="AB35" s="13" t="s">
        <v>21</v>
      </c>
      <c r="AC35" s="13" t="s">
        <v>21</v>
      </c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35</v>
      </c>
    </row>
    <row r="36" spans="1:36">
      <c r="A36" s="70" t="s">
        <v>36</v>
      </c>
      <c r="B36" s="15"/>
      <c r="C36" s="15"/>
      <c r="D36" s="15"/>
      <c r="E36" s="15"/>
      <c r="F36" s="372"/>
      <c r="G36" s="372"/>
      <c r="H36" s="372"/>
      <c r="I36" s="372"/>
      <c r="J36" s="372"/>
      <c r="K36" s="374"/>
      <c r="L36" s="374"/>
      <c r="M36" s="374"/>
      <c r="N36" s="372"/>
      <c r="O36" s="372"/>
      <c r="P36" s="372"/>
      <c r="Q36" s="372"/>
      <c r="R36" s="372"/>
      <c r="S36" s="372"/>
      <c r="T36" s="372"/>
      <c r="U36" s="372"/>
      <c r="V36" s="372"/>
      <c r="W36" s="372"/>
      <c r="X36" s="372"/>
      <c r="Y36" s="372"/>
      <c r="Z36" s="372"/>
      <c r="AA36" s="372"/>
      <c r="AB36" s="372"/>
      <c r="AC36" s="372"/>
      <c r="AD36" s="41"/>
      <c r="AE36" s="41"/>
      <c r="AF36" s="11">
        <f t="shared" ref="AF36:AF59" si="11">COUNTIF(F36:AC36,$AJ$8)</f>
        <v>0</v>
      </c>
      <c r="AG36" s="11">
        <f t="shared" ref="AG36:AG59" si="12">COUNTIF(G36:AD36,$AJ$7)</f>
        <v>0</v>
      </c>
      <c r="AH36" s="11">
        <f t="shared" ref="AH36:AH59" si="13">COUNT(F36:AC36)</f>
        <v>0</v>
      </c>
      <c r="AI36" s="159">
        <f>SUM(F36:AC38,F40:AC40,F45:AC59)</f>
        <v>9.1</v>
      </c>
      <c r="AJ36" t="s">
        <v>37</v>
      </c>
    </row>
    <row r="37" spans="1:36">
      <c r="A37" s="70" t="s">
        <v>38</v>
      </c>
      <c r="B37" s="15"/>
      <c r="C37" s="15"/>
      <c r="D37" s="15"/>
      <c r="E37" s="15"/>
      <c r="F37" s="372"/>
      <c r="G37" s="372"/>
      <c r="H37" s="372"/>
      <c r="I37" s="372"/>
      <c r="J37" s="372"/>
      <c r="K37" s="374"/>
      <c r="L37" s="374"/>
      <c r="M37" s="374"/>
      <c r="N37" s="372"/>
      <c r="O37" s="372"/>
      <c r="P37" s="372"/>
      <c r="Q37" s="372"/>
      <c r="R37" s="372"/>
      <c r="S37" s="372"/>
      <c r="T37" s="372"/>
      <c r="U37" s="372"/>
      <c r="V37" s="372"/>
      <c r="W37" s="372"/>
      <c r="X37" s="372"/>
      <c r="Y37" s="372"/>
      <c r="Z37" s="372"/>
      <c r="AA37" s="372"/>
      <c r="AB37" s="372"/>
      <c r="AC37" s="372"/>
      <c r="AD37" s="41"/>
      <c r="AE37" s="41"/>
      <c r="AF37" s="11">
        <f t="shared" si="11"/>
        <v>0</v>
      </c>
      <c r="AG37" s="11">
        <f t="shared" si="12"/>
        <v>0</v>
      </c>
      <c r="AH37" s="11">
        <f t="shared" si="13"/>
        <v>0</v>
      </c>
    </row>
    <row r="38" spans="1:36">
      <c r="A38" s="70" t="s">
        <v>39</v>
      </c>
      <c r="B38" s="15"/>
      <c r="C38" s="15"/>
      <c r="D38" s="15"/>
      <c r="E38" s="15"/>
      <c r="F38" s="372"/>
      <c r="G38" s="372"/>
      <c r="H38" s="372"/>
      <c r="I38" s="372"/>
      <c r="J38" s="372"/>
      <c r="K38" s="374"/>
      <c r="L38" s="374"/>
      <c r="M38" s="374"/>
      <c r="N38" s="372"/>
      <c r="O38" s="372"/>
      <c r="P38" s="372"/>
      <c r="Q38" s="372"/>
      <c r="R38" s="372"/>
      <c r="S38" s="372"/>
      <c r="T38" s="372"/>
      <c r="U38" s="372"/>
      <c r="V38" s="372"/>
      <c r="W38" s="372"/>
      <c r="X38" s="372"/>
      <c r="Y38" s="372"/>
      <c r="Z38" s="372"/>
      <c r="AA38" s="372"/>
      <c r="AB38" s="372"/>
      <c r="AC38" s="372"/>
      <c r="AD38" s="41"/>
      <c r="AE38" s="41"/>
      <c r="AF38" s="11">
        <f t="shared" si="11"/>
        <v>0</v>
      </c>
      <c r="AG38" s="11">
        <f t="shared" si="12"/>
        <v>0</v>
      </c>
      <c r="AH38" s="11">
        <f t="shared" si="13"/>
        <v>0</v>
      </c>
    </row>
    <row r="39" spans="1:36">
      <c r="A39" s="70">
        <v>34</v>
      </c>
      <c r="B39" s="15"/>
      <c r="C39" s="15"/>
      <c r="D39" s="15"/>
      <c r="E39" s="15"/>
      <c r="F39" s="372" t="s">
        <v>9</v>
      </c>
      <c r="G39" s="372" t="s">
        <v>9</v>
      </c>
      <c r="H39" s="372" t="s">
        <v>9</v>
      </c>
      <c r="I39" s="372" t="s">
        <v>9</v>
      </c>
      <c r="J39" s="372" t="s">
        <v>9</v>
      </c>
      <c r="K39" s="374" t="s">
        <v>9</v>
      </c>
      <c r="L39" s="374" t="s">
        <v>9</v>
      </c>
      <c r="M39" s="374" t="s">
        <v>9</v>
      </c>
      <c r="N39" s="372" t="s">
        <v>9</v>
      </c>
      <c r="O39" s="372" t="s">
        <v>9</v>
      </c>
      <c r="P39" s="372" t="s">
        <v>9</v>
      </c>
      <c r="Q39" s="372" t="s">
        <v>9</v>
      </c>
      <c r="R39" s="372" t="s">
        <v>9</v>
      </c>
      <c r="S39" s="372" t="s">
        <v>9</v>
      </c>
      <c r="T39" s="372" t="s">
        <v>9</v>
      </c>
      <c r="U39" s="372" t="s">
        <v>9</v>
      </c>
      <c r="V39" s="372" t="s">
        <v>9</v>
      </c>
      <c r="W39" s="372" t="s">
        <v>9</v>
      </c>
      <c r="X39" s="372" t="s">
        <v>9</v>
      </c>
      <c r="Y39" s="372" t="s">
        <v>9</v>
      </c>
      <c r="Z39" s="372" t="s">
        <v>9</v>
      </c>
      <c r="AA39" s="372" t="s">
        <v>9</v>
      </c>
      <c r="AB39" s="372" t="s">
        <v>9</v>
      </c>
      <c r="AC39" s="372" t="s">
        <v>9</v>
      </c>
      <c r="AD39" s="41"/>
      <c r="AE39" s="41"/>
      <c r="AF39" s="11">
        <f t="shared" si="11"/>
        <v>24</v>
      </c>
      <c r="AG39" s="11">
        <f t="shared" si="12"/>
        <v>0</v>
      </c>
      <c r="AH39" s="11">
        <f t="shared" si="13"/>
        <v>0</v>
      </c>
    </row>
    <row r="40" spans="1:36">
      <c r="A40" s="70">
        <v>35</v>
      </c>
      <c r="B40" s="15"/>
      <c r="C40" s="15">
        <v>0.85</v>
      </c>
      <c r="D40" s="15"/>
      <c r="E40" s="15"/>
      <c r="F40" s="372"/>
      <c r="G40" s="372"/>
      <c r="H40" s="372"/>
      <c r="I40" s="372"/>
      <c r="J40" s="372"/>
      <c r="K40" s="374"/>
      <c r="L40" s="374"/>
      <c r="M40" s="374"/>
      <c r="N40" s="372"/>
      <c r="O40" s="372"/>
      <c r="P40" s="372"/>
      <c r="Q40" s="372"/>
      <c r="R40" s="372"/>
      <c r="S40" s="372"/>
      <c r="T40" s="372"/>
      <c r="U40" s="372"/>
      <c r="V40" s="372"/>
      <c r="W40" s="372"/>
      <c r="X40" s="372"/>
      <c r="Y40" s="372"/>
      <c r="Z40" s="372"/>
      <c r="AA40" s="372"/>
      <c r="AB40" s="372"/>
      <c r="AC40" s="372"/>
      <c r="AD40" s="41"/>
      <c r="AE40" s="41"/>
      <c r="AF40" s="11">
        <f t="shared" si="11"/>
        <v>0</v>
      </c>
      <c r="AG40" s="11">
        <f t="shared" si="12"/>
        <v>0</v>
      </c>
      <c r="AH40" s="11">
        <f t="shared" si="13"/>
        <v>0</v>
      </c>
    </row>
    <row r="41" spans="1:36">
      <c r="A41" s="70">
        <v>36</v>
      </c>
      <c r="B41" s="15"/>
      <c r="C41" s="15">
        <v>1</v>
      </c>
      <c r="D41" s="15"/>
      <c r="E41" s="15"/>
      <c r="F41" s="372"/>
      <c r="G41" s="372"/>
      <c r="H41" s="372"/>
      <c r="I41" s="372"/>
      <c r="J41" s="372"/>
      <c r="K41" s="374"/>
      <c r="L41" s="374"/>
      <c r="M41" s="374"/>
      <c r="N41" s="372"/>
      <c r="O41" s="372"/>
      <c r="P41" s="372"/>
      <c r="Q41" s="372"/>
      <c r="R41" s="372"/>
      <c r="S41" s="372"/>
      <c r="T41" s="372"/>
      <c r="U41" s="372"/>
      <c r="V41" s="372"/>
      <c r="W41" s="372"/>
      <c r="X41" s="372"/>
      <c r="Y41" s="372"/>
      <c r="Z41" s="372"/>
      <c r="AA41" s="372"/>
      <c r="AB41" s="372"/>
      <c r="AC41" s="372"/>
      <c r="AD41" s="41"/>
      <c r="AE41" s="41"/>
      <c r="AF41" s="11">
        <f t="shared" si="11"/>
        <v>0</v>
      </c>
      <c r="AG41" s="11">
        <f t="shared" si="12"/>
        <v>0</v>
      </c>
      <c r="AH41" s="11">
        <f t="shared" si="13"/>
        <v>0</v>
      </c>
    </row>
    <row r="42" spans="1:36">
      <c r="A42" s="70">
        <v>37</v>
      </c>
      <c r="B42" s="15"/>
      <c r="C42" s="15">
        <v>1</v>
      </c>
      <c r="D42" s="15"/>
      <c r="E42" s="15"/>
      <c r="F42" s="372"/>
      <c r="G42" s="372"/>
      <c r="H42" s="372"/>
      <c r="I42" s="372"/>
      <c r="J42" s="372"/>
      <c r="K42" s="374"/>
      <c r="L42" s="374"/>
      <c r="M42" s="374"/>
      <c r="N42" s="372"/>
      <c r="O42" s="372"/>
      <c r="P42" s="372"/>
      <c r="Q42" s="372"/>
      <c r="R42" s="372"/>
      <c r="S42" s="372"/>
      <c r="T42" s="372"/>
      <c r="U42" s="372"/>
      <c r="V42" s="372"/>
      <c r="W42" s="372"/>
      <c r="X42" s="372"/>
      <c r="Y42" s="372"/>
      <c r="Z42" s="372"/>
      <c r="AA42" s="372"/>
      <c r="AB42" s="372"/>
      <c r="AC42" s="372"/>
      <c r="AD42" s="41"/>
      <c r="AE42" s="41"/>
      <c r="AF42" s="11">
        <f t="shared" si="11"/>
        <v>0</v>
      </c>
      <c r="AG42" s="11">
        <f t="shared" si="12"/>
        <v>0</v>
      </c>
      <c r="AH42" s="11">
        <f t="shared" si="13"/>
        <v>0</v>
      </c>
    </row>
    <row r="43" spans="1:36">
      <c r="A43" s="70">
        <v>38</v>
      </c>
      <c r="B43" s="15"/>
      <c r="C43" s="15"/>
      <c r="D43" s="15"/>
      <c r="E43" s="15"/>
      <c r="F43" s="372" t="s">
        <v>9</v>
      </c>
      <c r="G43" s="372" t="s">
        <v>9</v>
      </c>
      <c r="H43" s="372" t="s">
        <v>9</v>
      </c>
      <c r="I43" s="372" t="s">
        <v>9</v>
      </c>
      <c r="J43" s="372" t="s">
        <v>9</v>
      </c>
      <c r="K43" s="374" t="s">
        <v>9</v>
      </c>
      <c r="L43" s="374" t="s">
        <v>9</v>
      </c>
      <c r="M43" s="374" t="s">
        <v>9</v>
      </c>
      <c r="N43" s="372" t="s">
        <v>9</v>
      </c>
      <c r="O43" s="372" t="s">
        <v>9</v>
      </c>
      <c r="P43" s="372" t="s">
        <v>9</v>
      </c>
      <c r="Q43" s="372" t="s">
        <v>9</v>
      </c>
      <c r="R43" s="372" t="s">
        <v>9</v>
      </c>
      <c r="S43" s="372" t="s">
        <v>9</v>
      </c>
      <c r="T43" s="372" t="s">
        <v>9</v>
      </c>
      <c r="U43" s="372" t="s">
        <v>9</v>
      </c>
      <c r="V43" s="372" t="s">
        <v>9</v>
      </c>
      <c r="W43" s="372" t="s">
        <v>9</v>
      </c>
      <c r="X43" s="372" t="s">
        <v>9</v>
      </c>
      <c r="Y43" s="372" t="s">
        <v>9</v>
      </c>
      <c r="Z43" s="372" t="s">
        <v>9</v>
      </c>
      <c r="AA43" s="372" t="s">
        <v>9</v>
      </c>
      <c r="AB43" s="372" t="s">
        <v>9</v>
      </c>
      <c r="AC43" s="372" t="s">
        <v>9</v>
      </c>
      <c r="AD43" s="41"/>
      <c r="AE43" s="41"/>
      <c r="AF43" s="11">
        <f t="shared" si="11"/>
        <v>24</v>
      </c>
      <c r="AG43" s="11">
        <f t="shared" si="12"/>
        <v>0</v>
      </c>
      <c r="AH43" s="11">
        <f t="shared" si="13"/>
        <v>0</v>
      </c>
    </row>
    <row r="44" spans="1:36" ht="16.5" customHeight="1">
      <c r="A44" s="70">
        <v>39</v>
      </c>
      <c r="B44" s="15"/>
      <c r="C44" s="15">
        <v>1</v>
      </c>
      <c r="D44" s="15"/>
      <c r="E44" s="15"/>
      <c r="F44" s="372" t="s">
        <v>9</v>
      </c>
      <c r="G44" s="372" t="s">
        <v>9</v>
      </c>
      <c r="H44" s="372" t="s">
        <v>9</v>
      </c>
      <c r="I44" s="372" t="s">
        <v>9</v>
      </c>
      <c r="J44" s="372" t="s">
        <v>9</v>
      </c>
      <c r="K44" s="372" t="s">
        <v>9</v>
      </c>
      <c r="L44" s="374" t="s">
        <v>9</v>
      </c>
      <c r="M44" s="374" t="s">
        <v>9</v>
      </c>
      <c r="N44" s="372" t="s">
        <v>9</v>
      </c>
      <c r="O44" s="372" t="s">
        <v>9</v>
      </c>
      <c r="P44" s="372" t="s">
        <v>9</v>
      </c>
      <c r="Q44" s="372" t="s">
        <v>9</v>
      </c>
      <c r="R44" s="372" t="s">
        <v>9</v>
      </c>
      <c r="S44" s="372" t="s">
        <v>9</v>
      </c>
      <c r="T44" s="372" t="s">
        <v>9</v>
      </c>
      <c r="U44" s="372" t="s">
        <v>9</v>
      </c>
      <c r="V44" s="372" t="s">
        <v>9</v>
      </c>
      <c r="W44" s="372" t="s">
        <v>9</v>
      </c>
      <c r="X44" s="372" t="s">
        <v>9</v>
      </c>
      <c r="Y44" s="372" t="s">
        <v>9</v>
      </c>
      <c r="Z44" s="372" t="s">
        <v>9</v>
      </c>
      <c r="AA44" s="372" t="s">
        <v>9</v>
      </c>
      <c r="AB44" s="372" t="s">
        <v>9</v>
      </c>
      <c r="AC44" s="372" t="s">
        <v>9</v>
      </c>
      <c r="AD44" s="41"/>
      <c r="AE44" s="41"/>
      <c r="AF44" s="11">
        <f t="shared" si="11"/>
        <v>24</v>
      </c>
      <c r="AG44" s="11">
        <f t="shared" si="12"/>
        <v>0</v>
      </c>
      <c r="AH44" s="11">
        <f t="shared" si="13"/>
        <v>0</v>
      </c>
    </row>
    <row r="45" spans="1:36" ht="16.5" customHeight="1">
      <c r="A45" s="70" t="s">
        <v>40</v>
      </c>
      <c r="B45" s="15"/>
      <c r="C45" s="15">
        <v>0.85</v>
      </c>
      <c r="D45" s="15"/>
      <c r="E45" s="15"/>
      <c r="F45" s="372"/>
      <c r="G45" s="372"/>
      <c r="H45" s="372"/>
      <c r="I45" s="372"/>
      <c r="J45" s="372"/>
      <c r="K45" s="372"/>
      <c r="L45" s="372"/>
      <c r="M45" s="372"/>
      <c r="N45" s="372"/>
      <c r="O45" s="372"/>
      <c r="P45" s="372"/>
      <c r="Q45" s="372"/>
      <c r="R45" s="372"/>
      <c r="S45" s="372"/>
      <c r="T45" s="372"/>
      <c r="U45" s="372"/>
      <c r="V45" s="372"/>
      <c r="W45" s="372"/>
      <c r="X45" s="372"/>
      <c r="Y45" s="372"/>
      <c r="Z45" s="372"/>
      <c r="AA45" s="372"/>
      <c r="AB45" s="372"/>
      <c r="AC45" s="372"/>
      <c r="AD45" s="41"/>
      <c r="AE45" s="41"/>
      <c r="AF45" s="11">
        <f t="shared" si="11"/>
        <v>0</v>
      </c>
      <c r="AG45" s="11">
        <f t="shared" si="12"/>
        <v>0</v>
      </c>
      <c r="AH45" s="11">
        <f t="shared" si="13"/>
        <v>0</v>
      </c>
      <c r="AI45" s="159"/>
    </row>
    <row r="46" spans="1:36">
      <c r="A46" s="70" t="s">
        <v>41</v>
      </c>
      <c r="B46" s="15"/>
      <c r="C46" s="15">
        <v>0.75</v>
      </c>
      <c r="D46" s="15"/>
      <c r="E46" s="15"/>
      <c r="F46" s="372"/>
      <c r="G46" s="372"/>
      <c r="H46" s="372"/>
      <c r="I46" s="372"/>
      <c r="J46" s="372"/>
      <c r="K46" s="372"/>
      <c r="L46" s="372"/>
      <c r="M46" s="374"/>
      <c r="N46" s="372"/>
      <c r="O46" s="372"/>
      <c r="P46" s="372"/>
      <c r="Q46" s="372"/>
      <c r="R46" s="372"/>
      <c r="S46" s="372"/>
      <c r="T46" s="372"/>
      <c r="U46" s="372"/>
      <c r="V46" s="372"/>
      <c r="W46" s="372"/>
      <c r="X46" s="372"/>
      <c r="Y46" s="372"/>
      <c r="Z46" s="372"/>
      <c r="AA46" s="372"/>
      <c r="AB46" s="372"/>
      <c r="AC46" s="372"/>
      <c r="AD46" s="41"/>
      <c r="AE46" s="41"/>
      <c r="AF46" s="11">
        <f t="shared" si="11"/>
        <v>0</v>
      </c>
      <c r="AG46" s="11">
        <f t="shared" si="12"/>
        <v>0</v>
      </c>
      <c r="AH46" s="11">
        <f t="shared" si="13"/>
        <v>0</v>
      </c>
      <c r="AI46" s="159"/>
    </row>
    <row r="47" spans="1:36">
      <c r="A47" s="70" t="s">
        <v>42</v>
      </c>
      <c r="B47" s="15"/>
      <c r="C47" s="15">
        <v>0.75</v>
      </c>
      <c r="D47" s="15"/>
      <c r="E47" s="15"/>
      <c r="F47" s="372"/>
      <c r="G47" s="372"/>
      <c r="H47" s="372"/>
      <c r="I47" s="372"/>
      <c r="J47" s="372"/>
      <c r="K47" s="372"/>
      <c r="L47" s="372"/>
      <c r="M47" s="372"/>
      <c r="N47" s="372"/>
      <c r="O47" s="372"/>
      <c r="P47" s="372">
        <v>0</v>
      </c>
      <c r="Q47" s="372">
        <v>0</v>
      </c>
      <c r="R47" s="372"/>
      <c r="S47" s="372">
        <v>0.7</v>
      </c>
      <c r="T47" s="372"/>
      <c r="U47" s="372"/>
      <c r="V47" s="372"/>
      <c r="W47" s="372"/>
      <c r="X47" s="372"/>
      <c r="Y47" s="372"/>
      <c r="Z47" s="372"/>
      <c r="AA47" s="372"/>
      <c r="AB47" s="372"/>
      <c r="AC47" s="372"/>
      <c r="AD47" s="41"/>
      <c r="AE47" s="41"/>
      <c r="AF47" s="11">
        <f t="shared" si="11"/>
        <v>0</v>
      </c>
      <c r="AG47" s="11">
        <f t="shared" si="12"/>
        <v>0</v>
      </c>
      <c r="AH47" s="11">
        <f t="shared" si="13"/>
        <v>3</v>
      </c>
    </row>
    <row r="48" spans="1:36">
      <c r="A48" s="70" t="s">
        <v>43</v>
      </c>
      <c r="B48" s="15"/>
      <c r="C48" s="15">
        <v>0.75</v>
      </c>
      <c r="D48" s="15"/>
      <c r="E48" s="15"/>
      <c r="F48" s="372"/>
      <c r="G48" s="372"/>
      <c r="H48" s="372"/>
      <c r="I48" s="372"/>
      <c r="J48" s="372"/>
      <c r="K48" s="372"/>
      <c r="L48" s="374">
        <v>0</v>
      </c>
      <c r="M48" s="372">
        <v>0</v>
      </c>
      <c r="N48" s="372">
        <v>0</v>
      </c>
      <c r="O48" s="372">
        <v>0</v>
      </c>
      <c r="P48" s="372">
        <v>0</v>
      </c>
      <c r="Q48" s="372">
        <v>0.7</v>
      </c>
      <c r="R48" s="372"/>
      <c r="S48" s="372"/>
      <c r="T48" s="372"/>
      <c r="U48" s="372"/>
      <c r="V48" s="372"/>
      <c r="W48" s="372"/>
      <c r="X48" s="372"/>
      <c r="Y48" s="372"/>
      <c r="Z48" s="372"/>
      <c r="AA48" s="372"/>
      <c r="AB48" s="372">
        <v>0.7</v>
      </c>
      <c r="AC48" s="372">
        <v>0</v>
      </c>
      <c r="AD48" s="41"/>
      <c r="AE48" s="41"/>
      <c r="AF48" s="11">
        <f t="shared" si="11"/>
        <v>0</v>
      </c>
      <c r="AG48" s="11">
        <f t="shared" si="12"/>
        <v>0</v>
      </c>
      <c r="AH48" s="11">
        <f t="shared" si="13"/>
        <v>8</v>
      </c>
    </row>
    <row r="49" spans="1:124" ht="15" customHeight="1">
      <c r="A49" s="70" t="s">
        <v>44</v>
      </c>
      <c r="B49" s="15"/>
      <c r="C49" s="15">
        <v>0.75</v>
      </c>
      <c r="D49" s="15"/>
      <c r="E49" s="15"/>
      <c r="F49" s="372"/>
      <c r="G49" s="372"/>
      <c r="H49" s="372"/>
      <c r="I49" s="372"/>
      <c r="J49" s="372"/>
      <c r="K49" s="372"/>
      <c r="L49" s="372"/>
      <c r="M49" s="374"/>
      <c r="N49" s="372"/>
      <c r="O49" s="372"/>
      <c r="P49" s="372">
        <v>0</v>
      </c>
      <c r="Q49" s="372">
        <v>0</v>
      </c>
      <c r="R49" s="372"/>
      <c r="S49" s="372">
        <v>0.7</v>
      </c>
      <c r="T49" s="372"/>
      <c r="U49" s="372"/>
      <c r="V49" s="372"/>
      <c r="W49" s="372"/>
      <c r="X49" s="372"/>
      <c r="Y49" s="372"/>
      <c r="Z49" s="372"/>
      <c r="AA49" s="372"/>
      <c r="AB49" s="372">
        <v>0.7</v>
      </c>
      <c r="AC49" s="372">
        <v>0</v>
      </c>
      <c r="AD49" s="41"/>
      <c r="AE49" s="41"/>
      <c r="AF49" s="11">
        <f t="shared" si="11"/>
        <v>0</v>
      </c>
      <c r="AG49" s="11">
        <f t="shared" si="12"/>
        <v>0</v>
      </c>
      <c r="AH49" s="11">
        <f t="shared" si="13"/>
        <v>5</v>
      </c>
    </row>
    <row r="50" spans="1:124" ht="16.5" customHeight="1">
      <c r="A50" s="70" t="s">
        <v>45</v>
      </c>
      <c r="B50" s="15"/>
      <c r="C50" s="15">
        <v>0.75</v>
      </c>
      <c r="D50" s="15"/>
      <c r="E50" s="15"/>
      <c r="F50" s="372"/>
      <c r="G50" s="372"/>
      <c r="H50" s="372"/>
      <c r="I50" s="372"/>
      <c r="J50" s="374">
        <v>0</v>
      </c>
      <c r="K50" s="374">
        <v>0</v>
      </c>
      <c r="L50" s="374">
        <v>0</v>
      </c>
      <c r="M50" s="374">
        <v>0</v>
      </c>
      <c r="N50" s="372">
        <v>0</v>
      </c>
      <c r="O50" s="372">
        <v>0</v>
      </c>
      <c r="P50" s="372">
        <v>0</v>
      </c>
      <c r="Q50" s="372">
        <v>0</v>
      </c>
      <c r="R50" s="372"/>
      <c r="S50" s="372">
        <v>0.7</v>
      </c>
      <c r="T50" s="372"/>
      <c r="U50" s="372"/>
      <c r="V50" s="372"/>
      <c r="W50" s="372"/>
      <c r="X50" s="372"/>
      <c r="Y50" s="372"/>
      <c r="Z50" s="372"/>
      <c r="AA50" s="372"/>
      <c r="AB50" s="372"/>
      <c r="AC50" s="372"/>
      <c r="AD50" s="41"/>
      <c r="AE50" s="41"/>
      <c r="AF50" s="11">
        <f t="shared" si="11"/>
        <v>0</v>
      </c>
      <c r="AG50" s="11">
        <f t="shared" si="12"/>
        <v>0</v>
      </c>
      <c r="AH50" s="11">
        <f t="shared" si="13"/>
        <v>9</v>
      </c>
    </row>
    <row r="51" spans="1:124">
      <c r="A51" s="70" t="s">
        <v>46</v>
      </c>
      <c r="B51" s="15"/>
      <c r="C51" s="15">
        <v>0.85</v>
      </c>
      <c r="D51" s="15"/>
      <c r="E51" s="15"/>
      <c r="F51" s="372" t="s">
        <v>9</v>
      </c>
      <c r="G51" s="374" t="s">
        <v>9</v>
      </c>
      <c r="H51" s="374" t="s">
        <v>9</v>
      </c>
      <c r="I51" s="374" t="s">
        <v>9</v>
      </c>
      <c r="J51" s="374" t="s">
        <v>9</v>
      </c>
      <c r="K51" s="374" t="s">
        <v>9</v>
      </c>
      <c r="L51" s="374" t="s">
        <v>9</v>
      </c>
      <c r="M51" s="374" t="s">
        <v>9</v>
      </c>
      <c r="N51" s="372" t="s">
        <v>9</v>
      </c>
      <c r="O51" s="372" t="s">
        <v>9</v>
      </c>
      <c r="P51" s="372" t="s">
        <v>9</v>
      </c>
      <c r="Q51" s="372" t="s">
        <v>9</v>
      </c>
      <c r="R51" s="372" t="s">
        <v>9</v>
      </c>
      <c r="S51" s="372" t="s">
        <v>9</v>
      </c>
      <c r="T51" s="372" t="s">
        <v>9</v>
      </c>
      <c r="U51" s="372" t="s">
        <v>9</v>
      </c>
      <c r="V51" s="372" t="s">
        <v>9</v>
      </c>
      <c r="W51" s="372" t="s">
        <v>9</v>
      </c>
      <c r="X51" s="372" t="s">
        <v>9</v>
      </c>
      <c r="Y51" s="372" t="s">
        <v>9</v>
      </c>
      <c r="Z51" s="372" t="s">
        <v>9</v>
      </c>
      <c r="AA51" s="372" t="s">
        <v>9</v>
      </c>
      <c r="AB51" s="372" t="s">
        <v>9</v>
      </c>
      <c r="AC51" s="372" t="s">
        <v>9</v>
      </c>
      <c r="AD51" s="41"/>
      <c r="AE51" s="41"/>
      <c r="AF51" s="11">
        <f t="shared" si="11"/>
        <v>24</v>
      </c>
      <c r="AG51" s="11">
        <f t="shared" si="12"/>
        <v>0</v>
      </c>
      <c r="AH51" s="11">
        <f t="shared" si="13"/>
        <v>0</v>
      </c>
    </row>
    <row r="52" spans="1:124">
      <c r="A52" s="70" t="s">
        <v>47</v>
      </c>
      <c r="B52" s="15"/>
      <c r="C52" s="15">
        <v>0.85</v>
      </c>
      <c r="D52" s="15"/>
      <c r="E52" s="15"/>
      <c r="F52" s="372" t="s">
        <v>9</v>
      </c>
      <c r="G52" s="374" t="s">
        <v>9</v>
      </c>
      <c r="H52" s="374" t="s">
        <v>9</v>
      </c>
      <c r="I52" s="374" t="s">
        <v>9</v>
      </c>
      <c r="J52" s="374" t="s">
        <v>9</v>
      </c>
      <c r="K52" s="374" t="s">
        <v>9</v>
      </c>
      <c r="L52" s="374" t="s">
        <v>9</v>
      </c>
      <c r="M52" s="374" t="s">
        <v>9</v>
      </c>
      <c r="N52" s="372" t="s">
        <v>9</v>
      </c>
      <c r="O52" s="372" t="s">
        <v>9</v>
      </c>
      <c r="P52" s="372" t="s">
        <v>9</v>
      </c>
      <c r="Q52" s="372" t="s">
        <v>9</v>
      </c>
      <c r="R52" s="372" t="s">
        <v>9</v>
      </c>
      <c r="S52" s="372" t="s">
        <v>9</v>
      </c>
      <c r="T52" s="372" t="s">
        <v>9</v>
      </c>
      <c r="U52" s="372" t="s">
        <v>9</v>
      </c>
      <c r="V52" s="372" t="s">
        <v>9</v>
      </c>
      <c r="W52" s="372" t="s">
        <v>9</v>
      </c>
      <c r="X52" s="372" t="s">
        <v>9</v>
      </c>
      <c r="Y52" s="372" t="s">
        <v>9</v>
      </c>
      <c r="Z52" s="372" t="s">
        <v>9</v>
      </c>
      <c r="AA52" s="372" t="s">
        <v>9</v>
      </c>
      <c r="AB52" s="372" t="s">
        <v>9</v>
      </c>
      <c r="AC52" s="372" t="s">
        <v>9</v>
      </c>
      <c r="AD52" s="41"/>
      <c r="AE52" s="41"/>
      <c r="AF52" s="11">
        <f t="shared" si="11"/>
        <v>24</v>
      </c>
      <c r="AG52" s="11">
        <f t="shared" si="12"/>
        <v>0</v>
      </c>
      <c r="AH52" s="11">
        <f t="shared" si="13"/>
        <v>0</v>
      </c>
    </row>
    <row r="53" spans="1:124">
      <c r="A53" s="70" t="s">
        <v>48</v>
      </c>
      <c r="B53" s="15"/>
      <c r="C53" s="15">
        <v>0.85</v>
      </c>
      <c r="D53" s="15"/>
      <c r="E53" s="15"/>
      <c r="F53" s="372"/>
      <c r="G53" s="372"/>
      <c r="H53" s="372"/>
      <c r="I53" s="372"/>
      <c r="J53" s="372"/>
      <c r="K53" s="374"/>
      <c r="L53" s="372"/>
      <c r="M53" s="374"/>
      <c r="N53" s="372"/>
      <c r="O53" s="372"/>
      <c r="P53" s="372"/>
      <c r="Q53" s="372"/>
      <c r="R53" s="372"/>
      <c r="S53" s="372"/>
      <c r="T53" s="372"/>
      <c r="U53" s="372"/>
      <c r="V53" s="372"/>
      <c r="W53" s="372"/>
      <c r="X53" s="372"/>
      <c r="Y53" s="372"/>
      <c r="Z53" s="372"/>
      <c r="AA53" s="372"/>
      <c r="AB53" s="372"/>
      <c r="AC53" s="372"/>
      <c r="AD53" s="41"/>
      <c r="AE53" s="41"/>
      <c r="AF53" s="11">
        <f t="shared" si="11"/>
        <v>0</v>
      </c>
      <c r="AG53" s="11">
        <f t="shared" si="12"/>
        <v>0</v>
      </c>
      <c r="AH53" s="11">
        <f t="shared" si="13"/>
        <v>0</v>
      </c>
    </row>
    <row r="54" spans="1:124" ht="16.5" customHeight="1">
      <c r="A54" s="70" t="s">
        <v>49</v>
      </c>
      <c r="B54" s="15"/>
      <c r="C54" s="15">
        <v>0.85</v>
      </c>
      <c r="D54" s="15"/>
      <c r="E54" s="15"/>
      <c r="F54" s="372"/>
      <c r="G54" s="372"/>
      <c r="H54" s="372"/>
      <c r="I54" s="372"/>
      <c r="J54" s="372"/>
      <c r="K54" s="374"/>
      <c r="L54" s="372"/>
      <c r="M54" s="374"/>
      <c r="N54" s="372"/>
      <c r="O54" s="372"/>
      <c r="P54" s="372"/>
      <c r="Q54" s="372"/>
      <c r="R54" s="372"/>
      <c r="S54" s="372"/>
      <c r="T54" s="372"/>
      <c r="U54" s="372"/>
      <c r="V54" s="372"/>
      <c r="W54" s="372"/>
      <c r="X54" s="372"/>
      <c r="Y54" s="372"/>
      <c r="Z54" s="372"/>
      <c r="AA54" s="372"/>
      <c r="AB54" s="372"/>
      <c r="AC54" s="372"/>
      <c r="AD54" s="41"/>
      <c r="AE54" s="41"/>
      <c r="AF54" s="11">
        <f t="shared" si="11"/>
        <v>0</v>
      </c>
      <c r="AG54" s="11">
        <f t="shared" si="12"/>
        <v>0</v>
      </c>
      <c r="AH54" s="11">
        <f t="shared" si="13"/>
        <v>0</v>
      </c>
    </row>
    <row r="55" spans="1:124">
      <c r="A55" s="70" t="s">
        <v>50</v>
      </c>
      <c r="B55" s="15"/>
      <c r="C55" s="15">
        <v>0.85</v>
      </c>
      <c r="D55" s="15"/>
      <c r="E55" s="15"/>
      <c r="F55" s="372"/>
      <c r="G55" s="372"/>
      <c r="H55" s="372"/>
      <c r="I55" s="372"/>
      <c r="J55" s="372"/>
      <c r="K55" s="374"/>
      <c r="L55" s="372"/>
      <c r="M55" s="374"/>
      <c r="N55" s="372"/>
      <c r="O55" s="372"/>
      <c r="P55" s="372"/>
      <c r="Q55" s="372"/>
      <c r="R55" s="372"/>
      <c r="S55" s="372"/>
      <c r="T55" s="372"/>
      <c r="U55" s="372"/>
      <c r="V55" s="372"/>
      <c r="W55" s="372"/>
      <c r="X55" s="372"/>
      <c r="Y55" s="372"/>
      <c r="Z55" s="372"/>
      <c r="AA55" s="372"/>
      <c r="AB55" s="372"/>
      <c r="AC55" s="372"/>
      <c r="AD55" s="41"/>
      <c r="AE55" s="41"/>
      <c r="AF55" s="11">
        <f>COUNTIF(F55:AC55,$AJ$8)</f>
        <v>0</v>
      </c>
      <c r="AG55" s="11">
        <f t="shared" si="12"/>
        <v>0</v>
      </c>
      <c r="AH55" s="11">
        <f>COUNT(F55:AC55)</f>
        <v>0</v>
      </c>
    </row>
    <row r="56" spans="1:124">
      <c r="A56" s="70" t="s">
        <v>51</v>
      </c>
      <c r="B56" s="15"/>
      <c r="C56" s="15">
        <v>0.75</v>
      </c>
      <c r="D56" s="15"/>
      <c r="E56" s="15"/>
      <c r="F56" s="372">
        <v>0.7</v>
      </c>
      <c r="G56" s="372"/>
      <c r="H56" s="372"/>
      <c r="I56" s="372"/>
      <c r="J56" s="372">
        <v>0</v>
      </c>
      <c r="K56" s="374">
        <v>0</v>
      </c>
      <c r="L56" s="374">
        <v>0</v>
      </c>
      <c r="M56" s="374">
        <v>0</v>
      </c>
      <c r="N56" s="372">
        <v>0</v>
      </c>
      <c r="O56" s="372">
        <v>0</v>
      </c>
      <c r="P56" s="372">
        <v>0</v>
      </c>
      <c r="Q56" s="372">
        <v>0</v>
      </c>
      <c r="R56" s="372"/>
      <c r="S56" s="372"/>
      <c r="T56" s="372"/>
      <c r="U56" s="372"/>
      <c r="V56" s="372"/>
      <c r="W56" s="372"/>
      <c r="X56" s="372"/>
      <c r="Y56" s="372"/>
      <c r="Z56" s="372"/>
      <c r="AA56" s="372"/>
      <c r="AB56" s="372">
        <v>0.7</v>
      </c>
      <c r="AC56" s="372"/>
      <c r="AD56" s="41"/>
      <c r="AE56" s="41"/>
      <c r="AF56" s="11">
        <f t="shared" si="11"/>
        <v>0</v>
      </c>
      <c r="AG56" s="11">
        <f t="shared" si="12"/>
        <v>0</v>
      </c>
      <c r="AH56" s="11">
        <f t="shared" si="13"/>
        <v>10</v>
      </c>
    </row>
    <row r="57" spans="1:124">
      <c r="A57" s="70" t="s">
        <v>52</v>
      </c>
      <c r="B57" s="15"/>
      <c r="C57" s="15">
        <v>0.75</v>
      </c>
      <c r="D57" s="15"/>
      <c r="E57" s="15"/>
      <c r="F57" s="372"/>
      <c r="G57" s="372"/>
      <c r="H57" s="372"/>
      <c r="I57" s="372"/>
      <c r="J57" s="372"/>
      <c r="K57" s="374"/>
      <c r="L57" s="374"/>
      <c r="M57" s="374"/>
      <c r="N57" s="372"/>
      <c r="O57" s="372">
        <v>0.7</v>
      </c>
      <c r="P57" s="372">
        <v>0</v>
      </c>
      <c r="Q57" s="372">
        <v>0.7</v>
      </c>
      <c r="R57" s="372">
        <v>0.7</v>
      </c>
      <c r="S57" s="372">
        <v>0.7</v>
      </c>
      <c r="T57" s="372"/>
      <c r="U57" s="372"/>
      <c r="V57" s="372"/>
      <c r="W57" s="372"/>
      <c r="X57" s="372"/>
      <c r="Y57" s="372"/>
      <c r="Z57" s="372"/>
      <c r="AA57" s="372"/>
      <c r="AB57" s="372">
        <v>0.7</v>
      </c>
      <c r="AC57" s="372">
        <v>0</v>
      </c>
      <c r="AD57" s="41"/>
      <c r="AE57" s="41"/>
      <c r="AF57" s="11">
        <f t="shared" si="11"/>
        <v>0</v>
      </c>
      <c r="AG57" s="11">
        <f t="shared" si="12"/>
        <v>0</v>
      </c>
      <c r="AH57" s="11">
        <f t="shared" si="13"/>
        <v>7</v>
      </c>
    </row>
    <row r="58" spans="1:124">
      <c r="A58" s="70" t="s">
        <v>53</v>
      </c>
      <c r="B58" s="15"/>
      <c r="C58" s="15">
        <v>0.85</v>
      </c>
      <c r="D58" s="15"/>
      <c r="E58" s="15"/>
      <c r="F58" s="372"/>
      <c r="G58" s="372"/>
      <c r="H58" s="372"/>
      <c r="I58" s="372"/>
      <c r="J58" s="372"/>
      <c r="K58" s="374"/>
      <c r="L58" s="374"/>
      <c r="M58" s="374"/>
      <c r="N58" s="372"/>
      <c r="O58" s="372"/>
      <c r="P58" s="372"/>
      <c r="Q58" s="372"/>
      <c r="R58" s="372"/>
      <c r="S58" s="372"/>
      <c r="T58" s="372"/>
      <c r="U58" s="372"/>
      <c r="V58" s="372"/>
      <c r="W58" s="372"/>
      <c r="X58" s="372"/>
      <c r="Y58" s="372"/>
      <c r="Z58" s="372"/>
      <c r="AA58" s="372"/>
      <c r="AB58" s="372"/>
      <c r="AC58" s="372"/>
      <c r="AD58" s="41"/>
      <c r="AE58" s="41"/>
      <c r="AF58" s="11">
        <f t="shared" si="11"/>
        <v>0</v>
      </c>
      <c r="AG58" s="11">
        <f t="shared" si="12"/>
        <v>0</v>
      </c>
      <c r="AH58" s="11">
        <f t="shared" si="13"/>
        <v>0</v>
      </c>
    </row>
    <row r="59" spans="1:124">
      <c r="A59" s="70" t="s">
        <v>54</v>
      </c>
      <c r="B59" s="15"/>
      <c r="C59" s="15">
        <v>0.85</v>
      </c>
      <c r="D59" s="15"/>
      <c r="E59" s="15"/>
      <c r="F59" s="372"/>
      <c r="G59" s="372"/>
      <c r="H59" s="372"/>
      <c r="I59" s="372"/>
      <c r="J59" s="372"/>
      <c r="K59" s="374"/>
      <c r="L59" s="374"/>
      <c r="M59" s="374"/>
      <c r="N59" s="372"/>
      <c r="O59" s="372"/>
      <c r="P59" s="372"/>
      <c r="Q59" s="372"/>
      <c r="R59" s="372"/>
      <c r="S59" s="372"/>
      <c r="T59" s="372"/>
      <c r="U59" s="372"/>
      <c r="V59" s="372"/>
      <c r="W59" s="372"/>
      <c r="X59" s="372"/>
      <c r="Y59" s="372"/>
      <c r="Z59" s="372"/>
      <c r="AA59" s="372"/>
      <c r="AB59" s="372"/>
      <c r="AC59" s="372"/>
      <c r="AD59" s="41"/>
      <c r="AE59" s="41"/>
      <c r="AF59" s="11">
        <f t="shared" si="11"/>
        <v>0</v>
      </c>
      <c r="AG59" s="11">
        <f t="shared" si="12"/>
        <v>0</v>
      </c>
      <c r="AH59" s="11">
        <f t="shared" si="13"/>
        <v>0</v>
      </c>
    </row>
    <row r="60" spans="1:124">
      <c r="A60" s="9" t="s">
        <v>26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 t="shared" ref="F60" si="14">SUM(F39:F59)</f>
        <v>0.7</v>
      </c>
      <c r="G60" s="19">
        <f t="shared" ref="G60:AC60" si="15">SUM(G39:G59)</f>
        <v>0</v>
      </c>
      <c r="H60" s="19">
        <f t="shared" si="15"/>
        <v>0</v>
      </c>
      <c r="I60" s="19">
        <f t="shared" si="15"/>
        <v>0</v>
      </c>
      <c r="J60" s="19">
        <f t="shared" si="15"/>
        <v>0</v>
      </c>
      <c r="K60" s="19">
        <f t="shared" si="15"/>
        <v>0</v>
      </c>
      <c r="L60" s="19">
        <f t="shared" si="15"/>
        <v>0</v>
      </c>
      <c r="M60" s="19">
        <f t="shared" si="15"/>
        <v>0</v>
      </c>
      <c r="N60" s="19">
        <f t="shared" si="15"/>
        <v>0</v>
      </c>
      <c r="O60" s="19">
        <f t="shared" si="15"/>
        <v>0.7</v>
      </c>
      <c r="P60" s="19">
        <f t="shared" si="15"/>
        <v>0</v>
      </c>
      <c r="Q60" s="19">
        <f t="shared" si="15"/>
        <v>1.4</v>
      </c>
      <c r="R60" s="19">
        <f t="shared" si="15"/>
        <v>0.7</v>
      </c>
      <c r="S60" s="19">
        <f t="shared" si="15"/>
        <v>2.8</v>
      </c>
      <c r="T60" s="19">
        <f t="shared" si="15"/>
        <v>0</v>
      </c>
      <c r="U60" s="19">
        <f t="shared" si="15"/>
        <v>0</v>
      </c>
      <c r="V60" s="19">
        <f t="shared" si="15"/>
        <v>0</v>
      </c>
      <c r="W60" s="19">
        <f t="shared" si="15"/>
        <v>0</v>
      </c>
      <c r="X60" s="19">
        <f t="shared" si="15"/>
        <v>0</v>
      </c>
      <c r="Y60" s="19">
        <f t="shared" si="15"/>
        <v>0</v>
      </c>
      <c r="Z60" s="19">
        <f t="shared" si="15"/>
        <v>0</v>
      </c>
      <c r="AA60" s="19">
        <f t="shared" si="15"/>
        <v>0</v>
      </c>
      <c r="AB60" s="19">
        <f t="shared" si="15"/>
        <v>2.8</v>
      </c>
      <c r="AC60" s="19">
        <f t="shared" si="15"/>
        <v>0</v>
      </c>
      <c r="AD60" s="34"/>
      <c r="AE60" s="34"/>
      <c r="AF60" s="11"/>
      <c r="AG60" s="11"/>
      <c r="AH60" s="11"/>
    </row>
    <row r="61" spans="1:124">
      <c r="A61" s="12" t="s">
        <v>55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30.059999999999992</v>
      </c>
      <c r="AN61" s="351"/>
    </row>
    <row r="62" spans="1:124">
      <c r="A62" s="14" t="s">
        <v>56</v>
      </c>
      <c r="B62" s="20"/>
      <c r="C62" s="15">
        <v>0.75</v>
      </c>
      <c r="D62" s="15"/>
      <c r="E62" s="15"/>
      <c r="F62" s="372">
        <v>0.52500000000000002</v>
      </c>
      <c r="G62" s="372">
        <v>0.48499999999999999</v>
      </c>
      <c r="H62" s="372">
        <v>0.45</v>
      </c>
      <c r="I62" s="372">
        <v>0.42</v>
      </c>
      <c r="J62" s="372">
        <v>0.40500000000000003</v>
      </c>
      <c r="K62" s="374">
        <f>0.87/2</f>
        <v>0.435</v>
      </c>
      <c r="L62" s="372">
        <f>1.07/2</f>
        <v>0.53500000000000003</v>
      </c>
      <c r="M62" s="372"/>
      <c r="N62" s="372"/>
      <c r="O62" s="372"/>
      <c r="P62" s="372"/>
      <c r="Q62" s="372"/>
      <c r="R62" s="372"/>
      <c r="S62" s="372">
        <f>1.45/2</f>
        <v>0.72499999999999998</v>
      </c>
      <c r="T62" s="372">
        <f>1.45/2</f>
        <v>0.72499999999999998</v>
      </c>
      <c r="U62" s="372">
        <f>1.44/2</f>
        <v>0.72</v>
      </c>
      <c r="V62" s="372">
        <f>1.41/2</f>
        <v>0.70499999999999996</v>
      </c>
      <c r="W62" s="372">
        <f>1.42/2</f>
        <v>0.71</v>
      </c>
      <c r="X62" s="372">
        <f>1.32/2</f>
        <v>0.66</v>
      </c>
      <c r="Y62" s="372">
        <f>1.7/3</f>
        <v>0.56666666666666665</v>
      </c>
      <c r="Z62" s="372">
        <f>1.61/3</f>
        <v>0.53666666666666674</v>
      </c>
      <c r="AA62" s="372">
        <v>0.745</v>
      </c>
      <c r="AB62" s="372">
        <f>1.34/2</f>
        <v>0.67</v>
      </c>
      <c r="AC62" s="372">
        <f>1.16/2</f>
        <v>0.57999999999999996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57</v>
      </c>
      <c r="B63" s="20"/>
      <c r="C63" s="15">
        <v>0.75</v>
      </c>
      <c r="D63" s="15"/>
      <c r="E63" s="15"/>
      <c r="F63" s="372">
        <v>0.52500000000000002</v>
      </c>
      <c r="G63" s="372"/>
      <c r="H63" s="372"/>
      <c r="I63" s="372"/>
      <c r="J63" s="372"/>
      <c r="K63" s="374"/>
      <c r="L63" s="372"/>
      <c r="M63" s="372">
        <f>1.07/2</f>
        <v>0.53500000000000003</v>
      </c>
      <c r="N63" s="372">
        <f>1.05/2</f>
        <v>0.52500000000000002</v>
      </c>
      <c r="O63" s="372">
        <f>1.3/2</f>
        <v>0.65</v>
      </c>
      <c r="P63" s="372">
        <f>1.39/2</f>
        <v>0.69499999999999995</v>
      </c>
      <c r="Q63" s="372">
        <f>1.47/2</f>
        <v>0.73499999999999999</v>
      </c>
      <c r="R63" s="372">
        <v>0.74</v>
      </c>
      <c r="S63" s="372">
        <f>1.45/2</f>
        <v>0.72499999999999998</v>
      </c>
      <c r="T63" s="372">
        <f>1.45/2</f>
        <v>0.72499999999999998</v>
      </c>
      <c r="U63" s="372">
        <f>1.44/2</f>
        <v>0.72</v>
      </c>
      <c r="V63" s="372">
        <f>1.41/2</f>
        <v>0.70499999999999996</v>
      </c>
      <c r="W63" s="372">
        <f>1.42/2</f>
        <v>0.71</v>
      </c>
      <c r="X63" s="372">
        <f>1.32/2</f>
        <v>0.66</v>
      </c>
      <c r="Y63" s="372">
        <f>1.7/3</f>
        <v>0.56666666666666665</v>
      </c>
      <c r="Z63" s="372">
        <f t="shared" ref="Z63:Z64" si="16">1.61/3</f>
        <v>0.53666666666666674</v>
      </c>
      <c r="AA63" s="372"/>
      <c r="AB63" s="372"/>
      <c r="AC63" s="372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15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58</v>
      </c>
      <c r="B64" s="20"/>
      <c r="C64" s="15">
        <v>0.75</v>
      </c>
      <c r="D64" s="15"/>
      <c r="E64" s="15"/>
      <c r="F64" s="372"/>
      <c r="G64" s="372">
        <v>0.48499999999999999</v>
      </c>
      <c r="H64" s="372">
        <v>0.45</v>
      </c>
      <c r="I64" s="372">
        <v>0.42</v>
      </c>
      <c r="J64" s="372">
        <v>0.40500000000000003</v>
      </c>
      <c r="K64" s="374">
        <f>0.87/2</f>
        <v>0.435</v>
      </c>
      <c r="L64" s="372">
        <f>1.07/2</f>
        <v>0.53500000000000003</v>
      </c>
      <c r="M64" s="372">
        <f>1.07/2</f>
        <v>0.53500000000000003</v>
      </c>
      <c r="N64" s="372">
        <f>1.05/2</f>
        <v>0.52500000000000002</v>
      </c>
      <c r="O64" s="372">
        <f>1.3/2</f>
        <v>0.65</v>
      </c>
      <c r="P64" s="372">
        <f>1.39/2</f>
        <v>0.69499999999999995</v>
      </c>
      <c r="Q64" s="372">
        <f>1.47/2</f>
        <v>0.73499999999999999</v>
      </c>
      <c r="R64" s="372">
        <v>0.74</v>
      </c>
      <c r="S64" s="372"/>
      <c r="T64" s="372"/>
      <c r="U64" s="372"/>
      <c r="V64" s="372"/>
      <c r="W64" s="372"/>
      <c r="X64" s="372"/>
      <c r="Y64" s="372">
        <f>1.7/3</f>
        <v>0.56666666666666665</v>
      </c>
      <c r="Z64" s="372">
        <f t="shared" si="16"/>
        <v>0.53666666666666674</v>
      </c>
      <c r="AA64" s="372">
        <v>0.745</v>
      </c>
      <c r="AB64" s="372">
        <f>1.34/2</f>
        <v>0.67</v>
      </c>
      <c r="AC64" s="372">
        <f>1.16/2</f>
        <v>0.57999999999999996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17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1.05</v>
      </c>
      <c r="G65" s="19">
        <f t="shared" ref="G65" si="17">SUM(G62:G64)</f>
        <v>0.97</v>
      </c>
      <c r="H65" s="19">
        <f>SUM(H62:H64)</f>
        <v>0.9</v>
      </c>
      <c r="I65" s="19">
        <f>SUM(I62:I64)</f>
        <v>0.84</v>
      </c>
      <c r="J65" s="19">
        <f t="shared" ref="J65" si="18">SUM(J62:J64)</f>
        <v>0.81</v>
      </c>
      <c r="K65" s="19">
        <f>SUM(K62:K64)</f>
        <v>0.87</v>
      </c>
      <c r="L65" s="19">
        <f>SUM(L62:L64)</f>
        <v>1.07</v>
      </c>
      <c r="M65" s="19">
        <f>SUM(M62:M64)</f>
        <v>1.07</v>
      </c>
      <c r="N65" s="19">
        <f>SUM(N62:N64)</f>
        <v>1.05</v>
      </c>
      <c r="O65" s="19">
        <f t="shared" ref="O65:AB65" si="19">SUM(O62:O64)</f>
        <v>1.3</v>
      </c>
      <c r="P65" s="19">
        <f t="shared" si="19"/>
        <v>1.39</v>
      </c>
      <c r="Q65" s="19">
        <f t="shared" si="19"/>
        <v>1.47</v>
      </c>
      <c r="R65" s="19">
        <f t="shared" si="19"/>
        <v>1.48</v>
      </c>
      <c r="S65" s="19">
        <f t="shared" si="19"/>
        <v>1.45</v>
      </c>
      <c r="T65" s="19">
        <f t="shared" si="19"/>
        <v>1.45</v>
      </c>
      <c r="U65" s="19">
        <f t="shared" si="19"/>
        <v>1.44</v>
      </c>
      <c r="V65" s="19">
        <f t="shared" si="19"/>
        <v>1.41</v>
      </c>
      <c r="W65" s="19">
        <f t="shared" si="19"/>
        <v>1.42</v>
      </c>
      <c r="X65" s="19">
        <f t="shared" si="19"/>
        <v>1.32</v>
      </c>
      <c r="Y65" s="19">
        <f>SUM(Y62:Y64)</f>
        <v>1.7</v>
      </c>
      <c r="Z65" s="19">
        <f t="shared" si="19"/>
        <v>1.6100000000000003</v>
      </c>
      <c r="AA65" s="19">
        <f t="shared" si="19"/>
        <v>1.49</v>
      </c>
      <c r="AB65" s="19">
        <f t="shared" si="19"/>
        <v>1.34</v>
      </c>
      <c r="AC65" s="19">
        <f>SUM(AC62:AC64)</f>
        <v>1.1599999999999999</v>
      </c>
      <c r="AD65" s="34"/>
      <c r="AE65" s="34"/>
      <c r="AF65" s="11"/>
      <c r="AG65" s="11"/>
      <c r="AH65" s="11"/>
    </row>
    <row r="66" spans="1:124" hidden="1">
      <c r="A66" s="12" t="s">
        <v>59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idden="1">
      <c r="A67" s="14" t="s">
        <v>60</v>
      </c>
      <c r="B67" s="15"/>
      <c r="C67" s="15">
        <v>0.85</v>
      </c>
      <c r="D67" s="15"/>
      <c r="E67" s="15"/>
      <c r="F67" s="372"/>
      <c r="G67" s="372"/>
      <c r="H67" s="372"/>
      <c r="I67" s="372"/>
      <c r="J67" s="372"/>
      <c r="K67" s="374"/>
      <c r="L67" s="374"/>
      <c r="M67" s="374"/>
      <c r="N67" s="372"/>
      <c r="O67" s="372"/>
      <c r="P67" s="372"/>
      <c r="Q67" s="372"/>
      <c r="R67" s="372"/>
      <c r="S67" s="372"/>
      <c r="T67" s="372"/>
      <c r="U67" s="372"/>
      <c r="V67" s="372"/>
      <c r="W67" s="372"/>
      <c r="X67" s="372"/>
      <c r="Y67" s="372"/>
      <c r="Z67" s="372"/>
      <c r="AA67" s="372"/>
      <c r="AB67" s="372"/>
      <c r="AC67" s="372"/>
      <c r="AD67" s="35"/>
      <c r="AE67" s="35"/>
      <c r="AF67" s="11">
        <f t="shared" ref="AF67:AF75" si="20">COUNTIF(F67:AC67,$AF$11)</f>
        <v>0</v>
      </c>
      <c r="AG67" s="11">
        <f t="shared" ref="AG67:AG75" si="21">COUNTIF(G67:AC67,$AG$11)</f>
        <v>0</v>
      </c>
      <c r="AH67" s="11">
        <f t="shared" ref="AH67:AH75" si="22">COUNT(F67:AC67)</f>
        <v>0</v>
      </c>
    </row>
    <row r="68" spans="1:124" hidden="1">
      <c r="A68" s="14" t="s">
        <v>61</v>
      </c>
      <c r="B68" s="15"/>
      <c r="C68" s="15">
        <v>0.85</v>
      </c>
      <c r="D68" s="15"/>
      <c r="E68" s="15"/>
      <c r="F68" s="372"/>
      <c r="G68" s="372"/>
      <c r="H68" s="372"/>
      <c r="I68" s="372"/>
      <c r="J68" s="372"/>
      <c r="K68" s="374"/>
      <c r="L68" s="374"/>
      <c r="M68" s="374"/>
      <c r="N68" s="372"/>
      <c r="O68" s="372"/>
      <c r="P68" s="372"/>
      <c r="Q68" s="372"/>
      <c r="R68" s="372"/>
      <c r="S68" s="372"/>
      <c r="T68" s="372"/>
      <c r="U68" s="372"/>
      <c r="V68" s="372"/>
      <c r="W68" s="372"/>
      <c r="X68" s="372"/>
      <c r="Y68" s="372"/>
      <c r="Z68" s="372"/>
      <c r="AA68" s="372"/>
      <c r="AB68" s="372"/>
      <c r="AC68" s="372"/>
      <c r="AD68" s="35"/>
      <c r="AE68" s="35"/>
      <c r="AF68" s="11">
        <f t="shared" si="20"/>
        <v>0</v>
      </c>
      <c r="AG68" s="11">
        <f t="shared" si="21"/>
        <v>0</v>
      </c>
      <c r="AH68" s="11">
        <f t="shared" si="22"/>
        <v>0</v>
      </c>
    </row>
    <row r="69" spans="1:124" hidden="1">
      <c r="A69" s="14" t="s">
        <v>62</v>
      </c>
      <c r="B69" s="15"/>
      <c r="C69" s="15">
        <v>0.85</v>
      </c>
      <c r="D69" s="15"/>
      <c r="E69" s="15"/>
      <c r="F69" s="372"/>
      <c r="G69" s="372"/>
      <c r="H69" s="372"/>
      <c r="I69" s="372"/>
      <c r="J69" s="372"/>
      <c r="K69" s="374"/>
      <c r="L69" s="374"/>
      <c r="M69" s="374"/>
      <c r="N69" s="372"/>
      <c r="O69" s="372"/>
      <c r="P69" s="372"/>
      <c r="Q69" s="372"/>
      <c r="R69" s="372"/>
      <c r="S69" s="372"/>
      <c r="T69" s="372"/>
      <c r="U69" s="372"/>
      <c r="V69" s="372"/>
      <c r="W69" s="372"/>
      <c r="X69" s="372"/>
      <c r="Y69" s="372"/>
      <c r="Z69" s="372"/>
      <c r="AA69" s="372"/>
      <c r="AB69" s="372"/>
      <c r="AC69" s="372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2"/>
        <v>0</v>
      </c>
    </row>
    <row r="70" spans="1:124" hidden="1">
      <c r="A70" s="14" t="s">
        <v>63</v>
      </c>
      <c r="B70" s="15"/>
      <c r="C70" s="15">
        <v>0.85</v>
      </c>
      <c r="D70" s="15"/>
      <c r="E70" s="15"/>
      <c r="F70" s="372"/>
      <c r="G70" s="372"/>
      <c r="H70" s="372"/>
      <c r="I70" s="372"/>
      <c r="J70" s="372"/>
      <c r="K70" s="374"/>
      <c r="L70" s="374"/>
      <c r="M70" s="374"/>
      <c r="N70" s="372"/>
      <c r="O70" s="372"/>
      <c r="P70" s="372"/>
      <c r="Q70" s="372"/>
      <c r="R70" s="372"/>
      <c r="S70" s="372"/>
      <c r="T70" s="372"/>
      <c r="U70" s="372"/>
      <c r="V70" s="372"/>
      <c r="W70" s="372"/>
      <c r="X70" s="372"/>
      <c r="Y70" s="372"/>
      <c r="Z70" s="372"/>
      <c r="AA70" s="372"/>
      <c r="AB70" s="372"/>
      <c r="AC70" s="372"/>
      <c r="AD70" s="35"/>
      <c r="AE70" s="35"/>
      <c r="AF70" s="11">
        <f t="shared" si="20"/>
        <v>0</v>
      </c>
      <c r="AG70" s="11">
        <f t="shared" si="21"/>
        <v>0</v>
      </c>
      <c r="AH70" s="11">
        <f t="shared" si="22"/>
        <v>0</v>
      </c>
      <c r="AI70" s="5"/>
      <c r="AJ70" s="5"/>
      <c r="AK70" s="5"/>
      <c r="AL70" s="5"/>
    </row>
    <row r="71" spans="1:124" hidden="1">
      <c r="A71" s="14" t="s">
        <v>64</v>
      </c>
      <c r="B71" s="15"/>
      <c r="C71" s="15">
        <v>0.85</v>
      </c>
      <c r="D71" s="15"/>
      <c r="E71" s="15"/>
      <c r="F71" s="372"/>
      <c r="G71" s="372"/>
      <c r="H71" s="372"/>
      <c r="I71" s="372"/>
      <c r="J71" s="372"/>
      <c r="K71" s="374"/>
      <c r="L71" s="374"/>
      <c r="M71" s="374"/>
      <c r="N71" s="372"/>
      <c r="O71" s="372"/>
      <c r="P71" s="372"/>
      <c r="Q71" s="372"/>
      <c r="R71" s="372"/>
      <c r="S71" s="372"/>
      <c r="T71" s="372"/>
      <c r="U71" s="372"/>
      <c r="V71" s="372"/>
      <c r="W71" s="372"/>
      <c r="X71" s="372"/>
      <c r="Y71" s="372"/>
      <c r="Z71" s="372"/>
      <c r="AA71" s="372"/>
      <c r="AB71" s="372"/>
      <c r="AC71" s="372"/>
      <c r="AD71" s="35"/>
      <c r="AE71" s="35"/>
      <c r="AF71" s="11">
        <f t="shared" si="20"/>
        <v>0</v>
      </c>
      <c r="AG71" s="11">
        <f t="shared" si="21"/>
        <v>0</v>
      </c>
      <c r="AH71" s="11">
        <f t="shared" si="22"/>
        <v>0</v>
      </c>
    </row>
    <row r="72" spans="1:124" hidden="1">
      <c r="A72" s="14" t="s">
        <v>65</v>
      </c>
      <c r="B72" s="15"/>
      <c r="C72" s="15">
        <v>0.85</v>
      </c>
      <c r="D72" s="15"/>
      <c r="E72" s="15"/>
      <c r="F72" s="372"/>
      <c r="G72" s="372"/>
      <c r="H72" s="372"/>
      <c r="I72" s="372"/>
      <c r="J72" s="372"/>
      <c r="K72" s="374"/>
      <c r="L72" s="374"/>
      <c r="M72" s="374"/>
      <c r="N72" s="372"/>
      <c r="O72" s="372"/>
      <c r="P72" s="372"/>
      <c r="Q72" s="372"/>
      <c r="R72" s="372"/>
      <c r="S72" s="372"/>
      <c r="T72" s="372"/>
      <c r="U72" s="372"/>
      <c r="V72" s="372"/>
      <c r="W72" s="372"/>
      <c r="X72" s="372"/>
      <c r="Y72" s="372"/>
      <c r="Z72" s="372"/>
      <c r="AA72" s="372"/>
      <c r="AB72" s="372"/>
      <c r="AC72" s="372"/>
      <c r="AD72" s="35"/>
      <c r="AE72" s="35"/>
      <c r="AF72" s="11">
        <f t="shared" si="20"/>
        <v>0</v>
      </c>
      <c r="AG72" s="11">
        <f t="shared" si="21"/>
        <v>0</v>
      </c>
      <c r="AH72" s="11">
        <f t="shared" si="22"/>
        <v>0</v>
      </c>
    </row>
    <row r="73" spans="1:124" hidden="1">
      <c r="A73" s="14" t="s">
        <v>66</v>
      </c>
      <c r="B73" s="15"/>
      <c r="C73" s="15">
        <v>0.85</v>
      </c>
      <c r="D73" s="15"/>
      <c r="E73" s="15"/>
      <c r="F73" s="372"/>
      <c r="G73" s="372"/>
      <c r="H73" s="372"/>
      <c r="I73" s="372"/>
      <c r="J73" s="372"/>
      <c r="K73" s="374"/>
      <c r="L73" s="374"/>
      <c r="M73" s="374"/>
      <c r="N73" s="372"/>
      <c r="O73" s="372"/>
      <c r="P73" s="372"/>
      <c r="Q73" s="372"/>
      <c r="R73" s="372"/>
      <c r="S73" s="372"/>
      <c r="T73" s="372"/>
      <c r="U73" s="372"/>
      <c r="V73" s="372"/>
      <c r="W73" s="372"/>
      <c r="X73" s="372"/>
      <c r="Y73" s="372"/>
      <c r="Z73" s="372"/>
      <c r="AA73" s="372"/>
      <c r="AB73" s="372"/>
      <c r="AC73" s="372"/>
      <c r="AD73" s="35"/>
      <c r="AE73" s="35"/>
      <c r="AF73" s="11">
        <f t="shared" si="20"/>
        <v>0</v>
      </c>
      <c r="AG73" s="11">
        <f t="shared" si="21"/>
        <v>0</v>
      </c>
      <c r="AH73" s="11">
        <f t="shared" si="22"/>
        <v>0</v>
      </c>
    </row>
    <row r="74" spans="1:124" hidden="1">
      <c r="A74" s="14" t="s">
        <v>67</v>
      </c>
      <c r="B74" s="19"/>
      <c r="C74" s="15">
        <v>0.85</v>
      </c>
      <c r="D74" s="15"/>
      <c r="E74" s="15"/>
      <c r="F74" s="372"/>
      <c r="G74" s="372"/>
      <c r="H74" s="372"/>
      <c r="I74" s="372"/>
      <c r="J74" s="372"/>
      <c r="K74" s="374"/>
      <c r="L74" s="374"/>
      <c r="M74" s="374"/>
      <c r="N74" s="372"/>
      <c r="O74" s="372"/>
      <c r="P74" s="372"/>
      <c r="Q74" s="372"/>
      <c r="R74" s="372"/>
      <c r="S74" s="372"/>
      <c r="T74" s="372"/>
      <c r="U74" s="372"/>
      <c r="V74" s="372"/>
      <c r="W74" s="372"/>
      <c r="X74" s="372"/>
      <c r="Y74" s="372"/>
      <c r="Z74" s="372"/>
      <c r="AA74" s="372"/>
      <c r="AB74" s="372"/>
      <c r="AC74" s="372"/>
      <c r="AD74" s="29"/>
      <c r="AE74" s="29"/>
      <c r="AF74" s="11">
        <f t="shared" si="20"/>
        <v>0</v>
      </c>
      <c r="AG74" s="11">
        <f t="shared" si="21"/>
        <v>0</v>
      </c>
      <c r="AH74" s="11">
        <f t="shared" si="22"/>
        <v>0</v>
      </c>
    </row>
    <row r="75" spans="1:124" ht="15.75" hidden="1" customHeight="1">
      <c r="A75" s="14" t="s">
        <v>68</v>
      </c>
      <c r="B75" s="9"/>
      <c r="C75" s="15">
        <v>0.85</v>
      </c>
      <c r="D75" s="15"/>
      <c r="E75" s="15"/>
      <c r="F75" s="372"/>
      <c r="G75" s="372"/>
      <c r="H75" s="372"/>
      <c r="I75" s="372"/>
      <c r="J75" s="372"/>
      <c r="K75" s="374"/>
      <c r="L75" s="374"/>
      <c r="M75" s="374"/>
      <c r="N75" s="372"/>
      <c r="O75" s="372"/>
      <c r="P75" s="372"/>
      <c r="Q75" s="372"/>
      <c r="R75" s="372"/>
      <c r="S75" s="372"/>
      <c r="T75" s="372"/>
      <c r="U75" s="372"/>
      <c r="V75" s="372"/>
      <c r="W75" s="372"/>
      <c r="X75" s="372"/>
      <c r="Y75" s="372"/>
      <c r="Z75" s="372"/>
      <c r="AA75" s="372"/>
      <c r="AB75" s="372"/>
      <c r="AC75" s="372"/>
      <c r="AD75" s="31"/>
      <c r="AE75" s="31"/>
      <c r="AF75" s="11">
        <f t="shared" si="20"/>
        <v>0</v>
      </c>
      <c r="AG75" s="11">
        <f t="shared" si="21"/>
        <v>0</v>
      </c>
      <c r="AH75" s="11">
        <f t="shared" si="22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3">SUM(F67:F75)</f>
        <v>0</v>
      </c>
      <c r="G76" s="19">
        <f t="shared" ref="G76:AC76" si="24">SUM(G67:G75)</f>
        <v>0</v>
      </c>
      <c r="H76" s="19">
        <f t="shared" si="24"/>
        <v>0</v>
      </c>
      <c r="I76" s="19">
        <f t="shared" si="24"/>
        <v>0</v>
      </c>
      <c r="J76" s="19">
        <f t="shared" si="24"/>
        <v>0</v>
      </c>
      <c r="K76" s="19">
        <f t="shared" si="24"/>
        <v>0</v>
      </c>
      <c r="L76" s="19">
        <f>SUM(L67:L75)</f>
        <v>0</v>
      </c>
      <c r="M76" s="19">
        <f t="shared" si="24"/>
        <v>0</v>
      </c>
      <c r="N76" s="19">
        <f t="shared" si="24"/>
        <v>0</v>
      </c>
      <c r="O76" s="19">
        <f t="shared" si="24"/>
        <v>0</v>
      </c>
      <c r="P76" s="19">
        <f t="shared" si="24"/>
        <v>0</v>
      </c>
      <c r="Q76" s="19">
        <f>SUM(Q67:Q75)</f>
        <v>0</v>
      </c>
      <c r="R76" s="19">
        <f t="shared" si="24"/>
        <v>0</v>
      </c>
      <c r="S76" s="19">
        <f t="shared" si="24"/>
        <v>0</v>
      </c>
      <c r="T76" s="19">
        <f t="shared" si="24"/>
        <v>0</v>
      </c>
      <c r="U76" s="19">
        <f t="shared" si="24"/>
        <v>0</v>
      </c>
      <c r="V76" s="19">
        <f t="shared" si="24"/>
        <v>0</v>
      </c>
      <c r="W76" s="19">
        <f t="shared" si="24"/>
        <v>0</v>
      </c>
      <c r="X76" s="19">
        <f t="shared" si="24"/>
        <v>0</v>
      </c>
      <c r="Y76" s="19">
        <f t="shared" si="24"/>
        <v>0</v>
      </c>
      <c r="Z76" s="19">
        <f t="shared" si="24"/>
        <v>0</v>
      </c>
      <c r="AA76" s="19">
        <f t="shared" si="24"/>
        <v>0</v>
      </c>
      <c r="AB76" s="19">
        <f t="shared" si="24"/>
        <v>0</v>
      </c>
      <c r="AC76" s="19">
        <f t="shared" si="24"/>
        <v>0</v>
      </c>
      <c r="AD76" s="34"/>
      <c r="AE76" s="34"/>
      <c r="AF76" s="11"/>
      <c r="AG76" s="11"/>
      <c r="AH76" s="11"/>
    </row>
    <row r="77" spans="1:124">
      <c r="A77" s="12" t="s">
        <v>69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 t="s">
        <v>21</v>
      </c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19.899999999999991</v>
      </c>
    </row>
    <row r="78" spans="1:124">
      <c r="A78" s="14" t="s">
        <v>70</v>
      </c>
      <c r="B78" s="20"/>
      <c r="C78" s="15">
        <v>1</v>
      </c>
      <c r="D78" s="15"/>
      <c r="E78" s="15"/>
      <c r="F78" s="372"/>
      <c r="G78" s="372"/>
      <c r="H78" s="372"/>
      <c r="I78" s="372"/>
      <c r="J78" s="372"/>
      <c r="K78" s="374"/>
      <c r="L78" s="374"/>
      <c r="M78" s="374">
        <v>0.77</v>
      </c>
      <c r="N78" s="372">
        <v>0.72</v>
      </c>
      <c r="O78" s="372">
        <v>0.82</v>
      </c>
      <c r="P78" s="372">
        <v>0.86</v>
      </c>
      <c r="Q78" s="372">
        <v>0.88</v>
      </c>
      <c r="R78" s="372">
        <v>0.92</v>
      </c>
      <c r="S78" s="372">
        <v>0.94</v>
      </c>
      <c r="T78" s="372">
        <v>0.95</v>
      </c>
      <c r="U78" s="372">
        <v>0.97</v>
      </c>
      <c r="V78" s="372">
        <v>0.96</v>
      </c>
      <c r="W78" s="372">
        <v>0.93</v>
      </c>
      <c r="X78" s="372">
        <v>0.92</v>
      </c>
      <c r="Y78" s="372"/>
      <c r="Z78" s="372"/>
      <c r="AA78" s="372"/>
      <c r="AB78" s="372"/>
      <c r="AC78" s="372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71</v>
      </c>
      <c r="B79" s="20"/>
      <c r="C79" s="15">
        <v>1</v>
      </c>
      <c r="D79" s="15"/>
      <c r="E79" s="15"/>
      <c r="F79" s="372">
        <v>0.85</v>
      </c>
      <c r="G79" s="372">
        <v>0.81</v>
      </c>
      <c r="H79" s="372">
        <v>0.77</v>
      </c>
      <c r="I79" s="372">
        <v>0.75</v>
      </c>
      <c r="J79" s="372">
        <v>0.76</v>
      </c>
      <c r="K79" s="374">
        <v>0.79</v>
      </c>
      <c r="L79" s="374">
        <v>0.83</v>
      </c>
      <c r="M79" s="374">
        <v>0</v>
      </c>
      <c r="N79" s="372">
        <v>0</v>
      </c>
      <c r="O79" s="372">
        <v>0</v>
      </c>
      <c r="P79" s="372">
        <v>0</v>
      </c>
      <c r="Q79" s="372">
        <v>0</v>
      </c>
      <c r="R79" s="372">
        <v>0</v>
      </c>
      <c r="S79" s="372">
        <v>0</v>
      </c>
      <c r="T79" s="372">
        <v>0</v>
      </c>
      <c r="U79" s="372">
        <v>0</v>
      </c>
      <c r="V79" s="372">
        <v>0</v>
      </c>
      <c r="W79" s="372">
        <v>0</v>
      </c>
      <c r="X79" s="372">
        <v>0</v>
      </c>
      <c r="Y79" s="372">
        <v>1</v>
      </c>
      <c r="Z79" s="372"/>
      <c r="AA79" s="372">
        <v>0.97</v>
      </c>
      <c r="AB79" s="372">
        <v>0.9</v>
      </c>
      <c r="AC79" s="372">
        <v>0.83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23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25">SUM(F78:F79)</f>
        <v>0.85</v>
      </c>
      <c r="G80" s="19">
        <f t="shared" si="25"/>
        <v>0.81</v>
      </c>
      <c r="H80" s="19">
        <f>SUM(H78:H79)</f>
        <v>0.77</v>
      </c>
      <c r="I80" s="19">
        <f>SUM(I78:I79)</f>
        <v>0.75</v>
      </c>
      <c r="J80" s="19">
        <f t="shared" ref="J80:AC80" si="26">SUM(J78:J79)</f>
        <v>0.76</v>
      </c>
      <c r="K80" s="19">
        <f t="shared" si="26"/>
        <v>0.79</v>
      </c>
      <c r="L80" s="19">
        <f>SUM(L78:L79)</f>
        <v>0.83</v>
      </c>
      <c r="M80" s="19">
        <f t="shared" si="26"/>
        <v>0.77</v>
      </c>
      <c r="N80" s="19">
        <f t="shared" si="26"/>
        <v>0.72</v>
      </c>
      <c r="O80" s="19">
        <f>SUM(O78:O79)</f>
        <v>0.82</v>
      </c>
      <c r="P80" s="19">
        <f t="shared" si="26"/>
        <v>0.86</v>
      </c>
      <c r="Q80" s="19">
        <f t="shared" si="26"/>
        <v>0.88</v>
      </c>
      <c r="R80" s="19">
        <f t="shared" si="26"/>
        <v>0.92</v>
      </c>
      <c r="S80" s="19">
        <f t="shared" si="26"/>
        <v>0.94</v>
      </c>
      <c r="T80" s="19">
        <f t="shared" si="26"/>
        <v>0.95</v>
      </c>
      <c r="U80" s="19">
        <f t="shared" si="26"/>
        <v>0.97</v>
      </c>
      <c r="V80" s="19">
        <f t="shared" si="26"/>
        <v>0.96</v>
      </c>
      <c r="W80" s="19">
        <f t="shared" si="26"/>
        <v>0.93</v>
      </c>
      <c r="X80" s="19">
        <f t="shared" si="26"/>
        <v>0.92</v>
      </c>
      <c r="Y80" s="19">
        <f t="shared" si="26"/>
        <v>1</v>
      </c>
      <c r="Z80" s="19">
        <f t="shared" si="26"/>
        <v>0</v>
      </c>
      <c r="AA80" s="19">
        <f t="shared" si="26"/>
        <v>0.97</v>
      </c>
      <c r="AB80" s="19">
        <f t="shared" si="26"/>
        <v>0.9</v>
      </c>
      <c r="AC80" s="19">
        <f t="shared" si="26"/>
        <v>0.83</v>
      </c>
      <c r="AD80" s="34"/>
      <c r="AE80" s="34"/>
      <c r="AF80" s="11"/>
      <c r="AG80" s="11"/>
      <c r="AH80" s="11"/>
    </row>
    <row r="81" spans="1:40" ht="17.45" hidden="1">
      <c r="A81" s="366" t="s">
        <v>72</v>
      </c>
      <c r="B81" s="365"/>
      <c r="C81" s="367">
        <v>2</v>
      </c>
      <c r="D81" s="363"/>
      <c r="E81" s="363"/>
      <c r="F81" s="364"/>
      <c r="G81" s="364"/>
      <c r="H81" s="364"/>
      <c r="I81" s="364"/>
      <c r="J81" s="364"/>
      <c r="K81" s="364"/>
      <c r="L81" s="364"/>
      <c r="M81" s="364"/>
      <c r="N81" s="364"/>
      <c r="O81" s="364"/>
      <c r="P81" s="364"/>
      <c r="Q81" s="364"/>
      <c r="R81" s="364"/>
      <c r="S81" s="364"/>
      <c r="T81" s="364"/>
      <c r="U81" s="364"/>
      <c r="V81" s="364"/>
      <c r="W81" s="364"/>
      <c r="X81" s="364"/>
      <c r="Y81" s="364"/>
      <c r="Z81" s="364"/>
      <c r="AA81" s="364"/>
      <c r="AB81" s="364"/>
      <c r="AC81" s="364"/>
    </row>
    <row r="82" spans="1:40" ht="17.45" hidden="1">
      <c r="A82" s="368"/>
      <c r="B82" s="369"/>
      <c r="C82" s="370"/>
      <c r="D82" s="371"/>
      <c r="E82" s="371"/>
      <c r="F82" s="372"/>
      <c r="G82" s="372"/>
      <c r="H82" s="372"/>
      <c r="I82" s="372"/>
      <c r="J82" s="372"/>
      <c r="K82" s="374"/>
      <c r="L82" s="374"/>
      <c r="M82" s="374"/>
      <c r="N82" s="372"/>
      <c r="O82" s="372"/>
      <c r="P82" s="372"/>
      <c r="Q82" s="372"/>
      <c r="R82" s="372"/>
      <c r="S82" s="372"/>
      <c r="T82" s="372"/>
      <c r="U82" s="372"/>
      <c r="V82" s="372"/>
      <c r="W82" s="372"/>
      <c r="X82" s="372"/>
      <c r="Y82" s="372"/>
      <c r="Z82" s="372"/>
      <c r="AA82" s="372"/>
      <c r="AB82" s="372"/>
      <c r="AC82" s="372"/>
    </row>
    <row r="83" spans="1:40">
      <c r="A83" s="21" t="s">
        <v>73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:AC83" si="27">SUM(F17,F22,F25,F31,F34,F60,F65,F76,F80,F82)</f>
        <v>43.14</v>
      </c>
      <c r="G83" s="28">
        <f t="shared" si="27"/>
        <v>38.480000000000004</v>
      </c>
      <c r="H83" s="28">
        <f t="shared" si="27"/>
        <v>37.570000000000007</v>
      </c>
      <c r="I83" s="28">
        <f t="shared" si="27"/>
        <v>36.67</v>
      </c>
      <c r="J83" s="28">
        <f t="shared" si="27"/>
        <v>34.770000000000003</v>
      </c>
      <c r="K83" s="28">
        <f t="shared" si="27"/>
        <v>36.099999999999994</v>
      </c>
      <c r="L83" s="28">
        <f t="shared" si="27"/>
        <v>40.699999999999996</v>
      </c>
      <c r="M83" s="28">
        <f t="shared" si="27"/>
        <v>38.410000000000004</v>
      </c>
      <c r="N83" s="28">
        <f t="shared" si="27"/>
        <v>42.23</v>
      </c>
      <c r="O83" s="28">
        <f>SUM(O17,O22,O25,O31,O34,O60,O65,O76,O80,O82)</f>
        <v>52.6</v>
      </c>
      <c r="P83" s="28">
        <f t="shared" si="27"/>
        <v>56.350000000000009</v>
      </c>
      <c r="Q83" s="28">
        <f t="shared" si="27"/>
        <v>58.43</v>
      </c>
      <c r="R83" s="28">
        <f t="shared" si="27"/>
        <v>59.089999999999996</v>
      </c>
      <c r="S83" s="28">
        <f t="shared" si="27"/>
        <v>61.059999999999988</v>
      </c>
      <c r="T83" s="28">
        <f t="shared" si="27"/>
        <v>63.28</v>
      </c>
      <c r="U83" s="28">
        <f>SUM(U17,U22,U25,U31,U34,U60,U65,U76,U80,U82)</f>
        <v>62.989999999999995</v>
      </c>
      <c r="V83" s="28">
        <f t="shared" si="27"/>
        <v>62.87</v>
      </c>
      <c r="W83" s="28">
        <f t="shared" si="27"/>
        <v>60.23</v>
      </c>
      <c r="X83" s="28">
        <f t="shared" si="27"/>
        <v>55.03</v>
      </c>
      <c r="Y83" s="28">
        <f t="shared" si="27"/>
        <v>62.089999999999996</v>
      </c>
      <c r="Z83" s="28">
        <f t="shared" si="27"/>
        <v>55.69</v>
      </c>
      <c r="AA83" s="28">
        <f t="shared" si="27"/>
        <v>54.529999999999994</v>
      </c>
      <c r="AB83" s="28">
        <f t="shared" si="27"/>
        <v>49.309999999999995</v>
      </c>
      <c r="AC83" s="28">
        <f t="shared" si="27"/>
        <v>48.169999999999995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25" t="s">
        <v>74</v>
      </c>
      <c r="B85" s="525"/>
      <c r="C85" s="525"/>
      <c r="D85" s="525"/>
      <c r="E85" s="525"/>
      <c r="F85" s="525"/>
      <c r="G85" s="525"/>
      <c r="H85" s="525"/>
      <c r="I85" s="525"/>
      <c r="J85" s="525"/>
      <c r="K85" s="525"/>
      <c r="L85" s="525"/>
      <c r="M85" s="525"/>
      <c r="N85" s="525"/>
      <c r="O85" s="525"/>
      <c r="P85" s="525"/>
      <c r="Q85" s="525"/>
      <c r="R85" s="525"/>
      <c r="S85" s="525"/>
      <c r="T85" s="525"/>
      <c r="U85" s="525"/>
      <c r="V85" s="525"/>
      <c r="W85" s="525"/>
      <c r="X85" s="525"/>
      <c r="Y85" s="525"/>
      <c r="Z85" s="525"/>
      <c r="AA85" s="525"/>
      <c r="AB85" s="525"/>
      <c r="AC85" s="525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</row>
    <row r="87" spans="1:40" ht="17.45">
      <c r="A87" s="500" t="s">
        <v>75</v>
      </c>
      <c r="B87" s="501"/>
      <c r="C87" s="502"/>
      <c r="D87" s="49"/>
      <c r="E87" s="49"/>
      <c r="F87" s="506" t="s">
        <v>76</v>
      </c>
      <c r="G87" s="506"/>
      <c r="H87" s="506"/>
      <c r="I87" s="506"/>
      <c r="J87" s="506"/>
      <c r="K87" s="506"/>
      <c r="L87" s="506"/>
      <c r="M87" s="506"/>
      <c r="N87" s="506"/>
      <c r="O87" s="506"/>
      <c r="P87" s="506"/>
      <c r="Q87" s="506"/>
      <c r="R87" s="506"/>
      <c r="S87" s="506"/>
      <c r="T87" s="506"/>
      <c r="U87" s="506"/>
      <c r="V87" s="506"/>
      <c r="W87" s="506"/>
      <c r="X87" s="506"/>
      <c r="Y87" s="506"/>
      <c r="Z87" s="506"/>
      <c r="AA87" s="506"/>
      <c r="AB87" s="506"/>
      <c r="AC87" s="506"/>
      <c r="AD87" s="5"/>
      <c r="AE87" s="5"/>
      <c r="AF87" s="5"/>
      <c r="AG87" s="5"/>
      <c r="AH87" s="5"/>
    </row>
    <row r="88" spans="1:40" ht="15.6" customHeight="1">
      <c r="A88" s="503"/>
      <c r="B88" s="504"/>
      <c r="C88" s="505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07" t="s">
        <v>27</v>
      </c>
      <c r="B89" s="508"/>
      <c r="C89" s="509"/>
      <c r="D89" s="45"/>
      <c r="E89" s="45"/>
      <c r="F89" s="64">
        <f t="shared" ref="F89:AC89" si="28">SUM(F22,F25)</f>
        <v>2.6</v>
      </c>
      <c r="G89" s="64">
        <f t="shared" si="28"/>
        <v>0</v>
      </c>
      <c r="H89" s="64">
        <f t="shared" si="28"/>
        <v>0</v>
      </c>
      <c r="I89" s="64">
        <f t="shared" si="28"/>
        <v>0</v>
      </c>
      <c r="J89" s="64">
        <f t="shared" si="28"/>
        <v>3</v>
      </c>
      <c r="K89" s="64">
        <f t="shared" si="28"/>
        <v>3</v>
      </c>
      <c r="L89" s="64">
        <f t="shared" si="28"/>
        <v>3.8</v>
      </c>
      <c r="M89" s="64">
        <f t="shared" si="28"/>
        <v>3</v>
      </c>
      <c r="N89" s="64">
        <f t="shared" si="28"/>
        <v>3</v>
      </c>
      <c r="O89" s="64">
        <f t="shared" si="28"/>
        <v>10.399999999999999</v>
      </c>
      <c r="P89" s="64">
        <f t="shared" si="28"/>
        <v>9.1999999999999993</v>
      </c>
      <c r="Q89" s="64">
        <f t="shared" si="28"/>
        <v>9.6</v>
      </c>
      <c r="R89" s="64">
        <f t="shared" si="28"/>
        <v>10.399999999999999</v>
      </c>
      <c r="S89" s="64">
        <f t="shared" si="28"/>
        <v>10.399999999999999</v>
      </c>
      <c r="T89" s="64">
        <f t="shared" si="28"/>
        <v>10.399999999999999</v>
      </c>
      <c r="U89" s="64">
        <f t="shared" si="28"/>
        <v>10.399999999999999</v>
      </c>
      <c r="V89" s="64">
        <f t="shared" si="28"/>
        <v>10.399999999999999</v>
      </c>
      <c r="W89" s="64">
        <f t="shared" si="28"/>
        <v>9.8999999999999986</v>
      </c>
      <c r="X89" s="64">
        <f t="shared" si="28"/>
        <v>7.6</v>
      </c>
      <c r="Y89" s="64">
        <f t="shared" si="28"/>
        <v>10.399999999999999</v>
      </c>
      <c r="Z89" s="64">
        <f t="shared" si="28"/>
        <v>8</v>
      </c>
      <c r="AA89" s="64">
        <f t="shared" si="28"/>
        <v>6.4</v>
      </c>
      <c r="AB89" s="64">
        <f t="shared" si="28"/>
        <v>7.1999999999999993</v>
      </c>
      <c r="AC89" s="64">
        <f t="shared" si="28"/>
        <v>7.6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521" t="s">
        <v>77</v>
      </c>
      <c r="B90" s="521"/>
      <c r="C90" s="522"/>
      <c r="D90" s="45"/>
      <c r="E90" s="45"/>
      <c r="F90" s="68"/>
      <c r="G90" s="68"/>
      <c r="H90" s="68"/>
      <c r="I90" s="68"/>
      <c r="J90" s="68">
        <v>0.21099999999999999</v>
      </c>
      <c r="K90" s="68">
        <v>0.186</v>
      </c>
      <c r="L90" s="68">
        <v>0.2</v>
      </c>
      <c r="M90" s="68">
        <v>0.20499999999999999</v>
      </c>
      <c r="N90" s="68">
        <v>0.252</v>
      </c>
      <c r="O90" s="68">
        <v>0.23699999999999999</v>
      </c>
      <c r="P90" s="68">
        <v>0.2</v>
      </c>
      <c r="Q90" s="68">
        <v>0.23</v>
      </c>
      <c r="R90" s="68">
        <v>0.23200000000000001</v>
      </c>
      <c r="S90" s="68">
        <v>0.252</v>
      </c>
      <c r="T90" s="68">
        <v>0.28199999999999997</v>
      </c>
      <c r="U90" s="68">
        <v>0.23899999999999999</v>
      </c>
      <c r="V90" s="68">
        <v>0.17899999999999999</v>
      </c>
      <c r="W90" s="68">
        <v>0.15</v>
      </c>
      <c r="X90" s="68">
        <v>0.15</v>
      </c>
      <c r="Y90" s="68">
        <v>0.23300000000000001</v>
      </c>
      <c r="Z90" s="68">
        <v>0.20799999999999999</v>
      </c>
      <c r="AA90" s="68">
        <v>0.248</v>
      </c>
      <c r="AB90" s="68">
        <v>0.2</v>
      </c>
      <c r="AC90" s="68">
        <v>0.215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07" t="s">
        <v>78</v>
      </c>
      <c r="B91" s="508"/>
      <c r="C91" s="509"/>
      <c r="D91" s="45"/>
      <c r="E91" s="45"/>
      <c r="F91" s="64">
        <f t="shared" ref="F91:AC91" si="29">F17</f>
        <v>19.5</v>
      </c>
      <c r="G91" s="64">
        <f t="shared" si="29"/>
        <v>19.5</v>
      </c>
      <c r="H91" s="64">
        <f t="shared" si="29"/>
        <v>20.100000000000001</v>
      </c>
      <c r="I91" s="64">
        <f t="shared" si="29"/>
        <v>19.399999999999999</v>
      </c>
      <c r="J91" s="64">
        <f t="shared" si="29"/>
        <v>13.4</v>
      </c>
      <c r="K91" s="64">
        <f t="shared" si="29"/>
        <v>13.4</v>
      </c>
      <c r="L91" s="64">
        <f t="shared" si="29"/>
        <v>17.2</v>
      </c>
      <c r="M91" s="64">
        <f t="shared" si="29"/>
        <v>18</v>
      </c>
      <c r="N91" s="64">
        <f t="shared" si="29"/>
        <v>20.700000000000003</v>
      </c>
      <c r="O91" s="64">
        <f t="shared" si="29"/>
        <v>21</v>
      </c>
      <c r="P91" s="64">
        <f t="shared" si="29"/>
        <v>27.6</v>
      </c>
      <c r="Q91" s="64">
        <f t="shared" si="29"/>
        <v>26.8</v>
      </c>
      <c r="R91" s="64">
        <f t="shared" si="29"/>
        <v>27.2</v>
      </c>
      <c r="S91" s="64">
        <f t="shared" si="29"/>
        <v>27.2</v>
      </c>
      <c r="T91" s="64">
        <f t="shared" si="29"/>
        <v>27.2</v>
      </c>
      <c r="U91" s="64">
        <f t="shared" si="29"/>
        <v>26.8</v>
      </c>
      <c r="V91" s="64">
        <f t="shared" si="29"/>
        <v>26.8</v>
      </c>
      <c r="W91" s="64">
        <f t="shared" si="29"/>
        <v>25.5</v>
      </c>
      <c r="X91" s="64">
        <f t="shared" si="29"/>
        <v>25.6</v>
      </c>
      <c r="Y91" s="64">
        <f t="shared" si="29"/>
        <v>26.499999999999996</v>
      </c>
      <c r="Z91" s="64">
        <f t="shared" si="29"/>
        <v>26.8</v>
      </c>
      <c r="AA91" s="64">
        <f t="shared" si="29"/>
        <v>26.4</v>
      </c>
      <c r="AB91" s="64">
        <f t="shared" si="29"/>
        <v>19.799999999999997</v>
      </c>
      <c r="AC91" s="64">
        <f t="shared" si="29"/>
        <v>20.100000000000001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21" t="s">
        <v>79</v>
      </c>
      <c r="B92" s="521"/>
      <c r="C92" s="522"/>
      <c r="D92" s="45"/>
      <c r="E92" s="45"/>
      <c r="F92" s="68">
        <v>0.74399999999999999</v>
      </c>
      <c r="G92" s="68">
        <v>0.74399999999999999</v>
      </c>
      <c r="H92" s="68">
        <v>0.70399999999999996</v>
      </c>
      <c r="I92" s="68">
        <v>0.71099999999999997</v>
      </c>
      <c r="J92" s="68">
        <v>0.61099999999999999</v>
      </c>
      <c r="K92" s="68">
        <v>0.79900000000000004</v>
      </c>
      <c r="L92" s="68">
        <v>0.76500000000000001</v>
      </c>
      <c r="M92" s="68">
        <v>0.70799999999999996</v>
      </c>
      <c r="N92" s="68">
        <v>0.71899999999999997</v>
      </c>
      <c r="O92" s="68">
        <v>0.84799999999999998</v>
      </c>
      <c r="P92" s="68">
        <v>0.94699999999999995</v>
      </c>
      <c r="Q92" s="68">
        <v>0.995</v>
      </c>
      <c r="R92" s="68">
        <v>0.76500000000000001</v>
      </c>
      <c r="S92" s="68">
        <v>0.84299999999999997</v>
      </c>
      <c r="T92" s="68">
        <v>0.83199999999999996</v>
      </c>
      <c r="U92" s="68">
        <v>0.81899999999999995</v>
      </c>
      <c r="V92" s="68">
        <v>0.78400000000000003</v>
      </c>
      <c r="W92" s="68">
        <v>0.72</v>
      </c>
      <c r="X92" s="68">
        <v>0.76600000000000001</v>
      </c>
      <c r="Y92" s="68">
        <v>0.90600000000000003</v>
      </c>
      <c r="Z92" s="68">
        <v>0.81</v>
      </c>
      <c r="AA92" s="68">
        <v>0.83199999999999996</v>
      </c>
      <c r="AB92" s="68">
        <v>0.78800000000000003</v>
      </c>
      <c r="AC92" s="68">
        <v>0.68200000000000005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07" t="s">
        <v>29</v>
      </c>
      <c r="B93" s="508"/>
      <c r="C93" s="509"/>
      <c r="D93" s="45"/>
      <c r="E93" s="45"/>
      <c r="F93" s="65">
        <f t="shared" ref="F93:AC93" si="30">F31</f>
        <v>4.2</v>
      </c>
      <c r="G93" s="65">
        <f t="shared" si="30"/>
        <v>3.9</v>
      </c>
      <c r="H93" s="65">
        <f t="shared" si="30"/>
        <v>3</v>
      </c>
      <c r="I93" s="65">
        <f t="shared" si="30"/>
        <v>2.9</v>
      </c>
      <c r="J93" s="65">
        <f t="shared" si="30"/>
        <v>3.5</v>
      </c>
      <c r="K93" s="65">
        <f t="shared" si="30"/>
        <v>3.8</v>
      </c>
      <c r="L93" s="65">
        <f t="shared" si="30"/>
        <v>3.5</v>
      </c>
      <c r="M93" s="65">
        <f t="shared" si="30"/>
        <v>2.8</v>
      </c>
      <c r="N93" s="65">
        <f t="shared" si="30"/>
        <v>4</v>
      </c>
      <c r="O93" s="65">
        <f t="shared" si="30"/>
        <v>4.0999999999999996</v>
      </c>
      <c r="P93" s="65">
        <f t="shared" si="30"/>
        <v>3</v>
      </c>
      <c r="Q93" s="65">
        <f t="shared" si="30"/>
        <v>4</v>
      </c>
      <c r="R93" s="65">
        <f t="shared" si="30"/>
        <v>4.0999999999999996</v>
      </c>
      <c r="S93" s="65">
        <f t="shared" si="30"/>
        <v>4</v>
      </c>
      <c r="T93" s="65">
        <f>T31</f>
        <v>9</v>
      </c>
      <c r="U93" s="65">
        <f t="shared" si="30"/>
        <v>9.1</v>
      </c>
      <c r="V93" s="65">
        <f t="shared" si="30"/>
        <v>9</v>
      </c>
      <c r="W93" s="65">
        <f t="shared" si="30"/>
        <v>8.1999999999999993</v>
      </c>
      <c r="X93" s="65">
        <f t="shared" si="30"/>
        <v>6.3</v>
      </c>
      <c r="Y93" s="65">
        <f t="shared" si="30"/>
        <v>9.1999999999999993</v>
      </c>
      <c r="Z93" s="65">
        <f t="shared" si="30"/>
        <v>6</v>
      </c>
      <c r="AA93" s="65">
        <f t="shared" si="30"/>
        <v>6</v>
      </c>
      <c r="AB93" s="65">
        <f t="shared" si="30"/>
        <v>3</v>
      </c>
      <c r="AC93" s="65">
        <f t="shared" si="30"/>
        <v>4.2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21" t="s">
        <v>80</v>
      </c>
      <c r="B94" s="521"/>
      <c r="C94" s="522"/>
      <c r="D94" s="45"/>
      <c r="E94" s="45"/>
      <c r="F94" s="68">
        <v>0.17199999999999999</v>
      </c>
      <c r="G94" s="68">
        <v>0.155</v>
      </c>
      <c r="H94" s="68">
        <v>0.17399999999999999</v>
      </c>
      <c r="I94" s="68">
        <v>0.16800000000000001</v>
      </c>
      <c r="J94" s="68">
        <v>0.16600000000000001</v>
      </c>
      <c r="K94" s="68">
        <v>0.16500000000000001</v>
      </c>
      <c r="L94" s="68">
        <v>0.16800000000000001</v>
      </c>
      <c r="M94" s="68">
        <v>0.18</v>
      </c>
      <c r="N94" s="68">
        <v>0.188</v>
      </c>
      <c r="O94" s="68">
        <v>0.20100000000000001</v>
      </c>
      <c r="P94" s="68">
        <v>0.214</v>
      </c>
      <c r="Q94" s="68">
        <v>0.19800000000000001</v>
      </c>
      <c r="R94" s="68">
        <v>0.219</v>
      </c>
      <c r="S94" s="68">
        <v>0.221</v>
      </c>
      <c r="T94" s="68">
        <f>0.224+0.1901</f>
        <v>0.41410000000000002</v>
      </c>
      <c r="U94" s="68">
        <v>0.21299999999999999</v>
      </c>
      <c r="V94" s="68">
        <v>0.21199999999999999</v>
      </c>
      <c r="W94" s="68">
        <v>0.22900000000000001</v>
      </c>
      <c r="X94" s="68">
        <v>0.23</v>
      </c>
      <c r="Y94" s="68">
        <v>0.215</v>
      </c>
      <c r="Z94" s="68">
        <v>0.17899999999999999</v>
      </c>
      <c r="AA94" s="68">
        <v>0.17899999999999999</v>
      </c>
      <c r="AB94" s="68">
        <v>0.187</v>
      </c>
      <c r="AC94" s="68">
        <v>0.17299999999999999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07" t="s">
        <v>32</v>
      </c>
      <c r="B95" s="508"/>
      <c r="C95" s="509"/>
      <c r="D95" s="45"/>
      <c r="E95" s="45"/>
      <c r="F95" s="65">
        <f t="shared" ref="F95:AC95" si="31">F34</f>
        <v>14.24</v>
      </c>
      <c r="G95" s="65">
        <f t="shared" si="31"/>
        <v>13.3</v>
      </c>
      <c r="H95" s="65">
        <f t="shared" si="31"/>
        <v>12.8</v>
      </c>
      <c r="I95" s="65">
        <f t="shared" si="31"/>
        <v>12.78</v>
      </c>
      <c r="J95" s="65">
        <f t="shared" si="31"/>
        <v>13.3</v>
      </c>
      <c r="K95" s="65">
        <f t="shared" si="31"/>
        <v>14.24</v>
      </c>
      <c r="L95" s="65">
        <f t="shared" si="31"/>
        <v>14.3</v>
      </c>
      <c r="M95" s="65">
        <f t="shared" si="31"/>
        <v>12.77</v>
      </c>
      <c r="N95" s="65">
        <f t="shared" si="31"/>
        <v>12.76</v>
      </c>
      <c r="O95" s="65">
        <f t="shared" si="31"/>
        <v>14.28</v>
      </c>
      <c r="P95" s="65">
        <f t="shared" si="31"/>
        <v>14.3</v>
      </c>
      <c r="Q95" s="65">
        <f t="shared" si="31"/>
        <v>14.28</v>
      </c>
      <c r="R95" s="65">
        <f t="shared" si="31"/>
        <v>14.29</v>
      </c>
      <c r="S95" s="65">
        <f t="shared" si="31"/>
        <v>14.27</v>
      </c>
      <c r="T95" s="65">
        <f t="shared" si="31"/>
        <v>14.28</v>
      </c>
      <c r="U95" s="65">
        <f t="shared" si="31"/>
        <v>14.28</v>
      </c>
      <c r="V95" s="65">
        <f t="shared" si="31"/>
        <v>14.3</v>
      </c>
      <c r="W95" s="65">
        <f t="shared" si="31"/>
        <v>14.28</v>
      </c>
      <c r="X95" s="65">
        <f t="shared" si="31"/>
        <v>13.29</v>
      </c>
      <c r="Y95" s="65">
        <f t="shared" si="31"/>
        <v>13.29</v>
      </c>
      <c r="Z95" s="65">
        <f t="shared" si="31"/>
        <v>13.28</v>
      </c>
      <c r="AA95" s="65">
        <f t="shared" si="31"/>
        <v>13.27</v>
      </c>
      <c r="AB95" s="65">
        <f t="shared" si="31"/>
        <v>14.27</v>
      </c>
      <c r="AC95" s="65">
        <f t="shared" si="31"/>
        <v>14.28</v>
      </c>
      <c r="AG95" s="5"/>
      <c r="AH95" s="5"/>
      <c r="AI95" s="5"/>
      <c r="AJ95" s="5"/>
      <c r="AK95" s="5"/>
      <c r="AL95" s="5"/>
      <c r="AM95" s="5"/>
      <c r="AN95" s="5"/>
    </row>
    <row r="96" spans="1:40" s="67" customFormat="1" ht="17.45">
      <c r="A96" s="521" t="s">
        <v>81</v>
      </c>
      <c r="B96" s="521"/>
      <c r="C96" s="522"/>
      <c r="D96" s="68"/>
      <c r="E96" s="68"/>
      <c r="F96" s="68">
        <v>0.76</v>
      </c>
      <c r="G96" s="68">
        <v>0.7</v>
      </c>
      <c r="H96" s="68">
        <v>0.7</v>
      </c>
      <c r="I96" s="68">
        <v>0.72</v>
      </c>
      <c r="J96" s="68">
        <v>0.72</v>
      </c>
      <c r="K96" s="68">
        <v>0.76</v>
      </c>
      <c r="L96" s="68">
        <v>0.7</v>
      </c>
      <c r="M96" s="68">
        <v>0.73</v>
      </c>
      <c r="N96" s="68">
        <v>0.74</v>
      </c>
      <c r="O96" s="68">
        <v>0.72</v>
      </c>
      <c r="P96" s="68">
        <v>0.7</v>
      </c>
      <c r="Q96" s="68">
        <v>0.72</v>
      </c>
      <c r="R96" s="68">
        <v>0.71</v>
      </c>
      <c r="S96" s="68">
        <v>0.73</v>
      </c>
      <c r="T96" s="68">
        <v>0.72</v>
      </c>
      <c r="U96" s="68">
        <v>0.72</v>
      </c>
      <c r="V96" s="68">
        <v>0.7</v>
      </c>
      <c r="W96" s="68">
        <v>0.72</v>
      </c>
      <c r="X96" s="68">
        <v>0.71</v>
      </c>
      <c r="Y96" s="68">
        <v>0.73</v>
      </c>
      <c r="Z96" s="68">
        <v>0.72</v>
      </c>
      <c r="AA96" s="68">
        <v>0.78100000000000003</v>
      </c>
      <c r="AB96" s="68">
        <v>0.73</v>
      </c>
      <c r="AC96" s="68">
        <v>0.72</v>
      </c>
      <c r="AD96" s="69"/>
      <c r="AE96" s="69"/>
      <c r="AF96" s="69"/>
      <c r="AG96" s="69"/>
      <c r="AH96" s="69"/>
      <c r="AI96" s="69"/>
      <c r="AJ96" s="69"/>
      <c r="AK96" s="69"/>
    </row>
    <row r="97" spans="1:124" ht="17.45">
      <c r="A97" s="507" t="s">
        <v>33</v>
      </c>
      <c r="B97" s="508"/>
      <c r="C97" s="509"/>
      <c r="D97" s="45"/>
      <c r="E97" s="45"/>
      <c r="F97" s="64">
        <f t="shared" ref="F97:AC97" si="32">F60</f>
        <v>0.7</v>
      </c>
      <c r="G97" s="64">
        <f t="shared" si="32"/>
        <v>0</v>
      </c>
      <c r="H97" s="64">
        <f t="shared" si="32"/>
        <v>0</v>
      </c>
      <c r="I97" s="64">
        <f t="shared" si="32"/>
        <v>0</v>
      </c>
      <c r="J97" s="64">
        <f t="shared" si="32"/>
        <v>0</v>
      </c>
      <c r="K97" s="64">
        <f t="shared" si="32"/>
        <v>0</v>
      </c>
      <c r="L97" s="64">
        <f t="shared" si="32"/>
        <v>0</v>
      </c>
      <c r="M97" s="64">
        <f t="shared" si="32"/>
        <v>0</v>
      </c>
      <c r="N97" s="64">
        <f t="shared" si="32"/>
        <v>0</v>
      </c>
      <c r="O97" s="64">
        <f t="shared" si="32"/>
        <v>0.7</v>
      </c>
      <c r="P97" s="64">
        <f t="shared" si="32"/>
        <v>0</v>
      </c>
      <c r="Q97" s="64">
        <f t="shared" si="32"/>
        <v>1.4</v>
      </c>
      <c r="R97" s="64">
        <f t="shared" si="32"/>
        <v>0.7</v>
      </c>
      <c r="S97" s="64">
        <f t="shared" si="32"/>
        <v>2.8</v>
      </c>
      <c r="T97" s="64">
        <f t="shared" si="32"/>
        <v>0</v>
      </c>
      <c r="U97" s="64">
        <f t="shared" si="32"/>
        <v>0</v>
      </c>
      <c r="V97" s="64">
        <f t="shared" si="32"/>
        <v>0</v>
      </c>
      <c r="W97" s="64">
        <f t="shared" si="32"/>
        <v>0</v>
      </c>
      <c r="X97" s="64">
        <f t="shared" si="32"/>
        <v>0</v>
      </c>
      <c r="Y97" s="64">
        <f t="shared" si="32"/>
        <v>0</v>
      </c>
      <c r="Z97" s="64">
        <f t="shared" si="32"/>
        <v>0</v>
      </c>
      <c r="AA97" s="64">
        <f t="shared" si="32"/>
        <v>0</v>
      </c>
      <c r="AB97" s="64">
        <f t="shared" si="32"/>
        <v>2.8</v>
      </c>
      <c r="AC97" s="64">
        <f t="shared" si="32"/>
        <v>0</v>
      </c>
      <c r="AG97" s="5"/>
      <c r="AH97" s="5"/>
      <c r="AI97" s="5"/>
      <c r="AJ97" s="5"/>
      <c r="AK97" s="5"/>
      <c r="AL97" s="5"/>
      <c r="AM97" s="5"/>
      <c r="AN97" s="5"/>
    </row>
    <row r="98" spans="1:124" ht="17.45">
      <c r="A98" s="507" t="s">
        <v>55</v>
      </c>
      <c r="B98" s="508"/>
      <c r="C98" s="509"/>
      <c r="D98" s="45"/>
      <c r="E98" s="45"/>
      <c r="F98" s="64">
        <f t="shared" ref="F98:AC98" si="33">F65</f>
        <v>1.05</v>
      </c>
      <c r="G98" s="64">
        <f t="shared" si="33"/>
        <v>0.97</v>
      </c>
      <c r="H98" s="64">
        <f t="shared" si="33"/>
        <v>0.9</v>
      </c>
      <c r="I98" s="64">
        <f t="shared" si="33"/>
        <v>0.84</v>
      </c>
      <c r="J98" s="64">
        <f t="shared" si="33"/>
        <v>0.81</v>
      </c>
      <c r="K98" s="64">
        <f t="shared" si="33"/>
        <v>0.87</v>
      </c>
      <c r="L98" s="64">
        <f t="shared" si="33"/>
        <v>1.07</v>
      </c>
      <c r="M98" s="64">
        <f t="shared" si="33"/>
        <v>1.07</v>
      </c>
      <c r="N98" s="64">
        <f t="shared" si="33"/>
        <v>1.05</v>
      </c>
      <c r="O98" s="64">
        <f t="shared" si="33"/>
        <v>1.3</v>
      </c>
      <c r="P98" s="64">
        <f t="shared" si="33"/>
        <v>1.39</v>
      </c>
      <c r="Q98" s="64">
        <f t="shared" si="33"/>
        <v>1.47</v>
      </c>
      <c r="R98" s="64">
        <f t="shared" si="33"/>
        <v>1.48</v>
      </c>
      <c r="S98" s="64">
        <f t="shared" si="33"/>
        <v>1.45</v>
      </c>
      <c r="T98" s="64">
        <f t="shared" si="33"/>
        <v>1.45</v>
      </c>
      <c r="U98" s="64">
        <f t="shared" si="33"/>
        <v>1.44</v>
      </c>
      <c r="V98" s="64">
        <f t="shared" si="33"/>
        <v>1.41</v>
      </c>
      <c r="W98" s="64">
        <f t="shared" si="33"/>
        <v>1.42</v>
      </c>
      <c r="X98" s="64">
        <f t="shared" si="33"/>
        <v>1.32</v>
      </c>
      <c r="Y98" s="64">
        <f t="shared" si="33"/>
        <v>1.7</v>
      </c>
      <c r="Z98" s="64">
        <f t="shared" si="33"/>
        <v>1.6100000000000003</v>
      </c>
      <c r="AA98" s="64">
        <f t="shared" si="33"/>
        <v>1.49</v>
      </c>
      <c r="AB98" s="64">
        <f t="shared" si="33"/>
        <v>1.34</v>
      </c>
      <c r="AC98" s="64">
        <f t="shared" si="33"/>
        <v>1.1599999999999999</v>
      </c>
      <c r="AG98" s="5"/>
      <c r="AH98" s="5"/>
      <c r="AI98" s="5"/>
      <c r="AJ98" s="5"/>
      <c r="AK98" s="5"/>
      <c r="AL98" s="5"/>
      <c r="AM98" s="5"/>
      <c r="AN98" s="5"/>
    </row>
    <row r="99" spans="1:124" s="2" customFormat="1" ht="17.45">
      <c r="A99" s="507" t="s">
        <v>59</v>
      </c>
      <c r="B99" s="508"/>
      <c r="C99" s="509"/>
      <c r="D99" s="45"/>
      <c r="E99" s="45"/>
      <c r="F99" s="64">
        <f t="shared" ref="F99:AC99" si="34">F76</f>
        <v>0</v>
      </c>
      <c r="G99" s="64">
        <f t="shared" si="34"/>
        <v>0</v>
      </c>
      <c r="H99" s="64">
        <f t="shared" si="34"/>
        <v>0</v>
      </c>
      <c r="I99" s="64">
        <f t="shared" si="34"/>
        <v>0</v>
      </c>
      <c r="J99" s="64">
        <f t="shared" si="34"/>
        <v>0</v>
      </c>
      <c r="K99" s="64">
        <f t="shared" si="34"/>
        <v>0</v>
      </c>
      <c r="L99" s="64">
        <f t="shared" si="34"/>
        <v>0</v>
      </c>
      <c r="M99" s="64">
        <f t="shared" si="34"/>
        <v>0</v>
      </c>
      <c r="N99" s="64">
        <f t="shared" si="34"/>
        <v>0</v>
      </c>
      <c r="O99" s="64">
        <f t="shared" si="34"/>
        <v>0</v>
      </c>
      <c r="P99" s="64">
        <f t="shared" si="34"/>
        <v>0</v>
      </c>
      <c r="Q99" s="64">
        <f t="shared" si="34"/>
        <v>0</v>
      </c>
      <c r="R99" s="64">
        <f t="shared" si="34"/>
        <v>0</v>
      </c>
      <c r="S99" s="64">
        <f t="shared" si="34"/>
        <v>0</v>
      </c>
      <c r="T99" s="64">
        <f t="shared" si="34"/>
        <v>0</v>
      </c>
      <c r="U99" s="64">
        <f t="shared" si="34"/>
        <v>0</v>
      </c>
      <c r="V99" s="64">
        <f t="shared" si="34"/>
        <v>0</v>
      </c>
      <c r="W99" s="64">
        <f t="shared" si="34"/>
        <v>0</v>
      </c>
      <c r="X99" s="64">
        <f t="shared" si="34"/>
        <v>0</v>
      </c>
      <c r="Y99" s="64">
        <f t="shared" si="34"/>
        <v>0</v>
      </c>
      <c r="Z99" s="64">
        <f t="shared" si="34"/>
        <v>0</v>
      </c>
      <c r="AA99" s="64">
        <f t="shared" si="34"/>
        <v>0</v>
      </c>
      <c r="AB99" s="64">
        <f t="shared" si="34"/>
        <v>0</v>
      </c>
      <c r="AC99" s="64">
        <f t="shared" si="34"/>
        <v>0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>
      <c r="A100" s="507" t="s">
        <v>69</v>
      </c>
      <c r="B100" s="508"/>
      <c r="C100" s="509"/>
      <c r="D100" s="45"/>
      <c r="E100" s="45"/>
      <c r="F100" s="64">
        <f t="shared" ref="F100:AC100" si="35">F80</f>
        <v>0.85</v>
      </c>
      <c r="G100" s="64">
        <f t="shared" si="35"/>
        <v>0.81</v>
      </c>
      <c r="H100" s="64">
        <f t="shared" si="35"/>
        <v>0.77</v>
      </c>
      <c r="I100" s="64">
        <f t="shared" si="35"/>
        <v>0.75</v>
      </c>
      <c r="J100" s="64">
        <f t="shared" si="35"/>
        <v>0.76</v>
      </c>
      <c r="K100" s="64">
        <f t="shared" si="35"/>
        <v>0.79</v>
      </c>
      <c r="L100" s="64">
        <f t="shared" si="35"/>
        <v>0.83</v>
      </c>
      <c r="M100" s="64">
        <f t="shared" si="35"/>
        <v>0.77</v>
      </c>
      <c r="N100" s="64">
        <f t="shared" si="35"/>
        <v>0.72</v>
      </c>
      <c r="O100" s="64">
        <f t="shared" si="35"/>
        <v>0.82</v>
      </c>
      <c r="P100" s="64">
        <f t="shared" si="35"/>
        <v>0.86</v>
      </c>
      <c r="Q100" s="64">
        <f t="shared" si="35"/>
        <v>0.88</v>
      </c>
      <c r="R100" s="64">
        <f t="shared" si="35"/>
        <v>0.92</v>
      </c>
      <c r="S100" s="64">
        <f t="shared" si="35"/>
        <v>0.94</v>
      </c>
      <c r="T100" s="64">
        <f t="shared" si="35"/>
        <v>0.95</v>
      </c>
      <c r="U100" s="64">
        <f t="shared" si="35"/>
        <v>0.97</v>
      </c>
      <c r="V100" s="64">
        <f t="shared" si="35"/>
        <v>0.96</v>
      </c>
      <c r="W100" s="64">
        <f t="shared" si="35"/>
        <v>0.93</v>
      </c>
      <c r="X100" s="64">
        <f t="shared" si="35"/>
        <v>0.92</v>
      </c>
      <c r="Y100" s="64">
        <f t="shared" si="35"/>
        <v>1</v>
      </c>
      <c r="Z100" s="64">
        <f t="shared" si="35"/>
        <v>0</v>
      </c>
      <c r="AA100" s="64">
        <f t="shared" si="35"/>
        <v>0.97</v>
      </c>
      <c r="AB100" s="64">
        <f t="shared" si="35"/>
        <v>0.9</v>
      </c>
      <c r="AC100" s="64">
        <f t="shared" si="35"/>
        <v>0.83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 customHeight="1">
      <c r="A101" s="507" t="s">
        <v>72</v>
      </c>
      <c r="B101" s="508"/>
      <c r="C101" s="509"/>
      <c r="D101" s="45"/>
      <c r="E101" s="45"/>
      <c r="F101" s="64">
        <f t="shared" ref="F101:AC101" si="36">F82</f>
        <v>0</v>
      </c>
      <c r="G101" s="64">
        <f t="shared" si="36"/>
        <v>0</v>
      </c>
      <c r="H101" s="64">
        <f t="shared" si="36"/>
        <v>0</v>
      </c>
      <c r="I101" s="64">
        <f t="shared" si="36"/>
        <v>0</v>
      </c>
      <c r="J101" s="64">
        <f t="shared" si="36"/>
        <v>0</v>
      </c>
      <c r="K101" s="64">
        <f t="shared" si="36"/>
        <v>0</v>
      </c>
      <c r="L101" s="64">
        <f t="shared" si="36"/>
        <v>0</v>
      </c>
      <c r="M101" s="64">
        <f t="shared" si="36"/>
        <v>0</v>
      </c>
      <c r="N101" s="64">
        <f t="shared" si="36"/>
        <v>0</v>
      </c>
      <c r="O101" s="64">
        <f t="shared" si="36"/>
        <v>0</v>
      </c>
      <c r="P101" s="64">
        <f t="shared" si="36"/>
        <v>0</v>
      </c>
      <c r="Q101" s="64">
        <f t="shared" si="36"/>
        <v>0</v>
      </c>
      <c r="R101" s="64">
        <f t="shared" si="36"/>
        <v>0</v>
      </c>
      <c r="S101" s="64">
        <f t="shared" si="36"/>
        <v>0</v>
      </c>
      <c r="T101" s="64">
        <f t="shared" si="36"/>
        <v>0</v>
      </c>
      <c r="U101" s="64">
        <f t="shared" si="36"/>
        <v>0</v>
      </c>
      <c r="V101" s="64">
        <f t="shared" si="36"/>
        <v>0</v>
      </c>
      <c r="W101" s="64">
        <f t="shared" si="36"/>
        <v>0</v>
      </c>
      <c r="X101" s="64">
        <f t="shared" si="36"/>
        <v>0</v>
      </c>
      <c r="Y101" s="64">
        <f t="shared" si="36"/>
        <v>0</v>
      </c>
      <c r="Z101" s="64">
        <f t="shared" si="36"/>
        <v>0</v>
      </c>
      <c r="AA101" s="64">
        <f t="shared" si="36"/>
        <v>0</v>
      </c>
      <c r="AB101" s="64">
        <f t="shared" si="36"/>
        <v>0</v>
      </c>
      <c r="AC101" s="64">
        <f t="shared" si="36"/>
        <v>0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>
      <c r="A102" s="511" t="s">
        <v>82</v>
      </c>
      <c r="B102" s="511"/>
      <c r="C102" s="511"/>
      <c r="D102" s="47"/>
      <c r="E102" s="47"/>
      <c r="F102" s="61">
        <f t="shared" ref="F102:AC102" si="37">SUM(F89,F91,F93,F95,F97:F101,F81)</f>
        <v>43.14</v>
      </c>
      <c r="G102" s="61">
        <f t="shared" si="37"/>
        <v>38.480000000000004</v>
      </c>
      <c r="H102" s="61">
        <f t="shared" si="37"/>
        <v>37.570000000000007</v>
      </c>
      <c r="I102" s="61">
        <f t="shared" si="37"/>
        <v>36.67</v>
      </c>
      <c r="J102" s="61">
        <f t="shared" si="37"/>
        <v>34.770000000000003</v>
      </c>
      <c r="K102" s="61">
        <f>SUM(K89,K91,K93,K95,K97:K101,K81)</f>
        <v>36.099999999999994</v>
      </c>
      <c r="L102" s="61">
        <f t="shared" si="37"/>
        <v>40.699999999999996</v>
      </c>
      <c r="M102" s="61">
        <f t="shared" si="37"/>
        <v>38.410000000000004</v>
      </c>
      <c r="N102" s="61">
        <f t="shared" si="37"/>
        <v>42.23</v>
      </c>
      <c r="O102" s="61">
        <f t="shared" si="37"/>
        <v>52.6</v>
      </c>
      <c r="P102" s="61">
        <f t="shared" si="37"/>
        <v>56.349999999999994</v>
      </c>
      <c r="Q102" s="61">
        <f t="shared" si="37"/>
        <v>58.43</v>
      </c>
      <c r="R102" s="61">
        <f t="shared" si="37"/>
        <v>59.089999999999996</v>
      </c>
      <c r="S102" s="61">
        <f t="shared" si="37"/>
        <v>61.059999999999988</v>
      </c>
      <c r="T102" s="61">
        <f>SUM(T89,T91,T93,T95,T97:T101,T81)</f>
        <v>63.28</v>
      </c>
      <c r="U102" s="61">
        <f t="shared" si="37"/>
        <v>62.99</v>
      </c>
      <c r="V102" s="61">
        <f t="shared" si="37"/>
        <v>62.87</v>
      </c>
      <c r="W102" s="61">
        <f t="shared" si="37"/>
        <v>60.23</v>
      </c>
      <c r="X102" s="61">
        <f>SUM(X89,X91,X93,X95,X97:X101,X81)</f>
        <v>55.03</v>
      </c>
      <c r="Y102" s="61">
        <f t="shared" si="37"/>
        <v>62.089999999999996</v>
      </c>
      <c r="Z102" s="61">
        <f t="shared" si="37"/>
        <v>55.69</v>
      </c>
      <c r="AA102" s="61">
        <f t="shared" si="37"/>
        <v>54.529999999999994</v>
      </c>
      <c r="AB102" s="61">
        <f t="shared" si="37"/>
        <v>49.309999999999995</v>
      </c>
      <c r="AC102" s="61">
        <f t="shared" si="37"/>
        <v>48.169999999999995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12" t="s">
        <v>83</v>
      </c>
      <c r="B103" s="512"/>
      <c r="C103" s="512"/>
      <c r="D103" s="46"/>
      <c r="E103" s="46"/>
      <c r="F103" s="76"/>
      <c r="G103" s="76"/>
      <c r="H103" s="76"/>
      <c r="I103" s="76"/>
      <c r="J103" s="76"/>
      <c r="K103" s="76"/>
      <c r="L103" s="76"/>
      <c r="M103" s="76"/>
      <c r="N103" s="76"/>
      <c r="O103" s="76"/>
      <c r="P103" s="76"/>
      <c r="Q103" s="76"/>
      <c r="R103" s="76"/>
      <c r="S103" s="76"/>
      <c r="T103" s="76"/>
      <c r="U103" s="76"/>
      <c r="V103" s="76"/>
      <c r="W103" s="76"/>
      <c r="X103" s="76"/>
      <c r="Y103" s="76"/>
      <c r="Z103" s="76"/>
      <c r="AA103" s="76"/>
      <c r="AB103" s="76"/>
      <c r="AC103" s="76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12" t="s">
        <v>84</v>
      </c>
      <c r="B104" s="512"/>
      <c r="C104" s="512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12" t="s">
        <v>85</v>
      </c>
      <c r="B105" s="512"/>
      <c r="C105" s="512"/>
      <c r="D105" s="46"/>
      <c r="E105" s="46"/>
      <c r="F105" s="76"/>
      <c r="G105" s="76">
        <v>1.28</v>
      </c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11" t="s">
        <v>86</v>
      </c>
      <c r="B106" s="511"/>
      <c r="C106" s="511"/>
      <c r="D106" s="47"/>
      <c r="E106" s="47"/>
      <c r="F106" s="61">
        <f t="shared" ref="F106:AC106" si="38">SUM(F103:F105)</f>
        <v>0</v>
      </c>
      <c r="G106" s="61">
        <f t="shared" si="38"/>
        <v>1.28</v>
      </c>
      <c r="H106" s="61">
        <f t="shared" si="38"/>
        <v>0</v>
      </c>
      <c r="I106" s="61">
        <f t="shared" si="38"/>
        <v>0</v>
      </c>
      <c r="J106" s="61">
        <f t="shared" si="38"/>
        <v>0</v>
      </c>
      <c r="K106" s="61">
        <f t="shared" si="38"/>
        <v>0</v>
      </c>
      <c r="L106" s="61">
        <f t="shared" si="38"/>
        <v>0</v>
      </c>
      <c r="M106" s="61">
        <f t="shared" si="38"/>
        <v>0</v>
      </c>
      <c r="N106" s="61">
        <f t="shared" si="38"/>
        <v>0</v>
      </c>
      <c r="O106" s="61">
        <f t="shared" si="38"/>
        <v>0</v>
      </c>
      <c r="P106" s="61">
        <f t="shared" si="38"/>
        <v>0</v>
      </c>
      <c r="Q106" s="61">
        <f t="shared" si="38"/>
        <v>0</v>
      </c>
      <c r="R106" s="61">
        <f t="shared" si="38"/>
        <v>0</v>
      </c>
      <c r="S106" s="61">
        <f t="shared" si="38"/>
        <v>0</v>
      </c>
      <c r="T106" s="61">
        <f t="shared" si="38"/>
        <v>0</v>
      </c>
      <c r="U106" s="61">
        <f t="shared" si="38"/>
        <v>0</v>
      </c>
      <c r="V106" s="61">
        <f t="shared" si="38"/>
        <v>0</v>
      </c>
      <c r="W106" s="61">
        <f t="shared" si="38"/>
        <v>0</v>
      </c>
      <c r="X106" s="61">
        <f t="shared" si="38"/>
        <v>0</v>
      </c>
      <c r="Y106" s="61">
        <f t="shared" si="38"/>
        <v>0</v>
      </c>
      <c r="Z106" s="61">
        <f t="shared" si="38"/>
        <v>0</v>
      </c>
      <c r="AA106" s="61">
        <f t="shared" si="38"/>
        <v>0</v>
      </c>
      <c r="AB106" s="61">
        <f t="shared" si="38"/>
        <v>0</v>
      </c>
      <c r="AC106" s="61">
        <f t="shared" si="38"/>
        <v>0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13" t="s">
        <v>87</v>
      </c>
      <c r="B107" s="513"/>
      <c r="C107" s="513"/>
      <c r="D107" s="48"/>
      <c r="E107" s="48"/>
      <c r="F107" s="62">
        <f t="shared" ref="F107:AC107" si="39">F102+F106</f>
        <v>43.14</v>
      </c>
      <c r="G107" s="62">
        <f t="shared" si="39"/>
        <v>39.760000000000005</v>
      </c>
      <c r="H107" s="62">
        <f t="shared" si="39"/>
        <v>37.570000000000007</v>
      </c>
      <c r="I107" s="62">
        <f t="shared" si="39"/>
        <v>36.67</v>
      </c>
      <c r="J107" s="62">
        <f t="shared" si="39"/>
        <v>34.770000000000003</v>
      </c>
      <c r="K107" s="62">
        <f t="shared" si="39"/>
        <v>36.099999999999994</v>
      </c>
      <c r="L107" s="62">
        <f t="shared" si="39"/>
        <v>40.699999999999996</v>
      </c>
      <c r="M107" s="62">
        <f t="shared" si="39"/>
        <v>38.410000000000004</v>
      </c>
      <c r="N107" s="62">
        <f t="shared" si="39"/>
        <v>42.23</v>
      </c>
      <c r="O107" s="62">
        <f t="shared" si="39"/>
        <v>52.6</v>
      </c>
      <c r="P107" s="62">
        <f t="shared" si="39"/>
        <v>56.349999999999994</v>
      </c>
      <c r="Q107" s="62">
        <f t="shared" si="39"/>
        <v>58.43</v>
      </c>
      <c r="R107" s="62">
        <f t="shared" si="39"/>
        <v>59.089999999999996</v>
      </c>
      <c r="S107" s="62">
        <f t="shared" si="39"/>
        <v>61.059999999999988</v>
      </c>
      <c r="T107" s="62">
        <f t="shared" si="39"/>
        <v>63.28</v>
      </c>
      <c r="U107" s="62">
        <f t="shared" si="39"/>
        <v>62.99</v>
      </c>
      <c r="V107" s="62">
        <f t="shared" si="39"/>
        <v>62.87</v>
      </c>
      <c r="W107" s="62">
        <f>W102+W106</f>
        <v>60.23</v>
      </c>
      <c r="X107" s="62">
        <f t="shared" si="39"/>
        <v>55.03</v>
      </c>
      <c r="Y107" s="62">
        <f t="shared" si="39"/>
        <v>62.089999999999996</v>
      </c>
      <c r="Z107" s="62">
        <f t="shared" si="39"/>
        <v>55.69</v>
      </c>
      <c r="AA107" s="62">
        <f t="shared" si="39"/>
        <v>54.529999999999994</v>
      </c>
      <c r="AB107" s="62">
        <f t="shared" si="39"/>
        <v>49.309999999999995</v>
      </c>
      <c r="AC107" s="62">
        <f t="shared" si="39"/>
        <v>48.169999999999995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1" hidden="1">
      <c r="A108" s="514" t="s">
        <v>88</v>
      </c>
      <c r="B108" s="514"/>
      <c r="C108" s="514"/>
      <c r="D108" s="52"/>
      <c r="E108" s="52"/>
      <c r="F108" s="63">
        <f t="shared" ref="F108:AC108" si="40">(COUNT(F13:F16))*7.2+(COUNT(F27:F28)*4.9)+(COUNT(F19:F21)*4.5)-F91-F93</f>
        <v>7.3</v>
      </c>
      <c r="G108" s="63">
        <f t="shared" si="40"/>
        <v>3.1</v>
      </c>
      <c r="H108" s="63">
        <f t="shared" si="40"/>
        <v>3.3999999999999986</v>
      </c>
      <c r="I108" s="63">
        <f t="shared" si="40"/>
        <v>4.2000000000000011</v>
      </c>
      <c r="J108" s="63">
        <f t="shared" si="40"/>
        <v>9.6</v>
      </c>
      <c r="K108" s="63">
        <f t="shared" si="40"/>
        <v>9.3000000000000007</v>
      </c>
      <c r="L108" s="63">
        <f t="shared" si="40"/>
        <v>17.500000000000004</v>
      </c>
      <c r="M108" s="63">
        <f t="shared" si="40"/>
        <v>17.400000000000002</v>
      </c>
      <c r="N108" s="63">
        <f t="shared" si="40"/>
        <v>13.5</v>
      </c>
      <c r="O108" s="63">
        <f t="shared" si="40"/>
        <v>17.600000000000001</v>
      </c>
      <c r="P108" s="63">
        <f t="shared" si="40"/>
        <v>12.100000000000001</v>
      </c>
      <c r="Q108" s="63">
        <f t="shared" si="40"/>
        <v>11.900000000000002</v>
      </c>
      <c r="R108" s="63">
        <f t="shared" si="40"/>
        <v>11.400000000000004</v>
      </c>
      <c r="S108" s="63">
        <f t="shared" si="40"/>
        <v>11.500000000000004</v>
      </c>
      <c r="T108" s="63">
        <f>(COUNT(T13:T16))*7.2+(COUNT(T27:T28)*4.9)+(COUNT(T19:T21)*4.5)-T91-T93</f>
        <v>6.5000000000000036</v>
      </c>
      <c r="U108" s="63">
        <f t="shared" si="40"/>
        <v>6.8000000000000025</v>
      </c>
      <c r="V108" s="63">
        <f t="shared" si="40"/>
        <v>6.9000000000000021</v>
      </c>
      <c r="W108" s="63">
        <f t="shared" si="40"/>
        <v>9.0000000000000036</v>
      </c>
      <c r="X108" s="63">
        <f t="shared" si="40"/>
        <v>10.8</v>
      </c>
      <c r="Y108" s="63">
        <f t="shared" si="40"/>
        <v>7.0000000000000071</v>
      </c>
      <c r="Z108" s="63">
        <f t="shared" si="40"/>
        <v>9.9000000000000021</v>
      </c>
      <c r="AA108" s="63">
        <f t="shared" si="40"/>
        <v>5.8000000000000043</v>
      </c>
      <c r="AB108" s="63">
        <f t="shared" si="40"/>
        <v>8.2000000000000028</v>
      </c>
      <c r="AC108" s="63">
        <f t="shared" si="40"/>
        <v>6.6999999999999984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>
      <c r="A109" s="515" t="s">
        <v>89</v>
      </c>
      <c r="B109" s="516"/>
      <c r="C109" s="517"/>
      <c r="D109" s="204"/>
      <c r="E109" s="204"/>
      <c r="F109" s="205">
        <f t="shared" ref="F109:P109" si="41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3.7000000000000015</v>
      </c>
      <c r="G109" s="205">
        <f t="shared" si="41"/>
        <v>3.1000000000000019</v>
      </c>
      <c r="H109" s="205">
        <f t="shared" si="41"/>
        <v>3.4000000000000004</v>
      </c>
      <c r="I109" s="205">
        <f t="shared" si="41"/>
        <v>4.2000000000000028</v>
      </c>
      <c r="J109" s="205">
        <f t="shared" si="41"/>
        <v>3.9000000000000004</v>
      </c>
      <c r="K109" s="205">
        <f t="shared" si="41"/>
        <v>3.6000000000000005</v>
      </c>
      <c r="L109" s="205">
        <f t="shared" si="41"/>
        <v>6.5000000000000027</v>
      </c>
      <c r="M109" s="205">
        <f t="shared" si="41"/>
        <v>7.2000000000000028</v>
      </c>
      <c r="N109" s="205">
        <f t="shared" si="41"/>
        <v>3.2999999999999989</v>
      </c>
      <c r="O109" s="205">
        <f t="shared" si="41"/>
        <v>3.5000000000000018</v>
      </c>
      <c r="P109" s="205">
        <f t="shared" si="41"/>
        <v>6.3999999999999995</v>
      </c>
      <c r="Q109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5.8000000000000007</v>
      </c>
      <c r="R109" s="205">
        <f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4.1000000000000032</v>
      </c>
      <c r="S109" s="205">
        <f t="shared" ref="S109:AC109" si="42">(AND(IF(S13&lt;&gt;0,1,0),IF(S13&lt;&gt;"CMS",1,0))*7.2)+(AND(IF(S14&lt;&gt;0,1,0),IF(S14&lt;&gt;"CMS",1,0))*7.2)+(AND(IF(S15&lt;&gt;0,1,0),IF(S15&lt;&gt;"CMS",1,0))*7.2)+(AND(IF(S16&lt;&gt;0,1,0),IF(S16&lt;&gt;"CMS",1,0))*7.2)-S17
+(AND(IF(S27&lt;&gt;0,1,0),IF(S27&lt;&gt;"CMS",1,0))*4.5)+(AND(IF(S28&lt;&gt;0,1,0),IF(S28&lt;&gt;"CMS",1,0))*4.5)-S31
+AND(IF(S24&lt;&gt;0,1,0),IF(S24&lt;&gt;"CMS",1,0))*4.5-S25
+(AND(IF(S19&lt;&gt;0,1,0),IF(S19&lt;&gt;"CMS",1,0))*3.5)+(AND(IF(S20&lt;&gt;0,1,0),IF(S20&lt;&gt;"CMS",1,0))*4.5)+(AND(IF(S21&lt;&gt;0,1,0),IF(S21&lt;&gt;"CMS",1,0))*4.5)-S22</f>
        <v>4.2000000000000011</v>
      </c>
      <c r="T109" s="205">
        <f t="shared" si="42"/>
        <v>-0.79999999999999805</v>
      </c>
      <c r="U109" s="205">
        <f t="shared" si="42"/>
        <v>-0.49999999999999911</v>
      </c>
      <c r="V109" s="205">
        <f t="shared" si="42"/>
        <v>-0.39999999999999947</v>
      </c>
      <c r="W109" s="205">
        <f>(AND(IF(W13&lt;&gt;0,1,0),IF(W13&lt;&gt;"CMS",1,0))*7.2)+(AND(IF(W14&lt;&gt;0,1,0),IF(W14&lt;&gt;"CMS",1,0))*7.2)+(AND(IF(W15&lt;&gt;0,1,0),IF(W15&lt;&gt;"CMS",1,0))*7.2)+(AND(IF(W16&lt;&gt;0,1,0),IF(W16&lt;&gt;"CMS",1,0))*7.2)-W17
+(AND(IF(W27&lt;&gt;0,1,0),IF(W27&lt;&gt;"CMS",1,0))*4.5)+(AND(IF(W28&lt;&gt;0,1,0),IF(W28&lt;&gt;"CMS",1,0))*4.5)-W31
+AND(IF(W24&lt;&gt;0,1,0),IF(W24&lt;&gt;"CMS",1,0))*4.5-W25
+(AND(IF(W19&lt;&gt;0,1,0),IF(W19&lt;&gt;"CMS",1,0))*3.5)+(AND(IF(W20&lt;&gt;0,1,0),IF(W20&lt;&gt;"CMS",1,0))*4.5)+(AND(IF(W21&lt;&gt;0,1,0),IF(W21&lt;&gt;"CMS",1,0))*4.5)-W22</f>
        <v>2.2000000000000011</v>
      </c>
      <c r="X109" s="205">
        <f>(AND(IF(X13&lt;&gt;0,1,0),IF(X13&lt;&gt;"CMS",1,0))*7.2)+(AND(IF(X14&lt;&gt;0,1,0),IF(X14&lt;&gt;"CMS",1,0))*7.2)+(AND(IF(X15&lt;&gt;0,1,0),IF(X15&lt;&gt;"CMS",1,0))*7.2)+(AND(IF(X16&lt;&gt;0,1,0),IF(X16&lt;&gt;"CMS",1,0))*7.2)-X17
+(AND(IF(X27&lt;&gt;0,1,0),IF(X27&lt;&gt;"CMS",1,0))*4.5)+(AND(IF(X28&lt;&gt;0,1,0),IF(X28&lt;&gt;"CMS",1,0))*4.5)-X31
+AND(IF(X24&lt;&gt;0,1,0),IF(X24&lt;&gt;"CMS",1,0))*4.5-X25
+(AND(IF(X19&lt;&gt;0,1,0),IF(X19&lt;&gt;"CMS",1,0))*3.5)+(AND(IF(X20&lt;&gt;0,1,0),IF(X20&lt;&gt;"CMS",1,0))*4.5)+(AND(IF(X21&lt;&gt;0,1,0),IF(X21&lt;&gt;"CMS",1,0))*4.5)-X22</f>
        <v>6.2999999999999989</v>
      </c>
      <c r="Y109" s="205">
        <f t="shared" si="42"/>
        <v>-0.29999999999999449</v>
      </c>
      <c r="Z109" s="205">
        <f t="shared" si="42"/>
        <v>5</v>
      </c>
      <c r="AA109" s="205">
        <f t="shared" si="42"/>
        <v>3.5000000000000022</v>
      </c>
      <c r="AB109" s="205">
        <f t="shared" si="42"/>
        <v>5.1000000000000032</v>
      </c>
      <c r="AC109" s="205">
        <f t="shared" si="42"/>
        <v>3.2</v>
      </c>
      <c r="AD109" s="26"/>
      <c r="AE109" s="26"/>
      <c r="AF109" s="466"/>
      <c r="AG109" t="s">
        <v>90</v>
      </c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10" t="s">
        <v>91</v>
      </c>
      <c r="B110" s="510"/>
      <c r="C110" s="510"/>
      <c r="D110" s="60"/>
      <c r="E110" s="72"/>
      <c r="F110" s="74">
        <v>60.16</v>
      </c>
      <c r="G110" s="74">
        <v>60.21</v>
      </c>
      <c r="H110" s="74">
        <v>60.11</v>
      </c>
      <c r="I110" s="74">
        <v>60.21</v>
      </c>
      <c r="J110" s="74">
        <v>60.12</v>
      </c>
      <c r="K110" s="74">
        <v>60.05</v>
      </c>
      <c r="L110" s="74">
        <v>60.13</v>
      </c>
      <c r="M110" s="74">
        <v>60.38</v>
      </c>
      <c r="N110" s="74">
        <v>60.19</v>
      </c>
      <c r="O110" s="74">
        <v>60.16</v>
      </c>
      <c r="P110" s="83">
        <v>60.14</v>
      </c>
      <c r="Q110" s="83">
        <v>60.22</v>
      </c>
      <c r="R110" s="83">
        <v>60.07</v>
      </c>
      <c r="S110" s="83">
        <v>60.13</v>
      </c>
      <c r="T110" s="83">
        <v>60.17</v>
      </c>
      <c r="U110" s="74">
        <v>60.16</v>
      </c>
      <c r="V110" s="74">
        <v>60.18</v>
      </c>
      <c r="W110" s="74">
        <v>60.24</v>
      </c>
      <c r="X110" s="74">
        <v>60.21</v>
      </c>
      <c r="Y110" s="74">
        <v>60.2</v>
      </c>
      <c r="Z110" s="74">
        <v>60.16</v>
      </c>
      <c r="AA110" s="74">
        <v>60.13</v>
      </c>
      <c r="AB110" s="74">
        <v>60.13</v>
      </c>
      <c r="AC110" s="74">
        <v>60.13</v>
      </c>
      <c r="AD110" s="26"/>
      <c r="AE110" s="26"/>
      <c r="AF110" s="467"/>
      <c r="AG110" t="s">
        <v>92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18" t="s">
        <v>93</v>
      </c>
      <c r="B111" s="519"/>
      <c r="C111" s="520"/>
      <c r="D111" s="60"/>
      <c r="E111" s="72"/>
      <c r="F111" s="465">
        <v>3.3</v>
      </c>
      <c r="G111" s="74"/>
      <c r="H111" s="74"/>
      <c r="I111" s="74"/>
      <c r="J111" s="465">
        <f>J24</f>
        <v>3</v>
      </c>
      <c r="K111" s="465">
        <f>K24</f>
        <v>3</v>
      </c>
      <c r="L111" s="465">
        <f>L24</f>
        <v>3.8</v>
      </c>
      <c r="M111" s="465">
        <f>M24</f>
        <v>3</v>
      </c>
      <c r="N111" s="468">
        <f t="shared" ref="N111:AC111" si="43">25-(N93+N95)-(4.7-N93)</f>
        <v>7.5400000000000018</v>
      </c>
      <c r="O111" s="468">
        <f t="shared" si="43"/>
        <v>6.0200000000000005</v>
      </c>
      <c r="P111" s="468">
        <f t="shared" si="43"/>
        <v>5.9999999999999991</v>
      </c>
      <c r="Q111" s="468">
        <f t="shared" si="43"/>
        <v>6.0199999999999987</v>
      </c>
      <c r="R111" s="468">
        <f t="shared" si="43"/>
        <v>6.0099999999999989</v>
      </c>
      <c r="S111" s="468">
        <f t="shared" si="43"/>
        <v>6.03</v>
      </c>
      <c r="T111" s="468">
        <f t="shared" si="43"/>
        <v>6.0199999999999987</v>
      </c>
      <c r="U111" s="468">
        <f t="shared" si="43"/>
        <v>6.0200000000000005</v>
      </c>
      <c r="V111" s="468">
        <f t="shared" si="43"/>
        <v>5.9999999999999991</v>
      </c>
      <c r="W111" s="468">
        <f t="shared" si="43"/>
        <v>6.0200000000000022</v>
      </c>
      <c r="X111" s="468">
        <f t="shared" si="43"/>
        <v>7.01</v>
      </c>
      <c r="Y111" s="468">
        <f t="shared" si="43"/>
        <v>7.0100000000000007</v>
      </c>
      <c r="Z111" s="468">
        <f t="shared" si="43"/>
        <v>7.0199999999999987</v>
      </c>
      <c r="AA111" s="468">
        <f t="shared" si="43"/>
        <v>7.03</v>
      </c>
      <c r="AB111" s="468">
        <f t="shared" si="43"/>
        <v>6.03</v>
      </c>
      <c r="AC111" s="468">
        <f t="shared" si="43"/>
        <v>6.02</v>
      </c>
      <c r="AD111" s="26"/>
      <c r="AE111" s="26"/>
      <c r="AF111" s="469"/>
      <c r="AG111" s="38" t="s">
        <v>94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18" t="s">
        <v>95</v>
      </c>
      <c r="B112" s="519"/>
      <c r="C112" s="520"/>
      <c r="D112" s="60"/>
      <c r="E112" s="72"/>
      <c r="G112" s="74"/>
      <c r="H112" s="74"/>
      <c r="I112" s="74"/>
      <c r="J112" s="74"/>
      <c r="K112" s="74"/>
      <c r="L112" s="74"/>
      <c r="M112" s="74"/>
      <c r="N112" s="74"/>
      <c r="O112" s="74"/>
      <c r="P112" s="83"/>
      <c r="Q112" s="83"/>
      <c r="R112" s="83"/>
      <c r="S112" s="83"/>
      <c r="T112" s="83"/>
      <c r="U112" s="74"/>
      <c r="V112" s="74"/>
      <c r="W112" s="74"/>
      <c r="X112" s="74"/>
      <c r="Y112" s="74"/>
      <c r="Z112" s="74"/>
      <c r="AA112" s="74"/>
      <c r="AB112" s="74"/>
      <c r="AC112" s="74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10" t="s">
        <v>96</v>
      </c>
      <c r="B113" s="510"/>
      <c r="C113" s="510"/>
      <c r="D113" s="60"/>
      <c r="E113" s="72"/>
      <c r="F113" s="73"/>
      <c r="G113" s="73"/>
      <c r="H113" s="73"/>
      <c r="I113" s="73"/>
      <c r="J113" s="73"/>
      <c r="K113" s="73"/>
      <c r="L113" s="73"/>
      <c r="M113" s="73"/>
      <c r="N113" s="73"/>
      <c r="O113" s="73"/>
      <c r="P113" s="73"/>
      <c r="Q113" s="73"/>
      <c r="R113" s="73"/>
      <c r="S113" s="73"/>
      <c r="T113" s="73"/>
      <c r="U113" s="73"/>
      <c r="V113" s="73"/>
      <c r="W113" s="73"/>
      <c r="X113" s="73"/>
      <c r="Y113" s="73"/>
      <c r="Z113" s="73"/>
      <c r="AA113" s="73"/>
      <c r="AB113" s="73"/>
      <c r="AC113" s="73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10" t="s">
        <v>97</v>
      </c>
      <c r="B114" s="510"/>
      <c r="C114" s="510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idden="1">
      <c r="A115"/>
      <c r="B115"/>
      <c r="C115"/>
      <c r="D115" s="71"/>
      <c r="E115"/>
      <c r="F115" s="75"/>
      <c r="G115" s="75"/>
      <c r="H115" s="75"/>
      <c r="I115" s="75"/>
      <c r="J115" s="75"/>
      <c r="K115" s="75"/>
      <c r="L115" s="75"/>
      <c r="M115" s="75"/>
      <c r="N115" s="75"/>
      <c r="O115" s="75"/>
      <c r="P115" s="75"/>
      <c r="Q115" s="75"/>
      <c r="R115" s="75"/>
      <c r="S115" s="75"/>
      <c r="T115" s="75"/>
      <c r="U115" s="75"/>
      <c r="V115" s="75"/>
      <c r="W115" s="75"/>
      <c r="X115" s="75"/>
      <c r="Y115" s="75"/>
      <c r="Z115" s="75"/>
      <c r="AA115" s="75"/>
      <c r="AB115" s="75"/>
      <c r="AC115" s="75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9" hidden="1">
      <c r="A116" s="499" t="s">
        <v>98</v>
      </c>
      <c r="B116" s="499"/>
      <c r="C116" s="499"/>
      <c r="D116" s="499"/>
      <c r="E116" s="499"/>
      <c r="F116" s="499"/>
      <c r="G116" s="499"/>
      <c r="H116" s="499"/>
      <c r="I116" s="499"/>
      <c r="J116" s="499"/>
      <c r="K116" s="499"/>
      <c r="L116" s="499"/>
      <c r="M116" s="499"/>
      <c r="N116" s="499"/>
      <c r="O116" s="499"/>
      <c r="P116" s="499"/>
      <c r="Q116" s="499"/>
      <c r="R116" s="499"/>
      <c r="S116" s="499"/>
      <c r="T116" s="499"/>
      <c r="U116" s="499"/>
      <c r="V116" s="499"/>
      <c r="W116" s="499"/>
      <c r="X116" s="499"/>
      <c r="Y116" s="499"/>
      <c r="Z116" s="499"/>
      <c r="AA116" s="499"/>
      <c r="AB116" s="499"/>
      <c r="AC116" s="499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idden="1">
      <c r="A117"/>
      <c r="B117" s="5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 s="26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ht="17.45" hidden="1">
      <c r="A118" s="500" t="s">
        <v>75</v>
      </c>
      <c r="B118" s="501"/>
      <c r="C118" s="502"/>
      <c r="D118" s="49"/>
      <c r="E118" s="49"/>
      <c r="F118" s="506" t="s">
        <v>76</v>
      </c>
      <c r="G118" s="506"/>
      <c r="H118" s="506"/>
      <c r="I118" s="506"/>
      <c r="J118" s="506"/>
      <c r="K118" s="506"/>
      <c r="L118" s="506"/>
      <c r="M118" s="506"/>
      <c r="N118" s="506"/>
      <c r="O118" s="506"/>
      <c r="P118" s="506"/>
      <c r="Q118" s="506"/>
      <c r="R118" s="506"/>
      <c r="S118" s="506"/>
      <c r="T118" s="506"/>
      <c r="U118" s="506"/>
      <c r="V118" s="506"/>
      <c r="W118" s="506"/>
      <c r="X118" s="506"/>
      <c r="Y118" s="506"/>
      <c r="Z118" s="506"/>
      <c r="AA118" s="506"/>
      <c r="AB118" s="506"/>
      <c r="AC118" s="506"/>
      <c r="AD118" s="5"/>
      <c r="AE118" s="5"/>
      <c r="AF118" s="5"/>
      <c r="AG118" s="5"/>
      <c r="AH118" s="5"/>
    </row>
    <row r="119" spans="1:124" ht="15.6" hidden="1" customHeight="1">
      <c r="A119" s="503"/>
      <c r="B119" s="504"/>
      <c r="C119" s="505"/>
      <c r="D119" s="50"/>
      <c r="E119" s="50"/>
      <c r="F119" s="43">
        <v>0</v>
      </c>
      <c r="G119" s="43">
        <v>4.1666666666666699E-2</v>
      </c>
      <c r="H119" s="43">
        <v>8.3333333333333301E-2</v>
      </c>
      <c r="I119" s="43">
        <v>0.125</v>
      </c>
      <c r="J119" s="43">
        <v>0.16666666666666699</v>
      </c>
      <c r="K119" s="43">
        <v>0.20833333333333301</v>
      </c>
      <c r="L119" s="43">
        <v>0.25</v>
      </c>
      <c r="M119" s="43">
        <v>0.29166666666666702</v>
      </c>
      <c r="N119" s="43">
        <v>0.33333333333333398</v>
      </c>
      <c r="O119" s="43">
        <v>0.375</v>
      </c>
      <c r="P119" s="43">
        <v>0.41666666666666702</v>
      </c>
      <c r="Q119" s="43">
        <v>0.45833333333333398</v>
      </c>
      <c r="R119" s="43">
        <v>0.5</v>
      </c>
      <c r="S119" s="43">
        <v>0.54166666666666696</v>
      </c>
      <c r="T119" s="43">
        <v>0.58333333333333404</v>
      </c>
      <c r="U119" s="43">
        <v>0.625</v>
      </c>
      <c r="V119" s="43">
        <v>0.66666666666666696</v>
      </c>
      <c r="W119" s="43">
        <v>0.70833333333333404</v>
      </c>
      <c r="X119" s="43">
        <v>0.750000000000001</v>
      </c>
      <c r="Y119" s="43">
        <v>0.79166666666666696</v>
      </c>
      <c r="Z119" s="43">
        <v>0.83333333333333337</v>
      </c>
      <c r="AA119" s="43">
        <v>0.875000000000001</v>
      </c>
      <c r="AB119" s="43">
        <v>0.91666666666666696</v>
      </c>
      <c r="AC119" s="43">
        <v>0.95833333333333404</v>
      </c>
      <c r="AD119" s="37"/>
      <c r="AE119" s="37"/>
      <c r="AG119" s="5"/>
      <c r="AH119" s="5"/>
      <c r="AI119" s="5"/>
      <c r="AJ119" s="5"/>
      <c r="AK119" s="5"/>
      <c r="AL119" s="5"/>
      <c r="AM119" s="5"/>
      <c r="AN119" s="5"/>
    </row>
    <row r="120" spans="1:124" ht="17.45" hidden="1">
      <c r="A120" s="507" t="s">
        <v>27</v>
      </c>
      <c r="B120" s="508"/>
      <c r="C120" s="509"/>
      <c r="D120" s="45"/>
      <c r="E120" s="45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07" t="s">
        <v>78</v>
      </c>
      <c r="B121" s="508"/>
      <c r="C121" s="509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07" t="s">
        <v>29</v>
      </c>
      <c r="B122" s="508"/>
      <c r="C122" s="509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07" t="s">
        <v>32</v>
      </c>
      <c r="B123" s="508"/>
      <c r="C123" s="509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07" t="s">
        <v>33</v>
      </c>
      <c r="B124" s="508"/>
      <c r="C124" s="509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07" t="s">
        <v>55</v>
      </c>
      <c r="B125" s="508"/>
      <c r="C125" s="509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07" t="s">
        <v>59</v>
      </c>
      <c r="B126" s="508"/>
      <c r="C126" s="509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</row>
    <row r="127" spans="1:124" ht="17.45" hidden="1">
      <c r="A127" s="507" t="s">
        <v>69</v>
      </c>
      <c r="B127" s="508"/>
      <c r="C127" s="509"/>
      <c r="D127" s="45"/>
      <c r="E127" s="45"/>
      <c r="F127" s="78"/>
      <c r="G127" s="78"/>
      <c r="H127" s="78"/>
      <c r="I127" s="78"/>
      <c r="J127" s="78"/>
      <c r="K127" s="78"/>
      <c r="L127" s="78"/>
      <c r="M127" s="78"/>
      <c r="N127" s="78"/>
      <c r="O127" s="78"/>
      <c r="P127" s="78"/>
      <c r="Q127" s="78"/>
      <c r="R127" s="78"/>
      <c r="S127" s="78"/>
      <c r="T127" s="78"/>
      <c r="U127" s="78"/>
      <c r="V127" s="78"/>
      <c r="W127" s="78"/>
      <c r="X127" s="78"/>
      <c r="Y127" s="78"/>
      <c r="Z127" s="78"/>
      <c r="AA127" s="78"/>
      <c r="AB127" s="78"/>
      <c r="AC127" s="78"/>
    </row>
    <row r="128" spans="1:124" ht="15.6" hidden="1" customHeight="1">
      <c r="A128" s="496" t="s">
        <v>99</v>
      </c>
      <c r="B128" s="497"/>
      <c r="C128" s="498"/>
      <c r="D128" s="51"/>
      <c r="E128" s="51"/>
      <c r="F128" s="44">
        <f>SUM(F120:F127)</f>
        <v>0</v>
      </c>
      <c r="G128" s="44">
        <f t="shared" ref="G128:AB128" si="44">SUM(G120:G127)</f>
        <v>0</v>
      </c>
      <c r="H128" s="44">
        <f t="shared" si="44"/>
        <v>0</v>
      </c>
      <c r="I128" s="44">
        <f t="shared" si="44"/>
        <v>0</v>
      </c>
      <c r="J128" s="44">
        <f t="shared" si="44"/>
        <v>0</v>
      </c>
      <c r="K128" s="44">
        <f t="shared" si="44"/>
        <v>0</v>
      </c>
      <c r="L128" s="44">
        <f t="shared" si="44"/>
        <v>0</v>
      </c>
      <c r="M128" s="44">
        <f t="shared" si="44"/>
        <v>0</v>
      </c>
      <c r="N128" s="44">
        <f t="shared" si="44"/>
        <v>0</v>
      </c>
      <c r="O128" s="44">
        <f t="shared" si="44"/>
        <v>0</v>
      </c>
      <c r="P128" s="44">
        <f t="shared" si="44"/>
        <v>0</v>
      </c>
      <c r="Q128" s="44">
        <f t="shared" si="44"/>
        <v>0</v>
      </c>
      <c r="R128" s="44">
        <f t="shared" si="44"/>
        <v>0</v>
      </c>
      <c r="S128" s="44">
        <f t="shared" si="44"/>
        <v>0</v>
      </c>
      <c r="T128" s="44">
        <f t="shared" si="44"/>
        <v>0</v>
      </c>
      <c r="U128" s="44">
        <f t="shared" si="44"/>
        <v>0</v>
      </c>
      <c r="V128" s="44">
        <f t="shared" si="44"/>
        <v>0</v>
      </c>
      <c r="W128" s="44">
        <f t="shared" si="44"/>
        <v>0</v>
      </c>
      <c r="X128" s="44">
        <f t="shared" si="44"/>
        <v>0</v>
      </c>
      <c r="Y128" s="44">
        <f t="shared" si="44"/>
        <v>0</v>
      </c>
      <c r="Z128" s="44">
        <f t="shared" si="44"/>
        <v>0</v>
      </c>
      <c r="AA128" s="44">
        <f t="shared" si="44"/>
        <v>0</v>
      </c>
      <c r="AB128" s="44">
        <f t="shared" si="44"/>
        <v>0</v>
      </c>
      <c r="AC128" s="44">
        <f>SUM(AC120:AC127)</f>
        <v>0</v>
      </c>
    </row>
    <row r="129" spans="1:124">
      <c r="F129" s="75"/>
      <c r="G129" s="75"/>
      <c r="H129" s="75"/>
      <c r="I129" s="75"/>
      <c r="J129" s="75"/>
      <c r="K129" s="75"/>
      <c r="L129" s="75"/>
      <c r="M129" s="75"/>
      <c r="N129" s="75"/>
      <c r="O129" s="75"/>
      <c r="P129" s="75"/>
      <c r="Q129" s="75"/>
      <c r="R129" s="75"/>
      <c r="S129" s="75"/>
      <c r="T129" s="75"/>
      <c r="U129" s="75"/>
      <c r="V129" s="75"/>
      <c r="W129" s="75"/>
      <c r="X129" s="75"/>
      <c r="Y129" s="75"/>
      <c r="Z129" s="75"/>
      <c r="AA129" s="75"/>
      <c r="AB129" s="75"/>
      <c r="AC129" s="75"/>
      <c r="AD129" s="5"/>
      <c r="AE129" s="5"/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AB131" s="26"/>
      <c r="AC131" s="27"/>
      <c r="AD131" s="5"/>
      <c r="AE131" s="5"/>
    </row>
    <row r="132" spans="1:124" s="2" customFormat="1">
      <c r="A132"/>
      <c r="B132"/>
      <c r="AB132" s="26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>
      <c r="A133"/>
      <c r="B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 s="26"/>
      <c r="D135" s="26"/>
      <c r="E135" s="26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</row>
    <row r="138" spans="1:124">
      <c r="C138" s="26"/>
      <c r="D138" s="26"/>
      <c r="E138" s="26"/>
    </row>
    <row r="139" spans="1:124">
      <c r="C139" s="26"/>
      <c r="D139" s="26"/>
      <c r="E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</row>
    <row r="140" spans="1:124"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</sheetData>
  <mergeCells count="43">
    <mergeCell ref="A89:C89"/>
    <mergeCell ref="M8:O8"/>
    <mergeCell ref="M9:O9"/>
    <mergeCell ref="A85:AC85"/>
    <mergeCell ref="A87:C88"/>
    <mergeCell ref="F87:AC87"/>
    <mergeCell ref="A101:C101"/>
    <mergeCell ref="A90:C90"/>
    <mergeCell ref="A91:C91"/>
    <mergeCell ref="A92:C92"/>
    <mergeCell ref="A93:C93"/>
    <mergeCell ref="A94:C94"/>
    <mergeCell ref="A95:C95"/>
    <mergeCell ref="A96:C96"/>
    <mergeCell ref="A97:C97"/>
    <mergeCell ref="A98:C98"/>
    <mergeCell ref="A99:C99"/>
    <mergeCell ref="A100:C100"/>
    <mergeCell ref="A114:C114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3:C113"/>
    <mergeCell ref="A111:C111"/>
    <mergeCell ref="A112:C112"/>
    <mergeCell ref="A128:C128"/>
    <mergeCell ref="A116:AC116"/>
    <mergeCell ref="A118:C119"/>
    <mergeCell ref="F118:AC118"/>
    <mergeCell ref="A120:C120"/>
    <mergeCell ref="A121:C121"/>
    <mergeCell ref="A122:C122"/>
    <mergeCell ref="A123:C123"/>
    <mergeCell ref="A124:C124"/>
    <mergeCell ref="A125:C125"/>
    <mergeCell ref="A126:C126"/>
    <mergeCell ref="A127:C127"/>
  </mergeCells>
  <conditionalFormatting sqref="G110:AC110">
    <cfRule type="cellIs" dxfId="9444" priority="377" operator="greaterThan">
      <formula>60.3</formula>
    </cfRule>
  </conditionalFormatting>
  <conditionalFormatting sqref="F110">
    <cfRule type="cellIs" dxfId="9443" priority="376" operator="greaterThan">
      <formula>60.3</formula>
    </cfRule>
  </conditionalFormatting>
  <conditionalFormatting sqref="H13:L13 N13:V13 H15:P16 Q14:V16 G36:AC59 W13:AC16 G62:AC64">
    <cfRule type="cellIs" dxfId="9442" priority="368" operator="equal">
      <formula>"PMS"</formula>
    </cfRule>
    <cfRule type="containsText" dxfId="9441" priority="369" operator="containsText" text="CMS">
      <formula>NOT(ISERROR(SEARCH("CMS",G13)))</formula>
    </cfRule>
    <cfRule type="cellIs" dxfId="9440" priority="370" operator="equal">
      <formula>0</formula>
    </cfRule>
    <cfRule type="cellIs" dxfId="9439" priority="371" operator="greaterThan">
      <formula>0</formula>
    </cfRule>
    <cfRule type="cellIs" dxfId="9438" priority="372" operator="equal">
      <formula>"PMS"</formula>
    </cfRule>
    <cfRule type="containsText" dxfId="9437" priority="373" operator="containsText" text="CMS">
      <formula>NOT(ISERROR(SEARCH("CMS",G13)))</formula>
    </cfRule>
    <cfRule type="cellIs" dxfId="9436" priority="374" operator="equal">
      <formula>0</formula>
    </cfRule>
    <cfRule type="cellIs" dxfId="9435" priority="375" operator="greaterThan">
      <formula>0</formula>
    </cfRule>
  </conditionalFormatting>
  <conditionalFormatting sqref="H13:L13 N13:V13 H15:P16 Q14:V16 G36:AC59 W13:AC16 G62:AC64">
    <cfRule type="cellIs" dxfId="9434" priority="364" operator="equal">
      <formula>"PMS"</formula>
    </cfRule>
    <cfRule type="containsText" dxfId="9433" priority="365" operator="containsText" text="CMS">
      <formula>NOT(ISERROR(SEARCH("CMS",G13)))</formula>
    </cfRule>
    <cfRule type="cellIs" dxfId="9432" priority="366" operator="equal">
      <formula>0</formula>
    </cfRule>
    <cfRule type="cellIs" dxfId="9431" priority="367" operator="greaterThan">
      <formula>0</formula>
    </cfRule>
  </conditionalFormatting>
  <conditionalFormatting sqref="G19:Q19 U19:AC19 G20:AC21">
    <cfRule type="cellIs" dxfId="9430" priority="356" operator="equal">
      <formula>"PMS"</formula>
    </cfRule>
    <cfRule type="containsText" dxfId="9429" priority="357" operator="containsText" text="CMS">
      <formula>NOT(ISERROR(SEARCH("CMS",G19)))</formula>
    </cfRule>
    <cfRule type="cellIs" dxfId="9428" priority="358" operator="equal">
      <formula>0</formula>
    </cfRule>
    <cfRule type="cellIs" dxfId="9427" priority="359" operator="greaterThan">
      <formula>0</formula>
    </cfRule>
    <cfRule type="cellIs" dxfId="9426" priority="360" operator="equal">
      <formula>"PMS"</formula>
    </cfRule>
    <cfRule type="containsText" dxfId="9425" priority="361" operator="containsText" text="CMS">
      <formula>NOT(ISERROR(SEARCH("CMS",G19)))</formula>
    </cfRule>
    <cfRule type="cellIs" dxfId="9424" priority="362" operator="equal">
      <formula>0</formula>
    </cfRule>
    <cfRule type="cellIs" dxfId="9423" priority="363" operator="greaterThan">
      <formula>0</formula>
    </cfRule>
  </conditionalFormatting>
  <conditionalFormatting sqref="G19:Q19 U19:AC19 G20:AC21">
    <cfRule type="cellIs" dxfId="9422" priority="352" operator="equal">
      <formula>"PMS"</formula>
    </cfRule>
    <cfRule type="containsText" dxfId="9421" priority="353" operator="containsText" text="CMS">
      <formula>NOT(ISERROR(SEARCH("CMS",G19)))</formula>
    </cfRule>
    <cfRule type="cellIs" dxfId="9420" priority="354" operator="equal">
      <formula>0</formula>
    </cfRule>
    <cfRule type="cellIs" dxfId="9419" priority="355" operator="greaterThan">
      <formula>0</formula>
    </cfRule>
  </conditionalFormatting>
  <conditionalFormatting sqref="G24:M24 V24:AC24 O24:S24">
    <cfRule type="cellIs" dxfId="9418" priority="344" operator="equal">
      <formula>"PMS"</formula>
    </cfRule>
    <cfRule type="containsText" dxfId="9417" priority="345" operator="containsText" text="CMS">
      <formula>NOT(ISERROR(SEARCH("CMS",G24)))</formula>
    </cfRule>
    <cfRule type="cellIs" dxfId="9416" priority="346" operator="equal">
      <formula>0</formula>
    </cfRule>
    <cfRule type="cellIs" dxfId="9415" priority="347" operator="greaterThan">
      <formula>0</formula>
    </cfRule>
    <cfRule type="cellIs" dxfId="9414" priority="348" operator="equal">
      <formula>"PMS"</formula>
    </cfRule>
    <cfRule type="containsText" dxfId="9413" priority="349" operator="containsText" text="CMS">
      <formula>NOT(ISERROR(SEARCH("CMS",G24)))</formula>
    </cfRule>
    <cfRule type="cellIs" dxfId="9412" priority="350" operator="equal">
      <formula>0</formula>
    </cfRule>
    <cfRule type="cellIs" dxfId="9411" priority="351" operator="greaterThan">
      <formula>0</formula>
    </cfRule>
  </conditionalFormatting>
  <conditionalFormatting sqref="G24:M24 V24:AC24 O24:S24">
    <cfRule type="cellIs" dxfId="9410" priority="340" operator="equal">
      <formula>"PMS"</formula>
    </cfRule>
    <cfRule type="containsText" dxfId="9409" priority="341" operator="containsText" text="CMS">
      <formula>NOT(ISERROR(SEARCH("CMS",G24)))</formula>
    </cfRule>
    <cfRule type="cellIs" dxfId="9408" priority="342" operator="equal">
      <formula>0</formula>
    </cfRule>
    <cfRule type="cellIs" dxfId="9407" priority="343" operator="greaterThan">
      <formula>0</formula>
    </cfRule>
  </conditionalFormatting>
  <conditionalFormatting sqref="G27:AC30">
    <cfRule type="cellIs" dxfId="9406" priority="332" operator="equal">
      <formula>"PMS"</formula>
    </cfRule>
    <cfRule type="containsText" dxfId="9405" priority="333" operator="containsText" text="CMS">
      <formula>NOT(ISERROR(SEARCH("CMS",G27)))</formula>
    </cfRule>
    <cfRule type="cellIs" dxfId="9404" priority="334" operator="equal">
      <formula>0</formula>
    </cfRule>
    <cfRule type="cellIs" dxfId="9403" priority="335" operator="greaterThan">
      <formula>0</formula>
    </cfRule>
    <cfRule type="cellIs" dxfId="9402" priority="336" operator="equal">
      <formula>"PMS"</formula>
    </cfRule>
    <cfRule type="containsText" dxfId="9401" priority="337" operator="containsText" text="CMS">
      <formula>NOT(ISERROR(SEARCH("CMS",G27)))</formula>
    </cfRule>
    <cfRule type="cellIs" dxfId="9400" priority="338" operator="equal">
      <formula>0</formula>
    </cfRule>
    <cfRule type="cellIs" dxfId="9399" priority="339" operator="greaterThan">
      <formula>0</formula>
    </cfRule>
  </conditionalFormatting>
  <conditionalFormatting sqref="G27:AC30">
    <cfRule type="cellIs" dxfId="9398" priority="328" operator="equal">
      <formula>"PMS"</formula>
    </cfRule>
    <cfRule type="containsText" dxfId="9397" priority="329" operator="containsText" text="CMS">
      <formula>NOT(ISERROR(SEARCH("CMS",G27)))</formula>
    </cfRule>
    <cfRule type="cellIs" dxfId="9396" priority="330" operator="equal">
      <formula>0</formula>
    </cfRule>
    <cfRule type="cellIs" dxfId="9395" priority="331" operator="greaterThan">
      <formula>0</formula>
    </cfRule>
  </conditionalFormatting>
  <conditionalFormatting sqref="G33:AC33">
    <cfRule type="cellIs" dxfId="9394" priority="320" operator="equal">
      <formula>"PMS"</formula>
    </cfRule>
    <cfRule type="containsText" dxfId="9393" priority="321" operator="containsText" text="CMS">
      <formula>NOT(ISERROR(SEARCH("CMS",G33)))</formula>
    </cfRule>
    <cfRule type="cellIs" dxfId="9392" priority="322" operator="equal">
      <formula>0</formula>
    </cfRule>
    <cfRule type="cellIs" dxfId="9391" priority="323" operator="greaterThan">
      <formula>0</formula>
    </cfRule>
    <cfRule type="cellIs" dxfId="9390" priority="324" operator="equal">
      <formula>"PMS"</formula>
    </cfRule>
    <cfRule type="containsText" dxfId="9389" priority="325" operator="containsText" text="CMS">
      <formula>NOT(ISERROR(SEARCH("CMS",G33)))</formula>
    </cfRule>
    <cfRule type="cellIs" dxfId="9388" priority="326" operator="equal">
      <formula>0</formula>
    </cfRule>
    <cfRule type="cellIs" dxfId="9387" priority="327" operator="greaterThan">
      <formula>0</formula>
    </cfRule>
  </conditionalFormatting>
  <conditionalFormatting sqref="G33:AC33">
    <cfRule type="cellIs" dxfId="9386" priority="316" operator="equal">
      <formula>"PMS"</formula>
    </cfRule>
    <cfRule type="containsText" dxfId="9385" priority="317" operator="containsText" text="CMS">
      <formula>NOT(ISERROR(SEARCH("CMS",G33)))</formula>
    </cfRule>
    <cfRule type="cellIs" dxfId="9384" priority="318" operator="equal">
      <formula>0</formula>
    </cfRule>
    <cfRule type="cellIs" dxfId="9383" priority="319" operator="greaterThan">
      <formula>0</formula>
    </cfRule>
  </conditionalFormatting>
  <conditionalFormatting sqref="G67:AC75 G78:Q79 S78:AC79">
    <cfRule type="cellIs" dxfId="9382" priority="308" operator="equal">
      <formula>"PMS"</formula>
    </cfRule>
    <cfRule type="containsText" dxfId="9381" priority="309" operator="containsText" text="CMS">
      <formula>NOT(ISERROR(SEARCH("CMS",G67)))</formula>
    </cfRule>
    <cfRule type="cellIs" dxfId="9380" priority="310" operator="equal">
      <formula>0</formula>
    </cfRule>
    <cfRule type="cellIs" dxfId="9379" priority="311" operator="greaterThan">
      <formula>0</formula>
    </cfRule>
    <cfRule type="cellIs" dxfId="9378" priority="312" operator="equal">
      <formula>"PMS"</formula>
    </cfRule>
    <cfRule type="containsText" dxfId="9377" priority="313" operator="containsText" text="CMS">
      <formula>NOT(ISERROR(SEARCH("CMS",G67)))</formula>
    </cfRule>
    <cfRule type="cellIs" dxfId="9376" priority="314" operator="equal">
      <formula>0</formula>
    </cfRule>
    <cfRule type="cellIs" dxfId="9375" priority="315" operator="greaterThan">
      <formula>0</formula>
    </cfRule>
  </conditionalFormatting>
  <conditionalFormatting sqref="G67:AC75 G78:Q79 S78:AC79">
    <cfRule type="cellIs" dxfId="9374" priority="304" operator="equal">
      <formula>"PMS"</formula>
    </cfRule>
    <cfRule type="containsText" dxfId="9373" priority="305" operator="containsText" text="CMS">
      <formula>NOT(ISERROR(SEARCH("CMS",G67)))</formula>
    </cfRule>
    <cfRule type="cellIs" dxfId="9372" priority="306" operator="equal">
      <formula>0</formula>
    </cfRule>
    <cfRule type="cellIs" dxfId="9371" priority="307" operator="greaterThan">
      <formula>0</formula>
    </cfRule>
  </conditionalFormatting>
  <conditionalFormatting sqref="G82:AC82">
    <cfRule type="cellIs" dxfId="9370" priority="296" operator="equal">
      <formula>"PMS"</formula>
    </cfRule>
    <cfRule type="containsText" dxfId="9369" priority="297" operator="containsText" text="CMS">
      <formula>NOT(ISERROR(SEARCH("CMS",G82)))</formula>
    </cfRule>
    <cfRule type="cellIs" dxfId="9368" priority="298" operator="equal">
      <formula>0</formula>
    </cfRule>
    <cfRule type="cellIs" dxfId="9367" priority="299" operator="greaterThan">
      <formula>0</formula>
    </cfRule>
    <cfRule type="cellIs" dxfId="9366" priority="300" operator="equal">
      <formula>"PMS"</formula>
    </cfRule>
    <cfRule type="containsText" dxfId="9365" priority="301" operator="containsText" text="CMS">
      <formula>NOT(ISERROR(SEARCH("CMS",G82)))</formula>
    </cfRule>
    <cfRule type="cellIs" dxfId="9364" priority="302" operator="equal">
      <formula>0</formula>
    </cfRule>
    <cfRule type="cellIs" dxfId="9363" priority="303" operator="greaterThan">
      <formula>0</formula>
    </cfRule>
  </conditionalFormatting>
  <conditionalFormatting sqref="G82:AC82">
    <cfRule type="cellIs" dxfId="9362" priority="292" operator="equal">
      <formula>"PMS"</formula>
    </cfRule>
    <cfRule type="containsText" dxfId="9361" priority="293" operator="containsText" text="CMS">
      <formula>NOT(ISERROR(SEARCH("CMS",G82)))</formula>
    </cfRule>
    <cfRule type="cellIs" dxfId="9360" priority="294" operator="equal">
      <formula>0</formula>
    </cfRule>
    <cfRule type="cellIs" dxfId="9359" priority="295" operator="greaterThan">
      <formula>0</formula>
    </cfRule>
  </conditionalFormatting>
  <conditionalFormatting sqref="N24">
    <cfRule type="cellIs" dxfId="9358" priority="284" operator="equal">
      <formula>"PMS"</formula>
    </cfRule>
    <cfRule type="containsText" dxfId="9357" priority="285" operator="containsText" text="CMS">
      <formula>NOT(ISERROR(SEARCH("CMS",N24)))</formula>
    </cfRule>
    <cfRule type="cellIs" dxfId="9356" priority="286" operator="equal">
      <formula>0</formula>
    </cfRule>
    <cfRule type="cellIs" dxfId="9355" priority="287" operator="greaterThan">
      <formula>0</formula>
    </cfRule>
    <cfRule type="cellIs" dxfId="9354" priority="288" operator="equal">
      <formula>"PMS"</formula>
    </cfRule>
    <cfRule type="containsText" dxfId="9353" priority="289" operator="containsText" text="CMS">
      <formula>NOT(ISERROR(SEARCH("CMS",N24)))</formula>
    </cfRule>
    <cfRule type="cellIs" dxfId="9352" priority="290" operator="equal">
      <formula>0</formula>
    </cfRule>
    <cfRule type="cellIs" dxfId="9351" priority="291" operator="greaterThan">
      <formula>0</formula>
    </cfRule>
  </conditionalFormatting>
  <conditionalFormatting sqref="N24">
    <cfRule type="cellIs" dxfId="9350" priority="280" operator="equal">
      <formula>"PMS"</formula>
    </cfRule>
    <cfRule type="containsText" dxfId="9349" priority="281" operator="containsText" text="CMS">
      <formula>NOT(ISERROR(SEARCH("CMS",N24)))</formula>
    </cfRule>
    <cfRule type="cellIs" dxfId="9348" priority="282" operator="equal">
      <formula>0</formula>
    </cfRule>
    <cfRule type="cellIs" dxfId="9347" priority="283" operator="greaterThan">
      <formula>0</formula>
    </cfRule>
  </conditionalFormatting>
  <conditionalFormatting sqref="T24:U24">
    <cfRule type="cellIs" dxfId="9346" priority="272" operator="equal">
      <formula>"PMS"</formula>
    </cfRule>
    <cfRule type="containsText" dxfId="9345" priority="273" operator="containsText" text="CMS">
      <formula>NOT(ISERROR(SEARCH("CMS",T24)))</formula>
    </cfRule>
    <cfRule type="cellIs" dxfId="9344" priority="274" operator="equal">
      <formula>0</formula>
    </cfRule>
    <cfRule type="cellIs" dxfId="9343" priority="275" operator="greaterThan">
      <formula>0</formula>
    </cfRule>
    <cfRule type="cellIs" dxfId="9342" priority="276" operator="equal">
      <formula>"PMS"</formula>
    </cfRule>
    <cfRule type="containsText" dxfId="9341" priority="277" operator="containsText" text="CMS">
      <formula>NOT(ISERROR(SEARCH("CMS",T24)))</formula>
    </cfRule>
    <cfRule type="cellIs" dxfId="9340" priority="278" operator="equal">
      <formula>0</formula>
    </cfRule>
    <cfRule type="cellIs" dxfId="9339" priority="279" operator="greaterThan">
      <formula>0</formula>
    </cfRule>
  </conditionalFormatting>
  <conditionalFormatting sqref="T24:U24">
    <cfRule type="cellIs" dxfId="9338" priority="268" operator="equal">
      <formula>"PMS"</formula>
    </cfRule>
    <cfRule type="containsText" dxfId="9337" priority="269" operator="containsText" text="CMS">
      <formula>NOT(ISERROR(SEARCH("CMS",T24)))</formula>
    </cfRule>
    <cfRule type="cellIs" dxfId="9336" priority="270" operator="equal">
      <formula>0</formula>
    </cfRule>
    <cfRule type="cellIs" dxfId="9335" priority="271" operator="greaterThan">
      <formula>0</formula>
    </cfRule>
  </conditionalFormatting>
  <conditionalFormatting sqref="H14:P14">
    <cfRule type="cellIs" dxfId="9334" priority="260" operator="equal">
      <formula>"PMS"</formula>
    </cfRule>
    <cfRule type="containsText" dxfId="9333" priority="261" operator="containsText" text="CMS">
      <formula>NOT(ISERROR(SEARCH("CMS",H14)))</formula>
    </cfRule>
    <cfRule type="cellIs" dxfId="9332" priority="262" operator="equal">
      <formula>0</formula>
    </cfRule>
    <cfRule type="cellIs" dxfId="9331" priority="263" operator="greaterThan">
      <formula>0</formula>
    </cfRule>
    <cfRule type="cellIs" dxfId="9330" priority="264" operator="equal">
      <formula>"PMS"</formula>
    </cfRule>
    <cfRule type="containsText" dxfId="9329" priority="265" operator="containsText" text="CMS">
      <formula>NOT(ISERROR(SEARCH("CMS",H14)))</formula>
    </cfRule>
    <cfRule type="cellIs" dxfId="9328" priority="266" operator="equal">
      <formula>0</formula>
    </cfRule>
    <cfRule type="cellIs" dxfId="9327" priority="267" operator="greaterThan">
      <formula>0</formula>
    </cfRule>
  </conditionalFormatting>
  <conditionalFormatting sqref="H14:P14">
    <cfRule type="cellIs" dxfId="9326" priority="256" operator="equal">
      <formula>"PMS"</formula>
    </cfRule>
    <cfRule type="containsText" dxfId="9325" priority="257" operator="containsText" text="CMS">
      <formula>NOT(ISERROR(SEARCH("CMS",H14)))</formula>
    </cfRule>
    <cfRule type="cellIs" dxfId="9324" priority="258" operator="equal">
      <formula>0</formula>
    </cfRule>
    <cfRule type="cellIs" dxfId="9323" priority="259" operator="greaterThan">
      <formula>0</formula>
    </cfRule>
  </conditionalFormatting>
  <conditionalFormatting sqref="F82">
    <cfRule type="cellIs" dxfId="9322" priority="224" operator="equal">
      <formula>"PMS"</formula>
    </cfRule>
    <cfRule type="containsText" dxfId="9321" priority="225" operator="containsText" text="CMS">
      <formula>NOT(ISERROR(SEARCH("CMS",F82)))</formula>
    </cfRule>
    <cfRule type="cellIs" dxfId="9320" priority="226" operator="equal">
      <formula>0</formula>
    </cfRule>
    <cfRule type="cellIs" dxfId="9319" priority="227" operator="greaterThan">
      <formula>0</formula>
    </cfRule>
    <cfRule type="cellIs" dxfId="9318" priority="228" operator="equal">
      <formula>"PMS"</formula>
    </cfRule>
    <cfRule type="containsText" dxfId="9317" priority="229" operator="containsText" text="CMS">
      <formula>NOT(ISERROR(SEARCH("CMS",F82)))</formula>
    </cfRule>
    <cfRule type="cellIs" dxfId="9316" priority="230" operator="equal">
      <formula>0</formula>
    </cfRule>
    <cfRule type="cellIs" dxfId="9315" priority="231" operator="greaterThan">
      <formula>0</formula>
    </cfRule>
  </conditionalFormatting>
  <conditionalFormatting sqref="F82">
    <cfRule type="cellIs" dxfId="9314" priority="220" operator="equal">
      <formula>"PMS"</formula>
    </cfRule>
    <cfRule type="containsText" dxfId="9313" priority="221" operator="containsText" text="CMS">
      <formula>NOT(ISERROR(SEARCH("CMS",F82)))</formula>
    </cfRule>
    <cfRule type="cellIs" dxfId="9312" priority="222" operator="equal">
      <formula>0</formula>
    </cfRule>
    <cfRule type="cellIs" dxfId="9311" priority="223" operator="greaterThan">
      <formula>0</formula>
    </cfRule>
  </conditionalFormatting>
  <conditionalFormatting sqref="R19:T19">
    <cfRule type="cellIs" dxfId="9310" priority="212" operator="equal">
      <formula>"PMS"</formula>
    </cfRule>
    <cfRule type="containsText" dxfId="9309" priority="213" operator="containsText" text="CMS">
      <formula>NOT(ISERROR(SEARCH("CMS",R19)))</formula>
    </cfRule>
    <cfRule type="cellIs" dxfId="9308" priority="214" operator="equal">
      <formula>0</formula>
    </cfRule>
    <cfRule type="cellIs" dxfId="9307" priority="215" operator="greaterThan">
      <formula>0</formula>
    </cfRule>
    <cfRule type="cellIs" dxfId="9306" priority="216" operator="equal">
      <formula>"PMS"</formula>
    </cfRule>
    <cfRule type="containsText" dxfId="9305" priority="217" operator="containsText" text="CMS">
      <formula>NOT(ISERROR(SEARCH("CMS",R19)))</formula>
    </cfRule>
    <cfRule type="cellIs" dxfId="9304" priority="218" operator="equal">
      <formula>0</formula>
    </cfRule>
    <cfRule type="cellIs" dxfId="9303" priority="219" operator="greaterThan">
      <formula>0</formula>
    </cfRule>
  </conditionalFormatting>
  <conditionalFormatting sqref="R19:T19">
    <cfRule type="cellIs" dxfId="9302" priority="208" operator="equal">
      <formula>"PMS"</formula>
    </cfRule>
    <cfRule type="containsText" dxfId="9301" priority="209" operator="containsText" text="CMS">
      <formula>NOT(ISERROR(SEARCH("CMS",R19)))</formula>
    </cfRule>
    <cfRule type="cellIs" dxfId="9300" priority="210" operator="equal">
      <formula>0</formula>
    </cfRule>
    <cfRule type="cellIs" dxfId="9299" priority="211" operator="greaterThan">
      <formula>0</formula>
    </cfRule>
  </conditionalFormatting>
  <conditionalFormatting sqref="G13:G16">
    <cfRule type="cellIs" dxfId="9298" priority="200" operator="equal">
      <formula>"PMS"</formula>
    </cfRule>
    <cfRule type="containsText" dxfId="9297" priority="201" operator="containsText" text="CMS">
      <formula>NOT(ISERROR(SEARCH("CMS",G13)))</formula>
    </cfRule>
    <cfRule type="cellIs" dxfId="9296" priority="202" operator="equal">
      <formula>0</formula>
    </cfRule>
    <cfRule type="cellIs" dxfId="9295" priority="203" operator="greaterThan">
      <formula>0</formula>
    </cfRule>
    <cfRule type="cellIs" dxfId="9294" priority="204" operator="equal">
      <formula>"PMS"</formula>
    </cfRule>
    <cfRule type="containsText" dxfId="9293" priority="205" operator="containsText" text="CMS">
      <formula>NOT(ISERROR(SEARCH("CMS",G13)))</formula>
    </cfRule>
    <cfRule type="cellIs" dxfId="9292" priority="206" operator="equal">
      <formula>0</formula>
    </cfRule>
    <cfRule type="cellIs" dxfId="9291" priority="207" operator="greaterThan">
      <formula>0</formula>
    </cfRule>
  </conditionalFormatting>
  <conditionalFormatting sqref="G13:G16">
    <cfRule type="cellIs" dxfId="9290" priority="196" operator="equal">
      <formula>"PMS"</formula>
    </cfRule>
    <cfRule type="containsText" dxfId="9289" priority="197" operator="containsText" text="CMS">
      <formula>NOT(ISERROR(SEARCH("CMS",G13)))</formula>
    </cfRule>
    <cfRule type="cellIs" dxfId="9288" priority="198" operator="equal">
      <formula>0</formula>
    </cfRule>
    <cfRule type="cellIs" dxfId="9287" priority="199" operator="greaterThan">
      <formula>0</formula>
    </cfRule>
  </conditionalFormatting>
  <conditionalFormatting sqref="M13">
    <cfRule type="cellIs" dxfId="9286" priority="92" operator="equal">
      <formula>"PMS"</formula>
    </cfRule>
    <cfRule type="containsText" dxfId="9285" priority="93" operator="containsText" text="CMS">
      <formula>NOT(ISERROR(SEARCH("CMS",M13)))</formula>
    </cfRule>
    <cfRule type="cellIs" dxfId="9284" priority="94" operator="equal">
      <formula>0</formula>
    </cfRule>
    <cfRule type="cellIs" dxfId="9283" priority="95" operator="greaterThan">
      <formula>0</formula>
    </cfRule>
    <cfRule type="cellIs" dxfId="9282" priority="96" operator="equal">
      <formula>"PMS"</formula>
    </cfRule>
    <cfRule type="containsText" dxfId="9281" priority="97" operator="containsText" text="CMS">
      <formula>NOT(ISERROR(SEARCH("CMS",M13)))</formula>
    </cfRule>
    <cfRule type="cellIs" dxfId="9280" priority="98" operator="equal">
      <formula>0</formula>
    </cfRule>
    <cfRule type="cellIs" dxfId="9279" priority="99" operator="greaterThan">
      <formula>0</formula>
    </cfRule>
  </conditionalFormatting>
  <conditionalFormatting sqref="M13">
    <cfRule type="cellIs" dxfId="9278" priority="88" operator="equal">
      <formula>"PMS"</formula>
    </cfRule>
    <cfRule type="containsText" dxfId="9277" priority="89" operator="containsText" text="CMS">
      <formula>NOT(ISERROR(SEARCH("CMS",M13)))</formula>
    </cfRule>
    <cfRule type="cellIs" dxfId="9276" priority="90" operator="equal">
      <formula>0</formula>
    </cfRule>
    <cfRule type="cellIs" dxfId="9275" priority="91" operator="greaterThan">
      <formula>0</formula>
    </cfRule>
  </conditionalFormatting>
  <conditionalFormatting sqref="R78:R79">
    <cfRule type="cellIs" dxfId="9274" priority="80" operator="equal">
      <formula>"PMS"</formula>
    </cfRule>
    <cfRule type="containsText" dxfId="9273" priority="81" operator="containsText" text="CMS">
      <formula>NOT(ISERROR(SEARCH("CMS",R78)))</formula>
    </cfRule>
    <cfRule type="cellIs" dxfId="9272" priority="82" operator="equal">
      <formula>0</formula>
    </cfRule>
    <cfRule type="cellIs" dxfId="9271" priority="83" operator="greaterThan">
      <formula>0</formula>
    </cfRule>
    <cfRule type="cellIs" dxfId="9270" priority="84" operator="equal">
      <formula>"PMS"</formula>
    </cfRule>
    <cfRule type="containsText" dxfId="9269" priority="85" operator="containsText" text="CMS">
      <formula>NOT(ISERROR(SEARCH("CMS",R78)))</formula>
    </cfRule>
    <cfRule type="cellIs" dxfId="9268" priority="86" operator="equal">
      <formula>0</formula>
    </cfRule>
    <cfRule type="cellIs" dxfId="9267" priority="87" operator="greaterThan">
      <formula>0</formula>
    </cfRule>
  </conditionalFormatting>
  <conditionalFormatting sqref="R78:R79">
    <cfRule type="cellIs" dxfId="9266" priority="76" operator="equal">
      <formula>"PMS"</formula>
    </cfRule>
    <cfRule type="containsText" dxfId="9265" priority="77" operator="containsText" text="CMS">
      <formula>NOT(ISERROR(SEARCH("CMS",R78)))</formula>
    </cfRule>
    <cfRule type="cellIs" dxfId="9264" priority="78" operator="equal">
      <formula>0</formula>
    </cfRule>
    <cfRule type="cellIs" dxfId="9263" priority="79" operator="greaterThan">
      <formula>0</formula>
    </cfRule>
  </conditionalFormatting>
  <conditionalFormatting sqref="F36:F59 F13:F16 F62:F64">
    <cfRule type="cellIs" dxfId="9262" priority="68" operator="equal">
      <formula>"PMS"</formula>
    </cfRule>
    <cfRule type="containsText" dxfId="9261" priority="69" operator="containsText" text="CMS">
      <formula>NOT(ISERROR(SEARCH("CMS",F13)))</formula>
    </cfRule>
    <cfRule type="cellIs" dxfId="9260" priority="70" operator="equal">
      <formula>0</formula>
    </cfRule>
    <cfRule type="cellIs" dxfId="9259" priority="71" operator="greaterThan">
      <formula>0</formula>
    </cfRule>
    <cfRule type="cellIs" dxfId="9258" priority="72" operator="equal">
      <formula>"PMS"</formula>
    </cfRule>
    <cfRule type="containsText" dxfId="9257" priority="73" operator="containsText" text="CMS">
      <formula>NOT(ISERROR(SEARCH("CMS",F13)))</formula>
    </cfRule>
    <cfRule type="cellIs" dxfId="9256" priority="74" operator="equal">
      <formula>0</formula>
    </cfRule>
    <cfRule type="cellIs" dxfId="9255" priority="75" operator="greaterThan">
      <formula>0</formula>
    </cfRule>
  </conditionalFormatting>
  <conditionalFormatting sqref="F36:F59 F13:F16 F62:F64">
    <cfRule type="cellIs" dxfId="9254" priority="64" operator="equal">
      <formula>"PMS"</formula>
    </cfRule>
    <cfRule type="containsText" dxfId="9253" priority="65" operator="containsText" text="CMS">
      <formula>NOT(ISERROR(SEARCH("CMS",F13)))</formula>
    </cfRule>
    <cfRule type="cellIs" dxfId="9252" priority="66" operator="equal">
      <formula>0</formula>
    </cfRule>
    <cfRule type="cellIs" dxfId="9251" priority="67" operator="greaterThan">
      <formula>0</formula>
    </cfRule>
  </conditionalFormatting>
  <conditionalFormatting sqref="F19:F21">
    <cfRule type="cellIs" dxfId="9250" priority="56" operator="equal">
      <formula>"PMS"</formula>
    </cfRule>
    <cfRule type="containsText" dxfId="9249" priority="57" operator="containsText" text="CMS">
      <formula>NOT(ISERROR(SEARCH("CMS",F19)))</formula>
    </cfRule>
    <cfRule type="cellIs" dxfId="9248" priority="58" operator="equal">
      <formula>0</formula>
    </cfRule>
    <cfRule type="cellIs" dxfId="9247" priority="59" operator="greaterThan">
      <formula>0</formula>
    </cfRule>
    <cfRule type="cellIs" dxfId="9246" priority="60" operator="equal">
      <formula>"PMS"</formula>
    </cfRule>
    <cfRule type="containsText" dxfId="9245" priority="61" operator="containsText" text="CMS">
      <formula>NOT(ISERROR(SEARCH("CMS",F19)))</formula>
    </cfRule>
    <cfRule type="cellIs" dxfId="9244" priority="62" operator="equal">
      <formula>0</formula>
    </cfRule>
    <cfRule type="cellIs" dxfId="9243" priority="63" operator="greaterThan">
      <formula>0</formula>
    </cfRule>
  </conditionalFormatting>
  <conditionalFormatting sqref="F19:F21">
    <cfRule type="cellIs" dxfId="9242" priority="52" operator="equal">
      <formula>"PMS"</formula>
    </cfRule>
    <cfRule type="containsText" dxfId="9241" priority="53" operator="containsText" text="CMS">
      <formula>NOT(ISERROR(SEARCH("CMS",F19)))</formula>
    </cfRule>
    <cfRule type="cellIs" dxfId="9240" priority="54" operator="equal">
      <formula>0</formula>
    </cfRule>
    <cfRule type="cellIs" dxfId="9239" priority="55" operator="greaterThan">
      <formula>0</formula>
    </cfRule>
  </conditionalFormatting>
  <conditionalFormatting sqref="F24">
    <cfRule type="cellIs" dxfId="9238" priority="44" operator="equal">
      <formula>"PMS"</formula>
    </cfRule>
    <cfRule type="containsText" dxfId="9237" priority="45" operator="containsText" text="CMS">
      <formula>NOT(ISERROR(SEARCH("CMS",F24)))</formula>
    </cfRule>
    <cfRule type="cellIs" dxfId="9236" priority="46" operator="equal">
      <formula>0</formula>
    </cfRule>
    <cfRule type="cellIs" dxfId="9235" priority="47" operator="greaterThan">
      <formula>0</formula>
    </cfRule>
    <cfRule type="cellIs" dxfId="9234" priority="48" operator="equal">
      <formula>"PMS"</formula>
    </cfRule>
    <cfRule type="containsText" dxfId="9233" priority="49" operator="containsText" text="CMS">
      <formula>NOT(ISERROR(SEARCH("CMS",F24)))</formula>
    </cfRule>
    <cfRule type="cellIs" dxfId="9232" priority="50" operator="equal">
      <formula>0</formula>
    </cfRule>
    <cfRule type="cellIs" dxfId="9231" priority="51" operator="greaterThan">
      <formula>0</formula>
    </cfRule>
  </conditionalFormatting>
  <conditionalFormatting sqref="F24">
    <cfRule type="cellIs" dxfId="9230" priority="40" operator="equal">
      <formula>"PMS"</formula>
    </cfRule>
    <cfRule type="containsText" dxfId="9229" priority="41" operator="containsText" text="CMS">
      <formula>NOT(ISERROR(SEARCH("CMS",F24)))</formula>
    </cfRule>
    <cfRule type="cellIs" dxfId="9228" priority="42" operator="equal">
      <formula>0</formula>
    </cfRule>
    <cfRule type="cellIs" dxfId="9227" priority="43" operator="greaterThan">
      <formula>0</formula>
    </cfRule>
  </conditionalFormatting>
  <conditionalFormatting sqref="F27:F30">
    <cfRule type="cellIs" dxfId="9226" priority="32" operator="equal">
      <formula>"PMS"</formula>
    </cfRule>
    <cfRule type="containsText" dxfId="9225" priority="33" operator="containsText" text="CMS">
      <formula>NOT(ISERROR(SEARCH("CMS",F27)))</formula>
    </cfRule>
    <cfRule type="cellIs" dxfId="9224" priority="34" operator="equal">
      <formula>0</formula>
    </cfRule>
    <cfRule type="cellIs" dxfId="9223" priority="35" operator="greaterThan">
      <formula>0</formula>
    </cfRule>
    <cfRule type="cellIs" dxfId="9222" priority="36" operator="equal">
      <formula>"PMS"</formula>
    </cfRule>
    <cfRule type="containsText" dxfId="9221" priority="37" operator="containsText" text="CMS">
      <formula>NOT(ISERROR(SEARCH("CMS",F27)))</formula>
    </cfRule>
    <cfRule type="cellIs" dxfId="9220" priority="38" operator="equal">
      <formula>0</formula>
    </cfRule>
    <cfRule type="cellIs" dxfId="9219" priority="39" operator="greaterThan">
      <formula>0</formula>
    </cfRule>
  </conditionalFormatting>
  <conditionalFormatting sqref="F27:F30">
    <cfRule type="cellIs" dxfId="9218" priority="28" operator="equal">
      <formula>"PMS"</formula>
    </cfRule>
    <cfRule type="containsText" dxfId="9217" priority="29" operator="containsText" text="CMS">
      <formula>NOT(ISERROR(SEARCH("CMS",F27)))</formula>
    </cfRule>
    <cfRule type="cellIs" dxfId="9216" priority="30" operator="equal">
      <formula>0</formula>
    </cfRule>
    <cfRule type="cellIs" dxfId="9215" priority="31" operator="greaterThan">
      <formula>0</formula>
    </cfRule>
  </conditionalFormatting>
  <conditionalFormatting sqref="F33">
    <cfRule type="cellIs" dxfId="9214" priority="20" operator="equal">
      <formula>"PMS"</formula>
    </cfRule>
    <cfRule type="containsText" dxfId="9213" priority="21" operator="containsText" text="CMS">
      <formula>NOT(ISERROR(SEARCH("CMS",F33)))</formula>
    </cfRule>
    <cfRule type="cellIs" dxfId="9212" priority="22" operator="equal">
      <formula>0</formula>
    </cfRule>
    <cfRule type="cellIs" dxfId="9211" priority="23" operator="greaterThan">
      <formula>0</formula>
    </cfRule>
    <cfRule type="cellIs" dxfId="9210" priority="24" operator="equal">
      <formula>"PMS"</formula>
    </cfRule>
    <cfRule type="containsText" dxfId="9209" priority="25" operator="containsText" text="CMS">
      <formula>NOT(ISERROR(SEARCH("CMS",F33)))</formula>
    </cfRule>
    <cfRule type="cellIs" dxfId="9208" priority="26" operator="equal">
      <formula>0</formula>
    </cfRule>
    <cfRule type="cellIs" dxfId="9207" priority="27" operator="greaterThan">
      <formula>0</formula>
    </cfRule>
  </conditionalFormatting>
  <conditionalFormatting sqref="F33">
    <cfRule type="cellIs" dxfId="9206" priority="16" operator="equal">
      <formula>"PMS"</formula>
    </cfRule>
    <cfRule type="containsText" dxfId="9205" priority="17" operator="containsText" text="CMS">
      <formula>NOT(ISERROR(SEARCH("CMS",F33)))</formula>
    </cfRule>
    <cfRule type="cellIs" dxfId="9204" priority="18" operator="equal">
      <formula>0</formula>
    </cfRule>
    <cfRule type="cellIs" dxfId="9203" priority="19" operator="greaterThan">
      <formula>0</formula>
    </cfRule>
  </conditionalFormatting>
  <conditionalFormatting sqref="F67:F75 F78:F79">
    <cfRule type="cellIs" dxfId="9202" priority="8" operator="equal">
      <formula>"PMS"</formula>
    </cfRule>
    <cfRule type="containsText" dxfId="9201" priority="9" operator="containsText" text="CMS">
      <formula>NOT(ISERROR(SEARCH("CMS",F67)))</formula>
    </cfRule>
    <cfRule type="cellIs" dxfId="9200" priority="10" operator="equal">
      <formula>0</formula>
    </cfRule>
    <cfRule type="cellIs" dxfId="9199" priority="11" operator="greaterThan">
      <formula>0</formula>
    </cfRule>
    <cfRule type="cellIs" dxfId="9198" priority="12" operator="equal">
      <formula>"PMS"</formula>
    </cfRule>
    <cfRule type="containsText" dxfId="9197" priority="13" operator="containsText" text="CMS">
      <formula>NOT(ISERROR(SEARCH("CMS",F67)))</formula>
    </cfRule>
    <cfRule type="cellIs" dxfId="9196" priority="14" operator="equal">
      <formula>0</formula>
    </cfRule>
    <cfRule type="cellIs" dxfId="9195" priority="15" operator="greaterThan">
      <formula>0</formula>
    </cfRule>
  </conditionalFormatting>
  <conditionalFormatting sqref="F67:F75 F78:F79">
    <cfRule type="cellIs" dxfId="9194" priority="4" operator="equal">
      <formula>"PMS"</formula>
    </cfRule>
    <cfRule type="containsText" dxfId="9193" priority="5" operator="containsText" text="CMS">
      <formula>NOT(ISERROR(SEARCH("CMS",F67)))</formula>
    </cfRule>
    <cfRule type="cellIs" dxfId="9192" priority="6" operator="equal">
      <formula>0</formula>
    </cfRule>
    <cfRule type="cellIs" dxfId="9191" priority="7" operator="greaterThan">
      <formula>0</formula>
    </cfRule>
  </conditionalFormatting>
  <conditionalFormatting sqref="G112:AC112 F111:M111">
    <cfRule type="cellIs" dxfId="9190" priority="3" operator="greaterThan">
      <formula>60.3</formula>
    </cfRule>
  </conditionalFormatting>
  <conditionalFormatting sqref="N111:AC111">
    <cfRule type="cellIs" dxfId="9189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7692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CCF456-68A5-47C5-85D3-7C4D0A68A454}">
  <sheetPr codeName="Sheet159"/>
  <dimension ref="A2:DT140"/>
  <sheetViews>
    <sheetView zoomScale="70" zoomScaleNormal="70" zoomScaleSheetLayoutView="51" zoomScalePageLayoutView="55" workbookViewId="0">
      <pane xSplit="5" ySplit="11" topLeftCell="F12" activePane="bottomRight" state="frozen"/>
      <selection pane="bottomRight" activeCell="T112" sqref="T112:X112"/>
      <selection pane="bottomLeft" activeCell="AJ44" sqref="AJ44"/>
      <selection pane="topRight" activeCell="AJ44" sqref="AJ4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4.140625" customWidth="1"/>
    <col min="31" max="31" width="4.425781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4">
      <c r="C2" s="16"/>
      <c r="D2" s="23" t="s">
        <v>1</v>
      </c>
      <c r="E2" s="22" t="s">
        <v>2</v>
      </c>
      <c r="F2" s="22"/>
    </row>
    <row r="3" spans="1:44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4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  <c r="AR4">
        <f>2.73/2</f>
        <v>1.365</v>
      </c>
    </row>
    <row r="5" spans="1:44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4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4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4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23"/>
      <c r="N8" s="523"/>
      <c r="O8" s="52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4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24" t="e" cm="1">
        <f t="array" aca="1" ref="M9" ca="1">TEXT(TODAY(),"mmmm")&amp;" "&amp;MID(CELL("filename",A1),FIND("]",CELL("filename",A1))+1,255)&amp;", "&amp;TEXT(TODAY(),"yyyy")</f>
        <v>#VALUE!</v>
      </c>
      <c r="N9" s="524"/>
      <c r="O9" s="524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4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4"/>
      <c r="R10" s="344"/>
      <c r="S10" s="344"/>
      <c r="T10" s="344"/>
      <c r="U10" s="344"/>
      <c r="V10" s="344"/>
      <c r="W10" s="344"/>
      <c r="X10" s="344"/>
      <c r="Y10" s="344"/>
      <c r="Z10" s="344"/>
      <c r="AA10" s="344"/>
      <c r="AB10" s="344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4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4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17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538.19999999999993</v>
      </c>
    </row>
    <row r="13" spans="1:44">
      <c r="A13" s="14" t="s">
        <v>22</v>
      </c>
      <c r="B13" s="15"/>
      <c r="C13" s="15">
        <v>7.2</v>
      </c>
      <c r="D13" s="15"/>
      <c r="E13" s="15"/>
      <c r="F13" s="372" t="s">
        <v>9</v>
      </c>
      <c r="G13" s="372" t="s">
        <v>9</v>
      </c>
      <c r="H13" s="372" t="s">
        <v>9</v>
      </c>
      <c r="I13" s="372" t="s">
        <v>9</v>
      </c>
      <c r="J13" s="372">
        <v>6</v>
      </c>
      <c r="K13" s="372"/>
      <c r="L13" s="374"/>
      <c r="M13" s="372"/>
      <c r="N13" s="372"/>
      <c r="O13" s="372"/>
      <c r="P13" s="372">
        <v>6.5</v>
      </c>
      <c r="Q13" s="372">
        <v>6.6</v>
      </c>
      <c r="R13" s="372">
        <v>6.6</v>
      </c>
      <c r="S13" s="372">
        <v>6.8</v>
      </c>
      <c r="T13" s="372">
        <v>6.9</v>
      </c>
      <c r="U13" s="372">
        <v>6.9</v>
      </c>
      <c r="V13" s="372">
        <v>6.6</v>
      </c>
      <c r="W13" s="372">
        <v>6.7</v>
      </c>
      <c r="X13" s="372">
        <v>6.7</v>
      </c>
      <c r="Y13" s="372">
        <v>6.7</v>
      </c>
      <c r="Z13" s="372">
        <v>6.5</v>
      </c>
      <c r="AA13" s="372">
        <v>6.7</v>
      </c>
      <c r="AB13" s="372">
        <v>6.5</v>
      </c>
      <c r="AC13" s="372">
        <v>6.4</v>
      </c>
      <c r="AD13" s="41"/>
      <c r="AE13" s="41"/>
      <c r="AF13" s="11">
        <f>COUNTIF(F13:AC13,$AJ$8)</f>
        <v>4</v>
      </c>
      <c r="AG13" s="11">
        <f>COUNTIF(F13:AD13,$AJ$7)</f>
        <v>0</v>
      </c>
      <c r="AH13" s="11">
        <f>COUNT(F13:AC13)</f>
        <v>15</v>
      </c>
    </row>
    <row r="14" spans="1:44">
      <c r="A14" s="14" t="s">
        <v>23</v>
      </c>
      <c r="B14" s="15"/>
      <c r="C14" s="15">
        <v>7.2</v>
      </c>
      <c r="D14" s="15"/>
      <c r="E14" s="15"/>
      <c r="F14" s="372">
        <v>6.7</v>
      </c>
      <c r="G14" s="372">
        <v>6.5</v>
      </c>
      <c r="H14" s="374">
        <v>6.5</v>
      </c>
      <c r="I14" s="372">
        <v>6.6</v>
      </c>
      <c r="J14" s="372">
        <v>4.4000000000000004</v>
      </c>
      <c r="K14" s="372">
        <v>6.6</v>
      </c>
      <c r="L14" s="372">
        <v>6.5</v>
      </c>
      <c r="M14" s="372">
        <v>6.4</v>
      </c>
      <c r="N14" s="372">
        <v>6.9</v>
      </c>
      <c r="O14" s="372">
        <v>6.8</v>
      </c>
      <c r="P14" s="372">
        <v>6.5</v>
      </c>
      <c r="Q14" s="372">
        <v>6.6</v>
      </c>
      <c r="R14" s="372">
        <v>6.6</v>
      </c>
      <c r="S14" s="372">
        <v>6.8</v>
      </c>
      <c r="T14" s="372">
        <v>6.7</v>
      </c>
      <c r="U14" s="372">
        <v>6.9</v>
      </c>
      <c r="V14" s="372">
        <v>6.6</v>
      </c>
      <c r="W14" s="372">
        <v>6.5</v>
      </c>
      <c r="X14" s="372">
        <v>6.5</v>
      </c>
      <c r="Y14" s="372">
        <v>2.7</v>
      </c>
      <c r="Z14" s="372" t="s">
        <v>9</v>
      </c>
      <c r="AA14" s="372" t="s">
        <v>9</v>
      </c>
      <c r="AB14" s="372" t="s">
        <v>9</v>
      </c>
      <c r="AC14" s="372" t="s">
        <v>9</v>
      </c>
      <c r="AD14" s="41"/>
      <c r="AE14" s="41"/>
      <c r="AF14" s="11">
        <f>COUNTIF(F14:AC14,$AJ$8)</f>
        <v>4</v>
      </c>
      <c r="AG14" s="11">
        <f>COUNTIF(F14:AD14,$AJ$7)</f>
        <v>0</v>
      </c>
      <c r="AH14" s="11">
        <f>COUNT(F14:AC14)</f>
        <v>20</v>
      </c>
    </row>
    <row r="15" spans="1:44">
      <c r="A15" s="66" t="s">
        <v>24</v>
      </c>
      <c r="B15" s="15"/>
      <c r="C15" s="15">
        <v>7.2</v>
      </c>
      <c r="D15" s="15"/>
      <c r="E15" s="15"/>
      <c r="F15" s="372">
        <v>6.7</v>
      </c>
      <c r="G15" s="372">
        <v>6.5</v>
      </c>
      <c r="H15" s="374">
        <v>6.5</v>
      </c>
      <c r="I15" s="372">
        <v>6.6</v>
      </c>
      <c r="J15" s="372">
        <v>4.4000000000000004</v>
      </c>
      <c r="K15" s="374">
        <v>6.6</v>
      </c>
      <c r="L15" s="374">
        <v>6.5</v>
      </c>
      <c r="M15" s="374">
        <v>6.4</v>
      </c>
      <c r="N15" s="372">
        <v>6.9</v>
      </c>
      <c r="O15" s="372">
        <v>6.9</v>
      </c>
      <c r="P15" s="372">
        <v>6.5</v>
      </c>
      <c r="Q15" s="372">
        <v>6.6</v>
      </c>
      <c r="R15" s="372">
        <v>6.6</v>
      </c>
      <c r="S15" s="372">
        <v>6.8</v>
      </c>
      <c r="T15" s="372">
        <v>6.7</v>
      </c>
      <c r="U15" s="372">
        <v>6.9</v>
      </c>
      <c r="V15" s="372">
        <v>6.6</v>
      </c>
      <c r="W15" s="372">
        <v>6.5</v>
      </c>
      <c r="X15" s="372">
        <v>6.5</v>
      </c>
      <c r="Y15" s="372">
        <v>6.6</v>
      </c>
      <c r="Z15" s="372">
        <v>6.5</v>
      </c>
      <c r="AA15" s="372">
        <v>6.7</v>
      </c>
      <c r="AB15" s="372">
        <v>6.5</v>
      </c>
      <c r="AC15" s="372">
        <v>6.4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4">
      <c r="A16" s="14" t="s">
        <v>25</v>
      </c>
      <c r="B16" s="15"/>
      <c r="C16" s="15">
        <v>7.2</v>
      </c>
      <c r="D16" s="15"/>
      <c r="E16" s="15"/>
      <c r="F16" s="372">
        <v>6.7</v>
      </c>
      <c r="G16" s="372">
        <v>6.5</v>
      </c>
      <c r="H16" s="374">
        <v>6.5</v>
      </c>
      <c r="I16" s="372">
        <v>6.6</v>
      </c>
      <c r="J16" s="372">
        <v>4.4000000000000004</v>
      </c>
      <c r="K16" s="374">
        <v>6.6</v>
      </c>
      <c r="L16" s="374">
        <v>6.5</v>
      </c>
      <c r="M16" s="374">
        <v>6.4</v>
      </c>
      <c r="N16" s="372">
        <v>6.9</v>
      </c>
      <c r="O16" s="372">
        <v>6.9</v>
      </c>
      <c r="P16" s="372">
        <v>6.5</v>
      </c>
      <c r="Q16" s="372">
        <v>6.6</v>
      </c>
      <c r="R16" s="372">
        <v>6.6</v>
      </c>
      <c r="S16" s="372">
        <v>6.8</v>
      </c>
      <c r="T16" s="372">
        <v>6.7</v>
      </c>
      <c r="U16" s="372">
        <v>6.9</v>
      </c>
      <c r="V16" s="372">
        <v>6.6</v>
      </c>
      <c r="W16" s="372">
        <v>6.5</v>
      </c>
      <c r="X16" s="372">
        <v>6.5</v>
      </c>
      <c r="Y16" s="372">
        <v>6.6</v>
      </c>
      <c r="Z16" s="372">
        <v>6.5</v>
      </c>
      <c r="AA16" s="372">
        <v>6.7</v>
      </c>
      <c r="AB16" s="372">
        <v>6.5</v>
      </c>
      <c r="AC16" s="372">
        <v>6.4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20.100000000000001</v>
      </c>
      <c r="G17" s="19">
        <f t="shared" si="0"/>
        <v>19.5</v>
      </c>
      <c r="H17" s="19">
        <f t="shared" si="0"/>
        <v>19.5</v>
      </c>
      <c r="I17" s="19">
        <f t="shared" si="0"/>
        <v>19.799999999999997</v>
      </c>
      <c r="J17" s="19">
        <f t="shared" si="0"/>
        <v>19.200000000000003</v>
      </c>
      <c r="K17" s="19">
        <f t="shared" si="0"/>
        <v>19.799999999999997</v>
      </c>
      <c r="L17" s="19">
        <f t="shared" si="0"/>
        <v>19.5</v>
      </c>
      <c r="M17" s="19">
        <f t="shared" si="0"/>
        <v>19.200000000000003</v>
      </c>
      <c r="N17" s="19">
        <f t="shared" si="0"/>
        <v>20.700000000000003</v>
      </c>
      <c r="O17" s="19">
        <f t="shared" si="0"/>
        <v>20.6</v>
      </c>
      <c r="P17" s="19">
        <f t="shared" si="0"/>
        <v>26</v>
      </c>
      <c r="Q17" s="19">
        <f t="shared" si="0"/>
        <v>26.4</v>
      </c>
      <c r="R17" s="19">
        <f t="shared" si="0"/>
        <v>26.4</v>
      </c>
      <c r="S17" s="19">
        <f t="shared" si="0"/>
        <v>27.2</v>
      </c>
      <c r="T17" s="19">
        <f t="shared" si="0"/>
        <v>27</v>
      </c>
      <c r="U17" s="19">
        <f t="shared" si="0"/>
        <v>27.6</v>
      </c>
      <c r="V17" s="19">
        <f t="shared" si="0"/>
        <v>26.4</v>
      </c>
      <c r="W17" s="19">
        <f t="shared" si="0"/>
        <v>26.2</v>
      </c>
      <c r="X17" s="19">
        <f t="shared" si="0"/>
        <v>26.2</v>
      </c>
      <c r="Y17" s="19">
        <f t="shared" si="0"/>
        <v>22.6</v>
      </c>
      <c r="Z17" s="19">
        <f t="shared" si="0"/>
        <v>19.5</v>
      </c>
      <c r="AA17" s="19">
        <f t="shared" si="0"/>
        <v>20.100000000000001</v>
      </c>
      <c r="AB17" s="19">
        <f t="shared" si="0"/>
        <v>19.5</v>
      </c>
      <c r="AC17" s="19">
        <f t="shared" si="0"/>
        <v>19.200000000000003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93.799999999999969</v>
      </c>
    </row>
    <row r="19" spans="1:51">
      <c r="A19" s="14" t="s">
        <v>22</v>
      </c>
      <c r="B19" s="15"/>
      <c r="C19" s="15">
        <v>3</v>
      </c>
      <c r="D19" s="15"/>
      <c r="E19" s="15"/>
      <c r="F19" s="372"/>
      <c r="G19" s="372"/>
      <c r="H19" s="372"/>
      <c r="I19" s="372"/>
      <c r="J19" s="372"/>
      <c r="K19" s="374"/>
      <c r="L19" s="374"/>
      <c r="M19" s="374"/>
      <c r="N19" s="374"/>
      <c r="O19" s="372">
        <v>2.8</v>
      </c>
      <c r="P19" s="374">
        <v>2.8</v>
      </c>
      <c r="Q19" s="372">
        <v>2.8</v>
      </c>
      <c r="R19" s="372">
        <v>2.8</v>
      </c>
      <c r="S19" s="372">
        <v>2.8</v>
      </c>
      <c r="T19" s="372" t="s">
        <v>9</v>
      </c>
      <c r="U19" s="372" t="s">
        <v>9</v>
      </c>
      <c r="V19" s="372" t="s">
        <v>9</v>
      </c>
      <c r="W19" s="372" t="s">
        <v>9</v>
      </c>
      <c r="X19" s="372" t="s">
        <v>9</v>
      </c>
      <c r="Y19" s="372">
        <v>2.8</v>
      </c>
      <c r="Z19" s="372">
        <v>2.8</v>
      </c>
      <c r="AA19" s="372">
        <v>2.8</v>
      </c>
      <c r="AB19" s="372">
        <v>2.8</v>
      </c>
      <c r="AC19" s="372">
        <v>2.8</v>
      </c>
      <c r="AD19" s="41"/>
      <c r="AE19" s="41"/>
      <c r="AF19" s="11">
        <f>COUNTIF(F19:AC19,$AJ$8)</f>
        <v>5</v>
      </c>
      <c r="AG19" s="11">
        <f>COUNTIF(G19:AD19,$AJ$7)</f>
        <v>0</v>
      </c>
      <c r="AH19" s="11">
        <f>COUNT(F19:AC19)</f>
        <v>10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372"/>
      <c r="G20" s="372"/>
      <c r="H20" s="372"/>
      <c r="I20" s="372"/>
      <c r="J20" s="372"/>
      <c r="K20" s="374"/>
      <c r="L20" s="374"/>
      <c r="M20" s="374"/>
      <c r="N20" s="372"/>
      <c r="O20" s="372"/>
      <c r="P20" s="372"/>
      <c r="Q20" s="372"/>
      <c r="R20" s="372"/>
      <c r="S20" s="372"/>
      <c r="T20" s="372"/>
      <c r="U20" s="372"/>
      <c r="V20" s="372"/>
      <c r="W20" s="372"/>
      <c r="X20" s="372"/>
      <c r="Y20" s="372"/>
      <c r="Z20" s="372"/>
      <c r="AA20" s="372"/>
      <c r="AB20" s="372"/>
      <c r="AC20" s="372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2">
        <v>3.8</v>
      </c>
      <c r="G21" s="372">
        <v>3</v>
      </c>
      <c r="H21" s="372"/>
      <c r="I21" s="372"/>
      <c r="J21" s="372"/>
      <c r="K21" s="374"/>
      <c r="L21" s="374"/>
      <c r="M21" s="374"/>
      <c r="N21" s="372">
        <v>2</v>
      </c>
      <c r="O21" s="372">
        <v>3.8</v>
      </c>
      <c r="P21" s="372">
        <v>3.8</v>
      </c>
      <c r="Q21" s="372">
        <v>3.8</v>
      </c>
      <c r="R21" s="372">
        <v>3.8</v>
      </c>
      <c r="S21" s="372">
        <v>3.8</v>
      </c>
      <c r="T21" s="372">
        <v>3.9</v>
      </c>
      <c r="U21" s="372">
        <v>3.9</v>
      </c>
      <c r="V21" s="372">
        <v>3.8</v>
      </c>
      <c r="W21" s="372">
        <v>3.8</v>
      </c>
      <c r="X21" s="372">
        <v>3.8</v>
      </c>
      <c r="Y21" s="372">
        <v>3.6</v>
      </c>
      <c r="Z21" s="372">
        <v>3.8</v>
      </c>
      <c r="AA21" s="372">
        <v>3.8</v>
      </c>
      <c r="AB21" s="372">
        <v>3.8</v>
      </c>
      <c r="AC21" s="372">
        <v>3.8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18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3.8</v>
      </c>
      <c r="G22" s="19">
        <f t="shared" si="1"/>
        <v>3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2</v>
      </c>
      <c r="O22" s="19">
        <f t="shared" si="1"/>
        <v>6.6</v>
      </c>
      <c r="P22" s="19">
        <f t="shared" si="1"/>
        <v>6.6</v>
      </c>
      <c r="Q22" s="19">
        <f t="shared" si="1"/>
        <v>6.6</v>
      </c>
      <c r="R22" s="19">
        <f t="shared" si="1"/>
        <v>6.6</v>
      </c>
      <c r="S22" s="19">
        <f>SUM(S19:S21)</f>
        <v>6.6</v>
      </c>
      <c r="T22" s="19">
        <f t="shared" ref="T22" si="2">SUM(T19:T21)</f>
        <v>3.9</v>
      </c>
      <c r="U22" s="19">
        <f t="shared" si="1"/>
        <v>3.9</v>
      </c>
      <c r="V22" s="19">
        <f t="shared" si="1"/>
        <v>3.8</v>
      </c>
      <c r="W22" s="19">
        <f t="shared" si="1"/>
        <v>3.8</v>
      </c>
      <c r="X22" s="19">
        <f t="shared" si="1"/>
        <v>3.8</v>
      </c>
      <c r="Y22" s="19">
        <f t="shared" si="1"/>
        <v>6.4</v>
      </c>
      <c r="Z22" s="19">
        <f t="shared" si="1"/>
        <v>6.6</v>
      </c>
      <c r="AA22" s="19">
        <f t="shared" si="1"/>
        <v>6.6</v>
      </c>
      <c r="AB22" s="19">
        <f>SUM(AB19:AB21)</f>
        <v>6.6</v>
      </c>
      <c r="AC22" s="19">
        <f t="shared" si="1"/>
        <v>6.6</v>
      </c>
      <c r="AD22" s="41"/>
      <c r="AE22" s="41"/>
      <c r="AF22" s="11"/>
      <c r="AG22" s="11"/>
      <c r="AH22" s="11"/>
      <c r="AI22" s="400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409">
        <f>SUM(F24:AC24)</f>
        <v>64.999999999999986</v>
      </c>
    </row>
    <row r="24" spans="1:51">
      <c r="A24" s="14" t="s">
        <v>22</v>
      </c>
      <c r="B24" s="20"/>
      <c r="C24" s="15">
        <v>4.5</v>
      </c>
      <c r="D24" s="15"/>
      <c r="E24" s="15"/>
      <c r="F24" s="372">
        <v>3</v>
      </c>
      <c r="G24" s="372">
        <v>0</v>
      </c>
      <c r="H24" s="372">
        <v>0</v>
      </c>
      <c r="I24" s="372">
        <v>0</v>
      </c>
      <c r="J24" s="372">
        <v>0</v>
      </c>
      <c r="K24" s="374">
        <v>0</v>
      </c>
      <c r="L24" s="374">
        <v>2</v>
      </c>
      <c r="M24" s="374">
        <v>3</v>
      </c>
      <c r="N24" s="372">
        <v>3.8</v>
      </c>
      <c r="O24" s="372">
        <v>3.8</v>
      </c>
      <c r="P24" s="372">
        <v>3.8</v>
      </c>
      <c r="Q24" s="374">
        <v>3.8</v>
      </c>
      <c r="R24" s="372">
        <v>3.8</v>
      </c>
      <c r="S24" s="372">
        <v>3.8</v>
      </c>
      <c r="T24" s="372">
        <v>3.8</v>
      </c>
      <c r="U24" s="372">
        <v>3.8</v>
      </c>
      <c r="V24" s="372">
        <v>3.8</v>
      </c>
      <c r="W24" s="372">
        <v>3.8</v>
      </c>
      <c r="X24" s="372">
        <v>3.8</v>
      </c>
      <c r="Y24" s="372">
        <v>3.8</v>
      </c>
      <c r="Z24" s="372">
        <v>3.8</v>
      </c>
      <c r="AA24" s="372">
        <v>3.8</v>
      </c>
      <c r="AB24" s="372">
        <v>3.8</v>
      </c>
      <c r="AC24" s="372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23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:AC25" si="3">SUM(F24)</f>
        <v>3</v>
      </c>
      <c r="G25" s="19">
        <f t="shared" si="3"/>
        <v>0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2</v>
      </c>
      <c r="M25" s="19">
        <f t="shared" si="3"/>
        <v>3</v>
      </c>
      <c r="N25" s="19">
        <f t="shared" si="3"/>
        <v>3.8</v>
      </c>
      <c r="O25" s="19">
        <f t="shared" si="3"/>
        <v>3.8</v>
      </c>
      <c r="P25" s="19">
        <f t="shared" si="3"/>
        <v>3.8</v>
      </c>
      <c r="Q25" s="19">
        <f t="shared" si="3"/>
        <v>3.8</v>
      </c>
      <c r="R25" s="19">
        <f t="shared" si="3"/>
        <v>3.8</v>
      </c>
      <c r="S25" s="19">
        <f t="shared" si="3"/>
        <v>3.8</v>
      </c>
      <c r="T25" s="19">
        <f t="shared" si="3"/>
        <v>3.8</v>
      </c>
      <c r="U25" s="19">
        <f t="shared" si="3"/>
        <v>3.8</v>
      </c>
      <c r="V25" s="19">
        <f t="shared" si="3"/>
        <v>3.8</v>
      </c>
      <c r="W25" s="19">
        <f t="shared" si="3"/>
        <v>3.8</v>
      </c>
      <c r="X25" s="19">
        <f t="shared" si="3"/>
        <v>3.8</v>
      </c>
      <c r="Y25" s="19">
        <f t="shared" si="3"/>
        <v>3.8</v>
      </c>
      <c r="Z25" s="19">
        <f t="shared" si="3"/>
        <v>3.8</v>
      </c>
      <c r="AA25" s="19">
        <f t="shared" si="3"/>
        <v>3.8</v>
      </c>
      <c r="AB25" s="19">
        <f t="shared" si="3"/>
        <v>3.8</v>
      </c>
      <c r="AC25" s="19">
        <f t="shared" si="3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91.6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2">
        <v>3</v>
      </c>
      <c r="G27" s="372">
        <v>3</v>
      </c>
      <c r="H27" s="372">
        <v>3</v>
      </c>
      <c r="I27" s="372">
        <v>3</v>
      </c>
      <c r="J27" s="374">
        <v>3</v>
      </c>
      <c r="K27" s="374">
        <v>3</v>
      </c>
      <c r="L27" s="374">
        <v>4.2</v>
      </c>
      <c r="M27" s="374">
        <v>3</v>
      </c>
      <c r="N27" s="372">
        <v>4.2</v>
      </c>
      <c r="O27" s="372">
        <v>3.9</v>
      </c>
      <c r="P27" s="372">
        <v>3.9</v>
      </c>
      <c r="Q27" s="372">
        <v>3.8</v>
      </c>
      <c r="R27" s="372">
        <v>4</v>
      </c>
      <c r="S27" s="372">
        <v>3.9</v>
      </c>
      <c r="T27" s="374">
        <v>3.8</v>
      </c>
      <c r="U27" s="374">
        <v>4</v>
      </c>
      <c r="V27" s="372">
        <v>3.9</v>
      </c>
      <c r="W27" s="372">
        <v>3.7</v>
      </c>
      <c r="X27" s="372">
        <v>3.8</v>
      </c>
      <c r="Y27" s="372">
        <v>3.9</v>
      </c>
      <c r="Z27" s="372">
        <v>3.9</v>
      </c>
      <c r="AA27" s="372">
        <v>4.2</v>
      </c>
      <c r="AB27" s="372">
        <v>2.2000000000000002</v>
      </c>
      <c r="AC27" s="372">
        <v>3.5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2" t="s">
        <v>9</v>
      </c>
      <c r="G28" s="372" t="s">
        <v>9</v>
      </c>
      <c r="H28" s="372" t="s">
        <v>9</v>
      </c>
      <c r="I28" s="372" t="s">
        <v>9</v>
      </c>
      <c r="J28" s="372" t="s">
        <v>9</v>
      </c>
      <c r="K28" s="374" t="s">
        <v>9</v>
      </c>
      <c r="L28" s="374" t="s">
        <v>9</v>
      </c>
      <c r="M28" s="374" t="s">
        <v>9</v>
      </c>
      <c r="N28" s="372" t="s">
        <v>9</v>
      </c>
      <c r="O28" s="372" t="s">
        <v>9</v>
      </c>
      <c r="P28" s="372" t="s">
        <v>9</v>
      </c>
      <c r="Q28" s="372" t="s">
        <v>9</v>
      </c>
      <c r="R28" s="372" t="s">
        <v>9</v>
      </c>
      <c r="S28" s="372" t="s">
        <v>9</v>
      </c>
      <c r="T28" s="374" t="s">
        <v>9</v>
      </c>
      <c r="U28" s="374" t="s">
        <v>9</v>
      </c>
      <c r="V28" s="372" t="s">
        <v>9</v>
      </c>
      <c r="W28" s="372" t="s">
        <v>9</v>
      </c>
      <c r="X28" s="372" t="s">
        <v>9</v>
      </c>
      <c r="Y28" s="372" t="s">
        <v>9</v>
      </c>
      <c r="Z28" s="372" t="s">
        <v>9</v>
      </c>
      <c r="AA28" s="372" t="s">
        <v>9</v>
      </c>
      <c r="AB28" s="372">
        <v>2</v>
      </c>
      <c r="AC28" s="372">
        <v>3.8</v>
      </c>
      <c r="AD28" s="41"/>
      <c r="AE28" s="41"/>
      <c r="AF28" s="11">
        <f>COUNTIF(F28:AC28,$AJ$8)</f>
        <v>22</v>
      </c>
      <c r="AG28" s="11">
        <f>COUNTIF(G28:AD28,$AJ$7)</f>
        <v>0</v>
      </c>
      <c r="AH28" s="11">
        <f>COUNT(F28:AC28)</f>
        <v>2</v>
      </c>
      <c r="AI28" s="159">
        <f>SUM(F29:AC30)</f>
        <v>6.8</v>
      </c>
    </row>
    <row r="29" spans="1:51" ht="15" customHeight="1">
      <c r="A29" s="14" t="s">
        <v>30</v>
      </c>
      <c r="B29" s="369"/>
      <c r="C29" s="370">
        <v>8.8000000000000007</v>
      </c>
      <c r="D29" s="371"/>
      <c r="E29" s="371"/>
      <c r="F29" s="372"/>
      <c r="G29" s="372"/>
      <c r="H29" s="372"/>
      <c r="I29" s="372"/>
      <c r="J29" s="372"/>
      <c r="K29" s="374"/>
      <c r="L29" s="374"/>
      <c r="M29" s="374"/>
      <c r="N29" s="374"/>
      <c r="O29" s="374"/>
      <c r="P29" s="374"/>
      <c r="Q29" s="374" t="s">
        <v>9</v>
      </c>
      <c r="R29" s="374" t="s">
        <v>9</v>
      </c>
      <c r="S29" s="374" t="s">
        <v>9</v>
      </c>
      <c r="T29" s="374" t="s">
        <v>9</v>
      </c>
      <c r="U29" s="374" t="s">
        <v>9</v>
      </c>
      <c r="V29" s="374" t="s">
        <v>9</v>
      </c>
      <c r="W29" s="374" t="s">
        <v>9</v>
      </c>
      <c r="X29" s="372">
        <v>2</v>
      </c>
      <c r="Y29" s="372">
        <v>2</v>
      </c>
      <c r="Z29" s="374">
        <v>2.8</v>
      </c>
      <c r="AA29" s="372"/>
      <c r="AB29" s="372"/>
      <c r="AC29" s="372"/>
    </row>
    <row r="30" spans="1:51" ht="15" customHeight="1">
      <c r="A30" s="14" t="s">
        <v>31</v>
      </c>
      <c r="B30" s="369"/>
      <c r="C30" s="370">
        <v>8.8000000000000007</v>
      </c>
      <c r="D30" s="371"/>
      <c r="E30" s="371"/>
      <c r="F30" s="372"/>
      <c r="G30" s="372"/>
      <c r="H30" s="372"/>
      <c r="I30" s="372"/>
      <c r="J30" s="372"/>
      <c r="K30" s="374"/>
      <c r="L30" s="374"/>
      <c r="M30" s="374"/>
      <c r="N30" s="372"/>
      <c r="O30" s="372"/>
      <c r="P30" s="372"/>
      <c r="Q30" s="372"/>
      <c r="R30" s="372"/>
      <c r="S30" s="372"/>
      <c r="T30" s="372"/>
      <c r="U30" s="372"/>
      <c r="V30" s="372"/>
      <c r="W30" s="372"/>
      <c r="X30" s="372"/>
      <c r="Y30" s="372"/>
      <c r="Z30" s="372"/>
      <c r="AA30" s="372"/>
      <c r="AB30" s="372"/>
      <c r="AC30" s="372"/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:AC31" si="4">SUM(F27:F29)</f>
        <v>3</v>
      </c>
      <c r="G31" s="19">
        <f t="shared" si="4"/>
        <v>3</v>
      </c>
      <c r="H31" s="19">
        <f t="shared" si="4"/>
        <v>3</v>
      </c>
      <c r="I31" s="19">
        <f t="shared" si="4"/>
        <v>3</v>
      </c>
      <c r="J31" s="19">
        <f t="shared" si="4"/>
        <v>3</v>
      </c>
      <c r="K31" s="19">
        <f t="shared" si="4"/>
        <v>3</v>
      </c>
      <c r="L31" s="19">
        <f t="shared" si="4"/>
        <v>4.2</v>
      </c>
      <c r="M31" s="19">
        <f t="shared" si="4"/>
        <v>3</v>
      </c>
      <c r="N31" s="19">
        <f t="shared" si="4"/>
        <v>4.2</v>
      </c>
      <c r="O31" s="19">
        <f t="shared" si="4"/>
        <v>3.9</v>
      </c>
      <c r="P31" s="19">
        <f t="shared" si="4"/>
        <v>3.9</v>
      </c>
      <c r="Q31" s="19">
        <f t="shared" si="4"/>
        <v>3.8</v>
      </c>
      <c r="R31" s="19">
        <f t="shared" si="4"/>
        <v>4</v>
      </c>
      <c r="S31" s="19">
        <f t="shared" si="4"/>
        <v>3.9</v>
      </c>
      <c r="T31" s="19">
        <f>SUM(T27:T29)</f>
        <v>3.8</v>
      </c>
      <c r="U31" s="19">
        <f t="shared" si="4"/>
        <v>4</v>
      </c>
      <c r="V31" s="19">
        <f t="shared" si="4"/>
        <v>3.9</v>
      </c>
      <c r="W31" s="19">
        <f t="shared" si="4"/>
        <v>3.7</v>
      </c>
      <c r="X31" s="19">
        <f t="shared" si="4"/>
        <v>5.8</v>
      </c>
      <c r="Y31" s="19">
        <f t="shared" si="4"/>
        <v>5.9</v>
      </c>
      <c r="Z31" s="19">
        <f t="shared" si="4"/>
        <v>6.6999999999999993</v>
      </c>
      <c r="AA31" s="19">
        <f t="shared" si="4"/>
        <v>4.2</v>
      </c>
      <c r="AB31" s="19">
        <f t="shared" si="4"/>
        <v>4.2</v>
      </c>
      <c r="AC31" s="19">
        <f t="shared" si="4"/>
        <v>7.3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333.00000000000006</v>
      </c>
    </row>
    <row r="33" spans="1:36">
      <c r="A33" s="14" t="s">
        <v>22</v>
      </c>
      <c r="B33" s="15"/>
      <c r="C33" s="15">
        <v>15</v>
      </c>
      <c r="D33" s="15"/>
      <c r="E33" s="15"/>
      <c r="F33" s="372">
        <v>12.79</v>
      </c>
      <c r="G33" s="372">
        <v>12.76</v>
      </c>
      <c r="H33" s="374">
        <v>14.3</v>
      </c>
      <c r="I33" s="372">
        <v>12.81</v>
      </c>
      <c r="J33" s="372">
        <v>12.78</v>
      </c>
      <c r="K33" s="374">
        <v>13.17</v>
      </c>
      <c r="L33" s="374">
        <v>14.26</v>
      </c>
      <c r="M33" s="374">
        <v>12.78</v>
      </c>
      <c r="N33" s="372">
        <v>14.3</v>
      </c>
      <c r="O33" s="372">
        <v>14.23</v>
      </c>
      <c r="P33" s="372">
        <v>14.21</v>
      </c>
      <c r="Q33" s="372">
        <v>14.19</v>
      </c>
      <c r="R33" s="372">
        <v>14.25</v>
      </c>
      <c r="S33" s="372">
        <v>14.39</v>
      </c>
      <c r="T33" s="372">
        <v>14.32</v>
      </c>
      <c r="U33" s="372">
        <v>14.31</v>
      </c>
      <c r="V33" s="372">
        <v>14.27</v>
      </c>
      <c r="W33" s="374">
        <v>14.32</v>
      </c>
      <c r="X33" s="372">
        <v>14.19</v>
      </c>
      <c r="Y33" s="372">
        <v>14.19</v>
      </c>
      <c r="Z33" s="372">
        <v>14.25</v>
      </c>
      <c r="AA33" s="372">
        <v>14.29</v>
      </c>
      <c r="AB33" s="372">
        <v>14.31</v>
      </c>
      <c r="AC33" s="372">
        <v>13.33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:AC34" si="5">SUM(F33)</f>
        <v>12.79</v>
      </c>
      <c r="G34" s="19">
        <f t="shared" si="5"/>
        <v>12.76</v>
      </c>
      <c r="H34" s="19">
        <f t="shared" si="5"/>
        <v>14.3</v>
      </c>
      <c r="I34" s="19">
        <f t="shared" si="5"/>
        <v>12.81</v>
      </c>
      <c r="J34" s="19">
        <f t="shared" si="5"/>
        <v>12.78</v>
      </c>
      <c r="K34" s="19">
        <f t="shared" si="5"/>
        <v>13.17</v>
      </c>
      <c r="L34" s="19">
        <f t="shared" si="5"/>
        <v>14.26</v>
      </c>
      <c r="M34" s="19">
        <f t="shared" si="5"/>
        <v>12.78</v>
      </c>
      <c r="N34" s="19">
        <f t="shared" si="5"/>
        <v>14.3</v>
      </c>
      <c r="O34" s="19">
        <f t="shared" si="5"/>
        <v>14.23</v>
      </c>
      <c r="P34" s="19">
        <f t="shared" si="5"/>
        <v>14.21</v>
      </c>
      <c r="Q34" s="19">
        <f t="shared" si="5"/>
        <v>14.19</v>
      </c>
      <c r="R34" s="19">
        <f t="shared" si="5"/>
        <v>14.25</v>
      </c>
      <c r="S34" s="19">
        <f t="shared" si="5"/>
        <v>14.39</v>
      </c>
      <c r="T34" s="19">
        <f t="shared" si="5"/>
        <v>14.32</v>
      </c>
      <c r="U34" s="19">
        <f t="shared" si="5"/>
        <v>14.31</v>
      </c>
      <c r="V34" s="19">
        <f t="shared" si="5"/>
        <v>14.27</v>
      </c>
      <c r="W34" s="19">
        <f t="shared" si="5"/>
        <v>14.32</v>
      </c>
      <c r="X34" s="19">
        <f t="shared" si="5"/>
        <v>14.19</v>
      </c>
      <c r="Y34" s="19">
        <f t="shared" si="5"/>
        <v>14.19</v>
      </c>
      <c r="Z34" s="19">
        <f t="shared" si="5"/>
        <v>14.25</v>
      </c>
      <c r="AA34" s="19">
        <f t="shared" si="5"/>
        <v>14.29</v>
      </c>
      <c r="AB34" s="19">
        <f t="shared" si="5"/>
        <v>14.31</v>
      </c>
      <c r="AC34" s="19">
        <f t="shared" si="5"/>
        <v>13.33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13" t="s">
        <v>21</v>
      </c>
      <c r="G35" s="13" t="s">
        <v>21</v>
      </c>
      <c r="H35" s="13" t="s">
        <v>21</v>
      </c>
      <c r="I35" s="13" t="s">
        <v>21</v>
      </c>
      <c r="J35" s="13" t="s">
        <v>21</v>
      </c>
      <c r="K35" s="13" t="s">
        <v>21</v>
      </c>
      <c r="L35" s="13" t="s">
        <v>21</v>
      </c>
      <c r="M35" s="13" t="s">
        <v>21</v>
      </c>
      <c r="N35" s="13" t="s">
        <v>21</v>
      </c>
      <c r="O35" s="13" t="s">
        <v>21</v>
      </c>
      <c r="P35" s="13" t="s">
        <v>21</v>
      </c>
      <c r="Q35" s="13" t="s">
        <v>21</v>
      </c>
      <c r="R35" s="13" t="s">
        <v>21</v>
      </c>
      <c r="S35" s="13" t="s">
        <v>21</v>
      </c>
      <c r="T35" s="13" t="s">
        <v>21</v>
      </c>
      <c r="U35" s="13" t="s">
        <v>21</v>
      </c>
      <c r="V35" s="13" t="s">
        <v>21</v>
      </c>
      <c r="W35" s="418" t="s">
        <v>34</v>
      </c>
      <c r="X35" s="13" t="s">
        <v>21</v>
      </c>
      <c r="Y35" s="13" t="s">
        <v>21</v>
      </c>
      <c r="Z35" s="13" t="s">
        <v>21</v>
      </c>
      <c r="AA35" s="13" t="s">
        <v>21</v>
      </c>
      <c r="AB35" s="13" t="s">
        <v>21</v>
      </c>
      <c r="AC35" s="13" t="s">
        <v>21</v>
      </c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35</v>
      </c>
    </row>
    <row r="36" spans="1:36">
      <c r="A36" s="70" t="s">
        <v>36</v>
      </c>
      <c r="B36" s="15"/>
      <c r="C36" s="15"/>
      <c r="D36" s="15"/>
      <c r="E36" s="15"/>
      <c r="F36" s="372"/>
      <c r="G36" s="372"/>
      <c r="H36" s="372"/>
      <c r="I36" s="372"/>
      <c r="J36" s="372"/>
      <c r="K36" s="374"/>
      <c r="L36" s="374"/>
      <c r="M36" s="374"/>
      <c r="N36" s="372"/>
      <c r="O36" s="372"/>
      <c r="P36" s="372"/>
      <c r="Q36" s="372"/>
      <c r="R36" s="372"/>
      <c r="S36" s="372"/>
      <c r="T36" s="372"/>
      <c r="U36" s="372"/>
      <c r="V36" s="372"/>
      <c r="W36" s="372"/>
      <c r="X36" s="372"/>
      <c r="Y36" s="372"/>
      <c r="Z36" s="372"/>
      <c r="AA36" s="372"/>
      <c r="AB36" s="372"/>
      <c r="AC36" s="372"/>
      <c r="AD36" s="41"/>
      <c r="AE36" s="41"/>
      <c r="AF36" s="11">
        <f t="shared" ref="AF36:AF59" si="6">COUNTIF(F36:AC36,$AJ$8)</f>
        <v>0</v>
      </c>
      <c r="AG36" s="11">
        <f t="shared" ref="AG36:AG59" si="7">COUNTIF(G36:AD36,$AJ$7)</f>
        <v>0</v>
      </c>
      <c r="AH36" s="11">
        <f t="shared" ref="AH36:AH59" si="8">COUNT(F36:AC36)</f>
        <v>0</v>
      </c>
      <c r="AI36" s="159">
        <f>SUM(F36:AC38,F40:AC40,F45:AC59)</f>
        <v>82.700000000000102</v>
      </c>
      <c r="AJ36" t="s">
        <v>37</v>
      </c>
    </row>
    <row r="37" spans="1:36">
      <c r="A37" s="70" t="s">
        <v>38</v>
      </c>
      <c r="B37" s="15"/>
      <c r="C37" s="15"/>
      <c r="D37" s="15"/>
      <c r="E37" s="15"/>
      <c r="F37" s="372"/>
      <c r="G37" s="372"/>
      <c r="H37" s="372"/>
      <c r="I37" s="372"/>
      <c r="J37" s="372"/>
      <c r="K37" s="374"/>
      <c r="L37" s="374"/>
      <c r="M37" s="374"/>
      <c r="N37" s="372"/>
      <c r="O37" s="372"/>
      <c r="P37" s="372"/>
      <c r="Q37" s="372"/>
      <c r="R37" s="372"/>
      <c r="S37" s="372"/>
      <c r="T37" s="372"/>
      <c r="U37" s="372"/>
      <c r="V37" s="372"/>
      <c r="W37" s="372"/>
      <c r="X37" s="372"/>
      <c r="Y37" s="372"/>
      <c r="Z37" s="372"/>
      <c r="AA37" s="372"/>
      <c r="AB37" s="372"/>
      <c r="AC37" s="372"/>
      <c r="AD37" s="41"/>
      <c r="AE37" s="41"/>
      <c r="AF37" s="11">
        <f t="shared" si="6"/>
        <v>0</v>
      </c>
      <c r="AG37" s="11">
        <f t="shared" si="7"/>
        <v>0</v>
      </c>
      <c r="AH37" s="11">
        <f t="shared" si="8"/>
        <v>0</v>
      </c>
    </row>
    <row r="38" spans="1:36">
      <c r="A38" s="70" t="s">
        <v>39</v>
      </c>
      <c r="B38" s="15"/>
      <c r="C38" s="15"/>
      <c r="D38" s="15"/>
      <c r="E38" s="15"/>
      <c r="F38" s="372"/>
      <c r="G38" s="372"/>
      <c r="H38" s="372"/>
      <c r="I38" s="372"/>
      <c r="J38" s="372"/>
      <c r="K38" s="374"/>
      <c r="L38" s="374"/>
      <c r="M38" s="374"/>
      <c r="N38" s="372"/>
      <c r="O38" s="372"/>
      <c r="P38" s="372"/>
      <c r="Q38" s="372"/>
      <c r="R38" s="372"/>
      <c r="S38" s="372"/>
      <c r="T38" s="372"/>
      <c r="U38" s="372"/>
      <c r="V38" s="372"/>
      <c r="W38" s="372"/>
      <c r="X38" s="372"/>
      <c r="Y38" s="372"/>
      <c r="Z38" s="372"/>
      <c r="AA38" s="372"/>
      <c r="AB38" s="372"/>
      <c r="AC38" s="372"/>
      <c r="AD38" s="41"/>
      <c r="AE38" s="41"/>
      <c r="AF38" s="11">
        <f t="shared" si="6"/>
        <v>0</v>
      </c>
      <c r="AG38" s="11">
        <f t="shared" si="7"/>
        <v>0</v>
      </c>
      <c r="AH38" s="11">
        <f t="shared" si="8"/>
        <v>0</v>
      </c>
    </row>
    <row r="39" spans="1:36">
      <c r="A39" s="70">
        <v>34</v>
      </c>
      <c r="B39" s="15"/>
      <c r="C39" s="15"/>
      <c r="D39" s="15"/>
      <c r="E39" s="15"/>
      <c r="F39" s="372" t="s">
        <v>9</v>
      </c>
      <c r="G39" s="372" t="s">
        <v>9</v>
      </c>
      <c r="H39" s="372" t="s">
        <v>9</v>
      </c>
      <c r="I39" s="372" t="s">
        <v>9</v>
      </c>
      <c r="J39" s="372" t="s">
        <v>9</v>
      </c>
      <c r="K39" s="374" t="s">
        <v>9</v>
      </c>
      <c r="L39" s="374" t="s">
        <v>9</v>
      </c>
      <c r="M39" s="374" t="s">
        <v>9</v>
      </c>
      <c r="N39" s="372" t="s">
        <v>9</v>
      </c>
      <c r="O39" s="372" t="s">
        <v>9</v>
      </c>
      <c r="P39" s="372" t="s">
        <v>9</v>
      </c>
      <c r="Q39" s="372" t="s">
        <v>9</v>
      </c>
      <c r="R39" s="372" t="s">
        <v>9</v>
      </c>
      <c r="S39" s="372" t="s">
        <v>9</v>
      </c>
      <c r="T39" s="372" t="s">
        <v>9</v>
      </c>
      <c r="U39" s="372" t="s">
        <v>9</v>
      </c>
      <c r="V39" s="372" t="s">
        <v>9</v>
      </c>
      <c r="W39" s="372" t="s">
        <v>9</v>
      </c>
      <c r="X39" s="372" t="s">
        <v>9</v>
      </c>
      <c r="Y39" s="372" t="s">
        <v>9</v>
      </c>
      <c r="Z39" s="372" t="s">
        <v>9</v>
      </c>
      <c r="AA39" s="372" t="s">
        <v>9</v>
      </c>
      <c r="AB39" s="372" t="s">
        <v>9</v>
      </c>
      <c r="AC39" s="372" t="s">
        <v>9</v>
      </c>
      <c r="AD39" s="41"/>
      <c r="AE39" s="41"/>
      <c r="AF39" s="11">
        <f t="shared" si="6"/>
        <v>24</v>
      </c>
      <c r="AG39" s="11">
        <f t="shared" si="7"/>
        <v>0</v>
      </c>
      <c r="AH39" s="11">
        <f t="shared" si="8"/>
        <v>0</v>
      </c>
    </row>
    <row r="40" spans="1:36">
      <c r="A40" s="70">
        <v>35</v>
      </c>
      <c r="B40" s="15"/>
      <c r="C40" s="15">
        <v>0.85</v>
      </c>
      <c r="D40" s="15"/>
      <c r="E40" s="15"/>
      <c r="F40" s="372"/>
      <c r="G40" s="372"/>
      <c r="H40" s="372"/>
      <c r="I40" s="372"/>
      <c r="J40" s="372"/>
      <c r="K40" s="374"/>
      <c r="L40" s="374"/>
      <c r="M40" s="374"/>
      <c r="N40" s="372"/>
      <c r="O40" s="372"/>
      <c r="P40" s="372"/>
      <c r="Q40" s="372"/>
      <c r="R40" s="372"/>
      <c r="S40" s="372"/>
      <c r="T40" s="372">
        <f>10.1/14</f>
        <v>0.72142857142857142</v>
      </c>
      <c r="U40" s="372">
        <v>0.75</v>
      </c>
      <c r="V40" s="372">
        <v>0.75</v>
      </c>
      <c r="W40" s="372"/>
      <c r="X40" s="372"/>
      <c r="Y40" s="372"/>
      <c r="Z40" s="372"/>
      <c r="AA40" s="372"/>
      <c r="AB40" s="372"/>
      <c r="AC40" s="372"/>
      <c r="AD40" s="41"/>
      <c r="AE40" s="41"/>
      <c r="AF40" s="11">
        <f t="shared" si="6"/>
        <v>0</v>
      </c>
      <c r="AG40" s="11">
        <f t="shared" si="7"/>
        <v>0</v>
      </c>
      <c r="AH40" s="11">
        <f t="shared" si="8"/>
        <v>3</v>
      </c>
    </row>
    <row r="41" spans="1:36">
      <c r="A41" s="70">
        <v>36</v>
      </c>
      <c r="B41" s="15"/>
      <c r="C41" s="15">
        <v>1</v>
      </c>
      <c r="D41" s="15"/>
      <c r="E41" s="15"/>
      <c r="F41" s="372"/>
      <c r="G41" s="372"/>
      <c r="H41" s="372"/>
      <c r="I41" s="372"/>
      <c r="J41" s="372"/>
      <c r="K41" s="374"/>
      <c r="L41" s="374"/>
      <c r="M41" s="374"/>
      <c r="N41" s="372"/>
      <c r="O41" s="372"/>
      <c r="P41" s="372"/>
      <c r="Q41" s="372"/>
      <c r="R41" s="372"/>
      <c r="S41" s="372"/>
      <c r="T41" s="372"/>
      <c r="U41" s="372"/>
      <c r="V41" s="372"/>
      <c r="W41" s="372"/>
      <c r="X41" s="372"/>
      <c r="Y41" s="372"/>
      <c r="Z41" s="372"/>
      <c r="AA41" s="372"/>
      <c r="AB41" s="372"/>
      <c r="AC41" s="372"/>
      <c r="AD41" s="41"/>
      <c r="AE41" s="41"/>
      <c r="AF41" s="11">
        <f t="shared" si="6"/>
        <v>0</v>
      </c>
      <c r="AG41" s="11">
        <f t="shared" si="7"/>
        <v>0</v>
      </c>
      <c r="AH41" s="11">
        <f t="shared" si="8"/>
        <v>0</v>
      </c>
    </row>
    <row r="42" spans="1:36">
      <c r="A42" s="70">
        <v>37</v>
      </c>
      <c r="B42" s="15"/>
      <c r="C42" s="15">
        <v>1</v>
      </c>
      <c r="D42" s="15"/>
      <c r="E42" s="15"/>
      <c r="F42" s="372"/>
      <c r="G42" s="372"/>
      <c r="H42" s="372"/>
      <c r="I42" s="372"/>
      <c r="J42" s="372"/>
      <c r="K42" s="374"/>
      <c r="L42" s="374"/>
      <c r="M42" s="374"/>
      <c r="N42" s="372"/>
      <c r="O42" s="372"/>
      <c r="P42" s="372"/>
      <c r="Q42" s="372"/>
      <c r="R42" s="372"/>
      <c r="S42" s="372"/>
      <c r="T42" s="372"/>
      <c r="U42" s="372"/>
      <c r="V42" s="372"/>
      <c r="W42" s="372"/>
      <c r="X42" s="372"/>
      <c r="Y42" s="372"/>
      <c r="Z42" s="372"/>
      <c r="AA42" s="372"/>
      <c r="AB42" s="372"/>
      <c r="AC42" s="372"/>
      <c r="AD42" s="41"/>
      <c r="AE42" s="41"/>
      <c r="AF42" s="11">
        <f t="shared" si="6"/>
        <v>0</v>
      </c>
      <c r="AG42" s="11">
        <f t="shared" si="7"/>
        <v>0</v>
      </c>
      <c r="AH42" s="11">
        <f t="shared" si="8"/>
        <v>0</v>
      </c>
    </row>
    <row r="43" spans="1:36">
      <c r="A43" s="70">
        <v>38</v>
      </c>
      <c r="B43" s="15"/>
      <c r="C43" s="15"/>
      <c r="D43" s="15"/>
      <c r="E43" s="15"/>
      <c r="F43" s="372" t="s">
        <v>9</v>
      </c>
      <c r="G43" s="372" t="s">
        <v>9</v>
      </c>
      <c r="H43" s="372" t="s">
        <v>9</v>
      </c>
      <c r="I43" s="372" t="s">
        <v>9</v>
      </c>
      <c r="J43" s="372" t="s">
        <v>9</v>
      </c>
      <c r="K43" s="374" t="s">
        <v>9</v>
      </c>
      <c r="L43" s="374" t="s">
        <v>9</v>
      </c>
      <c r="M43" s="374" t="s">
        <v>9</v>
      </c>
      <c r="N43" s="372" t="s">
        <v>9</v>
      </c>
      <c r="O43" s="372" t="s">
        <v>9</v>
      </c>
      <c r="P43" s="372" t="s">
        <v>9</v>
      </c>
      <c r="Q43" s="372" t="s">
        <v>9</v>
      </c>
      <c r="R43" s="372" t="s">
        <v>9</v>
      </c>
      <c r="S43" s="372" t="s">
        <v>9</v>
      </c>
      <c r="T43" s="372" t="s">
        <v>9</v>
      </c>
      <c r="U43" s="372" t="s">
        <v>9</v>
      </c>
      <c r="V43" s="372" t="s">
        <v>9</v>
      </c>
      <c r="W43" s="372" t="s">
        <v>9</v>
      </c>
      <c r="X43" s="372" t="s">
        <v>9</v>
      </c>
      <c r="Y43" s="372" t="s">
        <v>9</v>
      </c>
      <c r="Z43" s="372" t="s">
        <v>9</v>
      </c>
      <c r="AA43" s="372" t="s">
        <v>9</v>
      </c>
      <c r="AB43" s="372" t="s">
        <v>9</v>
      </c>
      <c r="AC43" s="372" t="s">
        <v>9</v>
      </c>
      <c r="AD43" s="41"/>
      <c r="AE43" s="41"/>
      <c r="AF43" s="11">
        <f t="shared" si="6"/>
        <v>24</v>
      </c>
      <c r="AG43" s="11">
        <f t="shared" si="7"/>
        <v>0</v>
      </c>
      <c r="AH43" s="11">
        <f t="shared" si="8"/>
        <v>0</v>
      </c>
    </row>
    <row r="44" spans="1:36" ht="16.5" customHeight="1">
      <c r="A44" s="70">
        <v>39</v>
      </c>
      <c r="B44" s="15"/>
      <c r="C44" s="15">
        <v>1</v>
      </c>
      <c r="D44" s="15"/>
      <c r="E44" s="15"/>
      <c r="F44" s="372" t="s">
        <v>9</v>
      </c>
      <c r="G44" s="372" t="s">
        <v>9</v>
      </c>
      <c r="H44" s="372" t="s">
        <v>9</v>
      </c>
      <c r="I44" s="372" t="s">
        <v>9</v>
      </c>
      <c r="J44" s="372" t="s">
        <v>9</v>
      </c>
      <c r="K44" s="372" t="s">
        <v>9</v>
      </c>
      <c r="L44" s="374" t="s">
        <v>9</v>
      </c>
      <c r="M44" s="374" t="s">
        <v>9</v>
      </c>
      <c r="N44" s="372" t="s">
        <v>9</v>
      </c>
      <c r="O44" s="372" t="s">
        <v>9</v>
      </c>
      <c r="P44" s="372" t="s">
        <v>9</v>
      </c>
      <c r="Q44" s="372" t="s">
        <v>9</v>
      </c>
      <c r="R44" s="372" t="s">
        <v>9</v>
      </c>
      <c r="S44" s="372" t="s">
        <v>9</v>
      </c>
      <c r="T44" s="372" t="s">
        <v>9</v>
      </c>
      <c r="U44" s="372" t="s">
        <v>9</v>
      </c>
      <c r="V44" s="372" t="s">
        <v>9</v>
      </c>
      <c r="W44" s="372" t="s">
        <v>9</v>
      </c>
      <c r="X44" s="372" t="s">
        <v>9</v>
      </c>
      <c r="Y44" s="372" t="s">
        <v>9</v>
      </c>
      <c r="Z44" s="372" t="s">
        <v>9</v>
      </c>
      <c r="AA44" s="372" t="s">
        <v>9</v>
      </c>
      <c r="AB44" s="372" t="s">
        <v>9</v>
      </c>
      <c r="AC44" s="372" t="s">
        <v>9</v>
      </c>
      <c r="AD44" s="41"/>
      <c r="AE44" s="41"/>
      <c r="AF44" s="11">
        <f t="shared" si="6"/>
        <v>24</v>
      </c>
      <c r="AG44" s="11">
        <f t="shared" si="7"/>
        <v>0</v>
      </c>
      <c r="AH44" s="11">
        <f t="shared" si="8"/>
        <v>0</v>
      </c>
    </row>
    <row r="45" spans="1:36" ht="16.5" customHeight="1">
      <c r="A45" s="70" t="s">
        <v>40</v>
      </c>
      <c r="B45" s="15"/>
      <c r="C45" s="15">
        <v>0.85</v>
      </c>
      <c r="D45" s="15"/>
      <c r="E45" s="15"/>
      <c r="F45" s="372"/>
      <c r="G45" s="372"/>
      <c r="H45" s="372"/>
      <c r="I45" s="372"/>
      <c r="J45" s="372"/>
      <c r="K45" s="372"/>
      <c r="L45" s="372"/>
      <c r="M45" s="372"/>
      <c r="N45" s="372"/>
      <c r="O45" s="372"/>
      <c r="P45" s="372"/>
      <c r="Q45" s="372"/>
      <c r="R45" s="372"/>
      <c r="S45" s="372"/>
      <c r="T45" s="372">
        <f t="shared" ref="T45:T59" si="9">10.1/14</f>
        <v>0.72142857142857142</v>
      </c>
      <c r="U45" s="372">
        <v>0.75</v>
      </c>
      <c r="V45" s="372">
        <v>0.75</v>
      </c>
      <c r="W45" s="372"/>
      <c r="X45" s="372"/>
      <c r="Y45" s="372">
        <f>8.7/13</f>
        <v>0.66923076923076918</v>
      </c>
      <c r="Z45" s="372" t="s">
        <v>9</v>
      </c>
      <c r="AA45" s="372" t="s">
        <v>9</v>
      </c>
      <c r="AB45" s="372" t="s">
        <v>9</v>
      </c>
      <c r="AC45" s="372" t="s">
        <v>9</v>
      </c>
      <c r="AD45" s="41"/>
      <c r="AE45" s="41"/>
      <c r="AF45" s="11">
        <f t="shared" si="6"/>
        <v>4</v>
      </c>
      <c r="AG45" s="11">
        <f t="shared" si="7"/>
        <v>0</v>
      </c>
      <c r="AH45" s="11">
        <f t="shared" si="8"/>
        <v>4</v>
      </c>
      <c r="AI45" s="159"/>
    </row>
    <row r="46" spans="1:36">
      <c r="A46" s="70" t="s">
        <v>41</v>
      </c>
      <c r="B46" s="15"/>
      <c r="C46" s="15">
        <v>0.75</v>
      </c>
      <c r="D46" s="15"/>
      <c r="E46" s="15"/>
      <c r="F46" s="372"/>
      <c r="G46" s="372"/>
      <c r="H46" s="372"/>
      <c r="I46" s="372"/>
      <c r="J46" s="372"/>
      <c r="K46" s="372"/>
      <c r="L46" s="372"/>
      <c r="M46" s="374"/>
      <c r="N46" s="372"/>
      <c r="O46" s="372"/>
      <c r="P46" s="372"/>
      <c r="Q46" s="372"/>
      <c r="R46" s="372"/>
      <c r="S46" s="372"/>
      <c r="T46" s="372">
        <f t="shared" si="9"/>
        <v>0.72142857142857142</v>
      </c>
      <c r="U46" s="372">
        <v>0.75</v>
      </c>
      <c r="V46" s="372">
        <v>0.75</v>
      </c>
      <c r="W46" s="372">
        <v>0.75</v>
      </c>
      <c r="X46" s="372"/>
      <c r="Y46" s="372">
        <f t="shared" ref="Y46:Y50" si="10">8.7/13</f>
        <v>0.66923076923076918</v>
      </c>
      <c r="Z46" s="372">
        <f>7.2/10</f>
        <v>0.72</v>
      </c>
      <c r="AA46" s="372">
        <f>5.6/8</f>
        <v>0.7</v>
      </c>
      <c r="AB46" s="372"/>
      <c r="AC46" s="372"/>
      <c r="AD46" s="41"/>
      <c r="AE46" s="41"/>
      <c r="AF46" s="11">
        <f t="shared" si="6"/>
        <v>0</v>
      </c>
      <c r="AG46" s="11">
        <f t="shared" si="7"/>
        <v>0</v>
      </c>
      <c r="AH46" s="11">
        <f t="shared" si="8"/>
        <v>7</v>
      </c>
      <c r="AI46" s="159"/>
    </row>
    <row r="47" spans="1:36">
      <c r="A47" s="70" t="s">
        <v>42</v>
      </c>
      <c r="B47" s="15"/>
      <c r="C47" s="15">
        <v>0.75</v>
      </c>
      <c r="D47" s="15"/>
      <c r="E47" s="15"/>
      <c r="F47" s="372"/>
      <c r="G47" s="372"/>
      <c r="H47" s="372"/>
      <c r="I47" s="372"/>
      <c r="J47" s="372"/>
      <c r="K47" s="372"/>
      <c r="L47" s="372"/>
      <c r="M47" s="372"/>
      <c r="N47" s="372"/>
      <c r="O47" s="372">
        <f>3.4/5</f>
        <v>0.67999999999999994</v>
      </c>
      <c r="P47" s="372">
        <v>0.7</v>
      </c>
      <c r="Q47" s="372">
        <v>0.7</v>
      </c>
      <c r="R47" s="372">
        <v>0.7</v>
      </c>
      <c r="S47" s="372">
        <v>0.7</v>
      </c>
      <c r="T47" s="372">
        <f t="shared" si="9"/>
        <v>0.72142857142857142</v>
      </c>
      <c r="U47" s="372">
        <v>0.75</v>
      </c>
      <c r="V47" s="372">
        <v>0.75</v>
      </c>
      <c r="W47" s="372">
        <v>0.75</v>
      </c>
      <c r="X47" s="372"/>
      <c r="Y47" s="372">
        <f t="shared" si="10"/>
        <v>0.66923076923076918</v>
      </c>
      <c r="Z47" s="372">
        <f t="shared" ref="Z47:Z50" si="11">7.2/10</f>
        <v>0.72</v>
      </c>
      <c r="AA47" s="372">
        <f>5.6/8</f>
        <v>0.7</v>
      </c>
      <c r="AB47" s="372"/>
      <c r="AC47" s="372"/>
      <c r="AD47" s="41"/>
      <c r="AE47" s="41"/>
      <c r="AF47" s="11">
        <f t="shared" si="6"/>
        <v>0</v>
      </c>
      <c r="AG47" s="11">
        <f t="shared" si="7"/>
        <v>0</v>
      </c>
      <c r="AH47" s="11">
        <f t="shared" si="8"/>
        <v>12</v>
      </c>
    </row>
    <row r="48" spans="1:36">
      <c r="A48" s="70" t="s">
        <v>43</v>
      </c>
      <c r="B48" s="15"/>
      <c r="C48" s="15">
        <v>0.75</v>
      </c>
      <c r="D48" s="15"/>
      <c r="E48" s="15"/>
      <c r="F48" s="372"/>
      <c r="G48" s="372"/>
      <c r="H48" s="372"/>
      <c r="I48" s="372"/>
      <c r="J48" s="372"/>
      <c r="K48" s="372"/>
      <c r="L48" s="374"/>
      <c r="M48" s="372"/>
      <c r="N48" s="372"/>
      <c r="O48" s="372">
        <f>3.4/5</f>
        <v>0.67999999999999994</v>
      </c>
      <c r="P48" s="372">
        <v>0.7</v>
      </c>
      <c r="Q48" s="372">
        <v>0.7</v>
      </c>
      <c r="R48" s="372">
        <v>0.7</v>
      </c>
      <c r="S48" s="372">
        <v>0.7</v>
      </c>
      <c r="T48" s="372">
        <f t="shared" si="9"/>
        <v>0.72142857142857142</v>
      </c>
      <c r="U48" s="372">
        <v>0.75</v>
      </c>
      <c r="V48" s="372">
        <v>0.75</v>
      </c>
      <c r="W48" s="372"/>
      <c r="X48" s="372"/>
      <c r="Y48" s="372">
        <f t="shared" si="10"/>
        <v>0.66923076923076918</v>
      </c>
      <c r="Z48" s="372">
        <f t="shared" si="11"/>
        <v>0.72</v>
      </c>
      <c r="AA48" s="372"/>
      <c r="AB48" s="372"/>
      <c r="AC48" s="372"/>
      <c r="AD48" s="41"/>
      <c r="AE48" s="41"/>
      <c r="AF48" s="11">
        <f t="shared" si="6"/>
        <v>0</v>
      </c>
      <c r="AG48" s="11">
        <f t="shared" si="7"/>
        <v>0</v>
      </c>
      <c r="AH48" s="11">
        <f t="shared" si="8"/>
        <v>10</v>
      </c>
    </row>
    <row r="49" spans="1:124" ht="15" customHeight="1">
      <c r="A49" s="70" t="s">
        <v>44</v>
      </c>
      <c r="B49" s="15"/>
      <c r="C49" s="15">
        <v>0.75</v>
      </c>
      <c r="D49" s="15"/>
      <c r="E49" s="15"/>
      <c r="F49" s="372"/>
      <c r="G49" s="372"/>
      <c r="H49" s="372"/>
      <c r="I49" s="372"/>
      <c r="J49" s="372"/>
      <c r="K49" s="372"/>
      <c r="L49" s="372"/>
      <c r="M49" s="374"/>
      <c r="N49" s="372"/>
      <c r="O49" s="372">
        <f>3.4/5</f>
        <v>0.67999999999999994</v>
      </c>
      <c r="P49" s="372"/>
      <c r="Q49" s="372">
        <v>0.7</v>
      </c>
      <c r="R49" s="372">
        <v>0.7</v>
      </c>
      <c r="S49" s="372">
        <v>0.7</v>
      </c>
      <c r="T49" s="372">
        <f t="shared" si="9"/>
        <v>0.72142857142857142</v>
      </c>
      <c r="U49" s="372">
        <v>0.75</v>
      </c>
      <c r="V49" s="372">
        <v>0.75</v>
      </c>
      <c r="W49" s="372">
        <v>0.75</v>
      </c>
      <c r="X49" s="372"/>
      <c r="Y49" s="372">
        <f t="shared" si="10"/>
        <v>0.66923076923076918</v>
      </c>
      <c r="Z49" s="372">
        <f t="shared" si="11"/>
        <v>0.72</v>
      </c>
      <c r="AA49" s="372">
        <f t="shared" ref="AA49:AA50" si="12">5.6/8</f>
        <v>0.7</v>
      </c>
      <c r="AB49" s="372"/>
      <c r="AC49" s="372"/>
      <c r="AD49" s="41"/>
      <c r="AE49" s="41"/>
      <c r="AF49" s="11">
        <f t="shared" si="6"/>
        <v>0</v>
      </c>
      <c r="AG49" s="11">
        <f t="shared" si="7"/>
        <v>0</v>
      </c>
      <c r="AH49" s="11">
        <f t="shared" si="8"/>
        <v>11</v>
      </c>
    </row>
    <row r="50" spans="1:124" ht="16.5" customHeight="1">
      <c r="A50" s="70" t="s">
        <v>45</v>
      </c>
      <c r="B50" s="15"/>
      <c r="C50" s="15">
        <v>0.75</v>
      </c>
      <c r="D50" s="15"/>
      <c r="E50" s="15"/>
      <c r="F50" s="372"/>
      <c r="G50" s="372"/>
      <c r="H50" s="372"/>
      <c r="I50" s="372"/>
      <c r="J50" s="374"/>
      <c r="K50" s="374"/>
      <c r="L50" s="374"/>
      <c r="M50" s="374"/>
      <c r="N50" s="372"/>
      <c r="O50" s="372">
        <f>3.4/5</f>
        <v>0.67999999999999994</v>
      </c>
      <c r="P50" s="372">
        <v>0</v>
      </c>
      <c r="Q50" s="372">
        <v>0.7</v>
      </c>
      <c r="R50" s="372">
        <v>0.7</v>
      </c>
      <c r="S50" s="372">
        <v>0.7</v>
      </c>
      <c r="T50" s="372">
        <f t="shared" si="9"/>
        <v>0.72142857142857142</v>
      </c>
      <c r="U50" s="372">
        <v>0.7</v>
      </c>
      <c r="V50" s="372">
        <v>0.7</v>
      </c>
      <c r="W50" s="372">
        <v>0.75</v>
      </c>
      <c r="X50" s="372"/>
      <c r="Y50" s="372">
        <f t="shared" si="10"/>
        <v>0.66923076923076918</v>
      </c>
      <c r="Z50" s="372">
        <f t="shared" si="11"/>
        <v>0.72</v>
      </c>
      <c r="AA50" s="372">
        <f t="shared" si="12"/>
        <v>0.7</v>
      </c>
      <c r="AB50" s="372"/>
      <c r="AC50" s="372"/>
      <c r="AD50" s="41"/>
      <c r="AE50" s="41"/>
      <c r="AF50" s="11">
        <f t="shared" si="6"/>
        <v>0</v>
      </c>
      <c r="AG50" s="11">
        <f t="shared" si="7"/>
        <v>0</v>
      </c>
      <c r="AH50" s="11">
        <f t="shared" si="8"/>
        <v>12</v>
      </c>
    </row>
    <row r="51" spans="1:124">
      <c r="A51" s="70" t="s">
        <v>46</v>
      </c>
      <c r="B51" s="15"/>
      <c r="C51" s="15">
        <v>0.85</v>
      </c>
      <c r="D51" s="15"/>
      <c r="E51" s="15"/>
      <c r="F51" s="372" t="s">
        <v>9</v>
      </c>
      <c r="G51" s="374" t="s">
        <v>9</v>
      </c>
      <c r="H51" s="374" t="s">
        <v>9</v>
      </c>
      <c r="I51" s="374" t="s">
        <v>9</v>
      </c>
      <c r="J51" s="374" t="s">
        <v>9</v>
      </c>
      <c r="K51" s="374" t="s">
        <v>9</v>
      </c>
      <c r="L51" s="374" t="s">
        <v>9</v>
      </c>
      <c r="M51" s="374" t="s">
        <v>9</v>
      </c>
      <c r="N51" s="372" t="s">
        <v>9</v>
      </c>
      <c r="O51" s="372" t="s">
        <v>9</v>
      </c>
      <c r="P51" s="372" t="s">
        <v>9</v>
      </c>
      <c r="Q51" s="372" t="s">
        <v>9</v>
      </c>
      <c r="R51" s="372" t="s">
        <v>9</v>
      </c>
      <c r="S51" s="372" t="s">
        <v>9</v>
      </c>
      <c r="T51" s="372" t="s">
        <v>9</v>
      </c>
      <c r="U51" s="372" t="s">
        <v>9</v>
      </c>
      <c r="V51" s="372" t="s">
        <v>9</v>
      </c>
      <c r="W51" s="372" t="s">
        <v>9</v>
      </c>
      <c r="X51" s="372" t="s">
        <v>9</v>
      </c>
      <c r="Y51" s="372" t="s">
        <v>9</v>
      </c>
      <c r="Z51" s="372" t="s">
        <v>9</v>
      </c>
      <c r="AA51" s="372" t="s">
        <v>9</v>
      </c>
      <c r="AB51" s="372" t="s">
        <v>9</v>
      </c>
      <c r="AC51" s="372" t="s">
        <v>9</v>
      </c>
      <c r="AD51" s="41"/>
      <c r="AE51" s="41"/>
      <c r="AF51" s="11">
        <f t="shared" si="6"/>
        <v>24</v>
      </c>
      <c r="AG51" s="11">
        <f t="shared" si="7"/>
        <v>0</v>
      </c>
      <c r="AH51" s="11">
        <f t="shared" si="8"/>
        <v>0</v>
      </c>
    </row>
    <row r="52" spans="1:124">
      <c r="A52" s="70" t="s">
        <v>47</v>
      </c>
      <c r="B52" s="15"/>
      <c r="C52" s="15">
        <v>0.85</v>
      </c>
      <c r="D52" s="15"/>
      <c r="E52" s="15"/>
      <c r="F52" s="372" t="s">
        <v>9</v>
      </c>
      <c r="G52" s="374" t="s">
        <v>9</v>
      </c>
      <c r="H52" s="374" t="s">
        <v>9</v>
      </c>
      <c r="I52" s="374" t="s">
        <v>9</v>
      </c>
      <c r="J52" s="374" t="s">
        <v>9</v>
      </c>
      <c r="K52" s="374" t="s">
        <v>9</v>
      </c>
      <c r="L52" s="374" t="s">
        <v>9</v>
      </c>
      <c r="M52" s="374" t="s">
        <v>9</v>
      </c>
      <c r="N52" s="372" t="s">
        <v>9</v>
      </c>
      <c r="O52" s="372" t="s">
        <v>9</v>
      </c>
      <c r="P52" s="372" t="s">
        <v>9</v>
      </c>
      <c r="Q52" s="372" t="s">
        <v>9</v>
      </c>
      <c r="R52" s="372" t="s">
        <v>9</v>
      </c>
      <c r="S52" s="372" t="s">
        <v>9</v>
      </c>
      <c r="T52" s="372" t="s">
        <v>9</v>
      </c>
      <c r="U52" s="372" t="s">
        <v>9</v>
      </c>
      <c r="V52" s="372" t="s">
        <v>9</v>
      </c>
      <c r="W52" s="372" t="s">
        <v>9</v>
      </c>
      <c r="X52" s="372" t="s">
        <v>9</v>
      </c>
      <c r="Y52" s="372" t="s">
        <v>9</v>
      </c>
      <c r="Z52" s="372" t="s">
        <v>9</v>
      </c>
      <c r="AA52" s="372" t="s">
        <v>9</v>
      </c>
      <c r="AB52" s="372" t="s">
        <v>9</v>
      </c>
      <c r="AC52" s="372" t="s">
        <v>9</v>
      </c>
      <c r="AD52" s="41"/>
      <c r="AE52" s="41"/>
      <c r="AF52" s="11">
        <f t="shared" si="6"/>
        <v>24</v>
      </c>
      <c r="AG52" s="11">
        <f t="shared" si="7"/>
        <v>0</v>
      </c>
      <c r="AH52" s="11">
        <f t="shared" si="8"/>
        <v>0</v>
      </c>
    </row>
    <row r="53" spans="1:124">
      <c r="A53" s="70" t="s">
        <v>48</v>
      </c>
      <c r="B53" s="15"/>
      <c r="C53" s="15">
        <v>0.85</v>
      </c>
      <c r="D53" s="15"/>
      <c r="E53" s="15"/>
      <c r="F53" s="372"/>
      <c r="G53" s="372"/>
      <c r="H53" s="372"/>
      <c r="I53" s="372"/>
      <c r="J53" s="372"/>
      <c r="K53" s="374"/>
      <c r="L53" s="372"/>
      <c r="M53" s="374"/>
      <c r="N53" s="372"/>
      <c r="O53" s="372"/>
      <c r="P53" s="372"/>
      <c r="Q53" s="372"/>
      <c r="R53" s="372"/>
      <c r="S53" s="372"/>
      <c r="T53" s="372">
        <f t="shared" si="9"/>
        <v>0.72142857142857142</v>
      </c>
      <c r="U53" s="372">
        <v>0.7</v>
      </c>
      <c r="V53" s="372">
        <v>0.7</v>
      </c>
      <c r="W53" s="372">
        <v>0.7</v>
      </c>
      <c r="X53" s="372">
        <v>0.7</v>
      </c>
      <c r="Y53" s="372">
        <f t="shared" ref="Y53:Y59" si="13">8.7/13</f>
        <v>0.66923076923076918</v>
      </c>
      <c r="Z53" s="372"/>
      <c r="AA53" s="372">
        <f t="shared" ref="AA53:AA54" si="14">5.6/8</f>
        <v>0.7</v>
      </c>
      <c r="AB53" s="372">
        <v>0.7</v>
      </c>
      <c r="AC53" s="372"/>
      <c r="AD53" s="41"/>
      <c r="AE53" s="41"/>
      <c r="AF53" s="11">
        <f t="shared" si="6"/>
        <v>0</v>
      </c>
      <c r="AG53" s="11">
        <f t="shared" si="7"/>
        <v>0</v>
      </c>
      <c r="AH53" s="11">
        <f t="shared" si="8"/>
        <v>8</v>
      </c>
    </row>
    <row r="54" spans="1:124" ht="16.5" customHeight="1">
      <c r="A54" s="70" t="s">
        <v>49</v>
      </c>
      <c r="B54" s="15"/>
      <c r="C54" s="15">
        <v>0.85</v>
      </c>
      <c r="D54" s="15"/>
      <c r="E54" s="15"/>
      <c r="F54" s="372"/>
      <c r="G54" s="372"/>
      <c r="H54" s="372"/>
      <c r="I54" s="372"/>
      <c r="J54" s="372"/>
      <c r="K54" s="374"/>
      <c r="L54" s="372"/>
      <c r="M54" s="374"/>
      <c r="N54" s="372"/>
      <c r="O54" s="372"/>
      <c r="P54" s="372"/>
      <c r="Q54" s="372"/>
      <c r="R54" s="372"/>
      <c r="S54" s="372"/>
      <c r="T54" s="372">
        <f t="shared" si="9"/>
        <v>0.72142857142857142</v>
      </c>
      <c r="U54" s="372">
        <v>0.7</v>
      </c>
      <c r="V54" s="372">
        <v>0.7</v>
      </c>
      <c r="W54" s="372">
        <v>0.7</v>
      </c>
      <c r="X54" s="372"/>
      <c r="Y54" s="372">
        <f t="shared" si="13"/>
        <v>0.66923076923076918</v>
      </c>
      <c r="Z54" s="372"/>
      <c r="AA54" s="372">
        <f t="shared" si="14"/>
        <v>0.7</v>
      </c>
      <c r="AB54" s="372"/>
      <c r="AC54" s="372"/>
      <c r="AD54" s="41"/>
      <c r="AE54" s="41"/>
      <c r="AF54" s="11">
        <f t="shared" si="6"/>
        <v>0</v>
      </c>
      <c r="AG54" s="11">
        <f t="shared" si="7"/>
        <v>0</v>
      </c>
      <c r="AH54" s="11">
        <f t="shared" si="8"/>
        <v>6</v>
      </c>
    </row>
    <row r="55" spans="1:124">
      <c r="A55" s="70" t="s">
        <v>50</v>
      </c>
      <c r="B55" s="15"/>
      <c r="C55" s="15">
        <v>0.85</v>
      </c>
      <c r="D55" s="15"/>
      <c r="E55" s="15"/>
      <c r="F55" s="372"/>
      <c r="G55" s="372"/>
      <c r="H55" s="372"/>
      <c r="I55" s="372"/>
      <c r="J55" s="372"/>
      <c r="K55" s="374"/>
      <c r="L55" s="372"/>
      <c r="M55" s="374"/>
      <c r="N55" s="372"/>
      <c r="O55" s="372"/>
      <c r="P55" s="372"/>
      <c r="Q55" s="372"/>
      <c r="R55" s="372"/>
      <c r="S55" s="372"/>
      <c r="T55" s="372">
        <f t="shared" si="9"/>
        <v>0.72142857142857142</v>
      </c>
      <c r="U55" s="372">
        <v>0.7</v>
      </c>
      <c r="V55" s="372">
        <v>0.7</v>
      </c>
      <c r="W55" s="372">
        <v>0.7</v>
      </c>
      <c r="X55" s="372"/>
      <c r="Y55" s="372">
        <f t="shared" si="13"/>
        <v>0.66923076923076918</v>
      </c>
      <c r="Z55" s="372">
        <f t="shared" ref="Z55:Z59" si="15">7.2/10</f>
        <v>0.72</v>
      </c>
      <c r="AA55" s="372"/>
      <c r="AB55" s="372"/>
      <c r="AC55" s="372"/>
      <c r="AD55" s="41"/>
      <c r="AE55" s="41"/>
      <c r="AF55" s="11">
        <f>COUNTIF(F55:AC55,$AJ$8)</f>
        <v>0</v>
      </c>
      <c r="AG55" s="11">
        <f t="shared" si="7"/>
        <v>0</v>
      </c>
      <c r="AH55" s="11">
        <f>COUNT(F55:AC55)</f>
        <v>6</v>
      </c>
    </row>
    <row r="56" spans="1:124">
      <c r="A56" s="70" t="s">
        <v>51</v>
      </c>
      <c r="B56" s="15"/>
      <c r="C56" s="15">
        <v>0.75</v>
      </c>
      <c r="D56" s="15"/>
      <c r="E56" s="15"/>
      <c r="F56" s="372"/>
      <c r="G56" s="372"/>
      <c r="H56" s="372"/>
      <c r="I56" s="372"/>
      <c r="J56" s="372"/>
      <c r="K56" s="374"/>
      <c r="L56" s="374"/>
      <c r="M56" s="374"/>
      <c r="N56" s="372"/>
      <c r="O56" s="372"/>
      <c r="P56" s="372">
        <v>0.7</v>
      </c>
      <c r="Q56" s="372">
        <v>0.7</v>
      </c>
      <c r="R56" s="372">
        <v>0.7</v>
      </c>
      <c r="S56" s="372">
        <v>0.7</v>
      </c>
      <c r="T56" s="372">
        <f t="shared" si="9"/>
        <v>0.72142857142857142</v>
      </c>
      <c r="U56" s="372">
        <v>0.7</v>
      </c>
      <c r="V56" s="372">
        <v>0.7</v>
      </c>
      <c r="W56" s="372">
        <v>0.7</v>
      </c>
      <c r="X56" s="372">
        <v>0.7</v>
      </c>
      <c r="Y56" s="372">
        <f t="shared" si="13"/>
        <v>0.66923076923076918</v>
      </c>
      <c r="Z56" s="372">
        <f t="shared" si="15"/>
        <v>0.72</v>
      </c>
      <c r="AA56" s="372"/>
      <c r="AB56" s="372"/>
      <c r="AC56" s="372"/>
      <c r="AD56" s="41"/>
      <c r="AE56" s="41"/>
      <c r="AF56" s="11">
        <f t="shared" si="6"/>
        <v>0</v>
      </c>
      <c r="AG56" s="11">
        <f t="shared" si="7"/>
        <v>0</v>
      </c>
      <c r="AH56" s="11">
        <f t="shared" si="8"/>
        <v>11</v>
      </c>
    </row>
    <row r="57" spans="1:124">
      <c r="A57" s="70" t="s">
        <v>52</v>
      </c>
      <c r="B57" s="15"/>
      <c r="C57" s="15">
        <v>0.75</v>
      </c>
      <c r="D57" s="15"/>
      <c r="E57" s="15"/>
      <c r="F57" s="372"/>
      <c r="G57" s="372"/>
      <c r="H57" s="372"/>
      <c r="I57" s="372"/>
      <c r="J57" s="372"/>
      <c r="K57" s="374"/>
      <c r="L57" s="374"/>
      <c r="M57" s="374"/>
      <c r="N57" s="372"/>
      <c r="O57" s="372">
        <f>3.4/5</f>
        <v>0.67999999999999994</v>
      </c>
      <c r="P57" s="372">
        <v>0.7</v>
      </c>
      <c r="Q57" s="372">
        <v>0.7</v>
      </c>
      <c r="R57" s="372">
        <v>0</v>
      </c>
      <c r="S57" s="372">
        <v>0.7</v>
      </c>
      <c r="T57" s="372">
        <f t="shared" si="9"/>
        <v>0.72142857142857142</v>
      </c>
      <c r="U57" s="372">
        <v>0.7</v>
      </c>
      <c r="V57" s="372">
        <v>0.7</v>
      </c>
      <c r="W57" s="372">
        <v>0.7</v>
      </c>
      <c r="X57" s="372"/>
      <c r="Y57" s="372">
        <f t="shared" si="13"/>
        <v>0.66923076923076918</v>
      </c>
      <c r="Z57" s="372">
        <f t="shared" si="15"/>
        <v>0.72</v>
      </c>
      <c r="AA57" s="372"/>
      <c r="AB57" s="372"/>
      <c r="AC57" s="372"/>
      <c r="AD57" s="41"/>
      <c r="AE57" s="41"/>
      <c r="AF57" s="11">
        <f t="shared" si="6"/>
        <v>0</v>
      </c>
      <c r="AG57" s="11">
        <f t="shared" si="7"/>
        <v>0</v>
      </c>
      <c r="AH57" s="11">
        <f t="shared" si="8"/>
        <v>11</v>
      </c>
    </row>
    <row r="58" spans="1:124">
      <c r="A58" s="70" t="s">
        <v>53</v>
      </c>
      <c r="B58" s="15"/>
      <c r="C58" s="15">
        <v>0.85</v>
      </c>
      <c r="D58" s="15"/>
      <c r="E58" s="15"/>
      <c r="F58" s="372"/>
      <c r="G58" s="372"/>
      <c r="H58" s="372"/>
      <c r="I58" s="372"/>
      <c r="J58" s="372"/>
      <c r="K58" s="374"/>
      <c r="L58" s="374"/>
      <c r="M58" s="374"/>
      <c r="N58" s="372"/>
      <c r="O58" s="372"/>
      <c r="P58" s="372"/>
      <c r="Q58" s="372"/>
      <c r="R58" s="372"/>
      <c r="S58" s="372"/>
      <c r="T58" s="372">
        <f t="shared" si="9"/>
        <v>0.72142857142857142</v>
      </c>
      <c r="U58" s="372">
        <v>0.7</v>
      </c>
      <c r="V58" s="372">
        <v>0.7</v>
      </c>
      <c r="W58" s="372">
        <v>0.7</v>
      </c>
      <c r="X58" s="372">
        <v>0.7</v>
      </c>
      <c r="Y58" s="372">
        <f t="shared" si="13"/>
        <v>0.66923076923076918</v>
      </c>
      <c r="Z58" s="372">
        <f t="shared" si="15"/>
        <v>0.72</v>
      </c>
      <c r="AA58" s="372">
        <f t="shared" ref="AA58:AA59" si="16">5.6/8</f>
        <v>0.7</v>
      </c>
      <c r="AB58" s="372">
        <v>0.7</v>
      </c>
      <c r="AC58" s="372"/>
      <c r="AD58" s="41"/>
      <c r="AE58" s="41"/>
      <c r="AF58" s="11">
        <f t="shared" si="6"/>
        <v>0</v>
      </c>
      <c r="AG58" s="11">
        <f t="shared" si="7"/>
        <v>0</v>
      </c>
      <c r="AH58" s="11">
        <f t="shared" si="8"/>
        <v>9</v>
      </c>
    </row>
    <row r="59" spans="1:124">
      <c r="A59" s="70" t="s">
        <v>54</v>
      </c>
      <c r="B59" s="15"/>
      <c r="C59" s="15">
        <v>0.85</v>
      </c>
      <c r="D59" s="15"/>
      <c r="E59" s="15"/>
      <c r="F59" s="372"/>
      <c r="G59" s="372"/>
      <c r="H59" s="372"/>
      <c r="I59" s="372"/>
      <c r="J59" s="372"/>
      <c r="K59" s="374"/>
      <c r="L59" s="374"/>
      <c r="M59" s="374"/>
      <c r="N59" s="372"/>
      <c r="O59" s="372"/>
      <c r="P59" s="372"/>
      <c r="Q59" s="372"/>
      <c r="R59" s="372"/>
      <c r="S59" s="372"/>
      <c r="T59" s="372">
        <f t="shared" si="9"/>
        <v>0.72142857142857142</v>
      </c>
      <c r="U59" s="372">
        <v>0.7</v>
      </c>
      <c r="V59" s="372">
        <v>0.7</v>
      </c>
      <c r="W59" s="372">
        <v>0.7</v>
      </c>
      <c r="X59" s="372">
        <v>0.7</v>
      </c>
      <c r="Y59" s="372">
        <f t="shared" si="13"/>
        <v>0.66923076923076918</v>
      </c>
      <c r="Z59" s="372">
        <f t="shared" si="15"/>
        <v>0.72</v>
      </c>
      <c r="AA59" s="372">
        <f t="shared" si="16"/>
        <v>0.7</v>
      </c>
      <c r="AB59" s="372">
        <v>0.7</v>
      </c>
      <c r="AC59" s="372"/>
      <c r="AD59" s="41"/>
      <c r="AE59" s="41"/>
      <c r="AF59" s="11">
        <f t="shared" si="6"/>
        <v>0</v>
      </c>
      <c r="AG59" s="11">
        <f t="shared" si="7"/>
        <v>0</v>
      </c>
      <c r="AH59" s="11">
        <f t="shared" si="8"/>
        <v>9</v>
      </c>
    </row>
    <row r="60" spans="1:124">
      <c r="A60" s="9" t="s">
        <v>26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 t="shared" ref="F60:AC60" si="17">SUM(F39:F59)</f>
        <v>0</v>
      </c>
      <c r="G60" s="19">
        <f t="shared" si="17"/>
        <v>0</v>
      </c>
      <c r="H60" s="19">
        <f t="shared" si="17"/>
        <v>0</v>
      </c>
      <c r="I60" s="19">
        <f t="shared" si="17"/>
        <v>0</v>
      </c>
      <c r="J60" s="19">
        <f t="shared" si="17"/>
        <v>0</v>
      </c>
      <c r="K60" s="19">
        <f t="shared" si="17"/>
        <v>0</v>
      </c>
      <c r="L60" s="19">
        <f t="shared" si="17"/>
        <v>0</v>
      </c>
      <c r="M60" s="19">
        <f t="shared" si="17"/>
        <v>0</v>
      </c>
      <c r="N60" s="19">
        <f>SUM(N39:N59)</f>
        <v>0</v>
      </c>
      <c r="O60" s="19">
        <f t="shared" si="17"/>
        <v>3.3999999999999995</v>
      </c>
      <c r="P60" s="19">
        <f t="shared" si="17"/>
        <v>2.8</v>
      </c>
      <c r="Q60" s="19">
        <f t="shared" si="17"/>
        <v>4.2</v>
      </c>
      <c r="R60" s="19">
        <f t="shared" si="17"/>
        <v>3.5</v>
      </c>
      <c r="S60" s="19">
        <f t="shared" si="17"/>
        <v>4.2</v>
      </c>
      <c r="T60" s="19">
        <v>10.1</v>
      </c>
      <c r="U60" s="19">
        <f t="shared" si="17"/>
        <v>10.099999999999998</v>
      </c>
      <c r="V60" s="19">
        <f t="shared" si="17"/>
        <v>10.099999999999998</v>
      </c>
      <c r="W60" s="19">
        <f t="shared" si="17"/>
        <v>7.9000000000000012</v>
      </c>
      <c r="X60" s="19">
        <f t="shared" si="17"/>
        <v>2.8</v>
      </c>
      <c r="Y60" s="19">
        <f t="shared" si="17"/>
        <v>8.7000000000000011</v>
      </c>
      <c r="Z60" s="19">
        <f t="shared" si="17"/>
        <v>7.1999999999999984</v>
      </c>
      <c r="AA60" s="19">
        <f t="shared" si="17"/>
        <v>5.6000000000000005</v>
      </c>
      <c r="AB60" s="19">
        <f t="shared" si="17"/>
        <v>2.0999999999999996</v>
      </c>
      <c r="AC60" s="19">
        <f t="shared" si="17"/>
        <v>0</v>
      </c>
      <c r="AD60" s="34"/>
      <c r="AE60" s="34"/>
      <c r="AF60" s="11"/>
      <c r="AG60" s="11"/>
      <c r="AH60" s="11"/>
    </row>
    <row r="61" spans="1:124">
      <c r="A61" s="12" t="s">
        <v>55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30.019999999999996</v>
      </c>
      <c r="AN61" s="351"/>
    </row>
    <row r="62" spans="1:124">
      <c r="A62" s="14" t="s">
        <v>56</v>
      </c>
      <c r="B62" s="20"/>
      <c r="C62" s="15">
        <v>0.75</v>
      </c>
      <c r="D62" s="15"/>
      <c r="E62" s="15"/>
      <c r="F62" s="372">
        <f>1.03/2</f>
        <v>0.51500000000000001</v>
      </c>
      <c r="G62" s="372">
        <v>0</v>
      </c>
      <c r="H62" s="372">
        <v>0</v>
      </c>
      <c r="I62" s="372">
        <v>0</v>
      </c>
      <c r="J62" s="372">
        <v>0</v>
      </c>
      <c r="K62" s="374">
        <v>0</v>
      </c>
      <c r="L62" s="372">
        <v>0</v>
      </c>
      <c r="M62" s="372">
        <v>0.55000000000000004</v>
      </c>
      <c r="N62" s="372">
        <v>0.59</v>
      </c>
      <c r="O62" s="372">
        <f>1.34/2</f>
        <v>0.67</v>
      </c>
      <c r="P62" s="372">
        <f>1.38/2</f>
        <v>0.69</v>
      </c>
      <c r="Q62" s="372">
        <f>1.34/2</f>
        <v>0.67</v>
      </c>
      <c r="R62" s="372">
        <f>1.5/2</f>
        <v>0.75</v>
      </c>
      <c r="S62" s="372">
        <f>1.51/2</f>
        <v>0.755</v>
      </c>
      <c r="T62" s="372">
        <f>1.54/2</f>
        <v>0.77</v>
      </c>
      <c r="U62" s="372">
        <v>0.76500000000000001</v>
      </c>
      <c r="V62" s="372">
        <v>0.73499999999999999</v>
      </c>
      <c r="W62" s="372">
        <v>0.72</v>
      </c>
      <c r="X62" s="372">
        <v>0.69499999999999995</v>
      </c>
      <c r="Y62" s="372">
        <f>1.67/3</f>
        <v>0.55666666666666664</v>
      </c>
      <c r="Z62" s="372"/>
      <c r="AA62" s="372"/>
      <c r="AB62" s="372"/>
      <c r="AC62" s="372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20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57</v>
      </c>
      <c r="B63" s="20"/>
      <c r="C63" s="15">
        <v>0.75</v>
      </c>
      <c r="D63" s="15"/>
      <c r="E63" s="15"/>
      <c r="F63" s="372"/>
      <c r="G63" s="372">
        <v>0.48</v>
      </c>
      <c r="H63" s="372">
        <f>0.93/2</f>
        <v>0.46500000000000002</v>
      </c>
      <c r="I63" s="372">
        <f>0.88/2</f>
        <v>0.44</v>
      </c>
      <c r="J63" s="372">
        <f>0.88/2</f>
        <v>0.44</v>
      </c>
      <c r="K63" s="374">
        <f>0.92/2</f>
        <v>0.46</v>
      </c>
      <c r="L63" s="372">
        <f>1.1/2</f>
        <v>0.55000000000000004</v>
      </c>
      <c r="M63" s="372">
        <f>1.1/2</f>
        <v>0.55000000000000004</v>
      </c>
      <c r="N63" s="372">
        <v>0.59</v>
      </c>
      <c r="O63" s="372">
        <f>1.34/2</f>
        <v>0.67</v>
      </c>
      <c r="P63" s="372">
        <f>1.38/2</f>
        <v>0.69</v>
      </c>
      <c r="Q63" s="372">
        <f>1.34/2</f>
        <v>0.67</v>
      </c>
      <c r="R63" s="372">
        <f>1.5/2</f>
        <v>0.75</v>
      </c>
      <c r="S63" s="372">
        <v>0</v>
      </c>
      <c r="T63" s="372">
        <v>0</v>
      </c>
      <c r="U63" s="372">
        <v>0</v>
      </c>
      <c r="V63" s="372">
        <v>0</v>
      </c>
      <c r="W63" s="372">
        <v>0</v>
      </c>
      <c r="X63" s="372">
        <v>0</v>
      </c>
      <c r="Y63" s="372">
        <f>1.67/3</f>
        <v>0.55666666666666664</v>
      </c>
      <c r="Z63" s="372">
        <f>1.05/2</f>
        <v>0.52500000000000002</v>
      </c>
      <c r="AA63" s="372">
        <f>1.37/2</f>
        <v>0.68500000000000005</v>
      </c>
      <c r="AB63" s="372">
        <f>1.33/2</f>
        <v>0.66500000000000004</v>
      </c>
      <c r="AC63" s="372">
        <v>0.59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23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58</v>
      </c>
      <c r="B64" s="20"/>
      <c r="C64" s="15">
        <v>0.75</v>
      </c>
      <c r="D64" s="15"/>
      <c r="E64" s="15"/>
      <c r="F64" s="372">
        <f>1.03/2</f>
        <v>0.51500000000000001</v>
      </c>
      <c r="G64" s="372">
        <v>0.48</v>
      </c>
      <c r="H64" s="372">
        <f>0.93/2</f>
        <v>0.46500000000000002</v>
      </c>
      <c r="I64" s="372">
        <f>0.88/2</f>
        <v>0.44</v>
      </c>
      <c r="J64" s="372">
        <f>0.88/2</f>
        <v>0.44</v>
      </c>
      <c r="K64" s="374">
        <f>0.92/2</f>
        <v>0.46</v>
      </c>
      <c r="L64" s="372">
        <f>1.1/2</f>
        <v>0.55000000000000004</v>
      </c>
      <c r="M64" s="372"/>
      <c r="N64" s="372"/>
      <c r="O64" s="372"/>
      <c r="P64" s="372"/>
      <c r="Q64" s="372"/>
      <c r="R64" s="372"/>
      <c r="S64" s="372">
        <f>1.51/2</f>
        <v>0.755</v>
      </c>
      <c r="T64" s="372">
        <f>1.54/2</f>
        <v>0.77</v>
      </c>
      <c r="U64" s="372">
        <v>0.76500000000000001</v>
      </c>
      <c r="V64" s="372">
        <v>0.73499999999999999</v>
      </c>
      <c r="W64" s="372">
        <v>0.72</v>
      </c>
      <c r="X64" s="372">
        <v>0.69499999999999995</v>
      </c>
      <c r="Y64" s="372">
        <f>1.67/3</f>
        <v>0.55666666666666664</v>
      </c>
      <c r="Z64" s="372">
        <f>1.05/2</f>
        <v>0.52500000000000002</v>
      </c>
      <c r="AA64" s="372">
        <f>1.37/2</f>
        <v>0.68500000000000005</v>
      </c>
      <c r="AB64" s="372">
        <f>1.33/2</f>
        <v>0.66500000000000004</v>
      </c>
      <c r="AC64" s="372">
        <v>0.59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18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1.03</v>
      </c>
      <c r="G65" s="19">
        <f t="shared" ref="G65" si="18">SUM(G62:G64)</f>
        <v>0.96</v>
      </c>
      <c r="H65" s="19">
        <f>SUM(H62:H64)</f>
        <v>0.93</v>
      </c>
      <c r="I65" s="19">
        <f>SUM(I62:I64)</f>
        <v>0.88</v>
      </c>
      <c r="J65" s="19">
        <f t="shared" ref="J65" si="19">SUM(J62:J64)</f>
        <v>0.88</v>
      </c>
      <c r="K65" s="19">
        <f>SUM(K62:K64)</f>
        <v>0.92</v>
      </c>
      <c r="L65" s="19">
        <f>SUM(L62:L64)</f>
        <v>1.1000000000000001</v>
      </c>
      <c r="M65" s="19">
        <f>SUM(M62:M64)</f>
        <v>1.1000000000000001</v>
      </c>
      <c r="N65" s="19">
        <f>SUM(N62:N64)</f>
        <v>1.18</v>
      </c>
      <c r="O65" s="19">
        <f t="shared" ref="O65:AB65" si="20">SUM(O62:O64)</f>
        <v>1.34</v>
      </c>
      <c r="P65" s="19">
        <f t="shared" si="20"/>
        <v>1.38</v>
      </c>
      <c r="Q65" s="19">
        <f t="shared" si="20"/>
        <v>1.34</v>
      </c>
      <c r="R65" s="19">
        <f t="shared" si="20"/>
        <v>1.5</v>
      </c>
      <c r="S65" s="19">
        <f t="shared" si="20"/>
        <v>1.51</v>
      </c>
      <c r="T65" s="19">
        <f t="shared" si="20"/>
        <v>1.54</v>
      </c>
      <c r="U65" s="19">
        <f t="shared" si="20"/>
        <v>1.53</v>
      </c>
      <c r="V65" s="19">
        <f t="shared" si="20"/>
        <v>1.47</v>
      </c>
      <c r="W65" s="19">
        <f t="shared" si="20"/>
        <v>1.44</v>
      </c>
      <c r="X65" s="19">
        <f t="shared" si="20"/>
        <v>1.39</v>
      </c>
      <c r="Y65" s="19">
        <f>SUM(Y62:Y64)</f>
        <v>1.67</v>
      </c>
      <c r="Z65" s="19">
        <f t="shared" si="20"/>
        <v>1.05</v>
      </c>
      <c r="AA65" s="19">
        <f t="shared" si="20"/>
        <v>1.37</v>
      </c>
      <c r="AB65" s="19">
        <f t="shared" si="20"/>
        <v>1.33</v>
      </c>
      <c r="AC65" s="19">
        <f>SUM(AC62:AC64)</f>
        <v>1.18</v>
      </c>
      <c r="AD65" s="34"/>
      <c r="AE65" s="34"/>
      <c r="AF65" s="11"/>
      <c r="AG65" s="11"/>
      <c r="AH65" s="11"/>
    </row>
    <row r="66" spans="1:124" hidden="1">
      <c r="A66" s="12" t="s">
        <v>59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idden="1">
      <c r="A67" s="14" t="s">
        <v>60</v>
      </c>
      <c r="B67" s="15"/>
      <c r="C67" s="15">
        <v>0.85</v>
      </c>
      <c r="D67" s="15"/>
      <c r="E67" s="15"/>
      <c r="F67" s="372"/>
      <c r="G67" s="372"/>
      <c r="H67" s="372"/>
      <c r="I67" s="372"/>
      <c r="J67" s="372"/>
      <c r="K67" s="374"/>
      <c r="L67" s="374"/>
      <c r="M67" s="374"/>
      <c r="N67" s="372"/>
      <c r="O67" s="372"/>
      <c r="P67" s="372"/>
      <c r="Q67" s="372"/>
      <c r="R67" s="372"/>
      <c r="S67" s="372"/>
      <c r="T67" s="372"/>
      <c r="U67" s="372"/>
      <c r="V67" s="372"/>
      <c r="W67" s="372"/>
      <c r="X67" s="372"/>
      <c r="Y67" s="372"/>
      <c r="Z67" s="372"/>
      <c r="AA67" s="372"/>
      <c r="AB67" s="372"/>
      <c r="AC67" s="372"/>
      <c r="AD67" s="35"/>
      <c r="AE67" s="35"/>
      <c r="AF67" s="11">
        <f t="shared" ref="AF67:AF75" si="21">COUNTIF(F67:AC67,$AF$11)</f>
        <v>0</v>
      </c>
      <c r="AG67" s="11">
        <f t="shared" ref="AG67:AG75" si="22">COUNTIF(G67:AC67,$AG$11)</f>
        <v>0</v>
      </c>
      <c r="AH67" s="11">
        <f t="shared" ref="AH67:AH75" si="23">COUNT(F67:AC67)</f>
        <v>0</v>
      </c>
    </row>
    <row r="68" spans="1:124" hidden="1">
      <c r="A68" s="14" t="s">
        <v>61</v>
      </c>
      <c r="B68" s="15"/>
      <c r="C68" s="15">
        <v>0.85</v>
      </c>
      <c r="D68" s="15"/>
      <c r="E68" s="15"/>
      <c r="F68" s="372"/>
      <c r="G68" s="372"/>
      <c r="H68" s="372"/>
      <c r="I68" s="372"/>
      <c r="J68" s="372"/>
      <c r="K68" s="374"/>
      <c r="L68" s="374"/>
      <c r="M68" s="374"/>
      <c r="N68" s="372"/>
      <c r="O68" s="372"/>
      <c r="P68" s="372"/>
      <c r="Q68" s="372"/>
      <c r="R68" s="372"/>
      <c r="S68" s="372"/>
      <c r="T68" s="372"/>
      <c r="U68" s="372"/>
      <c r="V68" s="372"/>
      <c r="W68" s="372"/>
      <c r="X68" s="372"/>
      <c r="Y68" s="372"/>
      <c r="Z68" s="372"/>
      <c r="AA68" s="372"/>
      <c r="AB68" s="372"/>
      <c r="AC68" s="372"/>
      <c r="AD68" s="35"/>
      <c r="AE68" s="35"/>
      <c r="AF68" s="11">
        <f t="shared" si="21"/>
        <v>0</v>
      </c>
      <c r="AG68" s="11">
        <f t="shared" si="22"/>
        <v>0</v>
      </c>
      <c r="AH68" s="11">
        <f t="shared" si="23"/>
        <v>0</v>
      </c>
    </row>
    <row r="69" spans="1:124" hidden="1">
      <c r="A69" s="14" t="s">
        <v>62</v>
      </c>
      <c r="B69" s="15"/>
      <c r="C69" s="15">
        <v>0.85</v>
      </c>
      <c r="D69" s="15"/>
      <c r="E69" s="15"/>
      <c r="F69" s="372"/>
      <c r="G69" s="372"/>
      <c r="H69" s="372"/>
      <c r="I69" s="372"/>
      <c r="J69" s="372"/>
      <c r="K69" s="374"/>
      <c r="L69" s="374"/>
      <c r="M69" s="374"/>
      <c r="N69" s="372"/>
      <c r="O69" s="372"/>
      <c r="P69" s="372"/>
      <c r="Q69" s="372"/>
      <c r="R69" s="372"/>
      <c r="S69" s="372"/>
      <c r="T69" s="372"/>
      <c r="U69" s="372"/>
      <c r="V69" s="372"/>
      <c r="W69" s="372"/>
      <c r="X69" s="372"/>
      <c r="Y69" s="372"/>
      <c r="Z69" s="372"/>
      <c r="AA69" s="372"/>
      <c r="AB69" s="372"/>
      <c r="AC69" s="372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3"/>
        <v>0</v>
      </c>
    </row>
    <row r="70" spans="1:124" hidden="1">
      <c r="A70" s="14" t="s">
        <v>63</v>
      </c>
      <c r="B70" s="15"/>
      <c r="C70" s="15">
        <v>0.85</v>
      </c>
      <c r="D70" s="15"/>
      <c r="E70" s="15"/>
      <c r="F70" s="372"/>
      <c r="G70" s="372"/>
      <c r="H70" s="372"/>
      <c r="I70" s="372"/>
      <c r="J70" s="372"/>
      <c r="K70" s="374"/>
      <c r="L70" s="374"/>
      <c r="M70" s="374"/>
      <c r="N70" s="372"/>
      <c r="O70" s="372"/>
      <c r="P70" s="372"/>
      <c r="Q70" s="372"/>
      <c r="R70" s="372"/>
      <c r="S70" s="372"/>
      <c r="T70" s="372"/>
      <c r="U70" s="372"/>
      <c r="V70" s="372"/>
      <c r="W70" s="372"/>
      <c r="X70" s="372"/>
      <c r="Y70" s="372"/>
      <c r="Z70" s="372"/>
      <c r="AA70" s="372"/>
      <c r="AB70" s="372"/>
      <c r="AC70" s="372"/>
      <c r="AD70" s="35"/>
      <c r="AE70" s="35"/>
      <c r="AF70" s="11">
        <f t="shared" si="21"/>
        <v>0</v>
      </c>
      <c r="AG70" s="11">
        <f t="shared" si="22"/>
        <v>0</v>
      </c>
      <c r="AH70" s="11">
        <f t="shared" si="23"/>
        <v>0</v>
      </c>
      <c r="AI70" s="5"/>
      <c r="AJ70" s="5"/>
      <c r="AK70" s="5"/>
      <c r="AL70" s="5"/>
    </row>
    <row r="71" spans="1:124" hidden="1">
      <c r="A71" s="14" t="s">
        <v>64</v>
      </c>
      <c r="B71" s="15"/>
      <c r="C71" s="15">
        <v>0.85</v>
      </c>
      <c r="D71" s="15"/>
      <c r="E71" s="15"/>
      <c r="F71" s="372"/>
      <c r="G71" s="372"/>
      <c r="H71" s="372"/>
      <c r="I71" s="372"/>
      <c r="J71" s="372"/>
      <c r="K71" s="374"/>
      <c r="L71" s="374"/>
      <c r="M71" s="374"/>
      <c r="N71" s="372"/>
      <c r="O71" s="372"/>
      <c r="P71" s="372"/>
      <c r="Q71" s="372"/>
      <c r="R71" s="372"/>
      <c r="S71" s="372"/>
      <c r="T71" s="372"/>
      <c r="U71" s="372"/>
      <c r="V71" s="372"/>
      <c r="W71" s="372"/>
      <c r="X71" s="372"/>
      <c r="Y71" s="372"/>
      <c r="Z71" s="372"/>
      <c r="AA71" s="372"/>
      <c r="AB71" s="372"/>
      <c r="AC71" s="372"/>
      <c r="AD71" s="35"/>
      <c r="AE71" s="35"/>
      <c r="AF71" s="11">
        <f t="shared" si="21"/>
        <v>0</v>
      </c>
      <c r="AG71" s="11">
        <f t="shared" si="22"/>
        <v>0</v>
      </c>
      <c r="AH71" s="11">
        <f t="shared" si="23"/>
        <v>0</v>
      </c>
    </row>
    <row r="72" spans="1:124" hidden="1">
      <c r="A72" s="14" t="s">
        <v>65</v>
      </c>
      <c r="B72" s="15"/>
      <c r="C72" s="15">
        <v>0.85</v>
      </c>
      <c r="D72" s="15"/>
      <c r="E72" s="15"/>
      <c r="F72" s="372"/>
      <c r="G72" s="372"/>
      <c r="H72" s="372"/>
      <c r="I72" s="372"/>
      <c r="J72" s="372"/>
      <c r="K72" s="374"/>
      <c r="L72" s="374"/>
      <c r="M72" s="374"/>
      <c r="N72" s="372"/>
      <c r="O72" s="372"/>
      <c r="P72" s="372"/>
      <c r="Q72" s="372"/>
      <c r="R72" s="372"/>
      <c r="S72" s="372"/>
      <c r="T72" s="372"/>
      <c r="U72" s="372"/>
      <c r="V72" s="372"/>
      <c r="W72" s="372"/>
      <c r="X72" s="372"/>
      <c r="Y72" s="372"/>
      <c r="Z72" s="372"/>
      <c r="AA72" s="372"/>
      <c r="AB72" s="372"/>
      <c r="AC72" s="372"/>
      <c r="AD72" s="35"/>
      <c r="AE72" s="35"/>
      <c r="AF72" s="11">
        <f t="shared" si="21"/>
        <v>0</v>
      </c>
      <c r="AG72" s="11">
        <f t="shared" si="22"/>
        <v>0</v>
      </c>
      <c r="AH72" s="11">
        <f t="shared" si="23"/>
        <v>0</v>
      </c>
    </row>
    <row r="73" spans="1:124" hidden="1">
      <c r="A73" s="14" t="s">
        <v>66</v>
      </c>
      <c r="B73" s="15"/>
      <c r="C73" s="15">
        <v>0.85</v>
      </c>
      <c r="D73" s="15"/>
      <c r="E73" s="15"/>
      <c r="F73" s="372"/>
      <c r="G73" s="372"/>
      <c r="H73" s="372"/>
      <c r="I73" s="372"/>
      <c r="J73" s="372"/>
      <c r="K73" s="374"/>
      <c r="L73" s="374"/>
      <c r="M73" s="374"/>
      <c r="N73" s="372"/>
      <c r="O73" s="372"/>
      <c r="P73" s="372"/>
      <c r="Q73" s="372"/>
      <c r="R73" s="372"/>
      <c r="S73" s="372"/>
      <c r="T73" s="372"/>
      <c r="U73" s="372"/>
      <c r="V73" s="372"/>
      <c r="W73" s="372"/>
      <c r="X73" s="372"/>
      <c r="Y73" s="372"/>
      <c r="Z73" s="372"/>
      <c r="AA73" s="372"/>
      <c r="AB73" s="372"/>
      <c r="AC73" s="372"/>
      <c r="AD73" s="35"/>
      <c r="AE73" s="35"/>
      <c r="AF73" s="11">
        <f t="shared" si="21"/>
        <v>0</v>
      </c>
      <c r="AG73" s="11">
        <f t="shared" si="22"/>
        <v>0</v>
      </c>
      <c r="AH73" s="11">
        <f t="shared" si="23"/>
        <v>0</v>
      </c>
    </row>
    <row r="74" spans="1:124" hidden="1">
      <c r="A74" s="14" t="s">
        <v>67</v>
      </c>
      <c r="B74" s="19"/>
      <c r="C74" s="15">
        <v>0.85</v>
      </c>
      <c r="D74" s="15"/>
      <c r="E74" s="15"/>
      <c r="F74" s="372"/>
      <c r="G74" s="372"/>
      <c r="H74" s="372"/>
      <c r="I74" s="372"/>
      <c r="J74" s="372"/>
      <c r="K74" s="374"/>
      <c r="L74" s="374"/>
      <c r="M74" s="374"/>
      <c r="N74" s="372"/>
      <c r="O74" s="372"/>
      <c r="P74" s="372"/>
      <c r="Q74" s="372"/>
      <c r="R74" s="372"/>
      <c r="S74" s="372"/>
      <c r="T74" s="372"/>
      <c r="U74" s="372"/>
      <c r="V74" s="372"/>
      <c r="W74" s="372"/>
      <c r="X74" s="372"/>
      <c r="Y74" s="372"/>
      <c r="Z74" s="372"/>
      <c r="AA74" s="372"/>
      <c r="AB74" s="372"/>
      <c r="AC74" s="372"/>
      <c r="AD74" s="29"/>
      <c r="AE74" s="29"/>
      <c r="AF74" s="11">
        <f t="shared" si="21"/>
        <v>0</v>
      </c>
      <c r="AG74" s="11">
        <f t="shared" si="22"/>
        <v>0</v>
      </c>
      <c r="AH74" s="11">
        <f t="shared" si="23"/>
        <v>0</v>
      </c>
    </row>
    <row r="75" spans="1:124" ht="15.75" hidden="1" customHeight="1">
      <c r="A75" s="14" t="s">
        <v>68</v>
      </c>
      <c r="B75" s="9"/>
      <c r="C75" s="15">
        <v>0.85</v>
      </c>
      <c r="D75" s="15"/>
      <c r="E75" s="15"/>
      <c r="F75" s="372"/>
      <c r="G75" s="372"/>
      <c r="H75" s="372"/>
      <c r="I75" s="372"/>
      <c r="J75" s="372"/>
      <c r="K75" s="374"/>
      <c r="L75" s="374"/>
      <c r="M75" s="374"/>
      <c r="N75" s="372"/>
      <c r="O75" s="372"/>
      <c r="P75" s="372"/>
      <c r="Q75" s="372"/>
      <c r="R75" s="372"/>
      <c r="S75" s="372"/>
      <c r="T75" s="372"/>
      <c r="U75" s="372"/>
      <c r="V75" s="372"/>
      <c r="W75" s="372"/>
      <c r="X75" s="372"/>
      <c r="Y75" s="372"/>
      <c r="Z75" s="372"/>
      <c r="AA75" s="372"/>
      <c r="AB75" s="372"/>
      <c r="AC75" s="372"/>
      <c r="AD75" s="31"/>
      <c r="AE75" s="31"/>
      <c r="AF75" s="11">
        <f t="shared" si="21"/>
        <v>0</v>
      </c>
      <c r="AG75" s="11">
        <f t="shared" si="22"/>
        <v>0</v>
      </c>
      <c r="AH75" s="11">
        <f t="shared" si="23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24">SUM(F67:F75)</f>
        <v>0</v>
      </c>
      <c r="G76" s="19">
        <f t="shared" si="24"/>
        <v>0</v>
      </c>
      <c r="H76" s="19">
        <f t="shared" si="24"/>
        <v>0</v>
      </c>
      <c r="I76" s="19">
        <f t="shared" si="24"/>
        <v>0</v>
      </c>
      <c r="J76" s="19">
        <f t="shared" si="24"/>
        <v>0</v>
      </c>
      <c r="K76" s="19">
        <f t="shared" si="24"/>
        <v>0</v>
      </c>
      <c r="L76" s="19">
        <f>SUM(L67:L75)</f>
        <v>0</v>
      </c>
      <c r="M76" s="19">
        <f t="shared" si="24"/>
        <v>0</v>
      </c>
      <c r="N76" s="19">
        <f t="shared" si="24"/>
        <v>0</v>
      </c>
      <c r="O76" s="19">
        <f t="shared" si="24"/>
        <v>0</v>
      </c>
      <c r="P76" s="19">
        <f t="shared" si="24"/>
        <v>0</v>
      </c>
      <c r="Q76" s="19">
        <f>SUM(Q67:Q75)</f>
        <v>0</v>
      </c>
      <c r="R76" s="19">
        <f t="shared" si="24"/>
        <v>0</v>
      </c>
      <c r="S76" s="19">
        <f t="shared" si="24"/>
        <v>0</v>
      </c>
      <c r="T76" s="19">
        <f t="shared" si="24"/>
        <v>0</v>
      </c>
      <c r="U76" s="19">
        <f t="shared" si="24"/>
        <v>0</v>
      </c>
      <c r="V76" s="19">
        <f t="shared" si="24"/>
        <v>0</v>
      </c>
      <c r="W76" s="19">
        <f t="shared" si="24"/>
        <v>0</v>
      </c>
      <c r="X76" s="19">
        <f t="shared" si="24"/>
        <v>0</v>
      </c>
      <c r="Y76" s="19">
        <f t="shared" si="24"/>
        <v>0</v>
      </c>
      <c r="Z76" s="19">
        <f t="shared" si="24"/>
        <v>0</v>
      </c>
      <c r="AA76" s="19">
        <f t="shared" si="24"/>
        <v>0</v>
      </c>
      <c r="AB76" s="19">
        <f t="shared" si="24"/>
        <v>0</v>
      </c>
      <c r="AC76" s="19">
        <f t="shared" si="24"/>
        <v>0</v>
      </c>
      <c r="AD76" s="34"/>
      <c r="AE76" s="34"/>
      <c r="AF76" s="11"/>
      <c r="AG76" s="11"/>
      <c r="AH76" s="11"/>
    </row>
    <row r="77" spans="1:124">
      <c r="A77" s="12" t="s">
        <v>69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 t="s">
        <v>21</v>
      </c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19.68</v>
      </c>
    </row>
    <row r="78" spans="1:124">
      <c r="A78" s="14" t="s">
        <v>70</v>
      </c>
      <c r="B78" s="20"/>
      <c r="C78" s="15">
        <v>1</v>
      </c>
      <c r="D78" s="15"/>
      <c r="E78" s="15"/>
      <c r="F78" s="372"/>
      <c r="G78" s="372"/>
      <c r="H78" s="372"/>
      <c r="I78" s="372"/>
      <c r="J78" s="372"/>
      <c r="K78" s="374"/>
      <c r="L78" s="374"/>
      <c r="M78" s="374">
        <v>0.73</v>
      </c>
      <c r="N78" s="372">
        <v>0.71</v>
      </c>
      <c r="O78" s="372">
        <v>0.81</v>
      </c>
      <c r="P78" s="372">
        <v>0.82</v>
      </c>
      <c r="Q78" s="372">
        <v>0.83</v>
      </c>
      <c r="R78" s="372">
        <v>0.84</v>
      </c>
      <c r="S78" s="372">
        <v>0.88</v>
      </c>
      <c r="T78" s="372">
        <v>0.9</v>
      </c>
      <c r="U78" s="372">
        <v>0.88</v>
      </c>
      <c r="V78" s="372">
        <v>0.88</v>
      </c>
      <c r="W78" s="372">
        <v>0.85</v>
      </c>
      <c r="X78" s="372"/>
      <c r="Y78" s="372"/>
      <c r="Z78" s="372"/>
      <c r="AA78" s="372"/>
      <c r="AB78" s="372"/>
      <c r="AC78" s="372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11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71</v>
      </c>
      <c r="B79" s="20"/>
      <c r="C79" s="15">
        <v>1</v>
      </c>
      <c r="D79" s="15"/>
      <c r="E79" s="15"/>
      <c r="F79" s="372">
        <v>0.79</v>
      </c>
      <c r="G79" s="372">
        <v>0.75</v>
      </c>
      <c r="H79" s="372">
        <v>0.73</v>
      </c>
      <c r="I79" s="372">
        <v>0.7</v>
      </c>
      <c r="J79" s="372">
        <v>0.7</v>
      </c>
      <c r="K79" s="374">
        <v>0.73</v>
      </c>
      <c r="L79" s="374">
        <v>0.77</v>
      </c>
      <c r="M79" s="374"/>
      <c r="N79" s="372"/>
      <c r="O79" s="372"/>
      <c r="P79" s="372"/>
      <c r="Q79" s="372"/>
      <c r="R79" s="372"/>
      <c r="S79" s="372"/>
      <c r="T79" s="372"/>
      <c r="U79" s="372"/>
      <c r="V79" s="372"/>
      <c r="W79" s="372"/>
      <c r="X79" s="372">
        <v>0.86</v>
      </c>
      <c r="Y79" s="372">
        <v>0.97</v>
      </c>
      <c r="Z79" s="372">
        <v>0.83</v>
      </c>
      <c r="AA79" s="372">
        <v>0.93</v>
      </c>
      <c r="AB79" s="372">
        <v>0.92</v>
      </c>
      <c r="AC79" s="372">
        <v>0.87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13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25">SUM(F78:F79)</f>
        <v>0.79</v>
      </c>
      <c r="G80" s="19">
        <f t="shared" si="25"/>
        <v>0.75</v>
      </c>
      <c r="H80" s="19">
        <f>SUM(H78:H79)</f>
        <v>0.73</v>
      </c>
      <c r="I80" s="19">
        <f>SUM(I78:I79)</f>
        <v>0.7</v>
      </c>
      <c r="J80" s="19">
        <f t="shared" ref="J80:AC80" si="26">SUM(J78:J79)</f>
        <v>0.7</v>
      </c>
      <c r="K80" s="19">
        <f t="shared" si="26"/>
        <v>0.73</v>
      </c>
      <c r="L80" s="19">
        <f>SUM(L78:L79)</f>
        <v>0.77</v>
      </c>
      <c r="M80" s="19">
        <f t="shared" si="26"/>
        <v>0.73</v>
      </c>
      <c r="N80" s="19">
        <f t="shared" si="26"/>
        <v>0.71</v>
      </c>
      <c r="O80" s="19">
        <f>SUM(O78:O79)</f>
        <v>0.81</v>
      </c>
      <c r="P80" s="19">
        <f t="shared" si="26"/>
        <v>0.82</v>
      </c>
      <c r="Q80" s="19">
        <f t="shared" si="26"/>
        <v>0.83</v>
      </c>
      <c r="R80" s="19">
        <f t="shared" si="26"/>
        <v>0.84</v>
      </c>
      <c r="S80" s="19">
        <f t="shared" si="26"/>
        <v>0.88</v>
      </c>
      <c r="T80" s="19">
        <f t="shared" si="26"/>
        <v>0.9</v>
      </c>
      <c r="U80" s="19">
        <f t="shared" si="26"/>
        <v>0.88</v>
      </c>
      <c r="V80" s="19">
        <f t="shared" si="26"/>
        <v>0.88</v>
      </c>
      <c r="W80" s="19">
        <f t="shared" si="26"/>
        <v>0.85</v>
      </c>
      <c r="X80" s="19">
        <f t="shared" si="26"/>
        <v>0.86</v>
      </c>
      <c r="Y80" s="19">
        <f t="shared" si="26"/>
        <v>0.97</v>
      </c>
      <c r="Z80" s="19">
        <f t="shared" si="26"/>
        <v>0.83</v>
      </c>
      <c r="AA80" s="19">
        <f t="shared" si="26"/>
        <v>0.93</v>
      </c>
      <c r="AB80" s="19">
        <f t="shared" si="26"/>
        <v>0.92</v>
      </c>
      <c r="AC80" s="19">
        <f t="shared" si="26"/>
        <v>0.87</v>
      </c>
      <c r="AD80" s="34"/>
      <c r="AE80" s="34"/>
      <c r="AF80" s="11"/>
      <c r="AG80" s="11"/>
      <c r="AH80" s="11"/>
    </row>
    <row r="81" spans="1:40" ht="17.45" hidden="1">
      <c r="A81" s="366" t="s">
        <v>72</v>
      </c>
      <c r="B81" s="365"/>
      <c r="C81" s="367">
        <v>2</v>
      </c>
      <c r="D81" s="363"/>
      <c r="E81" s="363"/>
      <c r="F81" s="364"/>
      <c r="G81" s="364"/>
      <c r="H81" s="364"/>
      <c r="I81" s="364"/>
      <c r="J81" s="364"/>
      <c r="K81" s="364"/>
      <c r="L81" s="364"/>
      <c r="M81" s="364"/>
      <c r="N81" s="364"/>
      <c r="O81" s="364"/>
      <c r="P81" s="364"/>
      <c r="Q81" s="364"/>
      <c r="R81" s="364"/>
      <c r="S81" s="364"/>
      <c r="T81" s="364"/>
      <c r="U81" s="364"/>
      <c r="V81" s="364"/>
      <c r="W81" s="364"/>
      <c r="X81" s="364"/>
      <c r="Y81" s="364"/>
      <c r="Z81" s="364"/>
      <c r="AA81" s="364"/>
      <c r="AB81" s="364"/>
      <c r="AC81" s="364"/>
    </row>
    <row r="82" spans="1:40" ht="17.45" hidden="1">
      <c r="A82" s="368"/>
      <c r="B82" s="369"/>
      <c r="C82" s="370"/>
      <c r="D82" s="371"/>
      <c r="E82" s="371"/>
      <c r="F82" s="372"/>
      <c r="G82" s="372"/>
      <c r="H82" s="372"/>
      <c r="I82" s="372"/>
      <c r="J82" s="372"/>
      <c r="K82" s="374"/>
      <c r="L82" s="374"/>
      <c r="M82" s="374"/>
      <c r="N82" s="372"/>
      <c r="O82" s="372"/>
      <c r="P82" s="372"/>
      <c r="Q82" s="372"/>
      <c r="R82" s="372"/>
      <c r="S82" s="372"/>
      <c r="T82" s="372"/>
      <c r="U82" s="372"/>
      <c r="V82" s="372"/>
      <c r="W82" s="372"/>
      <c r="X82" s="372"/>
      <c r="Y82" s="372"/>
      <c r="Z82" s="372"/>
      <c r="AA82" s="372"/>
      <c r="AB82" s="372"/>
      <c r="AC82" s="372"/>
    </row>
    <row r="83" spans="1:40">
      <c r="A83" s="21" t="s">
        <v>73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:AC83" si="27">SUM(F17,F22,F25,F31,F34,F60,F65,F76,F80,F82)</f>
        <v>44.51</v>
      </c>
      <c r="G83" s="28">
        <f t="shared" si="27"/>
        <v>39.97</v>
      </c>
      <c r="H83" s="28">
        <f t="shared" si="27"/>
        <v>38.459999999999994</v>
      </c>
      <c r="I83" s="28">
        <f t="shared" si="27"/>
        <v>37.190000000000005</v>
      </c>
      <c r="J83" s="28">
        <f t="shared" si="27"/>
        <v>36.560000000000009</v>
      </c>
      <c r="K83" s="28">
        <f t="shared" si="27"/>
        <v>37.619999999999997</v>
      </c>
      <c r="L83" s="28">
        <f t="shared" si="27"/>
        <v>41.830000000000005</v>
      </c>
      <c r="M83" s="28">
        <f t="shared" si="27"/>
        <v>39.81</v>
      </c>
      <c r="N83" s="28">
        <f>SUM(N17,N22,N25,N31,N34,N60,N65,N76,N80,N82)</f>
        <v>46.89</v>
      </c>
      <c r="O83" s="28">
        <f>SUM(O17,O22,O25,O31,O34,O60,O65,O76,O80,O82)</f>
        <v>54.680000000000014</v>
      </c>
      <c r="P83" s="28">
        <f t="shared" si="27"/>
        <v>59.51</v>
      </c>
      <c r="Q83" s="28">
        <f t="shared" si="27"/>
        <v>61.16</v>
      </c>
      <c r="R83" s="28">
        <f t="shared" si="27"/>
        <v>60.89</v>
      </c>
      <c r="S83" s="28">
        <f t="shared" si="27"/>
        <v>62.48</v>
      </c>
      <c r="T83" s="28">
        <f t="shared" si="27"/>
        <v>65.36</v>
      </c>
      <c r="U83" s="28">
        <f>SUM(U17,U22,U25,U31,U34,U60,U65,U76,U80,U82)</f>
        <v>66.11999999999999</v>
      </c>
      <c r="V83" s="28">
        <f t="shared" si="27"/>
        <v>64.61999999999999</v>
      </c>
      <c r="W83" s="28">
        <f t="shared" si="27"/>
        <v>62.01</v>
      </c>
      <c r="X83" s="28">
        <f t="shared" si="27"/>
        <v>58.839999999999989</v>
      </c>
      <c r="Y83" s="28">
        <f t="shared" si="27"/>
        <v>64.23</v>
      </c>
      <c r="Z83" s="28">
        <f t="shared" si="27"/>
        <v>59.929999999999993</v>
      </c>
      <c r="AA83" s="28">
        <f t="shared" si="27"/>
        <v>56.89</v>
      </c>
      <c r="AB83" s="28">
        <f t="shared" si="27"/>
        <v>52.760000000000005</v>
      </c>
      <c r="AC83" s="28">
        <f t="shared" si="27"/>
        <v>48.48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25" t="s">
        <v>74</v>
      </c>
      <c r="B85" s="525"/>
      <c r="C85" s="525"/>
      <c r="D85" s="525"/>
      <c r="E85" s="525"/>
      <c r="F85" s="525"/>
      <c r="G85" s="525"/>
      <c r="H85" s="525"/>
      <c r="I85" s="525"/>
      <c r="J85" s="525"/>
      <c r="K85" s="525"/>
      <c r="L85" s="525"/>
      <c r="M85" s="525"/>
      <c r="N85" s="525"/>
      <c r="O85" s="525"/>
      <c r="P85" s="525"/>
      <c r="Q85" s="525"/>
      <c r="R85" s="525"/>
      <c r="S85" s="525"/>
      <c r="T85" s="525"/>
      <c r="U85" s="525"/>
      <c r="V85" s="525"/>
      <c r="W85" s="525"/>
      <c r="X85" s="525"/>
      <c r="Y85" s="525"/>
      <c r="Z85" s="525"/>
      <c r="AA85" s="525"/>
      <c r="AB85" s="525"/>
      <c r="AC85" s="525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</row>
    <row r="87" spans="1:40" ht="17.45">
      <c r="A87" s="500" t="s">
        <v>75</v>
      </c>
      <c r="B87" s="501"/>
      <c r="C87" s="502"/>
      <c r="D87" s="49"/>
      <c r="E87" s="49"/>
      <c r="F87" s="506" t="s">
        <v>76</v>
      </c>
      <c r="G87" s="506"/>
      <c r="H87" s="506"/>
      <c r="I87" s="506"/>
      <c r="J87" s="506"/>
      <c r="K87" s="506"/>
      <c r="L87" s="506"/>
      <c r="M87" s="506"/>
      <c r="N87" s="506"/>
      <c r="O87" s="506"/>
      <c r="P87" s="506"/>
      <c r="Q87" s="506"/>
      <c r="R87" s="506"/>
      <c r="S87" s="506"/>
      <c r="T87" s="506"/>
      <c r="U87" s="506"/>
      <c r="V87" s="506"/>
      <c r="W87" s="506"/>
      <c r="X87" s="506"/>
      <c r="Y87" s="506"/>
      <c r="Z87" s="506"/>
      <c r="AA87" s="506"/>
      <c r="AB87" s="506"/>
      <c r="AC87" s="506"/>
      <c r="AD87" s="5"/>
      <c r="AE87" s="5"/>
      <c r="AF87" s="5"/>
      <c r="AG87" s="5"/>
      <c r="AH87" s="5"/>
    </row>
    <row r="88" spans="1:40" ht="15.6" customHeight="1">
      <c r="A88" s="503"/>
      <c r="B88" s="504"/>
      <c r="C88" s="505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07" t="s">
        <v>27</v>
      </c>
      <c r="B89" s="508"/>
      <c r="C89" s="509"/>
      <c r="D89" s="45"/>
      <c r="E89" s="45"/>
      <c r="F89" s="64">
        <f t="shared" ref="F89:AC89" si="28">SUM(F22,F25)</f>
        <v>6.8</v>
      </c>
      <c r="G89" s="64">
        <f t="shared" si="28"/>
        <v>3</v>
      </c>
      <c r="H89" s="64">
        <f t="shared" si="28"/>
        <v>0</v>
      </c>
      <c r="I89" s="64">
        <f t="shared" si="28"/>
        <v>0</v>
      </c>
      <c r="J89" s="64">
        <f t="shared" si="28"/>
        <v>0</v>
      </c>
      <c r="K89" s="64">
        <f t="shared" si="28"/>
        <v>0</v>
      </c>
      <c r="L89" s="64">
        <f t="shared" si="28"/>
        <v>2</v>
      </c>
      <c r="M89" s="64">
        <f t="shared" si="28"/>
        <v>3</v>
      </c>
      <c r="N89" s="64">
        <f t="shared" si="28"/>
        <v>5.8</v>
      </c>
      <c r="O89" s="64">
        <f t="shared" si="28"/>
        <v>10.399999999999999</v>
      </c>
      <c r="P89" s="64">
        <f t="shared" si="28"/>
        <v>10.399999999999999</v>
      </c>
      <c r="Q89" s="64">
        <f t="shared" si="28"/>
        <v>10.399999999999999</v>
      </c>
      <c r="R89" s="64">
        <f t="shared" si="28"/>
        <v>10.399999999999999</v>
      </c>
      <c r="S89" s="64">
        <f t="shared" si="28"/>
        <v>10.399999999999999</v>
      </c>
      <c r="T89" s="64">
        <f t="shared" si="28"/>
        <v>7.6999999999999993</v>
      </c>
      <c r="U89" s="64">
        <f t="shared" si="28"/>
        <v>7.6999999999999993</v>
      </c>
      <c r="V89" s="64">
        <f t="shared" si="28"/>
        <v>7.6</v>
      </c>
      <c r="W89" s="64">
        <f t="shared" si="28"/>
        <v>7.6</v>
      </c>
      <c r="X89" s="64">
        <f t="shared" si="28"/>
        <v>7.6</v>
      </c>
      <c r="Y89" s="64">
        <f t="shared" si="28"/>
        <v>10.199999999999999</v>
      </c>
      <c r="Z89" s="64">
        <f t="shared" si="28"/>
        <v>10.399999999999999</v>
      </c>
      <c r="AA89" s="64">
        <f t="shared" si="28"/>
        <v>10.399999999999999</v>
      </c>
      <c r="AB89" s="64">
        <f t="shared" si="28"/>
        <v>10.399999999999999</v>
      </c>
      <c r="AC89" s="64">
        <f t="shared" si="28"/>
        <v>6.6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521" t="s">
        <v>77</v>
      </c>
      <c r="B90" s="521"/>
      <c r="C90" s="522"/>
      <c r="D90" s="45"/>
      <c r="E90" s="45"/>
      <c r="F90" s="68">
        <v>0.20799999999999999</v>
      </c>
      <c r="G90" s="68"/>
      <c r="H90" s="68"/>
      <c r="I90" s="68"/>
      <c r="J90" s="68"/>
      <c r="K90" s="68"/>
      <c r="L90" s="68">
        <v>0.16600000000000001</v>
      </c>
      <c r="M90" s="68">
        <v>0.2</v>
      </c>
      <c r="N90" s="68">
        <v>0.20300000000000001</v>
      </c>
      <c r="O90" s="68">
        <v>0.217</v>
      </c>
      <c r="P90" s="68">
        <v>0.27100000000000002</v>
      </c>
      <c r="Q90" s="68">
        <v>0.245</v>
      </c>
      <c r="R90" s="68">
        <v>0.26300000000000001</v>
      </c>
      <c r="S90" s="68">
        <v>0.24</v>
      </c>
      <c r="T90" s="68">
        <v>0.25</v>
      </c>
      <c r="U90" s="68">
        <v>0.28499999999999998</v>
      </c>
      <c r="V90" s="68">
        <v>0.19</v>
      </c>
      <c r="W90" s="68">
        <v>0.27</v>
      </c>
      <c r="X90" s="68">
        <v>0.26300000000000001</v>
      </c>
      <c r="Y90" s="68">
        <v>0.24399999999999999</v>
      </c>
      <c r="Z90" s="68">
        <v>0.23699999999999999</v>
      </c>
      <c r="AA90" s="68">
        <v>0.26</v>
      </c>
      <c r="AB90" s="68">
        <v>0.23300000000000001</v>
      </c>
      <c r="AC90" s="68"/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07" t="s">
        <v>78</v>
      </c>
      <c r="B91" s="508"/>
      <c r="C91" s="509"/>
      <c r="D91" s="45"/>
      <c r="E91" s="45"/>
      <c r="F91" s="64">
        <f t="shared" ref="F91:AC91" si="29">F17</f>
        <v>20.100000000000001</v>
      </c>
      <c r="G91" s="64">
        <f t="shared" si="29"/>
        <v>19.5</v>
      </c>
      <c r="H91" s="64">
        <f t="shared" si="29"/>
        <v>19.5</v>
      </c>
      <c r="I91" s="64">
        <f t="shared" si="29"/>
        <v>19.799999999999997</v>
      </c>
      <c r="J91" s="64">
        <f t="shared" si="29"/>
        <v>19.200000000000003</v>
      </c>
      <c r="K91" s="64">
        <f t="shared" si="29"/>
        <v>19.799999999999997</v>
      </c>
      <c r="L91" s="64">
        <f t="shared" si="29"/>
        <v>19.5</v>
      </c>
      <c r="M91" s="64">
        <f t="shared" si="29"/>
        <v>19.200000000000003</v>
      </c>
      <c r="N91" s="64">
        <f t="shared" si="29"/>
        <v>20.700000000000003</v>
      </c>
      <c r="O91" s="64">
        <f t="shared" si="29"/>
        <v>20.6</v>
      </c>
      <c r="P91" s="64">
        <f t="shared" si="29"/>
        <v>26</v>
      </c>
      <c r="Q91" s="64">
        <f t="shared" si="29"/>
        <v>26.4</v>
      </c>
      <c r="R91" s="64">
        <f t="shared" si="29"/>
        <v>26.4</v>
      </c>
      <c r="S91" s="64">
        <f t="shared" si="29"/>
        <v>27.2</v>
      </c>
      <c r="T91" s="64">
        <f t="shared" si="29"/>
        <v>27</v>
      </c>
      <c r="U91" s="64">
        <f t="shared" si="29"/>
        <v>27.6</v>
      </c>
      <c r="V91" s="64">
        <f t="shared" si="29"/>
        <v>26.4</v>
      </c>
      <c r="W91" s="64">
        <f t="shared" si="29"/>
        <v>26.2</v>
      </c>
      <c r="X91" s="64">
        <f t="shared" si="29"/>
        <v>26.2</v>
      </c>
      <c r="Y91" s="64">
        <f t="shared" si="29"/>
        <v>22.6</v>
      </c>
      <c r="Z91" s="64">
        <f t="shared" si="29"/>
        <v>19.5</v>
      </c>
      <c r="AA91" s="64">
        <f t="shared" si="29"/>
        <v>20.100000000000001</v>
      </c>
      <c r="AB91" s="64">
        <f t="shared" si="29"/>
        <v>19.5</v>
      </c>
      <c r="AC91" s="64">
        <f t="shared" si="29"/>
        <v>19.200000000000003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21" t="s">
        <v>79</v>
      </c>
      <c r="B92" s="521"/>
      <c r="C92" s="522"/>
      <c r="D92" s="45"/>
      <c r="E92" s="45"/>
      <c r="F92" s="68">
        <v>0.68799999999999994</v>
      </c>
      <c r="G92" s="68">
        <v>0.66500000000000004</v>
      </c>
      <c r="H92" s="68">
        <v>0.61199999999999999</v>
      </c>
      <c r="I92" s="68">
        <v>0.65</v>
      </c>
      <c r="J92" s="68">
        <v>0.69499999999999995</v>
      </c>
      <c r="K92" s="68">
        <v>0.63700000000000001</v>
      </c>
      <c r="L92" s="68">
        <v>0.71099999999999997</v>
      </c>
      <c r="M92" s="68">
        <v>0.72199999999999998</v>
      </c>
      <c r="N92" s="68">
        <v>0.71799999999999997</v>
      </c>
      <c r="O92" s="68">
        <v>0.91400000000000003</v>
      </c>
      <c r="P92" s="68">
        <v>0.97099999999999997</v>
      </c>
      <c r="Q92" s="68">
        <v>0.96399999999999997</v>
      </c>
      <c r="R92" s="68">
        <v>0.69499999999999995</v>
      </c>
      <c r="S92" s="68">
        <v>0.85499999999999998</v>
      </c>
      <c r="T92" s="68">
        <v>0.94399999999999995</v>
      </c>
      <c r="U92" s="68">
        <v>0.95399999999999996</v>
      </c>
      <c r="V92" s="68">
        <v>0.94699999999999995</v>
      </c>
      <c r="W92" s="68">
        <v>0.879</v>
      </c>
      <c r="X92" s="68">
        <v>0.69</v>
      </c>
      <c r="Y92" s="68">
        <v>0.83199999999999996</v>
      </c>
      <c r="Z92" s="68">
        <v>0.71199999999999997</v>
      </c>
      <c r="AA92" s="68">
        <v>0.69099999999999995</v>
      </c>
      <c r="AB92" s="68">
        <v>0.90700000000000003</v>
      </c>
      <c r="AC92" s="68">
        <v>0.89900000000000002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07" t="s">
        <v>29</v>
      </c>
      <c r="B93" s="508"/>
      <c r="C93" s="509"/>
      <c r="D93" s="45"/>
      <c r="E93" s="45"/>
      <c r="F93" s="65">
        <f t="shared" ref="F93:AC93" si="30">F31</f>
        <v>3</v>
      </c>
      <c r="G93" s="65">
        <f t="shared" si="30"/>
        <v>3</v>
      </c>
      <c r="H93" s="65">
        <f t="shared" si="30"/>
        <v>3</v>
      </c>
      <c r="I93" s="65">
        <f t="shared" si="30"/>
        <v>3</v>
      </c>
      <c r="J93" s="65">
        <f t="shared" si="30"/>
        <v>3</v>
      </c>
      <c r="K93" s="65">
        <f t="shared" si="30"/>
        <v>3</v>
      </c>
      <c r="L93" s="65">
        <f t="shared" si="30"/>
        <v>4.2</v>
      </c>
      <c r="M93" s="65">
        <f t="shared" si="30"/>
        <v>3</v>
      </c>
      <c r="N93" s="65">
        <f t="shared" si="30"/>
        <v>4.2</v>
      </c>
      <c r="O93" s="65">
        <f t="shared" si="30"/>
        <v>3.9</v>
      </c>
      <c r="P93" s="65">
        <f t="shared" si="30"/>
        <v>3.9</v>
      </c>
      <c r="Q93" s="65">
        <f t="shared" si="30"/>
        <v>3.8</v>
      </c>
      <c r="R93" s="65">
        <f t="shared" si="30"/>
        <v>4</v>
      </c>
      <c r="S93" s="65">
        <f t="shared" si="30"/>
        <v>3.9</v>
      </c>
      <c r="T93" s="65">
        <f>T31</f>
        <v>3.8</v>
      </c>
      <c r="U93" s="65">
        <f t="shared" si="30"/>
        <v>4</v>
      </c>
      <c r="V93" s="65">
        <f t="shared" si="30"/>
        <v>3.9</v>
      </c>
      <c r="W93" s="65">
        <f t="shared" si="30"/>
        <v>3.7</v>
      </c>
      <c r="X93" s="65">
        <f t="shared" si="30"/>
        <v>5.8</v>
      </c>
      <c r="Y93" s="65">
        <f t="shared" si="30"/>
        <v>5.9</v>
      </c>
      <c r="Z93" s="65">
        <f t="shared" si="30"/>
        <v>6.6999999999999993</v>
      </c>
      <c r="AA93" s="65">
        <f t="shared" si="30"/>
        <v>4.2</v>
      </c>
      <c r="AB93" s="65">
        <f t="shared" si="30"/>
        <v>4.2</v>
      </c>
      <c r="AC93" s="65">
        <f t="shared" si="30"/>
        <v>7.3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21" t="s">
        <v>80</v>
      </c>
      <c r="B94" s="521"/>
      <c r="C94" s="522"/>
      <c r="D94" s="45"/>
      <c r="E94" s="45"/>
      <c r="F94" s="68">
        <v>0.153</v>
      </c>
      <c r="G94" s="68">
        <v>0.153</v>
      </c>
      <c r="H94" s="68">
        <v>0.19900000000000001</v>
      </c>
      <c r="I94" s="68">
        <v>0.192</v>
      </c>
      <c r="J94" s="68">
        <v>0.2</v>
      </c>
      <c r="K94" s="68">
        <v>0.20399999999999999</v>
      </c>
      <c r="L94" s="68">
        <v>0.2</v>
      </c>
      <c r="M94" s="68">
        <v>0.22600000000000001</v>
      </c>
      <c r="N94" s="68">
        <v>0.21299999999999999</v>
      </c>
      <c r="O94" s="68">
        <v>0.20599999999999999</v>
      </c>
      <c r="P94" s="68">
        <v>0.19700000000000001</v>
      </c>
      <c r="Q94" s="68">
        <v>0.252</v>
      </c>
      <c r="R94" s="68">
        <v>0.22700000000000001</v>
      </c>
      <c r="S94" s="68">
        <v>0.24299999999999999</v>
      </c>
      <c r="T94" s="68">
        <v>0.25700000000000001</v>
      </c>
      <c r="U94" s="68">
        <v>0.25600000000000001</v>
      </c>
      <c r="V94" s="68">
        <v>0.315</v>
      </c>
      <c r="W94" s="68">
        <v>0.29099999999999998</v>
      </c>
      <c r="X94" s="68">
        <v>0.29899999999999999</v>
      </c>
      <c r="Y94" s="68">
        <v>0.28499999999999998</v>
      </c>
      <c r="Z94" s="68">
        <v>0.215</v>
      </c>
      <c r="AA94" s="68">
        <v>0.25700000000000001</v>
      </c>
      <c r="AB94" s="68">
        <v>0.28299999999999997</v>
      </c>
      <c r="AC94" s="68"/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07" t="s">
        <v>32</v>
      </c>
      <c r="B95" s="508"/>
      <c r="C95" s="509"/>
      <c r="D95" s="45"/>
      <c r="E95" s="45"/>
      <c r="F95" s="65">
        <f t="shared" ref="F95:AC95" si="31">F34</f>
        <v>12.79</v>
      </c>
      <c r="G95" s="65">
        <f t="shared" si="31"/>
        <v>12.76</v>
      </c>
      <c r="H95" s="65">
        <f t="shared" si="31"/>
        <v>14.3</v>
      </c>
      <c r="I95" s="65">
        <f t="shared" si="31"/>
        <v>12.81</v>
      </c>
      <c r="J95" s="65">
        <f t="shared" si="31"/>
        <v>12.78</v>
      </c>
      <c r="K95" s="65">
        <f t="shared" si="31"/>
        <v>13.17</v>
      </c>
      <c r="L95" s="65">
        <f t="shared" si="31"/>
        <v>14.26</v>
      </c>
      <c r="M95" s="65">
        <f t="shared" si="31"/>
        <v>12.78</v>
      </c>
      <c r="N95" s="65">
        <f t="shared" si="31"/>
        <v>14.3</v>
      </c>
      <c r="O95" s="65">
        <f t="shared" si="31"/>
        <v>14.23</v>
      </c>
      <c r="P95" s="65">
        <f t="shared" si="31"/>
        <v>14.21</v>
      </c>
      <c r="Q95" s="65">
        <f t="shared" si="31"/>
        <v>14.19</v>
      </c>
      <c r="R95" s="65">
        <f t="shared" si="31"/>
        <v>14.25</v>
      </c>
      <c r="S95" s="65">
        <f t="shared" si="31"/>
        <v>14.39</v>
      </c>
      <c r="T95" s="65">
        <f t="shared" si="31"/>
        <v>14.32</v>
      </c>
      <c r="U95" s="65">
        <f t="shared" si="31"/>
        <v>14.31</v>
      </c>
      <c r="V95" s="65">
        <f t="shared" si="31"/>
        <v>14.27</v>
      </c>
      <c r="W95" s="65">
        <f t="shared" si="31"/>
        <v>14.32</v>
      </c>
      <c r="X95" s="65">
        <f t="shared" si="31"/>
        <v>14.19</v>
      </c>
      <c r="Y95" s="65">
        <f t="shared" si="31"/>
        <v>14.19</v>
      </c>
      <c r="Z95" s="65">
        <f t="shared" si="31"/>
        <v>14.25</v>
      </c>
      <c r="AA95" s="65">
        <f t="shared" si="31"/>
        <v>14.29</v>
      </c>
      <c r="AB95" s="65">
        <f t="shared" si="31"/>
        <v>14.31</v>
      </c>
      <c r="AC95" s="65">
        <f t="shared" si="31"/>
        <v>13.33</v>
      </c>
      <c r="AG95" s="5"/>
      <c r="AH95" s="5"/>
      <c r="AI95" s="5"/>
      <c r="AJ95" s="5"/>
      <c r="AK95" s="5"/>
      <c r="AL95" s="5"/>
      <c r="AM95" s="5"/>
      <c r="AN95" s="5"/>
    </row>
    <row r="96" spans="1:40" s="67" customFormat="1" ht="17.45">
      <c r="A96" s="521" t="s">
        <v>81</v>
      </c>
      <c r="B96" s="521"/>
      <c r="C96" s="522"/>
      <c r="D96" s="68"/>
      <c r="E96" s="68"/>
      <c r="F96" s="68">
        <v>0.71</v>
      </c>
      <c r="G96" s="68">
        <v>0.74</v>
      </c>
      <c r="H96" s="68">
        <v>0.7</v>
      </c>
      <c r="I96" s="68">
        <v>0.69</v>
      </c>
      <c r="J96" s="68">
        <v>0.72</v>
      </c>
      <c r="K96" s="68">
        <v>0.73</v>
      </c>
      <c r="L96" s="68">
        <v>0.74</v>
      </c>
      <c r="M96" s="68">
        <v>0.72</v>
      </c>
      <c r="N96" s="68">
        <v>0.7</v>
      </c>
      <c r="O96" s="68">
        <v>0.77</v>
      </c>
      <c r="P96" s="68">
        <v>0.79</v>
      </c>
      <c r="Q96" s="68">
        <v>0.81</v>
      </c>
      <c r="R96" s="68">
        <v>0.75</v>
      </c>
      <c r="S96" s="68">
        <v>0.61</v>
      </c>
      <c r="T96" s="68">
        <v>0.68</v>
      </c>
      <c r="U96" s="68">
        <v>0.69</v>
      </c>
      <c r="V96" s="68">
        <v>0.73</v>
      </c>
      <c r="W96" s="68">
        <v>0.68</v>
      </c>
      <c r="X96" s="68">
        <v>0.81</v>
      </c>
      <c r="Y96" s="68">
        <v>0.76</v>
      </c>
      <c r="Z96" s="68">
        <v>0.75</v>
      </c>
      <c r="AA96" s="68">
        <v>0.71</v>
      </c>
      <c r="AB96" s="68">
        <v>0.69</v>
      </c>
      <c r="AC96" s="68">
        <v>0.67</v>
      </c>
      <c r="AD96" s="69"/>
      <c r="AE96" s="69"/>
      <c r="AF96" s="69"/>
      <c r="AG96" s="69"/>
      <c r="AH96" s="69"/>
      <c r="AI96" s="69"/>
      <c r="AJ96" s="69"/>
      <c r="AK96" s="69"/>
    </row>
    <row r="97" spans="1:124" ht="17.45">
      <c r="A97" s="507" t="s">
        <v>33</v>
      </c>
      <c r="B97" s="508"/>
      <c r="C97" s="509"/>
      <c r="D97" s="45"/>
      <c r="E97" s="45"/>
      <c r="F97" s="64">
        <f t="shared" ref="F97:AC97" si="32">F60</f>
        <v>0</v>
      </c>
      <c r="G97" s="64">
        <f t="shared" si="32"/>
        <v>0</v>
      </c>
      <c r="H97" s="64">
        <f t="shared" si="32"/>
        <v>0</v>
      </c>
      <c r="I97" s="64">
        <f t="shared" si="32"/>
        <v>0</v>
      </c>
      <c r="J97" s="64">
        <f t="shared" si="32"/>
        <v>0</v>
      </c>
      <c r="K97" s="64">
        <f t="shared" si="32"/>
        <v>0</v>
      </c>
      <c r="L97" s="64">
        <f t="shared" si="32"/>
        <v>0</v>
      </c>
      <c r="M97" s="64">
        <f t="shared" si="32"/>
        <v>0</v>
      </c>
      <c r="N97" s="64">
        <f t="shared" si="32"/>
        <v>0</v>
      </c>
      <c r="O97" s="64">
        <f t="shared" si="32"/>
        <v>3.3999999999999995</v>
      </c>
      <c r="P97" s="64">
        <f t="shared" si="32"/>
        <v>2.8</v>
      </c>
      <c r="Q97" s="64">
        <f t="shared" si="32"/>
        <v>4.2</v>
      </c>
      <c r="R97" s="64">
        <f t="shared" si="32"/>
        <v>3.5</v>
      </c>
      <c r="S97" s="64">
        <f t="shared" si="32"/>
        <v>4.2</v>
      </c>
      <c r="T97" s="64">
        <f t="shared" si="32"/>
        <v>10.1</v>
      </c>
      <c r="U97" s="64">
        <f t="shared" si="32"/>
        <v>10.099999999999998</v>
      </c>
      <c r="V97" s="64">
        <f t="shared" si="32"/>
        <v>10.099999999999998</v>
      </c>
      <c r="W97" s="64">
        <f t="shared" si="32"/>
        <v>7.9000000000000012</v>
      </c>
      <c r="X97" s="64">
        <f t="shared" si="32"/>
        <v>2.8</v>
      </c>
      <c r="Y97" s="64">
        <f t="shared" si="32"/>
        <v>8.7000000000000011</v>
      </c>
      <c r="Z97" s="64">
        <f t="shared" si="32"/>
        <v>7.1999999999999984</v>
      </c>
      <c r="AA97" s="64">
        <f t="shared" si="32"/>
        <v>5.6000000000000005</v>
      </c>
      <c r="AB97" s="64">
        <f t="shared" si="32"/>
        <v>2.0999999999999996</v>
      </c>
      <c r="AC97" s="64">
        <f t="shared" si="32"/>
        <v>0</v>
      </c>
      <c r="AG97" s="5"/>
      <c r="AH97" s="5"/>
      <c r="AI97" s="5"/>
      <c r="AJ97" s="5"/>
      <c r="AK97" s="5"/>
      <c r="AL97" s="5"/>
      <c r="AM97" s="5"/>
      <c r="AN97" s="5"/>
    </row>
    <row r="98" spans="1:124" ht="17.45">
      <c r="A98" s="507" t="s">
        <v>55</v>
      </c>
      <c r="B98" s="508"/>
      <c r="C98" s="509"/>
      <c r="D98" s="45"/>
      <c r="E98" s="45"/>
      <c r="F98" s="64">
        <f t="shared" ref="F98:AC98" si="33">F65</f>
        <v>1.03</v>
      </c>
      <c r="G98" s="64">
        <f t="shared" si="33"/>
        <v>0.96</v>
      </c>
      <c r="H98" s="64">
        <f t="shared" si="33"/>
        <v>0.93</v>
      </c>
      <c r="I98" s="64">
        <f t="shared" si="33"/>
        <v>0.88</v>
      </c>
      <c r="J98" s="64">
        <f t="shared" si="33"/>
        <v>0.88</v>
      </c>
      <c r="K98" s="64">
        <f t="shared" si="33"/>
        <v>0.92</v>
      </c>
      <c r="L98" s="64">
        <f t="shared" si="33"/>
        <v>1.1000000000000001</v>
      </c>
      <c r="M98" s="64">
        <f t="shared" si="33"/>
        <v>1.1000000000000001</v>
      </c>
      <c r="N98" s="64">
        <f t="shared" si="33"/>
        <v>1.18</v>
      </c>
      <c r="O98" s="64">
        <f t="shared" si="33"/>
        <v>1.34</v>
      </c>
      <c r="P98" s="64">
        <f t="shared" si="33"/>
        <v>1.38</v>
      </c>
      <c r="Q98" s="64">
        <f t="shared" si="33"/>
        <v>1.34</v>
      </c>
      <c r="R98" s="64">
        <f t="shared" si="33"/>
        <v>1.5</v>
      </c>
      <c r="S98" s="64">
        <f t="shared" si="33"/>
        <v>1.51</v>
      </c>
      <c r="T98" s="64">
        <f t="shared" si="33"/>
        <v>1.54</v>
      </c>
      <c r="U98" s="64">
        <f t="shared" si="33"/>
        <v>1.53</v>
      </c>
      <c r="V98" s="64">
        <f t="shared" si="33"/>
        <v>1.47</v>
      </c>
      <c r="W98" s="64">
        <f t="shared" si="33"/>
        <v>1.44</v>
      </c>
      <c r="X98" s="64">
        <f t="shared" si="33"/>
        <v>1.39</v>
      </c>
      <c r="Y98" s="64">
        <f t="shared" si="33"/>
        <v>1.67</v>
      </c>
      <c r="Z98" s="64">
        <f t="shared" si="33"/>
        <v>1.05</v>
      </c>
      <c r="AA98" s="64">
        <f t="shared" si="33"/>
        <v>1.37</v>
      </c>
      <c r="AB98" s="64">
        <f t="shared" si="33"/>
        <v>1.33</v>
      </c>
      <c r="AC98" s="64">
        <f t="shared" si="33"/>
        <v>1.18</v>
      </c>
      <c r="AG98" s="5"/>
      <c r="AH98" s="5"/>
      <c r="AI98" s="5"/>
      <c r="AJ98" s="5"/>
      <c r="AK98" s="5"/>
      <c r="AL98" s="5"/>
      <c r="AM98" s="5"/>
      <c r="AN98" s="5"/>
    </row>
    <row r="99" spans="1:124" s="2" customFormat="1" ht="17.45">
      <c r="A99" s="507" t="s">
        <v>59</v>
      </c>
      <c r="B99" s="508"/>
      <c r="C99" s="509"/>
      <c r="D99" s="45"/>
      <c r="E99" s="45"/>
      <c r="F99" s="64">
        <f t="shared" ref="F99:AC99" si="34">F76</f>
        <v>0</v>
      </c>
      <c r="G99" s="64">
        <f t="shared" si="34"/>
        <v>0</v>
      </c>
      <c r="H99" s="64">
        <f t="shared" si="34"/>
        <v>0</v>
      </c>
      <c r="I99" s="64">
        <f t="shared" si="34"/>
        <v>0</v>
      </c>
      <c r="J99" s="64">
        <f t="shared" si="34"/>
        <v>0</v>
      </c>
      <c r="K99" s="64">
        <f t="shared" si="34"/>
        <v>0</v>
      </c>
      <c r="L99" s="64">
        <f t="shared" si="34"/>
        <v>0</v>
      </c>
      <c r="M99" s="64">
        <f t="shared" si="34"/>
        <v>0</v>
      </c>
      <c r="N99" s="64">
        <f t="shared" si="34"/>
        <v>0</v>
      </c>
      <c r="O99" s="64">
        <f t="shared" si="34"/>
        <v>0</v>
      </c>
      <c r="P99" s="64">
        <f t="shared" si="34"/>
        <v>0</v>
      </c>
      <c r="Q99" s="64">
        <f t="shared" si="34"/>
        <v>0</v>
      </c>
      <c r="R99" s="64">
        <f t="shared" si="34"/>
        <v>0</v>
      </c>
      <c r="S99" s="64">
        <f t="shared" si="34"/>
        <v>0</v>
      </c>
      <c r="T99" s="64">
        <f t="shared" si="34"/>
        <v>0</v>
      </c>
      <c r="U99" s="64">
        <f t="shared" si="34"/>
        <v>0</v>
      </c>
      <c r="V99" s="64">
        <f t="shared" si="34"/>
        <v>0</v>
      </c>
      <c r="W99" s="64">
        <f t="shared" si="34"/>
        <v>0</v>
      </c>
      <c r="X99" s="64">
        <f t="shared" si="34"/>
        <v>0</v>
      </c>
      <c r="Y99" s="64">
        <f t="shared" si="34"/>
        <v>0</v>
      </c>
      <c r="Z99" s="64">
        <f t="shared" si="34"/>
        <v>0</v>
      </c>
      <c r="AA99" s="64">
        <f t="shared" si="34"/>
        <v>0</v>
      </c>
      <c r="AB99" s="64">
        <f t="shared" si="34"/>
        <v>0</v>
      </c>
      <c r="AC99" s="64">
        <f t="shared" si="34"/>
        <v>0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>
      <c r="A100" s="507" t="s">
        <v>69</v>
      </c>
      <c r="B100" s="508"/>
      <c r="C100" s="509"/>
      <c r="D100" s="45"/>
      <c r="E100" s="45"/>
      <c r="F100" s="64">
        <f t="shared" ref="F100:AC100" si="35">F80</f>
        <v>0.79</v>
      </c>
      <c r="G100" s="64">
        <f t="shared" si="35"/>
        <v>0.75</v>
      </c>
      <c r="H100" s="64">
        <f t="shared" si="35"/>
        <v>0.73</v>
      </c>
      <c r="I100" s="64">
        <f t="shared" si="35"/>
        <v>0.7</v>
      </c>
      <c r="J100" s="64">
        <f t="shared" si="35"/>
        <v>0.7</v>
      </c>
      <c r="K100" s="64">
        <f t="shared" si="35"/>
        <v>0.73</v>
      </c>
      <c r="L100" s="64">
        <f t="shared" si="35"/>
        <v>0.77</v>
      </c>
      <c r="M100" s="64">
        <f t="shared" si="35"/>
        <v>0.73</v>
      </c>
      <c r="N100" s="64">
        <f t="shared" si="35"/>
        <v>0.71</v>
      </c>
      <c r="O100" s="64">
        <f t="shared" si="35"/>
        <v>0.81</v>
      </c>
      <c r="P100" s="64">
        <f t="shared" si="35"/>
        <v>0.82</v>
      </c>
      <c r="Q100" s="64">
        <f t="shared" si="35"/>
        <v>0.83</v>
      </c>
      <c r="R100" s="64">
        <f t="shared" si="35"/>
        <v>0.84</v>
      </c>
      <c r="S100" s="64">
        <f t="shared" si="35"/>
        <v>0.88</v>
      </c>
      <c r="T100" s="64">
        <f t="shared" si="35"/>
        <v>0.9</v>
      </c>
      <c r="U100" s="64">
        <f t="shared" si="35"/>
        <v>0.88</v>
      </c>
      <c r="V100" s="64">
        <f t="shared" si="35"/>
        <v>0.88</v>
      </c>
      <c r="W100" s="64">
        <f t="shared" si="35"/>
        <v>0.85</v>
      </c>
      <c r="X100" s="64">
        <f t="shared" si="35"/>
        <v>0.86</v>
      </c>
      <c r="Y100" s="64">
        <f t="shared" si="35"/>
        <v>0.97</v>
      </c>
      <c r="Z100" s="64">
        <f t="shared" si="35"/>
        <v>0.83</v>
      </c>
      <c r="AA100" s="64">
        <f t="shared" si="35"/>
        <v>0.93</v>
      </c>
      <c r="AB100" s="64">
        <f t="shared" si="35"/>
        <v>0.92</v>
      </c>
      <c r="AC100" s="64">
        <f t="shared" si="35"/>
        <v>0.87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 customHeight="1">
      <c r="A101" s="507" t="s">
        <v>72</v>
      </c>
      <c r="B101" s="508"/>
      <c r="C101" s="509"/>
      <c r="D101" s="45"/>
      <c r="E101" s="45"/>
      <c r="F101" s="64">
        <f t="shared" ref="F101:AC101" si="36">F82</f>
        <v>0</v>
      </c>
      <c r="G101" s="64">
        <f t="shared" si="36"/>
        <v>0</v>
      </c>
      <c r="H101" s="64">
        <f t="shared" si="36"/>
        <v>0</v>
      </c>
      <c r="I101" s="64">
        <f t="shared" si="36"/>
        <v>0</v>
      </c>
      <c r="J101" s="64">
        <f t="shared" si="36"/>
        <v>0</v>
      </c>
      <c r="K101" s="64">
        <f t="shared" si="36"/>
        <v>0</v>
      </c>
      <c r="L101" s="64">
        <f t="shared" si="36"/>
        <v>0</v>
      </c>
      <c r="M101" s="64">
        <f t="shared" si="36"/>
        <v>0</v>
      </c>
      <c r="N101" s="64">
        <f t="shared" si="36"/>
        <v>0</v>
      </c>
      <c r="O101" s="64">
        <f t="shared" si="36"/>
        <v>0</v>
      </c>
      <c r="P101" s="64">
        <f t="shared" si="36"/>
        <v>0</v>
      </c>
      <c r="Q101" s="64">
        <f t="shared" si="36"/>
        <v>0</v>
      </c>
      <c r="R101" s="64">
        <f t="shared" si="36"/>
        <v>0</v>
      </c>
      <c r="S101" s="64">
        <f t="shared" si="36"/>
        <v>0</v>
      </c>
      <c r="T101" s="64">
        <f t="shared" si="36"/>
        <v>0</v>
      </c>
      <c r="U101" s="64">
        <f t="shared" si="36"/>
        <v>0</v>
      </c>
      <c r="V101" s="64">
        <f t="shared" si="36"/>
        <v>0</v>
      </c>
      <c r="W101" s="64">
        <f t="shared" si="36"/>
        <v>0</v>
      </c>
      <c r="X101" s="64">
        <f t="shared" si="36"/>
        <v>0</v>
      </c>
      <c r="Y101" s="64">
        <f t="shared" si="36"/>
        <v>0</v>
      </c>
      <c r="Z101" s="64">
        <f t="shared" si="36"/>
        <v>0</v>
      </c>
      <c r="AA101" s="64">
        <f t="shared" si="36"/>
        <v>0</v>
      </c>
      <c r="AB101" s="64">
        <f t="shared" si="36"/>
        <v>0</v>
      </c>
      <c r="AC101" s="64">
        <f t="shared" si="36"/>
        <v>0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>
      <c r="A102" s="511" t="s">
        <v>82</v>
      </c>
      <c r="B102" s="511"/>
      <c r="C102" s="511"/>
      <c r="D102" s="47"/>
      <c r="E102" s="47"/>
      <c r="F102" s="61">
        <f t="shared" ref="F102:AC102" si="37">SUM(F89,F91,F93,F95,F97:F101,F81)</f>
        <v>44.51</v>
      </c>
      <c r="G102" s="61">
        <f t="shared" si="37"/>
        <v>39.97</v>
      </c>
      <c r="H102" s="61">
        <f t="shared" si="37"/>
        <v>38.459999999999994</v>
      </c>
      <c r="I102" s="61">
        <f t="shared" si="37"/>
        <v>37.190000000000005</v>
      </c>
      <c r="J102" s="61">
        <f t="shared" si="37"/>
        <v>36.560000000000009</v>
      </c>
      <c r="K102" s="61">
        <f>SUM(K89,K91,K93,K95,K97:K101,K81)</f>
        <v>37.619999999999997</v>
      </c>
      <c r="L102" s="61">
        <f t="shared" si="37"/>
        <v>41.830000000000005</v>
      </c>
      <c r="M102" s="61">
        <f t="shared" si="37"/>
        <v>39.81</v>
      </c>
      <c r="N102" s="61">
        <f t="shared" si="37"/>
        <v>46.89</v>
      </c>
      <c r="O102" s="61">
        <f t="shared" si="37"/>
        <v>54.68</v>
      </c>
      <c r="P102" s="61">
        <f t="shared" si="37"/>
        <v>59.51</v>
      </c>
      <c r="Q102" s="61">
        <f t="shared" si="37"/>
        <v>61.16</v>
      </c>
      <c r="R102" s="61">
        <f t="shared" si="37"/>
        <v>60.89</v>
      </c>
      <c r="S102" s="61">
        <f t="shared" si="37"/>
        <v>62.48</v>
      </c>
      <c r="T102" s="61">
        <f>SUM(T89,T91,T93,T95,T97:T101,T81)</f>
        <v>65.360000000000014</v>
      </c>
      <c r="U102" s="61">
        <f t="shared" si="37"/>
        <v>66.11999999999999</v>
      </c>
      <c r="V102" s="61">
        <f t="shared" si="37"/>
        <v>64.61999999999999</v>
      </c>
      <c r="W102" s="61">
        <f t="shared" si="37"/>
        <v>62.01</v>
      </c>
      <c r="X102" s="61">
        <f>SUM(X89,X91,X93,X95,X97:X101,X81)</f>
        <v>58.839999999999989</v>
      </c>
      <c r="Y102" s="61">
        <f t="shared" si="37"/>
        <v>64.23</v>
      </c>
      <c r="Z102" s="61">
        <f t="shared" si="37"/>
        <v>59.929999999999986</v>
      </c>
      <c r="AA102" s="61">
        <f t="shared" si="37"/>
        <v>56.89</v>
      </c>
      <c r="AB102" s="61">
        <f t="shared" si="37"/>
        <v>52.760000000000005</v>
      </c>
      <c r="AC102" s="61">
        <f t="shared" si="37"/>
        <v>48.48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12" t="s">
        <v>83</v>
      </c>
      <c r="B103" s="512"/>
      <c r="C103" s="512"/>
      <c r="D103" s="46"/>
      <c r="E103" s="46"/>
      <c r="F103" s="76"/>
      <c r="G103" s="76"/>
      <c r="H103" s="76"/>
      <c r="I103" s="76"/>
      <c r="J103" s="76"/>
      <c r="K103" s="76"/>
      <c r="L103" s="76"/>
      <c r="M103" s="76"/>
      <c r="N103" s="76"/>
      <c r="O103" s="76"/>
      <c r="P103" s="76"/>
      <c r="Q103" s="76"/>
      <c r="R103" s="76"/>
      <c r="S103" s="76"/>
      <c r="T103" s="76"/>
      <c r="U103" s="76"/>
      <c r="V103" s="76"/>
      <c r="W103" s="76"/>
      <c r="X103" s="76"/>
      <c r="Y103" s="76"/>
      <c r="Z103" s="76"/>
      <c r="AA103" s="76"/>
      <c r="AB103" s="76"/>
      <c r="AC103" s="76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12" t="s">
        <v>84</v>
      </c>
      <c r="B104" s="512"/>
      <c r="C104" s="512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12" t="s">
        <v>85</v>
      </c>
      <c r="B105" s="512"/>
      <c r="C105" s="512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11" t="s">
        <v>86</v>
      </c>
      <c r="B106" s="511"/>
      <c r="C106" s="511"/>
      <c r="D106" s="47"/>
      <c r="E106" s="47"/>
      <c r="F106" s="61">
        <f t="shared" ref="F106:AC106" si="38">SUM(F103:F105)</f>
        <v>0</v>
      </c>
      <c r="G106" s="61">
        <f t="shared" si="38"/>
        <v>0</v>
      </c>
      <c r="H106" s="61">
        <f t="shared" si="38"/>
        <v>0</v>
      </c>
      <c r="I106" s="61">
        <f t="shared" si="38"/>
        <v>0</v>
      </c>
      <c r="J106" s="61">
        <f t="shared" si="38"/>
        <v>0</v>
      </c>
      <c r="K106" s="61">
        <f t="shared" si="38"/>
        <v>0</v>
      </c>
      <c r="L106" s="61">
        <f t="shared" si="38"/>
        <v>0</v>
      </c>
      <c r="M106" s="61">
        <f t="shared" si="38"/>
        <v>0</v>
      </c>
      <c r="N106" s="61">
        <f t="shared" si="38"/>
        <v>0</v>
      </c>
      <c r="O106" s="61">
        <f t="shared" si="38"/>
        <v>0</v>
      </c>
      <c r="P106" s="61">
        <f t="shared" si="38"/>
        <v>0</v>
      </c>
      <c r="Q106" s="61">
        <f t="shared" si="38"/>
        <v>0</v>
      </c>
      <c r="R106" s="61">
        <f t="shared" si="38"/>
        <v>0</v>
      </c>
      <c r="S106" s="61">
        <f t="shared" si="38"/>
        <v>0</v>
      </c>
      <c r="T106" s="61">
        <f t="shared" si="38"/>
        <v>0</v>
      </c>
      <c r="U106" s="61">
        <f t="shared" si="38"/>
        <v>0</v>
      </c>
      <c r="V106" s="61">
        <f t="shared" si="38"/>
        <v>0</v>
      </c>
      <c r="W106" s="61">
        <f t="shared" si="38"/>
        <v>0</v>
      </c>
      <c r="X106" s="61">
        <f t="shared" si="38"/>
        <v>0</v>
      </c>
      <c r="Y106" s="61">
        <f t="shared" si="38"/>
        <v>0</v>
      </c>
      <c r="Z106" s="61">
        <f t="shared" si="38"/>
        <v>0</v>
      </c>
      <c r="AA106" s="61">
        <f t="shared" si="38"/>
        <v>0</v>
      </c>
      <c r="AB106" s="61">
        <f t="shared" si="38"/>
        <v>0</v>
      </c>
      <c r="AC106" s="61">
        <f t="shared" si="38"/>
        <v>0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13" t="s">
        <v>87</v>
      </c>
      <c r="B107" s="513"/>
      <c r="C107" s="513"/>
      <c r="D107" s="48"/>
      <c r="E107" s="48"/>
      <c r="F107" s="62">
        <f t="shared" ref="F107:AC107" si="39">F102+F106</f>
        <v>44.51</v>
      </c>
      <c r="G107" s="62">
        <f t="shared" si="39"/>
        <v>39.97</v>
      </c>
      <c r="H107" s="62">
        <f t="shared" si="39"/>
        <v>38.459999999999994</v>
      </c>
      <c r="I107" s="62">
        <f t="shared" si="39"/>
        <v>37.190000000000005</v>
      </c>
      <c r="J107" s="62">
        <f t="shared" si="39"/>
        <v>36.560000000000009</v>
      </c>
      <c r="K107" s="62">
        <f t="shared" si="39"/>
        <v>37.619999999999997</v>
      </c>
      <c r="L107" s="62">
        <f t="shared" si="39"/>
        <v>41.830000000000005</v>
      </c>
      <c r="M107" s="62">
        <f t="shared" si="39"/>
        <v>39.81</v>
      </c>
      <c r="N107" s="62">
        <f t="shared" si="39"/>
        <v>46.89</v>
      </c>
      <c r="O107" s="62">
        <f t="shared" si="39"/>
        <v>54.68</v>
      </c>
      <c r="P107" s="62">
        <f t="shared" si="39"/>
        <v>59.51</v>
      </c>
      <c r="Q107" s="62">
        <f t="shared" si="39"/>
        <v>61.16</v>
      </c>
      <c r="R107" s="62">
        <f t="shared" si="39"/>
        <v>60.89</v>
      </c>
      <c r="S107" s="62">
        <f t="shared" si="39"/>
        <v>62.48</v>
      </c>
      <c r="T107" s="62">
        <f t="shared" si="39"/>
        <v>65.360000000000014</v>
      </c>
      <c r="U107" s="62">
        <f t="shared" si="39"/>
        <v>66.11999999999999</v>
      </c>
      <c r="V107" s="62">
        <f t="shared" si="39"/>
        <v>64.61999999999999</v>
      </c>
      <c r="W107" s="62">
        <f>W102+W106</f>
        <v>62.01</v>
      </c>
      <c r="X107" s="62">
        <f t="shared" si="39"/>
        <v>58.839999999999989</v>
      </c>
      <c r="Y107" s="62">
        <f t="shared" si="39"/>
        <v>64.23</v>
      </c>
      <c r="Z107" s="62">
        <f t="shared" si="39"/>
        <v>59.929999999999986</v>
      </c>
      <c r="AA107" s="62">
        <f t="shared" si="39"/>
        <v>56.89</v>
      </c>
      <c r="AB107" s="62">
        <f t="shared" si="39"/>
        <v>52.760000000000005</v>
      </c>
      <c r="AC107" s="62">
        <f t="shared" si="39"/>
        <v>48.48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1" hidden="1">
      <c r="A108" s="514" t="s">
        <v>88</v>
      </c>
      <c r="B108" s="514"/>
      <c r="C108" s="514"/>
      <c r="D108" s="52"/>
      <c r="E108" s="52"/>
      <c r="F108" s="63">
        <f t="shared" ref="F108:AC108" si="40">(COUNT(F13:F16))*7.2+(COUNT(F27:F28)*4.9)+(COUNT(F19:F21)*4.5)-F91-F93</f>
        <v>7.8999999999999986</v>
      </c>
      <c r="G108" s="63">
        <f t="shared" si="40"/>
        <v>8.5</v>
      </c>
      <c r="H108" s="63">
        <f t="shared" si="40"/>
        <v>4</v>
      </c>
      <c r="I108" s="63">
        <f t="shared" si="40"/>
        <v>3.7000000000000028</v>
      </c>
      <c r="J108" s="63">
        <f t="shared" si="40"/>
        <v>11.5</v>
      </c>
      <c r="K108" s="63">
        <f t="shared" si="40"/>
        <v>3.7000000000000028</v>
      </c>
      <c r="L108" s="63">
        <f t="shared" si="40"/>
        <v>2.8</v>
      </c>
      <c r="M108" s="63">
        <f t="shared" si="40"/>
        <v>4.2999999999999972</v>
      </c>
      <c r="N108" s="63">
        <f t="shared" si="40"/>
        <v>6.099999999999997</v>
      </c>
      <c r="O108" s="63">
        <f t="shared" si="40"/>
        <v>10.999999999999998</v>
      </c>
      <c r="P108" s="63">
        <f t="shared" si="40"/>
        <v>12.800000000000002</v>
      </c>
      <c r="Q108" s="63">
        <f t="shared" si="40"/>
        <v>12.500000000000004</v>
      </c>
      <c r="R108" s="63">
        <f t="shared" si="40"/>
        <v>12.300000000000004</v>
      </c>
      <c r="S108" s="63">
        <f t="shared" si="40"/>
        <v>11.600000000000003</v>
      </c>
      <c r="T108" s="63">
        <f>(COUNT(T13:T16))*7.2+(COUNT(T27:T28)*4.9)+(COUNT(T19:T21)*4.5)-T91-T93</f>
        <v>7.400000000000003</v>
      </c>
      <c r="U108" s="63">
        <f t="shared" si="40"/>
        <v>6.6000000000000014</v>
      </c>
      <c r="V108" s="63">
        <f t="shared" si="40"/>
        <v>7.9000000000000039</v>
      </c>
      <c r="W108" s="63">
        <f t="shared" si="40"/>
        <v>8.3000000000000043</v>
      </c>
      <c r="X108" s="63">
        <f t="shared" si="40"/>
        <v>6.2000000000000037</v>
      </c>
      <c r="Y108" s="63">
        <f t="shared" si="40"/>
        <v>14.200000000000001</v>
      </c>
      <c r="Z108" s="63">
        <f t="shared" si="40"/>
        <v>9.3000000000000007</v>
      </c>
      <c r="AA108" s="63">
        <f t="shared" si="40"/>
        <v>11.2</v>
      </c>
      <c r="AB108" s="63">
        <f t="shared" si="40"/>
        <v>16.700000000000006</v>
      </c>
      <c r="AC108" s="63">
        <f t="shared" si="40"/>
        <v>13.900000000000002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>
      <c r="A109" s="515" t="s">
        <v>89</v>
      </c>
      <c r="B109" s="516"/>
      <c r="C109" s="517"/>
      <c r="D109" s="204"/>
      <c r="E109" s="204"/>
      <c r="F109" s="205">
        <f t="shared" ref="F109:P109" si="41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5.6000000000000005</v>
      </c>
      <c r="G109" s="205">
        <f t="shared" si="41"/>
        <v>5.5000000000000018</v>
      </c>
      <c r="H109" s="205">
        <f t="shared" si="41"/>
        <v>4.0000000000000018</v>
      </c>
      <c r="I109" s="205">
        <f t="shared" si="41"/>
        <v>3.7000000000000046</v>
      </c>
      <c r="J109" s="205">
        <f t="shared" si="41"/>
        <v>11.499999999999998</v>
      </c>
      <c r="K109" s="205">
        <f t="shared" si="41"/>
        <v>3.7000000000000046</v>
      </c>
      <c r="L109" s="205">
        <f t="shared" si="41"/>
        <v>5.3000000000000016</v>
      </c>
      <c r="M109" s="205">
        <f t="shared" si="41"/>
        <v>5.7999999999999989</v>
      </c>
      <c r="N109" s="205">
        <f t="shared" si="41"/>
        <v>4.7999999999999989</v>
      </c>
      <c r="O109" s="205">
        <f t="shared" si="41"/>
        <v>4.0999999999999996</v>
      </c>
      <c r="P109" s="205">
        <f t="shared" si="41"/>
        <v>5.9</v>
      </c>
      <c r="Q109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5.6000000000000032</v>
      </c>
      <c r="R109" s="205">
        <f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5.0000000000000018</v>
      </c>
      <c r="S109" s="205">
        <f t="shared" ref="S109:AC109" si="42">(AND(IF(S13&lt;&gt;0,1,0),IF(S13&lt;&gt;"CMS",1,0))*7.2)+(AND(IF(S14&lt;&gt;0,1,0),IF(S14&lt;&gt;"CMS",1,0))*7.2)+(AND(IF(S15&lt;&gt;0,1,0),IF(S15&lt;&gt;"CMS",1,0))*7.2)+(AND(IF(S16&lt;&gt;0,1,0),IF(S16&lt;&gt;"CMS",1,0))*7.2)-S17
+(AND(IF(S27&lt;&gt;0,1,0),IF(S27&lt;&gt;"CMS",1,0))*4.5)+(AND(IF(S28&lt;&gt;0,1,0),IF(S28&lt;&gt;"CMS",1,0))*4.5)-S31
+AND(IF(S24&lt;&gt;0,1,0),IF(S24&lt;&gt;"CMS",1,0))*4.5-S25
+(AND(IF(S19&lt;&gt;0,1,0),IF(S19&lt;&gt;"CMS",1,0))*3.5)+(AND(IF(S20&lt;&gt;0,1,0),IF(S20&lt;&gt;"CMS",1,0))*4.5)+(AND(IF(S21&lt;&gt;0,1,0),IF(S21&lt;&gt;"CMS",1,0))*4.5)-S22</f>
        <v>4.3000000000000025</v>
      </c>
      <c r="T109" s="205">
        <f t="shared" si="42"/>
        <v>3.8000000000000012</v>
      </c>
      <c r="U109" s="205">
        <f t="shared" si="42"/>
        <v>2.9999999999999996</v>
      </c>
      <c r="V109" s="205">
        <f t="shared" si="42"/>
        <v>4.400000000000003</v>
      </c>
      <c r="W109" s="205">
        <f>(AND(IF(W13&lt;&gt;0,1,0),IF(W13&lt;&gt;"CMS",1,0))*7.2)+(AND(IF(W14&lt;&gt;0,1,0),IF(W14&lt;&gt;"CMS",1,0))*7.2)+(AND(IF(W15&lt;&gt;0,1,0),IF(W15&lt;&gt;"CMS",1,0))*7.2)+(AND(IF(W16&lt;&gt;0,1,0),IF(W16&lt;&gt;"CMS",1,0))*7.2)-W17
+(AND(IF(W27&lt;&gt;0,1,0),IF(W27&lt;&gt;"CMS",1,0))*4.5)+(AND(IF(W28&lt;&gt;0,1,0),IF(W28&lt;&gt;"CMS",1,0))*4.5)-W31
+AND(IF(W24&lt;&gt;0,1,0),IF(W24&lt;&gt;"CMS",1,0))*4.5-W25
+(AND(IF(W19&lt;&gt;0,1,0),IF(W19&lt;&gt;"CMS",1,0))*3.5)+(AND(IF(W20&lt;&gt;0,1,0),IF(W20&lt;&gt;"CMS",1,0))*4.5)+(AND(IF(W21&lt;&gt;0,1,0),IF(W21&lt;&gt;"CMS",1,0))*4.5)-W22</f>
        <v>4.8000000000000016</v>
      </c>
      <c r="X109" s="205">
        <f>(AND(IF(X13&lt;&gt;0,1,0),IF(X13&lt;&gt;"CMS",1,0))*7.2)+(AND(IF(X14&lt;&gt;0,1,0),IF(X14&lt;&gt;"CMS",1,0))*7.2)+(AND(IF(X15&lt;&gt;0,1,0),IF(X15&lt;&gt;"CMS",1,0))*7.2)+(AND(IF(X16&lt;&gt;0,1,0),IF(X16&lt;&gt;"CMS",1,0))*7.2)-X17
+(AND(IF(X27&lt;&gt;0,1,0),IF(X27&lt;&gt;"CMS",1,0))*4.5)+(AND(IF(X28&lt;&gt;0,1,0),IF(X28&lt;&gt;"CMS",1,0))*4.5)-X31
+AND(IF(X24&lt;&gt;0,1,0),IF(X24&lt;&gt;"CMS",1,0))*4.5-X25
+(AND(IF(X19&lt;&gt;0,1,0),IF(X19&lt;&gt;"CMS",1,0))*3.5)+(AND(IF(X20&lt;&gt;0,1,0),IF(X20&lt;&gt;"CMS",1,0))*4.5)+(AND(IF(X21&lt;&gt;0,1,0),IF(X21&lt;&gt;"CMS",1,0))*4.5)-X22</f>
        <v>2.700000000000002</v>
      </c>
      <c r="Y109" s="205">
        <f t="shared" si="42"/>
        <v>7.1</v>
      </c>
      <c r="Z109" s="205">
        <f t="shared" si="42"/>
        <v>2.0000000000000018</v>
      </c>
      <c r="AA109" s="205">
        <f t="shared" si="42"/>
        <v>3.9000000000000004</v>
      </c>
      <c r="AB109" s="205">
        <f t="shared" si="42"/>
        <v>9.0000000000000018</v>
      </c>
      <c r="AC109" s="205">
        <f t="shared" si="42"/>
        <v>5.4999999999999982</v>
      </c>
      <c r="AD109" s="26"/>
      <c r="AE109" s="26"/>
      <c r="AF109" s="466"/>
      <c r="AG109" t="s">
        <v>90</v>
      </c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10" t="s">
        <v>91</v>
      </c>
      <c r="B110" s="510"/>
      <c r="C110" s="510"/>
      <c r="D110" s="60"/>
      <c r="E110" s="72"/>
      <c r="F110" s="74">
        <v>60.08</v>
      </c>
      <c r="G110" s="74">
        <v>60.17</v>
      </c>
      <c r="H110" s="74">
        <v>60.15</v>
      </c>
      <c r="I110" s="74">
        <v>60.12</v>
      </c>
      <c r="J110" s="74">
        <v>60.1</v>
      </c>
      <c r="K110" s="74">
        <v>60.1</v>
      </c>
      <c r="L110" s="74">
        <v>60.18</v>
      </c>
      <c r="M110" s="74">
        <v>60.24</v>
      </c>
      <c r="N110" s="74">
        <v>60.08</v>
      </c>
      <c r="O110" s="74">
        <v>60.04</v>
      </c>
      <c r="P110" s="83">
        <v>60.11</v>
      </c>
      <c r="Q110" s="83">
        <v>60.13</v>
      </c>
      <c r="R110" s="83">
        <v>60.18</v>
      </c>
      <c r="S110" s="83">
        <v>60.04</v>
      </c>
      <c r="T110" s="83">
        <v>60.14</v>
      </c>
      <c r="U110" s="74">
        <v>59.98</v>
      </c>
      <c r="V110" s="74">
        <v>60.14</v>
      </c>
      <c r="W110" s="74">
        <v>60.21</v>
      </c>
      <c r="X110" s="74">
        <v>60.17</v>
      </c>
      <c r="Y110" s="74">
        <v>60.25</v>
      </c>
      <c r="Z110" s="74">
        <v>60.16</v>
      </c>
      <c r="AA110" s="74">
        <v>60.13</v>
      </c>
      <c r="AB110" s="74">
        <v>60.14</v>
      </c>
      <c r="AC110" s="74">
        <v>60.16</v>
      </c>
      <c r="AD110" s="26"/>
      <c r="AE110" s="26"/>
      <c r="AF110" s="467"/>
      <c r="AG110" t="s">
        <v>92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18" t="s">
        <v>93</v>
      </c>
      <c r="B111" s="519"/>
      <c r="C111" s="520"/>
      <c r="D111" s="60"/>
      <c r="E111" s="72"/>
      <c r="F111" s="465">
        <f>6.8-1.2</f>
        <v>5.6</v>
      </c>
      <c r="G111" s="465">
        <v>3</v>
      </c>
      <c r="H111" s="74"/>
      <c r="I111" s="74"/>
      <c r="J111" s="74"/>
      <c r="K111" s="74"/>
      <c r="L111" s="465">
        <f>L24</f>
        <v>2</v>
      </c>
      <c r="M111" s="465">
        <f>M24</f>
        <v>3</v>
      </c>
      <c r="N111" s="468">
        <f t="shared" ref="N111:AA111" si="43">25-(N93+N95)-(4.7-N93)</f>
        <v>6</v>
      </c>
      <c r="O111" s="468">
        <f t="shared" si="43"/>
        <v>6.07</v>
      </c>
      <c r="P111" s="468">
        <f t="shared" si="43"/>
        <v>6.09</v>
      </c>
      <c r="Q111" s="468">
        <f t="shared" si="43"/>
        <v>6.1100000000000012</v>
      </c>
      <c r="R111" s="468">
        <f t="shared" si="43"/>
        <v>6.05</v>
      </c>
      <c r="S111" s="468">
        <f t="shared" si="43"/>
        <v>5.91</v>
      </c>
      <c r="T111" s="468">
        <f t="shared" si="43"/>
        <v>5.9799999999999986</v>
      </c>
      <c r="U111" s="468">
        <f t="shared" si="43"/>
        <v>5.9899999999999975</v>
      </c>
      <c r="V111" s="468">
        <f t="shared" si="43"/>
        <v>6.0300000000000011</v>
      </c>
      <c r="W111" s="468">
        <f t="shared" si="43"/>
        <v>5.98</v>
      </c>
      <c r="X111" s="468">
        <f t="shared" si="43"/>
        <v>6.1100000000000012</v>
      </c>
      <c r="Y111" s="468">
        <f t="shared" si="43"/>
        <v>6.11</v>
      </c>
      <c r="Z111" s="468">
        <f t="shared" si="43"/>
        <v>6.05</v>
      </c>
      <c r="AA111" s="468">
        <f t="shared" si="43"/>
        <v>6.0100000000000016</v>
      </c>
      <c r="AB111" s="468">
        <f>25-(AB93+AB95)-(9.4-AB93)</f>
        <v>1.2899999999999983</v>
      </c>
      <c r="AC111" s="468">
        <f>25-(AC93+AC95)-(9.4-AC93)</f>
        <v>2.2700000000000005</v>
      </c>
      <c r="AD111" s="26"/>
      <c r="AE111" s="26"/>
      <c r="AF111" s="469"/>
      <c r="AG111" s="38" t="s">
        <v>94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18" t="s">
        <v>95</v>
      </c>
      <c r="B112" s="519"/>
      <c r="C112" s="520"/>
      <c r="D112" s="60"/>
      <c r="E112" s="72"/>
      <c r="F112" s="73"/>
      <c r="G112" s="74"/>
      <c r="H112" s="74"/>
      <c r="I112" s="74"/>
      <c r="J112" s="74"/>
      <c r="K112" s="74"/>
      <c r="L112" s="74"/>
      <c r="M112" s="74"/>
      <c r="N112" s="74"/>
      <c r="O112" s="74"/>
      <c r="P112" s="83"/>
      <c r="Q112" s="83"/>
      <c r="R112" s="83"/>
      <c r="S112" s="83"/>
      <c r="T112" s="83">
        <v>3</v>
      </c>
      <c r="U112" s="83">
        <v>3</v>
      </c>
      <c r="V112" s="83">
        <v>3</v>
      </c>
      <c r="W112" s="83">
        <v>3</v>
      </c>
      <c r="X112" s="83">
        <v>3</v>
      </c>
      <c r="Z112" s="74"/>
      <c r="AA112" s="74"/>
      <c r="AB112" s="74"/>
      <c r="AC112" s="74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10" t="s">
        <v>96</v>
      </c>
      <c r="B113" s="510"/>
      <c r="C113" s="510"/>
      <c r="D113" s="60"/>
      <c r="E113" s="72"/>
      <c r="G113" s="73"/>
      <c r="H113" s="73"/>
      <c r="I113" s="73"/>
      <c r="J113" s="73"/>
      <c r="K113" s="73"/>
      <c r="L113" s="73"/>
      <c r="M113" s="73"/>
      <c r="N113" s="73"/>
      <c r="O113" s="73"/>
      <c r="P113" s="73"/>
      <c r="Q113" s="73"/>
      <c r="R113" s="73"/>
      <c r="S113" s="73"/>
      <c r="T113" s="73"/>
      <c r="U113" s="73"/>
      <c r="V113" s="73"/>
      <c r="W113" s="73"/>
      <c r="X113" s="73"/>
      <c r="Y113" s="73"/>
      <c r="Z113" s="73"/>
      <c r="AA113" s="73"/>
      <c r="AB113" s="73"/>
      <c r="AC113" s="73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10" t="s">
        <v>97</v>
      </c>
      <c r="B114" s="510"/>
      <c r="C114" s="510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idden="1">
      <c r="A115"/>
      <c r="B115"/>
      <c r="C115"/>
      <c r="D115" s="71"/>
      <c r="E115"/>
      <c r="F115" s="75"/>
      <c r="G115" s="75"/>
      <c r="H115" s="75"/>
      <c r="I115" s="75"/>
      <c r="J115" s="75"/>
      <c r="K115" s="75"/>
      <c r="L115" s="75"/>
      <c r="M115" s="75"/>
      <c r="N115" s="75"/>
      <c r="O115" s="75"/>
      <c r="P115" s="75"/>
      <c r="Q115" s="75"/>
      <c r="R115" s="75"/>
      <c r="S115" s="75"/>
      <c r="T115" s="75"/>
      <c r="U115" s="75"/>
      <c r="V115" s="75"/>
      <c r="W115" s="75"/>
      <c r="X115" s="75"/>
      <c r="Y115" s="75"/>
      <c r="Z115" s="75"/>
      <c r="AA115" s="75"/>
      <c r="AB115" s="75"/>
      <c r="AC115" s="75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9" hidden="1">
      <c r="A116" s="499" t="s">
        <v>98</v>
      </c>
      <c r="B116" s="499"/>
      <c r="C116" s="499"/>
      <c r="D116" s="499"/>
      <c r="E116" s="499"/>
      <c r="F116" s="499"/>
      <c r="G116" s="499"/>
      <c r="H116" s="499"/>
      <c r="I116" s="499"/>
      <c r="J116" s="499"/>
      <c r="K116" s="499"/>
      <c r="L116" s="499"/>
      <c r="M116" s="499"/>
      <c r="N116" s="499"/>
      <c r="O116" s="499"/>
      <c r="P116" s="499"/>
      <c r="Q116" s="499"/>
      <c r="R116" s="499"/>
      <c r="S116" s="499"/>
      <c r="T116" s="499"/>
      <c r="U116" s="499"/>
      <c r="V116" s="499"/>
      <c r="W116" s="499"/>
      <c r="X116" s="499"/>
      <c r="Y116" s="499"/>
      <c r="Z116" s="499"/>
      <c r="AA116" s="499"/>
      <c r="AB116" s="499"/>
      <c r="AC116" s="499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idden="1">
      <c r="A117"/>
      <c r="B117" s="5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 s="26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ht="17.45" hidden="1">
      <c r="A118" s="500" t="s">
        <v>75</v>
      </c>
      <c r="B118" s="501"/>
      <c r="C118" s="502"/>
      <c r="D118" s="49"/>
      <c r="E118" s="49"/>
      <c r="F118" s="506" t="s">
        <v>76</v>
      </c>
      <c r="G118" s="506"/>
      <c r="H118" s="506"/>
      <c r="I118" s="506"/>
      <c r="J118" s="506"/>
      <c r="K118" s="506"/>
      <c r="L118" s="506"/>
      <c r="M118" s="506"/>
      <c r="N118" s="506"/>
      <c r="O118" s="506"/>
      <c r="P118" s="506"/>
      <c r="Q118" s="506"/>
      <c r="R118" s="506"/>
      <c r="S118" s="506"/>
      <c r="T118" s="506"/>
      <c r="U118" s="506"/>
      <c r="V118" s="506"/>
      <c r="W118" s="506"/>
      <c r="X118" s="506"/>
      <c r="Y118" s="506"/>
      <c r="Z118" s="506"/>
      <c r="AA118" s="506"/>
      <c r="AB118" s="506"/>
      <c r="AC118" s="506"/>
      <c r="AD118" s="5"/>
      <c r="AE118" s="5"/>
      <c r="AF118" s="5"/>
      <c r="AG118" s="5"/>
      <c r="AH118" s="5"/>
    </row>
    <row r="119" spans="1:124" ht="15.6" hidden="1" customHeight="1">
      <c r="A119" s="503"/>
      <c r="B119" s="504"/>
      <c r="C119" s="505"/>
      <c r="D119" s="50"/>
      <c r="E119" s="50"/>
      <c r="F119" s="43">
        <v>0</v>
      </c>
      <c r="G119" s="43">
        <v>4.1666666666666699E-2</v>
      </c>
      <c r="H119" s="43">
        <v>8.3333333333333301E-2</v>
      </c>
      <c r="I119" s="43">
        <v>0.125</v>
      </c>
      <c r="J119" s="43">
        <v>0.16666666666666699</v>
      </c>
      <c r="K119" s="43">
        <v>0.20833333333333301</v>
      </c>
      <c r="L119" s="43">
        <v>0.25</v>
      </c>
      <c r="M119" s="43">
        <v>0.29166666666666702</v>
      </c>
      <c r="N119" s="43">
        <v>0.33333333333333398</v>
      </c>
      <c r="O119" s="43">
        <v>0.375</v>
      </c>
      <c r="P119" s="43">
        <v>0.41666666666666702</v>
      </c>
      <c r="Q119" s="43">
        <v>0.45833333333333398</v>
      </c>
      <c r="R119" s="43">
        <v>0.5</v>
      </c>
      <c r="S119" s="43">
        <v>0.54166666666666696</v>
      </c>
      <c r="T119" s="43">
        <v>0.58333333333333404</v>
      </c>
      <c r="U119" s="43">
        <v>0.625</v>
      </c>
      <c r="V119" s="43">
        <v>0.66666666666666696</v>
      </c>
      <c r="W119" s="43">
        <v>0.70833333333333404</v>
      </c>
      <c r="X119" s="43">
        <v>0.750000000000001</v>
      </c>
      <c r="Y119" s="43">
        <v>0.79166666666666696</v>
      </c>
      <c r="Z119" s="43">
        <v>0.83333333333333337</v>
      </c>
      <c r="AA119" s="43">
        <v>0.875000000000001</v>
      </c>
      <c r="AB119" s="43">
        <v>0.91666666666666696</v>
      </c>
      <c r="AC119" s="43">
        <v>0.95833333333333404</v>
      </c>
      <c r="AD119" s="37"/>
      <c r="AE119" s="37"/>
      <c r="AG119" s="5"/>
      <c r="AH119" s="5"/>
      <c r="AI119" s="5"/>
      <c r="AJ119" s="5"/>
      <c r="AK119" s="5"/>
      <c r="AL119" s="5"/>
      <c r="AM119" s="5"/>
      <c r="AN119" s="5"/>
    </row>
    <row r="120" spans="1:124" ht="17.45" hidden="1">
      <c r="A120" s="507" t="s">
        <v>27</v>
      </c>
      <c r="B120" s="508"/>
      <c r="C120" s="509"/>
      <c r="D120" s="45"/>
      <c r="E120" s="45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07" t="s">
        <v>78</v>
      </c>
      <c r="B121" s="508"/>
      <c r="C121" s="509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07" t="s">
        <v>29</v>
      </c>
      <c r="B122" s="508"/>
      <c r="C122" s="509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07" t="s">
        <v>32</v>
      </c>
      <c r="B123" s="508"/>
      <c r="C123" s="509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07" t="s">
        <v>33</v>
      </c>
      <c r="B124" s="508"/>
      <c r="C124" s="509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07" t="s">
        <v>55</v>
      </c>
      <c r="B125" s="508"/>
      <c r="C125" s="509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07" t="s">
        <v>59</v>
      </c>
      <c r="B126" s="508"/>
      <c r="C126" s="509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</row>
    <row r="127" spans="1:124" ht="17.45" hidden="1">
      <c r="A127" s="507" t="s">
        <v>69</v>
      </c>
      <c r="B127" s="508"/>
      <c r="C127" s="509"/>
      <c r="D127" s="45"/>
      <c r="E127" s="45"/>
      <c r="F127" s="78"/>
      <c r="G127" s="78"/>
      <c r="H127" s="78"/>
      <c r="I127" s="78"/>
      <c r="J127" s="78"/>
      <c r="K127" s="78"/>
      <c r="L127" s="78"/>
      <c r="M127" s="78"/>
      <c r="N127" s="78"/>
      <c r="O127" s="78"/>
      <c r="P127" s="78"/>
      <c r="Q127" s="78"/>
      <c r="R127" s="78"/>
      <c r="S127" s="78"/>
      <c r="T127" s="78"/>
      <c r="U127" s="78"/>
      <c r="V127" s="78"/>
      <c r="W127" s="78"/>
      <c r="X127" s="78"/>
      <c r="Y127" s="78"/>
      <c r="Z127" s="78"/>
      <c r="AA127" s="78"/>
      <c r="AB127" s="78"/>
      <c r="AC127" s="78"/>
    </row>
    <row r="128" spans="1:124" ht="15.6" hidden="1" customHeight="1">
      <c r="A128" s="496" t="s">
        <v>99</v>
      </c>
      <c r="B128" s="497"/>
      <c r="C128" s="498"/>
      <c r="D128" s="51"/>
      <c r="E128" s="51"/>
      <c r="F128" s="44">
        <f>SUM(F120:F127)</f>
        <v>0</v>
      </c>
      <c r="G128" s="44">
        <f t="shared" ref="G128:AB128" si="44">SUM(G120:G127)</f>
        <v>0</v>
      </c>
      <c r="H128" s="44">
        <f t="shared" si="44"/>
        <v>0</v>
      </c>
      <c r="I128" s="44">
        <f t="shared" si="44"/>
        <v>0</v>
      </c>
      <c r="J128" s="44">
        <f t="shared" si="44"/>
        <v>0</v>
      </c>
      <c r="K128" s="44">
        <f t="shared" si="44"/>
        <v>0</v>
      </c>
      <c r="L128" s="44">
        <f t="shared" si="44"/>
        <v>0</v>
      </c>
      <c r="M128" s="44">
        <f t="shared" si="44"/>
        <v>0</v>
      </c>
      <c r="N128" s="44">
        <f t="shared" si="44"/>
        <v>0</v>
      </c>
      <c r="O128" s="44">
        <f t="shared" si="44"/>
        <v>0</v>
      </c>
      <c r="P128" s="44">
        <f t="shared" si="44"/>
        <v>0</v>
      </c>
      <c r="Q128" s="44">
        <f t="shared" si="44"/>
        <v>0</v>
      </c>
      <c r="R128" s="44">
        <f t="shared" si="44"/>
        <v>0</v>
      </c>
      <c r="S128" s="44">
        <f t="shared" si="44"/>
        <v>0</v>
      </c>
      <c r="T128" s="44">
        <f t="shared" si="44"/>
        <v>0</v>
      </c>
      <c r="U128" s="44">
        <f t="shared" si="44"/>
        <v>0</v>
      </c>
      <c r="V128" s="44">
        <f t="shared" si="44"/>
        <v>0</v>
      </c>
      <c r="W128" s="44">
        <f t="shared" si="44"/>
        <v>0</v>
      </c>
      <c r="X128" s="44">
        <f t="shared" si="44"/>
        <v>0</v>
      </c>
      <c r="Y128" s="44">
        <f t="shared" si="44"/>
        <v>0</v>
      </c>
      <c r="Z128" s="44">
        <f t="shared" si="44"/>
        <v>0</v>
      </c>
      <c r="AA128" s="44">
        <f t="shared" si="44"/>
        <v>0</v>
      </c>
      <c r="AB128" s="44">
        <f t="shared" si="44"/>
        <v>0</v>
      </c>
      <c r="AC128" s="44">
        <f>SUM(AC120:AC127)</f>
        <v>0</v>
      </c>
    </row>
    <row r="129" spans="1:124">
      <c r="F129" s="75"/>
      <c r="G129" s="75"/>
      <c r="H129" s="75"/>
      <c r="I129" s="75"/>
      <c r="J129" s="75"/>
      <c r="K129" s="75"/>
      <c r="L129" s="75"/>
      <c r="M129" s="75"/>
      <c r="N129" s="75"/>
      <c r="O129" s="75"/>
      <c r="P129" s="75"/>
      <c r="Q129" s="75"/>
      <c r="R129" s="75"/>
      <c r="S129" s="75"/>
      <c r="T129" s="75"/>
      <c r="U129" s="75"/>
      <c r="V129" s="75"/>
      <c r="W129" s="75"/>
      <c r="X129" s="75"/>
      <c r="Y129" s="75"/>
      <c r="Z129" s="75"/>
      <c r="AA129" s="75"/>
      <c r="AB129" s="75"/>
      <c r="AC129" s="75"/>
      <c r="AD129" s="5"/>
      <c r="AE129" s="5"/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AB131" s="26"/>
      <c r="AC131" s="27"/>
      <c r="AD131" s="5"/>
      <c r="AE131" s="5"/>
    </row>
    <row r="132" spans="1:124" s="2" customFormat="1">
      <c r="A132"/>
      <c r="B132"/>
      <c r="AB132" s="26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>
      <c r="A133"/>
      <c r="B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 s="26"/>
      <c r="D135" s="26"/>
      <c r="E135" s="26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</row>
    <row r="138" spans="1:124">
      <c r="C138" s="26"/>
      <c r="D138" s="26"/>
      <c r="E138" s="26"/>
    </row>
    <row r="139" spans="1:124">
      <c r="C139" s="26"/>
      <c r="D139" s="26"/>
      <c r="E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</row>
    <row r="140" spans="1:124"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</sheetData>
  <mergeCells count="43">
    <mergeCell ref="A89:C89"/>
    <mergeCell ref="M8:O8"/>
    <mergeCell ref="M9:O9"/>
    <mergeCell ref="A85:AC85"/>
    <mergeCell ref="A87:C88"/>
    <mergeCell ref="F87:AC87"/>
    <mergeCell ref="A101:C101"/>
    <mergeCell ref="A90:C90"/>
    <mergeCell ref="A91:C91"/>
    <mergeCell ref="A92:C92"/>
    <mergeCell ref="A93:C93"/>
    <mergeCell ref="A94:C94"/>
    <mergeCell ref="A95:C95"/>
    <mergeCell ref="A96:C96"/>
    <mergeCell ref="A97:C97"/>
    <mergeCell ref="A98:C98"/>
    <mergeCell ref="A99:C99"/>
    <mergeCell ref="A100:C100"/>
    <mergeCell ref="A114:C114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3:C113"/>
    <mergeCell ref="A111:C111"/>
    <mergeCell ref="A112:C112"/>
    <mergeCell ref="A128:C128"/>
    <mergeCell ref="A116:AC116"/>
    <mergeCell ref="A118:C119"/>
    <mergeCell ref="F118:AC118"/>
    <mergeCell ref="A120:C120"/>
    <mergeCell ref="A121:C121"/>
    <mergeCell ref="A122:C122"/>
    <mergeCell ref="A123:C123"/>
    <mergeCell ref="A124:C124"/>
    <mergeCell ref="A125:C125"/>
    <mergeCell ref="A126:C126"/>
    <mergeCell ref="A127:C127"/>
  </mergeCells>
  <conditionalFormatting sqref="G110:AC110 Z112:AC112 G112:X112">
    <cfRule type="cellIs" dxfId="9188" priority="330" operator="greaterThan">
      <formula>60.3</formula>
    </cfRule>
  </conditionalFormatting>
  <conditionalFormatting sqref="F110">
    <cfRule type="cellIs" dxfId="9187" priority="329" operator="greaterThan">
      <formula>60.3</formula>
    </cfRule>
  </conditionalFormatting>
  <conditionalFormatting sqref="H13:L13 W13:AC16 Q14:V16 H15:M16 P15:P16 N13:V13 G36:AC59 G62:AC64">
    <cfRule type="cellIs" dxfId="9186" priority="321" operator="equal">
      <formula>"PMS"</formula>
    </cfRule>
    <cfRule type="containsText" dxfId="9185" priority="322" operator="containsText" text="CMS">
      <formula>NOT(ISERROR(SEARCH("CMS",G13)))</formula>
    </cfRule>
    <cfRule type="cellIs" dxfId="9184" priority="323" operator="equal">
      <formula>0</formula>
    </cfRule>
    <cfRule type="cellIs" dxfId="9183" priority="324" operator="greaterThan">
      <formula>0</formula>
    </cfRule>
    <cfRule type="cellIs" dxfId="9182" priority="325" operator="equal">
      <formula>"PMS"</formula>
    </cfRule>
    <cfRule type="containsText" dxfId="9181" priority="326" operator="containsText" text="CMS">
      <formula>NOT(ISERROR(SEARCH("CMS",G13)))</formula>
    </cfRule>
    <cfRule type="cellIs" dxfId="9180" priority="327" operator="equal">
      <formula>0</formula>
    </cfRule>
    <cfRule type="cellIs" dxfId="9179" priority="328" operator="greaterThan">
      <formula>0</formula>
    </cfRule>
  </conditionalFormatting>
  <conditionalFormatting sqref="H13:L13 W13:AC16 Q14:V16 H15:M16 P15:P16 N13:V13 G36:AC59 G62:AC64">
    <cfRule type="cellIs" dxfId="9178" priority="317" operator="equal">
      <formula>"PMS"</formula>
    </cfRule>
    <cfRule type="containsText" dxfId="9177" priority="318" operator="containsText" text="CMS">
      <formula>NOT(ISERROR(SEARCH("CMS",G13)))</formula>
    </cfRule>
    <cfRule type="cellIs" dxfId="9176" priority="319" operator="equal">
      <formula>0</formula>
    </cfRule>
    <cfRule type="cellIs" dxfId="9175" priority="320" operator="greaterThan">
      <formula>0</formula>
    </cfRule>
  </conditionalFormatting>
  <conditionalFormatting sqref="G19:Q19 U19:AC19 G20:AC21 F19:F21">
    <cfRule type="cellIs" dxfId="9174" priority="309" operator="equal">
      <formula>"PMS"</formula>
    </cfRule>
    <cfRule type="containsText" dxfId="9173" priority="310" operator="containsText" text="CMS">
      <formula>NOT(ISERROR(SEARCH("CMS",F19)))</formula>
    </cfRule>
    <cfRule type="cellIs" dxfId="9172" priority="311" operator="equal">
      <formula>0</formula>
    </cfRule>
    <cfRule type="cellIs" dxfId="9171" priority="312" operator="greaterThan">
      <formula>0</formula>
    </cfRule>
    <cfRule type="cellIs" dxfId="9170" priority="313" operator="equal">
      <formula>"PMS"</formula>
    </cfRule>
    <cfRule type="containsText" dxfId="9169" priority="314" operator="containsText" text="CMS">
      <formula>NOT(ISERROR(SEARCH("CMS",F19)))</formula>
    </cfRule>
    <cfRule type="cellIs" dxfId="9168" priority="315" operator="equal">
      <formula>0</formula>
    </cfRule>
    <cfRule type="cellIs" dxfId="9167" priority="316" operator="greaterThan">
      <formula>0</formula>
    </cfRule>
  </conditionalFormatting>
  <conditionalFormatting sqref="G19:Q19 U19:AC19 G20:AC21 F19:F21">
    <cfRule type="cellIs" dxfId="9166" priority="305" operator="equal">
      <formula>"PMS"</formula>
    </cfRule>
    <cfRule type="containsText" dxfId="9165" priority="306" operator="containsText" text="CMS">
      <formula>NOT(ISERROR(SEARCH("CMS",F19)))</formula>
    </cfRule>
    <cfRule type="cellIs" dxfId="9164" priority="307" operator="equal">
      <formula>0</formula>
    </cfRule>
    <cfRule type="cellIs" dxfId="9163" priority="308" operator="greaterThan">
      <formula>0</formula>
    </cfRule>
  </conditionalFormatting>
  <conditionalFormatting sqref="V24:AC24 O24:S24 F24:M24">
    <cfRule type="cellIs" dxfId="9162" priority="297" operator="equal">
      <formula>"PMS"</formula>
    </cfRule>
    <cfRule type="containsText" dxfId="9161" priority="298" operator="containsText" text="CMS">
      <formula>NOT(ISERROR(SEARCH("CMS",F24)))</formula>
    </cfRule>
    <cfRule type="cellIs" dxfId="9160" priority="299" operator="equal">
      <formula>0</formula>
    </cfRule>
    <cfRule type="cellIs" dxfId="9159" priority="300" operator="greaterThan">
      <formula>0</formula>
    </cfRule>
    <cfRule type="cellIs" dxfId="9158" priority="301" operator="equal">
      <formula>"PMS"</formula>
    </cfRule>
    <cfRule type="containsText" dxfId="9157" priority="302" operator="containsText" text="CMS">
      <formula>NOT(ISERROR(SEARCH("CMS",F24)))</formula>
    </cfRule>
    <cfRule type="cellIs" dxfId="9156" priority="303" operator="equal">
      <formula>0</formula>
    </cfRule>
    <cfRule type="cellIs" dxfId="9155" priority="304" operator="greaterThan">
      <formula>0</formula>
    </cfRule>
  </conditionalFormatting>
  <conditionalFormatting sqref="V24:AC24 O24:S24 F24:M24">
    <cfRule type="cellIs" dxfId="9154" priority="293" operator="equal">
      <formula>"PMS"</formula>
    </cfRule>
    <cfRule type="containsText" dxfId="9153" priority="294" operator="containsText" text="CMS">
      <formula>NOT(ISERROR(SEARCH("CMS",F24)))</formula>
    </cfRule>
    <cfRule type="cellIs" dxfId="9152" priority="295" operator="equal">
      <formula>0</formula>
    </cfRule>
    <cfRule type="cellIs" dxfId="9151" priority="296" operator="greaterThan">
      <formula>0</formula>
    </cfRule>
  </conditionalFormatting>
  <conditionalFormatting sqref="G27:AC30">
    <cfRule type="cellIs" dxfId="9150" priority="285" operator="equal">
      <formula>"PMS"</formula>
    </cfRule>
    <cfRule type="containsText" dxfId="9149" priority="286" operator="containsText" text="CMS">
      <formula>NOT(ISERROR(SEARCH("CMS",G27)))</formula>
    </cfRule>
    <cfRule type="cellIs" dxfId="9148" priority="287" operator="equal">
      <formula>0</formula>
    </cfRule>
    <cfRule type="cellIs" dxfId="9147" priority="288" operator="greaterThan">
      <formula>0</formula>
    </cfRule>
    <cfRule type="cellIs" dxfId="9146" priority="289" operator="equal">
      <formula>"PMS"</formula>
    </cfRule>
    <cfRule type="containsText" dxfId="9145" priority="290" operator="containsText" text="CMS">
      <formula>NOT(ISERROR(SEARCH("CMS",G27)))</formula>
    </cfRule>
    <cfRule type="cellIs" dxfId="9144" priority="291" operator="equal">
      <formula>0</formula>
    </cfRule>
    <cfRule type="cellIs" dxfId="9143" priority="292" operator="greaterThan">
      <formula>0</formula>
    </cfRule>
  </conditionalFormatting>
  <conditionalFormatting sqref="G27:AC30">
    <cfRule type="cellIs" dxfId="9142" priority="281" operator="equal">
      <formula>"PMS"</formula>
    </cfRule>
    <cfRule type="containsText" dxfId="9141" priority="282" operator="containsText" text="CMS">
      <formula>NOT(ISERROR(SEARCH("CMS",G27)))</formula>
    </cfRule>
    <cfRule type="cellIs" dxfId="9140" priority="283" operator="equal">
      <formula>0</formula>
    </cfRule>
    <cfRule type="cellIs" dxfId="9139" priority="284" operator="greaterThan">
      <formula>0</formula>
    </cfRule>
  </conditionalFormatting>
  <conditionalFormatting sqref="G33:AC33">
    <cfRule type="cellIs" dxfId="9138" priority="273" operator="equal">
      <formula>"PMS"</formula>
    </cfRule>
    <cfRule type="containsText" dxfId="9137" priority="274" operator="containsText" text="CMS">
      <formula>NOT(ISERROR(SEARCH("CMS",G33)))</formula>
    </cfRule>
    <cfRule type="cellIs" dxfId="9136" priority="275" operator="equal">
      <formula>0</formula>
    </cfRule>
    <cfRule type="cellIs" dxfId="9135" priority="276" operator="greaterThan">
      <formula>0</formula>
    </cfRule>
    <cfRule type="cellIs" dxfId="9134" priority="277" operator="equal">
      <formula>"PMS"</formula>
    </cfRule>
    <cfRule type="containsText" dxfId="9133" priority="278" operator="containsText" text="CMS">
      <formula>NOT(ISERROR(SEARCH("CMS",G33)))</formula>
    </cfRule>
    <cfRule type="cellIs" dxfId="9132" priority="279" operator="equal">
      <formula>0</formula>
    </cfRule>
    <cfRule type="cellIs" dxfId="9131" priority="280" operator="greaterThan">
      <formula>0</formula>
    </cfRule>
  </conditionalFormatting>
  <conditionalFormatting sqref="G33:AC33">
    <cfRule type="cellIs" dxfId="9130" priority="269" operator="equal">
      <formula>"PMS"</formula>
    </cfRule>
    <cfRule type="containsText" dxfId="9129" priority="270" operator="containsText" text="CMS">
      <formula>NOT(ISERROR(SEARCH("CMS",G33)))</formula>
    </cfRule>
    <cfRule type="cellIs" dxfId="9128" priority="271" operator="equal">
      <formula>0</formula>
    </cfRule>
    <cfRule type="cellIs" dxfId="9127" priority="272" operator="greaterThan">
      <formula>0</formula>
    </cfRule>
  </conditionalFormatting>
  <conditionalFormatting sqref="G67:AC75 G78:Q79 S78:AC79">
    <cfRule type="cellIs" dxfId="9126" priority="261" operator="equal">
      <formula>"PMS"</formula>
    </cfRule>
    <cfRule type="containsText" dxfId="9125" priority="262" operator="containsText" text="CMS">
      <formula>NOT(ISERROR(SEARCH("CMS",G67)))</formula>
    </cfRule>
    <cfRule type="cellIs" dxfId="9124" priority="263" operator="equal">
      <formula>0</formula>
    </cfRule>
    <cfRule type="cellIs" dxfId="9123" priority="264" operator="greaterThan">
      <formula>0</formula>
    </cfRule>
    <cfRule type="cellIs" dxfId="9122" priority="265" operator="equal">
      <formula>"PMS"</formula>
    </cfRule>
    <cfRule type="containsText" dxfId="9121" priority="266" operator="containsText" text="CMS">
      <formula>NOT(ISERROR(SEARCH("CMS",G67)))</formula>
    </cfRule>
    <cfRule type="cellIs" dxfId="9120" priority="267" operator="equal">
      <formula>0</formula>
    </cfRule>
    <cfRule type="cellIs" dxfId="9119" priority="268" operator="greaterThan">
      <formula>0</formula>
    </cfRule>
  </conditionalFormatting>
  <conditionalFormatting sqref="G67:AC75 G78:Q79 S78:AC79">
    <cfRule type="cellIs" dxfId="9118" priority="257" operator="equal">
      <formula>"PMS"</formula>
    </cfRule>
    <cfRule type="containsText" dxfId="9117" priority="258" operator="containsText" text="CMS">
      <formula>NOT(ISERROR(SEARCH("CMS",G67)))</formula>
    </cfRule>
    <cfRule type="cellIs" dxfId="9116" priority="259" operator="equal">
      <formula>0</formula>
    </cfRule>
    <cfRule type="cellIs" dxfId="9115" priority="260" operator="greaterThan">
      <formula>0</formula>
    </cfRule>
  </conditionalFormatting>
  <conditionalFormatting sqref="G82:AC82">
    <cfRule type="cellIs" dxfId="9114" priority="249" operator="equal">
      <formula>"PMS"</formula>
    </cfRule>
    <cfRule type="containsText" dxfId="9113" priority="250" operator="containsText" text="CMS">
      <formula>NOT(ISERROR(SEARCH("CMS",G82)))</formula>
    </cfRule>
    <cfRule type="cellIs" dxfId="9112" priority="251" operator="equal">
      <formula>0</formula>
    </cfRule>
    <cfRule type="cellIs" dxfId="9111" priority="252" operator="greaterThan">
      <formula>0</formula>
    </cfRule>
    <cfRule type="cellIs" dxfId="9110" priority="253" operator="equal">
      <formula>"PMS"</formula>
    </cfRule>
    <cfRule type="containsText" dxfId="9109" priority="254" operator="containsText" text="CMS">
      <formula>NOT(ISERROR(SEARCH("CMS",G82)))</formula>
    </cfRule>
    <cfRule type="cellIs" dxfId="9108" priority="255" operator="equal">
      <formula>0</formula>
    </cfRule>
    <cfRule type="cellIs" dxfId="9107" priority="256" operator="greaterThan">
      <formula>0</formula>
    </cfRule>
  </conditionalFormatting>
  <conditionalFormatting sqref="G82:AC82">
    <cfRule type="cellIs" dxfId="9106" priority="245" operator="equal">
      <formula>"PMS"</formula>
    </cfRule>
    <cfRule type="containsText" dxfId="9105" priority="246" operator="containsText" text="CMS">
      <formula>NOT(ISERROR(SEARCH("CMS",G82)))</formula>
    </cfRule>
    <cfRule type="cellIs" dxfId="9104" priority="247" operator="equal">
      <formula>0</formula>
    </cfRule>
    <cfRule type="cellIs" dxfId="9103" priority="248" operator="greaterThan">
      <formula>0</formula>
    </cfRule>
  </conditionalFormatting>
  <conditionalFormatting sqref="N24">
    <cfRule type="cellIs" dxfId="9102" priority="237" operator="equal">
      <formula>"PMS"</formula>
    </cfRule>
    <cfRule type="containsText" dxfId="9101" priority="238" operator="containsText" text="CMS">
      <formula>NOT(ISERROR(SEARCH("CMS",N24)))</formula>
    </cfRule>
    <cfRule type="cellIs" dxfId="9100" priority="239" operator="equal">
      <formula>0</formula>
    </cfRule>
    <cfRule type="cellIs" dxfId="9099" priority="240" operator="greaterThan">
      <formula>0</formula>
    </cfRule>
    <cfRule type="cellIs" dxfId="9098" priority="241" operator="equal">
      <formula>"PMS"</formula>
    </cfRule>
    <cfRule type="containsText" dxfId="9097" priority="242" operator="containsText" text="CMS">
      <formula>NOT(ISERROR(SEARCH("CMS",N24)))</formula>
    </cfRule>
    <cfRule type="cellIs" dxfId="9096" priority="243" operator="equal">
      <formula>0</formula>
    </cfRule>
    <cfRule type="cellIs" dxfId="9095" priority="244" operator="greaterThan">
      <formula>0</formula>
    </cfRule>
  </conditionalFormatting>
  <conditionalFormatting sqref="N24">
    <cfRule type="cellIs" dxfId="9094" priority="233" operator="equal">
      <formula>"PMS"</formula>
    </cfRule>
    <cfRule type="containsText" dxfId="9093" priority="234" operator="containsText" text="CMS">
      <formula>NOT(ISERROR(SEARCH("CMS",N24)))</formula>
    </cfRule>
    <cfRule type="cellIs" dxfId="9092" priority="235" operator="equal">
      <formula>0</formula>
    </cfRule>
    <cfRule type="cellIs" dxfId="9091" priority="236" operator="greaterThan">
      <formula>0</formula>
    </cfRule>
  </conditionalFormatting>
  <conditionalFormatting sqref="T24:U24">
    <cfRule type="cellIs" dxfId="9090" priority="225" operator="equal">
      <formula>"PMS"</formula>
    </cfRule>
    <cfRule type="containsText" dxfId="9089" priority="226" operator="containsText" text="CMS">
      <formula>NOT(ISERROR(SEARCH("CMS",T24)))</formula>
    </cfRule>
    <cfRule type="cellIs" dxfId="9088" priority="227" operator="equal">
      <formula>0</formula>
    </cfRule>
    <cfRule type="cellIs" dxfId="9087" priority="228" operator="greaterThan">
      <formula>0</formula>
    </cfRule>
    <cfRule type="cellIs" dxfId="9086" priority="229" operator="equal">
      <formula>"PMS"</formula>
    </cfRule>
    <cfRule type="containsText" dxfId="9085" priority="230" operator="containsText" text="CMS">
      <formula>NOT(ISERROR(SEARCH("CMS",T24)))</formula>
    </cfRule>
    <cfRule type="cellIs" dxfId="9084" priority="231" operator="equal">
      <formula>0</formula>
    </cfRule>
    <cfRule type="cellIs" dxfId="9083" priority="232" operator="greaterThan">
      <formula>0</formula>
    </cfRule>
  </conditionalFormatting>
  <conditionalFormatting sqref="T24:U24">
    <cfRule type="cellIs" dxfId="9082" priority="221" operator="equal">
      <formula>"PMS"</formula>
    </cfRule>
    <cfRule type="containsText" dxfId="9081" priority="222" operator="containsText" text="CMS">
      <formula>NOT(ISERROR(SEARCH("CMS",T24)))</formula>
    </cfRule>
    <cfRule type="cellIs" dxfId="9080" priority="223" operator="equal">
      <formula>0</formula>
    </cfRule>
    <cfRule type="cellIs" dxfId="9079" priority="224" operator="greaterThan">
      <formula>0</formula>
    </cfRule>
  </conditionalFormatting>
  <conditionalFormatting sqref="H14:P14">
    <cfRule type="cellIs" dxfId="9078" priority="213" operator="equal">
      <formula>"PMS"</formula>
    </cfRule>
    <cfRule type="containsText" dxfId="9077" priority="214" operator="containsText" text="CMS">
      <formula>NOT(ISERROR(SEARCH("CMS",H14)))</formula>
    </cfRule>
    <cfRule type="cellIs" dxfId="9076" priority="215" operator="equal">
      <formula>0</formula>
    </cfRule>
    <cfRule type="cellIs" dxfId="9075" priority="216" operator="greaterThan">
      <formula>0</formula>
    </cfRule>
    <cfRule type="cellIs" dxfId="9074" priority="217" operator="equal">
      <formula>"PMS"</formula>
    </cfRule>
    <cfRule type="containsText" dxfId="9073" priority="218" operator="containsText" text="CMS">
      <formula>NOT(ISERROR(SEARCH("CMS",H14)))</formula>
    </cfRule>
    <cfRule type="cellIs" dxfId="9072" priority="219" operator="equal">
      <formula>0</formula>
    </cfRule>
    <cfRule type="cellIs" dxfId="9071" priority="220" operator="greaterThan">
      <formula>0</formula>
    </cfRule>
  </conditionalFormatting>
  <conditionalFormatting sqref="H14:P14">
    <cfRule type="cellIs" dxfId="9070" priority="209" operator="equal">
      <formula>"PMS"</formula>
    </cfRule>
    <cfRule type="containsText" dxfId="9069" priority="210" operator="containsText" text="CMS">
      <formula>NOT(ISERROR(SEARCH("CMS",H14)))</formula>
    </cfRule>
    <cfRule type="cellIs" dxfId="9068" priority="211" operator="equal">
      <formula>0</formula>
    </cfRule>
    <cfRule type="cellIs" dxfId="9067" priority="212" operator="greaterThan">
      <formula>0</formula>
    </cfRule>
  </conditionalFormatting>
  <conditionalFormatting sqref="F82">
    <cfRule type="cellIs" dxfId="9066" priority="201" operator="equal">
      <formula>"PMS"</formula>
    </cfRule>
    <cfRule type="containsText" dxfId="9065" priority="202" operator="containsText" text="CMS">
      <formula>NOT(ISERROR(SEARCH("CMS",F82)))</formula>
    </cfRule>
    <cfRule type="cellIs" dxfId="9064" priority="203" operator="equal">
      <formula>0</formula>
    </cfRule>
    <cfRule type="cellIs" dxfId="9063" priority="204" operator="greaterThan">
      <formula>0</formula>
    </cfRule>
    <cfRule type="cellIs" dxfId="9062" priority="205" operator="equal">
      <formula>"PMS"</formula>
    </cfRule>
    <cfRule type="containsText" dxfId="9061" priority="206" operator="containsText" text="CMS">
      <formula>NOT(ISERROR(SEARCH("CMS",F82)))</formula>
    </cfRule>
    <cfRule type="cellIs" dxfId="9060" priority="207" operator="equal">
      <formula>0</formula>
    </cfRule>
    <cfRule type="cellIs" dxfId="9059" priority="208" operator="greaterThan">
      <formula>0</formula>
    </cfRule>
  </conditionalFormatting>
  <conditionalFormatting sqref="F82">
    <cfRule type="cellIs" dxfId="9058" priority="197" operator="equal">
      <formula>"PMS"</formula>
    </cfRule>
    <cfRule type="containsText" dxfId="9057" priority="198" operator="containsText" text="CMS">
      <formula>NOT(ISERROR(SEARCH("CMS",F82)))</formula>
    </cfRule>
    <cfRule type="cellIs" dxfId="9056" priority="199" operator="equal">
      <formula>0</formula>
    </cfRule>
    <cfRule type="cellIs" dxfId="9055" priority="200" operator="greaterThan">
      <formula>0</formula>
    </cfRule>
  </conditionalFormatting>
  <conditionalFormatting sqref="R19:T19">
    <cfRule type="cellIs" dxfId="9054" priority="189" operator="equal">
      <formula>"PMS"</formula>
    </cfRule>
    <cfRule type="containsText" dxfId="9053" priority="190" operator="containsText" text="CMS">
      <formula>NOT(ISERROR(SEARCH("CMS",R19)))</formula>
    </cfRule>
    <cfRule type="cellIs" dxfId="9052" priority="191" operator="equal">
      <formula>0</formula>
    </cfRule>
    <cfRule type="cellIs" dxfId="9051" priority="192" operator="greaterThan">
      <formula>0</formula>
    </cfRule>
    <cfRule type="cellIs" dxfId="9050" priority="193" operator="equal">
      <formula>"PMS"</formula>
    </cfRule>
    <cfRule type="containsText" dxfId="9049" priority="194" operator="containsText" text="CMS">
      <formula>NOT(ISERROR(SEARCH("CMS",R19)))</formula>
    </cfRule>
    <cfRule type="cellIs" dxfId="9048" priority="195" operator="equal">
      <formula>0</formula>
    </cfRule>
    <cfRule type="cellIs" dxfId="9047" priority="196" operator="greaterThan">
      <formula>0</formula>
    </cfRule>
  </conditionalFormatting>
  <conditionalFormatting sqref="R19:T19">
    <cfRule type="cellIs" dxfId="9046" priority="185" operator="equal">
      <formula>"PMS"</formula>
    </cfRule>
    <cfRule type="containsText" dxfId="9045" priority="186" operator="containsText" text="CMS">
      <formula>NOT(ISERROR(SEARCH("CMS",R19)))</formula>
    </cfRule>
    <cfRule type="cellIs" dxfId="9044" priority="187" operator="equal">
      <formula>0</formula>
    </cfRule>
    <cfRule type="cellIs" dxfId="9043" priority="188" operator="greaterThan">
      <formula>0</formula>
    </cfRule>
  </conditionalFormatting>
  <conditionalFormatting sqref="G13:G16">
    <cfRule type="cellIs" dxfId="9042" priority="177" operator="equal">
      <formula>"PMS"</formula>
    </cfRule>
    <cfRule type="containsText" dxfId="9041" priority="178" operator="containsText" text="CMS">
      <formula>NOT(ISERROR(SEARCH("CMS",G13)))</formula>
    </cfRule>
    <cfRule type="cellIs" dxfId="9040" priority="179" operator="equal">
      <formula>0</formula>
    </cfRule>
    <cfRule type="cellIs" dxfId="9039" priority="180" operator="greaterThan">
      <formula>0</formula>
    </cfRule>
    <cfRule type="cellIs" dxfId="9038" priority="181" operator="equal">
      <formula>"PMS"</formula>
    </cfRule>
    <cfRule type="containsText" dxfId="9037" priority="182" operator="containsText" text="CMS">
      <formula>NOT(ISERROR(SEARCH("CMS",G13)))</formula>
    </cfRule>
    <cfRule type="cellIs" dxfId="9036" priority="183" operator="equal">
      <formula>0</formula>
    </cfRule>
    <cfRule type="cellIs" dxfId="9035" priority="184" operator="greaterThan">
      <formula>0</formula>
    </cfRule>
  </conditionalFormatting>
  <conditionalFormatting sqref="G13:G16">
    <cfRule type="cellIs" dxfId="9034" priority="173" operator="equal">
      <formula>"PMS"</formula>
    </cfRule>
    <cfRule type="containsText" dxfId="9033" priority="174" operator="containsText" text="CMS">
      <formula>NOT(ISERROR(SEARCH("CMS",G13)))</formula>
    </cfRule>
    <cfRule type="cellIs" dxfId="9032" priority="175" operator="equal">
      <formula>0</formula>
    </cfRule>
    <cfRule type="cellIs" dxfId="9031" priority="176" operator="greaterThan">
      <formula>0</formula>
    </cfRule>
  </conditionalFormatting>
  <conditionalFormatting sqref="M13">
    <cfRule type="cellIs" dxfId="9030" priority="165" operator="equal">
      <formula>"PMS"</formula>
    </cfRule>
    <cfRule type="containsText" dxfId="9029" priority="166" operator="containsText" text="CMS">
      <formula>NOT(ISERROR(SEARCH("CMS",M13)))</formula>
    </cfRule>
    <cfRule type="cellIs" dxfId="9028" priority="167" operator="equal">
      <formula>0</formula>
    </cfRule>
    <cfRule type="cellIs" dxfId="9027" priority="168" operator="greaterThan">
      <formula>0</formula>
    </cfRule>
    <cfRule type="cellIs" dxfId="9026" priority="169" operator="equal">
      <formula>"PMS"</formula>
    </cfRule>
    <cfRule type="containsText" dxfId="9025" priority="170" operator="containsText" text="CMS">
      <formula>NOT(ISERROR(SEARCH("CMS",M13)))</formula>
    </cfRule>
    <cfRule type="cellIs" dxfId="9024" priority="171" operator="equal">
      <formula>0</formula>
    </cfRule>
    <cfRule type="cellIs" dxfId="9023" priority="172" operator="greaterThan">
      <formula>0</formula>
    </cfRule>
  </conditionalFormatting>
  <conditionalFormatting sqref="M13">
    <cfRule type="cellIs" dxfId="9022" priority="161" operator="equal">
      <formula>"PMS"</formula>
    </cfRule>
    <cfRule type="containsText" dxfId="9021" priority="162" operator="containsText" text="CMS">
      <formula>NOT(ISERROR(SEARCH("CMS",M13)))</formula>
    </cfRule>
    <cfRule type="cellIs" dxfId="9020" priority="163" operator="equal">
      <formula>0</formula>
    </cfRule>
    <cfRule type="cellIs" dxfId="9019" priority="164" operator="greaterThan">
      <formula>0</formula>
    </cfRule>
  </conditionalFormatting>
  <conditionalFormatting sqref="R78:R79">
    <cfRule type="cellIs" dxfId="9018" priority="153" operator="equal">
      <formula>"PMS"</formula>
    </cfRule>
    <cfRule type="containsText" dxfId="9017" priority="154" operator="containsText" text="CMS">
      <formula>NOT(ISERROR(SEARCH("CMS",R78)))</formula>
    </cfRule>
    <cfRule type="cellIs" dxfId="9016" priority="155" operator="equal">
      <formula>0</formula>
    </cfRule>
    <cfRule type="cellIs" dxfId="9015" priority="156" operator="greaterThan">
      <formula>0</formula>
    </cfRule>
    <cfRule type="cellIs" dxfId="9014" priority="157" operator="equal">
      <formula>"PMS"</formula>
    </cfRule>
    <cfRule type="containsText" dxfId="9013" priority="158" operator="containsText" text="CMS">
      <formula>NOT(ISERROR(SEARCH("CMS",R78)))</formula>
    </cfRule>
    <cfRule type="cellIs" dxfId="9012" priority="159" operator="equal">
      <formula>0</formula>
    </cfRule>
    <cfRule type="cellIs" dxfId="9011" priority="160" operator="greaterThan">
      <formula>0</formula>
    </cfRule>
  </conditionalFormatting>
  <conditionalFormatting sqref="R78:R79">
    <cfRule type="cellIs" dxfId="9010" priority="149" operator="equal">
      <formula>"PMS"</formula>
    </cfRule>
    <cfRule type="containsText" dxfId="9009" priority="150" operator="containsText" text="CMS">
      <formula>NOT(ISERROR(SEARCH("CMS",R78)))</formula>
    </cfRule>
    <cfRule type="cellIs" dxfId="9008" priority="151" operator="equal">
      <formula>0</formula>
    </cfRule>
    <cfRule type="cellIs" dxfId="9007" priority="152" operator="greaterThan">
      <formula>0</formula>
    </cfRule>
  </conditionalFormatting>
  <conditionalFormatting sqref="F36:F59">
    <cfRule type="cellIs" dxfId="9006" priority="141" operator="equal">
      <formula>"PMS"</formula>
    </cfRule>
    <cfRule type="containsText" dxfId="9005" priority="142" operator="containsText" text="CMS">
      <formula>NOT(ISERROR(SEARCH("CMS",F36)))</formula>
    </cfRule>
    <cfRule type="cellIs" dxfId="9004" priority="143" operator="equal">
      <formula>0</formula>
    </cfRule>
    <cfRule type="cellIs" dxfId="9003" priority="144" operator="greaterThan">
      <formula>0</formula>
    </cfRule>
    <cfRule type="cellIs" dxfId="9002" priority="145" operator="equal">
      <formula>"PMS"</formula>
    </cfRule>
    <cfRule type="containsText" dxfId="9001" priority="146" operator="containsText" text="CMS">
      <formula>NOT(ISERROR(SEARCH("CMS",F36)))</formula>
    </cfRule>
    <cfRule type="cellIs" dxfId="9000" priority="147" operator="equal">
      <formula>0</formula>
    </cfRule>
    <cfRule type="cellIs" dxfId="8999" priority="148" operator="greaterThan">
      <formula>0</formula>
    </cfRule>
  </conditionalFormatting>
  <conditionalFormatting sqref="F36:F59">
    <cfRule type="cellIs" dxfId="8998" priority="137" operator="equal">
      <formula>"PMS"</formula>
    </cfRule>
    <cfRule type="containsText" dxfId="8997" priority="138" operator="containsText" text="CMS">
      <formula>NOT(ISERROR(SEARCH("CMS",F36)))</formula>
    </cfRule>
    <cfRule type="cellIs" dxfId="8996" priority="139" operator="equal">
      <formula>0</formula>
    </cfRule>
    <cfRule type="cellIs" dxfId="8995" priority="140" operator="greaterThan">
      <formula>0</formula>
    </cfRule>
  </conditionalFormatting>
  <conditionalFormatting sqref="F27:F30">
    <cfRule type="cellIs" dxfId="8994" priority="105" operator="equal">
      <formula>"PMS"</formula>
    </cfRule>
    <cfRule type="containsText" dxfId="8993" priority="106" operator="containsText" text="CMS">
      <formula>NOT(ISERROR(SEARCH("CMS",F27)))</formula>
    </cfRule>
    <cfRule type="cellIs" dxfId="8992" priority="107" operator="equal">
      <formula>0</formula>
    </cfRule>
    <cfRule type="cellIs" dxfId="8991" priority="108" operator="greaterThan">
      <formula>0</formula>
    </cfRule>
    <cfRule type="cellIs" dxfId="8990" priority="109" operator="equal">
      <formula>"PMS"</formula>
    </cfRule>
    <cfRule type="containsText" dxfId="8989" priority="110" operator="containsText" text="CMS">
      <formula>NOT(ISERROR(SEARCH("CMS",F27)))</formula>
    </cfRule>
    <cfRule type="cellIs" dxfId="8988" priority="111" operator="equal">
      <formula>0</formula>
    </cfRule>
    <cfRule type="cellIs" dxfId="8987" priority="112" operator="greaterThan">
      <formula>0</formula>
    </cfRule>
  </conditionalFormatting>
  <conditionalFormatting sqref="F27:F30">
    <cfRule type="cellIs" dxfId="8986" priority="101" operator="equal">
      <formula>"PMS"</formula>
    </cfRule>
    <cfRule type="containsText" dxfId="8985" priority="102" operator="containsText" text="CMS">
      <formula>NOT(ISERROR(SEARCH("CMS",F27)))</formula>
    </cfRule>
    <cfRule type="cellIs" dxfId="8984" priority="103" operator="equal">
      <formula>0</formula>
    </cfRule>
    <cfRule type="cellIs" dxfId="8983" priority="104" operator="greaterThan">
      <formula>0</formula>
    </cfRule>
  </conditionalFormatting>
  <conditionalFormatting sqref="F33">
    <cfRule type="cellIs" dxfId="8982" priority="93" operator="equal">
      <formula>"PMS"</formula>
    </cfRule>
    <cfRule type="containsText" dxfId="8981" priority="94" operator="containsText" text="CMS">
      <formula>NOT(ISERROR(SEARCH("CMS",F33)))</formula>
    </cfRule>
    <cfRule type="cellIs" dxfId="8980" priority="95" operator="equal">
      <formula>0</formula>
    </cfRule>
    <cfRule type="cellIs" dxfId="8979" priority="96" operator="greaterThan">
      <formula>0</formula>
    </cfRule>
    <cfRule type="cellIs" dxfId="8978" priority="97" operator="equal">
      <formula>"PMS"</formula>
    </cfRule>
    <cfRule type="containsText" dxfId="8977" priority="98" operator="containsText" text="CMS">
      <formula>NOT(ISERROR(SEARCH("CMS",F33)))</formula>
    </cfRule>
    <cfRule type="cellIs" dxfId="8976" priority="99" operator="equal">
      <formula>0</formula>
    </cfRule>
    <cfRule type="cellIs" dxfId="8975" priority="100" operator="greaterThan">
      <formula>0</formula>
    </cfRule>
  </conditionalFormatting>
  <conditionalFormatting sqref="F33">
    <cfRule type="cellIs" dxfId="8974" priority="89" operator="equal">
      <formula>"PMS"</formula>
    </cfRule>
    <cfRule type="containsText" dxfId="8973" priority="90" operator="containsText" text="CMS">
      <formula>NOT(ISERROR(SEARCH("CMS",F33)))</formula>
    </cfRule>
    <cfRule type="cellIs" dxfId="8972" priority="91" operator="equal">
      <formula>0</formula>
    </cfRule>
    <cfRule type="cellIs" dxfId="8971" priority="92" operator="greaterThan">
      <formula>0</formula>
    </cfRule>
  </conditionalFormatting>
  <conditionalFormatting sqref="F67:F75 F78:F79">
    <cfRule type="cellIs" dxfId="8970" priority="81" operator="equal">
      <formula>"PMS"</formula>
    </cfRule>
    <cfRule type="containsText" dxfId="8969" priority="82" operator="containsText" text="CMS">
      <formula>NOT(ISERROR(SEARCH("CMS",F67)))</formula>
    </cfRule>
    <cfRule type="cellIs" dxfId="8968" priority="83" operator="equal">
      <formula>0</formula>
    </cfRule>
    <cfRule type="cellIs" dxfId="8967" priority="84" operator="greaterThan">
      <formula>0</formula>
    </cfRule>
    <cfRule type="cellIs" dxfId="8966" priority="85" operator="equal">
      <formula>"PMS"</formula>
    </cfRule>
    <cfRule type="containsText" dxfId="8965" priority="86" operator="containsText" text="CMS">
      <formula>NOT(ISERROR(SEARCH("CMS",F67)))</formula>
    </cfRule>
    <cfRule type="cellIs" dxfId="8964" priority="87" operator="equal">
      <formula>0</formula>
    </cfRule>
    <cfRule type="cellIs" dxfId="8963" priority="88" operator="greaterThan">
      <formula>0</formula>
    </cfRule>
  </conditionalFormatting>
  <conditionalFormatting sqref="F67:F75 F78:F79">
    <cfRule type="cellIs" dxfId="8962" priority="77" operator="equal">
      <formula>"PMS"</formula>
    </cfRule>
    <cfRule type="containsText" dxfId="8961" priority="78" operator="containsText" text="CMS">
      <formula>NOT(ISERROR(SEARCH("CMS",F67)))</formula>
    </cfRule>
    <cfRule type="cellIs" dxfId="8960" priority="79" operator="equal">
      <formula>0</formula>
    </cfRule>
    <cfRule type="cellIs" dxfId="8959" priority="80" operator="greaterThan">
      <formula>0</formula>
    </cfRule>
  </conditionalFormatting>
  <conditionalFormatting sqref="F13:F16">
    <cfRule type="cellIs" dxfId="8958" priority="69" operator="equal">
      <formula>"PMS"</formula>
    </cfRule>
    <cfRule type="containsText" dxfId="8957" priority="70" operator="containsText" text="CMS">
      <formula>NOT(ISERROR(SEARCH("CMS",F13)))</formula>
    </cfRule>
    <cfRule type="cellIs" dxfId="8956" priority="71" operator="equal">
      <formula>0</formula>
    </cfRule>
    <cfRule type="cellIs" dxfId="8955" priority="72" operator="greaterThan">
      <formula>0</formula>
    </cfRule>
    <cfRule type="cellIs" dxfId="8954" priority="73" operator="equal">
      <formula>"PMS"</formula>
    </cfRule>
    <cfRule type="containsText" dxfId="8953" priority="74" operator="containsText" text="CMS">
      <formula>NOT(ISERROR(SEARCH("CMS",F13)))</formula>
    </cfRule>
    <cfRule type="cellIs" dxfId="8952" priority="75" operator="equal">
      <formula>0</formula>
    </cfRule>
    <cfRule type="cellIs" dxfId="8951" priority="76" operator="greaterThan">
      <formula>0</formula>
    </cfRule>
  </conditionalFormatting>
  <conditionalFormatting sqref="F13:F16">
    <cfRule type="cellIs" dxfId="8950" priority="65" operator="equal">
      <formula>"PMS"</formula>
    </cfRule>
    <cfRule type="containsText" dxfId="8949" priority="66" operator="containsText" text="CMS">
      <formula>NOT(ISERROR(SEARCH("CMS",F13)))</formula>
    </cfRule>
    <cfRule type="cellIs" dxfId="8948" priority="67" operator="equal">
      <formula>0</formula>
    </cfRule>
    <cfRule type="cellIs" dxfId="8947" priority="68" operator="greaterThan">
      <formula>0</formula>
    </cfRule>
  </conditionalFormatting>
  <conditionalFormatting sqref="F62:F64">
    <cfRule type="cellIs" dxfId="8946" priority="57" operator="equal">
      <formula>"PMS"</formula>
    </cfRule>
    <cfRule type="containsText" dxfId="8945" priority="58" operator="containsText" text="CMS">
      <formula>NOT(ISERROR(SEARCH("CMS",F62)))</formula>
    </cfRule>
    <cfRule type="cellIs" dxfId="8944" priority="59" operator="equal">
      <formula>0</formula>
    </cfRule>
    <cfRule type="cellIs" dxfId="8943" priority="60" operator="greaterThan">
      <formula>0</formula>
    </cfRule>
    <cfRule type="cellIs" dxfId="8942" priority="61" operator="equal">
      <formula>"PMS"</formula>
    </cfRule>
    <cfRule type="containsText" dxfId="8941" priority="62" operator="containsText" text="CMS">
      <formula>NOT(ISERROR(SEARCH("CMS",F62)))</formula>
    </cfRule>
    <cfRule type="cellIs" dxfId="8940" priority="63" operator="equal">
      <formula>0</formula>
    </cfRule>
    <cfRule type="cellIs" dxfId="8939" priority="64" operator="greaterThan">
      <formula>0</formula>
    </cfRule>
  </conditionalFormatting>
  <conditionalFormatting sqref="F62:F64">
    <cfRule type="cellIs" dxfId="8938" priority="53" operator="equal">
      <formula>"PMS"</formula>
    </cfRule>
    <cfRule type="containsText" dxfId="8937" priority="54" operator="containsText" text="CMS">
      <formula>NOT(ISERROR(SEARCH("CMS",F62)))</formula>
    </cfRule>
    <cfRule type="cellIs" dxfId="8936" priority="55" operator="equal">
      <formula>0</formula>
    </cfRule>
    <cfRule type="cellIs" dxfId="8935" priority="56" operator="greaterThan">
      <formula>0</formula>
    </cfRule>
  </conditionalFormatting>
  <conditionalFormatting sqref="N15">
    <cfRule type="cellIs" dxfId="8934" priority="45" operator="equal">
      <formula>"PMS"</formula>
    </cfRule>
    <cfRule type="containsText" dxfId="8933" priority="46" operator="containsText" text="CMS">
      <formula>NOT(ISERROR(SEARCH("CMS",N15)))</formula>
    </cfRule>
    <cfRule type="cellIs" dxfId="8932" priority="47" operator="equal">
      <formula>0</formula>
    </cfRule>
    <cfRule type="cellIs" dxfId="8931" priority="48" operator="greaterThan">
      <formula>0</formula>
    </cfRule>
    <cfRule type="cellIs" dxfId="8930" priority="49" operator="equal">
      <formula>"PMS"</formula>
    </cfRule>
    <cfRule type="containsText" dxfId="8929" priority="50" operator="containsText" text="CMS">
      <formula>NOT(ISERROR(SEARCH("CMS",N15)))</formula>
    </cfRule>
    <cfRule type="cellIs" dxfId="8928" priority="51" operator="equal">
      <formula>0</formula>
    </cfRule>
    <cfRule type="cellIs" dxfId="8927" priority="52" operator="greaterThan">
      <formula>0</formula>
    </cfRule>
  </conditionalFormatting>
  <conditionalFormatting sqref="N15">
    <cfRule type="cellIs" dxfId="8926" priority="41" operator="equal">
      <formula>"PMS"</formula>
    </cfRule>
    <cfRule type="containsText" dxfId="8925" priority="42" operator="containsText" text="CMS">
      <formula>NOT(ISERROR(SEARCH("CMS",N15)))</formula>
    </cfRule>
    <cfRule type="cellIs" dxfId="8924" priority="43" operator="equal">
      <formula>0</formula>
    </cfRule>
    <cfRule type="cellIs" dxfId="8923" priority="44" operator="greaterThan">
      <formula>0</formula>
    </cfRule>
  </conditionalFormatting>
  <conditionalFormatting sqref="N16">
    <cfRule type="cellIs" dxfId="8922" priority="33" operator="equal">
      <formula>"PMS"</formula>
    </cfRule>
    <cfRule type="containsText" dxfId="8921" priority="34" operator="containsText" text="CMS">
      <formula>NOT(ISERROR(SEARCH("CMS",N16)))</formula>
    </cfRule>
    <cfRule type="cellIs" dxfId="8920" priority="35" operator="equal">
      <formula>0</formula>
    </cfRule>
    <cfRule type="cellIs" dxfId="8919" priority="36" operator="greaterThan">
      <formula>0</formula>
    </cfRule>
    <cfRule type="cellIs" dxfId="8918" priority="37" operator="equal">
      <formula>"PMS"</formula>
    </cfRule>
    <cfRule type="containsText" dxfId="8917" priority="38" operator="containsText" text="CMS">
      <formula>NOT(ISERROR(SEARCH("CMS",N16)))</formula>
    </cfRule>
    <cfRule type="cellIs" dxfId="8916" priority="39" operator="equal">
      <formula>0</formula>
    </cfRule>
    <cfRule type="cellIs" dxfId="8915" priority="40" operator="greaterThan">
      <formula>0</formula>
    </cfRule>
  </conditionalFormatting>
  <conditionalFormatting sqref="N16">
    <cfRule type="cellIs" dxfId="8914" priority="29" operator="equal">
      <formula>"PMS"</formula>
    </cfRule>
    <cfRule type="containsText" dxfId="8913" priority="30" operator="containsText" text="CMS">
      <formula>NOT(ISERROR(SEARCH("CMS",N16)))</formula>
    </cfRule>
    <cfRule type="cellIs" dxfId="8912" priority="31" operator="equal">
      <formula>0</formula>
    </cfRule>
    <cfRule type="cellIs" dxfId="8911" priority="32" operator="greaterThan">
      <formula>0</formula>
    </cfRule>
  </conditionalFormatting>
  <conditionalFormatting sqref="O15">
    <cfRule type="cellIs" dxfId="8910" priority="21" operator="equal">
      <formula>"PMS"</formula>
    </cfRule>
    <cfRule type="containsText" dxfId="8909" priority="22" operator="containsText" text="CMS">
      <formula>NOT(ISERROR(SEARCH("CMS",O15)))</formula>
    </cfRule>
    <cfRule type="cellIs" dxfId="8908" priority="23" operator="equal">
      <formula>0</formula>
    </cfRule>
    <cfRule type="cellIs" dxfId="8907" priority="24" operator="greaterThan">
      <formula>0</formula>
    </cfRule>
    <cfRule type="cellIs" dxfId="8906" priority="25" operator="equal">
      <formula>"PMS"</formula>
    </cfRule>
    <cfRule type="containsText" dxfId="8905" priority="26" operator="containsText" text="CMS">
      <formula>NOT(ISERROR(SEARCH("CMS",O15)))</formula>
    </cfRule>
    <cfRule type="cellIs" dxfId="8904" priority="27" operator="equal">
      <formula>0</formula>
    </cfRule>
    <cfRule type="cellIs" dxfId="8903" priority="28" operator="greaterThan">
      <formula>0</formula>
    </cfRule>
  </conditionalFormatting>
  <conditionalFormatting sqref="O15">
    <cfRule type="cellIs" dxfId="8902" priority="17" operator="equal">
      <formula>"PMS"</formula>
    </cfRule>
    <cfRule type="containsText" dxfId="8901" priority="18" operator="containsText" text="CMS">
      <formula>NOT(ISERROR(SEARCH("CMS",O15)))</formula>
    </cfRule>
    <cfRule type="cellIs" dxfId="8900" priority="19" operator="equal">
      <formula>0</formula>
    </cfRule>
    <cfRule type="cellIs" dxfId="8899" priority="20" operator="greaterThan">
      <formula>0</formula>
    </cfRule>
  </conditionalFormatting>
  <conditionalFormatting sqref="O16">
    <cfRule type="cellIs" dxfId="8898" priority="9" operator="equal">
      <formula>"PMS"</formula>
    </cfRule>
    <cfRule type="containsText" dxfId="8897" priority="10" operator="containsText" text="CMS">
      <formula>NOT(ISERROR(SEARCH("CMS",O16)))</formula>
    </cfRule>
    <cfRule type="cellIs" dxfId="8896" priority="11" operator="equal">
      <formula>0</formula>
    </cfRule>
    <cfRule type="cellIs" dxfId="8895" priority="12" operator="greaterThan">
      <formula>0</formula>
    </cfRule>
    <cfRule type="cellIs" dxfId="8894" priority="13" operator="equal">
      <formula>"PMS"</formula>
    </cfRule>
    <cfRule type="containsText" dxfId="8893" priority="14" operator="containsText" text="CMS">
      <formula>NOT(ISERROR(SEARCH("CMS",O16)))</formula>
    </cfRule>
    <cfRule type="cellIs" dxfId="8892" priority="15" operator="equal">
      <formula>0</formula>
    </cfRule>
    <cfRule type="cellIs" dxfId="8891" priority="16" operator="greaterThan">
      <formula>0</formula>
    </cfRule>
  </conditionalFormatting>
  <conditionalFormatting sqref="O16">
    <cfRule type="cellIs" dxfId="8890" priority="5" operator="equal">
      <formula>"PMS"</formula>
    </cfRule>
    <cfRule type="containsText" dxfId="8889" priority="6" operator="containsText" text="CMS">
      <formula>NOT(ISERROR(SEARCH("CMS",O16)))</formula>
    </cfRule>
    <cfRule type="cellIs" dxfId="8888" priority="7" operator="equal">
      <formula>0</formula>
    </cfRule>
    <cfRule type="cellIs" dxfId="8887" priority="8" operator="greaterThan">
      <formula>0</formula>
    </cfRule>
  </conditionalFormatting>
  <conditionalFormatting sqref="F111:M111">
    <cfRule type="cellIs" dxfId="8886" priority="4" operator="greaterThan">
      <formula>60.3</formula>
    </cfRule>
  </conditionalFormatting>
  <conditionalFormatting sqref="N111:AC111">
    <cfRule type="cellIs" dxfId="8885" priority="3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7795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3FB8D6-FB25-4835-831F-7EF697EB46BF}">
  <sheetPr codeName="Sheet160"/>
  <dimension ref="A2:DT140"/>
  <sheetViews>
    <sheetView zoomScale="70" zoomScaleNormal="70" zoomScaleSheetLayoutView="51" zoomScalePageLayoutView="55" workbookViewId="0">
      <pane xSplit="5" ySplit="11" topLeftCell="F23" activePane="bottomRight" state="frozen"/>
      <selection pane="bottomRight" activeCell="Y102" sqref="Y102"/>
      <selection pane="bottomLeft" activeCell="AJ44" sqref="AJ44"/>
      <selection pane="topRight" activeCell="AJ44" sqref="AJ4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4.140625" customWidth="1"/>
    <col min="31" max="31" width="4.425781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4">
      <c r="C2" s="16"/>
      <c r="D2" s="23" t="s">
        <v>1</v>
      </c>
      <c r="E2" s="22" t="s">
        <v>2</v>
      </c>
      <c r="F2" s="22"/>
    </row>
    <row r="3" spans="1:44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4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  <c r="AR4">
        <f>2.73/2</f>
        <v>1.365</v>
      </c>
    </row>
    <row r="5" spans="1:44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4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4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4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23"/>
      <c r="N8" s="523"/>
      <c r="O8" s="52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4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24" t="e" cm="1">
        <f t="array" aca="1" ref="M9" ca="1">TEXT(TODAY(),"mmmm")&amp;" "&amp;MID(CELL("filename",A1),FIND("]",CELL("filename",A1))+1,255)&amp;", "&amp;TEXT(TODAY(),"yyyy")</f>
        <v>#VALUE!</v>
      </c>
      <c r="N9" s="524"/>
      <c r="O9" s="524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4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4"/>
      <c r="R10" s="344"/>
      <c r="S10" s="344"/>
      <c r="T10" s="344"/>
      <c r="U10" s="344"/>
      <c r="V10" s="344"/>
      <c r="W10" s="344"/>
      <c r="X10" s="344"/>
      <c r="Y10" s="344"/>
      <c r="Z10" s="344"/>
      <c r="AA10" s="344"/>
      <c r="AB10" s="344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4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4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17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503.40000000000009</v>
      </c>
    </row>
    <row r="13" spans="1:44">
      <c r="A13" s="14" t="s">
        <v>22</v>
      </c>
      <c r="B13" s="15"/>
      <c r="C13" s="15">
        <v>7.2</v>
      </c>
      <c r="D13" s="15"/>
      <c r="E13" s="15"/>
      <c r="F13" s="372">
        <v>6.6</v>
      </c>
      <c r="G13" s="372">
        <v>6.7</v>
      </c>
      <c r="H13" s="372">
        <v>6.6</v>
      </c>
      <c r="I13" s="372">
        <v>6.7</v>
      </c>
      <c r="J13" s="372">
        <v>6.6</v>
      </c>
      <c r="K13" s="372">
        <v>6.5</v>
      </c>
      <c r="L13" s="374">
        <v>6.7</v>
      </c>
      <c r="M13" s="372">
        <v>6.3</v>
      </c>
      <c r="N13" s="372">
        <v>6.8</v>
      </c>
      <c r="O13" s="372">
        <v>6.8</v>
      </c>
      <c r="P13" s="372">
        <v>6.8</v>
      </c>
      <c r="Q13" s="372">
        <v>6.4</v>
      </c>
      <c r="R13" s="372">
        <v>6.6</v>
      </c>
      <c r="S13" s="372">
        <v>6.7</v>
      </c>
      <c r="T13" s="372">
        <v>5.2</v>
      </c>
      <c r="U13" s="372">
        <v>4.0999999999999996</v>
      </c>
      <c r="V13" s="372">
        <v>6.5</v>
      </c>
      <c r="W13" s="372">
        <v>6.4</v>
      </c>
      <c r="X13" s="372">
        <v>6.4</v>
      </c>
      <c r="Y13" s="372">
        <v>6.7</v>
      </c>
      <c r="Z13" s="372">
        <v>6.8</v>
      </c>
      <c r="AA13" s="372">
        <v>6.7</v>
      </c>
      <c r="AB13" s="372">
        <v>6.5</v>
      </c>
      <c r="AC13" s="372">
        <v>0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4">
      <c r="A14" s="14" t="s">
        <v>23</v>
      </c>
      <c r="B14" s="15"/>
      <c r="C14" s="15">
        <v>7.2</v>
      </c>
      <c r="D14" s="15"/>
      <c r="E14" s="15"/>
      <c r="F14" s="372" t="s">
        <v>9</v>
      </c>
      <c r="G14" s="372" t="s">
        <v>9</v>
      </c>
      <c r="H14" s="374" t="s">
        <v>9</v>
      </c>
      <c r="I14" s="372" t="s">
        <v>9</v>
      </c>
      <c r="J14" s="372" t="s">
        <v>9</v>
      </c>
      <c r="K14" s="372" t="s">
        <v>9</v>
      </c>
      <c r="L14" s="372" t="s">
        <v>9</v>
      </c>
      <c r="M14" s="372" t="s">
        <v>9</v>
      </c>
      <c r="N14" s="372" t="s">
        <v>9</v>
      </c>
      <c r="O14" s="372" t="s">
        <v>9</v>
      </c>
      <c r="P14" s="372" t="s">
        <v>9</v>
      </c>
      <c r="Q14" s="372" t="s">
        <v>9</v>
      </c>
      <c r="R14" s="372" t="s">
        <v>9</v>
      </c>
      <c r="S14" s="372" t="s">
        <v>9</v>
      </c>
      <c r="T14" s="372">
        <v>3.4</v>
      </c>
      <c r="U14" s="372">
        <v>6.7</v>
      </c>
      <c r="V14" s="372">
        <v>6.6</v>
      </c>
      <c r="W14" s="372">
        <v>6.6</v>
      </c>
      <c r="X14" s="372">
        <v>6.6</v>
      </c>
      <c r="Y14" s="372">
        <v>6.5</v>
      </c>
      <c r="Z14" s="372">
        <v>6.6</v>
      </c>
      <c r="AA14" s="372">
        <v>6.5</v>
      </c>
      <c r="AB14" s="372">
        <v>6.5</v>
      </c>
      <c r="AC14" s="372">
        <v>6.7</v>
      </c>
      <c r="AD14" s="41"/>
      <c r="AE14" s="41"/>
      <c r="AF14" s="11">
        <f>COUNTIF(F14:AC14,$AJ$8)</f>
        <v>14</v>
      </c>
      <c r="AG14" s="11">
        <f>COUNTIF(F14:AD14,$AJ$7)</f>
        <v>0</v>
      </c>
      <c r="AH14" s="11">
        <f>COUNT(F14:AC14)</f>
        <v>10</v>
      </c>
    </row>
    <row r="15" spans="1:44">
      <c r="A15" s="66" t="s">
        <v>24</v>
      </c>
      <c r="B15" s="15"/>
      <c r="C15" s="15">
        <v>7.2</v>
      </c>
      <c r="D15" s="15"/>
      <c r="E15" s="15"/>
      <c r="F15" s="372">
        <v>6.6</v>
      </c>
      <c r="G15" s="372">
        <v>6.7</v>
      </c>
      <c r="H15" s="374">
        <v>6.6</v>
      </c>
      <c r="I15" s="372"/>
      <c r="J15" s="372"/>
      <c r="K15" s="374">
        <v>1.5</v>
      </c>
      <c r="L15" s="374">
        <v>6.7</v>
      </c>
      <c r="M15" s="374">
        <v>6.3</v>
      </c>
      <c r="N15" s="372">
        <v>6.8</v>
      </c>
      <c r="O15" s="372">
        <v>6.8</v>
      </c>
      <c r="P15" s="372">
        <v>6.8</v>
      </c>
      <c r="Q15" s="372">
        <v>6.4</v>
      </c>
      <c r="R15" s="372">
        <v>6.6</v>
      </c>
      <c r="S15" s="372">
        <v>6.7</v>
      </c>
      <c r="T15" s="372">
        <v>5.6</v>
      </c>
      <c r="U15" s="372">
        <v>4.7</v>
      </c>
      <c r="V15" s="372">
        <v>6.5</v>
      </c>
      <c r="W15" s="372">
        <v>6.4</v>
      </c>
      <c r="X15" s="372">
        <v>6.4</v>
      </c>
      <c r="Y15" s="372">
        <v>6.6</v>
      </c>
      <c r="Z15" s="372">
        <v>6.7</v>
      </c>
      <c r="AA15" s="372">
        <v>6.6</v>
      </c>
      <c r="AB15" s="372">
        <v>6.5</v>
      </c>
      <c r="AC15" s="372">
        <v>6.7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22</v>
      </c>
    </row>
    <row r="16" spans="1:44">
      <c r="A16" s="14" t="s">
        <v>25</v>
      </c>
      <c r="B16" s="15"/>
      <c r="C16" s="15">
        <v>7.2</v>
      </c>
      <c r="D16" s="15"/>
      <c r="E16" s="15"/>
      <c r="F16" s="372">
        <v>6.6</v>
      </c>
      <c r="G16" s="372">
        <v>6.7</v>
      </c>
      <c r="H16" s="374">
        <v>6.6</v>
      </c>
      <c r="I16" s="372">
        <v>6.7</v>
      </c>
      <c r="J16" s="372">
        <v>6.6</v>
      </c>
      <c r="K16" s="374">
        <v>6.5</v>
      </c>
      <c r="L16" s="374">
        <v>6.7</v>
      </c>
      <c r="M16" s="374">
        <v>6.3</v>
      </c>
      <c r="N16" s="372">
        <v>6.8</v>
      </c>
      <c r="O16" s="372">
        <v>6.8</v>
      </c>
      <c r="P16" s="372">
        <v>6.8</v>
      </c>
      <c r="Q16" s="372">
        <v>6.4</v>
      </c>
      <c r="R16" s="372">
        <v>6.6</v>
      </c>
      <c r="S16" s="372">
        <v>6.7</v>
      </c>
      <c r="T16" s="372">
        <v>5.6</v>
      </c>
      <c r="U16" s="372">
        <v>4.8</v>
      </c>
      <c r="V16" s="372">
        <v>6.6</v>
      </c>
      <c r="W16" s="372">
        <v>6.5</v>
      </c>
      <c r="X16" s="372">
        <v>6.3</v>
      </c>
      <c r="Y16" s="372">
        <v>6.5</v>
      </c>
      <c r="Z16" s="372">
        <v>6.6</v>
      </c>
      <c r="AA16" s="372">
        <v>6.5</v>
      </c>
      <c r="AB16" s="372">
        <v>6.5</v>
      </c>
      <c r="AC16" s="372">
        <v>6.7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19.799999999999997</v>
      </c>
      <c r="G17" s="19">
        <f t="shared" ref="G17:AC17" si="1">SUM(G13:G16)</f>
        <v>20.100000000000001</v>
      </c>
      <c r="H17" s="19">
        <f t="shared" si="1"/>
        <v>19.799999999999997</v>
      </c>
      <c r="I17" s="19">
        <f t="shared" si="1"/>
        <v>13.4</v>
      </c>
      <c r="J17" s="19">
        <f t="shared" si="1"/>
        <v>13.2</v>
      </c>
      <c r="K17" s="19">
        <f t="shared" si="1"/>
        <v>14.5</v>
      </c>
      <c r="L17" s="19">
        <f t="shared" si="1"/>
        <v>20.100000000000001</v>
      </c>
      <c r="M17" s="19">
        <f t="shared" si="1"/>
        <v>18.899999999999999</v>
      </c>
      <c r="N17" s="19">
        <f t="shared" si="1"/>
        <v>20.399999999999999</v>
      </c>
      <c r="O17" s="19">
        <f t="shared" si="1"/>
        <v>20.399999999999999</v>
      </c>
      <c r="P17" s="19">
        <f t="shared" si="1"/>
        <v>20.399999999999999</v>
      </c>
      <c r="Q17" s="19">
        <f t="shared" si="1"/>
        <v>19.200000000000003</v>
      </c>
      <c r="R17" s="19">
        <f t="shared" si="1"/>
        <v>19.799999999999997</v>
      </c>
      <c r="S17" s="19">
        <f t="shared" si="1"/>
        <v>20.100000000000001</v>
      </c>
      <c r="T17" s="19">
        <f t="shared" si="1"/>
        <v>19.799999999999997</v>
      </c>
      <c r="U17" s="19">
        <f t="shared" si="1"/>
        <v>20.3</v>
      </c>
      <c r="V17" s="19">
        <f t="shared" si="1"/>
        <v>26.200000000000003</v>
      </c>
      <c r="W17" s="19">
        <f t="shared" si="1"/>
        <v>25.9</v>
      </c>
      <c r="X17" s="19">
        <f t="shared" si="1"/>
        <v>25.7</v>
      </c>
      <c r="Y17" s="19">
        <f t="shared" si="1"/>
        <v>26.299999999999997</v>
      </c>
      <c r="Z17" s="19">
        <f t="shared" si="1"/>
        <v>26.699999999999996</v>
      </c>
      <c r="AA17" s="19">
        <f t="shared" si="1"/>
        <v>26.299999999999997</v>
      </c>
      <c r="AB17" s="19">
        <f t="shared" si="1"/>
        <v>26</v>
      </c>
      <c r="AC17" s="19">
        <f t="shared" si="1"/>
        <v>20.100000000000001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96.499999999999972</v>
      </c>
    </row>
    <row r="19" spans="1:51">
      <c r="A19" s="14" t="s">
        <v>22</v>
      </c>
      <c r="B19" s="15"/>
      <c r="C19" s="15">
        <v>3</v>
      </c>
      <c r="D19" s="15"/>
      <c r="E19" s="15"/>
      <c r="F19" s="372"/>
      <c r="G19" s="372"/>
      <c r="H19" s="372"/>
      <c r="I19" s="372"/>
      <c r="J19" s="372"/>
      <c r="K19" s="374"/>
      <c r="L19" s="374"/>
      <c r="M19" s="374"/>
      <c r="N19" s="374"/>
      <c r="O19" s="372">
        <v>2.8</v>
      </c>
      <c r="P19" s="374">
        <v>2.8</v>
      </c>
      <c r="Q19" s="372">
        <v>2.6</v>
      </c>
      <c r="R19" s="372">
        <v>2.8</v>
      </c>
      <c r="S19" s="372">
        <v>2.8</v>
      </c>
      <c r="T19" s="372">
        <v>2.8</v>
      </c>
      <c r="U19" s="372">
        <v>2.8</v>
      </c>
      <c r="V19" s="372">
        <v>2.8</v>
      </c>
      <c r="W19" s="372">
        <v>2.8</v>
      </c>
      <c r="X19" s="372">
        <v>2.8</v>
      </c>
      <c r="Y19" s="372">
        <v>2.8</v>
      </c>
      <c r="Z19" s="372">
        <v>2.8</v>
      </c>
      <c r="AA19" s="372">
        <v>2.8</v>
      </c>
      <c r="AB19" s="372"/>
      <c r="AC19" s="372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13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372"/>
      <c r="G20" s="372"/>
      <c r="H20" s="372"/>
      <c r="I20" s="372"/>
      <c r="J20" s="372"/>
      <c r="K20" s="374"/>
      <c r="L20" s="374"/>
      <c r="M20" s="374"/>
      <c r="N20" s="372"/>
      <c r="O20" s="372"/>
      <c r="P20" s="372"/>
      <c r="Q20" s="372"/>
      <c r="R20" s="372"/>
      <c r="S20" s="372"/>
      <c r="T20" s="372"/>
      <c r="U20" s="372"/>
      <c r="V20" s="372"/>
      <c r="W20" s="372"/>
      <c r="X20" s="372"/>
      <c r="Y20" s="372"/>
      <c r="Z20" s="372"/>
      <c r="AA20" s="372"/>
      <c r="AB20" s="372"/>
      <c r="AC20" s="372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2">
        <v>3</v>
      </c>
      <c r="G21" s="372"/>
      <c r="H21" s="372"/>
      <c r="I21" s="372"/>
      <c r="J21" s="372"/>
      <c r="K21" s="374"/>
      <c r="L21" s="374"/>
      <c r="M21" s="374"/>
      <c r="N21" s="372">
        <v>1.3</v>
      </c>
      <c r="O21" s="372">
        <v>3.8</v>
      </c>
      <c r="P21" s="372">
        <v>3.9</v>
      </c>
      <c r="Q21" s="372">
        <v>3.6</v>
      </c>
      <c r="R21" s="372">
        <v>3.8</v>
      </c>
      <c r="S21" s="372">
        <v>3.7</v>
      </c>
      <c r="T21" s="372">
        <v>3.8</v>
      </c>
      <c r="U21" s="372">
        <v>3.8</v>
      </c>
      <c r="V21" s="372">
        <v>3.8</v>
      </c>
      <c r="W21" s="372">
        <v>3.8</v>
      </c>
      <c r="X21" s="372">
        <v>3.8</v>
      </c>
      <c r="Y21" s="372">
        <v>3.8</v>
      </c>
      <c r="Z21" s="372">
        <v>3.8</v>
      </c>
      <c r="AA21" s="372">
        <v>3.8</v>
      </c>
      <c r="AB21" s="372">
        <v>3</v>
      </c>
      <c r="AC21" s="372">
        <v>3.8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17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3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1.3</v>
      </c>
      <c r="O22" s="19">
        <f t="shared" si="3"/>
        <v>6.6</v>
      </c>
      <c r="P22" s="19">
        <f t="shared" si="3"/>
        <v>6.6999999999999993</v>
      </c>
      <c r="Q22" s="19">
        <f t="shared" si="3"/>
        <v>6.2</v>
      </c>
      <c r="R22" s="19">
        <f t="shared" si="3"/>
        <v>6.6</v>
      </c>
      <c r="S22" s="19">
        <f>SUM(S19:S21)</f>
        <v>6.5</v>
      </c>
      <c r="T22" s="19">
        <f t="shared" ref="T22" si="4">SUM(T19:T21)</f>
        <v>6.6</v>
      </c>
      <c r="U22" s="19">
        <f t="shared" si="3"/>
        <v>6.6</v>
      </c>
      <c r="V22" s="19">
        <f t="shared" si="3"/>
        <v>6.6</v>
      </c>
      <c r="W22" s="19">
        <f t="shared" si="3"/>
        <v>6.6</v>
      </c>
      <c r="X22" s="19">
        <f t="shared" si="3"/>
        <v>6.6</v>
      </c>
      <c r="Y22" s="19">
        <f t="shared" si="3"/>
        <v>6.6</v>
      </c>
      <c r="Z22" s="19">
        <f t="shared" si="3"/>
        <v>6.6</v>
      </c>
      <c r="AA22" s="19">
        <f t="shared" si="3"/>
        <v>6.6</v>
      </c>
      <c r="AB22" s="19">
        <f>SUM(AB19:AB21)</f>
        <v>3</v>
      </c>
      <c r="AC22" s="19">
        <f t="shared" si="3"/>
        <v>3.8</v>
      </c>
      <c r="AD22" s="41"/>
      <c r="AE22" s="41"/>
      <c r="AF22" s="11"/>
      <c r="AG22" s="11"/>
      <c r="AH22" s="11"/>
      <c r="AI22" s="400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409">
        <f>SUM(F24:AC24)</f>
        <v>62.699999999999982</v>
      </c>
    </row>
    <row r="24" spans="1:51">
      <c r="A24" s="14" t="s">
        <v>22</v>
      </c>
      <c r="B24" s="20"/>
      <c r="C24" s="15">
        <v>4.5</v>
      </c>
      <c r="D24" s="15"/>
      <c r="E24" s="15"/>
      <c r="F24" s="372"/>
      <c r="G24" s="372"/>
      <c r="H24" s="372"/>
      <c r="I24" s="372"/>
      <c r="J24" s="372"/>
      <c r="K24" s="374"/>
      <c r="L24" s="374"/>
      <c r="M24" s="374">
        <v>3</v>
      </c>
      <c r="N24" s="372">
        <v>3.8</v>
      </c>
      <c r="O24" s="372">
        <v>3.8</v>
      </c>
      <c r="P24" s="372">
        <v>3.8</v>
      </c>
      <c r="Q24" s="374">
        <v>3.5</v>
      </c>
      <c r="R24" s="372">
        <v>3.8</v>
      </c>
      <c r="S24" s="372">
        <v>3.8</v>
      </c>
      <c r="T24" s="372">
        <v>3.8</v>
      </c>
      <c r="U24" s="372">
        <v>3.8</v>
      </c>
      <c r="V24" s="372">
        <v>3.8</v>
      </c>
      <c r="W24" s="372">
        <v>3.8</v>
      </c>
      <c r="X24" s="372">
        <v>3.8</v>
      </c>
      <c r="Y24" s="372">
        <v>3.8</v>
      </c>
      <c r="Z24" s="372">
        <v>3.8</v>
      </c>
      <c r="AA24" s="372">
        <v>3.8</v>
      </c>
      <c r="AB24" s="372">
        <v>3</v>
      </c>
      <c r="AC24" s="372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17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3</v>
      </c>
      <c r="N25" s="19">
        <f t="shared" si="6"/>
        <v>3.8</v>
      </c>
      <c r="O25" s="19">
        <f t="shared" si="6"/>
        <v>3.8</v>
      </c>
      <c r="P25" s="19">
        <f t="shared" si="6"/>
        <v>3.8</v>
      </c>
      <c r="Q25" s="19">
        <f t="shared" si="6"/>
        <v>3.5</v>
      </c>
      <c r="R25" s="19">
        <f t="shared" si="6"/>
        <v>3.8</v>
      </c>
      <c r="S25" s="19">
        <f t="shared" si="6"/>
        <v>3.8</v>
      </c>
      <c r="T25" s="19">
        <f t="shared" si="6"/>
        <v>3.8</v>
      </c>
      <c r="U25" s="19">
        <f t="shared" si="6"/>
        <v>3.8</v>
      </c>
      <c r="V25" s="19">
        <f t="shared" si="6"/>
        <v>3.8</v>
      </c>
      <c r="W25" s="19">
        <f t="shared" si="6"/>
        <v>3.8</v>
      </c>
      <c r="X25" s="19">
        <f t="shared" si="6"/>
        <v>3.8</v>
      </c>
      <c r="Y25" s="19">
        <f t="shared" si="6"/>
        <v>3.8</v>
      </c>
      <c r="Z25" s="19">
        <f t="shared" si="6"/>
        <v>3.8</v>
      </c>
      <c r="AA25" s="19">
        <f t="shared" si="6"/>
        <v>3.8</v>
      </c>
      <c r="AB25" s="19">
        <f t="shared" si="6"/>
        <v>3</v>
      </c>
      <c r="AC25" s="19">
        <f t="shared" si="6"/>
        <v>3.8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110.9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2">
        <v>3.5</v>
      </c>
      <c r="G27" s="372">
        <v>4.2</v>
      </c>
      <c r="H27" s="372">
        <v>3</v>
      </c>
      <c r="I27" s="372">
        <v>4.5</v>
      </c>
      <c r="J27" s="374">
        <v>3.8</v>
      </c>
      <c r="K27" s="374" t="s">
        <v>9</v>
      </c>
      <c r="L27" s="374" t="s">
        <v>9</v>
      </c>
      <c r="M27" s="374" t="s">
        <v>9</v>
      </c>
      <c r="N27" s="372" t="s">
        <v>9</v>
      </c>
      <c r="O27" s="372" t="s">
        <v>9</v>
      </c>
      <c r="P27" s="372" t="s">
        <v>9</v>
      </c>
      <c r="Q27" s="372" t="s">
        <v>9</v>
      </c>
      <c r="R27" s="372" t="s">
        <v>9</v>
      </c>
      <c r="S27" s="372" t="s">
        <v>9</v>
      </c>
      <c r="T27" s="374" t="s">
        <v>9</v>
      </c>
      <c r="U27" s="374" t="s">
        <v>9</v>
      </c>
      <c r="V27" s="372" t="s">
        <v>9</v>
      </c>
      <c r="W27" s="372" t="s">
        <v>9</v>
      </c>
      <c r="X27" s="372" t="s">
        <v>9</v>
      </c>
      <c r="Y27" s="372" t="s">
        <v>9</v>
      </c>
      <c r="Z27" s="372" t="s">
        <v>9</v>
      </c>
      <c r="AA27" s="372" t="s">
        <v>9</v>
      </c>
      <c r="AB27" s="372" t="s">
        <v>9</v>
      </c>
      <c r="AC27" s="372" t="s">
        <v>9</v>
      </c>
      <c r="AD27" s="41"/>
      <c r="AE27" s="41"/>
      <c r="AF27" s="11">
        <f>COUNTIF(F27:AC27,$AJ$8)</f>
        <v>19</v>
      </c>
      <c r="AG27" s="11">
        <f>COUNTIF(G27:AD27,$AJ$7)</f>
        <v>0</v>
      </c>
      <c r="AH27" s="11">
        <f>COUNT(F27:AC27)</f>
        <v>5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2">
        <v>3.5</v>
      </c>
      <c r="G28" s="372">
        <v>4.2</v>
      </c>
      <c r="H28" s="372">
        <v>3</v>
      </c>
      <c r="I28" s="372">
        <v>4.5</v>
      </c>
      <c r="J28" s="372">
        <v>3.8</v>
      </c>
      <c r="K28" s="374">
        <v>4</v>
      </c>
      <c r="L28" s="374">
        <v>4.2</v>
      </c>
      <c r="M28" s="374">
        <v>3</v>
      </c>
      <c r="N28" s="372">
        <v>4.2</v>
      </c>
      <c r="O28" s="372">
        <v>4.2</v>
      </c>
      <c r="P28" s="372">
        <v>4.2</v>
      </c>
      <c r="Q28" s="372">
        <v>1.1000000000000001</v>
      </c>
      <c r="R28" s="372">
        <v>4.2</v>
      </c>
      <c r="S28" s="372">
        <v>4.0999999999999996</v>
      </c>
      <c r="T28" s="374">
        <v>4.0999999999999996</v>
      </c>
      <c r="U28" s="374">
        <v>4.2</v>
      </c>
      <c r="V28" s="372">
        <v>4.2</v>
      </c>
      <c r="W28" s="372">
        <v>4</v>
      </c>
      <c r="X28" s="372">
        <v>4</v>
      </c>
      <c r="Y28" s="372">
        <v>3</v>
      </c>
      <c r="Z28" s="372">
        <v>4.2</v>
      </c>
      <c r="AA28" s="372">
        <v>4.2</v>
      </c>
      <c r="AB28" s="372">
        <v>3.8</v>
      </c>
      <c r="AC28" s="372">
        <v>4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14.899999999999999</v>
      </c>
    </row>
    <row r="29" spans="1:51" ht="15" customHeight="1">
      <c r="A29" s="14" t="s">
        <v>30</v>
      </c>
      <c r="B29" s="369"/>
      <c r="C29" s="370">
        <v>8.8000000000000007</v>
      </c>
      <c r="D29" s="371"/>
      <c r="E29" s="371"/>
      <c r="F29" s="372"/>
      <c r="G29" s="372"/>
      <c r="H29" s="372"/>
      <c r="I29" s="372"/>
      <c r="J29" s="372"/>
      <c r="K29" s="374"/>
      <c r="L29" s="374"/>
      <c r="M29" s="374"/>
      <c r="N29" s="374"/>
      <c r="O29" s="374" t="s">
        <v>9</v>
      </c>
      <c r="P29" s="374" t="s">
        <v>9</v>
      </c>
      <c r="Q29" s="374" t="s">
        <v>9</v>
      </c>
      <c r="R29" s="374">
        <v>2.1</v>
      </c>
      <c r="S29" s="374">
        <v>5</v>
      </c>
      <c r="T29" s="374">
        <v>1</v>
      </c>
      <c r="U29" s="374">
        <v>3.5</v>
      </c>
      <c r="V29" s="374" t="s">
        <v>9</v>
      </c>
      <c r="W29" s="374" t="s">
        <v>9</v>
      </c>
      <c r="X29" s="372" t="s">
        <v>9</v>
      </c>
      <c r="Y29" s="372" t="s">
        <v>9</v>
      </c>
      <c r="Z29" s="374" t="s">
        <v>9</v>
      </c>
      <c r="AA29" s="372" t="s">
        <v>9</v>
      </c>
      <c r="AB29" s="372" t="s">
        <v>9</v>
      </c>
      <c r="AC29" s="372" t="s">
        <v>9</v>
      </c>
    </row>
    <row r="30" spans="1:51" ht="15" customHeight="1">
      <c r="A30" s="14" t="s">
        <v>31</v>
      </c>
      <c r="B30" s="369"/>
      <c r="C30" s="370">
        <v>8.8000000000000007</v>
      </c>
      <c r="D30" s="371"/>
      <c r="E30" s="371"/>
      <c r="F30" s="372"/>
      <c r="G30" s="372"/>
      <c r="H30" s="372"/>
      <c r="I30" s="372"/>
      <c r="J30" s="372"/>
      <c r="K30" s="374"/>
      <c r="L30" s="374"/>
      <c r="M30" s="374"/>
      <c r="N30" s="372"/>
      <c r="O30" s="372"/>
      <c r="P30" s="372"/>
      <c r="Q30" s="372"/>
      <c r="R30" s="372"/>
      <c r="S30" s="372"/>
      <c r="T30" s="372"/>
      <c r="U30" s="372"/>
      <c r="V30" s="372"/>
      <c r="W30" s="372"/>
      <c r="X30" s="372"/>
      <c r="Y30" s="372">
        <v>3.3</v>
      </c>
      <c r="Z30" s="372"/>
      <c r="AA30" s="372"/>
      <c r="AB30" s="372"/>
      <c r="AC30" s="372"/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SUM(F27:F29)</f>
        <v>7</v>
      </c>
      <c r="G31" s="19">
        <f t="shared" ref="G31:AC31" si="8">SUM(G27:G29)</f>
        <v>8.4</v>
      </c>
      <c r="H31" s="19">
        <f t="shared" si="8"/>
        <v>6</v>
      </c>
      <c r="I31" s="19">
        <f t="shared" si="8"/>
        <v>9</v>
      </c>
      <c r="J31" s="19">
        <f t="shared" si="8"/>
        <v>7.6</v>
      </c>
      <c r="K31" s="19">
        <f t="shared" si="8"/>
        <v>4</v>
      </c>
      <c r="L31" s="19">
        <f t="shared" si="8"/>
        <v>4.2</v>
      </c>
      <c r="M31" s="19">
        <f t="shared" si="8"/>
        <v>3</v>
      </c>
      <c r="N31" s="19">
        <f t="shared" si="8"/>
        <v>4.2</v>
      </c>
      <c r="O31" s="19">
        <f t="shared" si="8"/>
        <v>4.2</v>
      </c>
      <c r="P31" s="19">
        <f t="shared" si="8"/>
        <v>4.2</v>
      </c>
      <c r="Q31" s="19">
        <f t="shared" si="8"/>
        <v>1.1000000000000001</v>
      </c>
      <c r="R31" s="19">
        <f t="shared" si="8"/>
        <v>6.3000000000000007</v>
      </c>
      <c r="S31" s="19">
        <f t="shared" si="8"/>
        <v>9.1</v>
      </c>
      <c r="T31" s="19">
        <f>SUM(T27:T29)</f>
        <v>5.0999999999999996</v>
      </c>
      <c r="U31" s="19">
        <f t="shared" si="8"/>
        <v>7.7</v>
      </c>
      <c r="V31" s="19">
        <f t="shared" si="8"/>
        <v>4.2</v>
      </c>
      <c r="W31" s="19">
        <f t="shared" si="8"/>
        <v>4</v>
      </c>
      <c r="X31" s="19">
        <f t="shared" si="8"/>
        <v>4</v>
      </c>
      <c r="Y31" s="19">
        <f t="shared" si="8"/>
        <v>3</v>
      </c>
      <c r="Z31" s="19">
        <f t="shared" si="8"/>
        <v>4.2</v>
      </c>
      <c r="AA31" s="19">
        <f t="shared" si="8"/>
        <v>4.2</v>
      </c>
      <c r="AB31" s="19">
        <f t="shared" si="8"/>
        <v>3.8</v>
      </c>
      <c r="AC31" s="19">
        <f t="shared" si="8"/>
        <v>4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337.7</v>
      </c>
    </row>
    <row r="33" spans="1:36">
      <c r="A33" s="14" t="s">
        <v>22</v>
      </c>
      <c r="B33" s="15"/>
      <c r="C33" s="15">
        <v>15</v>
      </c>
      <c r="D33" s="15"/>
      <c r="E33" s="15"/>
      <c r="F33" s="372">
        <v>13.32</v>
      </c>
      <c r="G33" s="372">
        <v>12.85</v>
      </c>
      <c r="H33" s="374">
        <v>12.82</v>
      </c>
      <c r="I33" s="372">
        <v>14.3</v>
      </c>
      <c r="J33" s="372">
        <v>14.3</v>
      </c>
      <c r="K33" s="374">
        <v>14.31</v>
      </c>
      <c r="L33" s="374">
        <v>14.29</v>
      </c>
      <c r="M33" s="374">
        <v>14.32</v>
      </c>
      <c r="N33" s="372">
        <v>14.29</v>
      </c>
      <c r="O33" s="372">
        <v>14.35</v>
      </c>
      <c r="P33" s="372">
        <v>14.29</v>
      </c>
      <c r="Q33" s="372">
        <v>14.25</v>
      </c>
      <c r="R33" s="372">
        <v>14.34</v>
      </c>
      <c r="S33" s="372">
        <v>14.31</v>
      </c>
      <c r="T33" s="372">
        <v>14.24</v>
      </c>
      <c r="U33" s="372">
        <v>14.28</v>
      </c>
      <c r="V33" s="372">
        <v>14.24</v>
      </c>
      <c r="W33" s="374">
        <v>14.31</v>
      </c>
      <c r="X33" s="372">
        <v>14.29</v>
      </c>
      <c r="Y33" s="372">
        <v>12.8</v>
      </c>
      <c r="Z33" s="372">
        <v>14.28</v>
      </c>
      <c r="AA33" s="372">
        <v>14.31</v>
      </c>
      <c r="AB33" s="372">
        <v>14.29</v>
      </c>
      <c r="AC33" s="372">
        <v>14.32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9">SUM(F33)</f>
        <v>13.32</v>
      </c>
      <c r="G34" s="19">
        <f t="shared" ref="G34:AC34" si="10">SUM(G33)</f>
        <v>12.85</v>
      </c>
      <c r="H34" s="19">
        <f t="shared" si="10"/>
        <v>12.82</v>
      </c>
      <c r="I34" s="19">
        <f t="shared" si="10"/>
        <v>14.3</v>
      </c>
      <c r="J34" s="19">
        <f t="shared" si="10"/>
        <v>14.3</v>
      </c>
      <c r="K34" s="19">
        <f t="shared" si="10"/>
        <v>14.31</v>
      </c>
      <c r="L34" s="19">
        <f t="shared" si="10"/>
        <v>14.29</v>
      </c>
      <c r="M34" s="19">
        <f t="shared" si="10"/>
        <v>14.32</v>
      </c>
      <c r="N34" s="19">
        <f t="shared" si="10"/>
        <v>14.29</v>
      </c>
      <c r="O34" s="19">
        <f t="shared" si="10"/>
        <v>14.35</v>
      </c>
      <c r="P34" s="19">
        <f t="shared" si="10"/>
        <v>14.29</v>
      </c>
      <c r="Q34" s="19">
        <f t="shared" si="10"/>
        <v>14.25</v>
      </c>
      <c r="R34" s="19">
        <f t="shared" si="10"/>
        <v>14.34</v>
      </c>
      <c r="S34" s="19">
        <f t="shared" si="10"/>
        <v>14.31</v>
      </c>
      <c r="T34" s="19">
        <f t="shared" si="10"/>
        <v>14.24</v>
      </c>
      <c r="U34" s="19">
        <f t="shared" si="10"/>
        <v>14.28</v>
      </c>
      <c r="V34" s="19">
        <f t="shared" si="10"/>
        <v>14.24</v>
      </c>
      <c r="W34" s="19">
        <f t="shared" si="10"/>
        <v>14.31</v>
      </c>
      <c r="X34" s="19">
        <f t="shared" si="10"/>
        <v>14.29</v>
      </c>
      <c r="Y34" s="19">
        <f t="shared" si="10"/>
        <v>12.8</v>
      </c>
      <c r="Z34" s="19">
        <f t="shared" si="10"/>
        <v>14.28</v>
      </c>
      <c r="AA34" s="19">
        <f t="shared" si="10"/>
        <v>14.31</v>
      </c>
      <c r="AB34" s="19">
        <f t="shared" si="10"/>
        <v>14.29</v>
      </c>
      <c r="AC34" s="19">
        <f t="shared" si="10"/>
        <v>14.32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54"/>
      <c r="G35" s="455"/>
      <c r="H35" s="455"/>
      <c r="I35" s="455"/>
      <c r="J35" s="455"/>
      <c r="K35" s="455"/>
      <c r="L35" s="455"/>
      <c r="M35" s="455"/>
      <c r="N35" s="455"/>
      <c r="O35" s="455"/>
      <c r="P35" s="455"/>
      <c r="Q35" s="455"/>
      <c r="R35" s="455"/>
      <c r="S35" s="455"/>
      <c r="T35" s="455"/>
      <c r="U35" s="455"/>
      <c r="V35" s="455"/>
      <c r="W35" s="456"/>
      <c r="X35" s="455"/>
      <c r="Y35" s="455"/>
      <c r="Z35" s="455"/>
      <c r="AA35" s="455"/>
      <c r="AB35" s="455"/>
      <c r="AC35" s="455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6.65</v>
      </c>
      <c r="AJ35" t="s">
        <v>35</v>
      </c>
    </row>
    <row r="36" spans="1:36">
      <c r="A36" s="70" t="s">
        <v>36</v>
      </c>
      <c r="B36" s="15"/>
      <c r="C36" s="15"/>
      <c r="D36" s="15"/>
      <c r="E36" s="15"/>
      <c r="F36" s="372"/>
      <c r="G36" s="372"/>
      <c r="H36" s="372"/>
      <c r="I36" s="372"/>
      <c r="J36" s="372"/>
      <c r="K36" s="374"/>
      <c r="L36" s="374"/>
      <c r="M36" s="374"/>
      <c r="N36" s="372"/>
      <c r="O36" s="372"/>
      <c r="P36" s="372"/>
      <c r="Q36" s="372"/>
      <c r="R36" s="372"/>
      <c r="S36" s="372"/>
      <c r="T36" s="372"/>
      <c r="U36" s="372"/>
      <c r="V36" s="372"/>
      <c r="W36" s="372"/>
      <c r="X36" s="372"/>
      <c r="Y36" s="372"/>
      <c r="Z36" s="372"/>
      <c r="AA36" s="372"/>
      <c r="AB36" s="372"/>
      <c r="AC36" s="372"/>
      <c r="AD36" s="41"/>
      <c r="AE36" s="41"/>
      <c r="AF36" s="11">
        <f t="shared" ref="AF36:AF59" si="11">COUNTIF(F36:AC36,$AJ$8)</f>
        <v>0</v>
      </c>
      <c r="AG36" s="11">
        <f t="shared" ref="AG36:AG59" si="12">COUNTIF(G36:AD36,$AJ$7)</f>
        <v>0</v>
      </c>
      <c r="AH36" s="11">
        <f t="shared" ref="AH36:AH59" si="13">COUNT(F36:AC36)</f>
        <v>0</v>
      </c>
      <c r="AI36" s="159">
        <f>SUM(F36:AC38,F40:AC40,F45:AC59)</f>
        <v>93.695714285714303</v>
      </c>
      <c r="AJ36" t="s">
        <v>37</v>
      </c>
    </row>
    <row r="37" spans="1:36">
      <c r="A37" s="70" t="s">
        <v>38</v>
      </c>
      <c r="B37" s="15"/>
      <c r="C37" s="15"/>
      <c r="D37" s="15"/>
      <c r="E37" s="15"/>
      <c r="F37" s="372"/>
      <c r="G37" s="372"/>
      <c r="H37" s="372"/>
      <c r="I37" s="372"/>
      <c r="J37" s="372"/>
      <c r="K37" s="374"/>
      <c r="L37" s="374"/>
      <c r="M37" s="374"/>
      <c r="N37" s="372"/>
      <c r="O37" s="372"/>
      <c r="P37" s="372"/>
      <c r="Q37" s="372"/>
      <c r="R37" s="372"/>
      <c r="S37" s="372"/>
      <c r="T37" s="372"/>
      <c r="U37" s="372"/>
      <c r="V37" s="372"/>
      <c r="W37" s="372"/>
      <c r="X37" s="372"/>
      <c r="Y37" s="372"/>
      <c r="Z37" s="372"/>
      <c r="AA37" s="372"/>
      <c r="AB37" s="372"/>
      <c r="AC37" s="372"/>
      <c r="AD37" s="41"/>
      <c r="AE37" s="41"/>
      <c r="AF37" s="11">
        <f t="shared" si="11"/>
        <v>0</v>
      </c>
      <c r="AG37" s="11">
        <f t="shared" si="12"/>
        <v>0</v>
      </c>
      <c r="AH37" s="11">
        <f t="shared" si="13"/>
        <v>0</v>
      </c>
    </row>
    <row r="38" spans="1:36">
      <c r="A38" s="70" t="s">
        <v>39</v>
      </c>
      <c r="B38" s="15"/>
      <c r="C38" s="15"/>
      <c r="D38" s="15"/>
      <c r="E38" s="15"/>
      <c r="F38" s="372"/>
      <c r="G38" s="372"/>
      <c r="H38" s="372"/>
      <c r="I38" s="372"/>
      <c r="J38" s="372"/>
      <c r="K38" s="374"/>
      <c r="L38" s="374"/>
      <c r="M38" s="374"/>
      <c r="N38" s="372"/>
      <c r="O38" s="372"/>
      <c r="P38" s="372"/>
      <c r="Q38" s="372"/>
      <c r="R38" s="372"/>
      <c r="S38" s="372"/>
      <c r="T38" s="372"/>
      <c r="U38" s="372"/>
      <c r="V38" s="372"/>
      <c r="W38" s="372"/>
      <c r="X38" s="372"/>
      <c r="Y38" s="372"/>
      <c r="Z38" s="372"/>
      <c r="AA38" s="372"/>
      <c r="AB38" s="372"/>
      <c r="AC38" s="372"/>
      <c r="AD38" s="41"/>
      <c r="AE38" s="41"/>
      <c r="AF38" s="11">
        <f t="shared" si="11"/>
        <v>0</v>
      </c>
      <c r="AG38" s="11">
        <f t="shared" si="12"/>
        <v>0</v>
      </c>
      <c r="AH38" s="11">
        <f t="shared" si="13"/>
        <v>0</v>
      </c>
    </row>
    <row r="39" spans="1:36">
      <c r="A39" s="70">
        <v>34</v>
      </c>
      <c r="B39" s="15"/>
      <c r="C39" s="15"/>
      <c r="D39" s="15"/>
      <c r="E39" s="15"/>
      <c r="F39" s="372" t="s">
        <v>9</v>
      </c>
      <c r="G39" s="372" t="s">
        <v>9</v>
      </c>
      <c r="H39" s="372" t="s">
        <v>9</v>
      </c>
      <c r="I39" s="372" t="s">
        <v>9</v>
      </c>
      <c r="J39" s="372" t="s">
        <v>9</v>
      </c>
      <c r="K39" s="374" t="s">
        <v>9</v>
      </c>
      <c r="L39" s="374" t="s">
        <v>9</v>
      </c>
      <c r="M39" s="374" t="s">
        <v>9</v>
      </c>
      <c r="N39" s="372" t="s">
        <v>9</v>
      </c>
      <c r="O39" s="372" t="s">
        <v>9</v>
      </c>
      <c r="P39" s="372" t="s">
        <v>9</v>
      </c>
      <c r="Q39" s="372"/>
      <c r="R39" s="372"/>
      <c r="S39" s="372"/>
      <c r="T39" s="372">
        <v>0.95</v>
      </c>
      <c r="U39" s="372"/>
      <c r="V39" s="372"/>
      <c r="W39" s="372"/>
      <c r="X39" s="372"/>
      <c r="Y39" s="372"/>
      <c r="Z39" s="372"/>
      <c r="AA39" s="372"/>
      <c r="AB39" s="372"/>
      <c r="AC39" s="372"/>
      <c r="AD39" s="41"/>
      <c r="AE39" s="41"/>
      <c r="AF39" s="11">
        <f t="shared" si="11"/>
        <v>11</v>
      </c>
      <c r="AG39" s="11">
        <f t="shared" si="12"/>
        <v>0</v>
      </c>
      <c r="AH39" s="11">
        <f t="shared" si="13"/>
        <v>1</v>
      </c>
    </row>
    <row r="40" spans="1:36">
      <c r="A40" s="70">
        <v>35</v>
      </c>
      <c r="B40" s="15"/>
      <c r="C40" s="15">
        <v>0.85</v>
      </c>
      <c r="D40" s="15"/>
      <c r="E40" s="15"/>
      <c r="F40" s="372"/>
      <c r="G40" s="372"/>
      <c r="H40" s="372"/>
      <c r="I40" s="372"/>
      <c r="J40" s="372"/>
      <c r="K40" s="374"/>
      <c r="L40" s="374"/>
      <c r="M40" s="374"/>
      <c r="N40" s="372"/>
      <c r="O40" s="372"/>
      <c r="P40" s="372"/>
      <c r="Q40" s="372">
        <f>10.25/14</f>
        <v>0.7321428571428571</v>
      </c>
      <c r="R40" s="372"/>
      <c r="S40" s="372"/>
      <c r="T40" s="372">
        <f>10.1/14</f>
        <v>0.72142857142857142</v>
      </c>
      <c r="U40" s="372">
        <f>10.1/14</f>
        <v>0.72142857142857142</v>
      </c>
      <c r="V40" s="372"/>
      <c r="W40" s="372"/>
      <c r="X40" s="372"/>
      <c r="Y40" s="372"/>
      <c r="Z40" s="372"/>
      <c r="AA40" s="372"/>
      <c r="AB40" s="372"/>
      <c r="AC40" s="372"/>
      <c r="AD40" s="41"/>
      <c r="AE40" s="41"/>
      <c r="AF40" s="11">
        <f t="shared" si="11"/>
        <v>0</v>
      </c>
      <c r="AG40" s="11">
        <f t="shared" si="12"/>
        <v>0</v>
      </c>
      <c r="AH40" s="11">
        <f t="shared" si="13"/>
        <v>3</v>
      </c>
    </row>
    <row r="41" spans="1:36">
      <c r="A41" s="70">
        <v>36</v>
      </c>
      <c r="B41" s="15"/>
      <c r="C41" s="15">
        <v>1</v>
      </c>
      <c r="D41" s="15"/>
      <c r="E41" s="15"/>
      <c r="F41" s="372"/>
      <c r="G41" s="372"/>
      <c r="H41" s="372"/>
      <c r="I41" s="372"/>
      <c r="J41" s="372"/>
      <c r="K41" s="374"/>
      <c r="L41" s="374"/>
      <c r="M41" s="374"/>
      <c r="N41" s="372"/>
      <c r="O41" s="372"/>
      <c r="P41" s="372"/>
      <c r="Q41" s="372"/>
      <c r="R41" s="372"/>
      <c r="S41" s="372"/>
      <c r="T41" s="372">
        <v>0.95</v>
      </c>
      <c r="U41" s="372"/>
      <c r="V41" s="372"/>
      <c r="W41" s="372"/>
      <c r="X41" s="372"/>
      <c r="Y41" s="372"/>
      <c r="Z41" s="372"/>
      <c r="AA41" s="372"/>
      <c r="AB41" s="372"/>
      <c r="AC41" s="372"/>
      <c r="AD41" s="41"/>
      <c r="AE41" s="41"/>
      <c r="AF41" s="11">
        <f t="shared" si="11"/>
        <v>0</v>
      </c>
      <c r="AG41" s="11">
        <f t="shared" si="12"/>
        <v>0</v>
      </c>
      <c r="AH41" s="11">
        <f t="shared" si="13"/>
        <v>1</v>
      </c>
    </row>
    <row r="42" spans="1:36">
      <c r="A42" s="70">
        <v>37</v>
      </c>
      <c r="B42" s="15"/>
      <c r="C42" s="15">
        <v>1</v>
      </c>
      <c r="D42" s="15"/>
      <c r="E42" s="15"/>
      <c r="F42" s="372"/>
      <c r="G42" s="372"/>
      <c r="H42" s="372"/>
      <c r="I42" s="372"/>
      <c r="J42" s="372"/>
      <c r="K42" s="374"/>
      <c r="L42" s="374"/>
      <c r="M42" s="374"/>
      <c r="N42" s="372"/>
      <c r="O42" s="372"/>
      <c r="P42" s="372"/>
      <c r="Q42" s="372">
        <v>0.95</v>
      </c>
      <c r="R42" s="372"/>
      <c r="S42" s="372"/>
      <c r="T42" s="372">
        <v>0.95</v>
      </c>
      <c r="U42" s="372">
        <v>0.95</v>
      </c>
      <c r="V42" s="372"/>
      <c r="W42" s="372"/>
      <c r="X42" s="372"/>
      <c r="Y42" s="372"/>
      <c r="Z42" s="372"/>
      <c r="AA42" s="372"/>
      <c r="AB42" s="372"/>
      <c r="AC42" s="372"/>
      <c r="AD42" s="41"/>
      <c r="AE42" s="41"/>
      <c r="AF42" s="11">
        <f t="shared" si="11"/>
        <v>0</v>
      </c>
      <c r="AG42" s="11">
        <f t="shared" si="12"/>
        <v>0</v>
      </c>
      <c r="AH42" s="11">
        <f t="shared" si="13"/>
        <v>3</v>
      </c>
    </row>
    <row r="43" spans="1:36">
      <c r="A43" s="70">
        <v>38</v>
      </c>
      <c r="B43" s="15"/>
      <c r="C43" s="15"/>
      <c r="D43" s="15"/>
      <c r="E43" s="15"/>
      <c r="F43" s="372" t="s">
        <v>9</v>
      </c>
      <c r="G43" s="372" t="s">
        <v>9</v>
      </c>
      <c r="H43" s="372" t="s">
        <v>9</v>
      </c>
      <c r="I43" s="372" t="s">
        <v>9</v>
      </c>
      <c r="J43" s="372" t="s">
        <v>9</v>
      </c>
      <c r="K43" s="374" t="s">
        <v>9</v>
      </c>
      <c r="L43" s="374" t="s">
        <v>9</v>
      </c>
      <c r="M43" s="374" t="s">
        <v>9</v>
      </c>
      <c r="N43" s="372" t="s">
        <v>9</v>
      </c>
      <c r="O43" s="372" t="s">
        <v>9</v>
      </c>
      <c r="P43" s="372" t="s">
        <v>9</v>
      </c>
      <c r="Q43" s="372" t="s">
        <v>9</v>
      </c>
      <c r="R43" s="372" t="s">
        <v>9</v>
      </c>
      <c r="S43" s="372" t="s">
        <v>9</v>
      </c>
      <c r="T43" s="372" t="s">
        <v>9</v>
      </c>
      <c r="U43" s="372" t="s">
        <v>9</v>
      </c>
      <c r="V43" s="372" t="s">
        <v>9</v>
      </c>
      <c r="W43" s="372" t="s">
        <v>9</v>
      </c>
      <c r="X43" s="372" t="s">
        <v>9</v>
      </c>
      <c r="Y43" s="372" t="s">
        <v>9</v>
      </c>
      <c r="Z43" s="372" t="s">
        <v>9</v>
      </c>
      <c r="AA43" s="372" t="s">
        <v>9</v>
      </c>
      <c r="AB43" s="372" t="s">
        <v>9</v>
      </c>
      <c r="AC43" s="372" t="s">
        <v>9</v>
      </c>
      <c r="AD43" s="41"/>
      <c r="AE43" s="41"/>
      <c r="AF43" s="11">
        <f t="shared" si="11"/>
        <v>24</v>
      </c>
      <c r="AG43" s="11">
        <f t="shared" si="12"/>
        <v>0</v>
      </c>
      <c r="AH43" s="11">
        <f t="shared" si="13"/>
        <v>0</v>
      </c>
    </row>
    <row r="44" spans="1:36" ht="16.5" customHeight="1">
      <c r="A44" s="70">
        <v>39</v>
      </c>
      <c r="B44" s="15"/>
      <c r="C44" s="15">
        <v>1</v>
      </c>
      <c r="D44" s="15"/>
      <c r="E44" s="15"/>
      <c r="F44" s="372" t="s">
        <v>9</v>
      </c>
      <c r="G44" s="372" t="s">
        <v>9</v>
      </c>
      <c r="H44" s="372" t="s">
        <v>9</v>
      </c>
      <c r="I44" s="372" t="s">
        <v>9</v>
      </c>
      <c r="J44" s="372" t="s">
        <v>9</v>
      </c>
      <c r="K44" s="372" t="s">
        <v>9</v>
      </c>
      <c r="L44" s="374" t="s">
        <v>9</v>
      </c>
      <c r="M44" s="374" t="s">
        <v>9</v>
      </c>
      <c r="N44" s="372" t="s">
        <v>9</v>
      </c>
      <c r="O44" s="372" t="s">
        <v>9</v>
      </c>
      <c r="P44" s="372" t="s">
        <v>9</v>
      </c>
      <c r="Q44" s="372">
        <v>0.95</v>
      </c>
      <c r="R44" s="372"/>
      <c r="S44" s="372"/>
      <c r="T44" s="372">
        <v>0.95</v>
      </c>
      <c r="U44" s="372"/>
      <c r="V44" s="372"/>
      <c r="W44" s="372"/>
      <c r="X44" s="372"/>
      <c r="Y44" s="372"/>
      <c r="Z44" s="372"/>
      <c r="AA44" s="372"/>
      <c r="AB44" s="372"/>
      <c r="AC44" s="372"/>
      <c r="AD44" s="41"/>
      <c r="AE44" s="41"/>
      <c r="AF44" s="11">
        <f t="shared" si="11"/>
        <v>11</v>
      </c>
      <c r="AG44" s="11">
        <f t="shared" si="12"/>
        <v>0</v>
      </c>
      <c r="AH44" s="11">
        <f t="shared" si="13"/>
        <v>2</v>
      </c>
    </row>
    <row r="45" spans="1:36" ht="16.5" customHeight="1">
      <c r="A45" s="70" t="s">
        <v>40</v>
      </c>
      <c r="B45" s="15"/>
      <c r="C45" s="15">
        <v>0.85</v>
      </c>
      <c r="D45" s="15"/>
      <c r="E45" s="15"/>
      <c r="F45" s="372" t="s">
        <v>9</v>
      </c>
      <c r="G45" s="372" t="s">
        <v>9</v>
      </c>
      <c r="H45" s="372" t="s">
        <v>9</v>
      </c>
      <c r="I45" s="372" t="s">
        <v>9</v>
      </c>
      <c r="J45" s="372" t="s">
        <v>9</v>
      </c>
      <c r="K45" s="372">
        <v>0.7</v>
      </c>
      <c r="L45" s="372"/>
      <c r="M45" s="372"/>
      <c r="N45" s="372"/>
      <c r="O45" s="372"/>
      <c r="P45" s="372">
        <f>9.4/13</f>
        <v>0.72307692307692306</v>
      </c>
      <c r="Q45" s="372">
        <f t="shared" ref="Q45:Q50" si="14">10.25/14</f>
        <v>0.7321428571428571</v>
      </c>
      <c r="R45" s="372">
        <f t="shared" ref="R45:R50" si="15">9.4/13</f>
        <v>0.72307692307692306</v>
      </c>
      <c r="S45" s="372">
        <v>0.72</v>
      </c>
      <c r="T45" s="372">
        <f t="shared" ref="T45:T50" si="16">10.1/14</f>
        <v>0.72142857142857142</v>
      </c>
      <c r="U45" s="372">
        <v>0.75</v>
      </c>
      <c r="V45" s="372"/>
      <c r="W45" s="372"/>
      <c r="X45" s="372"/>
      <c r="Y45" s="372"/>
      <c r="Z45" s="372"/>
      <c r="AA45" s="372"/>
      <c r="AB45" s="372"/>
      <c r="AC45" s="372">
        <v>0</v>
      </c>
      <c r="AD45" s="41"/>
      <c r="AE45" s="41"/>
      <c r="AF45" s="11">
        <f t="shared" si="11"/>
        <v>5</v>
      </c>
      <c r="AG45" s="11">
        <f t="shared" si="12"/>
        <v>0</v>
      </c>
      <c r="AH45" s="11">
        <f t="shared" si="13"/>
        <v>8</v>
      </c>
      <c r="AI45" s="159"/>
    </row>
    <row r="46" spans="1:36">
      <c r="A46" s="70" t="s">
        <v>41</v>
      </c>
      <c r="B46" s="15"/>
      <c r="C46" s="15">
        <v>0.75</v>
      </c>
      <c r="D46" s="15"/>
      <c r="E46" s="15"/>
      <c r="F46" s="372"/>
      <c r="G46" s="372"/>
      <c r="H46" s="372"/>
      <c r="I46" s="372"/>
      <c r="J46" s="372"/>
      <c r="K46" s="372">
        <v>0.7</v>
      </c>
      <c r="L46" s="372">
        <v>0.65</v>
      </c>
      <c r="M46" s="374">
        <v>0</v>
      </c>
      <c r="N46" s="372">
        <v>0</v>
      </c>
      <c r="O46" s="372">
        <f>5/7</f>
        <v>0.7142857142857143</v>
      </c>
      <c r="P46" s="372">
        <f t="shared" ref="P46:P59" si="17">9.4/13</f>
        <v>0.72307692307692306</v>
      </c>
      <c r="Q46" s="372">
        <f t="shared" si="14"/>
        <v>0.7321428571428571</v>
      </c>
      <c r="R46" s="372">
        <f t="shared" si="15"/>
        <v>0.72307692307692306</v>
      </c>
      <c r="S46" s="372">
        <v>0.72</v>
      </c>
      <c r="T46" s="372">
        <f t="shared" si="16"/>
        <v>0.72142857142857142</v>
      </c>
      <c r="U46" s="372">
        <v>0.75</v>
      </c>
      <c r="V46" s="372">
        <v>0.72</v>
      </c>
      <c r="W46" s="372">
        <v>0.7</v>
      </c>
      <c r="X46" s="372"/>
      <c r="Y46" s="372"/>
      <c r="Z46" s="372"/>
      <c r="AA46" s="372"/>
      <c r="AB46" s="372"/>
      <c r="AC46" s="372"/>
      <c r="AD46" s="41"/>
      <c r="AE46" s="41"/>
      <c r="AF46" s="11">
        <f t="shared" si="11"/>
        <v>0</v>
      </c>
      <c r="AG46" s="11">
        <f t="shared" si="12"/>
        <v>0</v>
      </c>
      <c r="AH46" s="11">
        <f t="shared" si="13"/>
        <v>13</v>
      </c>
      <c r="AI46" s="159"/>
    </row>
    <row r="47" spans="1:36">
      <c r="A47" s="70" t="s">
        <v>42</v>
      </c>
      <c r="B47" s="15"/>
      <c r="C47" s="15">
        <v>0.75</v>
      </c>
      <c r="D47" s="15"/>
      <c r="E47" s="15"/>
      <c r="F47" s="372"/>
      <c r="G47" s="372"/>
      <c r="H47" s="372"/>
      <c r="I47" s="372"/>
      <c r="J47" s="372"/>
      <c r="K47" s="372">
        <v>0.7</v>
      </c>
      <c r="L47" s="372"/>
      <c r="M47" s="372">
        <v>0</v>
      </c>
      <c r="N47" s="372">
        <v>0</v>
      </c>
      <c r="O47" s="372">
        <f t="shared" ref="O47:O50" si="18">5/7</f>
        <v>0.7142857142857143</v>
      </c>
      <c r="P47" s="372">
        <f t="shared" si="17"/>
        <v>0.72307692307692306</v>
      </c>
      <c r="Q47" s="372">
        <f t="shared" si="14"/>
        <v>0.7321428571428571</v>
      </c>
      <c r="R47" s="372">
        <f t="shared" si="15"/>
        <v>0.72307692307692306</v>
      </c>
      <c r="S47" s="372">
        <v>0.72</v>
      </c>
      <c r="T47" s="372">
        <f t="shared" si="16"/>
        <v>0.72142857142857142</v>
      </c>
      <c r="U47" s="372">
        <v>0.75</v>
      </c>
      <c r="V47" s="372">
        <v>0.72</v>
      </c>
      <c r="W47" s="372">
        <v>0.7</v>
      </c>
      <c r="X47" s="372"/>
      <c r="Y47" s="372"/>
      <c r="Z47" s="372"/>
      <c r="AA47" s="372"/>
      <c r="AB47" s="372"/>
      <c r="AC47" s="372"/>
      <c r="AD47" s="41"/>
      <c r="AE47" s="41"/>
      <c r="AF47" s="11">
        <f t="shared" si="11"/>
        <v>0</v>
      </c>
      <c r="AG47" s="11">
        <f t="shared" si="12"/>
        <v>0</v>
      </c>
      <c r="AH47" s="11">
        <f t="shared" si="13"/>
        <v>12</v>
      </c>
    </row>
    <row r="48" spans="1:36">
      <c r="A48" s="70" t="s">
        <v>43</v>
      </c>
      <c r="B48" s="15"/>
      <c r="C48" s="15">
        <v>0.75</v>
      </c>
      <c r="D48" s="15"/>
      <c r="E48" s="15"/>
      <c r="F48" s="372"/>
      <c r="G48" s="372"/>
      <c r="H48" s="372"/>
      <c r="I48" s="372"/>
      <c r="J48" s="372"/>
      <c r="K48" s="372"/>
      <c r="L48" s="374"/>
      <c r="M48" s="372"/>
      <c r="N48" s="372"/>
      <c r="O48" s="372">
        <f t="shared" si="18"/>
        <v>0.7142857142857143</v>
      </c>
      <c r="P48" s="372">
        <f t="shared" si="17"/>
        <v>0.72307692307692306</v>
      </c>
      <c r="Q48" s="372">
        <f t="shared" si="14"/>
        <v>0.7321428571428571</v>
      </c>
      <c r="R48" s="372">
        <f t="shared" si="15"/>
        <v>0.72307692307692306</v>
      </c>
      <c r="S48" s="372">
        <v>0.72</v>
      </c>
      <c r="T48" s="372">
        <f t="shared" si="16"/>
        <v>0.72142857142857142</v>
      </c>
      <c r="U48" s="372">
        <v>0.75</v>
      </c>
      <c r="V48" s="372">
        <v>0.75</v>
      </c>
      <c r="W48" s="372">
        <v>0.7</v>
      </c>
      <c r="X48" s="372">
        <v>0.7</v>
      </c>
      <c r="Y48" s="372">
        <v>0.65</v>
      </c>
      <c r="Z48" s="372"/>
      <c r="AA48" s="372"/>
      <c r="AB48" s="372"/>
      <c r="AC48" s="372"/>
      <c r="AD48" s="41"/>
      <c r="AE48" s="41"/>
      <c r="AF48" s="11">
        <f t="shared" si="11"/>
        <v>0</v>
      </c>
      <c r="AG48" s="11">
        <f t="shared" si="12"/>
        <v>0</v>
      </c>
      <c r="AH48" s="11">
        <f t="shared" si="13"/>
        <v>11</v>
      </c>
    </row>
    <row r="49" spans="1:124" ht="15" customHeight="1">
      <c r="A49" s="70" t="s">
        <v>44</v>
      </c>
      <c r="B49" s="15"/>
      <c r="C49" s="15">
        <v>0.75</v>
      </c>
      <c r="D49" s="15"/>
      <c r="E49" s="15"/>
      <c r="F49" s="372"/>
      <c r="G49" s="372"/>
      <c r="H49" s="372"/>
      <c r="I49" s="372">
        <v>0.7</v>
      </c>
      <c r="J49" s="372">
        <v>0.7</v>
      </c>
      <c r="K49" s="372">
        <v>0.7</v>
      </c>
      <c r="L49" s="372">
        <v>0.65</v>
      </c>
      <c r="M49" s="374"/>
      <c r="N49" s="372"/>
      <c r="O49" s="372">
        <f t="shared" si="18"/>
        <v>0.7142857142857143</v>
      </c>
      <c r="P49" s="372">
        <f t="shared" si="17"/>
        <v>0.72307692307692306</v>
      </c>
      <c r="Q49" s="372">
        <f t="shared" si="14"/>
        <v>0.7321428571428571</v>
      </c>
      <c r="R49" s="372">
        <f t="shared" si="15"/>
        <v>0.72307692307692306</v>
      </c>
      <c r="S49" s="372">
        <v>0.72</v>
      </c>
      <c r="T49" s="372">
        <f t="shared" si="16"/>
        <v>0.72142857142857142</v>
      </c>
      <c r="U49" s="372">
        <v>0.75</v>
      </c>
      <c r="V49" s="372">
        <v>0.75</v>
      </c>
      <c r="W49" s="372">
        <v>0.75</v>
      </c>
      <c r="X49" s="372"/>
      <c r="Y49" s="372"/>
      <c r="Z49" s="372"/>
      <c r="AA49" s="372"/>
      <c r="AB49" s="372"/>
      <c r="AC49" s="372">
        <v>0.7</v>
      </c>
      <c r="AD49" s="41"/>
      <c r="AE49" s="41"/>
      <c r="AF49" s="11">
        <f t="shared" si="11"/>
        <v>0</v>
      </c>
      <c r="AG49" s="11">
        <f t="shared" si="12"/>
        <v>0</v>
      </c>
      <c r="AH49" s="11">
        <f t="shared" si="13"/>
        <v>14</v>
      </c>
    </row>
    <row r="50" spans="1:124" ht="16.5" customHeight="1">
      <c r="A50" s="70" t="s">
        <v>45</v>
      </c>
      <c r="B50" s="15"/>
      <c r="C50" s="15">
        <v>0.75</v>
      </c>
      <c r="D50" s="15"/>
      <c r="E50" s="15"/>
      <c r="F50" s="372"/>
      <c r="G50" s="372"/>
      <c r="H50" s="372"/>
      <c r="I50" s="372"/>
      <c r="J50" s="374"/>
      <c r="K50" s="372">
        <v>0.7</v>
      </c>
      <c r="L50" s="374"/>
      <c r="M50" s="374"/>
      <c r="N50" s="372">
        <v>0.7</v>
      </c>
      <c r="O50" s="372">
        <f t="shared" si="18"/>
        <v>0.7142857142857143</v>
      </c>
      <c r="P50" s="372">
        <f t="shared" si="17"/>
        <v>0.72307692307692306</v>
      </c>
      <c r="Q50" s="372">
        <f t="shared" si="14"/>
        <v>0.7321428571428571</v>
      </c>
      <c r="R50" s="372">
        <f t="shared" si="15"/>
        <v>0.72307692307692306</v>
      </c>
      <c r="S50" s="372">
        <v>0.72</v>
      </c>
      <c r="T50" s="372">
        <f t="shared" si="16"/>
        <v>0.72142857142857142</v>
      </c>
      <c r="U50" s="372">
        <v>0.75</v>
      </c>
      <c r="V50" s="372">
        <v>0.75</v>
      </c>
      <c r="W50" s="372">
        <v>0.75</v>
      </c>
      <c r="X50" s="372"/>
      <c r="Y50" s="372"/>
      <c r="Z50" s="372"/>
      <c r="AA50" s="372"/>
      <c r="AB50" s="372"/>
      <c r="AC50" s="372"/>
      <c r="AD50" s="41"/>
      <c r="AE50" s="41"/>
      <c r="AF50" s="11">
        <f t="shared" si="11"/>
        <v>0</v>
      </c>
      <c r="AG50" s="11">
        <f t="shared" si="12"/>
        <v>0</v>
      </c>
      <c r="AH50" s="11">
        <f t="shared" si="13"/>
        <v>11</v>
      </c>
    </row>
    <row r="51" spans="1:124">
      <c r="A51" s="70" t="s">
        <v>46</v>
      </c>
      <c r="B51" s="15"/>
      <c r="C51" s="15">
        <v>0.85</v>
      </c>
      <c r="D51" s="15"/>
      <c r="E51" s="15"/>
      <c r="F51" s="372" t="s">
        <v>9</v>
      </c>
      <c r="G51" s="374" t="s">
        <v>9</v>
      </c>
      <c r="H51" s="374" t="s">
        <v>9</v>
      </c>
      <c r="I51" s="374" t="s">
        <v>9</v>
      </c>
      <c r="J51" s="374" t="s">
        <v>9</v>
      </c>
      <c r="K51" s="374" t="s">
        <v>9</v>
      </c>
      <c r="L51" s="374" t="s">
        <v>9</v>
      </c>
      <c r="M51" s="374" t="s">
        <v>9</v>
      </c>
      <c r="N51" s="372" t="s">
        <v>9</v>
      </c>
      <c r="O51" s="372" t="s">
        <v>9</v>
      </c>
      <c r="P51" s="372" t="s">
        <v>9</v>
      </c>
      <c r="Q51" s="372" t="s">
        <v>9</v>
      </c>
      <c r="R51" s="372" t="s">
        <v>9</v>
      </c>
      <c r="S51" s="372" t="s">
        <v>9</v>
      </c>
      <c r="T51" s="372" t="s">
        <v>9</v>
      </c>
      <c r="U51" s="372" t="s">
        <v>9</v>
      </c>
      <c r="V51" s="372" t="s">
        <v>9</v>
      </c>
      <c r="W51" s="372" t="s">
        <v>9</v>
      </c>
      <c r="X51" s="372" t="s">
        <v>9</v>
      </c>
      <c r="Y51" s="372" t="s">
        <v>9</v>
      </c>
      <c r="Z51" s="372" t="s">
        <v>9</v>
      </c>
      <c r="AA51" s="372" t="s">
        <v>9</v>
      </c>
      <c r="AB51" s="372" t="s">
        <v>9</v>
      </c>
      <c r="AC51" s="372" t="s">
        <v>9</v>
      </c>
      <c r="AD51" s="41"/>
      <c r="AE51" s="41"/>
      <c r="AF51" s="11">
        <f t="shared" si="11"/>
        <v>24</v>
      </c>
      <c r="AG51" s="11">
        <f t="shared" si="12"/>
        <v>0</v>
      </c>
      <c r="AH51" s="11">
        <f t="shared" si="13"/>
        <v>0</v>
      </c>
    </row>
    <row r="52" spans="1:124">
      <c r="A52" s="70" t="s">
        <v>47</v>
      </c>
      <c r="B52" s="15"/>
      <c r="C52" s="15">
        <v>0.85</v>
      </c>
      <c r="D52" s="15"/>
      <c r="E52" s="15"/>
      <c r="F52" s="372" t="s">
        <v>9</v>
      </c>
      <c r="G52" s="374" t="s">
        <v>9</v>
      </c>
      <c r="H52" s="374" t="s">
        <v>9</v>
      </c>
      <c r="I52" s="374" t="s">
        <v>9</v>
      </c>
      <c r="J52" s="374" t="s">
        <v>9</v>
      </c>
      <c r="K52" s="374" t="s">
        <v>9</v>
      </c>
      <c r="L52" s="374" t="s">
        <v>9</v>
      </c>
      <c r="M52" s="374" t="s">
        <v>9</v>
      </c>
      <c r="N52" s="372" t="s">
        <v>9</v>
      </c>
      <c r="O52" s="372" t="s">
        <v>9</v>
      </c>
      <c r="P52" s="372" t="s">
        <v>9</v>
      </c>
      <c r="Q52" s="372" t="s">
        <v>9</v>
      </c>
      <c r="R52" s="372" t="s">
        <v>9</v>
      </c>
      <c r="S52" s="372" t="s">
        <v>9</v>
      </c>
      <c r="T52" s="372" t="s">
        <v>9</v>
      </c>
      <c r="U52" s="372" t="s">
        <v>9</v>
      </c>
      <c r="V52" s="372" t="s">
        <v>9</v>
      </c>
      <c r="W52" s="372" t="s">
        <v>9</v>
      </c>
      <c r="X52" s="372" t="s">
        <v>9</v>
      </c>
      <c r="Y52" s="372" t="s">
        <v>9</v>
      </c>
      <c r="Z52" s="372" t="s">
        <v>9</v>
      </c>
      <c r="AA52" s="372" t="s">
        <v>9</v>
      </c>
      <c r="AB52" s="372" t="s">
        <v>9</v>
      </c>
      <c r="AC52" s="372" t="s">
        <v>9</v>
      </c>
      <c r="AD52" s="41"/>
      <c r="AE52" s="41"/>
      <c r="AF52" s="11">
        <f t="shared" si="11"/>
        <v>24</v>
      </c>
      <c r="AG52" s="11">
        <f t="shared" si="12"/>
        <v>0</v>
      </c>
      <c r="AH52" s="11">
        <f t="shared" si="13"/>
        <v>0</v>
      </c>
    </row>
    <row r="53" spans="1:124">
      <c r="A53" s="70" t="s">
        <v>48</v>
      </c>
      <c r="B53" s="15"/>
      <c r="C53" s="15">
        <v>0.85</v>
      </c>
      <c r="D53" s="15"/>
      <c r="E53" s="15"/>
      <c r="F53" s="372"/>
      <c r="G53" s="372"/>
      <c r="H53" s="372"/>
      <c r="I53" s="372"/>
      <c r="J53" s="372"/>
      <c r="K53" s="374"/>
      <c r="L53" s="372"/>
      <c r="M53" s="374"/>
      <c r="N53" s="372"/>
      <c r="O53" s="372"/>
      <c r="P53" s="372">
        <f t="shared" si="17"/>
        <v>0.72307692307692306</v>
      </c>
      <c r="Q53" s="372">
        <f t="shared" ref="Q53:Q59" si="19">10.25/14</f>
        <v>0.7321428571428571</v>
      </c>
      <c r="R53" s="372">
        <f t="shared" ref="R53:R59" si="20">9.4/13</f>
        <v>0.72307692307692306</v>
      </c>
      <c r="S53" s="372">
        <v>0.72</v>
      </c>
      <c r="T53" s="372">
        <f t="shared" ref="T53:T59" si="21">10.1/14</f>
        <v>0.72142857142857142</v>
      </c>
      <c r="U53" s="372">
        <v>0.7</v>
      </c>
      <c r="V53" s="372">
        <v>0.72</v>
      </c>
      <c r="W53" s="372"/>
      <c r="X53" s="372"/>
      <c r="Y53" s="372">
        <v>0.65</v>
      </c>
      <c r="Z53" s="372">
        <v>0.65</v>
      </c>
      <c r="AA53" s="372"/>
      <c r="AB53" s="372"/>
      <c r="AC53" s="372"/>
      <c r="AD53" s="41"/>
      <c r="AE53" s="41"/>
      <c r="AF53" s="11">
        <f t="shared" si="11"/>
        <v>0</v>
      </c>
      <c r="AG53" s="11">
        <f t="shared" si="12"/>
        <v>0</v>
      </c>
      <c r="AH53" s="11">
        <f t="shared" si="13"/>
        <v>9</v>
      </c>
    </row>
    <row r="54" spans="1:124" ht="16.5" customHeight="1">
      <c r="A54" s="70" t="s">
        <v>49</v>
      </c>
      <c r="B54" s="15"/>
      <c r="C54" s="15">
        <v>0.85</v>
      </c>
      <c r="D54" s="15"/>
      <c r="E54" s="15"/>
      <c r="F54" s="372"/>
      <c r="G54" s="372"/>
      <c r="H54" s="372"/>
      <c r="I54" s="372"/>
      <c r="J54" s="372"/>
      <c r="K54" s="374">
        <v>0.65</v>
      </c>
      <c r="L54" s="372"/>
      <c r="M54" s="374"/>
      <c r="N54" s="372"/>
      <c r="O54" s="372"/>
      <c r="P54" s="372">
        <f t="shared" si="17"/>
        <v>0.72307692307692306</v>
      </c>
      <c r="Q54" s="372">
        <f t="shared" si="19"/>
        <v>0.7321428571428571</v>
      </c>
      <c r="R54" s="372">
        <f t="shared" si="20"/>
        <v>0.72307692307692306</v>
      </c>
      <c r="S54" s="372"/>
      <c r="T54" s="372">
        <f t="shared" si="21"/>
        <v>0.72142857142857142</v>
      </c>
      <c r="U54" s="372">
        <f t="shared" ref="U54:V59" si="22">10.1/14</f>
        <v>0.72142857142857142</v>
      </c>
      <c r="V54" s="372"/>
      <c r="W54" s="372"/>
      <c r="X54" s="372">
        <v>0.7</v>
      </c>
      <c r="Y54" s="372">
        <v>0.7</v>
      </c>
      <c r="Z54" s="372"/>
      <c r="AA54" s="372"/>
      <c r="AB54" s="372"/>
      <c r="AC54" s="372"/>
      <c r="AD54" s="41"/>
      <c r="AE54" s="41"/>
      <c r="AF54" s="11">
        <f t="shared" si="11"/>
        <v>0</v>
      </c>
      <c r="AG54" s="11">
        <f t="shared" si="12"/>
        <v>0</v>
      </c>
      <c r="AH54" s="11">
        <f t="shared" si="13"/>
        <v>8</v>
      </c>
    </row>
    <row r="55" spans="1:124">
      <c r="A55" s="70" t="s">
        <v>50</v>
      </c>
      <c r="B55" s="15"/>
      <c r="C55" s="15">
        <v>0.85</v>
      </c>
      <c r="D55" s="15"/>
      <c r="E55" s="15"/>
      <c r="F55" s="372"/>
      <c r="G55" s="372"/>
      <c r="H55" s="372"/>
      <c r="I55" s="372"/>
      <c r="J55" s="372"/>
      <c r="K55" s="374"/>
      <c r="L55" s="372"/>
      <c r="M55" s="374"/>
      <c r="N55" s="372"/>
      <c r="O55" s="372"/>
      <c r="P55" s="372">
        <f t="shared" si="17"/>
        <v>0.72307692307692306</v>
      </c>
      <c r="Q55" s="372">
        <f t="shared" si="19"/>
        <v>0.7321428571428571</v>
      </c>
      <c r="R55" s="372">
        <f t="shared" si="20"/>
        <v>0.72307692307692306</v>
      </c>
      <c r="S55" s="372"/>
      <c r="T55" s="372">
        <f t="shared" si="21"/>
        <v>0.72142857142857142</v>
      </c>
      <c r="U55" s="372">
        <f t="shared" si="22"/>
        <v>0.72142857142857142</v>
      </c>
      <c r="V55" s="372"/>
      <c r="W55" s="372"/>
      <c r="X55" s="372">
        <v>0.65</v>
      </c>
      <c r="Y55" s="372">
        <v>0.7</v>
      </c>
      <c r="Z55" s="372"/>
      <c r="AA55" s="372"/>
      <c r="AB55" s="372"/>
      <c r="AC55" s="372"/>
      <c r="AD55" s="41"/>
      <c r="AE55" s="41"/>
      <c r="AF55" s="11">
        <f>COUNTIF(F55:AC55,$AJ$8)</f>
        <v>0</v>
      </c>
      <c r="AG55" s="11">
        <f t="shared" si="12"/>
        <v>0</v>
      </c>
      <c r="AH55" s="11">
        <f>COUNT(F55:AC55)</f>
        <v>7</v>
      </c>
    </row>
    <row r="56" spans="1:124">
      <c r="A56" s="70" t="s">
        <v>51</v>
      </c>
      <c r="B56" s="15"/>
      <c r="C56" s="15">
        <v>0.75</v>
      </c>
      <c r="D56" s="15"/>
      <c r="E56" s="15"/>
      <c r="F56" s="372"/>
      <c r="G56" s="372"/>
      <c r="H56" s="372"/>
      <c r="I56" s="372">
        <v>0.7</v>
      </c>
      <c r="J56" s="372">
        <v>0.7</v>
      </c>
      <c r="K56" s="374">
        <v>0.65</v>
      </c>
      <c r="L56" s="374"/>
      <c r="M56" s="374"/>
      <c r="N56" s="372"/>
      <c r="O56" s="372">
        <f t="shared" ref="O56:O57" si="23">5/7</f>
        <v>0.7142857142857143</v>
      </c>
      <c r="P56" s="372">
        <f t="shared" si="17"/>
        <v>0.72307692307692306</v>
      </c>
      <c r="Q56" s="372">
        <f t="shared" si="19"/>
        <v>0.7321428571428571</v>
      </c>
      <c r="R56" s="372">
        <f t="shared" si="20"/>
        <v>0.72307692307692306</v>
      </c>
      <c r="S56" s="372">
        <v>0.72</v>
      </c>
      <c r="T56" s="372">
        <f t="shared" si="21"/>
        <v>0.72142857142857142</v>
      </c>
      <c r="U56" s="372">
        <f t="shared" si="22"/>
        <v>0.72142857142857142</v>
      </c>
      <c r="V56" s="372">
        <f t="shared" si="22"/>
        <v>0.72142857142857142</v>
      </c>
      <c r="W56" s="372">
        <v>0.7</v>
      </c>
      <c r="X56" s="372">
        <v>0.65</v>
      </c>
      <c r="Y56" s="372"/>
      <c r="Z56" s="372"/>
      <c r="AA56" s="372"/>
      <c r="AB56" s="372"/>
      <c r="AC56" s="372"/>
      <c r="AD56" s="41"/>
      <c r="AE56" s="41"/>
      <c r="AF56" s="11">
        <f t="shared" si="11"/>
        <v>0</v>
      </c>
      <c r="AG56" s="11">
        <f t="shared" si="12"/>
        <v>0</v>
      </c>
      <c r="AH56" s="11">
        <f t="shared" si="13"/>
        <v>13</v>
      </c>
    </row>
    <row r="57" spans="1:124">
      <c r="A57" s="70" t="s">
        <v>52</v>
      </c>
      <c r="B57" s="15"/>
      <c r="C57" s="15">
        <v>0.75</v>
      </c>
      <c r="D57" s="15"/>
      <c r="E57" s="15"/>
      <c r="F57" s="372"/>
      <c r="G57" s="372"/>
      <c r="H57" s="372"/>
      <c r="I57" s="372">
        <v>0.7</v>
      </c>
      <c r="J57" s="372">
        <v>0.7</v>
      </c>
      <c r="K57" s="372"/>
      <c r="L57" s="374">
        <v>0.7</v>
      </c>
      <c r="M57" s="374"/>
      <c r="N57" s="372"/>
      <c r="O57" s="372">
        <f t="shared" si="23"/>
        <v>0.7142857142857143</v>
      </c>
      <c r="P57" s="372">
        <f t="shared" si="17"/>
        <v>0.72307692307692306</v>
      </c>
      <c r="Q57" s="372">
        <f t="shared" si="19"/>
        <v>0.7321428571428571</v>
      </c>
      <c r="R57" s="372">
        <f t="shared" si="20"/>
        <v>0.72307692307692306</v>
      </c>
      <c r="S57" s="372"/>
      <c r="T57" s="372">
        <f t="shared" si="21"/>
        <v>0.72142857142857142</v>
      </c>
      <c r="U57" s="372">
        <f t="shared" si="22"/>
        <v>0.72142857142857142</v>
      </c>
      <c r="V57" s="372">
        <f t="shared" si="22"/>
        <v>0.72142857142857142</v>
      </c>
      <c r="W57" s="372">
        <v>0.7</v>
      </c>
      <c r="X57" s="372"/>
      <c r="Y57" s="372"/>
      <c r="Z57" s="372"/>
      <c r="AA57" s="372"/>
      <c r="AB57" s="372"/>
      <c r="AC57" s="372">
        <v>0</v>
      </c>
      <c r="AD57" s="41"/>
      <c r="AE57" s="41"/>
      <c r="AF57" s="11">
        <f t="shared" si="11"/>
        <v>0</v>
      </c>
      <c r="AG57" s="11">
        <f t="shared" si="12"/>
        <v>0</v>
      </c>
      <c r="AH57" s="11">
        <f t="shared" si="13"/>
        <v>12</v>
      </c>
    </row>
    <row r="58" spans="1:124">
      <c r="A58" s="70" t="s">
        <v>53</v>
      </c>
      <c r="B58" s="15"/>
      <c r="C58" s="15">
        <v>0.85</v>
      </c>
      <c r="D58" s="15"/>
      <c r="E58" s="15"/>
      <c r="F58" s="372"/>
      <c r="G58" s="372"/>
      <c r="H58" s="372"/>
      <c r="I58" s="372"/>
      <c r="J58" s="372"/>
      <c r="K58" s="374"/>
      <c r="L58" s="374"/>
      <c r="M58" s="374"/>
      <c r="N58" s="372"/>
      <c r="O58" s="372"/>
      <c r="P58" s="372">
        <f t="shared" si="17"/>
        <v>0.72307692307692306</v>
      </c>
      <c r="Q58" s="372">
        <f t="shared" si="19"/>
        <v>0.7321428571428571</v>
      </c>
      <c r="R58" s="372">
        <f t="shared" si="20"/>
        <v>0.72307692307692306</v>
      </c>
      <c r="S58" s="372">
        <v>0.72</v>
      </c>
      <c r="T58" s="372">
        <f t="shared" si="21"/>
        <v>0.72142857142857142</v>
      </c>
      <c r="U58" s="372">
        <f t="shared" si="22"/>
        <v>0.72142857142857142</v>
      </c>
      <c r="V58" s="372">
        <f t="shared" si="22"/>
        <v>0.72142857142857142</v>
      </c>
      <c r="W58" s="372"/>
      <c r="X58" s="372"/>
      <c r="Y58" s="372"/>
      <c r="Z58" s="372">
        <v>0.65</v>
      </c>
      <c r="AA58" s="372"/>
      <c r="AB58" s="372"/>
      <c r="AC58" s="372"/>
      <c r="AD58" s="41"/>
      <c r="AE58" s="41"/>
      <c r="AF58" s="11">
        <f t="shared" si="11"/>
        <v>0</v>
      </c>
      <c r="AG58" s="11">
        <f t="shared" si="12"/>
        <v>0</v>
      </c>
      <c r="AH58" s="11">
        <f t="shared" si="13"/>
        <v>8</v>
      </c>
    </row>
    <row r="59" spans="1:124">
      <c r="A59" s="70" t="s">
        <v>54</v>
      </c>
      <c r="B59" s="15"/>
      <c r="C59" s="15">
        <v>0.85</v>
      </c>
      <c r="D59" s="15"/>
      <c r="E59" s="15"/>
      <c r="F59" s="372"/>
      <c r="G59" s="372"/>
      <c r="H59" s="372"/>
      <c r="I59" s="372"/>
      <c r="J59" s="372"/>
      <c r="K59" s="374"/>
      <c r="L59" s="374"/>
      <c r="M59" s="374"/>
      <c r="N59" s="372"/>
      <c r="O59" s="372"/>
      <c r="P59" s="372">
        <f t="shared" si="17"/>
        <v>0.72307692307692306</v>
      </c>
      <c r="Q59" s="372">
        <f t="shared" si="19"/>
        <v>0.7321428571428571</v>
      </c>
      <c r="R59" s="372">
        <f t="shared" si="20"/>
        <v>0.72307692307692306</v>
      </c>
      <c r="S59" s="372">
        <v>0.72</v>
      </c>
      <c r="T59" s="372">
        <f t="shared" si="21"/>
        <v>0.72142857142857142</v>
      </c>
      <c r="U59" s="372">
        <f t="shared" si="22"/>
        <v>0.72142857142857142</v>
      </c>
      <c r="V59" s="372">
        <f t="shared" si="22"/>
        <v>0.72142857142857142</v>
      </c>
      <c r="W59" s="372"/>
      <c r="X59" s="372"/>
      <c r="Y59" s="372"/>
      <c r="Z59" s="372">
        <v>0.7</v>
      </c>
      <c r="AA59" s="372"/>
      <c r="AB59" s="372"/>
      <c r="AC59" s="372"/>
      <c r="AD59" s="41"/>
      <c r="AE59" s="41"/>
      <c r="AF59" s="11">
        <f t="shared" si="11"/>
        <v>0</v>
      </c>
      <c r="AG59" s="11">
        <f t="shared" si="12"/>
        <v>0</v>
      </c>
      <c r="AH59" s="11">
        <f t="shared" si="13"/>
        <v>8</v>
      </c>
    </row>
    <row r="60" spans="1:124">
      <c r="A60" s="9" t="s">
        <v>26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>SUM(F36:F59)</f>
        <v>0</v>
      </c>
      <c r="G60" s="19">
        <f t="shared" ref="G60:AC60" si="24">SUM(G36:G59)</f>
        <v>0</v>
      </c>
      <c r="H60" s="19">
        <f t="shared" si="24"/>
        <v>0</v>
      </c>
      <c r="I60" s="19">
        <f t="shared" si="24"/>
        <v>2.0999999999999996</v>
      </c>
      <c r="J60" s="19">
        <f t="shared" si="24"/>
        <v>2.0999999999999996</v>
      </c>
      <c r="K60" s="19">
        <f t="shared" si="24"/>
        <v>4.8000000000000007</v>
      </c>
      <c r="L60" s="19">
        <f t="shared" si="24"/>
        <v>2</v>
      </c>
      <c r="M60" s="19">
        <f t="shared" si="24"/>
        <v>0</v>
      </c>
      <c r="N60" s="19">
        <f t="shared" si="24"/>
        <v>0.7</v>
      </c>
      <c r="O60" s="19">
        <f t="shared" si="24"/>
        <v>5</v>
      </c>
      <c r="P60" s="19">
        <f t="shared" si="24"/>
        <v>9.3999999999999986</v>
      </c>
      <c r="Q60" s="19">
        <f t="shared" si="24"/>
        <v>12.15</v>
      </c>
      <c r="R60" s="19">
        <f t="shared" si="24"/>
        <v>9.3999999999999986</v>
      </c>
      <c r="S60" s="19">
        <f t="shared" si="24"/>
        <v>7.1999999999999984</v>
      </c>
      <c r="T60" s="19">
        <f t="shared" si="24"/>
        <v>13.9</v>
      </c>
      <c r="U60" s="19">
        <f t="shared" si="24"/>
        <v>11.2</v>
      </c>
      <c r="V60" s="19">
        <f t="shared" si="24"/>
        <v>7.2957142857142863</v>
      </c>
      <c r="W60" s="19">
        <f t="shared" si="24"/>
        <v>5</v>
      </c>
      <c r="X60" s="19">
        <f t="shared" si="24"/>
        <v>2.6999999999999997</v>
      </c>
      <c r="Y60" s="19">
        <f t="shared" si="24"/>
        <v>2.7</v>
      </c>
      <c r="Z60" s="19">
        <f t="shared" si="24"/>
        <v>2</v>
      </c>
      <c r="AA60" s="19">
        <f t="shared" si="24"/>
        <v>0</v>
      </c>
      <c r="AB60" s="19">
        <f t="shared" si="24"/>
        <v>0</v>
      </c>
      <c r="AC60" s="19">
        <f t="shared" si="24"/>
        <v>0.7</v>
      </c>
      <c r="AD60" s="34"/>
      <c r="AE60" s="34"/>
      <c r="AF60" s="11"/>
      <c r="AG60" s="11"/>
      <c r="AH60" s="11"/>
    </row>
    <row r="61" spans="1:124">
      <c r="A61" s="12" t="s">
        <v>55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30.769999999999996</v>
      </c>
      <c r="AN61" s="351"/>
    </row>
    <row r="62" spans="1:124">
      <c r="A62" s="14" t="s">
        <v>56</v>
      </c>
      <c r="B62" s="20"/>
      <c r="C62" s="15">
        <v>0.75</v>
      </c>
      <c r="D62" s="15"/>
      <c r="E62" s="15"/>
      <c r="F62" s="372"/>
      <c r="G62" s="372"/>
      <c r="H62" s="372">
        <v>0.48</v>
      </c>
      <c r="I62" s="372">
        <f>0.94/2</f>
        <v>0.47</v>
      </c>
      <c r="J62" s="372">
        <f>0.91/2</f>
        <v>0.45500000000000002</v>
      </c>
      <c r="K62" s="374">
        <f>0.96/2</f>
        <v>0.48</v>
      </c>
      <c r="L62" s="372">
        <f>1.09/2</f>
        <v>0.54500000000000004</v>
      </c>
      <c r="M62" s="372">
        <f>1.14/2</f>
        <v>0.56999999999999995</v>
      </c>
      <c r="N62" s="372">
        <f>1.05/2</f>
        <v>0.52500000000000002</v>
      </c>
      <c r="O62" s="372">
        <f>1.39/2</f>
        <v>0.69499999999999995</v>
      </c>
      <c r="P62" s="372">
        <f>1.38/2</f>
        <v>0.69</v>
      </c>
      <c r="Q62" s="372">
        <f>1.44/2</f>
        <v>0.72</v>
      </c>
      <c r="R62" s="372">
        <f>1.49/2</f>
        <v>0.745</v>
      </c>
      <c r="S62" s="372"/>
      <c r="T62" s="372"/>
      <c r="U62" s="372"/>
      <c r="V62" s="372"/>
      <c r="W62" s="372"/>
      <c r="X62" s="372"/>
      <c r="Y62" s="372">
        <f t="shared" ref="Y62:Y63" si="25">1.68/3</f>
        <v>0.55999999999999994</v>
      </c>
      <c r="Z62" s="372">
        <f>1.63/3</f>
        <v>0.54333333333333333</v>
      </c>
      <c r="AA62" s="372">
        <v>0.74</v>
      </c>
      <c r="AB62" s="372">
        <v>0.65500000000000003</v>
      </c>
      <c r="AC62" s="372">
        <f>1.15/2</f>
        <v>0.57499999999999996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16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57</v>
      </c>
      <c r="B63" s="20"/>
      <c r="C63" s="15">
        <v>0.75</v>
      </c>
      <c r="D63" s="15"/>
      <c r="E63" s="15"/>
      <c r="F63" s="372">
        <v>0.53</v>
      </c>
      <c r="G63" s="372">
        <v>0.49</v>
      </c>
      <c r="H63" s="372">
        <v>0.48</v>
      </c>
      <c r="I63" s="372">
        <f>0.94/2</f>
        <v>0.47</v>
      </c>
      <c r="J63" s="372">
        <f>0.91/2</f>
        <v>0.45500000000000002</v>
      </c>
      <c r="K63" s="374">
        <f>0.96/2</f>
        <v>0.48</v>
      </c>
      <c r="L63" s="372">
        <f>1.09/2</f>
        <v>0.54500000000000004</v>
      </c>
      <c r="M63" s="372"/>
      <c r="N63" s="372"/>
      <c r="O63" s="372"/>
      <c r="P63" s="372"/>
      <c r="Q63" s="372"/>
      <c r="R63" s="372"/>
      <c r="S63" s="372">
        <f>1.49/2</f>
        <v>0.745</v>
      </c>
      <c r="T63" s="372">
        <v>0.75</v>
      </c>
      <c r="U63" s="372">
        <v>0.76500000000000001</v>
      </c>
      <c r="V63" s="372">
        <v>0.74</v>
      </c>
      <c r="W63" s="372">
        <v>0.69499999999999995</v>
      </c>
      <c r="X63" s="372">
        <v>0.67</v>
      </c>
      <c r="Y63" s="372">
        <f t="shared" si="25"/>
        <v>0.55999999999999994</v>
      </c>
      <c r="Z63" s="372">
        <f t="shared" ref="Z63:Z64" si="26">1.63/3</f>
        <v>0.54333333333333333</v>
      </c>
      <c r="AA63" s="372">
        <v>0.74</v>
      </c>
      <c r="AB63" s="372">
        <v>0.65500000000000003</v>
      </c>
      <c r="AC63" s="372">
        <f>1.15/2</f>
        <v>0.57499999999999996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18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58</v>
      </c>
      <c r="B64" s="20"/>
      <c r="C64" s="15">
        <v>0.75</v>
      </c>
      <c r="D64" s="15"/>
      <c r="E64" s="15"/>
      <c r="F64" s="372">
        <v>0.53</v>
      </c>
      <c r="G64" s="372">
        <v>0.49</v>
      </c>
      <c r="H64" s="372"/>
      <c r="I64" s="372"/>
      <c r="J64" s="372"/>
      <c r="K64" s="374"/>
      <c r="L64" s="372"/>
      <c r="M64" s="372">
        <f>1.14/2</f>
        <v>0.56999999999999995</v>
      </c>
      <c r="N64" s="372">
        <f>1.05/2</f>
        <v>0.52500000000000002</v>
      </c>
      <c r="O64" s="372">
        <f>1.39/2</f>
        <v>0.69499999999999995</v>
      </c>
      <c r="P64" s="372">
        <f>1.38/2</f>
        <v>0.69</v>
      </c>
      <c r="Q64" s="372">
        <f>1.44/2</f>
        <v>0.72</v>
      </c>
      <c r="R64" s="372">
        <f>1.49/2</f>
        <v>0.745</v>
      </c>
      <c r="S64" s="372">
        <f>1.49/2</f>
        <v>0.745</v>
      </c>
      <c r="T64" s="372">
        <v>0.75</v>
      </c>
      <c r="U64" s="372">
        <v>0.76500000000000001</v>
      </c>
      <c r="V64" s="372">
        <v>0.74</v>
      </c>
      <c r="W64" s="372">
        <v>0.69499999999999995</v>
      </c>
      <c r="X64" s="372">
        <v>0.67</v>
      </c>
      <c r="Y64" s="372">
        <f>1.68/3</f>
        <v>0.55999999999999994</v>
      </c>
      <c r="Z64" s="372">
        <f t="shared" si="26"/>
        <v>0.54333333333333333</v>
      </c>
      <c r="AA64" s="372"/>
      <c r="AB64" s="372"/>
      <c r="AC64" s="372"/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16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1.06</v>
      </c>
      <c r="G65" s="19">
        <f t="shared" ref="G65" si="27">SUM(G62:G64)</f>
        <v>0.98</v>
      </c>
      <c r="H65" s="19">
        <f>SUM(H62:H64)</f>
        <v>0.96</v>
      </c>
      <c r="I65" s="19">
        <f>SUM(I62:I64)</f>
        <v>0.94</v>
      </c>
      <c r="J65" s="19">
        <f t="shared" ref="J65" si="28">SUM(J62:J64)</f>
        <v>0.91</v>
      </c>
      <c r="K65" s="19">
        <f>SUM(K62:K64)</f>
        <v>0.96</v>
      </c>
      <c r="L65" s="19">
        <f>SUM(L62:L64)</f>
        <v>1.0900000000000001</v>
      </c>
      <c r="M65" s="19">
        <f>SUM(M62:M64)</f>
        <v>1.1399999999999999</v>
      </c>
      <c r="N65" s="19">
        <f>SUM(N62:N64)</f>
        <v>1.05</v>
      </c>
      <c r="O65" s="19">
        <f t="shared" ref="O65:AB65" si="29">SUM(O62:O64)</f>
        <v>1.39</v>
      </c>
      <c r="P65" s="19">
        <f t="shared" si="29"/>
        <v>1.38</v>
      </c>
      <c r="Q65" s="19">
        <f t="shared" si="29"/>
        <v>1.44</v>
      </c>
      <c r="R65" s="19">
        <f t="shared" si="29"/>
        <v>1.49</v>
      </c>
      <c r="S65" s="19">
        <f t="shared" si="29"/>
        <v>1.49</v>
      </c>
      <c r="T65" s="19">
        <f t="shared" si="29"/>
        <v>1.5</v>
      </c>
      <c r="U65" s="19">
        <f t="shared" si="29"/>
        <v>1.53</v>
      </c>
      <c r="V65" s="19">
        <f t="shared" si="29"/>
        <v>1.48</v>
      </c>
      <c r="W65" s="19">
        <f t="shared" si="29"/>
        <v>1.39</v>
      </c>
      <c r="X65" s="19">
        <f t="shared" si="29"/>
        <v>1.34</v>
      </c>
      <c r="Y65" s="19">
        <f>SUM(Y62:Y64)</f>
        <v>1.6799999999999997</v>
      </c>
      <c r="Z65" s="19">
        <f t="shared" si="29"/>
        <v>1.63</v>
      </c>
      <c r="AA65" s="19">
        <f t="shared" si="29"/>
        <v>1.48</v>
      </c>
      <c r="AB65" s="19">
        <f t="shared" si="29"/>
        <v>1.31</v>
      </c>
      <c r="AC65" s="19">
        <f>SUM(AC62:AC64)</f>
        <v>1.1499999999999999</v>
      </c>
      <c r="AD65" s="34"/>
      <c r="AE65" s="34"/>
      <c r="AF65" s="11"/>
      <c r="AG65" s="11"/>
      <c r="AH65" s="11"/>
    </row>
    <row r="66" spans="1:124" hidden="1">
      <c r="A66" s="12" t="s">
        <v>59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idden="1">
      <c r="A67" s="14" t="s">
        <v>60</v>
      </c>
      <c r="B67" s="15"/>
      <c r="C67" s="15">
        <v>0.85</v>
      </c>
      <c r="D67" s="15"/>
      <c r="E67" s="15"/>
      <c r="F67" s="372"/>
      <c r="G67" s="372"/>
      <c r="H67" s="372"/>
      <c r="I67" s="372"/>
      <c r="J67" s="372"/>
      <c r="K67" s="374"/>
      <c r="L67" s="374"/>
      <c r="M67" s="374"/>
      <c r="N67" s="372"/>
      <c r="O67" s="372"/>
      <c r="P67" s="372"/>
      <c r="Q67" s="372"/>
      <c r="R67" s="372"/>
      <c r="S67" s="372"/>
      <c r="T67" s="372"/>
      <c r="U67" s="372"/>
      <c r="V67" s="372"/>
      <c r="W67" s="372"/>
      <c r="X67" s="372"/>
      <c r="Y67" s="372"/>
      <c r="Z67" s="372"/>
      <c r="AA67" s="372"/>
      <c r="AB67" s="372"/>
      <c r="AC67" s="372"/>
      <c r="AD67" s="35"/>
      <c r="AE67" s="35"/>
      <c r="AF67" s="11">
        <f t="shared" ref="AF67:AF75" si="30">COUNTIF(F67:AC67,$AF$11)</f>
        <v>0</v>
      </c>
      <c r="AG67" s="11">
        <f t="shared" ref="AG67:AG75" si="31">COUNTIF(G67:AC67,$AG$11)</f>
        <v>0</v>
      </c>
      <c r="AH67" s="11">
        <f t="shared" ref="AH67:AH75" si="32">COUNT(F67:AC67)</f>
        <v>0</v>
      </c>
    </row>
    <row r="68" spans="1:124" hidden="1">
      <c r="A68" s="14" t="s">
        <v>61</v>
      </c>
      <c r="B68" s="15"/>
      <c r="C68" s="15">
        <v>0.85</v>
      </c>
      <c r="D68" s="15"/>
      <c r="E68" s="15"/>
      <c r="F68" s="372"/>
      <c r="G68" s="372"/>
      <c r="H68" s="372"/>
      <c r="I68" s="372"/>
      <c r="J68" s="372"/>
      <c r="K68" s="374"/>
      <c r="L68" s="374"/>
      <c r="M68" s="374"/>
      <c r="N68" s="372"/>
      <c r="O68" s="372"/>
      <c r="P68" s="372"/>
      <c r="Q68" s="372"/>
      <c r="R68" s="372"/>
      <c r="S68" s="372"/>
      <c r="T68" s="372"/>
      <c r="U68" s="372"/>
      <c r="V68" s="372"/>
      <c r="W68" s="372"/>
      <c r="X68" s="372"/>
      <c r="Y68" s="372"/>
      <c r="Z68" s="372"/>
      <c r="AA68" s="372"/>
      <c r="AB68" s="372"/>
      <c r="AC68" s="372"/>
      <c r="AD68" s="35"/>
      <c r="AE68" s="35"/>
      <c r="AF68" s="11">
        <f t="shared" si="30"/>
        <v>0</v>
      </c>
      <c r="AG68" s="11">
        <f t="shared" si="31"/>
        <v>0</v>
      </c>
      <c r="AH68" s="11">
        <f t="shared" si="32"/>
        <v>0</v>
      </c>
    </row>
    <row r="69" spans="1:124" hidden="1">
      <c r="A69" s="14" t="s">
        <v>62</v>
      </c>
      <c r="B69" s="15"/>
      <c r="C69" s="15">
        <v>0.85</v>
      </c>
      <c r="D69" s="15"/>
      <c r="E69" s="15"/>
      <c r="F69" s="372"/>
      <c r="G69" s="372"/>
      <c r="H69" s="372"/>
      <c r="I69" s="372"/>
      <c r="J69" s="372"/>
      <c r="K69" s="374"/>
      <c r="L69" s="374"/>
      <c r="M69" s="374"/>
      <c r="N69" s="372"/>
      <c r="O69" s="372"/>
      <c r="P69" s="372"/>
      <c r="Q69" s="372"/>
      <c r="R69" s="372"/>
      <c r="S69" s="372"/>
      <c r="T69" s="372"/>
      <c r="U69" s="372"/>
      <c r="V69" s="372"/>
      <c r="W69" s="372"/>
      <c r="X69" s="372"/>
      <c r="Y69" s="372"/>
      <c r="Z69" s="372"/>
      <c r="AA69" s="372"/>
      <c r="AB69" s="372"/>
      <c r="AC69" s="372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32"/>
        <v>0</v>
      </c>
    </row>
    <row r="70" spans="1:124" hidden="1">
      <c r="A70" s="14" t="s">
        <v>63</v>
      </c>
      <c r="B70" s="15"/>
      <c r="C70" s="15">
        <v>0.85</v>
      </c>
      <c r="D70" s="15"/>
      <c r="E70" s="15"/>
      <c r="F70" s="372"/>
      <c r="G70" s="372"/>
      <c r="H70" s="372"/>
      <c r="I70" s="372"/>
      <c r="J70" s="372"/>
      <c r="K70" s="374"/>
      <c r="L70" s="374"/>
      <c r="M70" s="374"/>
      <c r="N70" s="372"/>
      <c r="O70" s="372"/>
      <c r="P70" s="372"/>
      <c r="Q70" s="372"/>
      <c r="R70" s="372"/>
      <c r="S70" s="372"/>
      <c r="T70" s="372"/>
      <c r="U70" s="372"/>
      <c r="V70" s="372"/>
      <c r="W70" s="372"/>
      <c r="X70" s="372"/>
      <c r="Y70" s="372"/>
      <c r="Z70" s="372"/>
      <c r="AA70" s="372"/>
      <c r="AB70" s="372"/>
      <c r="AC70" s="372"/>
      <c r="AD70" s="35"/>
      <c r="AE70" s="35"/>
      <c r="AF70" s="11">
        <f t="shared" si="30"/>
        <v>0</v>
      </c>
      <c r="AG70" s="11">
        <f t="shared" si="31"/>
        <v>0</v>
      </c>
      <c r="AH70" s="11">
        <f t="shared" si="32"/>
        <v>0</v>
      </c>
      <c r="AI70" s="5"/>
      <c r="AJ70" s="5"/>
      <c r="AK70" s="5"/>
      <c r="AL70" s="5"/>
    </row>
    <row r="71" spans="1:124" hidden="1">
      <c r="A71" s="14" t="s">
        <v>64</v>
      </c>
      <c r="B71" s="15"/>
      <c r="C71" s="15">
        <v>0.85</v>
      </c>
      <c r="D71" s="15"/>
      <c r="E71" s="15"/>
      <c r="F71" s="372"/>
      <c r="G71" s="372"/>
      <c r="H71" s="372"/>
      <c r="I71" s="372"/>
      <c r="J71" s="372"/>
      <c r="K71" s="374"/>
      <c r="L71" s="374"/>
      <c r="M71" s="374"/>
      <c r="N71" s="372"/>
      <c r="O71" s="372"/>
      <c r="P71" s="372"/>
      <c r="Q71" s="372"/>
      <c r="R71" s="372"/>
      <c r="S71" s="372"/>
      <c r="T71" s="372"/>
      <c r="U71" s="372"/>
      <c r="V71" s="372"/>
      <c r="W71" s="372"/>
      <c r="X71" s="372"/>
      <c r="Y71" s="372"/>
      <c r="Z71" s="372"/>
      <c r="AA71" s="372"/>
      <c r="AB71" s="372"/>
      <c r="AC71" s="372"/>
      <c r="AD71" s="35"/>
      <c r="AE71" s="35"/>
      <c r="AF71" s="11">
        <f t="shared" si="30"/>
        <v>0</v>
      </c>
      <c r="AG71" s="11">
        <f t="shared" si="31"/>
        <v>0</v>
      </c>
      <c r="AH71" s="11">
        <f t="shared" si="32"/>
        <v>0</v>
      </c>
    </row>
    <row r="72" spans="1:124" hidden="1">
      <c r="A72" s="14" t="s">
        <v>65</v>
      </c>
      <c r="B72" s="15"/>
      <c r="C72" s="15">
        <v>0.85</v>
      </c>
      <c r="D72" s="15"/>
      <c r="E72" s="15"/>
      <c r="F72" s="372"/>
      <c r="G72" s="372"/>
      <c r="H72" s="372"/>
      <c r="I72" s="372"/>
      <c r="J72" s="372"/>
      <c r="K72" s="374"/>
      <c r="L72" s="374"/>
      <c r="M72" s="374"/>
      <c r="N72" s="372"/>
      <c r="O72" s="372"/>
      <c r="P72" s="372"/>
      <c r="Q72" s="372"/>
      <c r="R72" s="372"/>
      <c r="S72" s="372"/>
      <c r="T72" s="372"/>
      <c r="U72" s="372"/>
      <c r="V72" s="372"/>
      <c r="W72" s="372"/>
      <c r="X72" s="372"/>
      <c r="Y72" s="372"/>
      <c r="Z72" s="372"/>
      <c r="AA72" s="372"/>
      <c r="AB72" s="372"/>
      <c r="AC72" s="372"/>
      <c r="AD72" s="35"/>
      <c r="AE72" s="35"/>
      <c r="AF72" s="11">
        <f t="shared" si="30"/>
        <v>0</v>
      </c>
      <c r="AG72" s="11">
        <f t="shared" si="31"/>
        <v>0</v>
      </c>
      <c r="AH72" s="11">
        <f t="shared" si="32"/>
        <v>0</v>
      </c>
    </row>
    <row r="73" spans="1:124" hidden="1">
      <c r="A73" s="14" t="s">
        <v>66</v>
      </c>
      <c r="B73" s="15"/>
      <c r="C73" s="15">
        <v>0.85</v>
      </c>
      <c r="D73" s="15"/>
      <c r="E73" s="15"/>
      <c r="F73" s="372"/>
      <c r="G73" s="372"/>
      <c r="H73" s="372"/>
      <c r="I73" s="372"/>
      <c r="J73" s="372"/>
      <c r="K73" s="374"/>
      <c r="L73" s="374"/>
      <c r="M73" s="374"/>
      <c r="N73" s="372"/>
      <c r="O73" s="372"/>
      <c r="P73" s="372"/>
      <c r="Q73" s="372"/>
      <c r="R73" s="372"/>
      <c r="S73" s="372"/>
      <c r="T73" s="372"/>
      <c r="U73" s="372"/>
      <c r="V73" s="372"/>
      <c r="W73" s="372"/>
      <c r="X73" s="372"/>
      <c r="Y73" s="372"/>
      <c r="Z73" s="372"/>
      <c r="AA73" s="372"/>
      <c r="AB73" s="372"/>
      <c r="AC73" s="372"/>
      <c r="AD73" s="35"/>
      <c r="AE73" s="35"/>
      <c r="AF73" s="11">
        <f t="shared" si="30"/>
        <v>0</v>
      </c>
      <c r="AG73" s="11">
        <f t="shared" si="31"/>
        <v>0</v>
      </c>
      <c r="AH73" s="11">
        <f t="shared" si="32"/>
        <v>0</v>
      </c>
    </row>
    <row r="74" spans="1:124" hidden="1">
      <c r="A74" s="14" t="s">
        <v>67</v>
      </c>
      <c r="B74" s="19"/>
      <c r="C74" s="15">
        <v>0.85</v>
      </c>
      <c r="D74" s="15"/>
      <c r="E74" s="15"/>
      <c r="F74" s="372"/>
      <c r="G74" s="372"/>
      <c r="H74" s="372"/>
      <c r="I74" s="372"/>
      <c r="J74" s="372"/>
      <c r="K74" s="374"/>
      <c r="L74" s="374"/>
      <c r="M74" s="374"/>
      <c r="N74" s="372"/>
      <c r="O74" s="372"/>
      <c r="P74" s="372"/>
      <c r="Q74" s="372"/>
      <c r="R74" s="372"/>
      <c r="S74" s="372"/>
      <c r="T74" s="372"/>
      <c r="U74" s="372"/>
      <c r="V74" s="372"/>
      <c r="W74" s="372"/>
      <c r="X74" s="372"/>
      <c r="Y74" s="372"/>
      <c r="Z74" s="372"/>
      <c r="AA74" s="372"/>
      <c r="AB74" s="372"/>
      <c r="AC74" s="372"/>
      <c r="AD74" s="29"/>
      <c r="AE74" s="29"/>
      <c r="AF74" s="11">
        <f t="shared" si="30"/>
        <v>0</v>
      </c>
      <c r="AG74" s="11">
        <f t="shared" si="31"/>
        <v>0</v>
      </c>
      <c r="AH74" s="11">
        <f t="shared" si="32"/>
        <v>0</v>
      </c>
    </row>
    <row r="75" spans="1:124" ht="15.75" hidden="1" customHeight="1">
      <c r="A75" s="14" t="s">
        <v>68</v>
      </c>
      <c r="B75" s="9"/>
      <c r="C75" s="15">
        <v>0.85</v>
      </c>
      <c r="D75" s="15"/>
      <c r="E75" s="15"/>
      <c r="F75" s="372"/>
      <c r="G75" s="372"/>
      <c r="H75" s="372"/>
      <c r="I75" s="372"/>
      <c r="J75" s="372"/>
      <c r="K75" s="374"/>
      <c r="L75" s="374"/>
      <c r="M75" s="374"/>
      <c r="N75" s="372"/>
      <c r="O75" s="372"/>
      <c r="P75" s="372"/>
      <c r="Q75" s="372"/>
      <c r="R75" s="372"/>
      <c r="S75" s="372"/>
      <c r="T75" s="372"/>
      <c r="U75" s="372"/>
      <c r="V75" s="372"/>
      <c r="W75" s="372"/>
      <c r="X75" s="372"/>
      <c r="Y75" s="372"/>
      <c r="Z75" s="372"/>
      <c r="AA75" s="372"/>
      <c r="AB75" s="372"/>
      <c r="AC75" s="372"/>
      <c r="AD75" s="31"/>
      <c r="AE75" s="31"/>
      <c r="AF75" s="11">
        <f t="shared" si="30"/>
        <v>0</v>
      </c>
      <c r="AG75" s="11">
        <f t="shared" si="31"/>
        <v>0</v>
      </c>
      <c r="AH75" s="11">
        <f t="shared" si="32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33">SUM(F67:F75)</f>
        <v>0</v>
      </c>
      <c r="G76" s="19">
        <f t="shared" ref="G76:AC76" si="34">SUM(G67:G75)</f>
        <v>0</v>
      </c>
      <c r="H76" s="19">
        <f t="shared" si="34"/>
        <v>0</v>
      </c>
      <c r="I76" s="19">
        <f t="shared" si="34"/>
        <v>0</v>
      </c>
      <c r="J76" s="19">
        <f t="shared" si="34"/>
        <v>0</v>
      </c>
      <c r="K76" s="19">
        <f t="shared" si="34"/>
        <v>0</v>
      </c>
      <c r="L76" s="19">
        <f>SUM(L67:L75)</f>
        <v>0</v>
      </c>
      <c r="M76" s="19">
        <f t="shared" si="34"/>
        <v>0</v>
      </c>
      <c r="N76" s="19">
        <f t="shared" si="34"/>
        <v>0</v>
      </c>
      <c r="O76" s="19">
        <f t="shared" si="34"/>
        <v>0</v>
      </c>
      <c r="P76" s="19">
        <f t="shared" si="34"/>
        <v>0</v>
      </c>
      <c r="Q76" s="19">
        <f>SUM(Q67:Q75)</f>
        <v>0</v>
      </c>
      <c r="R76" s="19">
        <f t="shared" si="34"/>
        <v>0</v>
      </c>
      <c r="S76" s="19">
        <f t="shared" si="34"/>
        <v>0</v>
      </c>
      <c r="T76" s="19">
        <f t="shared" si="34"/>
        <v>0</v>
      </c>
      <c r="U76" s="19">
        <f t="shared" si="34"/>
        <v>0</v>
      </c>
      <c r="V76" s="19">
        <f t="shared" si="34"/>
        <v>0</v>
      </c>
      <c r="W76" s="19">
        <f t="shared" si="34"/>
        <v>0</v>
      </c>
      <c r="X76" s="19">
        <f t="shared" si="34"/>
        <v>0</v>
      </c>
      <c r="Y76" s="19">
        <f t="shared" si="34"/>
        <v>0</v>
      </c>
      <c r="Z76" s="19">
        <f t="shared" si="34"/>
        <v>0</v>
      </c>
      <c r="AA76" s="19">
        <f t="shared" si="34"/>
        <v>0</v>
      </c>
      <c r="AB76" s="19">
        <f t="shared" si="34"/>
        <v>0</v>
      </c>
      <c r="AC76" s="19">
        <f t="shared" si="34"/>
        <v>0</v>
      </c>
      <c r="AD76" s="34"/>
      <c r="AE76" s="34"/>
      <c r="AF76" s="11"/>
      <c r="AG76" s="11"/>
      <c r="AH76" s="11"/>
    </row>
    <row r="77" spans="1:124">
      <c r="A77" s="12" t="s">
        <v>69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 t="s">
        <v>21</v>
      </c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20.150000000000002</v>
      </c>
    </row>
    <row r="78" spans="1:124">
      <c r="A78" s="14" t="s">
        <v>70</v>
      </c>
      <c r="B78" s="20"/>
      <c r="C78" s="15">
        <v>1</v>
      </c>
      <c r="D78" s="15"/>
      <c r="E78" s="15"/>
      <c r="F78" s="372"/>
      <c r="G78" s="372"/>
      <c r="H78" s="372"/>
      <c r="I78" s="372"/>
      <c r="J78" s="372"/>
      <c r="K78" s="374"/>
      <c r="L78" s="374"/>
      <c r="M78" s="374"/>
      <c r="N78" s="372"/>
      <c r="O78" s="372">
        <v>0.8</v>
      </c>
      <c r="P78" s="372">
        <v>0.8</v>
      </c>
      <c r="Q78" s="372">
        <v>0.86</v>
      </c>
      <c r="R78" s="372">
        <v>0.87</v>
      </c>
      <c r="S78" s="372">
        <v>0.87</v>
      </c>
      <c r="T78" s="372">
        <v>0.91</v>
      </c>
      <c r="U78" s="372">
        <v>0.9</v>
      </c>
      <c r="V78" s="372">
        <v>0.9</v>
      </c>
      <c r="W78" s="372">
        <v>0.87</v>
      </c>
      <c r="X78" s="372">
        <v>0.9</v>
      </c>
      <c r="Y78" s="372"/>
      <c r="Z78" s="372"/>
      <c r="AA78" s="372"/>
      <c r="AB78" s="372"/>
      <c r="AC78" s="372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10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71</v>
      </c>
      <c r="B79" s="20"/>
      <c r="C79" s="15">
        <v>1</v>
      </c>
      <c r="D79" s="15"/>
      <c r="E79" s="15"/>
      <c r="F79" s="372">
        <v>0.81</v>
      </c>
      <c r="G79" s="372">
        <v>0.78</v>
      </c>
      <c r="H79" s="372">
        <v>0.77</v>
      </c>
      <c r="I79" s="372">
        <v>0.73</v>
      </c>
      <c r="J79" s="372">
        <v>0.72</v>
      </c>
      <c r="K79" s="374">
        <v>0.75</v>
      </c>
      <c r="L79" s="374">
        <v>0.74</v>
      </c>
      <c r="M79" s="374">
        <v>0.74</v>
      </c>
      <c r="N79" s="372">
        <v>0.72</v>
      </c>
      <c r="O79" s="372"/>
      <c r="P79" s="372"/>
      <c r="Q79" s="372"/>
      <c r="R79" s="372"/>
      <c r="S79" s="372"/>
      <c r="T79" s="372"/>
      <c r="U79" s="372"/>
      <c r="V79" s="372"/>
      <c r="W79" s="372"/>
      <c r="X79" s="372"/>
      <c r="Y79" s="372">
        <v>0.97</v>
      </c>
      <c r="Z79" s="372">
        <v>0.98</v>
      </c>
      <c r="AA79" s="372">
        <v>0.96</v>
      </c>
      <c r="AB79" s="372">
        <v>0.9</v>
      </c>
      <c r="AC79" s="372">
        <v>0.9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14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35">SUM(F78:F79)</f>
        <v>0.81</v>
      </c>
      <c r="G80" s="19">
        <f t="shared" si="35"/>
        <v>0.78</v>
      </c>
      <c r="H80" s="19">
        <f>SUM(H78:H79)</f>
        <v>0.77</v>
      </c>
      <c r="I80" s="19">
        <f>SUM(I78:I79)</f>
        <v>0.73</v>
      </c>
      <c r="J80" s="19">
        <f t="shared" ref="J80:AB80" si="36">SUM(J78:J79)</f>
        <v>0.72</v>
      </c>
      <c r="K80" s="19">
        <f t="shared" si="36"/>
        <v>0.75</v>
      </c>
      <c r="L80" s="19">
        <f>SUM(L78:L79)</f>
        <v>0.74</v>
      </c>
      <c r="M80" s="19">
        <f t="shared" si="36"/>
        <v>0.74</v>
      </c>
      <c r="N80" s="19">
        <f t="shared" si="36"/>
        <v>0.72</v>
      </c>
      <c r="O80" s="19">
        <f>SUM(O78:O79)</f>
        <v>0.8</v>
      </c>
      <c r="P80" s="19">
        <f t="shared" si="36"/>
        <v>0.8</v>
      </c>
      <c r="Q80" s="19">
        <f t="shared" si="36"/>
        <v>0.86</v>
      </c>
      <c r="R80" s="19">
        <f t="shared" si="36"/>
        <v>0.87</v>
      </c>
      <c r="S80" s="19">
        <f t="shared" si="36"/>
        <v>0.87</v>
      </c>
      <c r="T80" s="19">
        <f t="shared" si="36"/>
        <v>0.91</v>
      </c>
      <c r="U80" s="19">
        <f t="shared" si="36"/>
        <v>0.9</v>
      </c>
      <c r="V80" s="19">
        <f t="shared" si="36"/>
        <v>0.9</v>
      </c>
      <c r="W80" s="19">
        <f t="shared" si="36"/>
        <v>0.87</v>
      </c>
      <c r="X80" s="19">
        <f t="shared" si="36"/>
        <v>0.9</v>
      </c>
      <c r="Y80" s="19">
        <f t="shared" si="36"/>
        <v>0.97</v>
      </c>
      <c r="Z80" s="19">
        <f t="shared" si="36"/>
        <v>0.98</v>
      </c>
      <c r="AA80" s="19">
        <f t="shared" si="36"/>
        <v>0.96</v>
      </c>
      <c r="AB80" s="19">
        <f t="shared" si="36"/>
        <v>0.9</v>
      </c>
      <c r="AC80" s="19">
        <v>0.88</v>
      </c>
      <c r="AD80" s="34"/>
      <c r="AE80" s="34"/>
      <c r="AF80" s="11"/>
      <c r="AG80" s="11"/>
      <c r="AH80" s="11"/>
    </row>
    <row r="81" spans="1:40" ht="17.45" hidden="1">
      <c r="A81" s="366" t="s">
        <v>72</v>
      </c>
      <c r="B81" s="365"/>
      <c r="C81" s="367">
        <v>2</v>
      </c>
      <c r="D81" s="363"/>
      <c r="E81" s="363"/>
      <c r="F81" s="364"/>
      <c r="G81" s="364"/>
      <c r="H81" s="364"/>
      <c r="I81" s="364"/>
      <c r="J81" s="364"/>
      <c r="K81" s="364"/>
      <c r="L81" s="364"/>
      <c r="M81" s="364"/>
      <c r="N81" s="364"/>
      <c r="O81" s="364"/>
      <c r="P81" s="364"/>
      <c r="Q81" s="364"/>
      <c r="R81" s="364"/>
      <c r="S81" s="364"/>
      <c r="T81" s="364"/>
      <c r="U81" s="364"/>
      <c r="V81" s="364"/>
      <c r="W81" s="364"/>
      <c r="X81" s="364"/>
      <c r="Y81" s="364"/>
      <c r="Z81" s="364"/>
      <c r="AA81" s="364"/>
      <c r="AB81" s="364"/>
      <c r="AC81" s="364"/>
    </row>
    <row r="82" spans="1:40" ht="17.45" hidden="1">
      <c r="A82" s="368"/>
      <c r="B82" s="369"/>
      <c r="C82" s="370"/>
      <c r="D82" s="371"/>
      <c r="E82" s="371"/>
      <c r="F82" s="372"/>
      <c r="G82" s="372"/>
      <c r="H82" s="372"/>
      <c r="I82" s="372"/>
      <c r="J82" s="372"/>
      <c r="K82" s="374"/>
      <c r="L82" s="374"/>
      <c r="M82" s="374"/>
      <c r="N82" s="372"/>
      <c r="O82" s="372"/>
      <c r="P82" s="372"/>
      <c r="Q82" s="372"/>
      <c r="R82" s="372"/>
      <c r="S82" s="372"/>
      <c r="T82" s="372"/>
      <c r="U82" s="372"/>
      <c r="V82" s="372"/>
      <c r="W82" s="372"/>
      <c r="X82" s="372"/>
      <c r="Y82" s="372"/>
      <c r="Z82" s="372"/>
      <c r="AA82" s="372"/>
      <c r="AB82" s="372"/>
      <c r="AC82" s="372"/>
    </row>
    <row r="83" spans="1:40">
      <c r="A83" s="21" t="s">
        <v>73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:AC83" si="37">SUM(F17,F22,F25,F31,F34,F60,F65,F76,F80,F82)</f>
        <v>44.99</v>
      </c>
      <c r="G83" s="28">
        <f t="shared" si="37"/>
        <v>43.11</v>
      </c>
      <c r="H83" s="28">
        <f t="shared" si="37"/>
        <v>40.35</v>
      </c>
      <c r="I83" s="28">
        <f t="shared" si="37"/>
        <v>40.47</v>
      </c>
      <c r="J83" s="28">
        <f t="shared" si="37"/>
        <v>38.829999999999991</v>
      </c>
      <c r="K83" s="28">
        <f t="shared" si="37"/>
        <v>39.32</v>
      </c>
      <c r="L83" s="28">
        <f t="shared" si="37"/>
        <v>42.420000000000009</v>
      </c>
      <c r="M83" s="28">
        <f t="shared" si="37"/>
        <v>41.1</v>
      </c>
      <c r="N83" s="28">
        <f>SUM(N17,N22,N25,N31,N34,N60,N65,N76,N80,N82)</f>
        <v>46.459999999999994</v>
      </c>
      <c r="O83" s="28">
        <f>SUM(O17,O22,O25,O31,O34,O60,O65,O76,O80,O82)</f>
        <v>56.54</v>
      </c>
      <c r="P83" s="28">
        <f t="shared" si="37"/>
        <v>60.97</v>
      </c>
      <c r="Q83" s="28">
        <f t="shared" si="37"/>
        <v>58.699999999999996</v>
      </c>
      <c r="R83" s="28">
        <f t="shared" si="37"/>
        <v>62.6</v>
      </c>
      <c r="S83" s="28">
        <f t="shared" si="37"/>
        <v>63.37</v>
      </c>
      <c r="T83" s="28">
        <f t="shared" si="37"/>
        <v>65.849999999999994</v>
      </c>
      <c r="U83" s="28">
        <f>SUM(U17,U22,U25,U31,U34,U60,U65,U76,U80,U82)</f>
        <v>66.31</v>
      </c>
      <c r="V83" s="28">
        <f t="shared" si="37"/>
        <v>64.715714285714284</v>
      </c>
      <c r="W83" s="28">
        <f t="shared" si="37"/>
        <v>61.87</v>
      </c>
      <c r="X83" s="28">
        <f t="shared" si="37"/>
        <v>59.33</v>
      </c>
      <c r="Y83" s="28">
        <f t="shared" si="37"/>
        <v>57.85</v>
      </c>
      <c r="Z83" s="28">
        <f t="shared" si="37"/>
        <v>60.19</v>
      </c>
      <c r="AA83" s="28">
        <f t="shared" si="37"/>
        <v>57.65</v>
      </c>
      <c r="AB83" s="28">
        <f t="shared" si="37"/>
        <v>52.3</v>
      </c>
      <c r="AC83" s="28">
        <f t="shared" si="37"/>
        <v>48.750000000000007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25" t="s">
        <v>74</v>
      </c>
      <c r="B85" s="525"/>
      <c r="C85" s="525"/>
      <c r="D85" s="525"/>
      <c r="E85" s="525"/>
      <c r="F85" s="525"/>
      <c r="G85" s="525"/>
      <c r="H85" s="525"/>
      <c r="I85" s="525"/>
      <c r="J85" s="525"/>
      <c r="K85" s="525"/>
      <c r="L85" s="525"/>
      <c r="M85" s="525"/>
      <c r="N85" s="525"/>
      <c r="O85" s="525"/>
      <c r="P85" s="525"/>
      <c r="Q85" s="525"/>
      <c r="R85" s="525"/>
      <c r="S85" s="525"/>
      <c r="T85" s="525"/>
      <c r="U85" s="525"/>
      <c r="V85" s="525"/>
      <c r="W85" s="525"/>
      <c r="X85" s="525"/>
      <c r="Y85" s="525"/>
      <c r="Z85" s="525"/>
      <c r="AA85" s="525"/>
      <c r="AB85" s="525"/>
      <c r="AC85" s="525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</row>
    <row r="87" spans="1:40" ht="17.45">
      <c r="A87" s="500" t="s">
        <v>75</v>
      </c>
      <c r="B87" s="501"/>
      <c r="C87" s="502"/>
      <c r="D87" s="49"/>
      <c r="E87" s="49"/>
      <c r="F87" s="506" t="s">
        <v>76</v>
      </c>
      <c r="G87" s="506"/>
      <c r="H87" s="506"/>
      <c r="I87" s="506"/>
      <c r="J87" s="506"/>
      <c r="K87" s="506"/>
      <c r="L87" s="506"/>
      <c r="M87" s="506"/>
      <c r="N87" s="506"/>
      <c r="O87" s="506"/>
      <c r="P87" s="506"/>
      <c r="Q87" s="506"/>
      <c r="R87" s="506"/>
      <c r="S87" s="506"/>
      <c r="T87" s="506"/>
      <c r="U87" s="506"/>
      <c r="V87" s="506"/>
      <c r="W87" s="506"/>
      <c r="X87" s="506"/>
      <c r="Y87" s="506"/>
      <c r="Z87" s="506"/>
      <c r="AA87" s="506"/>
      <c r="AB87" s="506"/>
      <c r="AC87" s="506"/>
      <c r="AD87" s="5"/>
      <c r="AE87" s="5"/>
      <c r="AF87" s="5"/>
      <c r="AG87" s="5"/>
      <c r="AH87" s="5"/>
    </row>
    <row r="88" spans="1:40" ht="15.6" customHeight="1">
      <c r="A88" s="503"/>
      <c r="B88" s="504"/>
      <c r="C88" s="505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07" t="s">
        <v>27</v>
      </c>
      <c r="B89" s="508"/>
      <c r="C89" s="509"/>
      <c r="D89" s="45"/>
      <c r="E89" s="45"/>
      <c r="F89" s="64">
        <f t="shared" ref="F89:AC89" si="38">SUM(F22,F25)</f>
        <v>3</v>
      </c>
      <c r="G89" s="64">
        <f t="shared" si="38"/>
        <v>0</v>
      </c>
      <c r="H89" s="64">
        <f t="shared" si="38"/>
        <v>0</v>
      </c>
      <c r="I89" s="64">
        <f t="shared" si="38"/>
        <v>0</v>
      </c>
      <c r="J89" s="64">
        <f t="shared" si="38"/>
        <v>0</v>
      </c>
      <c r="K89" s="64">
        <f t="shared" si="38"/>
        <v>0</v>
      </c>
      <c r="L89" s="64">
        <f t="shared" si="38"/>
        <v>0</v>
      </c>
      <c r="M89" s="64">
        <f t="shared" si="38"/>
        <v>3</v>
      </c>
      <c r="N89" s="64">
        <f t="shared" si="38"/>
        <v>5.0999999999999996</v>
      </c>
      <c r="O89" s="64">
        <f t="shared" si="38"/>
        <v>10.399999999999999</v>
      </c>
      <c r="P89" s="64">
        <f t="shared" si="38"/>
        <v>10.5</v>
      </c>
      <c r="Q89" s="64">
        <f t="shared" si="38"/>
        <v>9.6999999999999993</v>
      </c>
      <c r="R89" s="64">
        <f t="shared" si="38"/>
        <v>10.399999999999999</v>
      </c>
      <c r="S89" s="64">
        <f t="shared" si="38"/>
        <v>10.3</v>
      </c>
      <c r="T89" s="64">
        <f t="shared" si="38"/>
        <v>10.399999999999999</v>
      </c>
      <c r="U89" s="64">
        <f t="shared" si="38"/>
        <v>10.399999999999999</v>
      </c>
      <c r="V89" s="64">
        <f t="shared" si="38"/>
        <v>10.399999999999999</v>
      </c>
      <c r="W89" s="64">
        <f t="shared" si="38"/>
        <v>10.399999999999999</v>
      </c>
      <c r="X89" s="64">
        <f t="shared" si="38"/>
        <v>10.399999999999999</v>
      </c>
      <c r="Y89" s="64">
        <f t="shared" si="38"/>
        <v>10.399999999999999</v>
      </c>
      <c r="Z89" s="64">
        <f t="shared" si="38"/>
        <v>10.399999999999999</v>
      </c>
      <c r="AA89" s="64">
        <f t="shared" si="38"/>
        <v>10.399999999999999</v>
      </c>
      <c r="AB89" s="64">
        <f t="shared" si="38"/>
        <v>6</v>
      </c>
      <c r="AC89" s="64">
        <f t="shared" si="38"/>
        <v>7.6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521" t="s">
        <v>77</v>
      </c>
      <c r="B90" s="521"/>
      <c r="C90" s="522"/>
      <c r="D90" s="45"/>
      <c r="E90" s="45"/>
      <c r="F90" s="68"/>
      <c r="G90" s="68"/>
      <c r="H90" s="68"/>
      <c r="I90" s="68"/>
      <c r="J90" s="68"/>
      <c r="K90" s="68"/>
      <c r="L90" s="68"/>
      <c r="M90" s="68">
        <v>0.21199999999999999</v>
      </c>
      <c r="N90" s="68">
        <v>0.20300000000000001</v>
      </c>
      <c r="O90" s="68">
        <v>0.20499999999999999</v>
      </c>
      <c r="P90" s="68">
        <v>0.21099999999999999</v>
      </c>
      <c r="Q90" s="68">
        <v>0.22500000000000001</v>
      </c>
      <c r="R90" s="68">
        <v>0.23799999999999999</v>
      </c>
      <c r="S90" s="68">
        <v>0.20899999999999999</v>
      </c>
      <c r="T90" s="68">
        <v>0.26200000000000001</v>
      </c>
      <c r="U90" s="68">
        <v>0.26</v>
      </c>
      <c r="V90" s="68">
        <v>0.245</v>
      </c>
      <c r="W90" s="68">
        <v>0.23300000000000001</v>
      </c>
      <c r="X90" s="68">
        <v>0.248</v>
      </c>
      <c r="Y90" s="68">
        <v>0.20300000000000001</v>
      </c>
      <c r="Z90" s="68">
        <v>0.249</v>
      </c>
      <c r="AA90" s="68">
        <v>0.247</v>
      </c>
      <c r="AB90" s="68">
        <v>0.23599999999999999</v>
      </c>
      <c r="AC90" s="68">
        <v>0.23400000000000001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07" t="s">
        <v>78</v>
      </c>
      <c r="B91" s="508"/>
      <c r="C91" s="509"/>
      <c r="D91" s="45"/>
      <c r="E91" s="45"/>
      <c r="F91" s="64">
        <f t="shared" ref="F91:AC91" si="39">F17</f>
        <v>19.799999999999997</v>
      </c>
      <c r="G91" s="64">
        <f t="shared" si="39"/>
        <v>20.100000000000001</v>
      </c>
      <c r="H91" s="64">
        <f t="shared" si="39"/>
        <v>19.799999999999997</v>
      </c>
      <c r="I91" s="64">
        <f t="shared" si="39"/>
        <v>13.4</v>
      </c>
      <c r="J91" s="64">
        <f t="shared" si="39"/>
        <v>13.2</v>
      </c>
      <c r="K91" s="64">
        <f t="shared" si="39"/>
        <v>14.5</v>
      </c>
      <c r="L91" s="64">
        <f t="shared" si="39"/>
        <v>20.100000000000001</v>
      </c>
      <c r="M91" s="64">
        <f t="shared" si="39"/>
        <v>18.899999999999999</v>
      </c>
      <c r="N91" s="64">
        <f t="shared" si="39"/>
        <v>20.399999999999999</v>
      </c>
      <c r="O91" s="64">
        <f t="shared" si="39"/>
        <v>20.399999999999999</v>
      </c>
      <c r="P91" s="64">
        <f t="shared" si="39"/>
        <v>20.399999999999999</v>
      </c>
      <c r="Q91" s="64">
        <f t="shared" si="39"/>
        <v>19.200000000000003</v>
      </c>
      <c r="R91" s="64">
        <f t="shared" si="39"/>
        <v>19.799999999999997</v>
      </c>
      <c r="S91" s="64">
        <f t="shared" si="39"/>
        <v>20.100000000000001</v>
      </c>
      <c r="T91" s="64">
        <f t="shared" si="39"/>
        <v>19.799999999999997</v>
      </c>
      <c r="U91" s="64">
        <f t="shared" si="39"/>
        <v>20.3</v>
      </c>
      <c r="V91" s="64">
        <f t="shared" si="39"/>
        <v>26.200000000000003</v>
      </c>
      <c r="W91" s="64">
        <f t="shared" si="39"/>
        <v>25.9</v>
      </c>
      <c r="X91" s="64">
        <f t="shared" si="39"/>
        <v>25.7</v>
      </c>
      <c r="Y91" s="64">
        <f t="shared" si="39"/>
        <v>26.299999999999997</v>
      </c>
      <c r="Z91" s="64">
        <f t="shared" si="39"/>
        <v>26.699999999999996</v>
      </c>
      <c r="AA91" s="64">
        <f t="shared" si="39"/>
        <v>26.299999999999997</v>
      </c>
      <c r="AB91" s="64">
        <f t="shared" si="39"/>
        <v>26</v>
      </c>
      <c r="AC91" s="64">
        <f t="shared" si="39"/>
        <v>20.100000000000001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21" t="s">
        <v>79</v>
      </c>
      <c r="B92" s="521"/>
      <c r="C92" s="522"/>
      <c r="D92" s="45"/>
      <c r="E92" s="45"/>
      <c r="F92" s="68">
        <v>0.88800000000000001</v>
      </c>
      <c r="G92" s="68">
        <v>0.78900000000000003</v>
      </c>
      <c r="H92" s="68">
        <v>0.72299999999999998</v>
      </c>
      <c r="I92" s="68">
        <v>0.67</v>
      </c>
      <c r="J92" s="68">
        <v>0.81</v>
      </c>
      <c r="K92" s="68">
        <v>0.88200000000000001</v>
      </c>
      <c r="L92" s="68">
        <v>0.84599999999999997</v>
      </c>
      <c r="M92" s="68">
        <v>0.72</v>
      </c>
      <c r="N92" s="68">
        <v>0.71</v>
      </c>
      <c r="O92" s="68">
        <v>0.66100000000000003</v>
      </c>
      <c r="P92" s="68">
        <v>0.621</v>
      </c>
      <c r="Q92" s="68">
        <v>0.82299999999999995</v>
      </c>
      <c r="R92" s="68">
        <v>0.63100000000000001</v>
      </c>
      <c r="S92" s="68">
        <v>0.91300000000000003</v>
      </c>
      <c r="T92" s="68">
        <v>0.92800000000000005</v>
      </c>
      <c r="U92" s="68">
        <v>0.92500000000000004</v>
      </c>
      <c r="V92" s="68">
        <v>0.71399999999999997</v>
      </c>
      <c r="W92" s="68">
        <v>0.83799999999999997</v>
      </c>
      <c r="X92" s="68">
        <v>0.98</v>
      </c>
      <c r="Y92" s="68">
        <v>0.93600000000000005</v>
      </c>
      <c r="Z92" s="68">
        <v>0.85299999999999998</v>
      </c>
      <c r="AA92" s="68">
        <v>0.69499999999999995</v>
      </c>
      <c r="AB92" s="68">
        <v>0.79600000000000004</v>
      </c>
      <c r="AC92" s="68">
        <v>0.71099999999999997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07" t="s">
        <v>29</v>
      </c>
      <c r="B93" s="508"/>
      <c r="C93" s="509"/>
      <c r="D93" s="45"/>
      <c r="E93" s="45"/>
      <c r="F93" s="65">
        <f t="shared" ref="F93:AC93" si="40">F31</f>
        <v>7</v>
      </c>
      <c r="G93" s="65">
        <f t="shared" si="40"/>
        <v>8.4</v>
      </c>
      <c r="H93" s="65">
        <f t="shared" si="40"/>
        <v>6</v>
      </c>
      <c r="I93" s="65">
        <f t="shared" si="40"/>
        <v>9</v>
      </c>
      <c r="J93" s="65">
        <f t="shared" si="40"/>
        <v>7.6</v>
      </c>
      <c r="K93" s="65">
        <f t="shared" si="40"/>
        <v>4</v>
      </c>
      <c r="L93" s="65">
        <f t="shared" si="40"/>
        <v>4.2</v>
      </c>
      <c r="M93" s="65">
        <f t="shared" si="40"/>
        <v>3</v>
      </c>
      <c r="N93" s="65">
        <f t="shared" si="40"/>
        <v>4.2</v>
      </c>
      <c r="O93" s="65">
        <f t="shared" si="40"/>
        <v>4.2</v>
      </c>
      <c r="P93" s="65">
        <f t="shared" si="40"/>
        <v>4.2</v>
      </c>
      <c r="Q93" s="65">
        <f t="shared" si="40"/>
        <v>1.1000000000000001</v>
      </c>
      <c r="R93" s="65">
        <f t="shared" si="40"/>
        <v>6.3000000000000007</v>
      </c>
      <c r="S93" s="65">
        <f t="shared" si="40"/>
        <v>9.1</v>
      </c>
      <c r="T93" s="65">
        <f>T31</f>
        <v>5.0999999999999996</v>
      </c>
      <c r="U93" s="65">
        <f t="shared" si="40"/>
        <v>7.7</v>
      </c>
      <c r="V93" s="65">
        <f t="shared" si="40"/>
        <v>4.2</v>
      </c>
      <c r="W93" s="65">
        <f t="shared" si="40"/>
        <v>4</v>
      </c>
      <c r="X93" s="65">
        <f t="shared" si="40"/>
        <v>4</v>
      </c>
      <c r="Y93" s="65">
        <f t="shared" si="40"/>
        <v>3</v>
      </c>
      <c r="Z93" s="65">
        <f t="shared" si="40"/>
        <v>4.2</v>
      </c>
      <c r="AA93" s="65">
        <f t="shared" si="40"/>
        <v>4.2</v>
      </c>
      <c r="AB93" s="65">
        <f t="shared" si="40"/>
        <v>3.8</v>
      </c>
      <c r="AC93" s="65">
        <f t="shared" si="40"/>
        <v>4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21" t="s">
        <v>80</v>
      </c>
      <c r="B94" s="521"/>
      <c r="C94" s="522"/>
      <c r="D94" s="45"/>
      <c r="E94" s="45"/>
      <c r="F94" s="68">
        <v>0.253</v>
      </c>
      <c r="G94" s="68">
        <v>0.248</v>
      </c>
      <c r="H94" s="68">
        <v>0.248</v>
      </c>
      <c r="I94" s="68">
        <v>0.24099999999999999</v>
      </c>
      <c r="J94" s="68">
        <v>0.23499999999999999</v>
      </c>
      <c r="K94" s="68">
        <v>0.185</v>
      </c>
      <c r="L94" s="68">
        <v>0.17</v>
      </c>
      <c r="M94" s="68">
        <v>0.152</v>
      </c>
      <c r="N94" s="68">
        <v>0.17399999999999999</v>
      </c>
      <c r="O94" s="68">
        <v>0.216</v>
      </c>
      <c r="P94" s="68">
        <v>0.224</v>
      </c>
      <c r="Q94" s="68">
        <v>0.20300000000000001</v>
      </c>
      <c r="R94" s="68">
        <f>0.173+0.1995</f>
        <v>0.3725</v>
      </c>
      <c r="S94" s="68">
        <f>0.195+0.2061</f>
        <v>0.40110000000000001</v>
      </c>
      <c r="T94" s="68">
        <f>0.193+0.2043</f>
        <v>0.39729999999999999</v>
      </c>
      <c r="U94" s="68">
        <v>0.21299999999999999</v>
      </c>
      <c r="V94" s="68">
        <v>0.21299999999999999</v>
      </c>
      <c r="W94" s="68">
        <v>0.20499999999999999</v>
      </c>
      <c r="X94" s="68">
        <v>0.217</v>
      </c>
      <c r="Y94" s="68">
        <v>0.21199999999999999</v>
      </c>
      <c r="Z94" s="68">
        <v>0.20200000000000001</v>
      </c>
      <c r="AA94" s="68">
        <v>0.187</v>
      </c>
      <c r="AB94" s="68">
        <v>0.16300000000000001</v>
      </c>
      <c r="AC94" s="68">
        <v>0.17499999999999999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07" t="s">
        <v>32</v>
      </c>
      <c r="B95" s="508"/>
      <c r="C95" s="509"/>
      <c r="D95" s="45"/>
      <c r="E95" s="45"/>
      <c r="F95" s="65">
        <f t="shared" ref="F95:AC95" si="41">F34</f>
        <v>13.32</v>
      </c>
      <c r="G95" s="65">
        <f t="shared" si="41"/>
        <v>12.85</v>
      </c>
      <c r="H95" s="65">
        <f t="shared" si="41"/>
        <v>12.82</v>
      </c>
      <c r="I95" s="65">
        <f t="shared" si="41"/>
        <v>14.3</v>
      </c>
      <c r="J95" s="65">
        <f t="shared" si="41"/>
        <v>14.3</v>
      </c>
      <c r="K95" s="65">
        <f t="shared" si="41"/>
        <v>14.31</v>
      </c>
      <c r="L95" s="65">
        <f t="shared" si="41"/>
        <v>14.29</v>
      </c>
      <c r="M95" s="65">
        <f t="shared" si="41"/>
        <v>14.32</v>
      </c>
      <c r="N95" s="65">
        <f t="shared" si="41"/>
        <v>14.29</v>
      </c>
      <c r="O95" s="65">
        <f t="shared" si="41"/>
        <v>14.35</v>
      </c>
      <c r="P95" s="65">
        <f t="shared" si="41"/>
        <v>14.29</v>
      </c>
      <c r="Q95" s="65">
        <f t="shared" si="41"/>
        <v>14.25</v>
      </c>
      <c r="R95" s="65">
        <f t="shared" si="41"/>
        <v>14.34</v>
      </c>
      <c r="S95" s="65">
        <f t="shared" si="41"/>
        <v>14.31</v>
      </c>
      <c r="T95" s="65">
        <f t="shared" si="41"/>
        <v>14.24</v>
      </c>
      <c r="U95" s="65">
        <f t="shared" si="41"/>
        <v>14.28</v>
      </c>
      <c r="V95" s="65">
        <f t="shared" si="41"/>
        <v>14.24</v>
      </c>
      <c r="W95" s="65">
        <f t="shared" si="41"/>
        <v>14.31</v>
      </c>
      <c r="X95" s="65">
        <f t="shared" si="41"/>
        <v>14.29</v>
      </c>
      <c r="Y95" s="65">
        <f t="shared" si="41"/>
        <v>12.8</v>
      </c>
      <c r="Z95" s="65">
        <f t="shared" si="41"/>
        <v>14.28</v>
      </c>
      <c r="AA95" s="65">
        <f t="shared" si="41"/>
        <v>14.31</v>
      </c>
      <c r="AB95" s="65">
        <f t="shared" si="41"/>
        <v>14.29</v>
      </c>
      <c r="AC95" s="65">
        <f t="shared" si="41"/>
        <v>14.32</v>
      </c>
      <c r="AG95" s="5"/>
      <c r="AH95" s="5"/>
      <c r="AI95" s="5"/>
      <c r="AJ95" s="5"/>
      <c r="AK95" s="5"/>
      <c r="AL95" s="5"/>
      <c r="AM95" s="5"/>
      <c r="AN95" s="5"/>
    </row>
    <row r="96" spans="1:40" s="67" customFormat="1" ht="17.45">
      <c r="A96" s="521" t="s">
        <v>81</v>
      </c>
      <c r="B96" s="521"/>
      <c r="C96" s="522"/>
      <c r="D96" s="68"/>
      <c r="E96" s="68"/>
      <c r="F96" s="68">
        <v>0.68</v>
      </c>
      <c r="G96" s="68">
        <v>0.65</v>
      </c>
      <c r="H96" s="68">
        <v>0.68</v>
      </c>
      <c r="I96" s="68">
        <v>0.7</v>
      </c>
      <c r="J96" s="68">
        <v>0.71</v>
      </c>
      <c r="K96" s="68">
        <v>0.69</v>
      </c>
      <c r="L96" s="68">
        <v>0.71</v>
      </c>
      <c r="M96" s="68">
        <v>0.68</v>
      </c>
      <c r="N96" s="68">
        <v>0.71</v>
      </c>
      <c r="O96" s="68">
        <v>0.65</v>
      </c>
      <c r="P96" s="68">
        <v>0.71</v>
      </c>
      <c r="Q96" s="68">
        <v>0.75</v>
      </c>
      <c r="R96" s="68">
        <v>0.66</v>
      </c>
      <c r="S96" s="68">
        <v>0.69</v>
      </c>
      <c r="T96" s="68">
        <v>0.76</v>
      </c>
      <c r="U96" s="68">
        <v>0.72</v>
      </c>
      <c r="V96" s="68">
        <v>0.76</v>
      </c>
      <c r="W96" s="68">
        <v>0.69</v>
      </c>
      <c r="X96" s="68">
        <v>0.71</v>
      </c>
      <c r="Y96" s="68">
        <v>0.7</v>
      </c>
      <c r="Z96" s="68">
        <v>0.72</v>
      </c>
      <c r="AA96" s="68">
        <v>0.69</v>
      </c>
      <c r="AB96" s="68">
        <v>0.71</v>
      </c>
      <c r="AC96" s="68">
        <v>0.68</v>
      </c>
      <c r="AD96" s="69"/>
      <c r="AE96" s="69"/>
      <c r="AF96" s="69"/>
      <c r="AG96" s="69"/>
      <c r="AH96" s="69"/>
      <c r="AI96" s="69"/>
      <c r="AJ96" s="69"/>
      <c r="AK96" s="69"/>
    </row>
    <row r="97" spans="1:124" ht="17.45">
      <c r="A97" s="507" t="s">
        <v>33</v>
      </c>
      <c r="B97" s="508"/>
      <c r="C97" s="509"/>
      <c r="D97" s="45"/>
      <c r="E97" s="45"/>
      <c r="F97" s="64">
        <f t="shared" ref="F97:AC97" si="42">F60</f>
        <v>0</v>
      </c>
      <c r="G97" s="64">
        <f t="shared" si="42"/>
        <v>0</v>
      </c>
      <c r="H97" s="64">
        <f t="shared" si="42"/>
        <v>0</v>
      </c>
      <c r="I97" s="64">
        <f t="shared" si="42"/>
        <v>2.0999999999999996</v>
      </c>
      <c r="J97" s="64">
        <f t="shared" si="42"/>
        <v>2.0999999999999996</v>
      </c>
      <c r="K97" s="64">
        <f t="shared" si="42"/>
        <v>4.8000000000000007</v>
      </c>
      <c r="L97" s="64">
        <f t="shared" si="42"/>
        <v>2</v>
      </c>
      <c r="M97" s="64">
        <f t="shared" si="42"/>
        <v>0</v>
      </c>
      <c r="N97" s="64">
        <f t="shared" si="42"/>
        <v>0.7</v>
      </c>
      <c r="O97" s="64">
        <f t="shared" si="42"/>
        <v>5</v>
      </c>
      <c r="P97" s="64">
        <f t="shared" si="42"/>
        <v>9.3999999999999986</v>
      </c>
      <c r="Q97" s="64">
        <f t="shared" si="42"/>
        <v>12.15</v>
      </c>
      <c r="R97" s="64">
        <f t="shared" si="42"/>
        <v>9.3999999999999986</v>
      </c>
      <c r="S97" s="64">
        <f t="shared" si="42"/>
        <v>7.1999999999999984</v>
      </c>
      <c r="T97" s="64">
        <f t="shared" si="42"/>
        <v>13.9</v>
      </c>
      <c r="U97" s="64">
        <f t="shared" si="42"/>
        <v>11.2</v>
      </c>
      <c r="V97" s="64">
        <f t="shared" si="42"/>
        <v>7.2957142857142863</v>
      </c>
      <c r="W97" s="64">
        <f t="shared" si="42"/>
        <v>5</v>
      </c>
      <c r="X97" s="64">
        <f t="shared" si="42"/>
        <v>2.6999999999999997</v>
      </c>
      <c r="Y97" s="64">
        <f t="shared" si="42"/>
        <v>2.7</v>
      </c>
      <c r="Z97" s="64">
        <f t="shared" si="42"/>
        <v>2</v>
      </c>
      <c r="AA97" s="64">
        <f t="shared" si="42"/>
        <v>0</v>
      </c>
      <c r="AB97" s="64">
        <f t="shared" si="42"/>
        <v>0</v>
      </c>
      <c r="AC97" s="64">
        <f t="shared" si="42"/>
        <v>0.7</v>
      </c>
      <c r="AG97" s="5"/>
      <c r="AH97" s="5"/>
      <c r="AI97" s="5"/>
      <c r="AJ97" s="5"/>
      <c r="AK97" s="5"/>
      <c r="AL97" s="5"/>
      <c r="AM97" s="5"/>
      <c r="AN97" s="5"/>
    </row>
    <row r="98" spans="1:124" ht="17.45">
      <c r="A98" s="507" t="s">
        <v>55</v>
      </c>
      <c r="B98" s="508"/>
      <c r="C98" s="509"/>
      <c r="D98" s="45"/>
      <c r="E98" s="45"/>
      <c r="F98" s="64">
        <f t="shared" ref="F98:AC98" si="43">F65</f>
        <v>1.06</v>
      </c>
      <c r="G98" s="64">
        <f t="shared" si="43"/>
        <v>0.98</v>
      </c>
      <c r="H98" s="64">
        <f t="shared" si="43"/>
        <v>0.96</v>
      </c>
      <c r="I98" s="64">
        <f t="shared" si="43"/>
        <v>0.94</v>
      </c>
      <c r="J98" s="64">
        <f t="shared" si="43"/>
        <v>0.91</v>
      </c>
      <c r="K98" s="64">
        <f t="shared" si="43"/>
        <v>0.96</v>
      </c>
      <c r="L98" s="64">
        <f t="shared" si="43"/>
        <v>1.0900000000000001</v>
      </c>
      <c r="M98" s="64">
        <f t="shared" si="43"/>
        <v>1.1399999999999999</v>
      </c>
      <c r="N98" s="64">
        <f t="shared" si="43"/>
        <v>1.05</v>
      </c>
      <c r="O98" s="64">
        <f t="shared" si="43"/>
        <v>1.39</v>
      </c>
      <c r="P98" s="64">
        <f t="shared" si="43"/>
        <v>1.38</v>
      </c>
      <c r="Q98" s="64">
        <f t="shared" si="43"/>
        <v>1.44</v>
      </c>
      <c r="R98" s="64">
        <f t="shared" si="43"/>
        <v>1.49</v>
      </c>
      <c r="S98" s="64">
        <f t="shared" si="43"/>
        <v>1.49</v>
      </c>
      <c r="T98" s="64">
        <f t="shared" si="43"/>
        <v>1.5</v>
      </c>
      <c r="U98" s="64">
        <f t="shared" si="43"/>
        <v>1.53</v>
      </c>
      <c r="V98" s="64">
        <f t="shared" si="43"/>
        <v>1.48</v>
      </c>
      <c r="W98" s="64">
        <f t="shared" si="43"/>
        <v>1.39</v>
      </c>
      <c r="X98" s="64">
        <f t="shared" si="43"/>
        <v>1.34</v>
      </c>
      <c r="Y98" s="64">
        <f t="shared" si="43"/>
        <v>1.6799999999999997</v>
      </c>
      <c r="Z98" s="64">
        <f t="shared" si="43"/>
        <v>1.63</v>
      </c>
      <c r="AA98" s="64">
        <f t="shared" si="43"/>
        <v>1.48</v>
      </c>
      <c r="AB98" s="64">
        <f t="shared" si="43"/>
        <v>1.31</v>
      </c>
      <c r="AC98" s="64">
        <f t="shared" si="43"/>
        <v>1.1499999999999999</v>
      </c>
      <c r="AG98" s="5"/>
      <c r="AH98" s="5"/>
      <c r="AI98" s="5"/>
      <c r="AJ98" s="5"/>
      <c r="AK98" s="5"/>
      <c r="AL98" s="5"/>
      <c r="AM98" s="5"/>
      <c r="AN98" s="5"/>
    </row>
    <row r="99" spans="1:124" s="2" customFormat="1" ht="17.45">
      <c r="A99" s="507" t="s">
        <v>59</v>
      </c>
      <c r="B99" s="508"/>
      <c r="C99" s="509"/>
      <c r="D99" s="45"/>
      <c r="E99" s="45"/>
      <c r="F99" s="64">
        <f t="shared" ref="F99:AC99" si="44">F76</f>
        <v>0</v>
      </c>
      <c r="G99" s="64">
        <f t="shared" si="44"/>
        <v>0</v>
      </c>
      <c r="H99" s="64">
        <f t="shared" si="44"/>
        <v>0</v>
      </c>
      <c r="I99" s="64">
        <f t="shared" si="44"/>
        <v>0</v>
      </c>
      <c r="J99" s="64">
        <f t="shared" si="44"/>
        <v>0</v>
      </c>
      <c r="K99" s="64">
        <f t="shared" si="44"/>
        <v>0</v>
      </c>
      <c r="L99" s="64">
        <f t="shared" si="44"/>
        <v>0</v>
      </c>
      <c r="M99" s="64">
        <f t="shared" si="44"/>
        <v>0</v>
      </c>
      <c r="N99" s="64">
        <f t="shared" si="44"/>
        <v>0</v>
      </c>
      <c r="O99" s="64">
        <f t="shared" si="44"/>
        <v>0</v>
      </c>
      <c r="P99" s="64">
        <f t="shared" si="44"/>
        <v>0</v>
      </c>
      <c r="Q99" s="64">
        <f t="shared" si="44"/>
        <v>0</v>
      </c>
      <c r="R99" s="64">
        <f t="shared" si="44"/>
        <v>0</v>
      </c>
      <c r="S99" s="64">
        <f t="shared" si="44"/>
        <v>0</v>
      </c>
      <c r="T99" s="64">
        <f t="shared" si="44"/>
        <v>0</v>
      </c>
      <c r="U99" s="64">
        <f t="shared" si="44"/>
        <v>0</v>
      </c>
      <c r="V99" s="64">
        <f t="shared" si="44"/>
        <v>0</v>
      </c>
      <c r="W99" s="64">
        <f t="shared" si="44"/>
        <v>0</v>
      </c>
      <c r="X99" s="64">
        <f t="shared" si="44"/>
        <v>0</v>
      </c>
      <c r="Y99" s="64">
        <f t="shared" si="44"/>
        <v>0</v>
      </c>
      <c r="Z99" s="64">
        <f t="shared" si="44"/>
        <v>0</v>
      </c>
      <c r="AA99" s="64">
        <f t="shared" si="44"/>
        <v>0</v>
      </c>
      <c r="AB99" s="64">
        <f t="shared" si="44"/>
        <v>0</v>
      </c>
      <c r="AC99" s="64">
        <f t="shared" si="44"/>
        <v>0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>
      <c r="A100" s="507" t="s">
        <v>69</v>
      </c>
      <c r="B100" s="508"/>
      <c r="C100" s="509"/>
      <c r="D100" s="45"/>
      <c r="E100" s="45"/>
      <c r="F100" s="64">
        <f t="shared" ref="F100:AC100" si="45">F80</f>
        <v>0.81</v>
      </c>
      <c r="G100" s="64">
        <f t="shared" si="45"/>
        <v>0.78</v>
      </c>
      <c r="H100" s="64">
        <f t="shared" si="45"/>
        <v>0.77</v>
      </c>
      <c r="I100" s="64">
        <f t="shared" si="45"/>
        <v>0.73</v>
      </c>
      <c r="J100" s="64">
        <f t="shared" si="45"/>
        <v>0.72</v>
      </c>
      <c r="K100" s="64">
        <f t="shared" si="45"/>
        <v>0.75</v>
      </c>
      <c r="L100" s="64">
        <f t="shared" si="45"/>
        <v>0.74</v>
      </c>
      <c r="M100" s="64">
        <f t="shared" si="45"/>
        <v>0.74</v>
      </c>
      <c r="N100" s="64">
        <f t="shared" si="45"/>
        <v>0.72</v>
      </c>
      <c r="O100" s="64">
        <f t="shared" si="45"/>
        <v>0.8</v>
      </c>
      <c r="P100" s="64">
        <f t="shared" si="45"/>
        <v>0.8</v>
      </c>
      <c r="Q100" s="64">
        <f t="shared" si="45"/>
        <v>0.86</v>
      </c>
      <c r="R100" s="64">
        <f t="shared" si="45"/>
        <v>0.87</v>
      </c>
      <c r="S100" s="64">
        <f t="shared" si="45"/>
        <v>0.87</v>
      </c>
      <c r="T100" s="64">
        <f t="shared" si="45"/>
        <v>0.91</v>
      </c>
      <c r="U100" s="64">
        <f t="shared" si="45"/>
        <v>0.9</v>
      </c>
      <c r="V100" s="64">
        <f t="shared" si="45"/>
        <v>0.9</v>
      </c>
      <c r="W100" s="64">
        <f t="shared" si="45"/>
        <v>0.87</v>
      </c>
      <c r="X100" s="64">
        <f t="shared" si="45"/>
        <v>0.9</v>
      </c>
      <c r="Y100" s="64">
        <f t="shared" si="45"/>
        <v>0.97</v>
      </c>
      <c r="Z100" s="64">
        <f t="shared" si="45"/>
        <v>0.98</v>
      </c>
      <c r="AA100" s="64">
        <f t="shared" si="45"/>
        <v>0.96</v>
      </c>
      <c r="AB100" s="64">
        <f t="shared" si="45"/>
        <v>0.9</v>
      </c>
      <c r="AC100" s="64">
        <f t="shared" si="45"/>
        <v>0.88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 customHeight="1">
      <c r="A101" s="507" t="s">
        <v>72</v>
      </c>
      <c r="B101" s="508"/>
      <c r="C101" s="509"/>
      <c r="D101" s="45"/>
      <c r="E101" s="45"/>
      <c r="F101" s="64">
        <f t="shared" ref="F101:AC101" si="46">F82</f>
        <v>0</v>
      </c>
      <c r="G101" s="64">
        <f t="shared" si="46"/>
        <v>0</v>
      </c>
      <c r="H101" s="64">
        <f t="shared" si="46"/>
        <v>0</v>
      </c>
      <c r="I101" s="64">
        <f t="shared" si="46"/>
        <v>0</v>
      </c>
      <c r="J101" s="64">
        <f t="shared" si="46"/>
        <v>0</v>
      </c>
      <c r="K101" s="64">
        <f t="shared" si="46"/>
        <v>0</v>
      </c>
      <c r="L101" s="64">
        <f t="shared" si="46"/>
        <v>0</v>
      </c>
      <c r="M101" s="64">
        <f t="shared" si="46"/>
        <v>0</v>
      </c>
      <c r="N101" s="64">
        <f t="shared" si="46"/>
        <v>0</v>
      </c>
      <c r="O101" s="64">
        <f t="shared" si="46"/>
        <v>0</v>
      </c>
      <c r="P101" s="64">
        <f t="shared" si="46"/>
        <v>0</v>
      </c>
      <c r="Q101" s="64">
        <f t="shared" si="46"/>
        <v>0</v>
      </c>
      <c r="R101" s="64">
        <f t="shared" si="46"/>
        <v>0</v>
      </c>
      <c r="S101" s="64">
        <f t="shared" si="46"/>
        <v>0</v>
      </c>
      <c r="T101" s="64">
        <f t="shared" si="46"/>
        <v>0</v>
      </c>
      <c r="U101" s="64">
        <f t="shared" si="46"/>
        <v>0</v>
      </c>
      <c r="V101" s="64">
        <f t="shared" si="46"/>
        <v>0</v>
      </c>
      <c r="W101" s="64">
        <f t="shared" si="46"/>
        <v>0</v>
      </c>
      <c r="X101" s="64">
        <f t="shared" si="46"/>
        <v>0</v>
      </c>
      <c r="Y101" s="64">
        <f t="shared" si="46"/>
        <v>0</v>
      </c>
      <c r="Z101" s="64">
        <f t="shared" si="46"/>
        <v>0</v>
      </c>
      <c r="AA101" s="64">
        <f t="shared" si="46"/>
        <v>0</v>
      </c>
      <c r="AB101" s="64">
        <f t="shared" si="46"/>
        <v>0</v>
      </c>
      <c r="AC101" s="64">
        <f t="shared" si="46"/>
        <v>0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>
      <c r="A102" s="511" t="s">
        <v>82</v>
      </c>
      <c r="B102" s="511"/>
      <c r="C102" s="511"/>
      <c r="D102" s="47"/>
      <c r="E102" s="47"/>
      <c r="F102" s="61">
        <f t="shared" ref="F102:AC102" si="47">SUM(F89,F91,F93,F95,F97:F101,F81)</f>
        <v>44.99</v>
      </c>
      <c r="G102" s="61">
        <f t="shared" si="47"/>
        <v>43.11</v>
      </c>
      <c r="H102" s="61">
        <f t="shared" si="47"/>
        <v>40.35</v>
      </c>
      <c r="I102" s="61">
        <f t="shared" si="47"/>
        <v>40.47</v>
      </c>
      <c r="J102" s="61">
        <f t="shared" si="47"/>
        <v>38.829999999999991</v>
      </c>
      <c r="K102" s="61">
        <f>SUM(K89,K91,K93,K95,K97:K101,K81)</f>
        <v>39.32</v>
      </c>
      <c r="L102" s="61">
        <f t="shared" si="47"/>
        <v>42.420000000000009</v>
      </c>
      <c r="M102" s="61">
        <f t="shared" si="47"/>
        <v>41.1</v>
      </c>
      <c r="N102" s="61">
        <f t="shared" si="47"/>
        <v>46.459999999999994</v>
      </c>
      <c r="O102" s="61">
        <f t="shared" si="47"/>
        <v>56.54</v>
      </c>
      <c r="P102" s="61">
        <f t="shared" si="47"/>
        <v>60.97</v>
      </c>
      <c r="Q102" s="61">
        <f t="shared" si="47"/>
        <v>58.699999999999996</v>
      </c>
      <c r="R102" s="61">
        <f t="shared" si="47"/>
        <v>62.6</v>
      </c>
      <c r="S102" s="61">
        <f>SUM(S89,S91,S93,S95,S97:S101,S81)</f>
        <v>63.37</v>
      </c>
      <c r="T102" s="61">
        <f>SUM(T89,T91,T93,T95,T97:T101,T81)</f>
        <v>65.849999999999994</v>
      </c>
      <c r="U102" s="61">
        <f t="shared" si="47"/>
        <v>66.31</v>
      </c>
      <c r="V102" s="61">
        <f t="shared" si="47"/>
        <v>64.715714285714284</v>
      </c>
      <c r="W102" s="61">
        <f t="shared" si="47"/>
        <v>61.87</v>
      </c>
      <c r="X102" s="61">
        <f>SUM(X89,X91,X93,X95,X97:X101,X81)</f>
        <v>59.33</v>
      </c>
      <c r="Y102" s="61">
        <f t="shared" si="47"/>
        <v>57.85</v>
      </c>
      <c r="Z102" s="61">
        <f t="shared" si="47"/>
        <v>60.19</v>
      </c>
      <c r="AA102" s="61">
        <f t="shared" si="47"/>
        <v>57.65</v>
      </c>
      <c r="AB102" s="61">
        <f t="shared" si="47"/>
        <v>52.3</v>
      </c>
      <c r="AC102" s="61">
        <f t="shared" si="47"/>
        <v>48.750000000000007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12" t="s">
        <v>83</v>
      </c>
      <c r="B103" s="512"/>
      <c r="C103" s="512"/>
      <c r="D103" s="46"/>
      <c r="E103" s="46"/>
      <c r="F103" s="76"/>
      <c r="G103" s="76"/>
      <c r="H103" s="76"/>
      <c r="I103" s="76"/>
      <c r="J103" s="76"/>
      <c r="K103" s="76"/>
      <c r="L103" s="76"/>
      <c r="M103" s="76"/>
      <c r="N103" s="76"/>
      <c r="O103" s="76"/>
      <c r="P103" s="76"/>
      <c r="Q103" s="76"/>
      <c r="R103" s="76"/>
      <c r="S103" s="76"/>
      <c r="T103" s="76"/>
      <c r="U103" s="76"/>
      <c r="V103" s="76"/>
      <c r="W103" s="76"/>
      <c r="X103" s="76"/>
      <c r="Y103" s="76"/>
      <c r="Z103" s="76"/>
      <c r="AA103" s="76"/>
      <c r="AB103" s="76"/>
      <c r="AC103" s="76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12" t="s">
        <v>84</v>
      </c>
      <c r="B104" s="512"/>
      <c r="C104" s="512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12" t="s">
        <v>85</v>
      </c>
      <c r="B105" s="512"/>
      <c r="C105" s="512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>
        <v>3.4287000000000001</v>
      </c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11" t="s">
        <v>86</v>
      </c>
      <c r="B106" s="511"/>
      <c r="C106" s="511"/>
      <c r="D106" s="47"/>
      <c r="E106" s="47"/>
      <c r="F106" s="61">
        <f t="shared" ref="F106:AC106" si="48">SUM(F103:F105)</f>
        <v>0</v>
      </c>
      <c r="G106" s="61">
        <f t="shared" si="48"/>
        <v>0</v>
      </c>
      <c r="H106" s="61">
        <f t="shared" si="48"/>
        <v>0</v>
      </c>
      <c r="I106" s="61">
        <f t="shared" si="48"/>
        <v>0</v>
      </c>
      <c r="J106" s="61">
        <f t="shared" si="48"/>
        <v>0</v>
      </c>
      <c r="K106" s="61">
        <f t="shared" si="48"/>
        <v>0</v>
      </c>
      <c r="L106" s="61">
        <f t="shared" si="48"/>
        <v>0</v>
      </c>
      <c r="M106" s="61">
        <f t="shared" si="48"/>
        <v>0</v>
      </c>
      <c r="N106" s="61">
        <f t="shared" si="48"/>
        <v>0</v>
      </c>
      <c r="O106" s="61">
        <f t="shared" si="48"/>
        <v>0</v>
      </c>
      <c r="P106" s="61">
        <f t="shared" si="48"/>
        <v>0</v>
      </c>
      <c r="Q106" s="61">
        <f t="shared" si="48"/>
        <v>3.4287000000000001</v>
      </c>
      <c r="R106" s="61">
        <f t="shared" si="48"/>
        <v>0</v>
      </c>
      <c r="S106" s="61">
        <f t="shared" si="48"/>
        <v>0</v>
      </c>
      <c r="T106" s="61">
        <f t="shared" si="48"/>
        <v>0</v>
      </c>
      <c r="U106" s="61">
        <f t="shared" si="48"/>
        <v>0</v>
      </c>
      <c r="V106" s="61">
        <f t="shared" si="48"/>
        <v>0</v>
      </c>
      <c r="W106" s="61">
        <f t="shared" si="48"/>
        <v>0</v>
      </c>
      <c r="X106" s="61">
        <f t="shared" si="48"/>
        <v>0</v>
      </c>
      <c r="Y106" s="61">
        <f t="shared" si="48"/>
        <v>0</v>
      </c>
      <c r="Z106" s="61">
        <f t="shared" si="48"/>
        <v>0</v>
      </c>
      <c r="AA106" s="61">
        <f t="shared" si="48"/>
        <v>0</v>
      </c>
      <c r="AB106" s="61">
        <f t="shared" si="48"/>
        <v>0</v>
      </c>
      <c r="AC106" s="61">
        <f t="shared" si="48"/>
        <v>0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13" t="s">
        <v>87</v>
      </c>
      <c r="B107" s="513"/>
      <c r="C107" s="513"/>
      <c r="D107" s="48"/>
      <c r="E107" s="48"/>
      <c r="F107" s="62">
        <f t="shared" ref="F107:AC107" si="49">F102+F106</f>
        <v>44.99</v>
      </c>
      <c r="G107" s="62">
        <f t="shared" si="49"/>
        <v>43.11</v>
      </c>
      <c r="H107" s="62">
        <f t="shared" si="49"/>
        <v>40.35</v>
      </c>
      <c r="I107" s="62">
        <f t="shared" si="49"/>
        <v>40.47</v>
      </c>
      <c r="J107" s="62">
        <f t="shared" si="49"/>
        <v>38.829999999999991</v>
      </c>
      <c r="K107" s="62">
        <f t="shared" si="49"/>
        <v>39.32</v>
      </c>
      <c r="L107" s="62">
        <f t="shared" si="49"/>
        <v>42.420000000000009</v>
      </c>
      <c r="M107" s="62">
        <f t="shared" si="49"/>
        <v>41.1</v>
      </c>
      <c r="N107" s="62">
        <f t="shared" si="49"/>
        <v>46.459999999999994</v>
      </c>
      <c r="O107" s="62">
        <f t="shared" si="49"/>
        <v>56.54</v>
      </c>
      <c r="P107" s="62">
        <f t="shared" si="49"/>
        <v>60.97</v>
      </c>
      <c r="Q107" s="62">
        <f t="shared" si="49"/>
        <v>62.128699999999995</v>
      </c>
      <c r="R107" s="62">
        <f t="shared" si="49"/>
        <v>62.6</v>
      </c>
      <c r="S107" s="62">
        <f t="shared" si="49"/>
        <v>63.37</v>
      </c>
      <c r="T107" s="62">
        <f>T102+T106</f>
        <v>65.849999999999994</v>
      </c>
      <c r="U107" s="62">
        <f t="shared" si="49"/>
        <v>66.31</v>
      </c>
      <c r="V107" s="62">
        <f t="shared" si="49"/>
        <v>64.715714285714284</v>
      </c>
      <c r="W107" s="62">
        <f>W102+W106</f>
        <v>61.87</v>
      </c>
      <c r="X107" s="62">
        <f t="shared" si="49"/>
        <v>59.33</v>
      </c>
      <c r="Y107" s="62">
        <f t="shared" si="49"/>
        <v>57.85</v>
      </c>
      <c r="Z107" s="62">
        <f t="shared" si="49"/>
        <v>60.19</v>
      </c>
      <c r="AA107" s="62">
        <f t="shared" si="49"/>
        <v>57.65</v>
      </c>
      <c r="AB107" s="62">
        <f t="shared" si="49"/>
        <v>52.3</v>
      </c>
      <c r="AC107" s="62">
        <f t="shared" si="49"/>
        <v>48.750000000000007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1" hidden="1">
      <c r="A108" s="514" t="s">
        <v>88</v>
      </c>
      <c r="B108" s="514"/>
      <c r="C108" s="514"/>
      <c r="D108" s="52"/>
      <c r="E108" s="52"/>
      <c r="F108" s="63">
        <f t="shared" ref="F108:AC108" si="50">(COUNT(F13:F16))*7.2+(COUNT(F27:F28)*4.9)+(COUNT(F19:F21)*4.5)-F91-F93</f>
        <v>9.1000000000000085</v>
      </c>
      <c r="G108" s="63">
        <f t="shared" si="50"/>
        <v>2.9000000000000004</v>
      </c>
      <c r="H108" s="63">
        <f t="shared" si="50"/>
        <v>5.600000000000005</v>
      </c>
      <c r="I108" s="63">
        <f t="shared" si="50"/>
        <v>1.8000000000000025</v>
      </c>
      <c r="J108" s="63">
        <f t="shared" si="50"/>
        <v>3.4000000000000039</v>
      </c>
      <c r="K108" s="63">
        <f t="shared" si="50"/>
        <v>8</v>
      </c>
      <c r="L108" s="63">
        <f t="shared" si="50"/>
        <v>2.1999999999999984</v>
      </c>
      <c r="M108" s="63">
        <f t="shared" si="50"/>
        <v>4.6000000000000014</v>
      </c>
      <c r="N108" s="63">
        <f t="shared" si="50"/>
        <v>6.4000000000000012</v>
      </c>
      <c r="O108" s="63">
        <f t="shared" si="50"/>
        <v>10.900000000000002</v>
      </c>
      <c r="P108" s="63">
        <f t="shared" si="50"/>
        <v>10.900000000000002</v>
      </c>
      <c r="Q108" s="63">
        <f t="shared" si="50"/>
        <v>15.199999999999998</v>
      </c>
      <c r="R108" s="63">
        <f t="shared" si="50"/>
        <v>9.4000000000000021</v>
      </c>
      <c r="S108" s="63">
        <f t="shared" si="50"/>
        <v>6.2999999999999989</v>
      </c>
      <c r="T108" s="63">
        <f>(COUNT(T13:T16))*7.2+(COUNT(T27:T28)*4.9)+(COUNT(T19:T21)*4.5)-T91-T93</f>
        <v>17.800000000000004</v>
      </c>
      <c r="U108" s="63">
        <f t="shared" si="50"/>
        <v>14.700000000000003</v>
      </c>
      <c r="V108" s="63">
        <f t="shared" si="50"/>
        <v>12.3</v>
      </c>
      <c r="W108" s="63">
        <f t="shared" si="50"/>
        <v>12.800000000000004</v>
      </c>
      <c r="X108" s="63">
        <f t="shared" si="50"/>
        <v>13.000000000000004</v>
      </c>
      <c r="Y108" s="63">
        <f t="shared" si="50"/>
        <v>13.400000000000006</v>
      </c>
      <c r="Z108" s="63">
        <f t="shared" si="50"/>
        <v>11.800000000000008</v>
      </c>
      <c r="AA108" s="63">
        <f t="shared" si="50"/>
        <v>12.200000000000006</v>
      </c>
      <c r="AB108" s="63">
        <f t="shared" si="50"/>
        <v>8.4000000000000021</v>
      </c>
      <c r="AC108" s="63">
        <f t="shared" si="50"/>
        <v>14.100000000000001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>
      <c r="A109" s="515" t="s">
        <v>89</v>
      </c>
      <c r="B109" s="516"/>
      <c r="C109" s="517"/>
      <c r="D109" s="204"/>
      <c r="E109" s="204"/>
      <c r="F109" s="205">
        <f t="shared" ref="F109:P109" si="51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4.7000000000000046</v>
      </c>
      <c r="G109" s="205">
        <f t="shared" si="51"/>
        <v>1.5</v>
      </c>
      <c r="H109" s="205">
        <f t="shared" si="51"/>
        <v>4.2000000000000046</v>
      </c>
      <c r="I109" s="205">
        <f t="shared" si="51"/>
        <v>0.40000000000000036</v>
      </c>
      <c r="J109" s="205">
        <f t="shared" si="51"/>
        <v>2.0000000000000018</v>
      </c>
      <c r="K109" s="205">
        <f t="shared" si="51"/>
        <v>6.6000000000000014</v>
      </c>
      <c r="L109" s="205">
        <f t="shared" si="51"/>
        <v>0.79999999999999982</v>
      </c>
      <c r="M109" s="205">
        <f t="shared" si="51"/>
        <v>4.7000000000000028</v>
      </c>
      <c r="N109" s="205">
        <f t="shared" si="51"/>
        <v>4.400000000000003</v>
      </c>
      <c r="O109" s="205">
        <f t="shared" si="51"/>
        <v>2.6000000000000032</v>
      </c>
      <c r="P109" s="205">
        <f t="shared" si="51"/>
        <v>2.5000000000000036</v>
      </c>
      <c r="Q109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9</v>
      </c>
      <c r="R109" s="205">
        <f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2.1000000000000032</v>
      </c>
      <c r="S109" s="205">
        <f t="shared" ref="S109:AC109" si="52">(AND(IF(S13&lt;&gt;0,1,0),IF(S13&lt;&gt;"CMS",1,0))*7.2)+(AND(IF(S14&lt;&gt;0,1,0),IF(S14&lt;&gt;"CMS",1,0))*7.2)+(AND(IF(S15&lt;&gt;0,1,0),IF(S15&lt;&gt;"CMS",1,0))*7.2)+(AND(IF(S16&lt;&gt;0,1,0),IF(S16&lt;&gt;"CMS",1,0))*7.2)-S17
+(AND(IF(S27&lt;&gt;0,1,0),IF(S27&lt;&gt;"CMS",1,0))*4.5)+(AND(IF(S28&lt;&gt;0,1,0),IF(S28&lt;&gt;"CMS",1,0))*4.5)-S31
+AND(IF(S24&lt;&gt;0,1,0),IF(S24&lt;&gt;"CMS",1,0))*4.5-S25
+(AND(IF(S19&lt;&gt;0,1,0),IF(S19&lt;&gt;"CMS",1,0))*3.5)+(AND(IF(S20&lt;&gt;0,1,0),IF(S20&lt;&gt;"CMS",1,0))*4.5)+(AND(IF(S21&lt;&gt;0,1,0),IF(S21&lt;&gt;"CMS",1,0))*4.5)-S22</f>
        <v>-0.89999999999999947</v>
      </c>
      <c r="T109" s="205">
        <f t="shared" si="52"/>
        <v>10.500000000000005</v>
      </c>
      <c r="U109" s="205">
        <f t="shared" si="52"/>
        <v>7.4</v>
      </c>
      <c r="V109" s="205">
        <f t="shared" si="52"/>
        <v>4.9999999999999982</v>
      </c>
      <c r="W109" s="205">
        <f>(AND(IF(W13&lt;&gt;0,1,0),IF(W13&lt;&gt;"CMS",1,0))*7.2)+(AND(IF(W14&lt;&gt;0,1,0),IF(W14&lt;&gt;"CMS",1,0))*7.2)+(AND(IF(W15&lt;&gt;0,1,0),IF(W15&lt;&gt;"CMS",1,0))*7.2)+(AND(IF(W16&lt;&gt;0,1,0),IF(W16&lt;&gt;"CMS",1,0))*7.2)-W17
+(AND(IF(W27&lt;&gt;0,1,0),IF(W27&lt;&gt;"CMS",1,0))*4.5)+(AND(IF(W28&lt;&gt;0,1,0),IF(W28&lt;&gt;"CMS",1,0))*4.5)-W31
+AND(IF(W24&lt;&gt;0,1,0),IF(W24&lt;&gt;"CMS",1,0))*4.5-W25
+(AND(IF(W19&lt;&gt;0,1,0),IF(W19&lt;&gt;"CMS",1,0))*3.5)+(AND(IF(W20&lt;&gt;0,1,0),IF(W20&lt;&gt;"CMS",1,0))*4.5)+(AND(IF(W21&lt;&gt;0,1,0),IF(W21&lt;&gt;"CMS",1,0))*4.5)-W22</f>
        <v>5.5000000000000018</v>
      </c>
      <c r="X109" s="205">
        <f>(AND(IF(X13&lt;&gt;0,1,0),IF(X13&lt;&gt;"CMS",1,0))*7.2)+(AND(IF(X14&lt;&gt;0,1,0),IF(X14&lt;&gt;"CMS",1,0))*7.2)+(AND(IF(X15&lt;&gt;0,1,0),IF(X15&lt;&gt;"CMS",1,0))*7.2)+(AND(IF(X16&lt;&gt;0,1,0),IF(X16&lt;&gt;"CMS",1,0))*7.2)-X17
+(AND(IF(X27&lt;&gt;0,1,0),IF(X27&lt;&gt;"CMS",1,0))*4.5)+(AND(IF(X28&lt;&gt;0,1,0),IF(X28&lt;&gt;"CMS",1,0))*4.5)-X31
+AND(IF(X24&lt;&gt;0,1,0),IF(X24&lt;&gt;"CMS",1,0))*4.5-X25
+(AND(IF(X19&lt;&gt;0,1,0),IF(X19&lt;&gt;"CMS",1,0))*3.5)+(AND(IF(X20&lt;&gt;0,1,0),IF(X20&lt;&gt;"CMS",1,0))*4.5)+(AND(IF(X21&lt;&gt;0,1,0),IF(X21&lt;&gt;"CMS",1,0))*4.5)-X22</f>
        <v>5.7000000000000011</v>
      </c>
      <c r="Y109" s="205">
        <f t="shared" si="52"/>
        <v>6.1000000000000032</v>
      </c>
      <c r="Z109" s="205">
        <f t="shared" si="52"/>
        <v>4.5000000000000053</v>
      </c>
      <c r="AA109" s="205">
        <f t="shared" si="52"/>
        <v>4.9000000000000039</v>
      </c>
      <c r="AB109" s="205">
        <f t="shared" si="52"/>
        <v>6.5</v>
      </c>
      <c r="AC109" s="205">
        <f t="shared" si="52"/>
        <v>3.4000000000000004</v>
      </c>
      <c r="AD109" s="26"/>
      <c r="AE109" s="26"/>
      <c r="AF109" s="466"/>
      <c r="AG109" t="s">
        <v>90</v>
      </c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10" t="s">
        <v>91</v>
      </c>
      <c r="B110" s="510"/>
      <c r="C110" s="510"/>
      <c r="D110" s="60"/>
      <c r="E110" s="72"/>
      <c r="F110" s="74">
        <v>60.15</v>
      </c>
      <c r="G110" s="74">
        <v>60.11</v>
      </c>
      <c r="H110" s="74">
        <v>60.17</v>
      </c>
      <c r="I110" s="74">
        <v>60.12</v>
      </c>
      <c r="J110" s="74">
        <v>60.16</v>
      </c>
      <c r="K110" s="74">
        <v>60.17</v>
      </c>
      <c r="L110" s="74">
        <v>60.1</v>
      </c>
      <c r="M110" s="74">
        <v>60.29</v>
      </c>
      <c r="N110" s="74">
        <v>60.05</v>
      </c>
      <c r="O110" s="74">
        <v>60.09</v>
      </c>
      <c r="P110" s="83">
        <v>60.21</v>
      </c>
      <c r="Q110" s="83">
        <v>60.34</v>
      </c>
      <c r="R110" s="83">
        <v>60.24</v>
      </c>
      <c r="S110" s="83">
        <v>60.23</v>
      </c>
      <c r="T110" s="83">
        <v>60.25</v>
      </c>
      <c r="U110" s="74">
        <v>60.04</v>
      </c>
      <c r="V110" s="74">
        <v>60.01</v>
      </c>
      <c r="W110" s="74">
        <v>60.21</v>
      </c>
      <c r="X110" s="74">
        <v>60.19</v>
      </c>
      <c r="Y110" s="74">
        <v>60.12</v>
      </c>
      <c r="Z110" s="74">
        <v>60.16</v>
      </c>
      <c r="AA110" s="74">
        <v>60.14</v>
      </c>
      <c r="AB110" s="74">
        <v>60.23</v>
      </c>
      <c r="AC110" s="74">
        <v>60.1</v>
      </c>
      <c r="AD110" s="26"/>
      <c r="AE110" s="26"/>
      <c r="AF110" s="467"/>
      <c r="AG110" t="s">
        <v>92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18" t="s">
        <v>93</v>
      </c>
      <c r="B111" s="519"/>
      <c r="C111" s="520"/>
      <c r="D111" s="60"/>
      <c r="E111" s="72"/>
      <c r="F111" s="465">
        <f>F89-(8.4-F93)</f>
        <v>1.5999999999999996</v>
      </c>
      <c r="G111" s="74"/>
      <c r="H111" s="74"/>
      <c r="I111" s="465">
        <f>I60</f>
        <v>2.0999999999999996</v>
      </c>
      <c r="J111" s="465">
        <f>J60</f>
        <v>2.0999999999999996</v>
      </c>
      <c r="K111" s="465">
        <f>K60</f>
        <v>4.8000000000000007</v>
      </c>
      <c r="L111" s="465">
        <f>L60</f>
        <v>2</v>
      </c>
      <c r="M111" s="465">
        <f>M60+M89</f>
        <v>3</v>
      </c>
      <c r="N111" s="465">
        <f>N60+N89</f>
        <v>5.8</v>
      </c>
      <c r="O111" s="468">
        <f t="shared" ref="O111:AC111" si="53">25-(O93+O95)-(4.2-O93)</f>
        <v>6.4499999999999993</v>
      </c>
      <c r="P111" s="468">
        <f t="shared" si="53"/>
        <v>6.5100000000000016</v>
      </c>
      <c r="Q111" s="468">
        <f t="shared" si="53"/>
        <v>6.5500000000000007</v>
      </c>
      <c r="R111" s="468">
        <f t="shared" si="53"/>
        <v>6.46</v>
      </c>
      <c r="S111" s="468">
        <f t="shared" si="53"/>
        <v>6.4899999999999993</v>
      </c>
      <c r="T111" s="468">
        <f t="shared" si="53"/>
        <v>6.56</v>
      </c>
      <c r="U111" s="468">
        <f t="shared" si="53"/>
        <v>6.52</v>
      </c>
      <c r="V111" s="468">
        <f t="shared" si="53"/>
        <v>6.5599999999999987</v>
      </c>
      <c r="W111" s="468">
        <f t="shared" si="53"/>
        <v>6.4899999999999975</v>
      </c>
      <c r="X111" s="468">
        <f t="shared" si="53"/>
        <v>6.5100000000000007</v>
      </c>
      <c r="Y111" s="468">
        <f t="shared" si="53"/>
        <v>7.9999999999999991</v>
      </c>
      <c r="Z111" s="468">
        <f t="shared" si="53"/>
        <v>6.52</v>
      </c>
      <c r="AA111" s="468">
        <f t="shared" si="53"/>
        <v>6.4899999999999984</v>
      </c>
      <c r="AB111" s="468">
        <f t="shared" si="53"/>
        <v>6.51</v>
      </c>
      <c r="AC111" s="468">
        <f t="shared" si="53"/>
        <v>6.4799999999999995</v>
      </c>
      <c r="AD111" s="26"/>
      <c r="AE111" s="26"/>
      <c r="AF111" s="469"/>
      <c r="AG111" s="38" t="s">
        <v>94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18" t="s">
        <v>95</v>
      </c>
      <c r="B112" s="519"/>
      <c r="C112" s="520"/>
      <c r="D112" s="60"/>
      <c r="E112" s="72"/>
      <c r="G112" s="74"/>
      <c r="H112" s="74"/>
      <c r="I112" s="74"/>
      <c r="J112" s="74"/>
      <c r="K112" s="74"/>
      <c r="L112" s="74"/>
      <c r="M112" s="74"/>
      <c r="N112" s="74"/>
      <c r="O112" s="74"/>
      <c r="P112" s="83"/>
      <c r="Q112" s="83"/>
      <c r="R112" s="83"/>
      <c r="S112" s="83"/>
      <c r="T112" s="83"/>
      <c r="U112" s="74"/>
      <c r="V112" s="74"/>
      <c r="W112" s="74"/>
      <c r="X112" s="74"/>
      <c r="Y112" s="74"/>
      <c r="Z112" s="74"/>
      <c r="AA112" s="74"/>
      <c r="AB112" s="74"/>
      <c r="AC112" s="74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10" t="s">
        <v>96</v>
      </c>
      <c r="B113" s="510"/>
      <c r="C113" s="510"/>
      <c r="D113" s="60"/>
      <c r="E113" s="72"/>
      <c r="F113" s="73"/>
      <c r="G113" s="73"/>
      <c r="H113" s="73"/>
      <c r="I113" s="73"/>
      <c r="J113" s="73"/>
      <c r="K113" s="73"/>
      <c r="L113" s="73"/>
      <c r="M113" s="73"/>
      <c r="N113" s="73"/>
      <c r="O113" s="73"/>
      <c r="P113" s="73"/>
      <c r="Q113" s="73"/>
      <c r="R113" s="73"/>
      <c r="S113" s="73"/>
      <c r="T113" s="73"/>
      <c r="U113" s="73"/>
      <c r="V113" s="73"/>
      <c r="W113" s="73"/>
      <c r="X113" s="73"/>
      <c r="Y113" s="73"/>
      <c r="Z113" s="73"/>
      <c r="AA113" s="73"/>
      <c r="AB113" s="73"/>
      <c r="AC113" s="73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10" t="s">
        <v>97</v>
      </c>
      <c r="B114" s="510"/>
      <c r="C114" s="510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idden="1">
      <c r="A115"/>
      <c r="B115"/>
      <c r="C115"/>
      <c r="D115" s="71"/>
      <c r="E115"/>
      <c r="F115" s="75"/>
      <c r="G115" s="75"/>
      <c r="H115" s="75"/>
      <c r="I115" s="75"/>
      <c r="J115" s="75"/>
      <c r="K115" s="75"/>
      <c r="L115" s="75"/>
      <c r="M115" s="75"/>
      <c r="N115" s="75"/>
      <c r="O115" s="75"/>
      <c r="P115" s="75"/>
      <c r="Q115" s="75"/>
      <c r="R115" s="75"/>
      <c r="S115" s="75"/>
      <c r="T115" s="75"/>
      <c r="U115" s="75"/>
      <c r="V115" s="75"/>
      <c r="W115" s="75"/>
      <c r="X115" s="75"/>
      <c r="Y115" s="75"/>
      <c r="Z115" s="75"/>
      <c r="AA115" s="75"/>
      <c r="AB115" s="75"/>
      <c r="AC115" s="75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9" hidden="1">
      <c r="A116" s="499" t="s">
        <v>98</v>
      </c>
      <c r="B116" s="499"/>
      <c r="C116" s="499"/>
      <c r="D116" s="499"/>
      <c r="E116" s="499"/>
      <c r="F116" s="499"/>
      <c r="G116" s="499"/>
      <c r="H116" s="499"/>
      <c r="I116" s="499"/>
      <c r="J116" s="499"/>
      <c r="K116" s="499"/>
      <c r="L116" s="499"/>
      <c r="M116" s="499"/>
      <c r="N116" s="499"/>
      <c r="O116" s="499"/>
      <c r="P116" s="499"/>
      <c r="Q116" s="499"/>
      <c r="R116" s="499"/>
      <c r="S116" s="499"/>
      <c r="T116" s="499"/>
      <c r="U116" s="499"/>
      <c r="V116" s="499"/>
      <c r="W116" s="499"/>
      <c r="X116" s="499"/>
      <c r="Y116" s="499"/>
      <c r="Z116" s="499"/>
      <c r="AA116" s="499"/>
      <c r="AB116" s="499"/>
      <c r="AC116" s="499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idden="1">
      <c r="A117"/>
      <c r="B117" s="5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 s="26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ht="17.45" hidden="1">
      <c r="A118" s="500" t="s">
        <v>75</v>
      </c>
      <c r="B118" s="501"/>
      <c r="C118" s="502"/>
      <c r="D118" s="49"/>
      <c r="E118" s="49"/>
      <c r="F118" s="506" t="s">
        <v>76</v>
      </c>
      <c r="G118" s="506"/>
      <c r="H118" s="506"/>
      <c r="I118" s="506"/>
      <c r="J118" s="506"/>
      <c r="K118" s="506"/>
      <c r="L118" s="506"/>
      <c r="M118" s="506"/>
      <c r="N118" s="506"/>
      <c r="O118" s="506"/>
      <c r="P118" s="506"/>
      <c r="Q118" s="506"/>
      <c r="R118" s="506"/>
      <c r="S118" s="506"/>
      <c r="T118" s="506"/>
      <c r="U118" s="506"/>
      <c r="V118" s="506"/>
      <c r="W118" s="506"/>
      <c r="X118" s="506"/>
      <c r="Y118" s="506"/>
      <c r="Z118" s="506"/>
      <c r="AA118" s="506"/>
      <c r="AB118" s="506"/>
      <c r="AC118" s="506"/>
      <c r="AD118" s="5"/>
      <c r="AE118" s="5"/>
      <c r="AF118" s="5"/>
      <c r="AG118" s="5"/>
      <c r="AH118" s="5"/>
    </row>
    <row r="119" spans="1:124" ht="15.6" hidden="1" customHeight="1">
      <c r="A119" s="503"/>
      <c r="B119" s="504"/>
      <c r="C119" s="505"/>
      <c r="D119" s="50"/>
      <c r="E119" s="50"/>
      <c r="F119" s="43">
        <v>0</v>
      </c>
      <c r="G119" s="43">
        <v>4.1666666666666699E-2</v>
      </c>
      <c r="H119" s="43">
        <v>8.3333333333333301E-2</v>
      </c>
      <c r="I119" s="43">
        <v>0.125</v>
      </c>
      <c r="J119" s="43">
        <v>0.16666666666666699</v>
      </c>
      <c r="K119" s="43">
        <v>0.20833333333333301</v>
      </c>
      <c r="L119" s="43">
        <v>0.25</v>
      </c>
      <c r="M119" s="43">
        <v>0.29166666666666702</v>
      </c>
      <c r="N119" s="43">
        <v>0.33333333333333398</v>
      </c>
      <c r="O119" s="43">
        <v>0.375</v>
      </c>
      <c r="P119" s="43">
        <v>0.41666666666666702</v>
      </c>
      <c r="Q119" s="43">
        <v>0.45833333333333398</v>
      </c>
      <c r="R119" s="43">
        <v>0.5</v>
      </c>
      <c r="S119" s="43">
        <v>0.54166666666666696</v>
      </c>
      <c r="T119" s="43">
        <v>0.58333333333333404</v>
      </c>
      <c r="U119" s="43">
        <v>0.625</v>
      </c>
      <c r="V119" s="43">
        <v>0.66666666666666696</v>
      </c>
      <c r="W119" s="43">
        <v>0.70833333333333404</v>
      </c>
      <c r="X119" s="43">
        <v>0.750000000000001</v>
      </c>
      <c r="Y119" s="43">
        <v>0.79166666666666696</v>
      </c>
      <c r="Z119" s="43">
        <v>0.83333333333333337</v>
      </c>
      <c r="AA119" s="43">
        <v>0.875000000000001</v>
      </c>
      <c r="AB119" s="43">
        <v>0.91666666666666696</v>
      </c>
      <c r="AC119" s="43">
        <v>0.95833333333333404</v>
      </c>
      <c r="AD119" s="37"/>
      <c r="AE119" s="37"/>
      <c r="AG119" s="5"/>
      <c r="AH119" s="5"/>
      <c r="AI119" s="5"/>
      <c r="AJ119" s="5"/>
      <c r="AK119" s="5"/>
      <c r="AL119" s="5"/>
      <c r="AM119" s="5"/>
      <c r="AN119" s="5"/>
    </row>
    <row r="120" spans="1:124" ht="17.45" hidden="1">
      <c r="A120" s="507" t="s">
        <v>27</v>
      </c>
      <c r="B120" s="508"/>
      <c r="C120" s="509"/>
      <c r="D120" s="45"/>
      <c r="E120" s="45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07" t="s">
        <v>78</v>
      </c>
      <c r="B121" s="508"/>
      <c r="C121" s="509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07" t="s">
        <v>29</v>
      </c>
      <c r="B122" s="508"/>
      <c r="C122" s="509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07" t="s">
        <v>32</v>
      </c>
      <c r="B123" s="508"/>
      <c r="C123" s="509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07" t="s">
        <v>33</v>
      </c>
      <c r="B124" s="508"/>
      <c r="C124" s="509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07" t="s">
        <v>55</v>
      </c>
      <c r="B125" s="508"/>
      <c r="C125" s="509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07" t="s">
        <v>59</v>
      </c>
      <c r="B126" s="508"/>
      <c r="C126" s="509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</row>
    <row r="127" spans="1:124" ht="17.45" hidden="1">
      <c r="A127" s="507" t="s">
        <v>69</v>
      </c>
      <c r="B127" s="508"/>
      <c r="C127" s="509"/>
      <c r="D127" s="45"/>
      <c r="E127" s="45"/>
      <c r="F127" s="78"/>
      <c r="G127" s="78"/>
      <c r="H127" s="78"/>
      <c r="I127" s="78"/>
      <c r="J127" s="78"/>
      <c r="K127" s="78"/>
      <c r="L127" s="78"/>
      <c r="M127" s="78"/>
      <c r="N127" s="78"/>
      <c r="O127" s="78"/>
      <c r="P127" s="78"/>
      <c r="Q127" s="78"/>
      <c r="R127" s="78"/>
      <c r="S127" s="78"/>
      <c r="T127" s="78"/>
      <c r="U127" s="78"/>
      <c r="V127" s="78"/>
      <c r="W127" s="78"/>
      <c r="X127" s="78"/>
      <c r="Y127" s="78"/>
      <c r="Z127" s="78"/>
      <c r="AA127" s="78"/>
      <c r="AB127" s="78"/>
      <c r="AC127" s="78"/>
    </row>
    <row r="128" spans="1:124" ht="15.6" hidden="1" customHeight="1">
      <c r="A128" s="496" t="s">
        <v>99</v>
      </c>
      <c r="B128" s="497"/>
      <c r="C128" s="498"/>
      <c r="D128" s="51"/>
      <c r="E128" s="51"/>
      <c r="F128" s="44">
        <f>SUM(F120:F127)</f>
        <v>0</v>
      </c>
      <c r="G128" s="44">
        <f t="shared" ref="G128:AB128" si="54">SUM(G120:G127)</f>
        <v>0</v>
      </c>
      <c r="H128" s="44">
        <f t="shared" si="54"/>
        <v>0</v>
      </c>
      <c r="I128" s="44">
        <f t="shared" si="54"/>
        <v>0</v>
      </c>
      <c r="J128" s="44">
        <f t="shared" si="54"/>
        <v>0</v>
      </c>
      <c r="K128" s="44">
        <f t="shared" si="54"/>
        <v>0</v>
      </c>
      <c r="L128" s="44">
        <f t="shared" si="54"/>
        <v>0</v>
      </c>
      <c r="M128" s="44">
        <f t="shared" si="54"/>
        <v>0</v>
      </c>
      <c r="N128" s="44">
        <f t="shared" si="54"/>
        <v>0</v>
      </c>
      <c r="O128" s="44">
        <f t="shared" si="54"/>
        <v>0</v>
      </c>
      <c r="P128" s="44">
        <f t="shared" si="54"/>
        <v>0</v>
      </c>
      <c r="Q128" s="44">
        <f t="shared" si="54"/>
        <v>0</v>
      </c>
      <c r="R128" s="44">
        <f t="shared" si="54"/>
        <v>0</v>
      </c>
      <c r="S128" s="44">
        <f t="shared" si="54"/>
        <v>0</v>
      </c>
      <c r="T128" s="44">
        <f t="shared" si="54"/>
        <v>0</v>
      </c>
      <c r="U128" s="44">
        <f t="shared" si="54"/>
        <v>0</v>
      </c>
      <c r="V128" s="44">
        <f t="shared" si="54"/>
        <v>0</v>
      </c>
      <c r="W128" s="44">
        <f t="shared" si="54"/>
        <v>0</v>
      </c>
      <c r="X128" s="44">
        <f t="shared" si="54"/>
        <v>0</v>
      </c>
      <c r="Y128" s="44">
        <f t="shared" si="54"/>
        <v>0</v>
      </c>
      <c r="Z128" s="44">
        <f t="shared" si="54"/>
        <v>0</v>
      </c>
      <c r="AA128" s="44">
        <f t="shared" si="54"/>
        <v>0</v>
      </c>
      <c r="AB128" s="44">
        <f t="shared" si="54"/>
        <v>0</v>
      </c>
      <c r="AC128" s="44">
        <f>SUM(AC120:AC127)</f>
        <v>0</v>
      </c>
    </row>
    <row r="129" spans="1:124">
      <c r="F129" s="75"/>
      <c r="G129" s="75"/>
      <c r="H129" s="75"/>
      <c r="I129" s="75"/>
      <c r="J129" s="75"/>
      <c r="K129" s="75"/>
      <c r="L129" s="75"/>
      <c r="M129" s="75"/>
      <c r="N129" s="75"/>
      <c r="O129" s="75"/>
      <c r="P129" s="75"/>
      <c r="Q129" s="75"/>
      <c r="R129" s="75"/>
      <c r="S129" s="75"/>
      <c r="T129" s="75"/>
      <c r="U129" s="75"/>
      <c r="V129" s="75"/>
      <c r="W129" s="75"/>
      <c r="X129" s="75"/>
      <c r="Y129" s="75"/>
      <c r="Z129" s="75"/>
      <c r="AA129" s="75"/>
      <c r="AB129" s="75"/>
      <c r="AC129" s="75"/>
      <c r="AD129" s="5"/>
      <c r="AE129" s="5"/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AB131" s="26"/>
      <c r="AC131" s="27"/>
      <c r="AD131" s="5"/>
      <c r="AE131" s="5"/>
    </row>
    <row r="132" spans="1:124" s="2" customFormat="1">
      <c r="A132"/>
      <c r="B132"/>
      <c r="AB132" s="26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>
      <c r="A133"/>
      <c r="B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 s="26"/>
      <c r="D135" s="26"/>
      <c r="E135" s="26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</row>
    <row r="138" spans="1:124">
      <c r="C138" s="26"/>
      <c r="D138" s="26"/>
      <c r="E138" s="26"/>
    </row>
    <row r="139" spans="1:124">
      <c r="C139" s="26"/>
      <c r="D139" s="26"/>
      <c r="E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</row>
    <row r="140" spans="1:124"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</sheetData>
  <mergeCells count="43">
    <mergeCell ref="A89:C89"/>
    <mergeCell ref="M8:O8"/>
    <mergeCell ref="M9:O9"/>
    <mergeCell ref="A85:AC85"/>
    <mergeCell ref="A87:C88"/>
    <mergeCell ref="F87:AC87"/>
    <mergeCell ref="A101:C101"/>
    <mergeCell ref="A90:C90"/>
    <mergeCell ref="A91:C91"/>
    <mergeCell ref="A92:C92"/>
    <mergeCell ref="A93:C93"/>
    <mergeCell ref="A94:C94"/>
    <mergeCell ref="A95:C95"/>
    <mergeCell ref="A96:C96"/>
    <mergeCell ref="A97:C97"/>
    <mergeCell ref="A98:C98"/>
    <mergeCell ref="A99:C99"/>
    <mergeCell ref="A100:C100"/>
    <mergeCell ref="A114:C114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3:C113"/>
    <mergeCell ref="A111:C111"/>
    <mergeCell ref="A112:C112"/>
    <mergeCell ref="A128:C128"/>
    <mergeCell ref="A116:AC116"/>
    <mergeCell ref="A118:C119"/>
    <mergeCell ref="F118:AC118"/>
    <mergeCell ref="A120:C120"/>
    <mergeCell ref="A121:C121"/>
    <mergeCell ref="A122:C122"/>
    <mergeCell ref="A123:C123"/>
    <mergeCell ref="A124:C124"/>
    <mergeCell ref="A125:C125"/>
    <mergeCell ref="A126:C126"/>
    <mergeCell ref="A127:C127"/>
  </mergeCells>
  <conditionalFormatting sqref="G110:AC110">
    <cfRule type="cellIs" dxfId="8884" priority="416" operator="greaterThan">
      <formula>60.3</formula>
    </cfRule>
  </conditionalFormatting>
  <conditionalFormatting sqref="F110">
    <cfRule type="cellIs" dxfId="8883" priority="415" operator="greaterThan">
      <formula>60.3</formula>
    </cfRule>
  </conditionalFormatting>
  <conditionalFormatting sqref="H13:L13 H15:M16 P15:P16 N13:V13 Q14:V16 G36:AC59 W13:AC16 G62:AC64">
    <cfRule type="cellIs" dxfId="8882" priority="407" operator="equal">
      <formula>"PMS"</formula>
    </cfRule>
    <cfRule type="containsText" dxfId="8881" priority="408" operator="containsText" text="CMS">
      <formula>NOT(ISERROR(SEARCH("CMS",G13)))</formula>
    </cfRule>
    <cfRule type="cellIs" dxfId="8880" priority="409" operator="equal">
      <formula>0</formula>
    </cfRule>
    <cfRule type="cellIs" dxfId="8879" priority="410" operator="greaterThan">
      <formula>0</formula>
    </cfRule>
    <cfRule type="cellIs" dxfId="8878" priority="411" operator="equal">
      <formula>"PMS"</formula>
    </cfRule>
    <cfRule type="containsText" dxfId="8877" priority="412" operator="containsText" text="CMS">
      <formula>NOT(ISERROR(SEARCH("CMS",G13)))</formula>
    </cfRule>
    <cfRule type="cellIs" dxfId="8876" priority="413" operator="equal">
      <formula>0</formula>
    </cfRule>
    <cfRule type="cellIs" dxfId="8875" priority="414" operator="greaterThan">
      <formula>0</formula>
    </cfRule>
  </conditionalFormatting>
  <conditionalFormatting sqref="H13:L13 H15:M16 P15:P16 N13:V13 Q14:V16 G36:AC59 W13:AC16 G62:AC64">
    <cfRule type="cellIs" dxfId="8874" priority="403" operator="equal">
      <formula>"PMS"</formula>
    </cfRule>
    <cfRule type="containsText" dxfId="8873" priority="404" operator="containsText" text="CMS">
      <formula>NOT(ISERROR(SEARCH("CMS",G13)))</formula>
    </cfRule>
    <cfRule type="cellIs" dxfId="8872" priority="405" operator="equal">
      <formula>0</formula>
    </cfRule>
    <cfRule type="cellIs" dxfId="8871" priority="406" operator="greaterThan">
      <formula>0</formula>
    </cfRule>
  </conditionalFormatting>
  <conditionalFormatting sqref="G19:Q19 U19:AC19 G20:AC20 G21:N21 P21:AC21">
    <cfRule type="cellIs" dxfId="8870" priority="395" operator="equal">
      <formula>"PMS"</formula>
    </cfRule>
    <cfRule type="containsText" dxfId="8869" priority="396" operator="containsText" text="CMS">
      <formula>NOT(ISERROR(SEARCH("CMS",G19)))</formula>
    </cfRule>
    <cfRule type="cellIs" dxfId="8868" priority="397" operator="equal">
      <formula>0</formula>
    </cfRule>
    <cfRule type="cellIs" dxfId="8867" priority="398" operator="greaterThan">
      <formula>0</formula>
    </cfRule>
    <cfRule type="cellIs" dxfId="8866" priority="399" operator="equal">
      <formula>"PMS"</formula>
    </cfRule>
    <cfRule type="containsText" dxfId="8865" priority="400" operator="containsText" text="CMS">
      <formula>NOT(ISERROR(SEARCH("CMS",G19)))</formula>
    </cfRule>
    <cfRule type="cellIs" dxfId="8864" priority="401" operator="equal">
      <formula>0</formula>
    </cfRule>
    <cfRule type="cellIs" dxfId="8863" priority="402" operator="greaterThan">
      <formula>0</formula>
    </cfRule>
  </conditionalFormatting>
  <conditionalFormatting sqref="G19:Q19 U19:AC19 G20:AC20 G21:N21 P21:AC21">
    <cfRule type="cellIs" dxfId="8862" priority="391" operator="equal">
      <formula>"PMS"</formula>
    </cfRule>
    <cfRule type="containsText" dxfId="8861" priority="392" operator="containsText" text="CMS">
      <formula>NOT(ISERROR(SEARCH("CMS",G19)))</formula>
    </cfRule>
    <cfRule type="cellIs" dxfId="8860" priority="393" operator="equal">
      <formula>0</formula>
    </cfRule>
    <cfRule type="cellIs" dxfId="8859" priority="394" operator="greaterThan">
      <formula>0</formula>
    </cfRule>
  </conditionalFormatting>
  <conditionalFormatting sqref="V24:AC24 O24:S24 G24:M24">
    <cfRule type="cellIs" dxfId="8858" priority="383" operator="equal">
      <formula>"PMS"</formula>
    </cfRule>
    <cfRule type="containsText" dxfId="8857" priority="384" operator="containsText" text="CMS">
      <formula>NOT(ISERROR(SEARCH("CMS",G24)))</formula>
    </cfRule>
    <cfRule type="cellIs" dxfId="8856" priority="385" operator="equal">
      <formula>0</formula>
    </cfRule>
    <cfRule type="cellIs" dxfId="8855" priority="386" operator="greaterThan">
      <formula>0</formula>
    </cfRule>
    <cfRule type="cellIs" dxfId="8854" priority="387" operator="equal">
      <formula>"PMS"</formula>
    </cfRule>
    <cfRule type="containsText" dxfId="8853" priority="388" operator="containsText" text="CMS">
      <formula>NOT(ISERROR(SEARCH("CMS",G24)))</formula>
    </cfRule>
    <cfRule type="cellIs" dxfId="8852" priority="389" operator="equal">
      <formula>0</formula>
    </cfRule>
    <cfRule type="cellIs" dxfId="8851" priority="390" operator="greaterThan">
      <formula>0</formula>
    </cfRule>
  </conditionalFormatting>
  <conditionalFormatting sqref="V24:AC24 O24:S24 G24:M24">
    <cfRule type="cellIs" dxfId="8850" priority="379" operator="equal">
      <formula>"PMS"</formula>
    </cfRule>
    <cfRule type="containsText" dxfId="8849" priority="380" operator="containsText" text="CMS">
      <formula>NOT(ISERROR(SEARCH("CMS",G24)))</formula>
    </cfRule>
    <cfRule type="cellIs" dxfId="8848" priority="381" operator="equal">
      <formula>0</formula>
    </cfRule>
    <cfRule type="cellIs" dxfId="8847" priority="382" operator="greaterThan">
      <formula>0</formula>
    </cfRule>
  </conditionalFormatting>
  <conditionalFormatting sqref="G27:AC30">
    <cfRule type="cellIs" dxfId="8846" priority="371" operator="equal">
      <formula>"PMS"</formula>
    </cfRule>
    <cfRule type="containsText" dxfId="8845" priority="372" operator="containsText" text="CMS">
      <formula>NOT(ISERROR(SEARCH("CMS",G27)))</formula>
    </cfRule>
    <cfRule type="cellIs" dxfId="8844" priority="373" operator="equal">
      <formula>0</formula>
    </cfRule>
    <cfRule type="cellIs" dxfId="8843" priority="374" operator="greaterThan">
      <formula>0</formula>
    </cfRule>
    <cfRule type="cellIs" dxfId="8842" priority="375" operator="equal">
      <formula>"PMS"</formula>
    </cfRule>
    <cfRule type="containsText" dxfId="8841" priority="376" operator="containsText" text="CMS">
      <formula>NOT(ISERROR(SEARCH("CMS",G27)))</formula>
    </cfRule>
    <cfRule type="cellIs" dxfId="8840" priority="377" operator="equal">
      <formula>0</formula>
    </cfRule>
    <cfRule type="cellIs" dxfId="8839" priority="378" operator="greaterThan">
      <formula>0</formula>
    </cfRule>
  </conditionalFormatting>
  <conditionalFormatting sqref="G27:AC30">
    <cfRule type="cellIs" dxfId="8838" priority="367" operator="equal">
      <formula>"PMS"</formula>
    </cfRule>
    <cfRule type="containsText" dxfId="8837" priority="368" operator="containsText" text="CMS">
      <formula>NOT(ISERROR(SEARCH("CMS",G27)))</formula>
    </cfRule>
    <cfRule type="cellIs" dxfId="8836" priority="369" operator="equal">
      <formula>0</formula>
    </cfRule>
    <cfRule type="cellIs" dxfId="8835" priority="370" operator="greaterThan">
      <formula>0</formula>
    </cfRule>
  </conditionalFormatting>
  <conditionalFormatting sqref="G33:AC33">
    <cfRule type="cellIs" dxfId="8834" priority="359" operator="equal">
      <formula>"PMS"</formula>
    </cfRule>
    <cfRule type="containsText" dxfId="8833" priority="360" operator="containsText" text="CMS">
      <formula>NOT(ISERROR(SEARCH("CMS",G33)))</formula>
    </cfRule>
    <cfRule type="cellIs" dxfId="8832" priority="361" operator="equal">
      <formula>0</formula>
    </cfRule>
    <cfRule type="cellIs" dxfId="8831" priority="362" operator="greaterThan">
      <formula>0</formula>
    </cfRule>
    <cfRule type="cellIs" dxfId="8830" priority="363" operator="equal">
      <formula>"PMS"</formula>
    </cfRule>
    <cfRule type="containsText" dxfId="8829" priority="364" operator="containsText" text="CMS">
      <formula>NOT(ISERROR(SEARCH("CMS",G33)))</formula>
    </cfRule>
    <cfRule type="cellIs" dxfId="8828" priority="365" operator="equal">
      <formula>0</formula>
    </cfRule>
    <cfRule type="cellIs" dxfId="8827" priority="366" operator="greaterThan">
      <formula>0</formula>
    </cfRule>
  </conditionalFormatting>
  <conditionalFormatting sqref="G33:AC33">
    <cfRule type="cellIs" dxfId="8826" priority="355" operator="equal">
      <formula>"PMS"</formula>
    </cfRule>
    <cfRule type="containsText" dxfId="8825" priority="356" operator="containsText" text="CMS">
      <formula>NOT(ISERROR(SEARCH("CMS",G33)))</formula>
    </cfRule>
    <cfRule type="cellIs" dxfId="8824" priority="357" operator="equal">
      <formula>0</formula>
    </cfRule>
    <cfRule type="cellIs" dxfId="8823" priority="358" operator="greaterThan">
      <formula>0</formula>
    </cfRule>
  </conditionalFormatting>
  <conditionalFormatting sqref="G67:AC75 G78:Q79 S78:AC79">
    <cfRule type="cellIs" dxfId="8822" priority="347" operator="equal">
      <formula>"PMS"</formula>
    </cfRule>
    <cfRule type="containsText" dxfId="8821" priority="348" operator="containsText" text="CMS">
      <formula>NOT(ISERROR(SEARCH("CMS",G67)))</formula>
    </cfRule>
    <cfRule type="cellIs" dxfId="8820" priority="349" operator="equal">
      <formula>0</formula>
    </cfRule>
    <cfRule type="cellIs" dxfId="8819" priority="350" operator="greaterThan">
      <formula>0</formula>
    </cfRule>
    <cfRule type="cellIs" dxfId="8818" priority="351" operator="equal">
      <formula>"PMS"</formula>
    </cfRule>
    <cfRule type="containsText" dxfId="8817" priority="352" operator="containsText" text="CMS">
      <formula>NOT(ISERROR(SEARCH("CMS",G67)))</formula>
    </cfRule>
    <cfRule type="cellIs" dxfId="8816" priority="353" operator="equal">
      <formula>0</formula>
    </cfRule>
    <cfRule type="cellIs" dxfId="8815" priority="354" operator="greaterThan">
      <formula>0</formula>
    </cfRule>
  </conditionalFormatting>
  <conditionalFormatting sqref="G67:AC75 G78:Q79 S78:AC79">
    <cfRule type="cellIs" dxfId="8814" priority="343" operator="equal">
      <formula>"PMS"</formula>
    </cfRule>
    <cfRule type="containsText" dxfId="8813" priority="344" operator="containsText" text="CMS">
      <formula>NOT(ISERROR(SEARCH("CMS",G67)))</formula>
    </cfRule>
    <cfRule type="cellIs" dxfId="8812" priority="345" operator="equal">
      <formula>0</formula>
    </cfRule>
    <cfRule type="cellIs" dxfId="8811" priority="346" operator="greaterThan">
      <formula>0</formula>
    </cfRule>
  </conditionalFormatting>
  <conditionalFormatting sqref="G82:AC82">
    <cfRule type="cellIs" dxfId="8810" priority="335" operator="equal">
      <formula>"PMS"</formula>
    </cfRule>
    <cfRule type="containsText" dxfId="8809" priority="336" operator="containsText" text="CMS">
      <formula>NOT(ISERROR(SEARCH("CMS",G82)))</formula>
    </cfRule>
    <cfRule type="cellIs" dxfId="8808" priority="337" operator="equal">
      <formula>0</formula>
    </cfRule>
    <cfRule type="cellIs" dxfId="8807" priority="338" operator="greaterThan">
      <formula>0</formula>
    </cfRule>
    <cfRule type="cellIs" dxfId="8806" priority="339" operator="equal">
      <formula>"PMS"</formula>
    </cfRule>
    <cfRule type="containsText" dxfId="8805" priority="340" operator="containsText" text="CMS">
      <formula>NOT(ISERROR(SEARCH("CMS",G82)))</formula>
    </cfRule>
    <cfRule type="cellIs" dxfId="8804" priority="341" operator="equal">
      <formula>0</formula>
    </cfRule>
    <cfRule type="cellIs" dxfId="8803" priority="342" operator="greaterThan">
      <formula>0</formula>
    </cfRule>
  </conditionalFormatting>
  <conditionalFormatting sqref="G82:AC82">
    <cfRule type="cellIs" dxfId="8802" priority="331" operator="equal">
      <formula>"PMS"</formula>
    </cfRule>
    <cfRule type="containsText" dxfId="8801" priority="332" operator="containsText" text="CMS">
      <formula>NOT(ISERROR(SEARCH("CMS",G82)))</formula>
    </cfRule>
    <cfRule type="cellIs" dxfId="8800" priority="333" operator="equal">
      <formula>0</formula>
    </cfRule>
    <cfRule type="cellIs" dxfId="8799" priority="334" operator="greaterThan">
      <formula>0</formula>
    </cfRule>
  </conditionalFormatting>
  <conditionalFormatting sqref="N24">
    <cfRule type="cellIs" dxfId="8798" priority="323" operator="equal">
      <formula>"PMS"</formula>
    </cfRule>
    <cfRule type="containsText" dxfId="8797" priority="324" operator="containsText" text="CMS">
      <formula>NOT(ISERROR(SEARCH("CMS",N24)))</formula>
    </cfRule>
    <cfRule type="cellIs" dxfId="8796" priority="325" operator="equal">
      <formula>0</formula>
    </cfRule>
    <cfRule type="cellIs" dxfId="8795" priority="326" operator="greaterThan">
      <formula>0</formula>
    </cfRule>
    <cfRule type="cellIs" dxfId="8794" priority="327" operator="equal">
      <formula>"PMS"</formula>
    </cfRule>
    <cfRule type="containsText" dxfId="8793" priority="328" operator="containsText" text="CMS">
      <formula>NOT(ISERROR(SEARCH("CMS",N24)))</formula>
    </cfRule>
    <cfRule type="cellIs" dxfId="8792" priority="329" operator="equal">
      <formula>0</formula>
    </cfRule>
    <cfRule type="cellIs" dxfId="8791" priority="330" operator="greaterThan">
      <formula>0</formula>
    </cfRule>
  </conditionalFormatting>
  <conditionalFormatting sqref="N24">
    <cfRule type="cellIs" dxfId="8790" priority="319" operator="equal">
      <formula>"PMS"</formula>
    </cfRule>
    <cfRule type="containsText" dxfId="8789" priority="320" operator="containsText" text="CMS">
      <formula>NOT(ISERROR(SEARCH("CMS",N24)))</formula>
    </cfRule>
    <cfRule type="cellIs" dxfId="8788" priority="321" operator="equal">
      <formula>0</formula>
    </cfRule>
    <cfRule type="cellIs" dxfId="8787" priority="322" operator="greaterThan">
      <formula>0</formula>
    </cfRule>
  </conditionalFormatting>
  <conditionalFormatting sqref="T24:U24">
    <cfRule type="cellIs" dxfId="8786" priority="311" operator="equal">
      <formula>"PMS"</formula>
    </cfRule>
    <cfRule type="containsText" dxfId="8785" priority="312" operator="containsText" text="CMS">
      <formula>NOT(ISERROR(SEARCH("CMS",T24)))</formula>
    </cfRule>
    <cfRule type="cellIs" dxfId="8784" priority="313" operator="equal">
      <formula>0</formula>
    </cfRule>
    <cfRule type="cellIs" dxfId="8783" priority="314" operator="greaterThan">
      <formula>0</formula>
    </cfRule>
    <cfRule type="cellIs" dxfId="8782" priority="315" operator="equal">
      <formula>"PMS"</formula>
    </cfRule>
    <cfRule type="containsText" dxfId="8781" priority="316" operator="containsText" text="CMS">
      <formula>NOT(ISERROR(SEARCH("CMS",T24)))</formula>
    </cfRule>
    <cfRule type="cellIs" dxfId="8780" priority="317" operator="equal">
      <formula>0</formula>
    </cfRule>
    <cfRule type="cellIs" dxfId="8779" priority="318" operator="greaterThan">
      <formula>0</formula>
    </cfRule>
  </conditionalFormatting>
  <conditionalFormatting sqref="T24:U24">
    <cfRule type="cellIs" dxfId="8778" priority="307" operator="equal">
      <formula>"PMS"</formula>
    </cfRule>
    <cfRule type="containsText" dxfId="8777" priority="308" operator="containsText" text="CMS">
      <formula>NOT(ISERROR(SEARCH("CMS",T24)))</formula>
    </cfRule>
    <cfRule type="cellIs" dxfId="8776" priority="309" operator="equal">
      <formula>0</formula>
    </cfRule>
    <cfRule type="cellIs" dxfId="8775" priority="310" operator="greaterThan">
      <formula>0</formula>
    </cfRule>
  </conditionalFormatting>
  <conditionalFormatting sqref="H14:P14">
    <cfRule type="cellIs" dxfId="8774" priority="299" operator="equal">
      <formula>"PMS"</formula>
    </cfRule>
    <cfRule type="containsText" dxfId="8773" priority="300" operator="containsText" text="CMS">
      <formula>NOT(ISERROR(SEARCH("CMS",H14)))</formula>
    </cfRule>
    <cfRule type="cellIs" dxfId="8772" priority="301" operator="equal">
      <formula>0</formula>
    </cfRule>
    <cfRule type="cellIs" dxfId="8771" priority="302" operator="greaterThan">
      <formula>0</formula>
    </cfRule>
    <cfRule type="cellIs" dxfId="8770" priority="303" operator="equal">
      <formula>"PMS"</formula>
    </cfRule>
    <cfRule type="containsText" dxfId="8769" priority="304" operator="containsText" text="CMS">
      <formula>NOT(ISERROR(SEARCH("CMS",H14)))</formula>
    </cfRule>
    <cfRule type="cellIs" dxfId="8768" priority="305" operator="equal">
      <formula>0</formula>
    </cfRule>
    <cfRule type="cellIs" dxfId="8767" priority="306" operator="greaterThan">
      <formula>0</formula>
    </cfRule>
  </conditionalFormatting>
  <conditionalFormatting sqref="H14:P14">
    <cfRule type="cellIs" dxfId="8766" priority="295" operator="equal">
      <formula>"PMS"</formula>
    </cfRule>
    <cfRule type="containsText" dxfId="8765" priority="296" operator="containsText" text="CMS">
      <formula>NOT(ISERROR(SEARCH("CMS",H14)))</formula>
    </cfRule>
    <cfRule type="cellIs" dxfId="8764" priority="297" operator="equal">
      <formula>0</formula>
    </cfRule>
    <cfRule type="cellIs" dxfId="8763" priority="298" operator="greaterThan">
      <formula>0</formula>
    </cfRule>
  </conditionalFormatting>
  <conditionalFormatting sqref="F82">
    <cfRule type="cellIs" dxfId="8762" priority="287" operator="equal">
      <formula>"PMS"</formula>
    </cfRule>
    <cfRule type="containsText" dxfId="8761" priority="288" operator="containsText" text="CMS">
      <formula>NOT(ISERROR(SEARCH("CMS",F82)))</formula>
    </cfRule>
    <cfRule type="cellIs" dxfId="8760" priority="289" operator="equal">
      <formula>0</formula>
    </cfRule>
    <cfRule type="cellIs" dxfId="8759" priority="290" operator="greaterThan">
      <formula>0</formula>
    </cfRule>
    <cfRule type="cellIs" dxfId="8758" priority="291" operator="equal">
      <formula>"PMS"</formula>
    </cfRule>
    <cfRule type="containsText" dxfId="8757" priority="292" operator="containsText" text="CMS">
      <formula>NOT(ISERROR(SEARCH("CMS",F82)))</formula>
    </cfRule>
    <cfRule type="cellIs" dxfId="8756" priority="293" operator="equal">
      <formula>0</formula>
    </cfRule>
    <cfRule type="cellIs" dxfId="8755" priority="294" operator="greaterThan">
      <formula>0</formula>
    </cfRule>
  </conditionalFormatting>
  <conditionalFormatting sqref="F82">
    <cfRule type="cellIs" dxfId="8754" priority="283" operator="equal">
      <formula>"PMS"</formula>
    </cfRule>
    <cfRule type="containsText" dxfId="8753" priority="284" operator="containsText" text="CMS">
      <formula>NOT(ISERROR(SEARCH("CMS",F82)))</formula>
    </cfRule>
    <cfRule type="cellIs" dxfId="8752" priority="285" operator="equal">
      <formula>0</formula>
    </cfRule>
    <cfRule type="cellIs" dxfId="8751" priority="286" operator="greaterThan">
      <formula>0</formula>
    </cfRule>
  </conditionalFormatting>
  <conditionalFormatting sqref="R19:T19">
    <cfRule type="cellIs" dxfId="8750" priority="275" operator="equal">
      <formula>"PMS"</formula>
    </cfRule>
    <cfRule type="containsText" dxfId="8749" priority="276" operator="containsText" text="CMS">
      <formula>NOT(ISERROR(SEARCH("CMS",R19)))</formula>
    </cfRule>
    <cfRule type="cellIs" dxfId="8748" priority="277" operator="equal">
      <formula>0</formula>
    </cfRule>
    <cfRule type="cellIs" dxfId="8747" priority="278" operator="greaterThan">
      <formula>0</formula>
    </cfRule>
    <cfRule type="cellIs" dxfId="8746" priority="279" operator="equal">
      <formula>"PMS"</formula>
    </cfRule>
    <cfRule type="containsText" dxfId="8745" priority="280" operator="containsText" text="CMS">
      <formula>NOT(ISERROR(SEARCH("CMS",R19)))</formula>
    </cfRule>
    <cfRule type="cellIs" dxfId="8744" priority="281" operator="equal">
      <formula>0</formula>
    </cfRule>
    <cfRule type="cellIs" dxfId="8743" priority="282" operator="greaterThan">
      <formula>0</formula>
    </cfRule>
  </conditionalFormatting>
  <conditionalFormatting sqref="R19:T19">
    <cfRule type="cellIs" dxfId="8742" priority="271" operator="equal">
      <formula>"PMS"</formula>
    </cfRule>
    <cfRule type="containsText" dxfId="8741" priority="272" operator="containsText" text="CMS">
      <formula>NOT(ISERROR(SEARCH("CMS",R19)))</formula>
    </cfRule>
    <cfRule type="cellIs" dxfId="8740" priority="273" operator="equal">
      <formula>0</formula>
    </cfRule>
    <cfRule type="cellIs" dxfId="8739" priority="274" operator="greaterThan">
      <formula>0</formula>
    </cfRule>
  </conditionalFormatting>
  <conditionalFormatting sqref="G13:G16">
    <cfRule type="cellIs" dxfId="8738" priority="263" operator="equal">
      <formula>"PMS"</formula>
    </cfRule>
    <cfRule type="containsText" dxfId="8737" priority="264" operator="containsText" text="CMS">
      <formula>NOT(ISERROR(SEARCH("CMS",G13)))</formula>
    </cfRule>
    <cfRule type="cellIs" dxfId="8736" priority="265" operator="equal">
      <formula>0</formula>
    </cfRule>
    <cfRule type="cellIs" dxfId="8735" priority="266" operator="greaterThan">
      <formula>0</formula>
    </cfRule>
    <cfRule type="cellIs" dxfId="8734" priority="267" operator="equal">
      <formula>"PMS"</formula>
    </cfRule>
    <cfRule type="containsText" dxfId="8733" priority="268" operator="containsText" text="CMS">
      <formula>NOT(ISERROR(SEARCH("CMS",G13)))</formula>
    </cfRule>
    <cfRule type="cellIs" dxfId="8732" priority="269" operator="equal">
      <formula>0</formula>
    </cfRule>
    <cfRule type="cellIs" dxfId="8731" priority="270" operator="greaterThan">
      <formula>0</formula>
    </cfRule>
  </conditionalFormatting>
  <conditionalFormatting sqref="G13:G16">
    <cfRule type="cellIs" dxfId="8730" priority="259" operator="equal">
      <formula>"PMS"</formula>
    </cfRule>
    <cfRule type="containsText" dxfId="8729" priority="260" operator="containsText" text="CMS">
      <formula>NOT(ISERROR(SEARCH("CMS",G13)))</formula>
    </cfRule>
    <cfRule type="cellIs" dxfId="8728" priority="261" operator="equal">
      <formula>0</formula>
    </cfRule>
    <cfRule type="cellIs" dxfId="8727" priority="262" operator="greaterThan">
      <formula>0</formula>
    </cfRule>
  </conditionalFormatting>
  <conditionalFormatting sqref="M13">
    <cfRule type="cellIs" dxfId="8726" priority="251" operator="equal">
      <formula>"PMS"</formula>
    </cfRule>
    <cfRule type="containsText" dxfId="8725" priority="252" operator="containsText" text="CMS">
      <formula>NOT(ISERROR(SEARCH("CMS",M13)))</formula>
    </cfRule>
    <cfRule type="cellIs" dxfId="8724" priority="253" operator="equal">
      <formula>0</formula>
    </cfRule>
    <cfRule type="cellIs" dxfId="8723" priority="254" operator="greaterThan">
      <formula>0</formula>
    </cfRule>
    <cfRule type="cellIs" dxfId="8722" priority="255" operator="equal">
      <formula>"PMS"</formula>
    </cfRule>
    <cfRule type="containsText" dxfId="8721" priority="256" operator="containsText" text="CMS">
      <formula>NOT(ISERROR(SEARCH("CMS",M13)))</formula>
    </cfRule>
    <cfRule type="cellIs" dxfId="8720" priority="257" operator="equal">
      <formula>0</formula>
    </cfRule>
    <cfRule type="cellIs" dxfId="8719" priority="258" operator="greaterThan">
      <formula>0</formula>
    </cfRule>
  </conditionalFormatting>
  <conditionalFormatting sqref="M13">
    <cfRule type="cellIs" dxfId="8718" priority="247" operator="equal">
      <formula>"PMS"</formula>
    </cfRule>
    <cfRule type="containsText" dxfId="8717" priority="248" operator="containsText" text="CMS">
      <formula>NOT(ISERROR(SEARCH("CMS",M13)))</formula>
    </cfRule>
    <cfRule type="cellIs" dxfId="8716" priority="249" operator="equal">
      <formula>0</formula>
    </cfRule>
    <cfRule type="cellIs" dxfId="8715" priority="250" operator="greaterThan">
      <formula>0</formula>
    </cfRule>
  </conditionalFormatting>
  <conditionalFormatting sqref="R78:R79">
    <cfRule type="cellIs" dxfId="8714" priority="239" operator="equal">
      <formula>"PMS"</formula>
    </cfRule>
    <cfRule type="containsText" dxfId="8713" priority="240" operator="containsText" text="CMS">
      <formula>NOT(ISERROR(SEARCH("CMS",R78)))</formula>
    </cfRule>
    <cfRule type="cellIs" dxfId="8712" priority="241" operator="equal">
      <formula>0</formula>
    </cfRule>
    <cfRule type="cellIs" dxfId="8711" priority="242" operator="greaterThan">
      <formula>0</formula>
    </cfRule>
    <cfRule type="cellIs" dxfId="8710" priority="243" operator="equal">
      <formula>"PMS"</formula>
    </cfRule>
    <cfRule type="containsText" dxfId="8709" priority="244" operator="containsText" text="CMS">
      <formula>NOT(ISERROR(SEARCH("CMS",R78)))</formula>
    </cfRule>
    <cfRule type="cellIs" dxfId="8708" priority="245" operator="equal">
      <formula>0</formula>
    </cfRule>
    <cfRule type="cellIs" dxfId="8707" priority="246" operator="greaterThan">
      <formula>0</formula>
    </cfRule>
  </conditionalFormatting>
  <conditionalFormatting sqref="R78:R79">
    <cfRule type="cellIs" dxfId="8706" priority="235" operator="equal">
      <formula>"PMS"</formula>
    </cfRule>
    <cfRule type="containsText" dxfId="8705" priority="236" operator="containsText" text="CMS">
      <formula>NOT(ISERROR(SEARCH("CMS",R78)))</formula>
    </cfRule>
    <cfRule type="cellIs" dxfId="8704" priority="237" operator="equal">
      <formula>0</formula>
    </cfRule>
    <cfRule type="cellIs" dxfId="8703" priority="238" operator="greaterThan">
      <formula>0</formula>
    </cfRule>
  </conditionalFormatting>
  <conditionalFormatting sqref="O15">
    <cfRule type="cellIs" dxfId="8702" priority="131" operator="equal">
      <formula>"PMS"</formula>
    </cfRule>
    <cfRule type="containsText" dxfId="8701" priority="132" operator="containsText" text="CMS">
      <formula>NOT(ISERROR(SEARCH("CMS",O15)))</formula>
    </cfRule>
    <cfRule type="cellIs" dxfId="8700" priority="133" operator="equal">
      <formula>0</formula>
    </cfRule>
    <cfRule type="cellIs" dxfId="8699" priority="134" operator="greaterThan">
      <formula>0</formula>
    </cfRule>
    <cfRule type="cellIs" dxfId="8698" priority="135" operator="equal">
      <formula>"PMS"</formula>
    </cfRule>
    <cfRule type="containsText" dxfId="8697" priority="136" operator="containsText" text="CMS">
      <formula>NOT(ISERROR(SEARCH("CMS",O15)))</formula>
    </cfRule>
    <cfRule type="cellIs" dxfId="8696" priority="137" operator="equal">
      <formula>0</formula>
    </cfRule>
    <cfRule type="cellIs" dxfId="8695" priority="138" operator="greaterThan">
      <formula>0</formula>
    </cfRule>
  </conditionalFormatting>
  <conditionalFormatting sqref="O15">
    <cfRule type="cellIs" dxfId="8694" priority="127" operator="equal">
      <formula>"PMS"</formula>
    </cfRule>
    <cfRule type="containsText" dxfId="8693" priority="128" operator="containsText" text="CMS">
      <formula>NOT(ISERROR(SEARCH("CMS",O15)))</formula>
    </cfRule>
    <cfRule type="cellIs" dxfId="8692" priority="129" operator="equal">
      <formula>0</formula>
    </cfRule>
    <cfRule type="cellIs" dxfId="8691" priority="130" operator="greaterThan">
      <formula>0</formula>
    </cfRule>
  </conditionalFormatting>
  <conditionalFormatting sqref="O16">
    <cfRule type="cellIs" dxfId="8690" priority="119" operator="equal">
      <formula>"PMS"</formula>
    </cfRule>
    <cfRule type="containsText" dxfId="8689" priority="120" operator="containsText" text="CMS">
      <formula>NOT(ISERROR(SEARCH("CMS",O16)))</formula>
    </cfRule>
    <cfRule type="cellIs" dxfId="8688" priority="121" operator="equal">
      <formula>0</formula>
    </cfRule>
    <cfRule type="cellIs" dxfId="8687" priority="122" operator="greaterThan">
      <formula>0</formula>
    </cfRule>
    <cfRule type="cellIs" dxfId="8686" priority="123" operator="equal">
      <formula>"PMS"</formula>
    </cfRule>
    <cfRule type="containsText" dxfId="8685" priority="124" operator="containsText" text="CMS">
      <formula>NOT(ISERROR(SEARCH("CMS",O16)))</formula>
    </cfRule>
    <cfRule type="cellIs" dxfId="8684" priority="125" operator="equal">
      <formula>0</formula>
    </cfRule>
    <cfRule type="cellIs" dxfId="8683" priority="126" operator="greaterThan">
      <formula>0</formula>
    </cfRule>
  </conditionalFormatting>
  <conditionalFormatting sqref="O16">
    <cfRule type="cellIs" dxfId="8682" priority="115" operator="equal">
      <formula>"PMS"</formula>
    </cfRule>
    <cfRule type="containsText" dxfId="8681" priority="116" operator="containsText" text="CMS">
      <formula>NOT(ISERROR(SEARCH("CMS",O16)))</formula>
    </cfRule>
    <cfRule type="cellIs" dxfId="8680" priority="117" operator="equal">
      <formula>0</formula>
    </cfRule>
    <cfRule type="cellIs" dxfId="8679" priority="118" operator="greaterThan">
      <formula>0</formula>
    </cfRule>
  </conditionalFormatting>
  <conditionalFormatting sqref="F13:F16 F36:F59 F62:F64">
    <cfRule type="cellIs" dxfId="8678" priority="107" operator="equal">
      <formula>"PMS"</formula>
    </cfRule>
    <cfRule type="containsText" dxfId="8677" priority="108" operator="containsText" text="CMS">
      <formula>NOT(ISERROR(SEARCH("CMS",F13)))</formula>
    </cfRule>
    <cfRule type="cellIs" dxfId="8676" priority="109" operator="equal">
      <formula>0</formula>
    </cfRule>
    <cfRule type="cellIs" dxfId="8675" priority="110" operator="greaterThan">
      <formula>0</formula>
    </cfRule>
    <cfRule type="cellIs" dxfId="8674" priority="111" operator="equal">
      <formula>"PMS"</formula>
    </cfRule>
    <cfRule type="containsText" dxfId="8673" priority="112" operator="containsText" text="CMS">
      <formula>NOT(ISERROR(SEARCH("CMS",F13)))</formula>
    </cfRule>
    <cfRule type="cellIs" dxfId="8672" priority="113" operator="equal">
      <formula>0</formula>
    </cfRule>
    <cfRule type="cellIs" dxfId="8671" priority="114" operator="greaterThan">
      <formula>0</formula>
    </cfRule>
  </conditionalFormatting>
  <conditionalFormatting sqref="F13:F16 F36:F59 F62:F64">
    <cfRule type="cellIs" dxfId="8670" priority="103" operator="equal">
      <formula>"PMS"</formula>
    </cfRule>
    <cfRule type="containsText" dxfId="8669" priority="104" operator="containsText" text="CMS">
      <formula>NOT(ISERROR(SEARCH("CMS",F13)))</formula>
    </cfRule>
    <cfRule type="cellIs" dxfId="8668" priority="105" operator="equal">
      <formula>0</formula>
    </cfRule>
    <cfRule type="cellIs" dxfId="8667" priority="106" operator="greaterThan">
      <formula>0</formula>
    </cfRule>
  </conditionalFormatting>
  <conditionalFormatting sqref="F19:F21">
    <cfRule type="cellIs" dxfId="8666" priority="95" operator="equal">
      <formula>"PMS"</formula>
    </cfRule>
    <cfRule type="containsText" dxfId="8665" priority="96" operator="containsText" text="CMS">
      <formula>NOT(ISERROR(SEARCH("CMS",F19)))</formula>
    </cfRule>
    <cfRule type="cellIs" dxfId="8664" priority="97" operator="equal">
      <formula>0</formula>
    </cfRule>
    <cfRule type="cellIs" dxfId="8663" priority="98" operator="greaterThan">
      <formula>0</formula>
    </cfRule>
    <cfRule type="cellIs" dxfId="8662" priority="99" operator="equal">
      <formula>"PMS"</formula>
    </cfRule>
    <cfRule type="containsText" dxfId="8661" priority="100" operator="containsText" text="CMS">
      <formula>NOT(ISERROR(SEARCH("CMS",F19)))</formula>
    </cfRule>
    <cfRule type="cellIs" dxfId="8660" priority="101" operator="equal">
      <formula>0</formula>
    </cfRule>
    <cfRule type="cellIs" dxfId="8659" priority="102" operator="greaterThan">
      <formula>0</formula>
    </cfRule>
  </conditionalFormatting>
  <conditionalFormatting sqref="F19:F21">
    <cfRule type="cellIs" dxfId="8658" priority="91" operator="equal">
      <formula>"PMS"</formula>
    </cfRule>
    <cfRule type="containsText" dxfId="8657" priority="92" operator="containsText" text="CMS">
      <formula>NOT(ISERROR(SEARCH("CMS",F19)))</formula>
    </cfRule>
    <cfRule type="cellIs" dxfId="8656" priority="93" operator="equal">
      <formula>0</formula>
    </cfRule>
    <cfRule type="cellIs" dxfId="8655" priority="94" operator="greaterThan">
      <formula>0</formula>
    </cfRule>
  </conditionalFormatting>
  <conditionalFormatting sqref="F24">
    <cfRule type="cellIs" dxfId="8654" priority="83" operator="equal">
      <formula>"PMS"</formula>
    </cfRule>
    <cfRule type="containsText" dxfId="8653" priority="84" operator="containsText" text="CMS">
      <formula>NOT(ISERROR(SEARCH("CMS",F24)))</formula>
    </cfRule>
    <cfRule type="cellIs" dxfId="8652" priority="85" operator="equal">
      <formula>0</formula>
    </cfRule>
    <cfRule type="cellIs" dxfId="8651" priority="86" operator="greaterThan">
      <formula>0</formula>
    </cfRule>
    <cfRule type="cellIs" dxfId="8650" priority="87" operator="equal">
      <formula>"PMS"</formula>
    </cfRule>
    <cfRule type="containsText" dxfId="8649" priority="88" operator="containsText" text="CMS">
      <formula>NOT(ISERROR(SEARCH("CMS",F24)))</formula>
    </cfRule>
    <cfRule type="cellIs" dxfId="8648" priority="89" operator="equal">
      <formula>0</formula>
    </cfRule>
    <cfRule type="cellIs" dxfId="8647" priority="90" operator="greaterThan">
      <formula>0</formula>
    </cfRule>
  </conditionalFormatting>
  <conditionalFormatting sqref="F24">
    <cfRule type="cellIs" dxfId="8646" priority="79" operator="equal">
      <formula>"PMS"</formula>
    </cfRule>
    <cfRule type="containsText" dxfId="8645" priority="80" operator="containsText" text="CMS">
      <formula>NOT(ISERROR(SEARCH("CMS",F24)))</formula>
    </cfRule>
    <cfRule type="cellIs" dxfId="8644" priority="81" operator="equal">
      <formula>0</formula>
    </cfRule>
    <cfRule type="cellIs" dxfId="8643" priority="82" operator="greaterThan">
      <formula>0</formula>
    </cfRule>
  </conditionalFormatting>
  <conditionalFormatting sqref="F27:F30">
    <cfRule type="cellIs" dxfId="8642" priority="71" operator="equal">
      <formula>"PMS"</formula>
    </cfRule>
    <cfRule type="containsText" dxfId="8641" priority="72" operator="containsText" text="CMS">
      <formula>NOT(ISERROR(SEARCH("CMS",F27)))</formula>
    </cfRule>
    <cfRule type="cellIs" dxfId="8640" priority="73" operator="equal">
      <formula>0</formula>
    </cfRule>
    <cfRule type="cellIs" dxfId="8639" priority="74" operator="greaterThan">
      <formula>0</formula>
    </cfRule>
    <cfRule type="cellIs" dxfId="8638" priority="75" operator="equal">
      <formula>"PMS"</formula>
    </cfRule>
    <cfRule type="containsText" dxfId="8637" priority="76" operator="containsText" text="CMS">
      <formula>NOT(ISERROR(SEARCH("CMS",F27)))</formula>
    </cfRule>
    <cfRule type="cellIs" dxfId="8636" priority="77" operator="equal">
      <formula>0</formula>
    </cfRule>
    <cfRule type="cellIs" dxfId="8635" priority="78" operator="greaterThan">
      <formula>0</formula>
    </cfRule>
  </conditionalFormatting>
  <conditionalFormatting sqref="F27:F30">
    <cfRule type="cellIs" dxfId="8634" priority="67" operator="equal">
      <formula>"PMS"</formula>
    </cfRule>
    <cfRule type="containsText" dxfId="8633" priority="68" operator="containsText" text="CMS">
      <formula>NOT(ISERROR(SEARCH("CMS",F27)))</formula>
    </cfRule>
    <cfRule type="cellIs" dxfId="8632" priority="69" operator="equal">
      <formula>0</formula>
    </cfRule>
    <cfRule type="cellIs" dxfId="8631" priority="70" operator="greaterThan">
      <formula>0</formula>
    </cfRule>
  </conditionalFormatting>
  <conditionalFormatting sqref="F33">
    <cfRule type="cellIs" dxfId="8630" priority="59" operator="equal">
      <formula>"PMS"</formula>
    </cfRule>
    <cfRule type="containsText" dxfId="8629" priority="60" operator="containsText" text="CMS">
      <formula>NOT(ISERROR(SEARCH("CMS",F33)))</formula>
    </cfRule>
    <cfRule type="cellIs" dxfId="8628" priority="61" operator="equal">
      <formula>0</formula>
    </cfRule>
    <cfRule type="cellIs" dxfId="8627" priority="62" operator="greaterThan">
      <formula>0</formula>
    </cfRule>
    <cfRule type="cellIs" dxfId="8626" priority="63" operator="equal">
      <formula>"PMS"</formula>
    </cfRule>
    <cfRule type="containsText" dxfId="8625" priority="64" operator="containsText" text="CMS">
      <formula>NOT(ISERROR(SEARCH("CMS",F33)))</formula>
    </cfRule>
    <cfRule type="cellIs" dxfId="8624" priority="65" operator="equal">
      <formula>0</formula>
    </cfRule>
    <cfRule type="cellIs" dxfId="8623" priority="66" operator="greaterThan">
      <formula>0</formula>
    </cfRule>
  </conditionalFormatting>
  <conditionalFormatting sqref="F33">
    <cfRule type="cellIs" dxfId="8622" priority="55" operator="equal">
      <formula>"PMS"</formula>
    </cfRule>
    <cfRule type="containsText" dxfId="8621" priority="56" operator="containsText" text="CMS">
      <formula>NOT(ISERROR(SEARCH("CMS",F33)))</formula>
    </cfRule>
    <cfRule type="cellIs" dxfId="8620" priority="57" operator="equal">
      <formula>0</formula>
    </cfRule>
    <cfRule type="cellIs" dxfId="8619" priority="58" operator="greaterThan">
      <formula>0</formula>
    </cfRule>
  </conditionalFormatting>
  <conditionalFormatting sqref="F67:F75 F78:F79">
    <cfRule type="cellIs" dxfId="8618" priority="47" operator="equal">
      <formula>"PMS"</formula>
    </cfRule>
    <cfRule type="containsText" dxfId="8617" priority="48" operator="containsText" text="CMS">
      <formula>NOT(ISERROR(SEARCH("CMS",F67)))</formula>
    </cfRule>
    <cfRule type="cellIs" dxfId="8616" priority="49" operator="equal">
      <formula>0</formula>
    </cfRule>
    <cfRule type="cellIs" dxfId="8615" priority="50" operator="greaterThan">
      <formula>0</formula>
    </cfRule>
    <cfRule type="cellIs" dxfId="8614" priority="51" operator="equal">
      <formula>"PMS"</formula>
    </cfRule>
    <cfRule type="containsText" dxfId="8613" priority="52" operator="containsText" text="CMS">
      <formula>NOT(ISERROR(SEARCH("CMS",F67)))</formula>
    </cfRule>
    <cfRule type="cellIs" dxfId="8612" priority="53" operator="equal">
      <formula>0</formula>
    </cfRule>
    <cfRule type="cellIs" dxfId="8611" priority="54" operator="greaterThan">
      <formula>0</formula>
    </cfRule>
  </conditionalFormatting>
  <conditionalFormatting sqref="F67:F75 F78:F79">
    <cfRule type="cellIs" dxfId="8610" priority="43" operator="equal">
      <formula>"PMS"</formula>
    </cfRule>
    <cfRule type="containsText" dxfId="8609" priority="44" operator="containsText" text="CMS">
      <formula>NOT(ISERROR(SEARCH("CMS",F67)))</formula>
    </cfRule>
    <cfRule type="cellIs" dxfId="8608" priority="45" operator="equal">
      <formula>0</formula>
    </cfRule>
    <cfRule type="cellIs" dxfId="8607" priority="46" operator="greaterThan">
      <formula>0</formula>
    </cfRule>
  </conditionalFormatting>
  <conditionalFormatting sqref="N15">
    <cfRule type="cellIs" dxfId="8606" priority="35" operator="equal">
      <formula>"PMS"</formula>
    </cfRule>
    <cfRule type="containsText" dxfId="8605" priority="36" operator="containsText" text="CMS">
      <formula>NOT(ISERROR(SEARCH("CMS",N15)))</formula>
    </cfRule>
    <cfRule type="cellIs" dxfId="8604" priority="37" operator="equal">
      <formula>0</formula>
    </cfRule>
    <cfRule type="cellIs" dxfId="8603" priority="38" operator="greaterThan">
      <formula>0</formula>
    </cfRule>
    <cfRule type="cellIs" dxfId="8602" priority="39" operator="equal">
      <formula>"PMS"</formula>
    </cfRule>
    <cfRule type="containsText" dxfId="8601" priority="40" operator="containsText" text="CMS">
      <formula>NOT(ISERROR(SEARCH("CMS",N15)))</formula>
    </cfRule>
    <cfRule type="cellIs" dxfId="8600" priority="41" operator="equal">
      <formula>0</formula>
    </cfRule>
    <cfRule type="cellIs" dxfId="8599" priority="42" operator="greaterThan">
      <formula>0</formula>
    </cfRule>
  </conditionalFormatting>
  <conditionalFormatting sqref="N15">
    <cfRule type="cellIs" dxfId="8598" priority="31" operator="equal">
      <formula>"PMS"</formula>
    </cfRule>
    <cfRule type="containsText" dxfId="8597" priority="32" operator="containsText" text="CMS">
      <formula>NOT(ISERROR(SEARCH("CMS",N15)))</formula>
    </cfRule>
    <cfRule type="cellIs" dxfId="8596" priority="33" operator="equal">
      <formula>0</formula>
    </cfRule>
    <cfRule type="cellIs" dxfId="8595" priority="34" operator="greaterThan">
      <formula>0</formula>
    </cfRule>
  </conditionalFormatting>
  <conditionalFormatting sqref="N16">
    <cfRule type="cellIs" dxfId="8594" priority="23" operator="equal">
      <formula>"PMS"</formula>
    </cfRule>
    <cfRule type="containsText" dxfId="8593" priority="24" operator="containsText" text="CMS">
      <formula>NOT(ISERROR(SEARCH("CMS",N16)))</formula>
    </cfRule>
    <cfRule type="cellIs" dxfId="8592" priority="25" operator="equal">
      <formula>0</formula>
    </cfRule>
    <cfRule type="cellIs" dxfId="8591" priority="26" operator="greaterThan">
      <formula>0</formula>
    </cfRule>
    <cfRule type="cellIs" dxfId="8590" priority="27" operator="equal">
      <formula>"PMS"</formula>
    </cfRule>
    <cfRule type="containsText" dxfId="8589" priority="28" operator="containsText" text="CMS">
      <formula>NOT(ISERROR(SEARCH("CMS",N16)))</formula>
    </cfRule>
    <cfRule type="cellIs" dxfId="8588" priority="29" operator="equal">
      <formula>0</formula>
    </cfRule>
    <cfRule type="cellIs" dxfId="8587" priority="30" operator="greaterThan">
      <formula>0</formula>
    </cfRule>
  </conditionalFormatting>
  <conditionalFormatting sqref="N16">
    <cfRule type="cellIs" dxfId="8586" priority="19" operator="equal">
      <formula>"PMS"</formula>
    </cfRule>
    <cfRule type="containsText" dxfId="8585" priority="20" operator="containsText" text="CMS">
      <formula>NOT(ISERROR(SEARCH("CMS",N16)))</formula>
    </cfRule>
    <cfRule type="cellIs" dxfId="8584" priority="21" operator="equal">
      <formula>0</formula>
    </cfRule>
    <cfRule type="cellIs" dxfId="8583" priority="22" operator="greaterThan">
      <formula>0</formula>
    </cfRule>
  </conditionalFormatting>
  <conditionalFormatting sqref="O21">
    <cfRule type="cellIs" dxfId="8582" priority="11" operator="equal">
      <formula>"PMS"</formula>
    </cfRule>
    <cfRule type="containsText" dxfId="8581" priority="12" operator="containsText" text="CMS">
      <formula>NOT(ISERROR(SEARCH("CMS",O21)))</formula>
    </cfRule>
    <cfRule type="cellIs" dxfId="8580" priority="13" operator="equal">
      <formula>0</formula>
    </cfRule>
    <cfRule type="cellIs" dxfId="8579" priority="14" operator="greaterThan">
      <formula>0</formula>
    </cfRule>
    <cfRule type="cellIs" dxfId="8578" priority="15" operator="equal">
      <formula>"PMS"</formula>
    </cfRule>
    <cfRule type="containsText" dxfId="8577" priority="16" operator="containsText" text="CMS">
      <formula>NOT(ISERROR(SEARCH("CMS",O21)))</formula>
    </cfRule>
    <cfRule type="cellIs" dxfId="8576" priority="17" operator="equal">
      <formula>0</formula>
    </cfRule>
    <cfRule type="cellIs" dxfId="8575" priority="18" operator="greaterThan">
      <formula>0</formula>
    </cfRule>
  </conditionalFormatting>
  <conditionalFormatting sqref="O21">
    <cfRule type="cellIs" dxfId="8574" priority="7" operator="equal">
      <formula>"PMS"</formula>
    </cfRule>
    <cfRule type="containsText" dxfId="8573" priority="8" operator="containsText" text="CMS">
      <formula>NOT(ISERROR(SEARCH("CMS",O21)))</formula>
    </cfRule>
    <cfRule type="cellIs" dxfId="8572" priority="9" operator="equal">
      <formula>0</formula>
    </cfRule>
    <cfRule type="cellIs" dxfId="8571" priority="10" operator="greaterThan">
      <formula>0</formula>
    </cfRule>
  </conditionalFormatting>
  <conditionalFormatting sqref="G112:AC112">
    <cfRule type="cellIs" dxfId="8570" priority="6" operator="greaterThan">
      <formula>60.3</formula>
    </cfRule>
  </conditionalFormatting>
  <conditionalFormatting sqref="F111 I111:N111">
    <cfRule type="cellIs" dxfId="8569" priority="4" operator="greaterThan">
      <formula>60.3</formula>
    </cfRule>
  </conditionalFormatting>
  <conditionalFormatting sqref="G111:H111">
    <cfRule type="cellIs" dxfId="8568" priority="3" operator="greaterThan">
      <formula>60.3</formula>
    </cfRule>
  </conditionalFormatting>
  <conditionalFormatting sqref="O111:AC111">
    <cfRule type="cellIs" dxfId="8567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7897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54720-A6EC-4699-9AF7-B9D448D16A8C}">
  <sheetPr codeName="Sheet161"/>
  <dimension ref="A2:DT140"/>
  <sheetViews>
    <sheetView zoomScale="70" zoomScaleNormal="70" zoomScaleSheetLayoutView="51" zoomScalePageLayoutView="55" workbookViewId="0">
      <pane xSplit="5" ySplit="11" topLeftCell="F12" activePane="bottomRight" state="frozen"/>
      <selection pane="bottomRight" activeCell="H111" sqref="H111"/>
      <selection pane="bottomLeft" activeCell="AJ44" sqref="AJ44"/>
      <selection pane="topRight" activeCell="AJ44" sqref="AJ4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4.140625" customWidth="1"/>
    <col min="31" max="31" width="4.425781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4">
      <c r="C2" s="16"/>
      <c r="D2" s="23" t="s">
        <v>1</v>
      </c>
      <c r="E2" s="22" t="s">
        <v>2</v>
      </c>
      <c r="F2" s="22"/>
    </row>
    <row r="3" spans="1:44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4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  <c r="AR4">
        <f>2.73/2</f>
        <v>1.365</v>
      </c>
    </row>
    <row r="5" spans="1:44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4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4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4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23"/>
      <c r="N8" s="523"/>
      <c r="O8" s="52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4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24" t="e" cm="1">
        <f t="array" aca="1" ref="M9" ca="1">TEXT(TODAY(),"mmmm")&amp;" "&amp;MID(CELL("filename",A1),FIND("]",CELL("filename",A1))+1,255)&amp;", "&amp;TEXT(TODAY(),"yyyy")</f>
        <v>#VALUE!</v>
      </c>
      <c r="N9" s="524"/>
      <c r="O9" s="524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4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4"/>
      <c r="R10" s="344"/>
      <c r="S10" s="344"/>
      <c r="T10" s="344"/>
      <c r="U10" s="344"/>
      <c r="V10" s="344"/>
      <c r="W10" s="344"/>
      <c r="X10" s="344"/>
      <c r="Y10" s="344"/>
      <c r="Z10" s="344"/>
      <c r="AA10" s="344"/>
      <c r="AB10" s="344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4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4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17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550.80000000000018</v>
      </c>
    </row>
    <row r="13" spans="1:44">
      <c r="A13" s="14" t="s">
        <v>22</v>
      </c>
      <c r="B13" s="15"/>
      <c r="C13" s="15">
        <v>7.2</v>
      </c>
      <c r="D13" s="15"/>
      <c r="E13" s="15"/>
      <c r="F13" s="372">
        <v>0</v>
      </c>
      <c r="G13" s="372">
        <v>0</v>
      </c>
      <c r="H13" s="372">
        <v>0</v>
      </c>
      <c r="I13" s="372">
        <v>0</v>
      </c>
      <c r="J13" s="372">
        <v>0</v>
      </c>
      <c r="K13" s="372">
        <v>3.6</v>
      </c>
      <c r="L13" s="374">
        <v>6.7</v>
      </c>
      <c r="M13" s="372">
        <v>6.7</v>
      </c>
      <c r="N13" s="372">
        <v>6.6</v>
      </c>
      <c r="O13" s="372">
        <v>6.8</v>
      </c>
      <c r="P13" s="372">
        <v>6.6</v>
      </c>
      <c r="Q13" s="372">
        <v>6.4</v>
      </c>
      <c r="R13" s="372">
        <v>6.4</v>
      </c>
      <c r="S13" s="372">
        <v>6.6</v>
      </c>
      <c r="T13" s="372">
        <v>6.8</v>
      </c>
      <c r="U13" s="372">
        <v>6.4</v>
      </c>
      <c r="V13" s="372">
        <v>6.7</v>
      </c>
      <c r="W13" s="372">
        <v>6.4</v>
      </c>
      <c r="X13" s="372">
        <v>6.7</v>
      </c>
      <c r="Y13" s="372">
        <v>6.8</v>
      </c>
      <c r="Z13" s="372">
        <v>6.7</v>
      </c>
      <c r="AA13" s="372">
        <v>6.7</v>
      </c>
      <c r="AB13" s="372">
        <v>6.6</v>
      </c>
      <c r="AC13" s="372">
        <v>6.2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4">
      <c r="A14" s="14" t="s">
        <v>23</v>
      </c>
      <c r="B14" s="15"/>
      <c r="C14" s="15">
        <v>7.2</v>
      </c>
      <c r="D14" s="15"/>
      <c r="E14" s="15"/>
      <c r="F14" s="372">
        <v>6.7</v>
      </c>
      <c r="G14" s="372">
        <v>6.6</v>
      </c>
      <c r="H14" s="374">
        <v>6.6</v>
      </c>
      <c r="I14" s="372">
        <v>6.5</v>
      </c>
      <c r="J14" s="372">
        <v>6.5</v>
      </c>
      <c r="K14" s="372">
        <v>3.6</v>
      </c>
      <c r="L14" s="372"/>
      <c r="M14" s="372"/>
      <c r="N14" s="372"/>
      <c r="O14" s="372"/>
      <c r="P14" s="372">
        <v>1.5</v>
      </c>
      <c r="Q14" s="372">
        <v>6.4</v>
      </c>
      <c r="R14" s="372">
        <v>6.4</v>
      </c>
      <c r="S14" s="372">
        <v>6.6</v>
      </c>
      <c r="T14" s="372">
        <v>6.8</v>
      </c>
      <c r="U14" s="372">
        <v>6.4</v>
      </c>
      <c r="V14" s="372">
        <v>6.7</v>
      </c>
      <c r="W14" s="372">
        <v>6.4</v>
      </c>
      <c r="X14" s="372">
        <v>6.7</v>
      </c>
      <c r="Y14" s="372">
        <v>6.8</v>
      </c>
      <c r="Z14" s="372">
        <v>6.7</v>
      </c>
      <c r="AA14" s="372">
        <v>6.7</v>
      </c>
      <c r="AB14" s="372">
        <v>6.6</v>
      </c>
      <c r="AC14" s="372">
        <v>6.6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20</v>
      </c>
    </row>
    <row r="15" spans="1:44">
      <c r="A15" s="66" t="s">
        <v>24</v>
      </c>
      <c r="B15" s="15"/>
      <c r="C15" s="15">
        <v>7.2</v>
      </c>
      <c r="D15" s="15"/>
      <c r="E15" s="15"/>
      <c r="F15" s="372">
        <v>6.7</v>
      </c>
      <c r="G15" s="372">
        <v>6.6</v>
      </c>
      <c r="H15" s="374">
        <v>6.6</v>
      </c>
      <c r="I15" s="372">
        <v>6.6</v>
      </c>
      <c r="J15" s="372">
        <v>6.5</v>
      </c>
      <c r="K15" s="374">
        <v>6.3</v>
      </c>
      <c r="L15" s="374">
        <v>6.7</v>
      </c>
      <c r="M15" s="374">
        <v>6.7</v>
      </c>
      <c r="N15" s="372">
        <v>6.6</v>
      </c>
      <c r="O15" s="372">
        <v>6.8</v>
      </c>
      <c r="P15" s="372">
        <v>6.6</v>
      </c>
      <c r="Q15" s="372">
        <v>6.4</v>
      </c>
      <c r="R15" s="372">
        <v>6.4</v>
      </c>
      <c r="S15" s="372">
        <v>6.6</v>
      </c>
      <c r="T15" s="372">
        <v>6.8</v>
      </c>
      <c r="U15" s="372">
        <v>6.4</v>
      </c>
      <c r="V15" s="372">
        <v>6.7</v>
      </c>
      <c r="W15" s="372">
        <v>6.4</v>
      </c>
      <c r="X15" s="372">
        <v>6.7</v>
      </c>
      <c r="Y15" s="372">
        <v>6.8</v>
      </c>
      <c r="Z15" s="372">
        <v>6.7</v>
      </c>
      <c r="AA15" s="372">
        <v>6.7</v>
      </c>
      <c r="AB15" s="372">
        <v>6.6</v>
      </c>
      <c r="AC15" s="372">
        <v>5.8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4">
      <c r="A16" s="14" t="s">
        <v>25</v>
      </c>
      <c r="B16" s="15"/>
      <c r="C16" s="15">
        <v>7.2</v>
      </c>
      <c r="D16" s="15"/>
      <c r="E16" s="15"/>
      <c r="F16" s="372">
        <v>6.7</v>
      </c>
      <c r="G16" s="372">
        <v>6.6</v>
      </c>
      <c r="H16" s="374">
        <v>6.6</v>
      </c>
      <c r="I16" s="372">
        <v>6.6</v>
      </c>
      <c r="J16" s="372">
        <v>6.5</v>
      </c>
      <c r="K16" s="374">
        <v>6.3</v>
      </c>
      <c r="L16" s="374">
        <v>6.7</v>
      </c>
      <c r="M16" s="374">
        <v>6.8</v>
      </c>
      <c r="N16" s="372">
        <v>6.6</v>
      </c>
      <c r="O16" s="372">
        <v>6.8</v>
      </c>
      <c r="P16" s="372">
        <v>6.6</v>
      </c>
      <c r="Q16" s="372">
        <v>6.4</v>
      </c>
      <c r="R16" s="372">
        <v>6.4</v>
      </c>
      <c r="S16" s="372">
        <v>6.6</v>
      </c>
      <c r="T16" s="372">
        <v>6.8</v>
      </c>
      <c r="U16" s="372">
        <v>6.4</v>
      </c>
      <c r="V16" s="372">
        <v>6.7</v>
      </c>
      <c r="W16" s="372">
        <v>6.4</v>
      </c>
      <c r="X16" s="372">
        <v>6.7</v>
      </c>
      <c r="Y16" s="372">
        <v>6.8</v>
      </c>
      <c r="Z16" s="372">
        <v>6.7</v>
      </c>
      <c r="AA16" s="372">
        <v>6.7</v>
      </c>
      <c r="AB16" s="372"/>
      <c r="AC16" s="372">
        <v>1.5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23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20.100000000000001</v>
      </c>
      <c r="G17" s="19">
        <f t="shared" si="0"/>
        <v>19.799999999999997</v>
      </c>
      <c r="H17" s="19">
        <f t="shared" si="0"/>
        <v>19.799999999999997</v>
      </c>
      <c r="I17" s="19">
        <f t="shared" si="0"/>
        <v>19.7</v>
      </c>
      <c r="J17" s="19">
        <f t="shared" si="0"/>
        <v>19.5</v>
      </c>
      <c r="K17" s="19">
        <f t="shared" si="0"/>
        <v>19.8</v>
      </c>
      <c r="L17" s="19">
        <f t="shared" si="0"/>
        <v>20.100000000000001</v>
      </c>
      <c r="M17" s="19">
        <f t="shared" si="0"/>
        <v>20.2</v>
      </c>
      <c r="N17" s="19">
        <f t="shared" si="0"/>
        <v>19.799999999999997</v>
      </c>
      <c r="O17" s="19">
        <f t="shared" si="0"/>
        <v>20.399999999999999</v>
      </c>
      <c r="P17" s="19">
        <f t="shared" si="0"/>
        <v>21.299999999999997</v>
      </c>
      <c r="Q17" s="19">
        <f t="shared" si="0"/>
        <v>25.6</v>
      </c>
      <c r="R17" s="19">
        <f t="shared" si="0"/>
        <v>25.6</v>
      </c>
      <c r="S17" s="19">
        <f t="shared" si="0"/>
        <v>26.4</v>
      </c>
      <c r="T17" s="19">
        <f t="shared" si="0"/>
        <v>27.2</v>
      </c>
      <c r="U17" s="19">
        <f t="shared" si="0"/>
        <v>25.6</v>
      </c>
      <c r="V17" s="19">
        <f t="shared" si="0"/>
        <v>26.8</v>
      </c>
      <c r="W17" s="19">
        <f t="shared" si="0"/>
        <v>25.6</v>
      </c>
      <c r="X17" s="19">
        <f t="shared" si="0"/>
        <v>26.8</v>
      </c>
      <c r="Y17" s="19">
        <f t="shared" si="0"/>
        <v>27.2</v>
      </c>
      <c r="Z17" s="19">
        <f t="shared" si="0"/>
        <v>26.8</v>
      </c>
      <c r="AA17" s="19">
        <f t="shared" si="0"/>
        <v>26.8</v>
      </c>
      <c r="AB17" s="19">
        <f t="shared" si="0"/>
        <v>19.799999999999997</v>
      </c>
      <c r="AC17" s="19">
        <f t="shared" si="0"/>
        <v>20.100000000000001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97.699999999999974</v>
      </c>
    </row>
    <row r="19" spans="1:51">
      <c r="A19" s="14" t="s">
        <v>22</v>
      </c>
      <c r="B19" s="15"/>
      <c r="C19" s="15">
        <v>3</v>
      </c>
      <c r="D19" s="15"/>
      <c r="E19" s="15"/>
      <c r="F19" s="372"/>
      <c r="G19" s="372"/>
      <c r="H19" s="372"/>
      <c r="I19" s="372"/>
      <c r="J19" s="372"/>
      <c r="K19" s="374"/>
      <c r="L19" s="374"/>
      <c r="M19" s="374"/>
      <c r="N19" s="374"/>
      <c r="O19" s="372">
        <v>1.6</v>
      </c>
      <c r="P19" s="374">
        <v>2.8</v>
      </c>
      <c r="Q19" s="372">
        <v>2.8</v>
      </c>
      <c r="R19" s="372">
        <v>2.1</v>
      </c>
      <c r="S19" s="372">
        <v>2.1</v>
      </c>
      <c r="T19" s="372">
        <v>2.8</v>
      </c>
      <c r="U19" s="372">
        <v>2.8</v>
      </c>
      <c r="V19" s="372">
        <v>2.8</v>
      </c>
      <c r="W19" s="372">
        <v>2.1</v>
      </c>
      <c r="X19" s="372">
        <v>2.8</v>
      </c>
      <c r="Y19" s="372">
        <v>2.8</v>
      </c>
      <c r="Z19" s="372">
        <v>2.8</v>
      </c>
      <c r="AA19" s="372">
        <v>2.8</v>
      </c>
      <c r="AB19" s="372">
        <v>2.8</v>
      </c>
      <c r="AC19" s="372">
        <v>2</v>
      </c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15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372"/>
      <c r="G20" s="372"/>
      <c r="H20" s="372"/>
      <c r="I20" s="372"/>
      <c r="J20" s="372"/>
      <c r="K20" s="374"/>
      <c r="L20" s="374"/>
      <c r="M20" s="374"/>
      <c r="N20" s="372"/>
      <c r="O20" s="372"/>
      <c r="P20" s="372"/>
      <c r="Q20" s="372"/>
      <c r="R20" s="372"/>
      <c r="S20" s="372"/>
      <c r="T20" s="372"/>
      <c r="U20" s="372"/>
      <c r="V20" s="372"/>
      <c r="W20" s="372"/>
      <c r="X20" s="372"/>
      <c r="Y20" s="372"/>
      <c r="Z20" s="372"/>
      <c r="AA20" s="372"/>
      <c r="AB20" s="372"/>
      <c r="AC20" s="372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2">
        <v>3</v>
      </c>
      <c r="G21" s="372">
        <v>3</v>
      </c>
      <c r="H21" s="372">
        <v>0</v>
      </c>
      <c r="I21" s="372">
        <v>0</v>
      </c>
      <c r="J21" s="372">
        <v>0</v>
      </c>
      <c r="K21" s="374">
        <v>0</v>
      </c>
      <c r="L21" s="374">
        <v>0</v>
      </c>
      <c r="M21" s="374">
        <v>0</v>
      </c>
      <c r="N21" s="372">
        <v>1.4</v>
      </c>
      <c r="O21" s="372">
        <v>3.8</v>
      </c>
      <c r="P21" s="372">
        <v>3.8</v>
      </c>
      <c r="Q21" s="372">
        <v>3.2</v>
      </c>
      <c r="R21" s="372">
        <v>3</v>
      </c>
      <c r="S21" s="372">
        <v>3</v>
      </c>
      <c r="T21" s="372">
        <v>3.8</v>
      </c>
      <c r="U21" s="372">
        <v>3.8</v>
      </c>
      <c r="V21" s="372">
        <v>3.8</v>
      </c>
      <c r="W21" s="372">
        <v>3</v>
      </c>
      <c r="X21" s="372">
        <v>3.8</v>
      </c>
      <c r="Y21" s="372">
        <v>3.8</v>
      </c>
      <c r="Z21" s="372">
        <v>3.8</v>
      </c>
      <c r="AA21" s="372">
        <v>3</v>
      </c>
      <c r="AB21" s="372">
        <v>3.8</v>
      </c>
      <c r="AC21" s="372">
        <v>3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3</v>
      </c>
      <c r="G22" s="19">
        <f t="shared" si="1"/>
        <v>3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1.4</v>
      </c>
      <c r="O22" s="19">
        <f t="shared" si="1"/>
        <v>5.4</v>
      </c>
      <c r="P22" s="19">
        <f t="shared" si="1"/>
        <v>6.6</v>
      </c>
      <c r="Q22" s="19">
        <f t="shared" si="1"/>
        <v>6</v>
      </c>
      <c r="R22" s="19">
        <f t="shared" si="1"/>
        <v>5.0999999999999996</v>
      </c>
      <c r="S22" s="19">
        <f>SUM(S19:S21)</f>
        <v>5.0999999999999996</v>
      </c>
      <c r="T22" s="19">
        <f t="shared" ref="T22" si="2">SUM(T19:T21)</f>
        <v>6.6</v>
      </c>
      <c r="U22" s="19">
        <f t="shared" si="1"/>
        <v>6.6</v>
      </c>
      <c r="V22" s="19">
        <f t="shared" si="1"/>
        <v>6.6</v>
      </c>
      <c r="W22" s="19">
        <f t="shared" si="1"/>
        <v>5.0999999999999996</v>
      </c>
      <c r="X22" s="19">
        <f t="shared" si="1"/>
        <v>6.6</v>
      </c>
      <c r="Y22" s="19">
        <f t="shared" si="1"/>
        <v>6.6</v>
      </c>
      <c r="Z22" s="19">
        <f t="shared" si="1"/>
        <v>6.6</v>
      </c>
      <c r="AA22" s="19">
        <f t="shared" si="1"/>
        <v>5.8</v>
      </c>
      <c r="AB22" s="19">
        <f>SUM(AB19:AB21)</f>
        <v>6.6</v>
      </c>
      <c r="AC22" s="19">
        <f t="shared" si="1"/>
        <v>5</v>
      </c>
      <c r="AD22" s="41"/>
      <c r="AE22" s="41"/>
      <c r="AF22" s="11"/>
      <c r="AG22" s="11"/>
      <c r="AH22" s="11"/>
      <c r="AI22" s="400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409">
        <f>SUM(F24:AC24)</f>
        <v>53.79999999999999</v>
      </c>
    </row>
    <row r="24" spans="1:51">
      <c r="A24" s="14" t="s">
        <v>22</v>
      </c>
      <c r="B24" s="20"/>
      <c r="C24" s="15">
        <v>4.5</v>
      </c>
      <c r="D24" s="15"/>
      <c r="E24" s="15"/>
      <c r="F24" s="372">
        <v>3</v>
      </c>
      <c r="G24" s="372">
        <v>0</v>
      </c>
      <c r="H24" s="372">
        <v>0</v>
      </c>
      <c r="I24" s="372">
        <v>0</v>
      </c>
      <c r="J24" s="372">
        <v>0</v>
      </c>
      <c r="K24" s="374">
        <v>0</v>
      </c>
      <c r="L24" s="374">
        <v>0</v>
      </c>
      <c r="M24" s="374">
        <v>0</v>
      </c>
      <c r="N24" s="372">
        <v>0</v>
      </c>
      <c r="O24" s="372">
        <v>0</v>
      </c>
      <c r="P24" s="372">
        <v>3.8</v>
      </c>
      <c r="Q24" s="374">
        <v>3.8</v>
      </c>
      <c r="R24" s="372">
        <v>3.8</v>
      </c>
      <c r="S24" s="372">
        <v>3</v>
      </c>
      <c r="T24" s="372">
        <v>3.8</v>
      </c>
      <c r="U24" s="372">
        <v>3.8</v>
      </c>
      <c r="V24" s="372">
        <v>3.8</v>
      </c>
      <c r="W24" s="372">
        <v>3</v>
      </c>
      <c r="X24" s="372">
        <v>3.8</v>
      </c>
      <c r="Y24" s="372">
        <v>3.8</v>
      </c>
      <c r="Z24" s="372">
        <v>3.8</v>
      </c>
      <c r="AA24" s="372">
        <v>3.8</v>
      </c>
      <c r="AB24" s="372">
        <v>3.8</v>
      </c>
      <c r="AC24" s="372">
        <v>3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3">SUM(F24)</f>
        <v>3</v>
      </c>
      <c r="G25" s="19">
        <f t="shared" ref="G25:AC25" si="4">SUM(G24)</f>
        <v>0</v>
      </c>
      <c r="H25" s="19">
        <f t="shared" si="4"/>
        <v>0</v>
      </c>
      <c r="I25" s="19">
        <f t="shared" si="4"/>
        <v>0</v>
      </c>
      <c r="J25" s="19">
        <f t="shared" si="4"/>
        <v>0</v>
      </c>
      <c r="K25" s="19">
        <f t="shared" si="4"/>
        <v>0</v>
      </c>
      <c r="L25" s="19">
        <f t="shared" si="4"/>
        <v>0</v>
      </c>
      <c r="M25" s="19">
        <f t="shared" si="4"/>
        <v>0</v>
      </c>
      <c r="N25" s="19">
        <f t="shared" si="4"/>
        <v>0</v>
      </c>
      <c r="O25" s="19">
        <f t="shared" si="4"/>
        <v>0</v>
      </c>
      <c r="P25" s="19">
        <f t="shared" si="4"/>
        <v>3.8</v>
      </c>
      <c r="Q25" s="19">
        <f t="shared" si="4"/>
        <v>3.8</v>
      </c>
      <c r="R25" s="19">
        <f t="shared" si="4"/>
        <v>3.8</v>
      </c>
      <c r="S25" s="19">
        <f t="shared" si="4"/>
        <v>3</v>
      </c>
      <c r="T25" s="19">
        <f t="shared" si="4"/>
        <v>3.8</v>
      </c>
      <c r="U25" s="19">
        <f t="shared" si="4"/>
        <v>3.8</v>
      </c>
      <c r="V25" s="19">
        <f t="shared" si="4"/>
        <v>3.8</v>
      </c>
      <c r="W25" s="19">
        <f t="shared" si="4"/>
        <v>3</v>
      </c>
      <c r="X25" s="19">
        <f t="shared" si="4"/>
        <v>3.8</v>
      </c>
      <c r="Y25" s="19">
        <f t="shared" si="4"/>
        <v>3.8</v>
      </c>
      <c r="Z25" s="19">
        <f t="shared" si="4"/>
        <v>3.8</v>
      </c>
      <c r="AA25" s="19">
        <f t="shared" si="4"/>
        <v>3.8</v>
      </c>
      <c r="AB25" s="19">
        <f t="shared" si="4"/>
        <v>3.8</v>
      </c>
      <c r="AC25" s="19">
        <f t="shared" si="4"/>
        <v>3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89.8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2" t="s">
        <v>9</v>
      </c>
      <c r="G27" s="372" t="s">
        <v>9</v>
      </c>
      <c r="H27" s="372" t="s">
        <v>9</v>
      </c>
      <c r="I27" s="372" t="s">
        <v>9</v>
      </c>
      <c r="J27" s="374" t="s">
        <v>9</v>
      </c>
      <c r="K27" s="374" t="s">
        <v>9</v>
      </c>
      <c r="L27" s="374" t="s">
        <v>9</v>
      </c>
      <c r="M27" s="374" t="s">
        <v>9</v>
      </c>
      <c r="N27" s="372" t="s">
        <v>9</v>
      </c>
      <c r="O27" s="372" t="s">
        <v>9</v>
      </c>
      <c r="P27" s="372" t="s">
        <v>9</v>
      </c>
      <c r="Q27" s="372" t="s">
        <v>9</v>
      </c>
      <c r="R27" s="372" t="s">
        <v>9</v>
      </c>
      <c r="S27" s="372" t="s">
        <v>9</v>
      </c>
      <c r="T27" s="372" t="s">
        <v>9</v>
      </c>
      <c r="U27" s="374" t="s">
        <v>9</v>
      </c>
      <c r="V27" s="372" t="s">
        <v>9</v>
      </c>
      <c r="W27" s="372" t="s">
        <v>9</v>
      </c>
      <c r="X27" s="372" t="s">
        <v>9</v>
      </c>
      <c r="Y27" s="372" t="s">
        <v>9</v>
      </c>
      <c r="Z27" s="372" t="s">
        <v>9</v>
      </c>
      <c r="AA27" s="372" t="s">
        <v>9</v>
      </c>
      <c r="AB27" s="372" t="s">
        <v>9</v>
      </c>
      <c r="AC27" s="372" t="s">
        <v>9</v>
      </c>
      <c r="AD27" s="41"/>
      <c r="AE27" s="41"/>
      <c r="AF27" s="11">
        <f>COUNTIF(F27:AC27,$AJ$8)</f>
        <v>24</v>
      </c>
      <c r="AG27" s="11">
        <f>COUNTIF(G27:AD27,$AJ$7)</f>
        <v>0</v>
      </c>
      <c r="AH27" s="11">
        <f>COUNT(F27:AC27)</f>
        <v>0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2">
        <v>3</v>
      </c>
      <c r="G28" s="372">
        <v>3</v>
      </c>
      <c r="H28" s="372">
        <v>4.2</v>
      </c>
      <c r="I28" s="372">
        <v>4</v>
      </c>
      <c r="J28" s="372">
        <v>3.5</v>
      </c>
      <c r="K28" s="374">
        <v>3.5</v>
      </c>
      <c r="L28" s="374">
        <v>4.2</v>
      </c>
      <c r="M28" s="374">
        <v>3</v>
      </c>
      <c r="N28" s="372">
        <v>4</v>
      </c>
      <c r="O28" s="372">
        <v>4.3</v>
      </c>
      <c r="P28" s="372">
        <v>3.8</v>
      </c>
      <c r="Q28" s="372">
        <v>4</v>
      </c>
      <c r="R28" s="372">
        <v>3.8</v>
      </c>
      <c r="S28" s="372">
        <v>4.2</v>
      </c>
      <c r="T28" s="372">
        <v>4.2</v>
      </c>
      <c r="U28" s="374">
        <v>4.0999999999999996</v>
      </c>
      <c r="V28" s="372">
        <v>4.0999999999999996</v>
      </c>
      <c r="W28" s="372">
        <v>2.5</v>
      </c>
      <c r="X28" s="372">
        <v>3.4</v>
      </c>
      <c r="Y28" s="372">
        <v>4.3</v>
      </c>
      <c r="Z28" s="372">
        <v>4.2</v>
      </c>
      <c r="AA28" s="372">
        <v>3.5</v>
      </c>
      <c r="AB28" s="372">
        <v>4</v>
      </c>
      <c r="AC28" s="372">
        <v>3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0.3</v>
      </c>
    </row>
    <row r="29" spans="1:51" ht="15" customHeight="1">
      <c r="A29" s="14" t="s">
        <v>30</v>
      </c>
      <c r="B29" s="369"/>
      <c r="C29" s="370">
        <v>8.8000000000000007</v>
      </c>
      <c r="D29" s="371"/>
      <c r="E29" s="371"/>
      <c r="F29" s="372" t="s">
        <v>9</v>
      </c>
      <c r="G29" s="372" t="s">
        <v>9</v>
      </c>
      <c r="H29" s="372" t="s">
        <v>9</v>
      </c>
      <c r="I29" s="372" t="s">
        <v>9</v>
      </c>
      <c r="J29" s="372" t="s">
        <v>9</v>
      </c>
      <c r="K29" s="374" t="s">
        <v>9</v>
      </c>
      <c r="L29" s="374" t="s">
        <v>9</v>
      </c>
      <c r="M29" s="374" t="s">
        <v>9</v>
      </c>
      <c r="N29" s="374" t="s">
        <v>9</v>
      </c>
      <c r="O29" s="374" t="s">
        <v>9</v>
      </c>
      <c r="P29" s="374" t="s">
        <v>9</v>
      </c>
      <c r="Q29" s="374" t="s">
        <v>9</v>
      </c>
      <c r="R29" s="374" t="s">
        <v>9</v>
      </c>
      <c r="S29" s="374" t="s">
        <v>9</v>
      </c>
      <c r="T29" s="374" t="s">
        <v>9</v>
      </c>
      <c r="U29" s="374" t="s">
        <v>9</v>
      </c>
      <c r="V29" s="374"/>
      <c r="W29" s="374"/>
      <c r="X29" s="372"/>
      <c r="Y29" s="372"/>
      <c r="Z29" s="374"/>
      <c r="AA29" s="372"/>
      <c r="AB29" s="372"/>
      <c r="AC29" s="372"/>
    </row>
    <row r="30" spans="1:51" ht="15" customHeight="1">
      <c r="A30" s="14" t="s">
        <v>31</v>
      </c>
      <c r="B30" s="369"/>
      <c r="C30" s="370">
        <v>8.8000000000000007</v>
      </c>
      <c r="D30" s="371"/>
      <c r="E30" s="371"/>
      <c r="F30" s="372"/>
      <c r="G30" s="372"/>
      <c r="H30" s="372"/>
      <c r="I30" s="372"/>
      <c r="J30" s="372"/>
      <c r="K30" s="374"/>
      <c r="L30" s="374"/>
      <c r="M30" s="374"/>
      <c r="N30" s="372"/>
      <c r="O30" s="372"/>
      <c r="P30" s="372"/>
      <c r="Q30" s="372"/>
      <c r="R30" s="372"/>
      <c r="S30" s="372"/>
      <c r="T30" s="372"/>
      <c r="U30" s="372"/>
      <c r="V30" s="372"/>
      <c r="W30" s="372"/>
      <c r="X30" s="372"/>
      <c r="Y30" s="372"/>
      <c r="Z30" s="372"/>
      <c r="AA30" s="372"/>
      <c r="AB30" s="372">
        <v>0.3</v>
      </c>
      <c r="AC30" s="372">
        <v>0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:AC31" si="5">SUM(F27:F29)</f>
        <v>3</v>
      </c>
      <c r="G31" s="19">
        <f t="shared" si="5"/>
        <v>3</v>
      </c>
      <c r="H31" s="19">
        <f t="shared" si="5"/>
        <v>4.2</v>
      </c>
      <c r="I31" s="19">
        <f t="shared" si="5"/>
        <v>4</v>
      </c>
      <c r="J31" s="19">
        <f t="shared" si="5"/>
        <v>3.5</v>
      </c>
      <c r="K31" s="19">
        <f t="shared" si="5"/>
        <v>3.5</v>
      </c>
      <c r="L31" s="19">
        <f t="shared" si="5"/>
        <v>4.2</v>
      </c>
      <c r="M31" s="19">
        <f t="shared" si="5"/>
        <v>3</v>
      </c>
      <c r="N31" s="19">
        <f t="shared" si="5"/>
        <v>4</v>
      </c>
      <c r="O31" s="19">
        <f t="shared" si="5"/>
        <v>4.3</v>
      </c>
      <c r="P31" s="19">
        <f t="shared" si="5"/>
        <v>3.8</v>
      </c>
      <c r="Q31" s="19">
        <f t="shared" si="5"/>
        <v>4</v>
      </c>
      <c r="R31" s="19">
        <f t="shared" si="5"/>
        <v>3.8</v>
      </c>
      <c r="S31" s="19">
        <f t="shared" si="5"/>
        <v>4.2</v>
      </c>
      <c r="T31" s="19">
        <f>SUM(T27:T29)</f>
        <v>4.2</v>
      </c>
      <c r="U31" s="19">
        <f t="shared" si="5"/>
        <v>4.0999999999999996</v>
      </c>
      <c r="V31" s="19">
        <f t="shared" si="5"/>
        <v>4.0999999999999996</v>
      </c>
      <c r="W31" s="19">
        <f t="shared" si="5"/>
        <v>2.5</v>
      </c>
      <c r="X31" s="19">
        <f t="shared" si="5"/>
        <v>3.4</v>
      </c>
      <c r="Y31" s="19">
        <f t="shared" si="5"/>
        <v>4.3</v>
      </c>
      <c r="Z31" s="19">
        <f t="shared" si="5"/>
        <v>4.2</v>
      </c>
      <c r="AA31" s="19">
        <f t="shared" si="5"/>
        <v>3.5</v>
      </c>
      <c r="AB31" s="19">
        <f t="shared" si="5"/>
        <v>4</v>
      </c>
      <c r="AC31" s="19">
        <f t="shared" si="5"/>
        <v>3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334.34000000000003</v>
      </c>
    </row>
    <row r="33" spans="1:36">
      <c r="A33" s="14" t="s">
        <v>22</v>
      </c>
      <c r="B33" s="15"/>
      <c r="C33" s="15">
        <v>15</v>
      </c>
      <c r="D33" s="15"/>
      <c r="E33" s="15"/>
      <c r="F33" s="372">
        <v>12.81</v>
      </c>
      <c r="G33" s="372">
        <v>14.33</v>
      </c>
      <c r="H33" s="374">
        <v>14.32</v>
      </c>
      <c r="I33" s="372">
        <v>13.3</v>
      </c>
      <c r="J33" s="372">
        <v>12.83</v>
      </c>
      <c r="K33" s="374">
        <v>13.29</v>
      </c>
      <c r="L33" s="374">
        <v>14.31</v>
      </c>
      <c r="M33" s="374">
        <v>14.28</v>
      </c>
      <c r="N33" s="372">
        <v>14.31</v>
      </c>
      <c r="O33" s="372">
        <v>14.15</v>
      </c>
      <c r="P33" s="372">
        <v>14.16</v>
      </c>
      <c r="Q33" s="372">
        <v>14.21</v>
      </c>
      <c r="R33" s="372">
        <v>14.27</v>
      </c>
      <c r="S33" s="372">
        <v>14.21</v>
      </c>
      <c r="T33" s="372">
        <v>14.23</v>
      </c>
      <c r="U33" s="372">
        <v>14.27</v>
      </c>
      <c r="V33" s="372">
        <v>14.25</v>
      </c>
      <c r="W33" s="374">
        <v>12.81</v>
      </c>
      <c r="X33" s="372">
        <v>13.52</v>
      </c>
      <c r="Y33" s="372">
        <v>14.27</v>
      </c>
      <c r="Z33" s="372">
        <v>14.29</v>
      </c>
      <c r="AA33" s="372">
        <v>13.31</v>
      </c>
      <c r="AB33" s="372">
        <v>14.32</v>
      </c>
      <c r="AC33" s="372">
        <v>14.29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6">SUM(F33)</f>
        <v>12.81</v>
      </c>
      <c r="G34" s="19">
        <f t="shared" ref="G34:AC34" si="7">SUM(G33)</f>
        <v>14.33</v>
      </c>
      <c r="H34" s="19">
        <f t="shared" si="7"/>
        <v>14.32</v>
      </c>
      <c r="I34" s="19">
        <f t="shared" si="7"/>
        <v>13.3</v>
      </c>
      <c r="J34" s="19">
        <f t="shared" si="7"/>
        <v>12.83</v>
      </c>
      <c r="K34" s="19">
        <f t="shared" si="7"/>
        <v>13.29</v>
      </c>
      <c r="L34" s="19">
        <f t="shared" si="7"/>
        <v>14.31</v>
      </c>
      <c r="M34" s="19">
        <f t="shared" si="7"/>
        <v>14.28</v>
      </c>
      <c r="N34" s="19">
        <f t="shared" si="7"/>
        <v>14.31</v>
      </c>
      <c r="O34" s="19">
        <f t="shared" si="7"/>
        <v>14.15</v>
      </c>
      <c r="P34" s="19">
        <f t="shared" si="7"/>
        <v>14.16</v>
      </c>
      <c r="Q34" s="19">
        <f t="shared" si="7"/>
        <v>14.21</v>
      </c>
      <c r="R34" s="19">
        <f t="shared" si="7"/>
        <v>14.27</v>
      </c>
      <c r="S34" s="19">
        <f t="shared" si="7"/>
        <v>14.21</v>
      </c>
      <c r="T34" s="19">
        <f t="shared" si="7"/>
        <v>14.23</v>
      </c>
      <c r="U34" s="19">
        <f t="shared" si="7"/>
        <v>14.27</v>
      </c>
      <c r="V34" s="19">
        <f t="shared" si="7"/>
        <v>14.25</v>
      </c>
      <c r="W34" s="19">
        <f t="shared" si="7"/>
        <v>12.81</v>
      </c>
      <c r="X34" s="19">
        <f t="shared" si="7"/>
        <v>13.52</v>
      </c>
      <c r="Y34" s="19">
        <f t="shared" si="7"/>
        <v>14.27</v>
      </c>
      <c r="Z34" s="19">
        <f t="shared" si="7"/>
        <v>14.29</v>
      </c>
      <c r="AA34" s="19">
        <f t="shared" si="7"/>
        <v>13.31</v>
      </c>
      <c r="AB34" s="19">
        <f t="shared" si="7"/>
        <v>14.32</v>
      </c>
      <c r="AC34" s="19">
        <f t="shared" si="7"/>
        <v>14.29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54"/>
      <c r="G35" s="455"/>
      <c r="H35" s="455"/>
      <c r="I35" s="455"/>
      <c r="J35" s="455"/>
      <c r="K35" s="455"/>
      <c r="L35" s="455"/>
      <c r="M35" s="455"/>
      <c r="N35" s="455"/>
      <c r="O35" s="455"/>
      <c r="P35" s="455"/>
      <c r="Q35" s="455"/>
      <c r="R35" s="455"/>
      <c r="S35" s="455"/>
      <c r="T35" s="455"/>
      <c r="U35" s="455"/>
      <c r="V35" s="455"/>
      <c r="W35" s="456"/>
      <c r="X35" s="455"/>
      <c r="Y35" s="455"/>
      <c r="Z35" s="455"/>
      <c r="AA35" s="455"/>
      <c r="AB35" s="455"/>
      <c r="AC35" s="455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35</v>
      </c>
    </row>
    <row r="36" spans="1:36">
      <c r="A36" s="70" t="s">
        <v>36</v>
      </c>
      <c r="B36" s="15"/>
      <c r="C36" s="15"/>
      <c r="D36" s="15"/>
      <c r="E36" s="15"/>
      <c r="F36" s="372"/>
      <c r="G36" s="372"/>
      <c r="H36" s="372"/>
      <c r="I36" s="372"/>
      <c r="J36" s="372"/>
      <c r="K36" s="374"/>
      <c r="L36" s="374"/>
      <c r="M36" s="374"/>
      <c r="N36" s="372"/>
      <c r="O36" s="372"/>
      <c r="P36" s="372"/>
      <c r="Q36" s="372"/>
      <c r="R36" s="372"/>
      <c r="S36" s="372"/>
      <c r="T36" s="372"/>
      <c r="U36" s="372"/>
      <c r="V36" s="372"/>
      <c r="W36" s="372"/>
      <c r="X36" s="372"/>
      <c r="Y36" s="372"/>
      <c r="Z36" s="372"/>
      <c r="AA36" s="372"/>
      <c r="AB36" s="372"/>
      <c r="AC36" s="372"/>
      <c r="AD36" s="41"/>
      <c r="AE36" s="41"/>
      <c r="AF36" s="11">
        <f t="shared" ref="AF36:AF59" si="8">COUNTIF(F36:AC36,$AJ$8)</f>
        <v>0</v>
      </c>
      <c r="AG36" s="11">
        <f t="shared" ref="AG36:AG59" si="9">COUNTIF(G36:AD36,$AJ$7)</f>
        <v>0</v>
      </c>
      <c r="AH36" s="11">
        <f t="shared" ref="AH36:AH59" si="10">COUNT(F36:AC36)</f>
        <v>0</v>
      </c>
      <c r="AI36" s="159">
        <f>SUM(F36:AC38,F40:AC40,F45:AC59)</f>
        <v>18.899999999999991</v>
      </c>
      <c r="AJ36" t="s">
        <v>37</v>
      </c>
    </row>
    <row r="37" spans="1:36">
      <c r="A37" s="70" t="s">
        <v>38</v>
      </c>
      <c r="B37" s="15"/>
      <c r="C37" s="15"/>
      <c r="D37" s="15"/>
      <c r="E37" s="15"/>
      <c r="F37" s="372"/>
      <c r="G37" s="372"/>
      <c r="H37" s="372"/>
      <c r="I37" s="372"/>
      <c r="J37" s="372"/>
      <c r="K37" s="374"/>
      <c r="L37" s="374"/>
      <c r="M37" s="374"/>
      <c r="N37" s="372"/>
      <c r="O37" s="372"/>
      <c r="P37" s="372"/>
      <c r="Q37" s="372"/>
      <c r="R37" s="372"/>
      <c r="S37" s="372"/>
      <c r="T37" s="372"/>
      <c r="U37" s="372"/>
      <c r="V37" s="372"/>
      <c r="W37" s="372"/>
      <c r="X37" s="372"/>
      <c r="Y37" s="372"/>
      <c r="Z37" s="372"/>
      <c r="AA37" s="372"/>
      <c r="AB37" s="372"/>
      <c r="AC37" s="372"/>
      <c r="AD37" s="41"/>
      <c r="AE37" s="41"/>
      <c r="AF37" s="11">
        <f t="shared" si="8"/>
        <v>0</v>
      </c>
      <c r="AG37" s="11">
        <f t="shared" si="9"/>
        <v>0</v>
      </c>
      <c r="AH37" s="11">
        <f t="shared" si="10"/>
        <v>0</v>
      </c>
    </row>
    <row r="38" spans="1:36">
      <c r="A38" s="70" t="s">
        <v>39</v>
      </c>
      <c r="B38" s="15"/>
      <c r="C38" s="15"/>
      <c r="D38" s="15"/>
      <c r="E38" s="15"/>
      <c r="F38" s="372"/>
      <c r="G38" s="372"/>
      <c r="H38" s="372"/>
      <c r="I38" s="372"/>
      <c r="J38" s="372"/>
      <c r="K38" s="374"/>
      <c r="L38" s="374"/>
      <c r="M38" s="374"/>
      <c r="N38" s="372"/>
      <c r="O38" s="372"/>
      <c r="P38" s="372"/>
      <c r="Q38" s="372"/>
      <c r="R38" s="372"/>
      <c r="S38" s="372"/>
      <c r="T38" s="372"/>
      <c r="U38" s="372"/>
      <c r="V38" s="372"/>
      <c r="W38" s="372"/>
      <c r="X38" s="372"/>
      <c r="Y38" s="372"/>
      <c r="Z38" s="372"/>
      <c r="AA38" s="372"/>
      <c r="AB38" s="372"/>
      <c r="AC38" s="372"/>
      <c r="AD38" s="41"/>
      <c r="AE38" s="41"/>
      <c r="AF38" s="11">
        <f t="shared" si="8"/>
        <v>0</v>
      </c>
      <c r="AG38" s="11">
        <f t="shared" si="9"/>
        <v>0</v>
      </c>
      <c r="AH38" s="11">
        <f t="shared" si="10"/>
        <v>0</v>
      </c>
    </row>
    <row r="39" spans="1:36">
      <c r="A39" s="70">
        <v>34</v>
      </c>
      <c r="B39" s="15"/>
      <c r="C39" s="15"/>
      <c r="D39" s="15"/>
      <c r="E39" s="15"/>
      <c r="F39" s="372"/>
      <c r="G39" s="372"/>
      <c r="H39" s="372"/>
      <c r="I39" s="372"/>
      <c r="J39" s="372"/>
      <c r="K39" s="374"/>
      <c r="L39" s="374"/>
      <c r="M39" s="374"/>
      <c r="N39" s="372"/>
      <c r="O39" s="372"/>
      <c r="P39" s="372"/>
      <c r="Q39" s="372"/>
      <c r="R39" s="372"/>
      <c r="S39" s="372"/>
      <c r="T39" s="372"/>
      <c r="U39" s="372"/>
      <c r="V39" s="372"/>
      <c r="W39" s="372"/>
      <c r="X39" s="372"/>
      <c r="Y39" s="372"/>
      <c r="Z39" s="372"/>
      <c r="AA39" s="372"/>
      <c r="AB39" s="372"/>
      <c r="AC39" s="372"/>
      <c r="AD39" s="41"/>
      <c r="AE39" s="41"/>
      <c r="AF39" s="11">
        <f t="shared" si="8"/>
        <v>0</v>
      </c>
      <c r="AG39" s="11">
        <f t="shared" si="9"/>
        <v>0</v>
      </c>
      <c r="AH39" s="11">
        <f t="shared" si="10"/>
        <v>0</v>
      </c>
    </row>
    <row r="40" spans="1:36">
      <c r="A40" s="70">
        <v>35</v>
      </c>
      <c r="B40" s="15"/>
      <c r="C40" s="15">
        <v>0.85</v>
      </c>
      <c r="D40" s="15"/>
      <c r="E40" s="15"/>
      <c r="F40" s="372"/>
      <c r="G40" s="372"/>
      <c r="H40" s="372"/>
      <c r="I40" s="372"/>
      <c r="J40" s="372"/>
      <c r="K40" s="374"/>
      <c r="L40" s="374"/>
      <c r="M40" s="374"/>
      <c r="N40" s="372"/>
      <c r="O40" s="372"/>
      <c r="P40" s="372"/>
      <c r="Q40" s="372"/>
      <c r="R40" s="372"/>
      <c r="S40" s="372"/>
      <c r="T40" s="372"/>
      <c r="U40" s="372"/>
      <c r="V40" s="372"/>
      <c r="W40" s="372"/>
      <c r="X40" s="372"/>
      <c r="Y40" s="372"/>
      <c r="Z40" s="372"/>
      <c r="AA40" s="372"/>
      <c r="AB40" s="372"/>
      <c r="AC40" s="372"/>
      <c r="AD40" s="41"/>
      <c r="AE40" s="41"/>
      <c r="AF40" s="11">
        <f t="shared" si="8"/>
        <v>0</v>
      </c>
      <c r="AG40" s="11">
        <f t="shared" si="9"/>
        <v>0</v>
      </c>
      <c r="AH40" s="11">
        <f t="shared" si="10"/>
        <v>0</v>
      </c>
    </row>
    <row r="41" spans="1:36">
      <c r="A41" s="70">
        <v>36</v>
      </c>
      <c r="B41" s="15"/>
      <c r="C41" s="15">
        <v>1</v>
      </c>
      <c r="D41" s="15"/>
      <c r="E41" s="15"/>
      <c r="F41" s="372"/>
      <c r="G41" s="372"/>
      <c r="H41" s="372"/>
      <c r="I41" s="372"/>
      <c r="J41" s="372"/>
      <c r="K41" s="374"/>
      <c r="L41" s="374"/>
      <c r="M41" s="374"/>
      <c r="N41" s="372"/>
      <c r="O41" s="372"/>
      <c r="P41" s="372"/>
      <c r="Q41" s="372"/>
      <c r="R41" s="372"/>
      <c r="S41" s="372"/>
      <c r="T41" s="372"/>
      <c r="U41" s="372"/>
      <c r="V41" s="372"/>
      <c r="W41" s="372"/>
      <c r="X41" s="372"/>
      <c r="Y41" s="372"/>
      <c r="Z41" s="372"/>
      <c r="AA41" s="372"/>
      <c r="AB41" s="372"/>
      <c r="AC41" s="372"/>
      <c r="AD41" s="41"/>
      <c r="AE41" s="41"/>
      <c r="AF41" s="11">
        <f t="shared" si="8"/>
        <v>0</v>
      </c>
      <c r="AG41" s="11">
        <f t="shared" si="9"/>
        <v>0</v>
      </c>
      <c r="AH41" s="11">
        <f t="shared" si="10"/>
        <v>0</v>
      </c>
    </row>
    <row r="42" spans="1:36">
      <c r="A42" s="70">
        <v>37</v>
      </c>
      <c r="B42" s="15"/>
      <c r="C42" s="15">
        <v>1</v>
      </c>
      <c r="D42" s="15"/>
      <c r="E42" s="15"/>
      <c r="F42" s="372"/>
      <c r="G42" s="372"/>
      <c r="H42" s="372"/>
      <c r="I42" s="372"/>
      <c r="J42" s="372"/>
      <c r="K42" s="374"/>
      <c r="L42" s="374"/>
      <c r="M42" s="374"/>
      <c r="N42" s="372"/>
      <c r="O42" s="372"/>
      <c r="P42" s="372"/>
      <c r="Q42" s="372"/>
      <c r="R42" s="372"/>
      <c r="S42" s="372"/>
      <c r="T42" s="372"/>
      <c r="U42" s="372"/>
      <c r="V42" s="372"/>
      <c r="W42" s="372"/>
      <c r="X42" s="372"/>
      <c r="Y42" s="372"/>
      <c r="Z42" s="372"/>
      <c r="AA42" s="372"/>
      <c r="AB42" s="372"/>
      <c r="AC42" s="372"/>
      <c r="AD42" s="41"/>
      <c r="AE42" s="41"/>
      <c r="AF42" s="11">
        <f t="shared" si="8"/>
        <v>0</v>
      </c>
      <c r="AG42" s="11">
        <f t="shared" si="9"/>
        <v>0</v>
      </c>
      <c r="AH42" s="11">
        <f t="shared" si="10"/>
        <v>0</v>
      </c>
    </row>
    <row r="43" spans="1:36">
      <c r="A43" s="70">
        <v>38</v>
      </c>
      <c r="B43" s="15"/>
      <c r="C43" s="15"/>
      <c r="D43" s="15"/>
      <c r="E43" s="15"/>
      <c r="F43" s="372" t="s">
        <v>9</v>
      </c>
      <c r="G43" s="372" t="s">
        <v>9</v>
      </c>
      <c r="H43" s="372" t="s">
        <v>9</v>
      </c>
      <c r="I43" s="372" t="s">
        <v>9</v>
      </c>
      <c r="J43" s="372" t="s">
        <v>9</v>
      </c>
      <c r="K43" s="374" t="s">
        <v>9</v>
      </c>
      <c r="L43" s="374" t="s">
        <v>9</v>
      </c>
      <c r="M43" s="374" t="s">
        <v>9</v>
      </c>
      <c r="N43" s="372" t="s">
        <v>9</v>
      </c>
      <c r="O43" s="372" t="s">
        <v>9</v>
      </c>
      <c r="P43" s="372" t="s">
        <v>9</v>
      </c>
      <c r="Q43" s="372" t="s">
        <v>9</v>
      </c>
      <c r="R43" s="372" t="s">
        <v>9</v>
      </c>
      <c r="S43" s="372" t="s">
        <v>9</v>
      </c>
      <c r="T43" s="372"/>
      <c r="U43" s="372"/>
      <c r="V43" s="372"/>
      <c r="W43" s="372"/>
      <c r="X43" s="372"/>
      <c r="Y43" s="372"/>
      <c r="Z43" s="372"/>
      <c r="AA43" s="372"/>
      <c r="AB43" s="372"/>
      <c r="AC43" s="372"/>
      <c r="AD43" s="41"/>
      <c r="AE43" s="41"/>
      <c r="AF43" s="11">
        <f t="shared" si="8"/>
        <v>14</v>
      </c>
      <c r="AG43" s="11">
        <f t="shared" si="9"/>
        <v>0</v>
      </c>
      <c r="AH43" s="11">
        <f t="shared" si="10"/>
        <v>0</v>
      </c>
    </row>
    <row r="44" spans="1:36" ht="16.5" customHeight="1">
      <c r="A44" s="70">
        <v>39</v>
      </c>
      <c r="B44" s="15"/>
      <c r="C44" s="15">
        <v>1</v>
      </c>
      <c r="D44" s="15"/>
      <c r="E44" s="15"/>
      <c r="F44" s="372"/>
      <c r="G44" s="372"/>
      <c r="H44" s="372"/>
      <c r="I44" s="372"/>
      <c r="J44" s="372"/>
      <c r="K44" s="372"/>
      <c r="L44" s="374"/>
      <c r="M44" s="374"/>
      <c r="N44" s="372"/>
      <c r="O44" s="372"/>
      <c r="P44" s="372"/>
      <c r="Q44" s="372"/>
      <c r="R44" s="372"/>
      <c r="S44" s="372"/>
      <c r="T44" s="372"/>
      <c r="U44" s="372"/>
      <c r="V44" s="372"/>
      <c r="W44" s="372"/>
      <c r="X44" s="372"/>
      <c r="Y44" s="372"/>
      <c r="Z44" s="372"/>
      <c r="AA44" s="372"/>
      <c r="AB44" s="372"/>
      <c r="AC44" s="372"/>
      <c r="AD44" s="41"/>
      <c r="AE44" s="41"/>
      <c r="AF44" s="11">
        <f t="shared" si="8"/>
        <v>0</v>
      </c>
      <c r="AG44" s="11">
        <f t="shared" si="9"/>
        <v>0</v>
      </c>
      <c r="AH44" s="11">
        <f t="shared" si="10"/>
        <v>0</v>
      </c>
    </row>
    <row r="45" spans="1:36" ht="16.5" customHeight="1">
      <c r="A45" s="70" t="s">
        <v>40</v>
      </c>
      <c r="B45" s="15"/>
      <c r="C45" s="15">
        <v>0.85</v>
      </c>
      <c r="D45" s="15"/>
      <c r="E45" s="15"/>
      <c r="F45" s="372" t="s">
        <v>9</v>
      </c>
      <c r="G45" s="372" t="s">
        <v>9</v>
      </c>
      <c r="H45" s="372" t="s">
        <v>9</v>
      </c>
      <c r="I45" s="372" t="s">
        <v>9</v>
      </c>
      <c r="J45" s="372" t="s">
        <v>9</v>
      </c>
      <c r="K45" s="372" t="s">
        <v>9</v>
      </c>
      <c r="L45" s="372" t="s">
        <v>9</v>
      </c>
      <c r="M45" s="372" t="s">
        <v>9</v>
      </c>
      <c r="N45" s="372" t="s">
        <v>9</v>
      </c>
      <c r="O45" s="372" t="s">
        <v>9</v>
      </c>
      <c r="P45" s="372" t="s">
        <v>9</v>
      </c>
      <c r="Q45" s="372" t="s">
        <v>9</v>
      </c>
      <c r="R45" s="372" t="s">
        <v>9</v>
      </c>
      <c r="S45" s="372" t="s">
        <v>9</v>
      </c>
      <c r="T45" s="372"/>
      <c r="U45" s="372"/>
      <c r="V45" s="372"/>
      <c r="W45" s="372"/>
      <c r="X45" s="372"/>
      <c r="Y45" s="372"/>
      <c r="Z45" s="372"/>
      <c r="AA45" s="372"/>
      <c r="AB45" s="372"/>
      <c r="AC45" s="372"/>
      <c r="AD45" s="41"/>
      <c r="AE45" s="41"/>
      <c r="AF45" s="11">
        <f t="shared" si="8"/>
        <v>14</v>
      </c>
      <c r="AG45" s="11">
        <f t="shared" si="9"/>
        <v>0</v>
      </c>
      <c r="AH45" s="11">
        <f t="shared" si="10"/>
        <v>0</v>
      </c>
      <c r="AI45" s="159"/>
    </row>
    <row r="46" spans="1:36">
      <c r="A46" s="70" t="s">
        <v>41</v>
      </c>
      <c r="B46" s="15"/>
      <c r="C46" s="15">
        <v>0.75</v>
      </c>
      <c r="D46" s="15"/>
      <c r="E46" s="15"/>
      <c r="F46" s="372"/>
      <c r="G46" s="372"/>
      <c r="H46" s="372"/>
      <c r="I46" s="372"/>
      <c r="J46" s="372"/>
      <c r="K46" s="372"/>
      <c r="L46" s="372"/>
      <c r="M46" s="374"/>
      <c r="N46" s="372">
        <v>0.7</v>
      </c>
      <c r="O46" s="372">
        <v>0.7</v>
      </c>
      <c r="P46" s="372">
        <f>2.8/4</f>
        <v>0.7</v>
      </c>
      <c r="Q46" s="372">
        <v>0</v>
      </c>
      <c r="R46" s="372">
        <v>0</v>
      </c>
      <c r="S46" s="372">
        <v>0</v>
      </c>
      <c r="T46" s="372"/>
      <c r="U46" s="372"/>
      <c r="V46" s="372"/>
      <c r="W46" s="372"/>
      <c r="X46" s="372"/>
      <c r="Y46" s="372">
        <v>0.7</v>
      </c>
      <c r="Z46" s="372"/>
      <c r="AA46" s="372"/>
      <c r="AB46" s="372"/>
      <c r="AC46" s="372"/>
      <c r="AD46" s="41"/>
      <c r="AE46" s="41"/>
      <c r="AF46" s="11">
        <f t="shared" si="8"/>
        <v>0</v>
      </c>
      <c r="AG46" s="11">
        <f t="shared" si="9"/>
        <v>0</v>
      </c>
      <c r="AH46" s="11">
        <f t="shared" si="10"/>
        <v>7</v>
      </c>
      <c r="AI46" s="159"/>
    </row>
    <row r="47" spans="1:36">
      <c r="A47" s="70" t="s">
        <v>42</v>
      </c>
      <c r="B47" s="15"/>
      <c r="C47" s="15">
        <v>0.75</v>
      </c>
      <c r="D47" s="15"/>
      <c r="E47" s="15"/>
      <c r="F47" s="372"/>
      <c r="G47" s="372"/>
      <c r="H47" s="372"/>
      <c r="I47" s="372"/>
      <c r="J47" s="372"/>
      <c r="K47" s="372"/>
      <c r="L47" s="372"/>
      <c r="M47" s="372"/>
      <c r="N47" s="372">
        <v>0.7</v>
      </c>
      <c r="O47" s="372">
        <v>0.7</v>
      </c>
      <c r="P47" s="372">
        <v>0.7</v>
      </c>
      <c r="Q47" s="372">
        <v>0</v>
      </c>
      <c r="R47" s="372">
        <v>0</v>
      </c>
      <c r="S47" s="372">
        <v>0</v>
      </c>
      <c r="T47" s="372"/>
      <c r="U47" s="372"/>
      <c r="V47" s="372"/>
      <c r="W47" s="372"/>
      <c r="X47" s="372"/>
      <c r="Y47" s="372">
        <v>0.7</v>
      </c>
      <c r="Z47" s="372"/>
      <c r="AA47" s="372"/>
      <c r="AB47" s="372"/>
      <c r="AC47" s="372"/>
      <c r="AD47" s="41"/>
      <c r="AE47" s="41"/>
      <c r="AF47" s="11">
        <f t="shared" si="8"/>
        <v>0</v>
      </c>
      <c r="AG47" s="11">
        <f t="shared" si="9"/>
        <v>0</v>
      </c>
      <c r="AH47" s="11">
        <f t="shared" si="10"/>
        <v>7</v>
      </c>
    </row>
    <row r="48" spans="1:36">
      <c r="A48" s="70" t="s">
        <v>43</v>
      </c>
      <c r="B48" s="15"/>
      <c r="C48" s="15">
        <v>0.75</v>
      </c>
      <c r="D48" s="15"/>
      <c r="E48" s="15"/>
      <c r="F48" s="372"/>
      <c r="G48" s="372"/>
      <c r="H48" s="372"/>
      <c r="I48" s="372"/>
      <c r="J48" s="372"/>
      <c r="K48" s="372"/>
      <c r="L48" s="374"/>
      <c r="M48" s="372"/>
      <c r="N48" s="372"/>
      <c r="O48" s="372">
        <v>0.7</v>
      </c>
      <c r="P48" s="372"/>
      <c r="Q48" s="372"/>
      <c r="R48" s="372"/>
      <c r="S48" s="372"/>
      <c r="T48" s="372">
        <v>0.7</v>
      </c>
      <c r="U48" s="372">
        <v>0.7</v>
      </c>
      <c r="V48" s="372"/>
      <c r="W48" s="372"/>
      <c r="X48" s="372"/>
      <c r="Y48" s="372"/>
      <c r="Z48" s="372"/>
      <c r="AA48" s="372"/>
      <c r="AB48" s="372">
        <v>0.7</v>
      </c>
      <c r="AC48" s="372">
        <v>0</v>
      </c>
      <c r="AD48" s="41"/>
      <c r="AE48" s="41"/>
      <c r="AF48" s="11">
        <f t="shared" si="8"/>
        <v>0</v>
      </c>
      <c r="AG48" s="11">
        <f t="shared" si="9"/>
        <v>0</v>
      </c>
      <c r="AH48" s="11">
        <f t="shared" si="10"/>
        <v>5</v>
      </c>
    </row>
    <row r="49" spans="1:124" ht="15" customHeight="1">
      <c r="A49" s="70" t="s">
        <v>44</v>
      </c>
      <c r="B49" s="15"/>
      <c r="C49" s="15">
        <v>0.75</v>
      </c>
      <c r="D49" s="15"/>
      <c r="E49" s="15"/>
      <c r="F49" s="372">
        <v>0</v>
      </c>
      <c r="G49" s="372">
        <v>0</v>
      </c>
      <c r="H49" s="372">
        <v>0</v>
      </c>
      <c r="I49" s="372">
        <v>0</v>
      </c>
      <c r="J49" s="372">
        <v>0</v>
      </c>
      <c r="K49" s="372">
        <v>0</v>
      </c>
      <c r="L49" s="372">
        <v>0</v>
      </c>
      <c r="M49" s="374">
        <v>0</v>
      </c>
      <c r="N49" s="372">
        <v>0</v>
      </c>
      <c r="O49" s="372">
        <v>0</v>
      </c>
      <c r="P49" s="372">
        <v>0.7</v>
      </c>
      <c r="Q49" s="372">
        <v>0</v>
      </c>
      <c r="R49" s="372">
        <v>0</v>
      </c>
      <c r="S49" s="372">
        <v>0</v>
      </c>
      <c r="T49" s="372"/>
      <c r="U49" s="372">
        <v>0.7</v>
      </c>
      <c r="V49" s="372">
        <v>0.7</v>
      </c>
      <c r="W49" s="372"/>
      <c r="X49" s="372"/>
      <c r="Y49" s="372"/>
      <c r="Z49" s="372"/>
      <c r="AA49" s="372"/>
      <c r="AB49" s="372"/>
      <c r="AC49" s="372"/>
      <c r="AD49" s="41"/>
      <c r="AE49" s="41"/>
      <c r="AF49" s="11">
        <f t="shared" si="8"/>
        <v>0</v>
      </c>
      <c r="AG49" s="11">
        <f t="shared" si="9"/>
        <v>0</v>
      </c>
      <c r="AH49" s="11">
        <f t="shared" si="10"/>
        <v>16</v>
      </c>
    </row>
    <row r="50" spans="1:124" ht="16.5" customHeight="1">
      <c r="A50" s="70" t="s">
        <v>45</v>
      </c>
      <c r="B50" s="15"/>
      <c r="C50" s="15">
        <v>0.75</v>
      </c>
      <c r="D50" s="15"/>
      <c r="E50" s="15"/>
      <c r="F50" s="372"/>
      <c r="G50" s="372"/>
      <c r="H50" s="372"/>
      <c r="I50" s="372"/>
      <c r="J50" s="374"/>
      <c r="K50" s="372"/>
      <c r="L50" s="374"/>
      <c r="M50" s="374"/>
      <c r="N50" s="372"/>
      <c r="O50" s="372">
        <v>0.7</v>
      </c>
      <c r="P50" s="372"/>
      <c r="Q50" s="372"/>
      <c r="R50" s="372"/>
      <c r="S50" s="372"/>
      <c r="T50" s="372">
        <v>0.7</v>
      </c>
      <c r="U50" s="372">
        <v>0.7</v>
      </c>
      <c r="V50" s="372"/>
      <c r="W50" s="372"/>
      <c r="X50" s="372"/>
      <c r="Y50" s="372">
        <v>0.7</v>
      </c>
      <c r="Z50" s="372"/>
      <c r="AA50" s="372"/>
      <c r="AB50" s="372"/>
      <c r="AC50" s="372"/>
      <c r="AD50" s="41"/>
      <c r="AE50" s="41"/>
      <c r="AF50" s="11">
        <f t="shared" si="8"/>
        <v>0</v>
      </c>
      <c r="AG50" s="11">
        <f t="shared" si="9"/>
        <v>0</v>
      </c>
      <c r="AH50" s="11">
        <f t="shared" si="10"/>
        <v>4</v>
      </c>
    </row>
    <row r="51" spans="1:124">
      <c r="A51" s="70" t="s">
        <v>46</v>
      </c>
      <c r="B51" s="15"/>
      <c r="C51" s="15">
        <v>0.85</v>
      </c>
      <c r="D51" s="15"/>
      <c r="E51" s="15"/>
      <c r="F51" s="372" t="s">
        <v>9</v>
      </c>
      <c r="G51" s="374" t="s">
        <v>9</v>
      </c>
      <c r="H51" s="374" t="s">
        <v>9</v>
      </c>
      <c r="I51" s="374" t="s">
        <v>9</v>
      </c>
      <c r="J51" s="374" t="s">
        <v>9</v>
      </c>
      <c r="K51" s="374" t="s">
        <v>9</v>
      </c>
      <c r="L51" s="374" t="s">
        <v>9</v>
      </c>
      <c r="M51" s="374" t="s">
        <v>9</v>
      </c>
      <c r="N51" s="372" t="s">
        <v>9</v>
      </c>
      <c r="O51" s="372" t="s">
        <v>9</v>
      </c>
      <c r="P51" s="372" t="s">
        <v>9</v>
      </c>
      <c r="Q51" s="372" t="s">
        <v>9</v>
      </c>
      <c r="R51" s="372" t="s">
        <v>9</v>
      </c>
      <c r="S51" s="372" t="s">
        <v>9</v>
      </c>
      <c r="T51" s="372"/>
      <c r="U51" s="372"/>
      <c r="V51" s="372"/>
      <c r="W51" s="372"/>
      <c r="X51" s="372"/>
      <c r="Y51" s="372"/>
      <c r="Z51" s="372"/>
      <c r="AA51" s="372"/>
      <c r="AB51" s="372"/>
      <c r="AC51" s="372"/>
      <c r="AD51" s="41"/>
      <c r="AE51" s="41"/>
      <c r="AF51" s="11">
        <f t="shared" si="8"/>
        <v>14</v>
      </c>
      <c r="AG51" s="11">
        <f t="shared" si="9"/>
        <v>0</v>
      </c>
      <c r="AH51" s="11">
        <f t="shared" si="10"/>
        <v>0</v>
      </c>
    </row>
    <row r="52" spans="1:124">
      <c r="A52" s="70" t="s">
        <v>47</v>
      </c>
      <c r="B52" s="15"/>
      <c r="C52" s="15">
        <v>0.85</v>
      </c>
      <c r="D52" s="15"/>
      <c r="E52" s="15"/>
      <c r="F52" s="372" t="s">
        <v>9</v>
      </c>
      <c r="G52" s="374" t="s">
        <v>9</v>
      </c>
      <c r="H52" s="374" t="s">
        <v>9</v>
      </c>
      <c r="I52" s="374" t="s">
        <v>9</v>
      </c>
      <c r="J52" s="374" t="s">
        <v>9</v>
      </c>
      <c r="K52" s="374" t="s">
        <v>9</v>
      </c>
      <c r="L52" s="374" t="s">
        <v>9</v>
      </c>
      <c r="M52" s="374" t="s">
        <v>9</v>
      </c>
      <c r="N52" s="372" t="s">
        <v>9</v>
      </c>
      <c r="O52" s="372" t="s">
        <v>9</v>
      </c>
      <c r="P52" s="372" t="s">
        <v>9</v>
      </c>
      <c r="Q52" s="372" t="s">
        <v>9</v>
      </c>
      <c r="R52" s="372" t="s">
        <v>9</v>
      </c>
      <c r="S52" s="372" t="s">
        <v>9</v>
      </c>
      <c r="T52" s="372"/>
      <c r="U52" s="372"/>
      <c r="V52" s="372"/>
      <c r="W52" s="372"/>
      <c r="X52" s="372"/>
      <c r="Y52" s="372"/>
      <c r="Z52" s="372"/>
      <c r="AA52" s="372"/>
      <c r="AB52" s="372"/>
      <c r="AC52" s="372"/>
      <c r="AD52" s="41"/>
      <c r="AE52" s="41"/>
      <c r="AF52" s="11">
        <f t="shared" si="8"/>
        <v>14</v>
      </c>
      <c r="AG52" s="11">
        <f t="shared" si="9"/>
        <v>0</v>
      </c>
      <c r="AH52" s="11">
        <f t="shared" si="10"/>
        <v>0</v>
      </c>
    </row>
    <row r="53" spans="1:124">
      <c r="A53" s="70" t="s">
        <v>48</v>
      </c>
      <c r="B53" s="15"/>
      <c r="C53" s="15">
        <v>0.85</v>
      </c>
      <c r="D53" s="15"/>
      <c r="E53" s="15"/>
      <c r="F53" s="372"/>
      <c r="G53" s="372"/>
      <c r="H53" s="372"/>
      <c r="I53" s="372"/>
      <c r="J53" s="372"/>
      <c r="K53" s="374"/>
      <c r="L53" s="372"/>
      <c r="M53" s="374"/>
      <c r="N53" s="372"/>
      <c r="O53" s="372"/>
      <c r="P53" s="372"/>
      <c r="Q53" s="372"/>
      <c r="R53" s="372"/>
      <c r="S53" s="372"/>
      <c r="T53" s="372"/>
      <c r="U53" s="372"/>
      <c r="V53" s="372"/>
      <c r="W53" s="372"/>
      <c r="X53" s="372"/>
      <c r="Y53" s="372"/>
      <c r="Z53" s="372"/>
      <c r="AA53" s="372"/>
      <c r="AB53" s="372"/>
      <c r="AC53" s="372"/>
      <c r="AD53" s="41"/>
      <c r="AE53" s="41"/>
      <c r="AF53" s="11">
        <f t="shared" si="8"/>
        <v>0</v>
      </c>
      <c r="AG53" s="11">
        <f t="shared" si="9"/>
        <v>0</v>
      </c>
      <c r="AH53" s="11">
        <f t="shared" si="10"/>
        <v>0</v>
      </c>
    </row>
    <row r="54" spans="1:124" ht="16.5" customHeight="1">
      <c r="A54" s="70" t="s">
        <v>49</v>
      </c>
      <c r="B54" s="15"/>
      <c r="C54" s="15">
        <v>0.85</v>
      </c>
      <c r="D54" s="15"/>
      <c r="E54" s="15"/>
      <c r="F54" s="372"/>
      <c r="G54" s="372"/>
      <c r="H54" s="372"/>
      <c r="I54" s="372"/>
      <c r="J54" s="372"/>
      <c r="K54" s="374"/>
      <c r="L54" s="372"/>
      <c r="M54" s="374"/>
      <c r="N54" s="372"/>
      <c r="O54" s="372"/>
      <c r="P54" s="372"/>
      <c r="Q54" s="372"/>
      <c r="R54" s="372"/>
      <c r="S54" s="372"/>
      <c r="T54" s="372"/>
      <c r="U54" s="372"/>
      <c r="V54" s="372"/>
      <c r="W54" s="372"/>
      <c r="X54" s="372"/>
      <c r="Y54" s="372"/>
      <c r="Z54" s="372"/>
      <c r="AA54" s="372"/>
      <c r="AB54" s="372"/>
      <c r="AC54" s="372"/>
      <c r="AD54" s="41"/>
      <c r="AE54" s="41"/>
      <c r="AF54" s="11">
        <f t="shared" si="8"/>
        <v>0</v>
      </c>
      <c r="AG54" s="11">
        <f t="shared" si="9"/>
        <v>0</v>
      </c>
      <c r="AH54" s="11">
        <f t="shared" si="10"/>
        <v>0</v>
      </c>
    </row>
    <row r="55" spans="1:124">
      <c r="A55" s="70" t="s">
        <v>50</v>
      </c>
      <c r="B55" s="15"/>
      <c r="C55" s="15">
        <v>0.85</v>
      </c>
      <c r="D55" s="15"/>
      <c r="E55" s="15"/>
      <c r="F55" s="372"/>
      <c r="G55" s="372"/>
      <c r="H55" s="372"/>
      <c r="I55" s="372"/>
      <c r="J55" s="372"/>
      <c r="K55" s="374"/>
      <c r="L55" s="372"/>
      <c r="M55" s="374"/>
      <c r="N55" s="372"/>
      <c r="O55" s="372"/>
      <c r="P55" s="372"/>
      <c r="Q55" s="372"/>
      <c r="R55" s="372"/>
      <c r="S55" s="372"/>
      <c r="T55" s="372"/>
      <c r="U55" s="372"/>
      <c r="V55" s="372"/>
      <c r="W55" s="372"/>
      <c r="X55" s="372"/>
      <c r="Y55" s="372"/>
      <c r="Z55" s="372"/>
      <c r="AA55" s="372"/>
      <c r="AB55" s="372"/>
      <c r="AC55" s="372"/>
      <c r="AD55" s="41"/>
      <c r="AE55" s="41"/>
      <c r="AF55" s="11">
        <f>COUNTIF(F55:AC55,$AJ$8)</f>
        <v>0</v>
      </c>
      <c r="AG55" s="11">
        <f t="shared" si="9"/>
        <v>0</v>
      </c>
      <c r="AH55" s="11">
        <f>COUNT(F55:AC55)</f>
        <v>0</v>
      </c>
    </row>
    <row r="56" spans="1:124">
      <c r="A56" s="70" t="s">
        <v>51</v>
      </c>
      <c r="B56" s="15"/>
      <c r="C56" s="15">
        <v>0.75</v>
      </c>
      <c r="D56" s="15"/>
      <c r="E56" s="15"/>
      <c r="F56" s="372"/>
      <c r="G56" s="372"/>
      <c r="H56" s="372"/>
      <c r="I56" s="372"/>
      <c r="J56" s="372"/>
      <c r="K56" s="374"/>
      <c r="L56" s="374"/>
      <c r="M56" s="374"/>
      <c r="N56" s="372"/>
      <c r="O56" s="372">
        <v>0.7</v>
      </c>
      <c r="P56" s="372">
        <v>0</v>
      </c>
      <c r="Q56" s="372">
        <v>0</v>
      </c>
      <c r="R56" s="372">
        <v>0</v>
      </c>
      <c r="S56" s="372">
        <v>0</v>
      </c>
      <c r="T56" s="372"/>
      <c r="U56" s="372">
        <v>0.7</v>
      </c>
      <c r="V56" s="372"/>
      <c r="W56" s="372"/>
      <c r="X56" s="372"/>
      <c r="Y56" s="372"/>
      <c r="Z56" s="372">
        <v>0.7</v>
      </c>
      <c r="AA56" s="372"/>
      <c r="AB56" s="372"/>
      <c r="AC56" s="372"/>
      <c r="AD56" s="41"/>
      <c r="AE56" s="41"/>
      <c r="AF56" s="11">
        <f t="shared" si="8"/>
        <v>0</v>
      </c>
      <c r="AG56" s="11">
        <f t="shared" si="9"/>
        <v>0</v>
      </c>
      <c r="AH56" s="11">
        <f t="shared" si="10"/>
        <v>7</v>
      </c>
    </row>
    <row r="57" spans="1:124">
      <c r="A57" s="70" t="s">
        <v>52</v>
      </c>
      <c r="B57" s="15"/>
      <c r="C57" s="15">
        <v>0.75</v>
      </c>
      <c r="D57" s="15"/>
      <c r="E57" s="15"/>
      <c r="F57" s="372"/>
      <c r="G57" s="372"/>
      <c r="H57" s="372"/>
      <c r="I57" s="372"/>
      <c r="J57" s="372"/>
      <c r="K57" s="372"/>
      <c r="L57" s="374"/>
      <c r="M57" s="374"/>
      <c r="N57" s="372"/>
      <c r="O57" s="372">
        <v>0.7</v>
      </c>
      <c r="P57" s="372">
        <v>0.7</v>
      </c>
      <c r="Q57" s="372">
        <v>0</v>
      </c>
      <c r="R57" s="372">
        <v>0</v>
      </c>
      <c r="S57" s="372">
        <v>0</v>
      </c>
      <c r="T57" s="372"/>
      <c r="U57" s="372">
        <v>0.7</v>
      </c>
      <c r="V57" s="372">
        <v>0.7</v>
      </c>
      <c r="W57" s="372"/>
      <c r="X57" s="372"/>
      <c r="Y57" s="372"/>
      <c r="Z57" s="372"/>
      <c r="AA57" s="372"/>
      <c r="AB57" s="372">
        <v>0.7</v>
      </c>
      <c r="AC57" s="372">
        <v>0</v>
      </c>
      <c r="AD57" s="41"/>
      <c r="AE57" s="41"/>
      <c r="AF57" s="11">
        <f t="shared" si="8"/>
        <v>0</v>
      </c>
      <c r="AG57" s="11">
        <f t="shared" si="9"/>
        <v>0</v>
      </c>
      <c r="AH57" s="11">
        <f t="shared" si="10"/>
        <v>9</v>
      </c>
    </row>
    <row r="58" spans="1:124">
      <c r="A58" s="70" t="s">
        <v>53</v>
      </c>
      <c r="B58" s="15"/>
      <c r="C58" s="15">
        <v>0.85</v>
      </c>
      <c r="D58" s="15"/>
      <c r="E58" s="15"/>
      <c r="F58" s="372"/>
      <c r="G58" s="372"/>
      <c r="H58" s="372"/>
      <c r="I58" s="372"/>
      <c r="J58" s="372"/>
      <c r="K58" s="374"/>
      <c r="L58" s="374"/>
      <c r="M58" s="374"/>
      <c r="N58" s="372"/>
      <c r="O58" s="372"/>
      <c r="P58" s="372"/>
      <c r="Q58" s="372"/>
      <c r="R58" s="372"/>
      <c r="S58" s="372"/>
      <c r="T58" s="372"/>
      <c r="U58" s="372"/>
      <c r="V58" s="372"/>
      <c r="W58" s="372"/>
      <c r="X58" s="372"/>
      <c r="Y58" s="372"/>
      <c r="Z58" s="372"/>
      <c r="AA58" s="372"/>
      <c r="AB58" s="372"/>
      <c r="AC58" s="372"/>
      <c r="AD58" s="41"/>
      <c r="AE58" s="41"/>
      <c r="AF58" s="11">
        <f t="shared" si="8"/>
        <v>0</v>
      </c>
      <c r="AG58" s="11">
        <f t="shared" si="9"/>
        <v>0</v>
      </c>
      <c r="AH58" s="11">
        <f t="shared" si="10"/>
        <v>0</v>
      </c>
    </row>
    <row r="59" spans="1:124">
      <c r="A59" s="70" t="s">
        <v>54</v>
      </c>
      <c r="B59" s="15"/>
      <c r="C59" s="15">
        <v>0.85</v>
      </c>
      <c r="D59" s="15"/>
      <c r="E59" s="15"/>
      <c r="F59" s="372"/>
      <c r="G59" s="372"/>
      <c r="H59" s="372"/>
      <c r="I59" s="372"/>
      <c r="J59" s="372"/>
      <c r="K59" s="374"/>
      <c r="L59" s="374"/>
      <c r="M59" s="374"/>
      <c r="N59" s="372"/>
      <c r="O59" s="372"/>
      <c r="P59" s="372"/>
      <c r="Q59" s="372"/>
      <c r="R59" s="372"/>
      <c r="S59" s="372"/>
      <c r="T59" s="372"/>
      <c r="U59" s="372"/>
      <c r="V59" s="372"/>
      <c r="W59" s="372"/>
      <c r="X59" s="372"/>
      <c r="Y59" s="372"/>
      <c r="Z59" s="372"/>
      <c r="AA59" s="372"/>
      <c r="AB59" s="372"/>
      <c r="AC59" s="372"/>
      <c r="AD59" s="41"/>
      <c r="AE59" s="41"/>
      <c r="AF59" s="11">
        <f t="shared" si="8"/>
        <v>0</v>
      </c>
      <c r="AG59" s="11">
        <f t="shared" si="9"/>
        <v>0</v>
      </c>
      <c r="AH59" s="11">
        <f t="shared" si="10"/>
        <v>0</v>
      </c>
    </row>
    <row r="60" spans="1:124">
      <c r="A60" s="9" t="s">
        <v>26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>SUM(F36:F59)</f>
        <v>0</v>
      </c>
      <c r="G60" s="19">
        <f t="shared" ref="G60:AC60" si="11">SUM(G36:G59)</f>
        <v>0</v>
      </c>
      <c r="H60" s="19">
        <f t="shared" si="11"/>
        <v>0</v>
      </c>
      <c r="I60" s="19">
        <f t="shared" si="11"/>
        <v>0</v>
      </c>
      <c r="J60" s="19">
        <f t="shared" si="11"/>
        <v>0</v>
      </c>
      <c r="K60" s="19">
        <f t="shared" si="11"/>
        <v>0</v>
      </c>
      <c r="L60" s="19">
        <f t="shared" si="11"/>
        <v>0</v>
      </c>
      <c r="M60" s="19">
        <f t="shared" si="11"/>
        <v>0</v>
      </c>
      <c r="N60" s="19">
        <f t="shared" si="11"/>
        <v>1.4</v>
      </c>
      <c r="O60" s="19">
        <f t="shared" si="11"/>
        <v>4.2</v>
      </c>
      <c r="P60" s="19">
        <f t="shared" si="11"/>
        <v>2.8</v>
      </c>
      <c r="Q60" s="19">
        <f t="shared" si="11"/>
        <v>0</v>
      </c>
      <c r="R60" s="19">
        <f t="shared" si="11"/>
        <v>0</v>
      </c>
      <c r="S60" s="19">
        <f t="shared" si="11"/>
        <v>0</v>
      </c>
      <c r="T60" s="19">
        <f t="shared" si="11"/>
        <v>1.4</v>
      </c>
      <c r="U60" s="19">
        <f t="shared" si="11"/>
        <v>3.5</v>
      </c>
      <c r="V60" s="19">
        <f t="shared" si="11"/>
        <v>1.4</v>
      </c>
      <c r="W60" s="19">
        <f t="shared" si="11"/>
        <v>0</v>
      </c>
      <c r="X60" s="19">
        <f t="shared" si="11"/>
        <v>0</v>
      </c>
      <c r="Y60" s="19">
        <f t="shared" si="11"/>
        <v>2.0999999999999996</v>
      </c>
      <c r="Z60" s="19">
        <f t="shared" si="11"/>
        <v>0.7</v>
      </c>
      <c r="AA60" s="19">
        <f t="shared" si="11"/>
        <v>0</v>
      </c>
      <c r="AB60" s="19">
        <f t="shared" si="11"/>
        <v>1.4</v>
      </c>
      <c r="AC60" s="19">
        <f t="shared" si="11"/>
        <v>0</v>
      </c>
      <c r="AD60" s="34"/>
      <c r="AE60" s="34"/>
      <c r="AF60" s="11"/>
      <c r="AG60" s="11"/>
      <c r="AH60" s="11"/>
    </row>
    <row r="61" spans="1:124">
      <c r="A61" s="12" t="s">
        <v>55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28.514999999999997</v>
      </c>
      <c r="AN61" s="351"/>
    </row>
    <row r="62" spans="1:124">
      <c r="A62" s="14" t="s">
        <v>56</v>
      </c>
      <c r="B62" s="20"/>
      <c r="C62" s="15">
        <v>0.75</v>
      </c>
      <c r="D62" s="15"/>
      <c r="E62" s="15"/>
      <c r="F62" s="372">
        <f>1.05/2</f>
        <v>0.52500000000000002</v>
      </c>
      <c r="G62" s="372">
        <f>0.97/2</f>
        <v>0.48499999999999999</v>
      </c>
      <c r="H62" s="372">
        <f>0.92/2</f>
        <v>0.46</v>
      </c>
      <c r="I62" s="372">
        <f>0.89/2</f>
        <v>0.44500000000000001</v>
      </c>
      <c r="J62" s="372">
        <f>0.86/2</f>
        <v>0.43</v>
      </c>
      <c r="K62" s="374">
        <f>0.85/2</f>
        <v>0.42499999999999999</v>
      </c>
      <c r="L62" s="372">
        <f>0.91/2</f>
        <v>0.45500000000000002</v>
      </c>
      <c r="M62" s="372"/>
      <c r="N62" s="372"/>
      <c r="O62" s="372"/>
      <c r="P62" s="372"/>
      <c r="Q62" s="372"/>
      <c r="R62" s="372"/>
      <c r="S62" s="372">
        <v>0.69</v>
      </c>
      <c r="T62" s="372">
        <f>1.36/2</f>
        <v>0.68</v>
      </c>
      <c r="U62" s="372">
        <f>1.32/2</f>
        <v>0.66</v>
      </c>
      <c r="V62" s="372">
        <f>1.3/2</f>
        <v>0.65</v>
      </c>
      <c r="W62" s="372">
        <f>1.31/2</f>
        <v>0.65500000000000003</v>
      </c>
      <c r="X62" s="372">
        <f>1.3/2</f>
        <v>0.65</v>
      </c>
      <c r="Y62" s="372">
        <v>0.78</v>
      </c>
      <c r="Z62" s="372">
        <v>0.78500000000000003</v>
      </c>
      <c r="AA62" s="372">
        <v>0.745</v>
      </c>
      <c r="AB62" s="372">
        <v>0.68</v>
      </c>
      <c r="AC62" s="372">
        <f>1.22/2</f>
        <v>0.61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57</v>
      </c>
      <c r="B63" s="20"/>
      <c r="C63" s="15">
        <v>0.75</v>
      </c>
      <c r="D63" s="15"/>
      <c r="E63" s="15"/>
      <c r="F63" s="372">
        <f>1.05/2</f>
        <v>0.52500000000000002</v>
      </c>
      <c r="G63" s="372">
        <f>0.97/2</f>
        <v>0.48499999999999999</v>
      </c>
      <c r="H63" s="372">
        <v>0</v>
      </c>
      <c r="I63" s="372">
        <v>0</v>
      </c>
      <c r="J63" s="372">
        <v>0</v>
      </c>
      <c r="K63" s="374">
        <v>0</v>
      </c>
      <c r="L63" s="372">
        <v>0</v>
      </c>
      <c r="M63" s="372">
        <v>0.495</v>
      </c>
      <c r="N63" s="372">
        <v>0.435</v>
      </c>
      <c r="O63" s="372">
        <v>0.59499999999999997</v>
      </c>
      <c r="P63" s="372">
        <f>1.23/2</f>
        <v>0.61499999999999999</v>
      </c>
      <c r="Q63" s="372">
        <f>1.3/2</f>
        <v>0.65</v>
      </c>
      <c r="R63" s="372">
        <f>1.32/2</f>
        <v>0.66</v>
      </c>
      <c r="S63" s="372">
        <f>1.37/2</f>
        <v>0.68500000000000005</v>
      </c>
      <c r="T63" s="372">
        <f>1.36/2</f>
        <v>0.68</v>
      </c>
      <c r="U63" s="372">
        <f>1.32/2</f>
        <v>0.66</v>
      </c>
      <c r="V63" s="372">
        <f>1.3/2</f>
        <v>0.65</v>
      </c>
      <c r="W63" s="372">
        <f>1.31/2</f>
        <v>0.65500000000000003</v>
      </c>
      <c r="X63" s="372">
        <f>1.3/2</f>
        <v>0.65</v>
      </c>
      <c r="Y63" s="372">
        <v>0</v>
      </c>
      <c r="Z63" s="372"/>
      <c r="AA63" s="372"/>
      <c r="AB63" s="372"/>
      <c r="AC63" s="372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20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58</v>
      </c>
      <c r="B64" s="20"/>
      <c r="C64" s="15">
        <v>0.75</v>
      </c>
      <c r="D64" s="15"/>
      <c r="E64" s="15"/>
      <c r="F64" s="372"/>
      <c r="G64" s="372"/>
      <c r="H64" s="372">
        <f>0.92/2</f>
        <v>0.46</v>
      </c>
      <c r="I64" s="372">
        <f>0.89/2</f>
        <v>0.44500000000000001</v>
      </c>
      <c r="J64" s="372">
        <f>0.86/2</f>
        <v>0.43</v>
      </c>
      <c r="K64" s="374">
        <f>0.85/2</f>
        <v>0.42499999999999999</v>
      </c>
      <c r="L64" s="372">
        <f>0.91/2</f>
        <v>0.45500000000000002</v>
      </c>
      <c r="M64" s="372">
        <v>0.495</v>
      </c>
      <c r="N64" s="372">
        <v>0.435</v>
      </c>
      <c r="O64" s="372">
        <v>0.59499999999999997</v>
      </c>
      <c r="P64" s="372">
        <f>1.23/2</f>
        <v>0.61499999999999999</v>
      </c>
      <c r="Q64" s="372">
        <f>1.3/2</f>
        <v>0.65</v>
      </c>
      <c r="R64" s="372">
        <f>1.32/2</f>
        <v>0.66</v>
      </c>
      <c r="S64" s="372">
        <v>0</v>
      </c>
      <c r="T64" s="372"/>
      <c r="U64" s="372"/>
      <c r="V64" s="372"/>
      <c r="W64" s="372"/>
      <c r="X64" s="372"/>
      <c r="Y64" s="372">
        <v>0.78</v>
      </c>
      <c r="Z64" s="372">
        <v>0.78500000000000003</v>
      </c>
      <c r="AA64" s="372">
        <v>0.745</v>
      </c>
      <c r="AB64" s="372">
        <v>0.68</v>
      </c>
      <c r="AC64" s="372">
        <f>1.22/2</f>
        <v>0.61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17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1.05</v>
      </c>
      <c r="G65" s="19">
        <f t="shared" ref="G65" si="12">SUM(G62:G64)</f>
        <v>0.97</v>
      </c>
      <c r="H65" s="19">
        <f>SUM(H62:H64)</f>
        <v>0.92</v>
      </c>
      <c r="I65" s="19">
        <f>SUM(I62:I64)</f>
        <v>0.89</v>
      </c>
      <c r="J65" s="19">
        <f t="shared" ref="J65" si="13">SUM(J62:J64)</f>
        <v>0.86</v>
      </c>
      <c r="K65" s="19">
        <f>SUM(K62:K64)</f>
        <v>0.85</v>
      </c>
      <c r="L65" s="19">
        <f>SUM(L62:L64)</f>
        <v>0.91</v>
      </c>
      <c r="M65" s="19">
        <f>SUM(M62:M64)</f>
        <v>0.99</v>
      </c>
      <c r="N65" s="19">
        <f>SUM(N62:N64)</f>
        <v>0.87</v>
      </c>
      <c r="O65" s="19">
        <f t="shared" ref="O65:AB65" si="14">SUM(O62:O64)</f>
        <v>1.19</v>
      </c>
      <c r="P65" s="19">
        <f t="shared" si="14"/>
        <v>1.23</v>
      </c>
      <c r="Q65" s="19">
        <f t="shared" si="14"/>
        <v>1.3</v>
      </c>
      <c r="R65" s="19">
        <f t="shared" si="14"/>
        <v>1.32</v>
      </c>
      <c r="S65" s="19">
        <f t="shared" si="14"/>
        <v>1.375</v>
      </c>
      <c r="T65" s="19">
        <f t="shared" si="14"/>
        <v>1.36</v>
      </c>
      <c r="U65" s="19">
        <f t="shared" si="14"/>
        <v>1.32</v>
      </c>
      <c r="V65" s="19">
        <f t="shared" si="14"/>
        <v>1.3</v>
      </c>
      <c r="W65" s="19">
        <f t="shared" si="14"/>
        <v>1.31</v>
      </c>
      <c r="X65" s="19">
        <f t="shared" si="14"/>
        <v>1.3</v>
      </c>
      <c r="Y65" s="19">
        <f>SUM(Y62:Y64)</f>
        <v>1.56</v>
      </c>
      <c r="Z65" s="19">
        <f t="shared" si="14"/>
        <v>1.57</v>
      </c>
      <c r="AA65" s="19">
        <f t="shared" si="14"/>
        <v>1.49</v>
      </c>
      <c r="AB65" s="19">
        <f t="shared" si="14"/>
        <v>1.36</v>
      </c>
      <c r="AC65" s="19">
        <f>SUM(AC62:AC64)</f>
        <v>1.22</v>
      </c>
      <c r="AD65" s="34"/>
      <c r="AE65" s="34"/>
      <c r="AF65" s="11"/>
      <c r="AG65" s="11"/>
      <c r="AH65" s="11"/>
    </row>
    <row r="66" spans="1:124" hidden="1">
      <c r="A66" s="12" t="s">
        <v>59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idden="1">
      <c r="A67" s="14" t="s">
        <v>60</v>
      </c>
      <c r="B67" s="15"/>
      <c r="C67" s="15">
        <v>0.85</v>
      </c>
      <c r="D67" s="15"/>
      <c r="E67" s="15"/>
      <c r="F67" s="372"/>
      <c r="G67" s="372"/>
      <c r="H67" s="372"/>
      <c r="I67" s="372"/>
      <c r="J67" s="372"/>
      <c r="K67" s="374"/>
      <c r="L67" s="374"/>
      <c r="M67" s="374"/>
      <c r="N67" s="372"/>
      <c r="O67" s="372"/>
      <c r="P67" s="372"/>
      <c r="Q67" s="372"/>
      <c r="R67" s="372"/>
      <c r="S67" s="372"/>
      <c r="T67" s="372"/>
      <c r="U67" s="372"/>
      <c r="V67" s="372"/>
      <c r="W67" s="372"/>
      <c r="X67" s="372"/>
      <c r="Y67" s="372"/>
      <c r="Z67" s="372"/>
      <c r="AA67" s="372"/>
      <c r="AB67" s="372"/>
      <c r="AC67" s="372"/>
      <c r="AD67" s="35"/>
      <c r="AE67" s="35"/>
      <c r="AF67" s="11">
        <f t="shared" ref="AF67:AF75" si="15">COUNTIF(F67:AC67,$AF$11)</f>
        <v>0</v>
      </c>
      <c r="AG67" s="11">
        <f t="shared" ref="AG67:AG75" si="16">COUNTIF(G67:AC67,$AG$11)</f>
        <v>0</v>
      </c>
      <c r="AH67" s="11">
        <f t="shared" ref="AH67:AH75" si="17">COUNT(F67:AC67)</f>
        <v>0</v>
      </c>
    </row>
    <row r="68" spans="1:124" hidden="1">
      <c r="A68" s="14" t="s">
        <v>61</v>
      </c>
      <c r="B68" s="15"/>
      <c r="C68" s="15">
        <v>0.85</v>
      </c>
      <c r="D68" s="15"/>
      <c r="E68" s="15"/>
      <c r="F68" s="372"/>
      <c r="G68" s="372"/>
      <c r="H68" s="372"/>
      <c r="I68" s="372"/>
      <c r="J68" s="372"/>
      <c r="K68" s="374"/>
      <c r="L68" s="374"/>
      <c r="M68" s="374"/>
      <c r="N68" s="372"/>
      <c r="O68" s="372"/>
      <c r="P68" s="372"/>
      <c r="Q68" s="372"/>
      <c r="R68" s="372"/>
      <c r="S68" s="372"/>
      <c r="T68" s="372"/>
      <c r="U68" s="372"/>
      <c r="V68" s="372"/>
      <c r="W68" s="372"/>
      <c r="X68" s="372"/>
      <c r="Y68" s="372"/>
      <c r="Z68" s="372"/>
      <c r="AA68" s="372"/>
      <c r="AB68" s="372"/>
      <c r="AC68" s="372"/>
      <c r="AD68" s="35"/>
      <c r="AE68" s="35"/>
      <c r="AF68" s="11">
        <f t="shared" si="15"/>
        <v>0</v>
      </c>
      <c r="AG68" s="11">
        <f t="shared" si="16"/>
        <v>0</v>
      </c>
      <c r="AH68" s="11">
        <f t="shared" si="17"/>
        <v>0</v>
      </c>
    </row>
    <row r="69" spans="1:124" hidden="1">
      <c r="A69" s="14" t="s">
        <v>62</v>
      </c>
      <c r="B69" s="15"/>
      <c r="C69" s="15">
        <v>0.85</v>
      </c>
      <c r="D69" s="15"/>
      <c r="E69" s="15"/>
      <c r="F69" s="372"/>
      <c r="G69" s="372"/>
      <c r="H69" s="372"/>
      <c r="I69" s="372"/>
      <c r="J69" s="372"/>
      <c r="K69" s="374"/>
      <c r="L69" s="374"/>
      <c r="M69" s="374"/>
      <c r="N69" s="372"/>
      <c r="O69" s="372"/>
      <c r="P69" s="372"/>
      <c r="Q69" s="372"/>
      <c r="R69" s="372"/>
      <c r="S69" s="372"/>
      <c r="T69" s="372"/>
      <c r="U69" s="372"/>
      <c r="V69" s="372"/>
      <c r="W69" s="372"/>
      <c r="X69" s="372"/>
      <c r="Y69" s="372"/>
      <c r="Z69" s="372"/>
      <c r="AA69" s="372"/>
      <c r="AB69" s="372"/>
      <c r="AC69" s="372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7"/>
        <v>0</v>
      </c>
    </row>
    <row r="70" spans="1:124" hidden="1">
      <c r="A70" s="14" t="s">
        <v>63</v>
      </c>
      <c r="B70" s="15"/>
      <c r="C70" s="15">
        <v>0.85</v>
      </c>
      <c r="D70" s="15"/>
      <c r="E70" s="15"/>
      <c r="F70" s="372"/>
      <c r="G70" s="372"/>
      <c r="H70" s="372"/>
      <c r="I70" s="372"/>
      <c r="J70" s="372"/>
      <c r="K70" s="374"/>
      <c r="L70" s="374"/>
      <c r="M70" s="374"/>
      <c r="N70" s="372"/>
      <c r="O70" s="372"/>
      <c r="P70" s="372"/>
      <c r="Q70" s="372"/>
      <c r="R70" s="372"/>
      <c r="S70" s="372"/>
      <c r="T70" s="372"/>
      <c r="U70" s="372"/>
      <c r="V70" s="372"/>
      <c r="W70" s="372"/>
      <c r="X70" s="372"/>
      <c r="Y70" s="372"/>
      <c r="Z70" s="372"/>
      <c r="AA70" s="372"/>
      <c r="AB70" s="372"/>
      <c r="AC70" s="372"/>
      <c r="AD70" s="35"/>
      <c r="AE70" s="35"/>
      <c r="AF70" s="11">
        <f t="shared" si="15"/>
        <v>0</v>
      </c>
      <c r="AG70" s="11">
        <f t="shared" si="16"/>
        <v>0</v>
      </c>
      <c r="AH70" s="11">
        <f t="shared" si="17"/>
        <v>0</v>
      </c>
      <c r="AI70" s="5"/>
      <c r="AJ70" s="5"/>
      <c r="AK70" s="5"/>
      <c r="AL70" s="5"/>
    </row>
    <row r="71" spans="1:124" hidden="1">
      <c r="A71" s="14" t="s">
        <v>64</v>
      </c>
      <c r="B71" s="15"/>
      <c r="C71" s="15">
        <v>0.85</v>
      </c>
      <c r="D71" s="15"/>
      <c r="E71" s="15"/>
      <c r="F71" s="372"/>
      <c r="G71" s="372"/>
      <c r="H71" s="372"/>
      <c r="I71" s="372"/>
      <c r="J71" s="372"/>
      <c r="K71" s="374"/>
      <c r="L71" s="374"/>
      <c r="M71" s="374"/>
      <c r="N71" s="372"/>
      <c r="O71" s="372"/>
      <c r="P71" s="372"/>
      <c r="Q71" s="372"/>
      <c r="R71" s="372"/>
      <c r="S71" s="372"/>
      <c r="T71" s="372"/>
      <c r="U71" s="372"/>
      <c r="V71" s="372"/>
      <c r="W71" s="372"/>
      <c r="X71" s="372"/>
      <c r="Y71" s="372"/>
      <c r="Z71" s="372"/>
      <c r="AA71" s="372"/>
      <c r="AB71" s="372"/>
      <c r="AC71" s="372"/>
      <c r="AD71" s="35"/>
      <c r="AE71" s="35"/>
      <c r="AF71" s="11">
        <f t="shared" si="15"/>
        <v>0</v>
      </c>
      <c r="AG71" s="11">
        <f t="shared" si="16"/>
        <v>0</v>
      </c>
      <c r="AH71" s="11">
        <f t="shared" si="17"/>
        <v>0</v>
      </c>
    </row>
    <row r="72" spans="1:124" hidden="1">
      <c r="A72" s="14" t="s">
        <v>65</v>
      </c>
      <c r="B72" s="15"/>
      <c r="C72" s="15">
        <v>0.85</v>
      </c>
      <c r="D72" s="15"/>
      <c r="E72" s="15"/>
      <c r="F72" s="372"/>
      <c r="G72" s="372"/>
      <c r="H72" s="372"/>
      <c r="I72" s="372"/>
      <c r="J72" s="372"/>
      <c r="K72" s="374"/>
      <c r="L72" s="374"/>
      <c r="M72" s="374"/>
      <c r="N72" s="372"/>
      <c r="O72" s="372"/>
      <c r="P72" s="372"/>
      <c r="Q72" s="372"/>
      <c r="R72" s="372"/>
      <c r="S72" s="372"/>
      <c r="T72" s="372"/>
      <c r="U72" s="372"/>
      <c r="V72" s="372"/>
      <c r="W72" s="372"/>
      <c r="X72" s="372"/>
      <c r="Y72" s="372"/>
      <c r="Z72" s="372"/>
      <c r="AA72" s="372"/>
      <c r="AB72" s="372"/>
      <c r="AC72" s="372"/>
      <c r="AD72" s="35"/>
      <c r="AE72" s="35"/>
      <c r="AF72" s="11">
        <f t="shared" si="15"/>
        <v>0</v>
      </c>
      <c r="AG72" s="11">
        <f t="shared" si="16"/>
        <v>0</v>
      </c>
      <c r="AH72" s="11">
        <f t="shared" si="17"/>
        <v>0</v>
      </c>
    </row>
    <row r="73" spans="1:124" hidden="1">
      <c r="A73" s="14" t="s">
        <v>66</v>
      </c>
      <c r="B73" s="15"/>
      <c r="C73" s="15">
        <v>0.85</v>
      </c>
      <c r="D73" s="15"/>
      <c r="E73" s="15"/>
      <c r="F73" s="372"/>
      <c r="G73" s="372"/>
      <c r="H73" s="372"/>
      <c r="I73" s="372"/>
      <c r="J73" s="372"/>
      <c r="K73" s="374"/>
      <c r="L73" s="374"/>
      <c r="M73" s="374"/>
      <c r="N73" s="372"/>
      <c r="O73" s="372"/>
      <c r="P73" s="372"/>
      <c r="Q73" s="372"/>
      <c r="R73" s="372"/>
      <c r="S73" s="372"/>
      <c r="T73" s="372"/>
      <c r="U73" s="372"/>
      <c r="V73" s="372"/>
      <c r="W73" s="372"/>
      <c r="X73" s="372"/>
      <c r="Y73" s="372"/>
      <c r="Z73" s="372"/>
      <c r="AA73" s="372"/>
      <c r="AB73" s="372"/>
      <c r="AC73" s="372"/>
      <c r="AD73" s="35"/>
      <c r="AE73" s="35"/>
      <c r="AF73" s="11">
        <f t="shared" si="15"/>
        <v>0</v>
      </c>
      <c r="AG73" s="11">
        <f t="shared" si="16"/>
        <v>0</v>
      </c>
      <c r="AH73" s="11">
        <f t="shared" si="17"/>
        <v>0</v>
      </c>
    </row>
    <row r="74" spans="1:124" hidden="1">
      <c r="A74" s="14" t="s">
        <v>67</v>
      </c>
      <c r="B74" s="19"/>
      <c r="C74" s="15">
        <v>0.85</v>
      </c>
      <c r="D74" s="15"/>
      <c r="E74" s="15"/>
      <c r="F74" s="372"/>
      <c r="G74" s="372"/>
      <c r="H74" s="372"/>
      <c r="I74" s="372"/>
      <c r="J74" s="372"/>
      <c r="K74" s="374"/>
      <c r="L74" s="374"/>
      <c r="M74" s="374"/>
      <c r="N74" s="372"/>
      <c r="O74" s="372"/>
      <c r="P74" s="372"/>
      <c r="Q74" s="372"/>
      <c r="R74" s="372"/>
      <c r="S74" s="372"/>
      <c r="T74" s="372"/>
      <c r="U74" s="372"/>
      <c r="V74" s="372"/>
      <c r="W74" s="372"/>
      <c r="X74" s="372"/>
      <c r="Y74" s="372"/>
      <c r="Z74" s="372"/>
      <c r="AA74" s="372"/>
      <c r="AB74" s="372"/>
      <c r="AC74" s="372"/>
      <c r="AD74" s="29"/>
      <c r="AE74" s="29"/>
      <c r="AF74" s="11">
        <f t="shared" si="15"/>
        <v>0</v>
      </c>
      <c r="AG74" s="11">
        <f t="shared" si="16"/>
        <v>0</v>
      </c>
      <c r="AH74" s="11">
        <f t="shared" si="17"/>
        <v>0</v>
      </c>
    </row>
    <row r="75" spans="1:124" ht="15.75" hidden="1" customHeight="1">
      <c r="A75" s="14" t="s">
        <v>68</v>
      </c>
      <c r="B75" s="9"/>
      <c r="C75" s="15">
        <v>0.85</v>
      </c>
      <c r="D75" s="15"/>
      <c r="E75" s="15"/>
      <c r="F75" s="372"/>
      <c r="G75" s="372"/>
      <c r="H75" s="372"/>
      <c r="I75" s="372"/>
      <c r="J75" s="372"/>
      <c r="K75" s="374"/>
      <c r="L75" s="374"/>
      <c r="M75" s="374"/>
      <c r="N75" s="372"/>
      <c r="O75" s="372"/>
      <c r="P75" s="372"/>
      <c r="Q75" s="372"/>
      <c r="R75" s="372"/>
      <c r="S75" s="372"/>
      <c r="T75" s="372"/>
      <c r="U75" s="372"/>
      <c r="V75" s="372"/>
      <c r="W75" s="372"/>
      <c r="X75" s="372"/>
      <c r="Y75" s="372"/>
      <c r="Z75" s="372"/>
      <c r="AA75" s="372"/>
      <c r="AB75" s="372"/>
      <c r="AC75" s="372"/>
      <c r="AD75" s="31"/>
      <c r="AE75" s="31"/>
      <c r="AF75" s="11">
        <f t="shared" si="15"/>
        <v>0</v>
      </c>
      <c r="AG75" s="11">
        <f t="shared" si="16"/>
        <v>0</v>
      </c>
      <c r="AH75" s="11">
        <f t="shared" si="17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18">SUM(F67:F75)</f>
        <v>0</v>
      </c>
      <c r="G76" s="19">
        <f t="shared" si="18"/>
        <v>0</v>
      </c>
      <c r="H76" s="19">
        <f t="shared" si="18"/>
        <v>0</v>
      </c>
      <c r="I76" s="19">
        <f t="shared" si="18"/>
        <v>0</v>
      </c>
      <c r="J76" s="19">
        <f t="shared" si="18"/>
        <v>0</v>
      </c>
      <c r="K76" s="19">
        <f t="shared" si="18"/>
        <v>0</v>
      </c>
      <c r="L76" s="19">
        <f>SUM(L67:L75)</f>
        <v>0</v>
      </c>
      <c r="M76" s="19">
        <f t="shared" si="18"/>
        <v>0</v>
      </c>
      <c r="N76" s="19">
        <f t="shared" si="18"/>
        <v>0</v>
      </c>
      <c r="O76" s="19">
        <f t="shared" si="18"/>
        <v>0</v>
      </c>
      <c r="P76" s="19">
        <f t="shared" si="18"/>
        <v>0</v>
      </c>
      <c r="Q76" s="19">
        <f>SUM(Q67:Q75)</f>
        <v>0</v>
      </c>
      <c r="R76" s="19">
        <f t="shared" si="18"/>
        <v>0</v>
      </c>
      <c r="S76" s="19">
        <f t="shared" si="18"/>
        <v>0</v>
      </c>
      <c r="T76" s="19">
        <f t="shared" si="18"/>
        <v>0</v>
      </c>
      <c r="U76" s="19">
        <f t="shared" si="18"/>
        <v>0</v>
      </c>
      <c r="V76" s="19">
        <f t="shared" si="18"/>
        <v>0</v>
      </c>
      <c r="W76" s="19">
        <f t="shared" si="18"/>
        <v>0</v>
      </c>
      <c r="X76" s="19">
        <f t="shared" si="18"/>
        <v>0</v>
      </c>
      <c r="Y76" s="19">
        <f t="shared" si="18"/>
        <v>0</v>
      </c>
      <c r="Z76" s="19">
        <f t="shared" si="18"/>
        <v>0</v>
      </c>
      <c r="AA76" s="19">
        <f t="shared" si="18"/>
        <v>0</v>
      </c>
      <c r="AB76" s="19">
        <f t="shared" si="18"/>
        <v>0</v>
      </c>
      <c r="AC76" s="19">
        <f t="shared" si="18"/>
        <v>0</v>
      </c>
      <c r="AD76" s="34"/>
      <c r="AE76" s="34"/>
      <c r="AF76" s="11"/>
      <c r="AG76" s="11"/>
      <c r="AH76" s="11"/>
    </row>
    <row r="77" spans="1:124">
      <c r="A77" s="12" t="s">
        <v>69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 t="s">
        <v>21</v>
      </c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19.66</v>
      </c>
    </row>
    <row r="78" spans="1:124">
      <c r="A78" s="14" t="s">
        <v>70</v>
      </c>
      <c r="B78" s="20"/>
      <c r="C78" s="15">
        <v>1</v>
      </c>
      <c r="D78" s="15"/>
      <c r="E78" s="15"/>
      <c r="F78" s="372"/>
      <c r="G78" s="372"/>
      <c r="H78" s="372"/>
      <c r="I78" s="372"/>
      <c r="J78" s="372"/>
      <c r="K78" s="374"/>
      <c r="L78" s="374"/>
      <c r="M78" s="374">
        <v>0.71</v>
      </c>
      <c r="N78" s="372">
        <v>0.73</v>
      </c>
      <c r="O78" s="372">
        <v>0.77</v>
      </c>
      <c r="P78" s="372">
        <v>0.81</v>
      </c>
      <c r="Q78" s="372">
        <v>0.84</v>
      </c>
      <c r="R78" s="372">
        <v>0.85</v>
      </c>
      <c r="S78" s="372">
        <v>0.89</v>
      </c>
      <c r="T78" s="372">
        <v>0.88</v>
      </c>
      <c r="U78" s="372">
        <v>0.89</v>
      </c>
      <c r="V78" s="372"/>
      <c r="W78" s="372"/>
      <c r="X78" s="372"/>
      <c r="Y78" s="372"/>
      <c r="Z78" s="372"/>
      <c r="AA78" s="372"/>
      <c r="AB78" s="372"/>
      <c r="AC78" s="372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9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71</v>
      </c>
      <c r="B79" s="20"/>
      <c r="C79" s="15">
        <v>1</v>
      </c>
      <c r="D79" s="15"/>
      <c r="E79" s="15"/>
      <c r="F79" s="372">
        <v>0.8</v>
      </c>
      <c r="G79" s="372">
        <v>0.76</v>
      </c>
      <c r="H79" s="372">
        <v>0.75</v>
      </c>
      <c r="I79" s="372">
        <v>0.71</v>
      </c>
      <c r="J79" s="372">
        <v>0.71</v>
      </c>
      <c r="K79" s="374">
        <v>0.72</v>
      </c>
      <c r="L79" s="374">
        <v>0.73</v>
      </c>
      <c r="M79" s="374"/>
      <c r="N79" s="372"/>
      <c r="O79" s="372"/>
      <c r="P79" s="372"/>
      <c r="Q79" s="372"/>
      <c r="R79" s="372"/>
      <c r="S79" s="372"/>
      <c r="T79" s="372"/>
      <c r="U79" s="372"/>
      <c r="V79" s="372">
        <v>0.86</v>
      </c>
      <c r="W79" s="372">
        <v>0.85</v>
      </c>
      <c r="X79" s="372">
        <v>0.83</v>
      </c>
      <c r="Y79" s="372">
        <v>0.96</v>
      </c>
      <c r="Z79" s="372">
        <v>0.94</v>
      </c>
      <c r="AA79" s="372">
        <v>0.93</v>
      </c>
      <c r="AB79" s="372">
        <v>0.9</v>
      </c>
      <c r="AC79" s="372">
        <v>0.84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15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19">SUM(F78:F79)</f>
        <v>0.8</v>
      </c>
      <c r="G80" s="19">
        <f t="shared" si="19"/>
        <v>0.76</v>
      </c>
      <c r="H80" s="19">
        <f>SUM(H78:H79)</f>
        <v>0.75</v>
      </c>
      <c r="I80" s="19">
        <f>SUM(I78:I79)</f>
        <v>0.71</v>
      </c>
      <c r="J80" s="19">
        <f t="shared" ref="J80:AB80" si="20">SUM(J78:J79)</f>
        <v>0.71</v>
      </c>
      <c r="K80" s="19">
        <f t="shared" si="20"/>
        <v>0.72</v>
      </c>
      <c r="L80" s="19">
        <f>SUM(L78:L79)</f>
        <v>0.73</v>
      </c>
      <c r="M80" s="19">
        <f t="shared" si="20"/>
        <v>0.71</v>
      </c>
      <c r="N80" s="19">
        <f t="shared" si="20"/>
        <v>0.73</v>
      </c>
      <c r="O80" s="19">
        <f>SUM(O78:O79)</f>
        <v>0.77</v>
      </c>
      <c r="P80" s="19">
        <f t="shared" si="20"/>
        <v>0.81</v>
      </c>
      <c r="Q80" s="19">
        <f t="shared" si="20"/>
        <v>0.84</v>
      </c>
      <c r="R80" s="19">
        <f t="shared" si="20"/>
        <v>0.85</v>
      </c>
      <c r="S80" s="19">
        <f t="shared" si="20"/>
        <v>0.89</v>
      </c>
      <c r="T80" s="19">
        <f t="shared" si="20"/>
        <v>0.88</v>
      </c>
      <c r="U80" s="19">
        <f t="shared" si="20"/>
        <v>0.89</v>
      </c>
      <c r="V80" s="19">
        <f t="shared" si="20"/>
        <v>0.86</v>
      </c>
      <c r="W80" s="19">
        <f t="shared" si="20"/>
        <v>0.85</v>
      </c>
      <c r="X80" s="19">
        <f t="shared" si="20"/>
        <v>0.83</v>
      </c>
      <c r="Y80" s="19">
        <f t="shared" si="20"/>
        <v>0.96</v>
      </c>
      <c r="Z80" s="19">
        <f t="shared" si="20"/>
        <v>0.94</v>
      </c>
      <c r="AA80" s="19">
        <f t="shared" si="20"/>
        <v>0.93</v>
      </c>
      <c r="AB80" s="19">
        <f t="shared" si="20"/>
        <v>0.9</v>
      </c>
      <c r="AC80" s="19">
        <v>0.88</v>
      </c>
      <c r="AD80" s="34"/>
      <c r="AE80" s="34"/>
      <c r="AF80" s="11"/>
      <c r="AG80" s="11"/>
      <c r="AH80" s="11"/>
    </row>
    <row r="81" spans="1:40" ht="17.45" hidden="1">
      <c r="A81" s="366" t="s">
        <v>72</v>
      </c>
      <c r="B81" s="365"/>
      <c r="C81" s="367">
        <v>2</v>
      </c>
      <c r="D81" s="363"/>
      <c r="E81" s="363"/>
      <c r="F81" s="364"/>
      <c r="G81" s="364"/>
      <c r="H81" s="364"/>
      <c r="I81" s="364"/>
      <c r="J81" s="364"/>
      <c r="K81" s="364"/>
      <c r="L81" s="364"/>
      <c r="M81" s="364"/>
      <c r="N81" s="364"/>
      <c r="O81" s="364"/>
      <c r="P81" s="364"/>
      <c r="Q81" s="364"/>
      <c r="R81" s="364"/>
      <c r="S81" s="364"/>
      <c r="T81" s="364"/>
      <c r="U81" s="364"/>
      <c r="V81" s="364"/>
      <c r="W81" s="364"/>
      <c r="X81" s="364"/>
      <c r="Y81" s="364"/>
      <c r="Z81" s="364"/>
      <c r="AA81" s="364"/>
      <c r="AB81" s="364"/>
      <c r="AC81" s="364"/>
    </row>
    <row r="82" spans="1:40" ht="17.45" hidden="1">
      <c r="A82" s="368"/>
      <c r="B82" s="369"/>
      <c r="C82" s="370"/>
      <c r="D82" s="371"/>
      <c r="E82" s="371"/>
      <c r="F82" s="372"/>
      <c r="G82" s="372"/>
      <c r="H82" s="372"/>
      <c r="I82" s="372"/>
      <c r="J82" s="372"/>
      <c r="K82" s="374"/>
      <c r="L82" s="374"/>
      <c r="M82" s="374"/>
      <c r="N82" s="372"/>
      <c r="O82" s="372"/>
      <c r="P82" s="372"/>
      <c r="Q82" s="372"/>
      <c r="R82" s="372"/>
      <c r="S82" s="372"/>
      <c r="T82" s="372"/>
      <c r="U82" s="372"/>
      <c r="V82" s="372"/>
      <c r="W82" s="372"/>
      <c r="X82" s="372"/>
      <c r="Y82" s="372"/>
      <c r="Z82" s="372"/>
      <c r="AA82" s="372"/>
      <c r="AB82" s="372"/>
      <c r="AC82" s="372"/>
    </row>
    <row r="83" spans="1:40">
      <c r="A83" s="21" t="s">
        <v>73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:AC83" si="21">SUM(F17,F22,F25,F31,F34,F60,F65,F76,F80,F82)</f>
        <v>43.76</v>
      </c>
      <c r="G83" s="28">
        <f t="shared" si="21"/>
        <v>41.859999999999992</v>
      </c>
      <c r="H83" s="28">
        <f t="shared" si="21"/>
        <v>39.989999999999995</v>
      </c>
      <c r="I83" s="28">
        <f t="shared" si="21"/>
        <v>38.6</v>
      </c>
      <c r="J83" s="28">
        <f t="shared" si="21"/>
        <v>37.4</v>
      </c>
      <c r="K83" s="28">
        <f t="shared" si="21"/>
        <v>38.160000000000004</v>
      </c>
      <c r="L83" s="28">
        <f t="shared" si="21"/>
        <v>40.249999999999993</v>
      </c>
      <c r="M83" s="28">
        <f t="shared" si="21"/>
        <v>39.18</v>
      </c>
      <c r="N83" s="28">
        <f>SUM(N17,N22,N25,N31,N34,N60,N65,N76,N80,N82)</f>
        <v>42.509999999999991</v>
      </c>
      <c r="O83" s="28">
        <f>SUM(O17,O22,O25,O31,O34,O60,O65,O76,O80,O82)</f>
        <v>50.410000000000004</v>
      </c>
      <c r="P83" s="28">
        <f t="shared" si="21"/>
        <v>54.499999999999993</v>
      </c>
      <c r="Q83" s="28">
        <f t="shared" si="21"/>
        <v>55.75</v>
      </c>
      <c r="R83" s="28">
        <f t="shared" si="21"/>
        <v>54.739999999999995</v>
      </c>
      <c r="S83" s="28">
        <f t="shared" si="21"/>
        <v>55.175000000000004</v>
      </c>
      <c r="T83" s="28">
        <f t="shared" si="21"/>
        <v>59.67</v>
      </c>
      <c r="U83" s="28">
        <f>SUM(U17,U22,U25,U31,U34,U60,U65,U76,U80,U82)</f>
        <v>60.080000000000005</v>
      </c>
      <c r="V83" s="28">
        <f t="shared" si="21"/>
        <v>59.109999999999992</v>
      </c>
      <c r="W83" s="28">
        <f t="shared" si="21"/>
        <v>51.170000000000009</v>
      </c>
      <c r="X83" s="28">
        <f t="shared" si="21"/>
        <v>56.249999999999986</v>
      </c>
      <c r="Y83" s="28">
        <f t="shared" si="21"/>
        <v>60.789999999999992</v>
      </c>
      <c r="Z83" s="28">
        <f t="shared" si="21"/>
        <v>58.9</v>
      </c>
      <c r="AA83" s="28">
        <f t="shared" si="21"/>
        <v>55.63</v>
      </c>
      <c r="AB83" s="28">
        <f t="shared" si="21"/>
        <v>52.18</v>
      </c>
      <c r="AC83" s="28">
        <f t="shared" si="21"/>
        <v>47.49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25" t="s">
        <v>74</v>
      </c>
      <c r="B85" s="525"/>
      <c r="C85" s="525"/>
      <c r="D85" s="525"/>
      <c r="E85" s="525"/>
      <c r="F85" s="525"/>
      <c r="G85" s="525"/>
      <c r="H85" s="525"/>
      <c r="I85" s="525"/>
      <c r="J85" s="525"/>
      <c r="K85" s="525"/>
      <c r="L85" s="525"/>
      <c r="M85" s="525"/>
      <c r="N85" s="525"/>
      <c r="O85" s="525"/>
      <c r="P85" s="525"/>
      <c r="Q85" s="525"/>
      <c r="R85" s="525"/>
      <c r="S85" s="525"/>
      <c r="T85" s="525"/>
      <c r="U85" s="525"/>
      <c r="V85" s="525"/>
      <c r="W85" s="525"/>
      <c r="X85" s="525"/>
      <c r="Y85" s="525"/>
      <c r="Z85" s="525"/>
      <c r="AA85" s="525"/>
      <c r="AB85" s="525"/>
      <c r="AC85" s="525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</row>
    <row r="87" spans="1:40" ht="17.45">
      <c r="A87" s="500" t="s">
        <v>75</v>
      </c>
      <c r="B87" s="501"/>
      <c r="C87" s="502"/>
      <c r="D87" s="49"/>
      <c r="E87" s="49"/>
      <c r="F87" s="506" t="s">
        <v>76</v>
      </c>
      <c r="G87" s="506"/>
      <c r="H87" s="506"/>
      <c r="I87" s="506"/>
      <c r="J87" s="506"/>
      <c r="K87" s="506"/>
      <c r="L87" s="506"/>
      <c r="M87" s="506"/>
      <c r="N87" s="506"/>
      <c r="O87" s="506"/>
      <c r="P87" s="506"/>
      <c r="Q87" s="506"/>
      <c r="R87" s="506"/>
      <c r="S87" s="506"/>
      <c r="T87" s="506"/>
      <c r="U87" s="506"/>
      <c r="V87" s="506"/>
      <c r="W87" s="506"/>
      <c r="X87" s="506"/>
      <c r="Y87" s="506"/>
      <c r="Z87" s="506"/>
      <c r="AA87" s="506"/>
      <c r="AB87" s="506"/>
      <c r="AC87" s="506"/>
      <c r="AD87" s="5"/>
      <c r="AE87" s="5"/>
      <c r="AF87" s="5"/>
      <c r="AG87" s="5"/>
      <c r="AH87" s="5"/>
    </row>
    <row r="88" spans="1:40" ht="15.6" customHeight="1">
      <c r="A88" s="503"/>
      <c r="B88" s="504"/>
      <c r="C88" s="505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07" t="s">
        <v>27</v>
      </c>
      <c r="B89" s="508"/>
      <c r="C89" s="509"/>
      <c r="D89" s="45"/>
      <c r="E89" s="45"/>
      <c r="F89" s="64">
        <f t="shared" ref="F89:AC89" si="22">SUM(F22,F25)</f>
        <v>6</v>
      </c>
      <c r="G89" s="64">
        <f t="shared" si="22"/>
        <v>3</v>
      </c>
      <c r="H89" s="64">
        <f t="shared" si="22"/>
        <v>0</v>
      </c>
      <c r="I89" s="64">
        <f t="shared" si="22"/>
        <v>0</v>
      </c>
      <c r="J89" s="64">
        <f t="shared" si="22"/>
        <v>0</v>
      </c>
      <c r="K89" s="64">
        <f t="shared" si="22"/>
        <v>0</v>
      </c>
      <c r="L89" s="64">
        <f t="shared" si="22"/>
        <v>0</v>
      </c>
      <c r="M89" s="64">
        <f t="shared" si="22"/>
        <v>0</v>
      </c>
      <c r="N89" s="64">
        <f t="shared" si="22"/>
        <v>1.4</v>
      </c>
      <c r="O89" s="64">
        <f t="shared" si="22"/>
        <v>5.4</v>
      </c>
      <c r="P89" s="64">
        <f t="shared" si="22"/>
        <v>10.399999999999999</v>
      </c>
      <c r="Q89" s="64">
        <f t="shared" si="22"/>
        <v>9.8000000000000007</v>
      </c>
      <c r="R89" s="64">
        <f t="shared" si="22"/>
        <v>8.8999999999999986</v>
      </c>
      <c r="S89" s="64">
        <f t="shared" si="22"/>
        <v>8.1</v>
      </c>
      <c r="T89" s="64">
        <f t="shared" si="22"/>
        <v>10.399999999999999</v>
      </c>
      <c r="U89" s="64">
        <f t="shared" si="22"/>
        <v>10.399999999999999</v>
      </c>
      <c r="V89" s="64">
        <f t="shared" si="22"/>
        <v>10.399999999999999</v>
      </c>
      <c r="W89" s="64">
        <f t="shared" si="22"/>
        <v>8.1</v>
      </c>
      <c r="X89" s="64">
        <f t="shared" si="22"/>
        <v>10.399999999999999</v>
      </c>
      <c r="Y89" s="64">
        <f t="shared" si="22"/>
        <v>10.399999999999999</v>
      </c>
      <c r="Z89" s="64">
        <f t="shared" si="22"/>
        <v>10.399999999999999</v>
      </c>
      <c r="AA89" s="64">
        <f t="shared" si="22"/>
        <v>9.6</v>
      </c>
      <c r="AB89" s="64">
        <f t="shared" si="22"/>
        <v>10.399999999999999</v>
      </c>
      <c r="AC89" s="64">
        <f t="shared" si="22"/>
        <v>8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521" t="s">
        <v>77</v>
      </c>
      <c r="B90" s="521"/>
      <c r="C90" s="522"/>
      <c r="D90" s="45"/>
      <c r="E90" s="45"/>
      <c r="F90" s="68">
        <v>0.24</v>
      </c>
      <c r="G90" s="68"/>
      <c r="H90" s="68"/>
      <c r="I90" s="68"/>
      <c r="J90" s="68"/>
      <c r="K90" s="68"/>
      <c r="L90" s="68"/>
      <c r="M90" s="68"/>
      <c r="N90" s="68"/>
      <c r="O90" s="68"/>
      <c r="P90" s="68">
        <v>0.2</v>
      </c>
      <c r="Q90" s="68">
        <v>0.191</v>
      </c>
      <c r="R90" s="68">
        <v>0.24</v>
      </c>
      <c r="S90" s="68">
        <v>0.246</v>
      </c>
      <c r="T90" s="68">
        <v>0.21199999999999999</v>
      </c>
      <c r="U90" s="68">
        <v>0.251</v>
      </c>
      <c r="V90" s="68">
        <v>0.20399999999999999</v>
      </c>
      <c r="W90" s="68">
        <v>0.24</v>
      </c>
      <c r="X90" s="68">
        <v>0.23799999999999999</v>
      </c>
      <c r="Y90" s="68">
        <v>0.25</v>
      </c>
      <c r="Z90" s="68">
        <v>0.152</v>
      </c>
      <c r="AA90" s="68">
        <v>0.17899999999999999</v>
      </c>
      <c r="AB90" s="68">
        <v>0.19600000000000001</v>
      </c>
      <c r="AC90" s="68">
        <v>0.20499999999999999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07" t="s">
        <v>78</v>
      </c>
      <c r="B91" s="508"/>
      <c r="C91" s="509"/>
      <c r="D91" s="45"/>
      <c r="E91" s="45"/>
      <c r="F91" s="64">
        <f t="shared" ref="F91:AC91" si="23">F17</f>
        <v>20.100000000000001</v>
      </c>
      <c r="G91" s="64">
        <f t="shared" si="23"/>
        <v>19.799999999999997</v>
      </c>
      <c r="H91" s="64">
        <f t="shared" si="23"/>
        <v>19.799999999999997</v>
      </c>
      <c r="I91" s="64">
        <f t="shared" si="23"/>
        <v>19.7</v>
      </c>
      <c r="J91" s="64">
        <f t="shared" si="23"/>
        <v>19.5</v>
      </c>
      <c r="K91" s="64">
        <f t="shared" si="23"/>
        <v>19.8</v>
      </c>
      <c r="L91" s="64">
        <f t="shared" si="23"/>
        <v>20.100000000000001</v>
      </c>
      <c r="M91" s="64">
        <f t="shared" si="23"/>
        <v>20.2</v>
      </c>
      <c r="N91" s="64">
        <f t="shared" si="23"/>
        <v>19.799999999999997</v>
      </c>
      <c r="O91" s="64">
        <f t="shared" si="23"/>
        <v>20.399999999999999</v>
      </c>
      <c r="P91" s="64">
        <f t="shared" si="23"/>
        <v>21.299999999999997</v>
      </c>
      <c r="Q91" s="64">
        <f t="shared" si="23"/>
        <v>25.6</v>
      </c>
      <c r="R91" s="64">
        <f t="shared" si="23"/>
        <v>25.6</v>
      </c>
      <c r="S91" s="64">
        <f t="shared" si="23"/>
        <v>26.4</v>
      </c>
      <c r="T91" s="64">
        <f t="shared" si="23"/>
        <v>27.2</v>
      </c>
      <c r="U91" s="64">
        <f t="shared" si="23"/>
        <v>25.6</v>
      </c>
      <c r="V91" s="64">
        <f t="shared" si="23"/>
        <v>26.8</v>
      </c>
      <c r="W91" s="64">
        <f t="shared" si="23"/>
        <v>25.6</v>
      </c>
      <c r="X91" s="64">
        <f t="shared" si="23"/>
        <v>26.8</v>
      </c>
      <c r="Y91" s="64">
        <f t="shared" si="23"/>
        <v>27.2</v>
      </c>
      <c r="Z91" s="64">
        <f t="shared" si="23"/>
        <v>26.8</v>
      </c>
      <c r="AA91" s="64">
        <f t="shared" si="23"/>
        <v>26.8</v>
      </c>
      <c r="AB91" s="64">
        <f t="shared" si="23"/>
        <v>19.799999999999997</v>
      </c>
      <c r="AC91" s="64">
        <f t="shared" si="23"/>
        <v>20.100000000000001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21" t="s">
        <v>79</v>
      </c>
      <c r="B92" s="521"/>
      <c r="C92" s="522"/>
      <c r="D92" s="45"/>
      <c r="E92" s="45"/>
      <c r="F92" s="68">
        <v>0.57599999999999996</v>
      </c>
      <c r="G92" s="68">
        <v>0.74399999999999999</v>
      </c>
      <c r="H92" s="68">
        <v>0.61199999999999999</v>
      </c>
      <c r="I92" s="68">
        <v>0.64</v>
      </c>
      <c r="J92" s="68">
        <v>0.60199999999999998</v>
      </c>
      <c r="K92" s="68">
        <v>0.95599999999999996</v>
      </c>
      <c r="L92" s="68">
        <v>0.69399999999999995</v>
      </c>
      <c r="M92" s="68">
        <v>0.79400000000000004</v>
      </c>
      <c r="N92" s="68">
        <v>0.79800000000000004</v>
      </c>
      <c r="O92" s="68">
        <v>0.755</v>
      </c>
      <c r="P92" s="68">
        <v>1.0229999999999999</v>
      </c>
      <c r="Q92" s="68">
        <v>1.0640000000000001</v>
      </c>
      <c r="R92" s="68">
        <v>1.0569999999999999</v>
      </c>
      <c r="S92" s="68">
        <v>1.0880000000000001</v>
      </c>
      <c r="T92" s="68">
        <v>1.012</v>
      </c>
      <c r="U92" s="68">
        <v>1.0329999999999999</v>
      </c>
      <c r="V92" s="68">
        <v>1.044</v>
      </c>
      <c r="W92" s="68">
        <v>1.0309999999999999</v>
      </c>
      <c r="X92" s="68">
        <v>1.044</v>
      </c>
      <c r="Y92" s="68" t="s">
        <v>100</v>
      </c>
      <c r="Z92" s="68">
        <v>0.69799999999999995</v>
      </c>
      <c r="AA92" s="68">
        <v>0.69399999999999995</v>
      </c>
      <c r="AB92" s="68">
        <v>0.69599999999999995</v>
      </c>
      <c r="AC92" s="68">
        <v>0.91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07" t="s">
        <v>29</v>
      </c>
      <c r="B93" s="508"/>
      <c r="C93" s="509"/>
      <c r="D93" s="45"/>
      <c r="E93" s="45"/>
      <c r="F93" s="65">
        <f t="shared" ref="F93:AC93" si="24">F31</f>
        <v>3</v>
      </c>
      <c r="G93" s="65">
        <f t="shared" si="24"/>
        <v>3</v>
      </c>
      <c r="H93" s="65">
        <f t="shared" si="24"/>
        <v>4.2</v>
      </c>
      <c r="I93" s="65">
        <f t="shared" si="24"/>
        <v>4</v>
      </c>
      <c r="J93" s="65">
        <f t="shared" si="24"/>
        <v>3.5</v>
      </c>
      <c r="K93" s="65">
        <f t="shared" si="24"/>
        <v>3.5</v>
      </c>
      <c r="L93" s="65">
        <f t="shared" si="24"/>
        <v>4.2</v>
      </c>
      <c r="M93" s="65">
        <f t="shared" si="24"/>
        <v>3</v>
      </c>
      <c r="N93" s="65">
        <f t="shared" si="24"/>
        <v>4</v>
      </c>
      <c r="O93" s="65">
        <f t="shared" si="24"/>
        <v>4.3</v>
      </c>
      <c r="P93" s="65">
        <f t="shared" si="24"/>
        <v>3.8</v>
      </c>
      <c r="Q93" s="65">
        <f t="shared" si="24"/>
        <v>4</v>
      </c>
      <c r="R93" s="65">
        <f t="shared" si="24"/>
        <v>3.8</v>
      </c>
      <c r="S93" s="65">
        <f t="shared" si="24"/>
        <v>4.2</v>
      </c>
      <c r="T93" s="65">
        <f>T31</f>
        <v>4.2</v>
      </c>
      <c r="U93" s="65">
        <f t="shared" si="24"/>
        <v>4.0999999999999996</v>
      </c>
      <c r="V93" s="65">
        <f t="shared" si="24"/>
        <v>4.0999999999999996</v>
      </c>
      <c r="W93" s="65">
        <f t="shared" si="24"/>
        <v>2.5</v>
      </c>
      <c r="X93" s="65">
        <f t="shared" si="24"/>
        <v>3.4</v>
      </c>
      <c r="Y93" s="65">
        <f t="shared" si="24"/>
        <v>4.3</v>
      </c>
      <c r="Z93" s="65">
        <f t="shared" si="24"/>
        <v>4.2</v>
      </c>
      <c r="AA93" s="65">
        <f t="shared" si="24"/>
        <v>3.5</v>
      </c>
      <c r="AB93" s="65">
        <f t="shared" si="24"/>
        <v>4</v>
      </c>
      <c r="AC93" s="65">
        <f t="shared" si="24"/>
        <v>3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21" t="s">
        <v>80</v>
      </c>
      <c r="B94" s="521"/>
      <c r="C94" s="522"/>
      <c r="D94" s="45"/>
      <c r="E94" s="45"/>
      <c r="F94" s="68">
        <v>0.155</v>
      </c>
      <c r="G94" s="68">
        <v>0.16200000000000001</v>
      </c>
      <c r="H94" s="68">
        <v>0.155</v>
      </c>
      <c r="I94" s="68">
        <v>0.158</v>
      </c>
      <c r="J94" s="68">
        <v>0.158</v>
      </c>
      <c r="K94" s="68">
        <v>0.16300000000000001</v>
      </c>
      <c r="L94" s="68">
        <v>0.16200000000000001</v>
      </c>
      <c r="M94" s="68">
        <v>0.19500000000000001</v>
      </c>
      <c r="N94" s="68">
        <v>0.18</v>
      </c>
      <c r="O94" s="68">
        <v>0.183</v>
      </c>
      <c r="P94" s="68">
        <v>0.19700000000000001</v>
      </c>
      <c r="Q94" s="68">
        <v>0.17599999999999999</v>
      </c>
      <c r="R94" s="68">
        <v>0.17899999999999999</v>
      </c>
      <c r="S94" s="68">
        <v>0.17699999999999999</v>
      </c>
      <c r="T94" s="68">
        <v>0.19800000000000001</v>
      </c>
      <c r="U94" s="68">
        <v>0.19900000000000001</v>
      </c>
      <c r="V94" s="68">
        <v>0.215</v>
      </c>
      <c r="W94" s="68">
        <v>0.20300000000000001</v>
      </c>
      <c r="X94" s="68">
        <v>0.17499999999999999</v>
      </c>
      <c r="Y94" s="68">
        <v>0.17899999999999999</v>
      </c>
      <c r="Z94" s="68">
        <v>0.16400000000000001</v>
      </c>
      <c r="AA94" s="68">
        <v>0.156</v>
      </c>
      <c r="AB94" s="68"/>
      <c r="AC94" s="68">
        <v>0.16600000000000001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07" t="s">
        <v>32</v>
      </c>
      <c r="B95" s="508"/>
      <c r="C95" s="509"/>
      <c r="D95" s="45"/>
      <c r="E95" s="45"/>
      <c r="F95" s="65">
        <f t="shared" ref="F95:AC95" si="25">F34</f>
        <v>12.81</v>
      </c>
      <c r="G95" s="65">
        <f t="shared" si="25"/>
        <v>14.33</v>
      </c>
      <c r="H95" s="65">
        <f t="shared" si="25"/>
        <v>14.32</v>
      </c>
      <c r="I95" s="65">
        <f t="shared" si="25"/>
        <v>13.3</v>
      </c>
      <c r="J95" s="65">
        <f t="shared" si="25"/>
        <v>12.83</v>
      </c>
      <c r="K95" s="65">
        <f t="shared" si="25"/>
        <v>13.29</v>
      </c>
      <c r="L95" s="65">
        <f t="shared" si="25"/>
        <v>14.31</v>
      </c>
      <c r="M95" s="65">
        <f t="shared" si="25"/>
        <v>14.28</v>
      </c>
      <c r="N95" s="65">
        <f t="shared" si="25"/>
        <v>14.31</v>
      </c>
      <c r="O95" s="65">
        <f t="shared" si="25"/>
        <v>14.15</v>
      </c>
      <c r="P95" s="65">
        <f t="shared" si="25"/>
        <v>14.16</v>
      </c>
      <c r="Q95" s="65">
        <f t="shared" si="25"/>
        <v>14.21</v>
      </c>
      <c r="R95" s="65">
        <f t="shared" si="25"/>
        <v>14.27</v>
      </c>
      <c r="S95" s="65">
        <f t="shared" si="25"/>
        <v>14.21</v>
      </c>
      <c r="T95" s="65">
        <f t="shared" si="25"/>
        <v>14.23</v>
      </c>
      <c r="U95" s="65">
        <f t="shared" si="25"/>
        <v>14.27</v>
      </c>
      <c r="V95" s="65">
        <f t="shared" si="25"/>
        <v>14.25</v>
      </c>
      <c r="W95" s="65">
        <f t="shared" si="25"/>
        <v>12.81</v>
      </c>
      <c r="X95" s="65">
        <f t="shared" si="25"/>
        <v>13.52</v>
      </c>
      <c r="Y95" s="65">
        <f t="shared" si="25"/>
        <v>14.27</v>
      </c>
      <c r="Z95" s="65">
        <f t="shared" si="25"/>
        <v>14.29</v>
      </c>
      <c r="AA95" s="65">
        <f t="shared" si="25"/>
        <v>13.31</v>
      </c>
      <c r="AB95" s="65">
        <f t="shared" si="25"/>
        <v>14.32</v>
      </c>
      <c r="AC95" s="65">
        <f t="shared" si="25"/>
        <v>14.29</v>
      </c>
      <c r="AG95" s="5"/>
      <c r="AH95" s="5"/>
      <c r="AI95" s="5"/>
      <c r="AJ95" s="5"/>
      <c r="AK95" s="5"/>
      <c r="AL95" s="5"/>
      <c r="AM95" s="5"/>
      <c r="AN95" s="5"/>
    </row>
    <row r="96" spans="1:40" s="67" customFormat="1" ht="17.45">
      <c r="A96" s="521" t="s">
        <v>81</v>
      </c>
      <c r="B96" s="521"/>
      <c r="C96" s="522"/>
      <c r="D96" s="68"/>
      <c r="E96" s="68"/>
      <c r="F96" s="68">
        <v>0.69</v>
      </c>
      <c r="G96" s="68">
        <v>0.67</v>
      </c>
      <c r="H96" s="68">
        <v>0.68</v>
      </c>
      <c r="I96" s="68">
        <v>0.7</v>
      </c>
      <c r="J96" s="68">
        <v>0.67</v>
      </c>
      <c r="K96" s="68">
        <v>0.71</v>
      </c>
      <c r="L96" s="68">
        <v>0.69</v>
      </c>
      <c r="M96" s="68">
        <v>0.72</v>
      </c>
      <c r="N96" s="68">
        <v>0.69</v>
      </c>
      <c r="O96" s="68">
        <v>0.85</v>
      </c>
      <c r="P96" s="68">
        <v>0.84</v>
      </c>
      <c r="Q96" s="68">
        <v>0.79</v>
      </c>
      <c r="R96" s="68">
        <v>0.73</v>
      </c>
      <c r="S96" s="68">
        <v>0.79</v>
      </c>
      <c r="T96" s="68">
        <v>0.77</v>
      </c>
      <c r="U96" s="68">
        <v>0.73</v>
      </c>
      <c r="V96" s="68">
        <v>0.75</v>
      </c>
      <c r="W96" s="68">
        <v>0.69</v>
      </c>
      <c r="X96" s="68">
        <v>0.68</v>
      </c>
      <c r="Y96" s="68">
        <v>0.73</v>
      </c>
      <c r="Z96" s="68">
        <v>0.71</v>
      </c>
      <c r="AA96" s="68">
        <v>0.69</v>
      </c>
      <c r="AB96" s="68">
        <v>0.68</v>
      </c>
      <c r="AC96" s="68">
        <v>0.7</v>
      </c>
      <c r="AD96" s="69"/>
      <c r="AE96" s="69"/>
      <c r="AF96" s="69"/>
      <c r="AG96" s="69"/>
      <c r="AH96" s="69"/>
      <c r="AI96" s="69"/>
      <c r="AJ96" s="69"/>
      <c r="AK96" s="69"/>
    </row>
    <row r="97" spans="1:124" ht="17.45">
      <c r="A97" s="507" t="s">
        <v>33</v>
      </c>
      <c r="B97" s="508"/>
      <c r="C97" s="509"/>
      <c r="D97" s="45"/>
      <c r="E97" s="45"/>
      <c r="F97" s="64">
        <f t="shared" ref="F97:AC97" si="26">F60</f>
        <v>0</v>
      </c>
      <c r="G97" s="64">
        <f t="shared" si="26"/>
        <v>0</v>
      </c>
      <c r="H97" s="64">
        <f t="shared" si="26"/>
        <v>0</v>
      </c>
      <c r="I97" s="64">
        <f t="shared" si="26"/>
        <v>0</v>
      </c>
      <c r="J97" s="64">
        <f t="shared" si="26"/>
        <v>0</v>
      </c>
      <c r="K97" s="64">
        <f t="shared" si="26"/>
        <v>0</v>
      </c>
      <c r="L97" s="64">
        <f t="shared" si="26"/>
        <v>0</v>
      </c>
      <c r="M97" s="64">
        <f t="shared" si="26"/>
        <v>0</v>
      </c>
      <c r="N97" s="64">
        <f t="shared" si="26"/>
        <v>1.4</v>
      </c>
      <c r="O97" s="64">
        <f t="shared" si="26"/>
        <v>4.2</v>
      </c>
      <c r="P97" s="64">
        <f t="shared" si="26"/>
        <v>2.8</v>
      </c>
      <c r="Q97" s="64">
        <f t="shared" si="26"/>
        <v>0</v>
      </c>
      <c r="R97" s="64">
        <f t="shared" si="26"/>
        <v>0</v>
      </c>
      <c r="S97" s="64">
        <f t="shared" si="26"/>
        <v>0</v>
      </c>
      <c r="T97" s="64">
        <f t="shared" si="26"/>
        <v>1.4</v>
      </c>
      <c r="U97" s="64">
        <f t="shared" si="26"/>
        <v>3.5</v>
      </c>
      <c r="V97" s="64">
        <f t="shared" si="26"/>
        <v>1.4</v>
      </c>
      <c r="W97" s="64">
        <f t="shared" si="26"/>
        <v>0</v>
      </c>
      <c r="X97" s="64">
        <f t="shared" si="26"/>
        <v>0</v>
      </c>
      <c r="Y97" s="64">
        <f t="shared" si="26"/>
        <v>2.0999999999999996</v>
      </c>
      <c r="Z97" s="64">
        <f t="shared" si="26"/>
        <v>0.7</v>
      </c>
      <c r="AA97" s="64">
        <f t="shared" si="26"/>
        <v>0</v>
      </c>
      <c r="AB97" s="64">
        <f t="shared" si="26"/>
        <v>1.4</v>
      </c>
      <c r="AC97" s="64">
        <f t="shared" si="26"/>
        <v>0</v>
      </c>
      <c r="AG97" s="5"/>
      <c r="AH97" s="5"/>
      <c r="AI97" s="5"/>
      <c r="AJ97" s="5"/>
      <c r="AK97" s="5"/>
      <c r="AL97" s="5"/>
      <c r="AM97" s="5"/>
      <c r="AN97" s="5"/>
    </row>
    <row r="98" spans="1:124" ht="17.45">
      <c r="A98" s="507" t="s">
        <v>55</v>
      </c>
      <c r="B98" s="508"/>
      <c r="C98" s="509"/>
      <c r="D98" s="45"/>
      <c r="E98" s="45"/>
      <c r="F98" s="64">
        <f t="shared" ref="F98:AC98" si="27">F65</f>
        <v>1.05</v>
      </c>
      <c r="G98" s="64">
        <f t="shared" si="27"/>
        <v>0.97</v>
      </c>
      <c r="H98" s="64">
        <f t="shared" si="27"/>
        <v>0.92</v>
      </c>
      <c r="I98" s="64">
        <f t="shared" si="27"/>
        <v>0.89</v>
      </c>
      <c r="J98" s="64">
        <f t="shared" si="27"/>
        <v>0.86</v>
      </c>
      <c r="K98" s="64">
        <f t="shared" si="27"/>
        <v>0.85</v>
      </c>
      <c r="L98" s="64">
        <f t="shared" si="27"/>
        <v>0.91</v>
      </c>
      <c r="M98" s="64">
        <f t="shared" si="27"/>
        <v>0.99</v>
      </c>
      <c r="N98" s="64">
        <f t="shared" si="27"/>
        <v>0.87</v>
      </c>
      <c r="O98" s="64">
        <f t="shared" si="27"/>
        <v>1.19</v>
      </c>
      <c r="P98" s="64">
        <f t="shared" si="27"/>
        <v>1.23</v>
      </c>
      <c r="Q98" s="64">
        <f t="shared" si="27"/>
        <v>1.3</v>
      </c>
      <c r="R98" s="64">
        <f t="shared" si="27"/>
        <v>1.32</v>
      </c>
      <c r="S98" s="64">
        <f t="shared" si="27"/>
        <v>1.375</v>
      </c>
      <c r="T98" s="64">
        <f t="shared" si="27"/>
        <v>1.36</v>
      </c>
      <c r="U98" s="64">
        <f t="shared" si="27"/>
        <v>1.32</v>
      </c>
      <c r="V98" s="64">
        <f t="shared" si="27"/>
        <v>1.3</v>
      </c>
      <c r="W98" s="64">
        <f t="shared" si="27"/>
        <v>1.31</v>
      </c>
      <c r="X98" s="64">
        <f t="shared" si="27"/>
        <v>1.3</v>
      </c>
      <c r="Y98" s="64">
        <f t="shared" si="27"/>
        <v>1.56</v>
      </c>
      <c r="Z98" s="64">
        <f t="shared" si="27"/>
        <v>1.57</v>
      </c>
      <c r="AA98" s="64">
        <f t="shared" si="27"/>
        <v>1.49</v>
      </c>
      <c r="AB98" s="64">
        <f t="shared" si="27"/>
        <v>1.36</v>
      </c>
      <c r="AC98" s="64">
        <f t="shared" si="27"/>
        <v>1.22</v>
      </c>
      <c r="AG98" s="5"/>
      <c r="AH98" s="5"/>
      <c r="AI98" s="5"/>
      <c r="AJ98" s="5"/>
      <c r="AK98" s="5"/>
      <c r="AL98" s="5"/>
      <c r="AM98" s="5"/>
      <c r="AN98" s="5"/>
    </row>
    <row r="99" spans="1:124" s="2" customFormat="1" ht="17.45">
      <c r="A99" s="507" t="s">
        <v>59</v>
      </c>
      <c r="B99" s="508"/>
      <c r="C99" s="509"/>
      <c r="D99" s="45"/>
      <c r="E99" s="45"/>
      <c r="F99" s="64">
        <f t="shared" ref="F99:AC99" si="28">F76</f>
        <v>0</v>
      </c>
      <c r="G99" s="64">
        <f t="shared" si="28"/>
        <v>0</v>
      </c>
      <c r="H99" s="64">
        <f t="shared" si="28"/>
        <v>0</v>
      </c>
      <c r="I99" s="64">
        <f t="shared" si="28"/>
        <v>0</v>
      </c>
      <c r="J99" s="64">
        <f t="shared" si="28"/>
        <v>0</v>
      </c>
      <c r="K99" s="64">
        <f t="shared" si="28"/>
        <v>0</v>
      </c>
      <c r="L99" s="64">
        <f t="shared" si="28"/>
        <v>0</v>
      </c>
      <c r="M99" s="64">
        <f t="shared" si="28"/>
        <v>0</v>
      </c>
      <c r="N99" s="64">
        <f t="shared" si="28"/>
        <v>0</v>
      </c>
      <c r="O99" s="64">
        <f t="shared" si="28"/>
        <v>0</v>
      </c>
      <c r="P99" s="64">
        <f t="shared" si="28"/>
        <v>0</v>
      </c>
      <c r="Q99" s="64">
        <f t="shared" si="28"/>
        <v>0</v>
      </c>
      <c r="R99" s="64">
        <f t="shared" si="28"/>
        <v>0</v>
      </c>
      <c r="S99" s="64">
        <f t="shared" si="28"/>
        <v>0</v>
      </c>
      <c r="T99" s="64">
        <f t="shared" si="28"/>
        <v>0</v>
      </c>
      <c r="U99" s="64">
        <f t="shared" si="28"/>
        <v>0</v>
      </c>
      <c r="V99" s="64">
        <f t="shared" si="28"/>
        <v>0</v>
      </c>
      <c r="W99" s="64">
        <f t="shared" si="28"/>
        <v>0</v>
      </c>
      <c r="X99" s="64">
        <f t="shared" si="28"/>
        <v>0</v>
      </c>
      <c r="Y99" s="64">
        <f t="shared" si="28"/>
        <v>0</v>
      </c>
      <c r="Z99" s="64">
        <f t="shared" si="28"/>
        <v>0</v>
      </c>
      <c r="AA99" s="64">
        <f t="shared" si="28"/>
        <v>0</v>
      </c>
      <c r="AB99" s="64">
        <f t="shared" si="28"/>
        <v>0</v>
      </c>
      <c r="AC99" s="64">
        <f t="shared" si="28"/>
        <v>0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>
      <c r="A100" s="507" t="s">
        <v>69</v>
      </c>
      <c r="B100" s="508"/>
      <c r="C100" s="509"/>
      <c r="D100" s="45"/>
      <c r="E100" s="45"/>
      <c r="F100" s="64">
        <f t="shared" ref="F100:AC100" si="29">F80</f>
        <v>0.8</v>
      </c>
      <c r="G100" s="64">
        <f t="shared" si="29"/>
        <v>0.76</v>
      </c>
      <c r="H100" s="64">
        <f t="shared" si="29"/>
        <v>0.75</v>
      </c>
      <c r="I100" s="64">
        <f t="shared" si="29"/>
        <v>0.71</v>
      </c>
      <c r="J100" s="64">
        <f t="shared" si="29"/>
        <v>0.71</v>
      </c>
      <c r="K100" s="64">
        <f t="shared" si="29"/>
        <v>0.72</v>
      </c>
      <c r="L100" s="64">
        <f t="shared" si="29"/>
        <v>0.73</v>
      </c>
      <c r="M100" s="64">
        <f t="shared" si="29"/>
        <v>0.71</v>
      </c>
      <c r="N100" s="64">
        <f t="shared" si="29"/>
        <v>0.73</v>
      </c>
      <c r="O100" s="64">
        <f t="shared" si="29"/>
        <v>0.77</v>
      </c>
      <c r="P100" s="64">
        <f t="shared" si="29"/>
        <v>0.81</v>
      </c>
      <c r="Q100" s="64">
        <f t="shared" si="29"/>
        <v>0.84</v>
      </c>
      <c r="R100" s="64">
        <f t="shared" si="29"/>
        <v>0.85</v>
      </c>
      <c r="S100" s="64">
        <f t="shared" si="29"/>
        <v>0.89</v>
      </c>
      <c r="T100" s="64">
        <f t="shared" si="29"/>
        <v>0.88</v>
      </c>
      <c r="U100" s="64">
        <f t="shared" si="29"/>
        <v>0.89</v>
      </c>
      <c r="V100" s="64">
        <f t="shared" si="29"/>
        <v>0.86</v>
      </c>
      <c r="W100" s="64">
        <f t="shared" si="29"/>
        <v>0.85</v>
      </c>
      <c r="X100" s="64">
        <f t="shared" si="29"/>
        <v>0.83</v>
      </c>
      <c r="Y100" s="64">
        <f t="shared" si="29"/>
        <v>0.96</v>
      </c>
      <c r="Z100" s="64">
        <f t="shared" si="29"/>
        <v>0.94</v>
      </c>
      <c r="AA100" s="64">
        <f t="shared" si="29"/>
        <v>0.93</v>
      </c>
      <c r="AB100" s="64">
        <f t="shared" si="29"/>
        <v>0.9</v>
      </c>
      <c r="AC100" s="64">
        <f t="shared" si="29"/>
        <v>0.88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 customHeight="1">
      <c r="A101" s="507" t="s">
        <v>72</v>
      </c>
      <c r="B101" s="508"/>
      <c r="C101" s="509"/>
      <c r="D101" s="45"/>
      <c r="E101" s="45"/>
      <c r="F101" s="64">
        <f t="shared" ref="F101:AC101" si="30">F82</f>
        <v>0</v>
      </c>
      <c r="G101" s="64">
        <f t="shared" si="30"/>
        <v>0</v>
      </c>
      <c r="H101" s="64">
        <f t="shared" si="30"/>
        <v>0</v>
      </c>
      <c r="I101" s="64">
        <f t="shared" si="30"/>
        <v>0</v>
      </c>
      <c r="J101" s="64">
        <f t="shared" si="30"/>
        <v>0</v>
      </c>
      <c r="K101" s="64">
        <f t="shared" si="30"/>
        <v>0</v>
      </c>
      <c r="L101" s="64">
        <f t="shared" si="30"/>
        <v>0</v>
      </c>
      <c r="M101" s="64">
        <f t="shared" si="30"/>
        <v>0</v>
      </c>
      <c r="N101" s="64">
        <f t="shared" si="30"/>
        <v>0</v>
      </c>
      <c r="O101" s="64">
        <f t="shared" si="30"/>
        <v>0</v>
      </c>
      <c r="P101" s="64">
        <f t="shared" si="30"/>
        <v>0</v>
      </c>
      <c r="Q101" s="64">
        <f t="shared" si="30"/>
        <v>0</v>
      </c>
      <c r="R101" s="64">
        <f t="shared" si="30"/>
        <v>0</v>
      </c>
      <c r="S101" s="64">
        <f t="shared" si="30"/>
        <v>0</v>
      </c>
      <c r="T101" s="64">
        <f t="shared" si="30"/>
        <v>0</v>
      </c>
      <c r="U101" s="64">
        <f t="shared" si="30"/>
        <v>0</v>
      </c>
      <c r="V101" s="64">
        <f t="shared" si="30"/>
        <v>0</v>
      </c>
      <c r="W101" s="64">
        <f t="shared" si="30"/>
        <v>0</v>
      </c>
      <c r="X101" s="64">
        <f t="shared" si="30"/>
        <v>0</v>
      </c>
      <c r="Y101" s="64">
        <f t="shared" si="30"/>
        <v>0</v>
      </c>
      <c r="Z101" s="64">
        <f t="shared" si="30"/>
        <v>0</v>
      </c>
      <c r="AA101" s="64">
        <f t="shared" si="30"/>
        <v>0</v>
      </c>
      <c r="AB101" s="64">
        <f t="shared" si="30"/>
        <v>0</v>
      </c>
      <c r="AC101" s="64">
        <f t="shared" si="30"/>
        <v>0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>
      <c r="A102" s="511" t="s">
        <v>82</v>
      </c>
      <c r="B102" s="511"/>
      <c r="C102" s="511"/>
      <c r="D102" s="47"/>
      <c r="E102" s="47"/>
      <c r="F102" s="61">
        <f t="shared" ref="F102:AC102" si="31">SUM(F89,F91,F93,F95,F97:F101,F81)</f>
        <v>43.76</v>
      </c>
      <c r="G102" s="61">
        <f t="shared" si="31"/>
        <v>41.859999999999992</v>
      </c>
      <c r="H102" s="61">
        <f t="shared" si="31"/>
        <v>39.989999999999995</v>
      </c>
      <c r="I102" s="61">
        <f t="shared" si="31"/>
        <v>38.6</v>
      </c>
      <c r="J102" s="61">
        <f t="shared" si="31"/>
        <v>37.4</v>
      </c>
      <c r="K102" s="61">
        <f>SUM(K89,K91,K93,K95,K97:K101,K81)</f>
        <v>38.160000000000004</v>
      </c>
      <c r="L102" s="61">
        <f t="shared" si="31"/>
        <v>40.249999999999993</v>
      </c>
      <c r="M102" s="61">
        <f t="shared" si="31"/>
        <v>39.18</v>
      </c>
      <c r="N102" s="61">
        <f t="shared" si="31"/>
        <v>42.509999999999991</v>
      </c>
      <c r="O102" s="61">
        <f t="shared" si="31"/>
        <v>50.410000000000004</v>
      </c>
      <c r="P102" s="61">
        <f t="shared" si="31"/>
        <v>54.499999999999993</v>
      </c>
      <c r="Q102" s="61">
        <f t="shared" si="31"/>
        <v>55.750000000000007</v>
      </c>
      <c r="R102" s="61">
        <f t="shared" si="31"/>
        <v>54.739999999999995</v>
      </c>
      <c r="S102" s="61">
        <f>SUM(S89,S91,S93,S95,S97:S101,S81)</f>
        <v>55.175000000000004</v>
      </c>
      <c r="T102" s="61">
        <f>SUM(T89,T91,T93,T95,T97:T101,T81)</f>
        <v>59.67</v>
      </c>
      <c r="U102" s="61">
        <f t="shared" si="31"/>
        <v>60.080000000000005</v>
      </c>
      <c r="V102" s="61">
        <f t="shared" si="31"/>
        <v>59.11</v>
      </c>
      <c r="W102" s="61">
        <f t="shared" si="31"/>
        <v>51.170000000000009</v>
      </c>
      <c r="X102" s="61">
        <f>SUM(X89,X91,X93,X95,X97:X101,X81)</f>
        <v>56.25</v>
      </c>
      <c r="Y102" s="61">
        <f t="shared" si="31"/>
        <v>60.789999999999992</v>
      </c>
      <c r="Z102" s="61">
        <f t="shared" si="31"/>
        <v>58.900000000000006</v>
      </c>
      <c r="AA102" s="61">
        <f t="shared" si="31"/>
        <v>55.63</v>
      </c>
      <c r="AB102" s="61">
        <f t="shared" si="31"/>
        <v>52.179999999999993</v>
      </c>
      <c r="AC102" s="61">
        <f t="shared" si="31"/>
        <v>47.49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12" t="s">
        <v>83</v>
      </c>
      <c r="B103" s="512"/>
      <c r="C103" s="512"/>
      <c r="D103" s="46"/>
      <c r="E103" s="46"/>
      <c r="F103" s="76"/>
      <c r="G103" s="76"/>
      <c r="H103" s="76"/>
      <c r="I103" s="76"/>
      <c r="J103" s="76"/>
      <c r="K103" s="76"/>
      <c r="L103" s="76"/>
      <c r="M103" s="76"/>
      <c r="N103" s="76"/>
      <c r="O103" s="76"/>
      <c r="P103" s="76"/>
      <c r="Q103" s="76"/>
      <c r="R103" s="76"/>
      <c r="S103" s="76"/>
      <c r="T103" s="76"/>
      <c r="U103" s="76"/>
      <c r="V103" s="76"/>
      <c r="W103" s="76"/>
      <c r="X103" s="76"/>
      <c r="Y103" s="76"/>
      <c r="Z103" s="76"/>
      <c r="AA103" s="76"/>
      <c r="AB103" s="76"/>
      <c r="AC103" s="76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12" t="s">
        <v>84</v>
      </c>
      <c r="B104" s="512"/>
      <c r="C104" s="512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12" t="s">
        <v>85</v>
      </c>
      <c r="B105" s="512"/>
      <c r="C105" s="512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>
        <v>1.89</v>
      </c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11" t="s">
        <v>86</v>
      </c>
      <c r="B106" s="511"/>
      <c r="C106" s="511"/>
      <c r="D106" s="47"/>
      <c r="E106" s="47"/>
      <c r="F106" s="61">
        <f t="shared" ref="F106:AC106" si="32">SUM(F103:F105)</f>
        <v>0</v>
      </c>
      <c r="G106" s="61">
        <f t="shared" si="32"/>
        <v>0</v>
      </c>
      <c r="H106" s="61">
        <f t="shared" si="32"/>
        <v>0</v>
      </c>
      <c r="I106" s="61">
        <f t="shared" si="32"/>
        <v>0</v>
      </c>
      <c r="J106" s="61">
        <f t="shared" si="32"/>
        <v>0</v>
      </c>
      <c r="K106" s="61">
        <f t="shared" si="32"/>
        <v>0</v>
      </c>
      <c r="L106" s="61">
        <f t="shared" si="32"/>
        <v>0</v>
      </c>
      <c r="M106" s="61">
        <f t="shared" si="32"/>
        <v>0</v>
      </c>
      <c r="N106" s="61">
        <f t="shared" si="32"/>
        <v>0</v>
      </c>
      <c r="O106" s="61">
        <f t="shared" si="32"/>
        <v>0</v>
      </c>
      <c r="P106" s="61">
        <f t="shared" si="32"/>
        <v>0</v>
      </c>
      <c r="Q106" s="61">
        <f t="shared" si="32"/>
        <v>0</v>
      </c>
      <c r="R106" s="61">
        <f t="shared" si="32"/>
        <v>0</v>
      </c>
      <c r="S106" s="61">
        <f t="shared" si="32"/>
        <v>0</v>
      </c>
      <c r="T106" s="61">
        <f t="shared" si="32"/>
        <v>0</v>
      </c>
      <c r="U106" s="61">
        <f t="shared" si="32"/>
        <v>0</v>
      </c>
      <c r="V106" s="61">
        <f t="shared" si="32"/>
        <v>0</v>
      </c>
      <c r="W106" s="61">
        <f t="shared" si="32"/>
        <v>1.89</v>
      </c>
      <c r="X106" s="61">
        <f t="shared" si="32"/>
        <v>0</v>
      </c>
      <c r="Y106" s="61">
        <f t="shared" si="32"/>
        <v>0</v>
      </c>
      <c r="Z106" s="61">
        <f t="shared" si="32"/>
        <v>0</v>
      </c>
      <c r="AA106" s="61">
        <f t="shared" si="32"/>
        <v>0</v>
      </c>
      <c r="AB106" s="61">
        <f t="shared" si="32"/>
        <v>0</v>
      </c>
      <c r="AC106" s="61">
        <f t="shared" si="32"/>
        <v>0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13" t="s">
        <v>87</v>
      </c>
      <c r="B107" s="513"/>
      <c r="C107" s="513"/>
      <c r="D107" s="48"/>
      <c r="E107" s="48"/>
      <c r="F107" s="62">
        <f t="shared" ref="F107:AC107" si="33">F102+F106</f>
        <v>43.76</v>
      </c>
      <c r="G107" s="62">
        <f t="shared" si="33"/>
        <v>41.859999999999992</v>
      </c>
      <c r="H107" s="62">
        <f t="shared" si="33"/>
        <v>39.989999999999995</v>
      </c>
      <c r="I107" s="62">
        <f t="shared" si="33"/>
        <v>38.6</v>
      </c>
      <c r="J107" s="62">
        <f t="shared" si="33"/>
        <v>37.4</v>
      </c>
      <c r="K107" s="62">
        <f t="shared" si="33"/>
        <v>38.160000000000004</v>
      </c>
      <c r="L107" s="62">
        <f t="shared" si="33"/>
        <v>40.249999999999993</v>
      </c>
      <c r="M107" s="62">
        <f t="shared" si="33"/>
        <v>39.18</v>
      </c>
      <c r="N107" s="62">
        <f t="shared" si="33"/>
        <v>42.509999999999991</v>
      </c>
      <c r="O107" s="62">
        <f t="shared" si="33"/>
        <v>50.410000000000004</v>
      </c>
      <c r="P107" s="62">
        <f t="shared" si="33"/>
        <v>54.499999999999993</v>
      </c>
      <c r="Q107" s="62">
        <f t="shared" si="33"/>
        <v>55.750000000000007</v>
      </c>
      <c r="R107" s="62">
        <f t="shared" si="33"/>
        <v>54.739999999999995</v>
      </c>
      <c r="S107" s="62">
        <f t="shared" si="33"/>
        <v>55.175000000000004</v>
      </c>
      <c r="T107" s="62">
        <f>T102+T106</f>
        <v>59.67</v>
      </c>
      <c r="U107" s="62">
        <f t="shared" si="33"/>
        <v>60.080000000000005</v>
      </c>
      <c r="V107" s="62">
        <f t="shared" si="33"/>
        <v>59.11</v>
      </c>
      <c r="W107" s="62">
        <f>W102+W106</f>
        <v>53.060000000000009</v>
      </c>
      <c r="X107" s="62">
        <f t="shared" si="33"/>
        <v>56.25</v>
      </c>
      <c r="Y107" s="62">
        <f t="shared" si="33"/>
        <v>60.789999999999992</v>
      </c>
      <c r="Z107" s="62">
        <f t="shared" si="33"/>
        <v>58.900000000000006</v>
      </c>
      <c r="AA107" s="62">
        <f t="shared" si="33"/>
        <v>55.63</v>
      </c>
      <c r="AB107" s="62">
        <f t="shared" si="33"/>
        <v>52.179999999999993</v>
      </c>
      <c r="AC107" s="62">
        <f t="shared" si="33"/>
        <v>47.49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1" hidden="1">
      <c r="A108" s="514" t="s">
        <v>88</v>
      </c>
      <c r="B108" s="514"/>
      <c r="C108" s="514"/>
      <c r="D108" s="52"/>
      <c r="E108" s="52"/>
      <c r="F108" s="63">
        <f t="shared" ref="F108:AC108" si="34">(COUNT(F13:F16))*7.2+(COUNT(F27:F28)*4.9)+(COUNT(F19:F21)*4.5)-F91-F93</f>
        <v>15.100000000000001</v>
      </c>
      <c r="G108" s="63">
        <f t="shared" si="34"/>
        <v>15.400000000000006</v>
      </c>
      <c r="H108" s="63">
        <f t="shared" si="34"/>
        <v>14.200000000000006</v>
      </c>
      <c r="I108" s="63">
        <f t="shared" si="34"/>
        <v>14.500000000000004</v>
      </c>
      <c r="J108" s="63">
        <f t="shared" si="34"/>
        <v>15.200000000000003</v>
      </c>
      <c r="K108" s="63">
        <f t="shared" si="34"/>
        <v>14.900000000000002</v>
      </c>
      <c r="L108" s="63">
        <f t="shared" si="34"/>
        <v>6.6999999999999984</v>
      </c>
      <c r="M108" s="63">
        <f t="shared" si="34"/>
        <v>7.8000000000000007</v>
      </c>
      <c r="N108" s="63">
        <f t="shared" si="34"/>
        <v>7.2000000000000028</v>
      </c>
      <c r="O108" s="63">
        <f t="shared" si="34"/>
        <v>10.8</v>
      </c>
      <c r="P108" s="63">
        <f t="shared" si="34"/>
        <v>17.600000000000005</v>
      </c>
      <c r="Q108" s="63">
        <f t="shared" si="34"/>
        <v>13.100000000000001</v>
      </c>
      <c r="R108" s="63">
        <f t="shared" si="34"/>
        <v>13.3</v>
      </c>
      <c r="S108" s="63">
        <f t="shared" si="34"/>
        <v>12.100000000000005</v>
      </c>
      <c r="T108" s="63">
        <f>(COUNT(T13:T16))*7.2+(COUNT(T27:T28)*4.9)+(COUNT(T19:T21)*4.5)-T91-T93</f>
        <v>11.300000000000004</v>
      </c>
      <c r="U108" s="63">
        <f t="shared" si="34"/>
        <v>13.000000000000002</v>
      </c>
      <c r="V108" s="63">
        <f t="shared" si="34"/>
        <v>11.800000000000002</v>
      </c>
      <c r="W108" s="63">
        <f t="shared" si="34"/>
        <v>14.600000000000001</v>
      </c>
      <c r="X108" s="63">
        <f t="shared" si="34"/>
        <v>12.500000000000002</v>
      </c>
      <c r="Y108" s="63">
        <f t="shared" si="34"/>
        <v>11.200000000000003</v>
      </c>
      <c r="Z108" s="63">
        <f t="shared" si="34"/>
        <v>11.700000000000003</v>
      </c>
      <c r="AA108" s="63">
        <f t="shared" si="34"/>
        <v>12.400000000000002</v>
      </c>
      <c r="AB108" s="63">
        <f t="shared" si="34"/>
        <v>11.700000000000003</v>
      </c>
      <c r="AC108" s="63">
        <f t="shared" si="34"/>
        <v>19.600000000000001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>
      <c r="A109" s="515" t="s">
        <v>89</v>
      </c>
      <c r="B109" s="516"/>
      <c r="C109" s="517"/>
      <c r="D109" s="204"/>
      <c r="E109" s="204"/>
      <c r="F109" s="205">
        <f t="shared" ref="F109:P109" si="35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5</v>
      </c>
      <c r="G109" s="205">
        <f t="shared" si="35"/>
        <v>3.8000000000000043</v>
      </c>
      <c r="H109" s="205">
        <f t="shared" si="35"/>
        <v>1.1000000000000041</v>
      </c>
      <c r="I109" s="205">
        <f t="shared" si="35"/>
        <v>1.4000000000000021</v>
      </c>
      <c r="J109" s="205">
        <f t="shared" si="35"/>
        <v>2.1000000000000014</v>
      </c>
      <c r="K109" s="205">
        <f t="shared" si="35"/>
        <v>9</v>
      </c>
      <c r="L109" s="205">
        <f t="shared" si="35"/>
        <v>0.79999999999999982</v>
      </c>
      <c r="M109" s="205">
        <f t="shared" si="35"/>
        <v>1.9000000000000021</v>
      </c>
      <c r="N109" s="205">
        <f t="shared" si="35"/>
        <v>4.4000000000000039</v>
      </c>
      <c r="O109" s="205">
        <f t="shared" si="35"/>
        <v>3.0000000000000018</v>
      </c>
      <c r="P109" s="205">
        <f t="shared" si="35"/>
        <v>9.3000000000000025</v>
      </c>
      <c r="Q109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6.8000000000000007</v>
      </c>
      <c r="R109" s="205">
        <f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7.4999999999999982</v>
      </c>
      <c r="S109" s="205">
        <f t="shared" ref="S109:AC109" si="36">(AND(IF(S13&lt;&gt;0,1,0),IF(S13&lt;&gt;"CMS",1,0))*7.2)+(AND(IF(S14&lt;&gt;0,1,0),IF(S14&lt;&gt;"CMS",1,0))*7.2)+(AND(IF(S15&lt;&gt;0,1,0),IF(S15&lt;&gt;"CMS",1,0))*7.2)+(AND(IF(S16&lt;&gt;0,1,0),IF(S16&lt;&gt;"CMS",1,0))*7.2)-S17
+(AND(IF(S27&lt;&gt;0,1,0),IF(S27&lt;&gt;"CMS",1,0))*4.5)+(AND(IF(S28&lt;&gt;0,1,0),IF(S28&lt;&gt;"CMS",1,0))*4.5)-S31
+AND(IF(S24&lt;&gt;0,1,0),IF(S24&lt;&gt;"CMS",1,0))*4.5-S25
+(AND(IF(S19&lt;&gt;0,1,0),IF(S19&lt;&gt;"CMS",1,0))*3.5)+(AND(IF(S20&lt;&gt;0,1,0),IF(S20&lt;&gt;"CMS",1,0))*4.5)+(AND(IF(S21&lt;&gt;0,1,0),IF(S21&lt;&gt;"CMS",1,0))*4.5)-S22</f>
        <v>7.1000000000000032</v>
      </c>
      <c r="T109" s="205">
        <f t="shared" si="36"/>
        <v>4.0000000000000018</v>
      </c>
      <c r="U109" s="205">
        <f t="shared" si="36"/>
        <v>5.7000000000000011</v>
      </c>
      <c r="V109" s="205">
        <f t="shared" si="36"/>
        <v>4.5000000000000018</v>
      </c>
      <c r="W109" s="205">
        <f>(AND(IF(W13&lt;&gt;0,1,0),IF(W13&lt;&gt;"CMS",1,0))*7.2)+(AND(IF(W14&lt;&gt;0,1,0),IF(W14&lt;&gt;"CMS",1,0))*7.2)+(AND(IF(W15&lt;&gt;0,1,0),IF(W15&lt;&gt;"CMS",1,0))*7.2)+(AND(IF(W16&lt;&gt;0,1,0),IF(W16&lt;&gt;"CMS",1,0))*7.2)-W17
+(AND(IF(W27&lt;&gt;0,1,0),IF(W27&lt;&gt;"CMS",1,0))*4.5)+(AND(IF(W28&lt;&gt;0,1,0),IF(W28&lt;&gt;"CMS",1,0))*4.5)-W31
+AND(IF(W24&lt;&gt;0,1,0),IF(W24&lt;&gt;"CMS",1,0))*4.5-W25
+(AND(IF(W19&lt;&gt;0,1,0),IF(W19&lt;&gt;"CMS",1,0))*3.5)+(AND(IF(W20&lt;&gt;0,1,0),IF(W20&lt;&gt;"CMS",1,0))*4.5)+(AND(IF(W21&lt;&gt;0,1,0),IF(W21&lt;&gt;"CMS",1,0))*4.5)-W22</f>
        <v>9.6</v>
      </c>
      <c r="X109" s="205">
        <f>(AND(IF(X13&lt;&gt;0,1,0),IF(X13&lt;&gt;"CMS",1,0))*7.2)+(AND(IF(X14&lt;&gt;0,1,0),IF(X14&lt;&gt;"CMS",1,0))*7.2)+(AND(IF(X15&lt;&gt;0,1,0),IF(X15&lt;&gt;"CMS",1,0))*7.2)+(AND(IF(X16&lt;&gt;0,1,0),IF(X16&lt;&gt;"CMS",1,0))*7.2)-X17
+(AND(IF(X27&lt;&gt;0,1,0),IF(X27&lt;&gt;"CMS",1,0))*4.5)+(AND(IF(X28&lt;&gt;0,1,0),IF(X28&lt;&gt;"CMS",1,0))*4.5)-X31
+AND(IF(X24&lt;&gt;0,1,0),IF(X24&lt;&gt;"CMS",1,0))*4.5-X25
+(AND(IF(X19&lt;&gt;0,1,0),IF(X19&lt;&gt;"CMS",1,0))*3.5)+(AND(IF(X20&lt;&gt;0,1,0),IF(X20&lt;&gt;"CMS",1,0))*4.5)+(AND(IF(X21&lt;&gt;0,1,0),IF(X21&lt;&gt;"CMS",1,0))*4.5)-X22</f>
        <v>5.2000000000000011</v>
      </c>
      <c r="Y109" s="205">
        <f t="shared" si="36"/>
        <v>3.9000000000000021</v>
      </c>
      <c r="Z109" s="205">
        <f t="shared" si="36"/>
        <v>4.4000000000000004</v>
      </c>
      <c r="AA109" s="205">
        <f t="shared" si="36"/>
        <v>5.8999999999999995</v>
      </c>
      <c r="AB109" s="205">
        <f t="shared" si="36"/>
        <v>4.4000000000000039</v>
      </c>
      <c r="AC109" s="205">
        <f t="shared" si="36"/>
        <v>14.7</v>
      </c>
      <c r="AD109" s="26"/>
      <c r="AE109" s="26"/>
      <c r="AF109" s="466"/>
      <c r="AG109" t="s">
        <v>90</v>
      </c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10" t="s">
        <v>91</v>
      </c>
      <c r="B110" s="510"/>
      <c r="C110" s="510"/>
      <c r="D110" s="60"/>
      <c r="E110" s="72"/>
      <c r="F110" s="74">
        <v>60.11</v>
      </c>
      <c r="G110" s="74">
        <v>60.1</v>
      </c>
      <c r="H110" s="74">
        <v>60.14</v>
      </c>
      <c r="I110" s="74">
        <v>60.14</v>
      </c>
      <c r="J110" s="74">
        <v>60.12</v>
      </c>
      <c r="K110" s="74">
        <v>60.07</v>
      </c>
      <c r="L110" s="74">
        <v>60.09</v>
      </c>
      <c r="M110" s="74">
        <v>60.09</v>
      </c>
      <c r="N110" s="74">
        <v>60.11</v>
      </c>
      <c r="O110" s="74">
        <v>60.07</v>
      </c>
      <c r="P110" s="83">
        <v>60.09</v>
      </c>
      <c r="Q110" s="83">
        <v>60.15</v>
      </c>
      <c r="R110" s="83">
        <v>60.16</v>
      </c>
      <c r="S110" s="83">
        <v>60.18</v>
      </c>
      <c r="T110" s="83">
        <v>60.12</v>
      </c>
      <c r="U110" s="74">
        <v>60.17</v>
      </c>
      <c r="V110" s="74">
        <v>60.07</v>
      </c>
      <c r="W110" s="74">
        <v>60.37</v>
      </c>
      <c r="X110" s="74">
        <v>60.19</v>
      </c>
      <c r="Y110" s="74">
        <v>60.1</v>
      </c>
      <c r="Z110" s="74">
        <v>60.17</v>
      </c>
      <c r="AA110" s="74">
        <v>60.09</v>
      </c>
      <c r="AB110" s="74">
        <v>60.19</v>
      </c>
      <c r="AC110" s="74">
        <v>60.18</v>
      </c>
      <c r="AD110" s="26"/>
      <c r="AE110" s="26"/>
      <c r="AF110" s="467"/>
      <c r="AG110" t="s">
        <v>92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18" t="s">
        <v>93</v>
      </c>
      <c r="B111" s="519"/>
      <c r="C111" s="520"/>
      <c r="D111" s="60"/>
      <c r="E111" s="72"/>
      <c r="F111" s="465">
        <f>6-1.2</f>
        <v>4.8</v>
      </c>
      <c r="G111" s="465">
        <f>3-(4.2-H28)</f>
        <v>3</v>
      </c>
      <c r="H111" s="465">
        <f>3-(4.2-I28)</f>
        <v>2.8</v>
      </c>
      <c r="I111" s="74"/>
      <c r="J111" s="74"/>
      <c r="K111" s="74"/>
      <c r="L111" s="74"/>
      <c r="M111" s="74"/>
      <c r="N111" s="465">
        <f>N60+N22</f>
        <v>2.8</v>
      </c>
      <c r="O111" s="468">
        <f t="shared" ref="O111:V111" si="37">25-(O93+O95)-(4.2-O93)</f>
        <v>6.65</v>
      </c>
      <c r="P111" s="468">
        <f t="shared" si="37"/>
        <v>6.6399999999999988</v>
      </c>
      <c r="Q111" s="468">
        <f t="shared" si="37"/>
        <v>6.589999999999999</v>
      </c>
      <c r="R111" s="468">
        <f t="shared" si="37"/>
        <v>6.5299999999999994</v>
      </c>
      <c r="S111" s="468">
        <f t="shared" si="37"/>
        <v>6.59</v>
      </c>
      <c r="T111" s="468">
        <f t="shared" si="37"/>
        <v>6.57</v>
      </c>
      <c r="U111" s="468">
        <f t="shared" si="37"/>
        <v>6.530000000000002</v>
      </c>
      <c r="V111" s="468">
        <f t="shared" si="37"/>
        <v>6.549999999999998</v>
      </c>
      <c r="W111" s="471">
        <f>5.1-2.7</f>
        <v>2.3999999999999995</v>
      </c>
      <c r="X111" s="468">
        <f>25-(X93+X95)-(4.2-X93)</f>
        <v>7.2800000000000011</v>
      </c>
      <c r="Y111" s="468">
        <f>25-(Y93+Y95)-(4.2-Y93)</f>
        <v>6.5299999999999994</v>
      </c>
      <c r="Z111" s="468">
        <f>25-(Z93+Z95)-(4.2-Z93)</f>
        <v>6.5100000000000016</v>
      </c>
      <c r="AA111" s="468">
        <f>25-(AA93+AA95)-(4.2-AA93)</f>
        <v>7.4899999999999975</v>
      </c>
      <c r="AB111" s="468">
        <f>25-(AB93+AB95)-(4.2-AB93)+0.3</f>
        <v>6.7799999999999994</v>
      </c>
      <c r="AC111" s="468">
        <f>25-(AC93+AC95)-(4.2-AC93)</f>
        <v>6.5100000000000007</v>
      </c>
      <c r="AD111" s="26"/>
      <c r="AE111" s="26"/>
      <c r="AF111" s="469"/>
      <c r="AG111" s="38" t="s">
        <v>94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18" t="s">
        <v>95</v>
      </c>
      <c r="B112" s="519"/>
      <c r="C112" s="520"/>
      <c r="D112" s="60"/>
      <c r="E112" s="72"/>
      <c r="G112" s="74"/>
      <c r="H112" s="74"/>
      <c r="I112" s="74"/>
      <c r="J112" s="74"/>
      <c r="K112" s="74"/>
      <c r="L112" s="74"/>
      <c r="M112" s="74"/>
      <c r="N112" s="74"/>
      <c r="O112" s="74"/>
      <c r="P112" s="83"/>
      <c r="Q112" s="83"/>
      <c r="R112" s="83"/>
      <c r="S112" s="83"/>
      <c r="T112" s="83"/>
      <c r="U112" s="74"/>
      <c r="V112" s="74"/>
      <c r="W112" s="74"/>
      <c r="X112" s="74"/>
      <c r="Y112" s="74"/>
      <c r="Z112" s="74"/>
      <c r="AA112" s="74"/>
      <c r="AB112" s="74"/>
      <c r="AC112" s="74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10" t="s">
        <v>96</v>
      </c>
      <c r="B113" s="510"/>
      <c r="C113" s="510"/>
      <c r="D113" s="60"/>
      <c r="E113" s="72"/>
      <c r="F113" s="73"/>
      <c r="G113" s="73"/>
      <c r="H113" s="73"/>
      <c r="I113" s="73"/>
      <c r="J113" s="73"/>
      <c r="K113" s="73"/>
      <c r="L113" s="73"/>
      <c r="M113" s="73"/>
      <c r="N113" s="73"/>
      <c r="O113" s="73"/>
      <c r="P113" s="73"/>
      <c r="Q113" s="73"/>
      <c r="R113" s="73"/>
      <c r="S113" s="73"/>
      <c r="T113" s="73"/>
      <c r="U113" s="73"/>
      <c r="V113" s="73"/>
      <c r="W113" s="73"/>
      <c r="X113" s="73"/>
      <c r="Y113" s="73"/>
      <c r="Z113" s="73"/>
      <c r="AA113" s="73"/>
      <c r="AB113" s="73"/>
      <c r="AC113" s="73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10" t="s">
        <v>97</v>
      </c>
      <c r="B114" s="510"/>
      <c r="C114" s="510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idden="1">
      <c r="A115"/>
      <c r="B115"/>
      <c r="C115"/>
      <c r="D115" s="71"/>
      <c r="E115"/>
      <c r="F115" s="75"/>
      <c r="G115" s="75"/>
      <c r="H115" s="75"/>
      <c r="I115" s="75"/>
      <c r="J115" s="75"/>
      <c r="K115" s="75"/>
      <c r="L115" s="75"/>
      <c r="M115" s="75"/>
      <c r="N115" s="75"/>
      <c r="O115" s="75"/>
      <c r="P115" s="75"/>
      <c r="Q115" s="75"/>
      <c r="R115" s="75"/>
      <c r="S115" s="75"/>
      <c r="T115" s="75"/>
      <c r="U115" s="75"/>
      <c r="V115" s="75"/>
      <c r="W115" s="75"/>
      <c r="X115" s="75"/>
      <c r="Y115" s="75"/>
      <c r="Z115" s="75"/>
      <c r="AA115" s="75"/>
      <c r="AB115" s="75"/>
      <c r="AC115" s="75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9" hidden="1">
      <c r="A116" s="499" t="s">
        <v>98</v>
      </c>
      <c r="B116" s="499"/>
      <c r="C116" s="499"/>
      <c r="D116" s="499"/>
      <c r="E116" s="499"/>
      <c r="F116" s="499"/>
      <c r="G116" s="499"/>
      <c r="H116" s="499"/>
      <c r="I116" s="499"/>
      <c r="J116" s="499"/>
      <c r="K116" s="499"/>
      <c r="L116" s="499"/>
      <c r="M116" s="499"/>
      <c r="N116" s="499"/>
      <c r="O116" s="499"/>
      <c r="P116" s="499"/>
      <c r="Q116" s="499"/>
      <c r="R116" s="499"/>
      <c r="S116" s="499"/>
      <c r="T116" s="499"/>
      <c r="U116" s="499"/>
      <c r="V116" s="499"/>
      <c r="W116" s="499"/>
      <c r="X116" s="499"/>
      <c r="Y116" s="499"/>
      <c r="Z116" s="499"/>
      <c r="AA116" s="499"/>
      <c r="AB116" s="499"/>
      <c r="AC116" s="499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idden="1">
      <c r="A117"/>
      <c r="B117" s="5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 s="26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ht="17.45" hidden="1">
      <c r="A118" s="500" t="s">
        <v>75</v>
      </c>
      <c r="B118" s="501"/>
      <c r="C118" s="502"/>
      <c r="D118" s="49"/>
      <c r="E118" s="49"/>
      <c r="F118" s="506" t="s">
        <v>76</v>
      </c>
      <c r="G118" s="506"/>
      <c r="H118" s="506"/>
      <c r="I118" s="506"/>
      <c r="J118" s="506"/>
      <c r="K118" s="506"/>
      <c r="L118" s="506"/>
      <c r="M118" s="506"/>
      <c r="N118" s="506"/>
      <c r="O118" s="506"/>
      <c r="P118" s="506"/>
      <c r="Q118" s="506"/>
      <c r="R118" s="506"/>
      <c r="S118" s="506"/>
      <c r="T118" s="506"/>
      <c r="U118" s="506"/>
      <c r="V118" s="506"/>
      <c r="W118" s="506"/>
      <c r="X118" s="506"/>
      <c r="Y118" s="506"/>
      <c r="Z118" s="506"/>
      <c r="AA118" s="506"/>
      <c r="AB118" s="506"/>
      <c r="AC118" s="506"/>
      <c r="AD118" s="5"/>
      <c r="AE118" s="5"/>
      <c r="AF118" s="5"/>
      <c r="AG118" s="5"/>
      <c r="AH118" s="5"/>
    </row>
    <row r="119" spans="1:124" ht="15.6" hidden="1" customHeight="1">
      <c r="A119" s="503"/>
      <c r="B119" s="504"/>
      <c r="C119" s="505"/>
      <c r="D119" s="50"/>
      <c r="E119" s="50"/>
      <c r="F119" s="43">
        <v>0</v>
      </c>
      <c r="G119" s="43">
        <v>4.1666666666666699E-2</v>
      </c>
      <c r="H119" s="43">
        <v>8.3333333333333301E-2</v>
      </c>
      <c r="I119" s="43">
        <v>0.125</v>
      </c>
      <c r="J119" s="43">
        <v>0.16666666666666699</v>
      </c>
      <c r="K119" s="43">
        <v>0.20833333333333301</v>
      </c>
      <c r="L119" s="43">
        <v>0.25</v>
      </c>
      <c r="M119" s="43">
        <v>0.29166666666666702</v>
      </c>
      <c r="N119" s="43">
        <v>0.33333333333333398</v>
      </c>
      <c r="O119" s="43">
        <v>0.375</v>
      </c>
      <c r="P119" s="43">
        <v>0.41666666666666702</v>
      </c>
      <c r="Q119" s="43">
        <v>0.45833333333333398</v>
      </c>
      <c r="R119" s="43">
        <v>0.5</v>
      </c>
      <c r="S119" s="43">
        <v>0.54166666666666696</v>
      </c>
      <c r="T119" s="43">
        <v>0.58333333333333404</v>
      </c>
      <c r="U119" s="43">
        <v>0.625</v>
      </c>
      <c r="V119" s="43">
        <v>0.66666666666666696</v>
      </c>
      <c r="W119" s="43">
        <v>0.70833333333333404</v>
      </c>
      <c r="X119" s="43">
        <v>0.750000000000001</v>
      </c>
      <c r="Y119" s="43">
        <v>0.79166666666666696</v>
      </c>
      <c r="Z119" s="43">
        <v>0.83333333333333337</v>
      </c>
      <c r="AA119" s="43">
        <v>0.875000000000001</v>
      </c>
      <c r="AB119" s="43">
        <v>0.91666666666666696</v>
      </c>
      <c r="AC119" s="43">
        <v>0.95833333333333404</v>
      </c>
      <c r="AD119" s="37"/>
      <c r="AE119" s="37"/>
      <c r="AG119" s="5"/>
      <c r="AH119" s="5"/>
      <c r="AI119" s="5"/>
      <c r="AJ119" s="5"/>
      <c r="AK119" s="5"/>
      <c r="AL119" s="5"/>
      <c r="AM119" s="5"/>
      <c r="AN119" s="5"/>
    </row>
    <row r="120" spans="1:124" ht="17.45" hidden="1">
      <c r="A120" s="507" t="s">
        <v>27</v>
      </c>
      <c r="B120" s="508"/>
      <c r="C120" s="509"/>
      <c r="D120" s="45"/>
      <c r="E120" s="45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07" t="s">
        <v>78</v>
      </c>
      <c r="B121" s="508"/>
      <c r="C121" s="509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07" t="s">
        <v>29</v>
      </c>
      <c r="B122" s="508"/>
      <c r="C122" s="509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07" t="s">
        <v>32</v>
      </c>
      <c r="B123" s="508"/>
      <c r="C123" s="509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07" t="s">
        <v>33</v>
      </c>
      <c r="B124" s="508"/>
      <c r="C124" s="509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07" t="s">
        <v>55</v>
      </c>
      <c r="B125" s="508"/>
      <c r="C125" s="509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07" t="s">
        <v>59</v>
      </c>
      <c r="B126" s="508"/>
      <c r="C126" s="509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</row>
    <row r="127" spans="1:124" ht="17.45" hidden="1">
      <c r="A127" s="507" t="s">
        <v>69</v>
      </c>
      <c r="B127" s="508"/>
      <c r="C127" s="509"/>
      <c r="D127" s="45"/>
      <c r="E127" s="45"/>
      <c r="F127" s="78"/>
      <c r="G127" s="78"/>
      <c r="H127" s="78"/>
      <c r="I127" s="78"/>
      <c r="J127" s="78"/>
      <c r="K127" s="78"/>
      <c r="L127" s="78"/>
      <c r="M127" s="78"/>
      <c r="N127" s="78"/>
      <c r="O127" s="78"/>
      <c r="P127" s="78"/>
      <c r="Q127" s="78"/>
      <c r="R127" s="78"/>
      <c r="S127" s="78"/>
      <c r="T127" s="78"/>
      <c r="U127" s="78"/>
      <c r="V127" s="78"/>
      <c r="W127" s="78"/>
      <c r="X127" s="78"/>
      <c r="Y127" s="78"/>
      <c r="Z127" s="78"/>
      <c r="AA127" s="78"/>
      <c r="AB127" s="78"/>
      <c r="AC127" s="78"/>
    </row>
    <row r="128" spans="1:124" ht="15.6" hidden="1" customHeight="1">
      <c r="A128" s="496" t="s">
        <v>99</v>
      </c>
      <c r="B128" s="497"/>
      <c r="C128" s="498"/>
      <c r="D128" s="51"/>
      <c r="E128" s="51"/>
      <c r="F128" s="44">
        <f>SUM(F120:F127)</f>
        <v>0</v>
      </c>
      <c r="G128" s="44">
        <f t="shared" ref="G128:AB128" si="38">SUM(G120:G127)</f>
        <v>0</v>
      </c>
      <c r="H128" s="44">
        <f t="shared" si="38"/>
        <v>0</v>
      </c>
      <c r="I128" s="44">
        <f t="shared" si="38"/>
        <v>0</v>
      </c>
      <c r="J128" s="44">
        <f t="shared" si="38"/>
        <v>0</v>
      </c>
      <c r="K128" s="44">
        <f t="shared" si="38"/>
        <v>0</v>
      </c>
      <c r="L128" s="44">
        <f t="shared" si="38"/>
        <v>0</v>
      </c>
      <c r="M128" s="44">
        <f t="shared" si="38"/>
        <v>0</v>
      </c>
      <c r="N128" s="44">
        <f t="shared" si="38"/>
        <v>0</v>
      </c>
      <c r="O128" s="44">
        <f t="shared" si="38"/>
        <v>0</v>
      </c>
      <c r="P128" s="44">
        <f t="shared" si="38"/>
        <v>0</v>
      </c>
      <c r="Q128" s="44">
        <f t="shared" si="38"/>
        <v>0</v>
      </c>
      <c r="R128" s="44">
        <f t="shared" si="38"/>
        <v>0</v>
      </c>
      <c r="S128" s="44">
        <f t="shared" si="38"/>
        <v>0</v>
      </c>
      <c r="T128" s="44">
        <f t="shared" si="38"/>
        <v>0</v>
      </c>
      <c r="U128" s="44">
        <f t="shared" si="38"/>
        <v>0</v>
      </c>
      <c r="V128" s="44">
        <f t="shared" si="38"/>
        <v>0</v>
      </c>
      <c r="W128" s="44">
        <f t="shared" si="38"/>
        <v>0</v>
      </c>
      <c r="X128" s="44">
        <f t="shared" si="38"/>
        <v>0</v>
      </c>
      <c r="Y128" s="44">
        <f t="shared" si="38"/>
        <v>0</v>
      </c>
      <c r="Z128" s="44">
        <f t="shared" si="38"/>
        <v>0</v>
      </c>
      <c r="AA128" s="44">
        <f t="shared" si="38"/>
        <v>0</v>
      </c>
      <c r="AB128" s="44">
        <f t="shared" si="38"/>
        <v>0</v>
      </c>
      <c r="AC128" s="44">
        <f>SUM(AC120:AC127)</f>
        <v>0</v>
      </c>
    </row>
    <row r="129" spans="1:124">
      <c r="F129" s="75"/>
      <c r="G129" s="75"/>
      <c r="H129" s="75"/>
      <c r="I129" s="75"/>
      <c r="J129" s="75"/>
      <c r="K129" s="75"/>
      <c r="L129" s="75"/>
      <c r="M129" s="75"/>
      <c r="N129" s="75"/>
      <c r="O129" s="75"/>
      <c r="P129" s="75"/>
      <c r="Q129" s="75"/>
      <c r="R129" s="75"/>
      <c r="S129" s="75"/>
      <c r="T129" s="75"/>
      <c r="U129" s="75"/>
      <c r="V129" s="75"/>
      <c r="W129" s="75"/>
      <c r="X129" s="75"/>
      <c r="Y129" s="75"/>
      <c r="Z129" s="75"/>
      <c r="AA129" s="75"/>
      <c r="AB129" s="75"/>
      <c r="AC129" s="75"/>
      <c r="AD129" s="5"/>
      <c r="AE129" s="5"/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AB131" s="26"/>
      <c r="AC131" s="27"/>
      <c r="AD131" s="5"/>
      <c r="AE131" s="5"/>
    </row>
    <row r="132" spans="1:124" s="2" customFormat="1">
      <c r="A132"/>
      <c r="B132"/>
      <c r="AB132" s="26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>
      <c r="A133"/>
      <c r="B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 s="26"/>
      <c r="D135" s="26"/>
      <c r="E135" s="26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</row>
    <row r="138" spans="1:124">
      <c r="C138" s="26"/>
      <c r="D138" s="26"/>
      <c r="E138" s="26"/>
    </row>
    <row r="139" spans="1:124">
      <c r="C139" s="26"/>
      <c r="D139" s="26"/>
      <c r="E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</row>
    <row r="140" spans="1:124"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</sheetData>
  <mergeCells count="43">
    <mergeCell ref="A89:C89"/>
    <mergeCell ref="M8:O8"/>
    <mergeCell ref="M9:O9"/>
    <mergeCell ref="A85:AC85"/>
    <mergeCell ref="A87:C88"/>
    <mergeCell ref="F87:AC87"/>
    <mergeCell ref="A101:C101"/>
    <mergeCell ref="A90:C90"/>
    <mergeCell ref="A91:C91"/>
    <mergeCell ref="A92:C92"/>
    <mergeCell ref="A93:C93"/>
    <mergeCell ref="A94:C94"/>
    <mergeCell ref="A95:C95"/>
    <mergeCell ref="A96:C96"/>
    <mergeCell ref="A97:C97"/>
    <mergeCell ref="A98:C98"/>
    <mergeCell ref="A99:C99"/>
    <mergeCell ref="A100:C100"/>
    <mergeCell ref="A114:C114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3:C113"/>
    <mergeCell ref="A111:C111"/>
    <mergeCell ref="A112:C112"/>
    <mergeCell ref="A128:C128"/>
    <mergeCell ref="A116:AC116"/>
    <mergeCell ref="A118:C119"/>
    <mergeCell ref="F118:AC118"/>
    <mergeCell ref="A120:C120"/>
    <mergeCell ref="A121:C121"/>
    <mergeCell ref="A122:C122"/>
    <mergeCell ref="A123:C123"/>
    <mergeCell ref="A124:C124"/>
    <mergeCell ref="A125:C125"/>
    <mergeCell ref="A126:C126"/>
    <mergeCell ref="A127:C127"/>
  </mergeCells>
  <conditionalFormatting sqref="G110:AC110">
    <cfRule type="cellIs" dxfId="8566" priority="379" operator="greaterThan">
      <formula>60.3</formula>
    </cfRule>
  </conditionalFormatting>
  <conditionalFormatting sqref="F110">
    <cfRule type="cellIs" dxfId="8565" priority="378" operator="greaterThan">
      <formula>60.3</formula>
    </cfRule>
  </conditionalFormatting>
  <conditionalFormatting sqref="H13:L13 H15:M16 P15:P16 N13:S13 Q14:S16 T13:AC16 G36:AC59 G62:AC64">
    <cfRule type="cellIs" dxfId="8564" priority="370" operator="equal">
      <formula>"PMS"</formula>
    </cfRule>
    <cfRule type="containsText" dxfId="8563" priority="371" operator="containsText" text="CMS">
      <formula>NOT(ISERROR(SEARCH("CMS",G13)))</formula>
    </cfRule>
    <cfRule type="cellIs" dxfId="8562" priority="372" operator="equal">
      <formula>0</formula>
    </cfRule>
    <cfRule type="cellIs" dxfId="8561" priority="373" operator="greaterThan">
      <formula>0</formula>
    </cfRule>
    <cfRule type="cellIs" dxfId="8560" priority="374" operator="equal">
      <formula>"PMS"</formula>
    </cfRule>
    <cfRule type="containsText" dxfId="8559" priority="375" operator="containsText" text="CMS">
      <formula>NOT(ISERROR(SEARCH("CMS",G13)))</formula>
    </cfRule>
    <cfRule type="cellIs" dxfId="8558" priority="376" operator="equal">
      <formula>0</formula>
    </cfRule>
    <cfRule type="cellIs" dxfId="8557" priority="377" operator="greaterThan">
      <formula>0</formula>
    </cfRule>
  </conditionalFormatting>
  <conditionalFormatting sqref="H13:L13 H15:M16 P15:P16 N13:S13 Q14:S16 T13:AC16 G36:AC59 G62:AC64">
    <cfRule type="cellIs" dxfId="8556" priority="366" operator="equal">
      <formula>"PMS"</formula>
    </cfRule>
    <cfRule type="containsText" dxfId="8555" priority="367" operator="containsText" text="CMS">
      <formula>NOT(ISERROR(SEARCH("CMS",G13)))</formula>
    </cfRule>
    <cfRule type="cellIs" dxfId="8554" priority="368" operator="equal">
      <formula>0</formula>
    </cfRule>
    <cfRule type="cellIs" dxfId="8553" priority="369" operator="greaterThan">
      <formula>0</formula>
    </cfRule>
  </conditionalFormatting>
  <conditionalFormatting sqref="G19:Q19 G20:S20 G21:N21 P21:S21 U19:AC21 T20:T21">
    <cfRule type="cellIs" dxfId="8552" priority="358" operator="equal">
      <formula>"PMS"</formula>
    </cfRule>
    <cfRule type="containsText" dxfId="8551" priority="359" operator="containsText" text="CMS">
      <formula>NOT(ISERROR(SEARCH("CMS",G19)))</formula>
    </cfRule>
    <cfRule type="cellIs" dxfId="8550" priority="360" operator="equal">
      <formula>0</formula>
    </cfRule>
    <cfRule type="cellIs" dxfId="8549" priority="361" operator="greaterThan">
      <formula>0</formula>
    </cfRule>
    <cfRule type="cellIs" dxfId="8548" priority="362" operator="equal">
      <formula>"PMS"</formula>
    </cfRule>
    <cfRule type="containsText" dxfId="8547" priority="363" operator="containsText" text="CMS">
      <formula>NOT(ISERROR(SEARCH("CMS",G19)))</formula>
    </cfRule>
    <cfRule type="cellIs" dxfId="8546" priority="364" operator="equal">
      <formula>0</formula>
    </cfRule>
    <cfRule type="cellIs" dxfId="8545" priority="365" operator="greaterThan">
      <formula>0</formula>
    </cfRule>
  </conditionalFormatting>
  <conditionalFormatting sqref="G19:Q19 G20:S20 G21:N21 P21:S21 U19:AC21 T20:T21">
    <cfRule type="cellIs" dxfId="8544" priority="354" operator="equal">
      <formula>"PMS"</formula>
    </cfRule>
    <cfRule type="containsText" dxfId="8543" priority="355" operator="containsText" text="CMS">
      <formula>NOT(ISERROR(SEARCH("CMS",G19)))</formula>
    </cfRule>
    <cfRule type="cellIs" dxfId="8542" priority="356" operator="equal">
      <formula>0</formula>
    </cfRule>
    <cfRule type="cellIs" dxfId="8541" priority="357" operator="greaterThan">
      <formula>0</formula>
    </cfRule>
  </conditionalFormatting>
  <conditionalFormatting sqref="V24:AC24 F24:M24 O24:T24">
    <cfRule type="cellIs" dxfId="8540" priority="346" operator="equal">
      <formula>"PMS"</formula>
    </cfRule>
    <cfRule type="containsText" dxfId="8539" priority="347" operator="containsText" text="CMS">
      <formula>NOT(ISERROR(SEARCH("CMS",F24)))</formula>
    </cfRule>
    <cfRule type="cellIs" dxfId="8538" priority="348" operator="equal">
      <formula>0</formula>
    </cfRule>
    <cfRule type="cellIs" dxfId="8537" priority="349" operator="greaterThan">
      <formula>0</formula>
    </cfRule>
    <cfRule type="cellIs" dxfId="8536" priority="350" operator="equal">
      <formula>"PMS"</formula>
    </cfRule>
    <cfRule type="containsText" dxfId="8535" priority="351" operator="containsText" text="CMS">
      <formula>NOT(ISERROR(SEARCH("CMS",F24)))</formula>
    </cfRule>
    <cfRule type="cellIs" dxfId="8534" priority="352" operator="equal">
      <formula>0</formula>
    </cfRule>
    <cfRule type="cellIs" dxfId="8533" priority="353" operator="greaterThan">
      <formula>0</formula>
    </cfRule>
  </conditionalFormatting>
  <conditionalFormatting sqref="V24:AC24 F24:M24 O24:T24">
    <cfRule type="cellIs" dxfId="8532" priority="342" operator="equal">
      <formula>"PMS"</formula>
    </cfRule>
    <cfRule type="containsText" dxfId="8531" priority="343" operator="containsText" text="CMS">
      <formula>NOT(ISERROR(SEARCH("CMS",F24)))</formula>
    </cfRule>
    <cfRule type="cellIs" dxfId="8530" priority="344" operator="equal">
      <formula>0</formula>
    </cfRule>
    <cfRule type="cellIs" dxfId="8529" priority="345" operator="greaterThan">
      <formula>0</formula>
    </cfRule>
  </conditionalFormatting>
  <conditionalFormatting sqref="G27:AC30">
    <cfRule type="cellIs" dxfId="8528" priority="334" operator="equal">
      <formula>"PMS"</formula>
    </cfRule>
    <cfRule type="containsText" dxfId="8527" priority="335" operator="containsText" text="CMS">
      <formula>NOT(ISERROR(SEARCH("CMS",G27)))</formula>
    </cfRule>
    <cfRule type="cellIs" dxfId="8526" priority="336" operator="equal">
      <formula>0</formula>
    </cfRule>
    <cfRule type="cellIs" dxfId="8525" priority="337" operator="greaterThan">
      <formula>0</formula>
    </cfRule>
    <cfRule type="cellIs" dxfId="8524" priority="338" operator="equal">
      <formula>"PMS"</formula>
    </cfRule>
    <cfRule type="containsText" dxfId="8523" priority="339" operator="containsText" text="CMS">
      <formula>NOT(ISERROR(SEARCH("CMS",G27)))</formula>
    </cfRule>
    <cfRule type="cellIs" dxfId="8522" priority="340" operator="equal">
      <formula>0</formula>
    </cfRule>
    <cfRule type="cellIs" dxfId="8521" priority="341" operator="greaterThan">
      <formula>0</formula>
    </cfRule>
  </conditionalFormatting>
  <conditionalFormatting sqref="G27:AC30">
    <cfRule type="cellIs" dxfId="8520" priority="330" operator="equal">
      <formula>"PMS"</formula>
    </cfRule>
    <cfRule type="containsText" dxfId="8519" priority="331" operator="containsText" text="CMS">
      <formula>NOT(ISERROR(SEARCH("CMS",G27)))</formula>
    </cfRule>
    <cfRule type="cellIs" dxfId="8518" priority="332" operator="equal">
      <formula>0</formula>
    </cfRule>
    <cfRule type="cellIs" dxfId="8517" priority="333" operator="greaterThan">
      <formula>0</formula>
    </cfRule>
  </conditionalFormatting>
  <conditionalFormatting sqref="G33:AC33">
    <cfRule type="cellIs" dxfId="8516" priority="322" operator="equal">
      <formula>"PMS"</formula>
    </cfRule>
    <cfRule type="containsText" dxfId="8515" priority="323" operator="containsText" text="CMS">
      <formula>NOT(ISERROR(SEARCH("CMS",G33)))</formula>
    </cfRule>
    <cfRule type="cellIs" dxfId="8514" priority="324" operator="equal">
      <formula>0</formula>
    </cfRule>
    <cfRule type="cellIs" dxfId="8513" priority="325" operator="greaterThan">
      <formula>0</formula>
    </cfRule>
    <cfRule type="cellIs" dxfId="8512" priority="326" operator="equal">
      <formula>"PMS"</formula>
    </cfRule>
    <cfRule type="containsText" dxfId="8511" priority="327" operator="containsText" text="CMS">
      <formula>NOT(ISERROR(SEARCH("CMS",G33)))</formula>
    </cfRule>
    <cfRule type="cellIs" dxfId="8510" priority="328" operator="equal">
      <formula>0</formula>
    </cfRule>
    <cfRule type="cellIs" dxfId="8509" priority="329" operator="greaterThan">
      <formula>0</formula>
    </cfRule>
  </conditionalFormatting>
  <conditionalFormatting sqref="G33:AC33">
    <cfRule type="cellIs" dxfId="8508" priority="318" operator="equal">
      <formula>"PMS"</formula>
    </cfRule>
    <cfRule type="containsText" dxfId="8507" priority="319" operator="containsText" text="CMS">
      <formula>NOT(ISERROR(SEARCH("CMS",G33)))</formula>
    </cfRule>
    <cfRule type="cellIs" dxfId="8506" priority="320" operator="equal">
      <formula>0</formula>
    </cfRule>
    <cfRule type="cellIs" dxfId="8505" priority="321" operator="greaterThan">
      <formula>0</formula>
    </cfRule>
  </conditionalFormatting>
  <conditionalFormatting sqref="G67:AC75 G78:Q79 S78:AC79">
    <cfRule type="cellIs" dxfId="8504" priority="310" operator="equal">
      <formula>"PMS"</formula>
    </cfRule>
    <cfRule type="containsText" dxfId="8503" priority="311" operator="containsText" text="CMS">
      <formula>NOT(ISERROR(SEARCH("CMS",G67)))</formula>
    </cfRule>
    <cfRule type="cellIs" dxfId="8502" priority="312" operator="equal">
      <formula>0</formula>
    </cfRule>
    <cfRule type="cellIs" dxfId="8501" priority="313" operator="greaterThan">
      <formula>0</formula>
    </cfRule>
    <cfRule type="cellIs" dxfId="8500" priority="314" operator="equal">
      <formula>"PMS"</formula>
    </cfRule>
    <cfRule type="containsText" dxfId="8499" priority="315" operator="containsText" text="CMS">
      <formula>NOT(ISERROR(SEARCH("CMS",G67)))</formula>
    </cfRule>
    <cfRule type="cellIs" dxfId="8498" priority="316" operator="equal">
      <formula>0</formula>
    </cfRule>
    <cfRule type="cellIs" dxfId="8497" priority="317" operator="greaterThan">
      <formula>0</formula>
    </cfRule>
  </conditionalFormatting>
  <conditionalFormatting sqref="G67:AC75 G78:Q79 S78:AC79">
    <cfRule type="cellIs" dxfId="8496" priority="306" operator="equal">
      <formula>"PMS"</formula>
    </cfRule>
    <cfRule type="containsText" dxfId="8495" priority="307" operator="containsText" text="CMS">
      <formula>NOT(ISERROR(SEARCH("CMS",G67)))</formula>
    </cfRule>
    <cfRule type="cellIs" dxfId="8494" priority="308" operator="equal">
      <formula>0</formula>
    </cfRule>
    <cfRule type="cellIs" dxfId="8493" priority="309" operator="greaterThan">
      <formula>0</formula>
    </cfRule>
  </conditionalFormatting>
  <conditionalFormatting sqref="G82:AC82">
    <cfRule type="cellIs" dxfId="8492" priority="298" operator="equal">
      <formula>"PMS"</formula>
    </cfRule>
    <cfRule type="containsText" dxfId="8491" priority="299" operator="containsText" text="CMS">
      <formula>NOT(ISERROR(SEARCH("CMS",G82)))</formula>
    </cfRule>
    <cfRule type="cellIs" dxfId="8490" priority="300" operator="equal">
      <formula>0</formula>
    </cfRule>
    <cfRule type="cellIs" dxfId="8489" priority="301" operator="greaterThan">
      <formula>0</formula>
    </cfRule>
    <cfRule type="cellIs" dxfId="8488" priority="302" operator="equal">
      <formula>"PMS"</formula>
    </cfRule>
    <cfRule type="containsText" dxfId="8487" priority="303" operator="containsText" text="CMS">
      <formula>NOT(ISERROR(SEARCH("CMS",G82)))</formula>
    </cfRule>
    <cfRule type="cellIs" dxfId="8486" priority="304" operator="equal">
      <formula>0</formula>
    </cfRule>
    <cfRule type="cellIs" dxfId="8485" priority="305" operator="greaterThan">
      <formula>0</formula>
    </cfRule>
  </conditionalFormatting>
  <conditionalFormatting sqref="G82:AC82">
    <cfRule type="cellIs" dxfId="8484" priority="294" operator="equal">
      <formula>"PMS"</formula>
    </cfRule>
    <cfRule type="containsText" dxfId="8483" priority="295" operator="containsText" text="CMS">
      <formula>NOT(ISERROR(SEARCH("CMS",G82)))</formula>
    </cfRule>
    <cfRule type="cellIs" dxfId="8482" priority="296" operator="equal">
      <formula>0</formula>
    </cfRule>
    <cfRule type="cellIs" dxfId="8481" priority="297" operator="greaterThan">
      <formula>0</formula>
    </cfRule>
  </conditionalFormatting>
  <conditionalFormatting sqref="N24">
    <cfRule type="cellIs" dxfId="8480" priority="286" operator="equal">
      <formula>"PMS"</formula>
    </cfRule>
    <cfRule type="containsText" dxfId="8479" priority="287" operator="containsText" text="CMS">
      <formula>NOT(ISERROR(SEARCH("CMS",N24)))</formula>
    </cfRule>
    <cfRule type="cellIs" dxfId="8478" priority="288" operator="equal">
      <formula>0</formula>
    </cfRule>
    <cfRule type="cellIs" dxfId="8477" priority="289" operator="greaterThan">
      <formula>0</formula>
    </cfRule>
    <cfRule type="cellIs" dxfId="8476" priority="290" operator="equal">
      <formula>"PMS"</formula>
    </cfRule>
    <cfRule type="containsText" dxfId="8475" priority="291" operator="containsText" text="CMS">
      <formula>NOT(ISERROR(SEARCH("CMS",N24)))</formula>
    </cfRule>
    <cfRule type="cellIs" dxfId="8474" priority="292" operator="equal">
      <formula>0</formula>
    </cfRule>
    <cfRule type="cellIs" dxfId="8473" priority="293" operator="greaterThan">
      <formula>0</formula>
    </cfRule>
  </conditionalFormatting>
  <conditionalFormatting sqref="N24">
    <cfRule type="cellIs" dxfId="8472" priority="282" operator="equal">
      <formula>"PMS"</formula>
    </cfRule>
    <cfRule type="containsText" dxfId="8471" priority="283" operator="containsText" text="CMS">
      <formula>NOT(ISERROR(SEARCH("CMS",N24)))</formula>
    </cfRule>
    <cfRule type="cellIs" dxfId="8470" priority="284" operator="equal">
      <formula>0</formula>
    </cfRule>
    <cfRule type="cellIs" dxfId="8469" priority="285" operator="greaterThan">
      <formula>0</formula>
    </cfRule>
  </conditionalFormatting>
  <conditionalFormatting sqref="U24">
    <cfRule type="cellIs" dxfId="8468" priority="274" operator="equal">
      <formula>"PMS"</formula>
    </cfRule>
    <cfRule type="containsText" dxfId="8467" priority="275" operator="containsText" text="CMS">
      <formula>NOT(ISERROR(SEARCH("CMS",U24)))</formula>
    </cfRule>
    <cfRule type="cellIs" dxfId="8466" priority="276" operator="equal">
      <formula>0</formula>
    </cfRule>
    <cfRule type="cellIs" dxfId="8465" priority="277" operator="greaterThan">
      <formula>0</formula>
    </cfRule>
    <cfRule type="cellIs" dxfId="8464" priority="278" operator="equal">
      <formula>"PMS"</formula>
    </cfRule>
    <cfRule type="containsText" dxfId="8463" priority="279" operator="containsText" text="CMS">
      <formula>NOT(ISERROR(SEARCH("CMS",U24)))</formula>
    </cfRule>
    <cfRule type="cellIs" dxfId="8462" priority="280" operator="equal">
      <formula>0</formula>
    </cfRule>
    <cfRule type="cellIs" dxfId="8461" priority="281" operator="greaterThan">
      <formula>0</formula>
    </cfRule>
  </conditionalFormatting>
  <conditionalFormatting sqref="U24">
    <cfRule type="cellIs" dxfId="8460" priority="270" operator="equal">
      <formula>"PMS"</formula>
    </cfRule>
    <cfRule type="containsText" dxfId="8459" priority="271" operator="containsText" text="CMS">
      <formula>NOT(ISERROR(SEARCH("CMS",U24)))</formula>
    </cfRule>
    <cfRule type="cellIs" dxfId="8458" priority="272" operator="equal">
      <formula>0</formula>
    </cfRule>
    <cfRule type="cellIs" dxfId="8457" priority="273" operator="greaterThan">
      <formula>0</formula>
    </cfRule>
  </conditionalFormatting>
  <conditionalFormatting sqref="H14:P14">
    <cfRule type="cellIs" dxfId="8456" priority="262" operator="equal">
      <formula>"PMS"</formula>
    </cfRule>
    <cfRule type="containsText" dxfId="8455" priority="263" operator="containsText" text="CMS">
      <formula>NOT(ISERROR(SEARCH("CMS",H14)))</formula>
    </cfRule>
    <cfRule type="cellIs" dxfId="8454" priority="264" operator="equal">
      <formula>0</formula>
    </cfRule>
    <cfRule type="cellIs" dxfId="8453" priority="265" operator="greaterThan">
      <formula>0</formula>
    </cfRule>
    <cfRule type="cellIs" dxfId="8452" priority="266" operator="equal">
      <formula>"PMS"</formula>
    </cfRule>
    <cfRule type="containsText" dxfId="8451" priority="267" operator="containsText" text="CMS">
      <formula>NOT(ISERROR(SEARCH("CMS",H14)))</formula>
    </cfRule>
    <cfRule type="cellIs" dxfId="8450" priority="268" operator="equal">
      <formula>0</formula>
    </cfRule>
    <cfRule type="cellIs" dxfId="8449" priority="269" operator="greaterThan">
      <formula>0</formula>
    </cfRule>
  </conditionalFormatting>
  <conditionalFormatting sqref="H14:P14">
    <cfRule type="cellIs" dxfId="8448" priority="258" operator="equal">
      <formula>"PMS"</formula>
    </cfRule>
    <cfRule type="containsText" dxfId="8447" priority="259" operator="containsText" text="CMS">
      <formula>NOT(ISERROR(SEARCH("CMS",H14)))</formula>
    </cfRule>
    <cfRule type="cellIs" dxfId="8446" priority="260" operator="equal">
      <formula>0</formula>
    </cfRule>
    <cfRule type="cellIs" dxfId="8445" priority="261" operator="greaterThan">
      <formula>0</formula>
    </cfRule>
  </conditionalFormatting>
  <conditionalFormatting sqref="F82">
    <cfRule type="cellIs" dxfId="8444" priority="250" operator="equal">
      <formula>"PMS"</formula>
    </cfRule>
    <cfRule type="containsText" dxfId="8443" priority="251" operator="containsText" text="CMS">
      <formula>NOT(ISERROR(SEARCH("CMS",F82)))</formula>
    </cfRule>
    <cfRule type="cellIs" dxfId="8442" priority="252" operator="equal">
      <formula>0</formula>
    </cfRule>
    <cfRule type="cellIs" dxfId="8441" priority="253" operator="greaterThan">
      <formula>0</formula>
    </cfRule>
    <cfRule type="cellIs" dxfId="8440" priority="254" operator="equal">
      <formula>"PMS"</formula>
    </cfRule>
    <cfRule type="containsText" dxfId="8439" priority="255" operator="containsText" text="CMS">
      <formula>NOT(ISERROR(SEARCH("CMS",F82)))</formula>
    </cfRule>
    <cfRule type="cellIs" dxfId="8438" priority="256" operator="equal">
      <formula>0</formula>
    </cfRule>
    <cfRule type="cellIs" dxfId="8437" priority="257" operator="greaterThan">
      <formula>0</formula>
    </cfRule>
  </conditionalFormatting>
  <conditionalFormatting sqref="F82">
    <cfRule type="cellIs" dxfId="8436" priority="246" operator="equal">
      <formula>"PMS"</formula>
    </cfRule>
    <cfRule type="containsText" dxfId="8435" priority="247" operator="containsText" text="CMS">
      <formula>NOT(ISERROR(SEARCH("CMS",F82)))</formula>
    </cfRule>
    <cfRule type="cellIs" dxfId="8434" priority="248" operator="equal">
      <formula>0</formula>
    </cfRule>
    <cfRule type="cellIs" dxfId="8433" priority="249" operator="greaterThan">
      <formula>0</formula>
    </cfRule>
  </conditionalFormatting>
  <conditionalFormatting sqref="R19:T19">
    <cfRule type="cellIs" dxfId="8432" priority="238" operator="equal">
      <formula>"PMS"</formula>
    </cfRule>
    <cfRule type="containsText" dxfId="8431" priority="239" operator="containsText" text="CMS">
      <formula>NOT(ISERROR(SEARCH("CMS",R19)))</formula>
    </cfRule>
    <cfRule type="cellIs" dxfId="8430" priority="240" operator="equal">
      <formula>0</formula>
    </cfRule>
    <cfRule type="cellIs" dxfId="8429" priority="241" operator="greaterThan">
      <formula>0</formula>
    </cfRule>
    <cfRule type="cellIs" dxfId="8428" priority="242" operator="equal">
      <formula>"PMS"</formula>
    </cfRule>
    <cfRule type="containsText" dxfId="8427" priority="243" operator="containsText" text="CMS">
      <formula>NOT(ISERROR(SEARCH("CMS",R19)))</formula>
    </cfRule>
    <cfRule type="cellIs" dxfId="8426" priority="244" operator="equal">
      <formula>0</formula>
    </cfRule>
    <cfRule type="cellIs" dxfId="8425" priority="245" operator="greaterThan">
      <formula>0</formula>
    </cfRule>
  </conditionalFormatting>
  <conditionalFormatting sqref="R19:T19">
    <cfRule type="cellIs" dxfId="8424" priority="234" operator="equal">
      <formula>"PMS"</formula>
    </cfRule>
    <cfRule type="containsText" dxfId="8423" priority="235" operator="containsText" text="CMS">
      <formula>NOT(ISERROR(SEARCH("CMS",R19)))</formula>
    </cfRule>
    <cfRule type="cellIs" dxfId="8422" priority="236" operator="equal">
      <formula>0</formula>
    </cfRule>
    <cfRule type="cellIs" dxfId="8421" priority="237" operator="greaterThan">
      <formula>0</formula>
    </cfRule>
  </conditionalFormatting>
  <conditionalFormatting sqref="G13:G16">
    <cfRule type="cellIs" dxfId="8420" priority="226" operator="equal">
      <formula>"PMS"</formula>
    </cfRule>
    <cfRule type="containsText" dxfId="8419" priority="227" operator="containsText" text="CMS">
      <formula>NOT(ISERROR(SEARCH("CMS",G13)))</formula>
    </cfRule>
    <cfRule type="cellIs" dxfId="8418" priority="228" operator="equal">
      <formula>0</formula>
    </cfRule>
    <cfRule type="cellIs" dxfId="8417" priority="229" operator="greaterThan">
      <formula>0</formula>
    </cfRule>
    <cfRule type="cellIs" dxfId="8416" priority="230" operator="equal">
      <formula>"PMS"</formula>
    </cfRule>
    <cfRule type="containsText" dxfId="8415" priority="231" operator="containsText" text="CMS">
      <formula>NOT(ISERROR(SEARCH("CMS",G13)))</formula>
    </cfRule>
    <cfRule type="cellIs" dxfId="8414" priority="232" operator="equal">
      <formula>0</formula>
    </cfRule>
    <cfRule type="cellIs" dxfId="8413" priority="233" operator="greaterThan">
      <formula>0</formula>
    </cfRule>
  </conditionalFormatting>
  <conditionalFormatting sqref="G13:G16">
    <cfRule type="cellIs" dxfId="8412" priority="222" operator="equal">
      <formula>"PMS"</formula>
    </cfRule>
    <cfRule type="containsText" dxfId="8411" priority="223" operator="containsText" text="CMS">
      <formula>NOT(ISERROR(SEARCH("CMS",G13)))</formula>
    </cfRule>
    <cfRule type="cellIs" dxfId="8410" priority="224" operator="equal">
      <formula>0</formula>
    </cfRule>
    <cfRule type="cellIs" dxfId="8409" priority="225" operator="greaterThan">
      <formula>0</formula>
    </cfRule>
  </conditionalFormatting>
  <conditionalFormatting sqref="M13">
    <cfRule type="cellIs" dxfId="8408" priority="214" operator="equal">
      <formula>"PMS"</formula>
    </cfRule>
    <cfRule type="containsText" dxfId="8407" priority="215" operator="containsText" text="CMS">
      <formula>NOT(ISERROR(SEARCH("CMS",M13)))</formula>
    </cfRule>
    <cfRule type="cellIs" dxfId="8406" priority="216" operator="equal">
      <formula>0</formula>
    </cfRule>
    <cfRule type="cellIs" dxfId="8405" priority="217" operator="greaterThan">
      <formula>0</formula>
    </cfRule>
    <cfRule type="cellIs" dxfId="8404" priority="218" operator="equal">
      <formula>"PMS"</formula>
    </cfRule>
    <cfRule type="containsText" dxfId="8403" priority="219" operator="containsText" text="CMS">
      <formula>NOT(ISERROR(SEARCH("CMS",M13)))</formula>
    </cfRule>
    <cfRule type="cellIs" dxfId="8402" priority="220" operator="equal">
      <formula>0</formula>
    </cfRule>
    <cfRule type="cellIs" dxfId="8401" priority="221" operator="greaterThan">
      <formula>0</formula>
    </cfRule>
  </conditionalFormatting>
  <conditionalFormatting sqref="M13">
    <cfRule type="cellIs" dxfId="8400" priority="210" operator="equal">
      <formula>"PMS"</formula>
    </cfRule>
    <cfRule type="containsText" dxfId="8399" priority="211" operator="containsText" text="CMS">
      <formula>NOT(ISERROR(SEARCH("CMS",M13)))</formula>
    </cfRule>
    <cfRule type="cellIs" dxfId="8398" priority="212" operator="equal">
      <formula>0</formula>
    </cfRule>
    <cfRule type="cellIs" dxfId="8397" priority="213" operator="greaterThan">
      <formula>0</formula>
    </cfRule>
  </conditionalFormatting>
  <conditionalFormatting sqref="R78:R79">
    <cfRule type="cellIs" dxfId="8396" priority="202" operator="equal">
      <formula>"PMS"</formula>
    </cfRule>
    <cfRule type="containsText" dxfId="8395" priority="203" operator="containsText" text="CMS">
      <formula>NOT(ISERROR(SEARCH("CMS",R78)))</formula>
    </cfRule>
    <cfRule type="cellIs" dxfId="8394" priority="204" operator="equal">
      <formula>0</formula>
    </cfRule>
    <cfRule type="cellIs" dxfId="8393" priority="205" operator="greaterThan">
      <formula>0</formula>
    </cfRule>
    <cfRule type="cellIs" dxfId="8392" priority="206" operator="equal">
      <formula>"PMS"</formula>
    </cfRule>
    <cfRule type="containsText" dxfId="8391" priority="207" operator="containsText" text="CMS">
      <formula>NOT(ISERROR(SEARCH("CMS",R78)))</formula>
    </cfRule>
    <cfRule type="cellIs" dxfId="8390" priority="208" operator="equal">
      <formula>0</formula>
    </cfRule>
    <cfRule type="cellIs" dxfId="8389" priority="209" operator="greaterThan">
      <formula>0</formula>
    </cfRule>
  </conditionalFormatting>
  <conditionalFormatting sqref="R78:R79">
    <cfRule type="cellIs" dxfId="8388" priority="198" operator="equal">
      <formula>"PMS"</formula>
    </cfRule>
    <cfRule type="containsText" dxfId="8387" priority="199" operator="containsText" text="CMS">
      <formula>NOT(ISERROR(SEARCH("CMS",R78)))</formula>
    </cfRule>
    <cfRule type="cellIs" dxfId="8386" priority="200" operator="equal">
      <formula>0</formula>
    </cfRule>
    <cfRule type="cellIs" dxfId="8385" priority="201" operator="greaterThan">
      <formula>0</formula>
    </cfRule>
  </conditionalFormatting>
  <conditionalFormatting sqref="O15">
    <cfRule type="cellIs" dxfId="8384" priority="190" operator="equal">
      <formula>"PMS"</formula>
    </cfRule>
    <cfRule type="containsText" dxfId="8383" priority="191" operator="containsText" text="CMS">
      <formula>NOT(ISERROR(SEARCH("CMS",O15)))</formula>
    </cfRule>
    <cfRule type="cellIs" dxfId="8382" priority="192" operator="equal">
      <formula>0</formula>
    </cfRule>
    <cfRule type="cellIs" dxfId="8381" priority="193" operator="greaterThan">
      <formula>0</formula>
    </cfRule>
    <cfRule type="cellIs" dxfId="8380" priority="194" operator="equal">
      <formula>"PMS"</formula>
    </cfRule>
    <cfRule type="containsText" dxfId="8379" priority="195" operator="containsText" text="CMS">
      <formula>NOT(ISERROR(SEARCH("CMS",O15)))</formula>
    </cfRule>
    <cfRule type="cellIs" dxfId="8378" priority="196" operator="equal">
      <formula>0</formula>
    </cfRule>
    <cfRule type="cellIs" dxfId="8377" priority="197" operator="greaterThan">
      <formula>0</formula>
    </cfRule>
  </conditionalFormatting>
  <conditionalFormatting sqref="O15">
    <cfRule type="cellIs" dxfId="8376" priority="186" operator="equal">
      <formula>"PMS"</formula>
    </cfRule>
    <cfRule type="containsText" dxfId="8375" priority="187" operator="containsText" text="CMS">
      <formula>NOT(ISERROR(SEARCH("CMS",O15)))</formula>
    </cfRule>
    <cfRule type="cellIs" dxfId="8374" priority="188" operator="equal">
      <formula>0</formula>
    </cfRule>
    <cfRule type="cellIs" dxfId="8373" priority="189" operator="greaterThan">
      <formula>0</formula>
    </cfRule>
  </conditionalFormatting>
  <conditionalFormatting sqref="O16">
    <cfRule type="cellIs" dxfId="8372" priority="178" operator="equal">
      <formula>"PMS"</formula>
    </cfRule>
    <cfRule type="containsText" dxfId="8371" priority="179" operator="containsText" text="CMS">
      <formula>NOT(ISERROR(SEARCH("CMS",O16)))</formula>
    </cfRule>
    <cfRule type="cellIs" dxfId="8370" priority="180" operator="equal">
      <formula>0</formula>
    </cfRule>
    <cfRule type="cellIs" dxfId="8369" priority="181" operator="greaterThan">
      <formula>0</formula>
    </cfRule>
    <cfRule type="cellIs" dxfId="8368" priority="182" operator="equal">
      <formula>"PMS"</formula>
    </cfRule>
    <cfRule type="containsText" dxfId="8367" priority="183" operator="containsText" text="CMS">
      <formula>NOT(ISERROR(SEARCH("CMS",O16)))</formula>
    </cfRule>
    <cfRule type="cellIs" dxfId="8366" priority="184" operator="equal">
      <formula>0</formula>
    </cfRule>
    <cfRule type="cellIs" dxfId="8365" priority="185" operator="greaterThan">
      <formula>0</formula>
    </cfRule>
  </conditionalFormatting>
  <conditionalFormatting sqref="O16">
    <cfRule type="cellIs" dxfId="8364" priority="174" operator="equal">
      <formula>"PMS"</formula>
    </cfRule>
    <cfRule type="containsText" dxfId="8363" priority="175" operator="containsText" text="CMS">
      <formula>NOT(ISERROR(SEARCH("CMS",O16)))</formula>
    </cfRule>
    <cfRule type="cellIs" dxfId="8362" priority="176" operator="equal">
      <formula>0</formula>
    </cfRule>
    <cfRule type="cellIs" dxfId="8361" priority="177" operator="greaterThan">
      <formula>0</formula>
    </cfRule>
  </conditionalFormatting>
  <conditionalFormatting sqref="F36:F48 F50:F59">
    <cfRule type="cellIs" dxfId="8360" priority="166" operator="equal">
      <formula>"PMS"</formula>
    </cfRule>
    <cfRule type="containsText" dxfId="8359" priority="167" operator="containsText" text="CMS">
      <formula>NOT(ISERROR(SEARCH("CMS",F36)))</formula>
    </cfRule>
    <cfRule type="cellIs" dxfId="8358" priority="168" operator="equal">
      <formula>0</formula>
    </cfRule>
    <cfRule type="cellIs" dxfId="8357" priority="169" operator="greaterThan">
      <formula>0</formula>
    </cfRule>
    <cfRule type="cellIs" dxfId="8356" priority="170" operator="equal">
      <formula>"PMS"</formula>
    </cfRule>
    <cfRule type="containsText" dxfId="8355" priority="171" operator="containsText" text="CMS">
      <formula>NOT(ISERROR(SEARCH("CMS",F36)))</formula>
    </cfRule>
    <cfRule type="cellIs" dxfId="8354" priority="172" operator="equal">
      <formula>0</formula>
    </cfRule>
    <cfRule type="cellIs" dxfId="8353" priority="173" operator="greaterThan">
      <formula>0</formula>
    </cfRule>
  </conditionalFormatting>
  <conditionalFormatting sqref="F36:F48 F50:F59">
    <cfRule type="cellIs" dxfId="8352" priority="162" operator="equal">
      <formula>"PMS"</formula>
    </cfRule>
    <cfRule type="containsText" dxfId="8351" priority="163" operator="containsText" text="CMS">
      <formula>NOT(ISERROR(SEARCH("CMS",F36)))</formula>
    </cfRule>
    <cfRule type="cellIs" dxfId="8350" priority="164" operator="equal">
      <formula>0</formula>
    </cfRule>
    <cfRule type="cellIs" dxfId="8349" priority="165" operator="greaterThan">
      <formula>0</formula>
    </cfRule>
  </conditionalFormatting>
  <conditionalFormatting sqref="F19:F21">
    <cfRule type="cellIs" dxfId="8348" priority="154" operator="equal">
      <formula>"PMS"</formula>
    </cfRule>
    <cfRule type="containsText" dxfId="8347" priority="155" operator="containsText" text="CMS">
      <formula>NOT(ISERROR(SEARCH("CMS",F19)))</formula>
    </cfRule>
    <cfRule type="cellIs" dxfId="8346" priority="156" operator="equal">
      <formula>0</formula>
    </cfRule>
    <cfRule type="cellIs" dxfId="8345" priority="157" operator="greaterThan">
      <formula>0</formula>
    </cfRule>
    <cfRule type="cellIs" dxfId="8344" priority="158" operator="equal">
      <formula>"PMS"</formula>
    </cfRule>
    <cfRule type="containsText" dxfId="8343" priority="159" operator="containsText" text="CMS">
      <formula>NOT(ISERROR(SEARCH("CMS",F19)))</formula>
    </cfRule>
    <cfRule type="cellIs" dxfId="8342" priority="160" operator="equal">
      <formula>0</formula>
    </cfRule>
    <cfRule type="cellIs" dxfId="8341" priority="161" operator="greaterThan">
      <formula>0</formula>
    </cfRule>
  </conditionalFormatting>
  <conditionalFormatting sqref="F19:F21">
    <cfRule type="cellIs" dxfId="8340" priority="150" operator="equal">
      <formula>"PMS"</formula>
    </cfRule>
    <cfRule type="containsText" dxfId="8339" priority="151" operator="containsText" text="CMS">
      <formula>NOT(ISERROR(SEARCH("CMS",F19)))</formula>
    </cfRule>
    <cfRule type="cellIs" dxfId="8338" priority="152" operator="equal">
      <formula>0</formula>
    </cfRule>
    <cfRule type="cellIs" dxfId="8337" priority="153" operator="greaterThan">
      <formula>0</formula>
    </cfRule>
  </conditionalFormatting>
  <conditionalFormatting sqref="F33">
    <cfRule type="cellIs" dxfId="8336" priority="118" operator="equal">
      <formula>"PMS"</formula>
    </cfRule>
    <cfRule type="containsText" dxfId="8335" priority="119" operator="containsText" text="CMS">
      <formula>NOT(ISERROR(SEARCH("CMS",F33)))</formula>
    </cfRule>
    <cfRule type="cellIs" dxfId="8334" priority="120" operator="equal">
      <formula>0</formula>
    </cfRule>
    <cfRule type="cellIs" dxfId="8333" priority="121" operator="greaterThan">
      <formula>0</formula>
    </cfRule>
    <cfRule type="cellIs" dxfId="8332" priority="122" operator="equal">
      <formula>"PMS"</formula>
    </cfRule>
    <cfRule type="containsText" dxfId="8331" priority="123" operator="containsText" text="CMS">
      <formula>NOT(ISERROR(SEARCH("CMS",F33)))</formula>
    </cfRule>
    <cfRule type="cellIs" dxfId="8330" priority="124" operator="equal">
      <formula>0</formula>
    </cfRule>
    <cfRule type="cellIs" dxfId="8329" priority="125" operator="greaterThan">
      <formula>0</formula>
    </cfRule>
  </conditionalFormatting>
  <conditionalFormatting sqref="F33">
    <cfRule type="cellIs" dxfId="8328" priority="114" operator="equal">
      <formula>"PMS"</formula>
    </cfRule>
    <cfRule type="containsText" dxfId="8327" priority="115" operator="containsText" text="CMS">
      <formula>NOT(ISERROR(SEARCH("CMS",F33)))</formula>
    </cfRule>
    <cfRule type="cellIs" dxfId="8326" priority="116" operator="equal">
      <formula>0</formula>
    </cfRule>
    <cfRule type="cellIs" dxfId="8325" priority="117" operator="greaterThan">
      <formula>0</formula>
    </cfRule>
  </conditionalFormatting>
  <conditionalFormatting sqref="F67:F75 F78:F79">
    <cfRule type="cellIs" dxfId="8324" priority="106" operator="equal">
      <formula>"PMS"</formula>
    </cfRule>
    <cfRule type="containsText" dxfId="8323" priority="107" operator="containsText" text="CMS">
      <formula>NOT(ISERROR(SEARCH("CMS",F67)))</formula>
    </cfRule>
    <cfRule type="cellIs" dxfId="8322" priority="108" operator="equal">
      <formula>0</formula>
    </cfRule>
    <cfRule type="cellIs" dxfId="8321" priority="109" operator="greaterThan">
      <formula>0</formula>
    </cfRule>
    <cfRule type="cellIs" dxfId="8320" priority="110" operator="equal">
      <formula>"PMS"</formula>
    </cfRule>
    <cfRule type="containsText" dxfId="8319" priority="111" operator="containsText" text="CMS">
      <formula>NOT(ISERROR(SEARCH("CMS",F67)))</formula>
    </cfRule>
    <cfRule type="cellIs" dxfId="8318" priority="112" operator="equal">
      <formula>0</formula>
    </cfRule>
    <cfRule type="cellIs" dxfId="8317" priority="113" operator="greaterThan">
      <formula>0</formula>
    </cfRule>
  </conditionalFormatting>
  <conditionalFormatting sqref="F67:F75 F78:F79">
    <cfRule type="cellIs" dxfId="8316" priority="102" operator="equal">
      <formula>"PMS"</formula>
    </cfRule>
    <cfRule type="containsText" dxfId="8315" priority="103" operator="containsText" text="CMS">
      <formula>NOT(ISERROR(SEARCH("CMS",F67)))</formula>
    </cfRule>
    <cfRule type="cellIs" dxfId="8314" priority="104" operator="equal">
      <formula>0</formula>
    </cfRule>
    <cfRule type="cellIs" dxfId="8313" priority="105" operator="greaterThan">
      <formula>0</formula>
    </cfRule>
  </conditionalFormatting>
  <conditionalFormatting sqref="N15">
    <cfRule type="cellIs" dxfId="8312" priority="94" operator="equal">
      <formula>"PMS"</formula>
    </cfRule>
    <cfRule type="containsText" dxfId="8311" priority="95" operator="containsText" text="CMS">
      <formula>NOT(ISERROR(SEARCH("CMS",N15)))</formula>
    </cfRule>
    <cfRule type="cellIs" dxfId="8310" priority="96" operator="equal">
      <formula>0</formula>
    </cfRule>
    <cfRule type="cellIs" dxfId="8309" priority="97" operator="greaterThan">
      <formula>0</formula>
    </cfRule>
    <cfRule type="cellIs" dxfId="8308" priority="98" operator="equal">
      <formula>"PMS"</formula>
    </cfRule>
    <cfRule type="containsText" dxfId="8307" priority="99" operator="containsText" text="CMS">
      <formula>NOT(ISERROR(SEARCH("CMS",N15)))</formula>
    </cfRule>
    <cfRule type="cellIs" dxfId="8306" priority="100" operator="equal">
      <formula>0</formula>
    </cfRule>
    <cfRule type="cellIs" dxfId="8305" priority="101" operator="greaterThan">
      <formula>0</formula>
    </cfRule>
  </conditionalFormatting>
  <conditionalFormatting sqref="N15">
    <cfRule type="cellIs" dxfId="8304" priority="90" operator="equal">
      <formula>"PMS"</formula>
    </cfRule>
    <cfRule type="containsText" dxfId="8303" priority="91" operator="containsText" text="CMS">
      <formula>NOT(ISERROR(SEARCH("CMS",N15)))</formula>
    </cfRule>
    <cfRule type="cellIs" dxfId="8302" priority="92" operator="equal">
      <formula>0</formula>
    </cfRule>
    <cfRule type="cellIs" dxfId="8301" priority="93" operator="greaterThan">
      <formula>0</formula>
    </cfRule>
  </conditionalFormatting>
  <conditionalFormatting sqref="N16">
    <cfRule type="cellIs" dxfId="8300" priority="82" operator="equal">
      <formula>"PMS"</formula>
    </cfRule>
    <cfRule type="containsText" dxfId="8299" priority="83" operator="containsText" text="CMS">
      <formula>NOT(ISERROR(SEARCH("CMS",N16)))</formula>
    </cfRule>
    <cfRule type="cellIs" dxfId="8298" priority="84" operator="equal">
      <formula>0</formula>
    </cfRule>
    <cfRule type="cellIs" dxfId="8297" priority="85" operator="greaterThan">
      <formula>0</formula>
    </cfRule>
    <cfRule type="cellIs" dxfId="8296" priority="86" operator="equal">
      <formula>"PMS"</formula>
    </cfRule>
    <cfRule type="containsText" dxfId="8295" priority="87" operator="containsText" text="CMS">
      <formula>NOT(ISERROR(SEARCH("CMS",N16)))</formula>
    </cfRule>
    <cfRule type="cellIs" dxfId="8294" priority="88" operator="equal">
      <formula>0</formula>
    </cfRule>
    <cfRule type="cellIs" dxfId="8293" priority="89" operator="greaterThan">
      <formula>0</formula>
    </cfRule>
  </conditionalFormatting>
  <conditionalFormatting sqref="N16">
    <cfRule type="cellIs" dxfId="8292" priority="78" operator="equal">
      <formula>"PMS"</formula>
    </cfRule>
    <cfRule type="containsText" dxfId="8291" priority="79" operator="containsText" text="CMS">
      <formula>NOT(ISERROR(SEARCH("CMS",N16)))</formula>
    </cfRule>
    <cfRule type="cellIs" dxfId="8290" priority="80" operator="equal">
      <formula>0</formula>
    </cfRule>
    <cfRule type="cellIs" dxfId="8289" priority="81" operator="greaterThan">
      <formula>0</formula>
    </cfRule>
  </conditionalFormatting>
  <conditionalFormatting sqref="O21">
    <cfRule type="cellIs" dxfId="8288" priority="70" operator="equal">
      <formula>"PMS"</formula>
    </cfRule>
    <cfRule type="containsText" dxfId="8287" priority="71" operator="containsText" text="CMS">
      <formula>NOT(ISERROR(SEARCH("CMS",O21)))</formula>
    </cfRule>
    <cfRule type="cellIs" dxfId="8286" priority="72" operator="equal">
      <formula>0</formula>
    </cfRule>
    <cfRule type="cellIs" dxfId="8285" priority="73" operator="greaterThan">
      <formula>0</formula>
    </cfRule>
    <cfRule type="cellIs" dxfId="8284" priority="74" operator="equal">
      <formula>"PMS"</formula>
    </cfRule>
    <cfRule type="containsText" dxfId="8283" priority="75" operator="containsText" text="CMS">
      <formula>NOT(ISERROR(SEARCH("CMS",O21)))</formula>
    </cfRule>
    <cfRule type="cellIs" dxfId="8282" priority="76" operator="equal">
      <formula>0</formula>
    </cfRule>
    <cfRule type="cellIs" dxfId="8281" priority="77" operator="greaterThan">
      <formula>0</formula>
    </cfRule>
  </conditionalFormatting>
  <conditionalFormatting sqref="O21">
    <cfRule type="cellIs" dxfId="8280" priority="66" operator="equal">
      <formula>"PMS"</formula>
    </cfRule>
    <cfRule type="containsText" dxfId="8279" priority="67" operator="containsText" text="CMS">
      <formula>NOT(ISERROR(SEARCH("CMS",O21)))</formula>
    </cfRule>
    <cfRule type="cellIs" dxfId="8278" priority="68" operator="equal">
      <formula>0</formula>
    </cfRule>
    <cfRule type="cellIs" dxfId="8277" priority="69" operator="greaterThan">
      <formula>0</formula>
    </cfRule>
  </conditionalFormatting>
  <conditionalFormatting sqref="F13:F16">
    <cfRule type="cellIs" dxfId="8276" priority="58" operator="equal">
      <formula>"PMS"</formula>
    </cfRule>
    <cfRule type="containsText" dxfId="8275" priority="59" operator="containsText" text="CMS">
      <formula>NOT(ISERROR(SEARCH("CMS",F13)))</formula>
    </cfRule>
    <cfRule type="cellIs" dxfId="8274" priority="60" operator="equal">
      <formula>0</formula>
    </cfRule>
    <cfRule type="cellIs" dxfId="8273" priority="61" operator="greaterThan">
      <formula>0</formula>
    </cfRule>
    <cfRule type="cellIs" dxfId="8272" priority="62" operator="equal">
      <formula>"PMS"</formula>
    </cfRule>
    <cfRule type="containsText" dxfId="8271" priority="63" operator="containsText" text="CMS">
      <formula>NOT(ISERROR(SEARCH("CMS",F13)))</formula>
    </cfRule>
    <cfRule type="cellIs" dxfId="8270" priority="64" operator="equal">
      <formula>0</formula>
    </cfRule>
    <cfRule type="cellIs" dxfId="8269" priority="65" operator="greaterThan">
      <formula>0</formula>
    </cfRule>
  </conditionalFormatting>
  <conditionalFormatting sqref="F13:F16">
    <cfRule type="cellIs" dxfId="8268" priority="54" operator="equal">
      <formula>"PMS"</formula>
    </cfRule>
    <cfRule type="containsText" dxfId="8267" priority="55" operator="containsText" text="CMS">
      <formula>NOT(ISERROR(SEARCH("CMS",F13)))</formula>
    </cfRule>
    <cfRule type="cellIs" dxfId="8266" priority="56" operator="equal">
      <formula>0</formula>
    </cfRule>
    <cfRule type="cellIs" dxfId="8265" priority="57" operator="greaterThan">
      <formula>0</formula>
    </cfRule>
  </conditionalFormatting>
  <conditionalFormatting sqref="F27:F30">
    <cfRule type="cellIs" dxfId="8264" priority="46" operator="equal">
      <formula>"PMS"</formula>
    </cfRule>
    <cfRule type="containsText" dxfId="8263" priority="47" operator="containsText" text="CMS">
      <formula>NOT(ISERROR(SEARCH("CMS",F27)))</formula>
    </cfRule>
    <cfRule type="cellIs" dxfId="8262" priority="48" operator="equal">
      <formula>0</formula>
    </cfRule>
    <cfRule type="cellIs" dxfId="8261" priority="49" operator="greaterThan">
      <formula>0</formula>
    </cfRule>
    <cfRule type="cellIs" dxfId="8260" priority="50" operator="equal">
      <formula>"PMS"</formula>
    </cfRule>
    <cfRule type="containsText" dxfId="8259" priority="51" operator="containsText" text="CMS">
      <formula>NOT(ISERROR(SEARCH("CMS",F27)))</formula>
    </cfRule>
    <cfRule type="cellIs" dxfId="8258" priority="52" operator="equal">
      <formula>0</formula>
    </cfRule>
    <cfRule type="cellIs" dxfId="8257" priority="53" operator="greaterThan">
      <formula>0</formula>
    </cfRule>
  </conditionalFormatting>
  <conditionalFormatting sqref="F27:F30">
    <cfRule type="cellIs" dxfId="8256" priority="42" operator="equal">
      <formula>"PMS"</formula>
    </cfRule>
    <cfRule type="containsText" dxfId="8255" priority="43" operator="containsText" text="CMS">
      <formula>NOT(ISERROR(SEARCH("CMS",F27)))</formula>
    </cfRule>
    <cfRule type="cellIs" dxfId="8254" priority="44" operator="equal">
      <formula>0</formula>
    </cfRule>
    <cfRule type="cellIs" dxfId="8253" priority="45" operator="greaterThan">
      <formula>0</formula>
    </cfRule>
  </conditionalFormatting>
  <conditionalFormatting sqref="F49">
    <cfRule type="cellIs" dxfId="8252" priority="34" operator="equal">
      <formula>"PMS"</formula>
    </cfRule>
    <cfRule type="containsText" dxfId="8251" priority="35" operator="containsText" text="CMS">
      <formula>NOT(ISERROR(SEARCH("CMS",F49)))</formula>
    </cfRule>
    <cfRule type="cellIs" dxfId="8250" priority="36" operator="equal">
      <formula>0</formula>
    </cfRule>
    <cfRule type="cellIs" dxfId="8249" priority="37" operator="greaterThan">
      <formula>0</formula>
    </cfRule>
    <cfRule type="cellIs" dxfId="8248" priority="38" operator="equal">
      <formula>"PMS"</formula>
    </cfRule>
    <cfRule type="containsText" dxfId="8247" priority="39" operator="containsText" text="CMS">
      <formula>NOT(ISERROR(SEARCH("CMS",F49)))</formula>
    </cfRule>
    <cfRule type="cellIs" dxfId="8246" priority="40" operator="equal">
      <formula>0</formula>
    </cfRule>
    <cfRule type="cellIs" dxfId="8245" priority="41" operator="greaterThan">
      <formula>0</formula>
    </cfRule>
  </conditionalFormatting>
  <conditionalFormatting sqref="F49">
    <cfRule type="cellIs" dxfId="8244" priority="30" operator="equal">
      <formula>"PMS"</formula>
    </cfRule>
    <cfRule type="containsText" dxfId="8243" priority="31" operator="containsText" text="CMS">
      <formula>NOT(ISERROR(SEARCH("CMS",F49)))</formula>
    </cfRule>
    <cfRule type="cellIs" dxfId="8242" priority="32" operator="equal">
      <formula>0</formula>
    </cfRule>
    <cfRule type="cellIs" dxfId="8241" priority="33" operator="greaterThan">
      <formula>0</formula>
    </cfRule>
  </conditionalFormatting>
  <conditionalFormatting sqref="F62:F64">
    <cfRule type="cellIs" dxfId="8240" priority="10" operator="equal">
      <formula>"PMS"</formula>
    </cfRule>
    <cfRule type="containsText" dxfId="8239" priority="11" operator="containsText" text="CMS">
      <formula>NOT(ISERROR(SEARCH("CMS",F62)))</formula>
    </cfRule>
    <cfRule type="cellIs" dxfId="8238" priority="12" operator="equal">
      <formula>0</formula>
    </cfRule>
    <cfRule type="cellIs" dxfId="8237" priority="13" operator="greaterThan">
      <formula>0</formula>
    </cfRule>
    <cfRule type="cellIs" dxfId="8236" priority="14" operator="equal">
      <formula>"PMS"</formula>
    </cfRule>
    <cfRule type="containsText" dxfId="8235" priority="15" operator="containsText" text="CMS">
      <formula>NOT(ISERROR(SEARCH("CMS",F62)))</formula>
    </cfRule>
    <cfRule type="cellIs" dxfId="8234" priority="16" operator="equal">
      <formula>0</formula>
    </cfRule>
    <cfRule type="cellIs" dxfId="8233" priority="17" operator="greaterThan">
      <formula>0</formula>
    </cfRule>
  </conditionalFormatting>
  <conditionalFormatting sqref="F62:F64">
    <cfRule type="cellIs" dxfId="8232" priority="6" operator="equal">
      <formula>"PMS"</formula>
    </cfRule>
    <cfRule type="containsText" dxfId="8231" priority="7" operator="containsText" text="CMS">
      <formula>NOT(ISERROR(SEARCH("CMS",F62)))</formula>
    </cfRule>
    <cfRule type="cellIs" dxfId="8230" priority="8" operator="equal">
      <formula>0</formula>
    </cfRule>
    <cfRule type="cellIs" dxfId="8229" priority="9" operator="greaterThan">
      <formula>0</formula>
    </cfRule>
  </conditionalFormatting>
  <conditionalFormatting sqref="G112:AC112 I111:M111">
    <cfRule type="cellIs" dxfId="8228" priority="5" operator="greaterThan">
      <formula>60.3</formula>
    </cfRule>
  </conditionalFormatting>
  <conditionalFormatting sqref="F111:H111">
    <cfRule type="cellIs" dxfId="8227" priority="3" operator="greaterThan">
      <formula>60.3</formula>
    </cfRule>
  </conditionalFormatting>
  <conditionalFormatting sqref="N111">
    <cfRule type="cellIs" dxfId="8226" priority="2" operator="greaterThan">
      <formula>60.3</formula>
    </cfRule>
  </conditionalFormatting>
  <conditionalFormatting sqref="O111:V111 X111:AC111">
    <cfRule type="cellIs" dxfId="8225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963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0F91E-9283-4EEE-83B4-CAA26CE85E64}">
  <sheetPr codeName="Sheet162"/>
  <dimension ref="A2:DT140"/>
  <sheetViews>
    <sheetView zoomScale="70" zoomScaleNormal="70" zoomScaleSheetLayoutView="51" zoomScalePageLayoutView="55" workbookViewId="0">
      <pane xSplit="5" ySplit="11" topLeftCell="S107" activePane="bottomRight" state="frozen"/>
      <selection pane="bottomRight" activeCell="S107" sqref="S107"/>
      <selection pane="bottomLeft" activeCell="AJ44" sqref="AJ44"/>
      <selection pane="topRight" activeCell="AJ44" sqref="AJ4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4.140625" customWidth="1"/>
    <col min="31" max="31" width="4.425781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4">
      <c r="C2" s="16"/>
      <c r="D2" s="23" t="s">
        <v>1</v>
      </c>
      <c r="E2" s="22" t="s">
        <v>2</v>
      </c>
      <c r="F2" s="22"/>
    </row>
    <row r="3" spans="1:44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4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  <c r="AR4">
        <f>2.73/2</f>
        <v>1.365</v>
      </c>
    </row>
    <row r="5" spans="1:44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4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4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4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23"/>
      <c r="N8" s="523"/>
      <c r="O8" s="52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4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24" t="e" cm="1">
        <f t="array" aca="1" ref="M9" ca="1">TEXT(TODAY(),"mmmm")&amp;" "&amp;MID(CELL("filename",A1),FIND("]",CELL("filename",A1))+1,255)&amp;", "&amp;TEXT(TODAY(),"yyyy")</f>
        <v>#VALUE!</v>
      </c>
      <c r="N9" s="524"/>
      <c r="O9" s="524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4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4"/>
      <c r="R10" s="344"/>
      <c r="S10" s="344"/>
      <c r="T10" s="344"/>
      <c r="U10" s="344"/>
      <c r="V10" s="344"/>
      <c r="W10" s="344"/>
      <c r="X10" s="344"/>
      <c r="Y10" s="344"/>
      <c r="Z10" s="344"/>
      <c r="AA10" s="344"/>
      <c r="AB10" s="344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4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4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17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438.7999999999999</v>
      </c>
    </row>
    <row r="13" spans="1:44">
      <c r="A13" s="14" t="s">
        <v>22</v>
      </c>
      <c r="B13" s="15"/>
      <c r="C13" s="15">
        <v>7.2</v>
      </c>
      <c r="D13" s="15"/>
      <c r="E13" s="15"/>
      <c r="F13" s="372">
        <v>0</v>
      </c>
      <c r="G13" s="372">
        <v>0</v>
      </c>
      <c r="H13" s="372">
        <v>0</v>
      </c>
      <c r="I13" s="372">
        <v>0</v>
      </c>
      <c r="J13" s="372">
        <v>0</v>
      </c>
      <c r="K13" s="372">
        <v>1.6</v>
      </c>
      <c r="L13" s="374">
        <v>6.5</v>
      </c>
      <c r="M13" s="372">
        <v>6.3</v>
      </c>
      <c r="N13" s="372">
        <v>6.5</v>
      </c>
      <c r="O13" s="372">
        <v>6.5</v>
      </c>
      <c r="P13" s="372">
        <v>6.7</v>
      </c>
      <c r="Q13" s="372">
        <v>6.7</v>
      </c>
      <c r="R13" s="372">
        <v>6.8</v>
      </c>
      <c r="S13" s="372">
        <v>6.6</v>
      </c>
      <c r="T13" s="372">
        <v>6.5</v>
      </c>
      <c r="U13" s="372">
        <v>6.5</v>
      </c>
      <c r="V13" s="372">
        <v>6.5</v>
      </c>
      <c r="W13" s="372">
        <v>6.7</v>
      </c>
      <c r="X13" s="372">
        <v>6.8</v>
      </c>
      <c r="Y13" s="372">
        <v>6.6</v>
      </c>
      <c r="Z13" s="372">
        <v>6.7</v>
      </c>
      <c r="AA13" s="372">
        <v>6.6</v>
      </c>
      <c r="AB13" s="372">
        <v>0</v>
      </c>
      <c r="AC13" s="372">
        <v>0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4">
      <c r="A14" s="14" t="s">
        <v>23</v>
      </c>
      <c r="B14" s="15"/>
      <c r="C14" s="15">
        <v>7.2</v>
      </c>
      <c r="D14" s="15"/>
      <c r="E14" s="15"/>
      <c r="F14" s="372">
        <v>6.7</v>
      </c>
      <c r="G14" s="372">
        <v>6.6</v>
      </c>
      <c r="H14" s="374">
        <v>6.7</v>
      </c>
      <c r="I14" s="372">
        <v>6.7</v>
      </c>
      <c r="J14" s="372">
        <v>6.6</v>
      </c>
      <c r="K14" s="372">
        <v>6.9</v>
      </c>
      <c r="L14" s="372">
        <v>6.5</v>
      </c>
      <c r="M14" s="372">
        <v>6.3</v>
      </c>
      <c r="N14" s="372">
        <v>6.5</v>
      </c>
      <c r="O14" s="372">
        <v>6.5</v>
      </c>
      <c r="P14" s="372">
        <v>6.7</v>
      </c>
      <c r="Q14" s="372">
        <v>6.7</v>
      </c>
      <c r="R14" s="372">
        <v>6.8</v>
      </c>
      <c r="S14" s="372">
        <v>6.6</v>
      </c>
      <c r="T14" s="372"/>
      <c r="U14" s="372"/>
      <c r="V14" s="372"/>
      <c r="W14" s="372"/>
      <c r="X14" s="372"/>
      <c r="Y14" s="372"/>
      <c r="Z14" s="372"/>
      <c r="AA14" s="372"/>
      <c r="AB14" s="372">
        <v>6.6</v>
      </c>
      <c r="AC14" s="372">
        <v>6.7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16</v>
      </c>
    </row>
    <row r="15" spans="1:44">
      <c r="A15" s="66" t="s">
        <v>24</v>
      </c>
      <c r="B15" s="15"/>
      <c r="C15" s="15">
        <v>7.2</v>
      </c>
      <c r="D15" s="15"/>
      <c r="E15" s="15"/>
      <c r="F15" s="372">
        <v>0</v>
      </c>
      <c r="G15" s="372">
        <v>0</v>
      </c>
      <c r="H15" s="374">
        <v>0</v>
      </c>
      <c r="I15" s="372">
        <v>0</v>
      </c>
      <c r="J15" s="372">
        <v>0</v>
      </c>
      <c r="K15" s="374">
        <v>0</v>
      </c>
      <c r="L15" s="374">
        <v>0</v>
      </c>
      <c r="M15" s="374">
        <v>0</v>
      </c>
      <c r="N15" s="372">
        <v>0</v>
      </c>
      <c r="O15" s="372">
        <v>0</v>
      </c>
      <c r="P15" s="372">
        <v>0</v>
      </c>
      <c r="Q15" s="372">
        <v>0</v>
      </c>
      <c r="R15" s="372">
        <v>0</v>
      </c>
      <c r="S15" s="372">
        <v>0</v>
      </c>
      <c r="T15" s="372">
        <v>6.5</v>
      </c>
      <c r="U15" s="372">
        <v>6.5</v>
      </c>
      <c r="V15" s="372">
        <v>6.5</v>
      </c>
      <c r="W15" s="372">
        <v>6.7</v>
      </c>
      <c r="X15" s="372">
        <v>6.8</v>
      </c>
      <c r="Y15" s="372">
        <v>6.6</v>
      </c>
      <c r="Z15" s="372">
        <v>6.7</v>
      </c>
      <c r="AA15" s="372">
        <v>6.7</v>
      </c>
      <c r="AB15" s="372">
        <v>6.7</v>
      </c>
      <c r="AC15" s="372">
        <v>6.7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4">
      <c r="A16" s="14" t="s">
        <v>25</v>
      </c>
      <c r="B16" s="15"/>
      <c r="C16" s="15">
        <v>7.2</v>
      </c>
      <c r="D16" s="15"/>
      <c r="E16" s="15"/>
      <c r="F16" s="372">
        <v>6.7</v>
      </c>
      <c r="G16" s="372">
        <v>6.7</v>
      </c>
      <c r="H16" s="374">
        <v>6.7</v>
      </c>
      <c r="I16" s="372">
        <v>6.7</v>
      </c>
      <c r="J16" s="372">
        <v>6.6</v>
      </c>
      <c r="K16" s="374">
        <v>6.8</v>
      </c>
      <c r="L16" s="374">
        <v>6.5</v>
      </c>
      <c r="M16" s="374">
        <v>6.3</v>
      </c>
      <c r="N16" s="372">
        <v>6.5</v>
      </c>
      <c r="O16" s="372">
        <v>6.5</v>
      </c>
      <c r="P16" s="372">
        <v>6.7</v>
      </c>
      <c r="Q16" s="372">
        <v>6.7</v>
      </c>
      <c r="R16" s="372">
        <v>6.8</v>
      </c>
      <c r="S16" s="372">
        <v>6.6</v>
      </c>
      <c r="T16" s="372">
        <v>6.5</v>
      </c>
      <c r="U16" s="372">
        <v>6.5</v>
      </c>
      <c r="V16" s="372">
        <v>6.5</v>
      </c>
      <c r="W16" s="372">
        <v>6.7</v>
      </c>
      <c r="X16" s="372">
        <v>6.8</v>
      </c>
      <c r="Y16" s="372">
        <v>6.6</v>
      </c>
      <c r="Z16" s="372">
        <v>6.7</v>
      </c>
      <c r="AA16" s="372">
        <v>6.7</v>
      </c>
      <c r="AB16" s="372">
        <v>6.7</v>
      </c>
      <c r="AC16" s="372">
        <v>6.7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13.4</v>
      </c>
      <c r="G17" s="19">
        <f t="shared" si="0"/>
        <v>13.3</v>
      </c>
      <c r="H17" s="19">
        <f t="shared" si="0"/>
        <v>13.4</v>
      </c>
      <c r="I17" s="19">
        <f t="shared" si="0"/>
        <v>13.4</v>
      </c>
      <c r="J17" s="19">
        <f t="shared" si="0"/>
        <v>13.2</v>
      </c>
      <c r="K17" s="19">
        <f t="shared" si="0"/>
        <v>15.3</v>
      </c>
      <c r="L17" s="19">
        <f t="shared" si="0"/>
        <v>19.5</v>
      </c>
      <c r="M17" s="19">
        <f t="shared" si="0"/>
        <v>18.899999999999999</v>
      </c>
      <c r="N17" s="19">
        <f t="shared" si="0"/>
        <v>19.5</v>
      </c>
      <c r="O17" s="19">
        <f t="shared" si="0"/>
        <v>19.5</v>
      </c>
      <c r="P17" s="19">
        <f t="shared" si="0"/>
        <v>20.100000000000001</v>
      </c>
      <c r="Q17" s="19">
        <f t="shared" si="0"/>
        <v>20.100000000000001</v>
      </c>
      <c r="R17" s="19">
        <f t="shared" si="0"/>
        <v>20.399999999999999</v>
      </c>
      <c r="S17" s="19">
        <f t="shared" si="0"/>
        <v>19.799999999999997</v>
      </c>
      <c r="T17" s="19">
        <f t="shared" si="0"/>
        <v>19.5</v>
      </c>
      <c r="U17" s="19">
        <f t="shared" si="0"/>
        <v>19.5</v>
      </c>
      <c r="V17" s="19">
        <f t="shared" si="0"/>
        <v>19.5</v>
      </c>
      <c r="W17" s="19">
        <f t="shared" si="0"/>
        <v>20.100000000000001</v>
      </c>
      <c r="X17" s="19">
        <f t="shared" si="0"/>
        <v>20.399999999999999</v>
      </c>
      <c r="Y17" s="19">
        <f t="shared" si="0"/>
        <v>19.799999999999997</v>
      </c>
      <c r="Z17" s="19">
        <f t="shared" si="0"/>
        <v>20.100000000000001</v>
      </c>
      <c r="AA17" s="19">
        <f t="shared" si="0"/>
        <v>20</v>
      </c>
      <c r="AB17" s="19">
        <f t="shared" si="0"/>
        <v>20</v>
      </c>
      <c r="AC17" s="19">
        <f t="shared" si="0"/>
        <v>20.100000000000001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131.69999999999993</v>
      </c>
    </row>
    <row r="19" spans="1:51">
      <c r="A19" s="14" t="s">
        <v>22</v>
      </c>
      <c r="B19" s="15"/>
      <c r="C19" s="15">
        <v>3</v>
      </c>
      <c r="D19" s="15"/>
      <c r="E19" s="15"/>
      <c r="F19" s="372">
        <v>2.8</v>
      </c>
      <c r="G19" s="372">
        <v>2.8</v>
      </c>
      <c r="H19" s="372">
        <v>2.8</v>
      </c>
      <c r="I19" s="372">
        <v>2.8</v>
      </c>
      <c r="J19" s="372">
        <v>2.5</v>
      </c>
      <c r="K19" s="374"/>
      <c r="L19" s="374"/>
      <c r="M19" s="374"/>
      <c r="N19" s="374"/>
      <c r="O19" s="372">
        <v>1.2</v>
      </c>
      <c r="P19" s="374">
        <v>2.8</v>
      </c>
      <c r="Q19" s="372">
        <v>2.8</v>
      </c>
      <c r="R19" s="372">
        <v>2.8</v>
      </c>
      <c r="S19" s="372">
        <v>2.8</v>
      </c>
      <c r="T19" s="372">
        <v>2.8</v>
      </c>
      <c r="U19" s="372">
        <v>2.8</v>
      </c>
      <c r="V19" s="372">
        <v>2.7</v>
      </c>
      <c r="W19" s="372">
        <v>2.8</v>
      </c>
      <c r="X19" s="372">
        <v>2.8</v>
      </c>
      <c r="Y19" s="372">
        <v>2.8</v>
      </c>
      <c r="Z19" s="372">
        <v>2.8</v>
      </c>
      <c r="AA19" s="372">
        <v>2.8</v>
      </c>
      <c r="AB19" s="372">
        <v>2</v>
      </c>
      <c r="AC19" s="372">
        <v>2</v>
      </c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20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372"/>
      <c r="G20" s="372"/>
      <c r="H20" s="372"/>
      <c r="I20" s="372"/>
      <c r="J20" s="372"/>
      <c r="K20" s="374"/>
      <c r="L20" s="374"/>
      <c r="M20" s="374"/>
      <c r="N20" s="372"/>
      <c r="O20" s="372"/>
      <c r="P20" s="372"/>
      <c r="Q20" s="372"/>
      <c r="R20" s="372"/>
      <c r="S20" s="372"/>
      <c r="T20" s="372"/>
      <c r="U20" s="372"/>
      <c r="V20" s="372"/>
      <c r="W20" s="372"/>
      <c r="X20" s="372"/>
      <c r="Y20" s="372"/>
      <c r="Z20" s="372"/>
      <c r="AA20" s="372"/>
      <c r="AB20" s="372"/>
      <c r="AC20" s="372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2">
        <v>3.8</v>
      </c>
      <c r="G21" s="372">
        <v>3.8</v>
      </c>
      <c r="H21" s="372">
        <v>3.8</v>
      </c>
      <c r="I21" s="372">
        <v>3.8</v>
      </c>
      <c r="J21" s="372">
        <v>3</v>
      </c>
      <c r="K21" s="374">
        <v>3.8</v>
      </c>
      <c r="L21" s="374"/>
      <c r="M21" s="374"/>
      <c r="N21" s="372">
        <v>2.8</v>
      </c>
      <c r="O21" s="372">
        <v>3.8</v>
      </c>
      <c r="P21" s="372">
        <v>3.8</v>
      </c>
      <c r="Q21" s="372">
        <v>3.8</v>
      </c>
      <c r="R21" s="372">
        <v>3.8</v>
      </c>
      <c r="S21" s="372">
        <v>3.8</v>
      </c>
      <c r="T21" s="372">
        <v>3.8</v>
      </c>
      <c r="U21" s="372">
        <v>3.8</v>
      </c>
      <c r="V21" s="372">
        <v>3.7</v>
      </c>
      <c r="W21" s="372">
        <v>3.8</v>
      </c>
      <c r="X21" s="372">
        <v>3.8</v>
      </c>
      <c r="Y21" s="372">
        <v>3.8</v>
      </c>
      <c r="Z21" s="372">
        <v>3.8</v>
      </c>
      <c r="AA21" s="372">
        <v>3</v>
      </c>
      <c r="AB21" s="372">
        <v>3</v>
      </c>
      <c r="AC21" s="372">
        <v>3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22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6.6</v>
      </c>
      <c r="G22" s="19">
        <f t="shared" si="1"/>
        <v>6.6</v>
      </c>
      <c r="H22" s="19">
        <f t="shared" si="1"/>
        <v>6.6</v>
      </c>
      <c r="I22" s="19">
        <f t="shared" si="1"/>
        <v>6.6</v>
      </c>
      <c r="J22" s="19">
        <f t="shared" si="1"/>
        <v>5.5</v>
      </c>
      <c r="K22" s="19">
        <f t="shared" si="1"/>
        <v>3.8</v>
      </c>
      <c r="L22" s="19">
        <f t="shared" si="1"/>
        <v>0</v>
      </c>
      <c r="M22" s="19">
        <f t="shared" si="1"/>
        <v>0</v>
      </c>
      <c r="N22" s="19">
        <f t="shared" si="1"/>
        <v>2.8</v>
      </c>
      <c r="O22" s="19">
        <f t="shared" si="1"/>
        <v>5</v>
      </c>
      <c r="P22" s="19">
        <f t="shared" si="1"/>
        <v>6.6</v>
      </c>
      <c r="Q22" s="19">
        <f t="shared" si="1"/>
        <v>6.6</v>
      </c>
      <c r="R22" s="19">
        <f t="shared" si="1"/>
        <v>6.6</v>
      </c>
      <c r="S22" s="19">
        <f>SUM(S19:S21)</f>
        <v>6.6</v>
      </c>
      <c r="T22" s="19">
        <f t="shared" ref="T22" si="2">SUM(T19:T21)</f>
        <v>6.6</v>
      </c>
      <c r="U22" s="19">
        <f t="shared" si="1"/>
        <v>6.6</v>
      </c>
      <c r="V22" s="19">
        <f t="shared" si="1"/>
        <v>6.4</v>
      </c>
      <c r="W22" s="19">
        <f t="shared" si="1"/>
        <v>6.6</v>
      </c>
      <c r="X22" s="19">
        <f t="shared" si="1"/>
        <v>6.6</v>
      </c>
      <c r="Y22" s="19">
        <f t="shared" si="1"/>
        <v>6.6</v>
      </c>
      <c r="Z22" s="19">
        <f t="shared" si="1"/>
        <v>6.6</v>
      </c>
      <c r="AA22" s="19">
        <f t="shared" si="1"/>
        <v>5.8</v>
      </c>
      <c r="AB22" s="19">
        <f>SUM(AB19:AB21)</f>
        <v>5</v>
      </c>
      <c r="AC22" s="19">
        <f t="shared" si="1"/>
        <v>5</v>
      </c>
      <c r="AD22" s="41"/>
      <c r="AE22" s="41"/>
      <c r="AF22" s="11"/>
      <c r="AG22" s="11"/>
      <c r="AH22" s="11"/>
      <c r="AI22" s="400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409">
        <f>SUM(F24:AC24)</f>
        <v>56.099999999999994</v>
      </c>
    </row>
    <row r="24" spans="1:51">
      <c r="A24" s="14" t="s">
        <v>22</v>
      </c>
      <c r="B24" s="20"/>
      <c r="C24" s="15">
        <v>4.5</v>
      </c>
      <c r="D24" s="15"/>
      <c r="E24" s="15"/>
      <c r="F24" s="372">
        <v>3.8</v>
      </c>
      <c r="G24" s="372">
        <v>3</v>
      </c>
      <c r="H24" s="372">
        <v>0</v>
      </c>
      <c r="I24" s="372">
        <v>0</v>
      </c>
      <c r="J24" s="372">
        <v>0</v>
      </c>
      <c r="K24" s="374">
        <v>0</v>
      </c>
      <c r="L24" s="374">
        <v>0</v>
      </c>
      <c r="M24" s="374">
        <v>0</v>
      </c>
      <c r="N24" s="372">
        <v>0</v>
      </c>
      <c r="O24" s="372">
        <v>0</v>
      </c>
      <c r="P24" s="372">
        <v>1.5</v>
      </c>
      <c r="Q24" s="374">
        <v>3.8</v>
      </c>
      <c r="R24" s="372">
        <v>3.8</v>
      </c>
      <c r="S24" s="372">
        <v>3.8</v>
      </c>
      <c r="T24" s="372">
        <v>3.8</v>
      </c>
      <c r="U24" s="372">
        <v>3.8</v>
      </c>
      <c r="V24" s="372">
        <v>3.8</v>
      </c>
      <c r="W24" s="372">
        <v>3.8</v>
      </c>
      <c r="X24" s="372">
        <v>3.8</v>
      </c>
      <c r="Y24" s="372">
        <v>3.8</v>
      </c>
      <c r="Z24" s="372">
        <v>3.8</v>
      </c>
      <c r="AA24" s="372">
        <v>3</v>
      </c>
      <c r="AB24" s="372">
        <v>3</v>
      </c>
      <c r="AC24" s="372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3">SUM(F24)</f>
        <v>3.8</v>
      </c>
      <c r="G25" s="19">
        <f t="shared" ref="G25:AC25" si="4">SUM(G24)</f>
        <v>3</v>
      </c>
      <c r="H25" s="19">
        <f t="shared" si="4"/>
        <v>0</v>
      </c>
      <c r="I25" s="19">
        <f t="shared" si="4"/>
        <v>0</v>
      </c>
      <c r="J25" s="19">
        <f t="shared" si="4"/>
        <v>0</v>
      </c>
      <c r="K25" s="19">
        <f t="shared" si="4"/>
        <v>0</v>
      </c>
      <c r="L25" s="19">
        <f t="shared" si="4"/>
        <v>0</v>
      </c>
      <c r="M25" s="19">
        <f t="shared" si="4"/>
        <v>0</v>
      </c>
      <c r="N25" s="19">
        <f t="shared" si="4"/>
        <v>0</v>
      </c>
      <c r="O25" s="19">
        <f t="shared" si="4"/>
        <v>0</v>
      </c>
      <c r="P25" s="19">
        <f t="shared" si="4"/>
        <v>1.5</v>
      </c>
      <c r="Q25" s="19">
        <f t="shared" si="4"/>
        <v>3.8</v>
      </c>
      <c r="R25" s="19">
        <f t="shared" si="4"/>
        <v>3.8</v>
      </c>
      <c r="S25" s="19">
        <f t="shared" si="4"/>
        <v>3.8</v>
      </c>
      <c r="T25" s="19">
        <f t="shared" si="4"/>
        <v>3.8</v>
      </c>
      <c r="U25" s="19">
        <f t="shared" si="4"/>
        <v>3.8</v>
      </c>
      <c r="V25" s="19">
        <f t="shared" si="4"/>
        <v>3.8</v>
      </c>
      <c r="W25" s="19">
        <f t="shared" si="4"/>
        <v>3.8</v>
      </c>
      <c r="X25" s="19">
        <f t="shared" si="4"/>
        <v>3.8</v>
      </c>
      <c r="Y25" s="19">
        <f t="shared" si="4"/>
        <v>3.8</v>
      </c>
      <c r="Z25" s="19">
        <f t="shared" si="4"/>
        <v>3.8</v>
      </c>
      <c r="AA25" s="19">
        <f t="shared" si="4"/>
        <v>3</v>
      </c>
      <c r="AB25" s="19">
        <f t="shared" si="4"/>
        <v>3</v>
      </c>
      <c r="AC25" s="19">
        <f t="shared" si="4"/>
        <v>3.8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92.9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2" t="s">
        <v>9</v>
      </c>
      <c r="G27" s="372" t="s">
        <v>9</v>
      </c>
      <c r="H27" s="372" t="s">
        <v>9</v>
      </c>
      <c r="I27" s="372" t="s">
        <v>9</v>
      </c>
      <c r="J27" s="374" t="s">
        <v>9</v>
      </c>
      <c r="K27" s="374" t="s">
        <v>9</v>
      </c>
      <c r="L27" s="374" t="s">
        <v>9</v>
      </c>
      <c r="M27" s="374" t="s">
        <v>9</v>
      </c>
      <c r="N27" s="372" t="s">
        <v>9</v>
      </c>
      <c r="O27" s="372" t="s">
        <v>9</v>
      </c>
      <c r="P27" s="372" t="s">
        <v>9</v>
      </c>
      <c r="Q27" s="372" t="s">
        <v>9</v>
      </c>
      <c r="R27" s="372" t="s">
        <v>9</v>
      </c>
      <c r="S27" s="372" t="s">
        <v>9</v>
      </c>
      <c r="T27" s="372" t="s">
        <v>9</v>
      </c>
      <c r="U27" s="374" t="s">
        <v>9</v>
      </c>
      <c r="V27" s="372" t="s">
        <v>9</v>
      </c>
      <c r="W27" s="372" t="s">
        <v>9</v>
      </c>
      <c r="X27" s="372" t="s">
        <v>9</v>
      </c>
      <c r="Y27" s="372" t="s">
        <v>9</v>
      </c>
      <c r="Z27" s="372" t="s">
        <v>9</v>
      </c>
      <c r="AA27" s="372" t="s">
        <v>9</v>
      </c>
      <c r="AB27" s="372" t="s">
        <v>9</v>
      </c>
      <c r="AC27" s="372" t="s">
        <v>9</v>
      </c>
      <c r="AD27" s="41"/>
      <c r="AE27" s="41"/>
      <c r="AF27" s="11">
        <f>COUNTIF(F27:AC27,$AJ$8)</f>
        <v>24</v>
      </c>
      <c r="AG27" s="11">
        <f>COUNTIF(G27:AD27,$AJ$7)</f>
        <v>0</v>
      </c>
      <c r="AH27" s="11">
        <f>COUNT(F27:AC27)</f>
        <v>0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2">
        <v>4</v>
      </c>
      <c r="G28" s="372">
        <v>4</v>
      </c>
      <c r="H28" s="372">
        <v>4.0999999999999996</v>
      </c>
      <c r="I28" s="372">
        <v>3.7</v>
      </c>
      <c r="J28" s="372">
        <v>3.5</v>
      </c>
      <c r="K28" s="374">
        <v>3.5</v>
      </c>
      <c r="L28" s="374">
        <v>4</v>
      </c>
      <c r="M28" s="374">
        <v>3.9</v>
      </c>
      <c r="N28" s="372">
        <v>4</v>
      </c>
      <c r="O28" s="372">
        <v>3.9</v>
      </c>
      <c r="P28" s="372">
        <v>3.9</v>
      </c>
      <c r="Q28" s="372">
        <v>4.2</v>
      </c>
      <c r="R28" s="372">
        <v>4.3</v>
      </c>
      <c r="S28" s="372">
        <v>4.0999999999999996</v>
      </c>
      <c r="T28" s="372">
        <v>4.0999999999999996</v>
      </c>
      <c r="U28" s="374">
        <v>3.5</v>
      </c>
      <c r="V28" s="372">
        <v>3.3</v>
      </c>
      <c r="W28" s="372">
        <v>3.5</v>
      </c>
      <c r="X28" s="372">
        <v>3.7</v>
      </c>
      <c r="Y28" s="372">
        <v>3.6</v>
      </c>
      <c r="Z28" s="372">
        <v>4</v>
      </c>
      <c r="AA28" s="372">
        <v>3.9</v>
      </c>
      <c r="AB28" s="372">
        <v>4.2</v>
      </c>
      <c r="AC28" s="372">
        <v>4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48.8</v>
      </c>
    </row>
    <row r="29" spans="1:51" ht="15" customHeight="1">
      <c r="A29" s="14" t="s">
        <v>30</v>
      </c>
      <c r="B29" s="369"/>
      <c r="C29" s="370">
        <v>8.8000000000000007</v>
      </c>
      <c r="D29" s="371"/>
      <c r="E29" s="371"/>
      <c r="F29" s="372"/>
      <c r="G29" s="372"/>
      <c r="H29" s="372"/>
      <c r="I29" s="372"/>
      <c r="J29" s="372"/>
      <c r="K29" s="374"/>
      <c r="L29" s="374"/>
      <c r="M29" s="374"/>
      <c r="N29" s="374"/>
      <c r="O29" s="374"/>
      <c r="P29" s="374"/>
      <c r="Q29" s="374"/>
      <c r="R29" s="374"/>
      <c r="S29" s="374"/>
      <c r="T29" s="374">
        <v>5.5</v>
      </c>
      <c r="U29" s="374">
        <v>5.3</v>
      </c>
      <c r="V29" s="374">
        <v>5.2</v>
      </c>
      <c r="W29" s="374">
        <v>3</v>
      </c>
      <c r="X29" s="372">
        <v>5</v>
      </c>
      <c r="Y29" s="372">
        <v>7</v>
      </c>
      <c r="Z29" s="374">
        <v>7</v>
      </c>
      <c r="AA29" s="372">
        <v>7</v>
      </c>
      <c r="AB29" s="372">
        <v>3.8</v>
      </c>
      <c r="AC29" s="372"/>
    </row>
    <row r="30" spans="1:51" ht="15" customHeight="1">
      <c r="A30" s="14" t="s">
        <v>31</v>
      </c>
      <c r="B30" s="369"/>
      <c r="C30" s="370">
        <v>8.8000000000000007</v>
      </c>
      <c r="D30" s="371"/>
      <c r="E30" s="371"/>
      <c r="F30" s="372"/>
      <c r="G30" s="372"/>
      <c r="H30" s="372"/>
      <c r="I30" s="372"/>
      <c r="J30" s="372"/>
      <c r="K30" s="374"/>
      <c r="L30" s="374"/>
      <c r="M30" s="374"/>
      <c r="N30" s="372"/>
      <c r="O30" s="372"/>
      <c r="P30" s="372"/>
      <c r="Q30" s="372"/>
      <c r="R30" s="372"/>
      <c r="S30" s="372"/>
      <c r="T30" s="372"/>
      <c r="U30" s="372"/>
      <c r="V30" s="372"/>
      <c r="W30" s="372"/>
      <c r="X30" s="372"/>
      <c r="Y30" s="372"/>
      <c r="Z30" s="372"/>
      <c r="AA30" s="372"/>
      <c r="AB30" s="372"/>
      <c r="AC30" s="372"/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:AC31" si="5">SUM(F27:F29)</f>
        <v>4</v>
      </c>
      <c r="G31" s="19">
        <f t="shared" si="5"/>
        <v>4</v>
      </c>
      <c r="H31" s="19">
        <f t="shared" si="5"/>
        <v>4.0999999999999996</v>
      </c>
      <c r="I31" s="19">
        <f t="shared" si="5"/>
        <v>3.7</v>
      </c>
      <c r="J31" s="19">
        <f t="shared" si="5"/>
        <v>3.5</v>
      </c>
      <c r="K31" s="19">
        <f t="shared" si="5"/>
        <v>3.5</v>
      </c>
      <c r="L31" s="19">
        <f t="shared" si="5"/>
        <v>4</v>
      </c>
      <c r="M31" s="19">
        <f t="shared" si="5"/>
        <v>3.9</v>
      </c>
      <c r="N31" s="19">
        <f t="shared" si="5"/>
        <v>4</v>
      </c>
      <c r="O31" s="19">
        <f t="shared" si="5"/>
        <v>3.9</v>
      </c>
      <c r="P31" s="19">
        <f t="shared" si="5"/>
        <v>3.9</v>
      </c>
      <c r="Q31" s="19">
        <f t="shared" si="5"/>
        <v>4.2</v>
      </c>
      <c r="R31" s="19">
        <f t="shared" si="5"/>
        <v>4.3</v>
      </c>
      <c r="S31" s="19">
        <f t="shared" si="5"/>
        <v>4.0999999999999996</v>
      </c>
      <c r="T31" s="19">
        <f>SUM(T27:T29)</f>
        <v>9.6</v>
      </c>
      <c r="U31" s="19">
        <f t="shared" si="5"/>
        <v>8.8000000000000007</v>
      </c>
      <c r="V31" s="19">
        <f t="shared" si="5"/>
        <v>8.5</v>
      </c>
      <c r="W31" s="19">
        <f t="shared" si="5"/>
        <v>6.5</v>
      </c>
      <c r="X31" s="19">
        <f t="shared" si="5"/>
        <v>8.6999999999999993</v>
      </c>
      <c r="Y31" s="19">
        <f t="shared" si="5"/>
        <v>10.6</v>
      </c>
      <c r="Z31" s="19">
        <f t="shared" si="5"/>
        <v>11</v>
      </c>
      <c r="AA31" s="19">
        <f t="shared" si="5"/>
        <v>10.9</v>
      </c>
      <c r="AB31" s="19">
        <f t="shared" si="5"/>
        <v>8</v>
      </c>
      <c r="AC31" s="19">
        <f t="shared" si="5"/>
        <v>4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342.94</v>
      </c>
    </row>
    <row r="33" spans="1:36">
      <c r="A33" s="14" t="s">
        <v>22</v>
      </c>
      <c r="B33" s="15"/>
      <c r="C33" s="15">
        <v>15</v>
      </c>
      <c r="D33" s="15"/>
      <c r="E33" s="15"/>
      <c r="F33" s="372">
        <v>14.33</v>
      </c>
      <c r="G33" s="372">
        <v>14.29</v>
      </c>
      <c r="H33" s="374">
        <v>14.29</v>
      </c>
      <c r="I33" s="372">
        <v>14.28</v>
      </c>
      <c r="J33" s="372">
        <v>14.31</v>
      </c>
      <c r="K33" s="374">
        <v>14.32</v>
      </c>
      <c r="L33" s="374">
        <v>14.29</v>
      </c>
      <c r="M33" s="374">
        <v>14.3</v>
      </c>
      <c r="N33" s="372">
        <v>14.29</v>
      </c>
      <c r="O33" s="372">
        <v>14.27</v>
      </c>
      <c r="P33" s="372">
        <v>14.29</v>
      </c>
      <c r="Q33" s="372">
        <v>14.3</v>
      </c>
      <c r="R33" s="372">
        <v>14.29</v>
      </c>
      <c r="S33" s="372">
        <v>14.27</v>
      </c>
      <c r="T33" s="372">
        <v>14.26</v>
      </c>
      <c r="U33" s="372">
        <v>14.29</v>
      </c>
      <c r="V33" s="372">
        <v>14.27</v>
      </c>
      <c r="W33" s="374">
        <v>14.28</v>
      </c>
      <c r="X33" s="372">
        <v>14.29</v>
      </c>
      <c r="Y33" s="372">
        <v>14.29</v>
      </c>
      <c r="Z33" s="372">
        <v>14.28</v>
      </c>
      <c r="AA33" s="372">
        <v>14.29</v>
      </c>
      <c r="AB33" s="372">
        <v>14.28</v>
      </c>
      <c r="AC33" s="372">
        <v>14.29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6">SUM(F33)</f>
        <v>14.33</v>
      </c>
      <c r="G34" s="19">
        <f t="shared" ref="G34:AC34" si="7">SUM(G33)</f>
        <v>14.29</v>
      </c>
      <c r="H34" s="19">
        <f t="shared" si="7"/>
        <v>14.29</v>
      </c>
      <c r="I34" s="19">
        <f t="shared" si="7"/>
        <v>14.28</v>
      </c>
      <c r="J34" s="19">
        <f t="shared" si="7"/>
        <v>14.31</v>
      </c>
      <c r="K34" s="19">
        <f t="shared" si="7"/>
        <v>14.32</v>
      </c>
      <c r="L34" s="19">
        <f t="shared" si="7"/>
        <v>14.29</v>
      </c>
      <c r="M34" s="19">
        <f t="shared" si="7"/>
        <v>14.3</v>
      </c>
      <c r="N34" s="19">
        <f t="shared" si="7"/>
        <v>14.29</v>
      </c>
      <c r="O34" s="19">
        <f t="shared" si="7"/>
        <v>14.27</v>
      </c>
      <c r="P34" s="19">
        <f t="shared" si="7"/>
        <v>14.29</v>
      </c>
      <c r="Q34" s="19">
        <f t="shared" si="7"/>
        <v>14.3</v>
      </c>
      <c r="R34" s="19">
        <f t="shared" si="7"/>
        <v>14.29</v>
      </c>
      <c r="S34" s="19">
        <f t="shared" si="7"/>
        <v>14.27</v>
      </c>
      <c r="T34" s="19">
        <f t="shared" si="7"/>
        <v>14.26</v>
      </c>
      <c r="U34" s="19">
        <f t="shared" si="7"/>
        <v>14.29</v>
      </c>
      <c r="V34" s="19">
        <f t="shared" si="7"/>
        <v>14.27</v>
      </c>
      <c r="W34" s="19">
        <f t="shared" si="7"/>
        <v>14.28</v>
      </c>
      <c r="X34" s="19">
        <f t="shared" si="7"/>
        <v>14.29</v>
      </c>
      <c r="Y34" s="19">
        <f t="shared" si="7"/>
        <v>14.29</v>
      </c>
      <c r="Z34" s="19">
        <f t="shared" si="7"/>
        <v>14.28</v>
      </c>
      <c r="AA34" s="19">
        <f t="shared" si="7"/>
        <v>14.29</v>
      </c>
      <c r="AB34" s="19">
        <f t="shared" si="7"/>
        <v>14.28</v>
      </c>
      <c r="AC34" s="19">
        <f t="shared" si="7"/>
        <v>14.29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54"/>
      <c r="G35" s="455"/>
      <c r="H35" s="455"/>
      <c r="I35" s="455"/>
      <c r="J35" s="455"/>
      <c r="K35" s="455"/>
      <c r="L35" s="455"/>
      <c r="M35" s="455"/>
      <c r="N35" s="455"/>
      <c r="O35" s="455"/>
      <c r="P35" s="455"/>
      <c r="Q35" s="455"/>
      <c r="R35" s="455"/>
      <c r="S35" s="455"/>
      <c r="T35" s="455"/>
      <c r="U35" s="455"/>
      <c r="V35" s="455"/>
      <c r="W35" s="456"/>
      <c r="X35" s="455"/>
      <c r="Y35" s="455"/>
      <c r="Z35" s="455"/>
      <c r="AA35" s="455"/>
      <c r="AB35" s="455"/>
      <c r="AC35" s="455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35</v>
      </c>
    </row>
    <row r="36" spans="1:36">
      <c r="A36" s="70" t="s">
        <v>36</v>
      </c>
      <c r="B36" s="15"/>
      <c r="C36" s="15"/>
      <c r="D36" s="15"/>
      <c r="E36" s="15"/>
      <c r="F36" s="372"/>
      <c r="G36" s="372"/>
      <c r="H36" s="372"/>
      <c r="I36" s="372"/>
      <c r="J36" s="372"/>
      <c r="K36" s="374"/>
      <c r="L36" s="374"/>
      <c r="M36" s="374"/>
      <c r="N36" s="372"/>
      <c r="O36" s="372"/>
      <c r="P36" s="372"/>
      <c r="Q36" s="372"/>
      <c r="R36" s="372"/>
      <c r="S36" s="372"/>
      <c r="T36" s="372"/>
      <c r="U36" s="372"/>
      <c r="V36" s="372"/>
      <c r="W36" s="372"/>
      <c r="X36" s="372"/>
      <c r="Y36" s="372"/>
      <c r="Z36" s="372"/>
      <c r="AA36" s="372"/>
      <c r="AB36" s="372"/>
      <c r="AC36" s="372"/>
      <c r="AD36" s="41"/>
      <c r="AE36" s="41"/>
      <c r="AF36" s="11">
        <f t="shared" ref="AF36:AF59" si="8">COUNTIF(F36:AC36,$AJ$8)</f>
        <v>0</v>
      </c>
      <c r="AG36" s="11">
        <f t="shared" ref="AG36:AG59" si="9">COUNTIF(G36:AD36,$AJ$7)</f>
        <v>0</v>
      </c>
      <c r="AH36" s="11">
        <f t="shared" ref="AH36:AH59" si="10">COUNT(F36:AC36)</f>
        <v>0</v>
      </c>
      <c r="AI36" s="159">
        <f>SUM(F36:AC38,F40:AC40,F45:AC59)</f>
        <v>16.269999999999992</v>
      </c>
      <c r="AJ36" t="s">
        <v>37</v>
      </c>
    </row>
    <row r="37" spans="1:36">
      <c r="A37" s="70" t="s">
        <v>38</v>
      </c>
      <c r="B37" s="15"/>
      <c r="C37" s="15"/>
      <c r="D37" s="15"/>
      <c r="E37" s="15"/>
      <c r="F37" s="372"/>
      <c r="G37" s="372"/>
      <c r="H37" s="372"/>
      <c r="I37" s="372"/>
      <c r="J37" s="372"/>
      <c r="K37" s="374"/>
      <c r="L37" s="374"/>
      <c r="M37" s="374"/>
      <c r="N37" s="372"/>
      <c r="O37" s="372"/>
      <c r="P37" s="372"/>
      <c r="Q37" s="372"/>
      <c r="R37" s="372"/>
      <c r="S37" s="372"/>
      <c r="T37" s="372"/>
      <c r="U37" s="372"/>
      <c r="V37" s="372"/>
      <c r="W37" s="372"/>
      <c r="X37" s="372"/>
      <c r="Y37" s="372"/>
      <c r="Z37" s="372"/>
      <c r="AA37" s="372"/>
      <c r="AB37" s="372"/>
      <c r="AC37" s="372"/>
      <c r="AD37" s="41"/>
      <c r="AE37" s="41"/>
      <c r="AF37" s="11">
        <f t="shared" si="8"/>
        <v>0</v>
      </c>
      <c r="AG37" s="11">
        <f t="shared" si="9"/>
        <v>0</v>
      </c>
      <c r="AH37" s="11">
        <f t="shared" si="10"/>
        <v>0</v>
      </c>
    </row>
    <row r="38" spans="1:36">
      <c r="A38" s="70" t="s">
        <v>39</v>
      </c>
      <c r="B38" s="15"/>
      <c r="C38" s="15"/>
      <c r="D38" s="15"/>
      <c r="E38" s="15"/>
      <c r="F38" s="372"/>
      <c r="G38" s="372"/>
      <c r="H38" s="372"/>
      <c r="I38" s="372"/>
      <c r="J38" s="372"/>
      <c r="K38" s="374"/>
      <c r="L38" s="374"/>
      <c r="M38" s="374"/>
      <c r="N38" s="372"/>
      <c r="O38" s="372"/>
      <c r="P38" s="372"/>
      <c r="Q38" s="372"/>
      <c r="R38" s="372"/>
      <c r="S38" s="372"/>
      <c r="T38" s="372"/>
      <c r="U38" s="372"/>
      <c r="V38" s="372"/>
      <c r="W38" s="372"/>
      <c r="X38" s="372"/>
      <c r="Y38" s="372"/>
      <c r="Z38" s="372"/>
      <c r="AA38" s="372"/>
      <c r="AB38" s="372"/>
      <c r="AC38" s="372"/>
      <c r="AD38" s="41"/>
      <c r="AE38" s="41"/>
      <c r="AF38" s="11">
        <f t="shared" si="8"/>
        <v>0</v>
      </c>
      <c r="AG38" s="11">
        <f t="shared" si="9"/>
        <v>0</v>
      </c>
      <c r="AH38" s="11">
        <f t="shared" si="10"/>
        <v>0</v>
      </c>
    </row>
    <row r="39" spans="1:36">
      <c r="A39" s="70">
        <v>34</v>
      </c>
      <c r="B39" s="15"/>
      <c r="C39" s="15"/>
      <c r="D39" s="15"/>
      <c r="E39" s="15"/>
      <c r="F39" s="372"/>
      <c r="G39" s="372"/>
      <c r="H39" s="372"/>
      <c r="I39" s="372"/>
      <c r="J39" s="372"/>
      <c r="K39" s="374"/>
      <c r="L39" s="374"/>
      <c r="M39" s="374"/>
      <c r="N39" s="372"/>
      <c r="O39" s="372"/>
      <c r="P39" s="372"/>
      <c r="Q39" s="372"/>
      <c r="R39" s="372"/>
      <c r="S39" s="372"/>
      <c r="T39" s="372"/>
      <c r="U39" s="372"/>
      <c r="V39" s="372"/>
      <c r="W39" s="372"/>
      <c r="X39" s="372"/>
      <c r="Y39" s="372"/>
      <c r="Z39" s="372"/>
      <c r="AA39" s="372"/>
      <c r="AB39" s="372"/>
      <c r="AC39" s="372"/>
      <c r="AD39" s="41"/>
      <c r="AE39" s="41"/>
      <c r="AF39" s="11">
        <f t="shared" si="8"/>
        <v>0</v>
      </c>
      <c r="AG39" s="11">
        <f t="shared" si="9"/>
        <v>0</v>
      </c>
      <c r="AH39" s="11">
        <f t="shared" si="10"/>
        <v>0</v>
      </c>
    </row>
    <row r="40" spans="1:36">
      <c r="A40" s="70">
        <v>35</v>
      </c>
      <c r="B40" s="15"/>
      <c r="C40" s="15">
        <v>0.85</v>
      </c>
      <c r="D40" s="15"/>
      <c r="E40" s="15"/>
      <c r="F40" s="372"/>
      <c r="G40" s="372"/>
      <c r="H40" s="372"/>
      <c r="I40" s="372"/>
      <c r="J40" s="372"/>
      <c r="K40" s="374"/>
      <c r="L40" s="374"/>
      <c r="M40" s="374"/>
      <c r="N40" s="372"/>
      <c r="O40" s="372"/>
      <c r="P40" s="372"/>
      <c r="Q40" s="372"/>
      <c r="R40" s="372"/>
      <c r="S40" s="372"/>
      <c r="T40" s="372"/>
      <c r="U40" s="372"/>
      <c r="V40" s="372"/>
      <c r="W40" s="372"/>
      <c r="X40" s="372"/>
      <c r="Y40" s="372"/>
      <c r="Z40" s="372"/>
      <c r="AA40" s="372"/>
      <c r="AB40" s="372"/>
      <c r="AC40" s="372"/>
      <c r="AD40" s="41"/>
      <c r="AE40" s="41"/>
      <c r="AF40" s="11">
        <f t="shared" si="8"/>
        <v>0</v>
      </c>
      <c r="AG40" s="11">
        <f t="shared" si="9"/>
        <v>0</v>
      </c>
      <c r="AH40" s="11">
        <f t="shared" si="10"/>
        <v>0</v>
      </c>
    </row>
    <row r="41" spans="1:36">
      <c r="A41" s="70">
        <v>36</v>
      </c>
      <c r="B41" s="15"/>
      <c r="C41" s="15">
        <v>1</v>
      </c>
      <c r="D41" s="15"/>
      <c r="E41" s="15"/>
      <c r="F41" s="372"/>
      <c r="G41" s="372"/>
      <c r="H41" s="372"/>
      <c r="I41" s="372"/>
      <c r="J41" s="372"/>
      <c r="K41" s="374"/>
      <c r="L41" s="374"/>
      <c r="M41" s="374"/>
      <c r="N41" s="372"/>
      <c r="O41" s="372"/>
      <c r="P41" s="372"/>
      <c r="Q41" s="372"/>
      <c r="R41" s="372"/>
      <c r="S41" s="372"/>
      <c r="T41" s="372"/>
      <c r="U41" s="372"/>
      <c r="V41" s="372"/>
      <c r="W41" s="372"/>
      <c r="X41" s="372"/>
      <c r="Y41" s="372"/>
      <c r="Z41" s="372"/>
      <c r="AA41" s="372"/>
      <c r="AB41" s="372"/>
      <c r="AC41" s="372"/>
      <c r="AD41" s="41"/>
      <c r="AE41" s="41"/>
      <c r="AF41" s="11">
        <f t="shared" si="8"/>
        <v>0</v>
      </c>
      <c r="AG41" s="11">
        <f t="shared" si="9"/>
        <v>0</v>
      </c>
      <c r="AH41" s="11">
        <f t="shared" si="10"/>
        <v>0</v>
      </c>
    </row>
    <row r="42" spans="1:36">
      <c r="A42" s="70">
        <v>37</v>
      </c>
      <c r="B42" s="15"/>
      <c r="C42" s="15">
        <v>1</v>
      </c>
      <c r="D42" s="15"/>
      <c r="E42" s="15"/>
      <c r="F42" s="372"/>
      <c r="G42" s="372"/>
      <c r="H42" s="372"/>
      <c r="I42" s="372"/>
      <c r="J42" s="372"/>
      <c r="K42" s="374"/>
      <c r="L42" s="374"/>
      <c r="M42" s="374"/>
      <c r="N42" s="372"/>
      <c r="O42" s="372"/>
      <c r="P42" s="372"/>
      <c r="Q42" s="372"/>
      <c r="R42" s="372"/>
      <c r="S42" s="372"/>
      <c r="T42" s="372"/>
      <c r="U42" s="372"/>
      <c r="V42" s="372"/>
      <c r="W42" s="372"/>
      <c r="X42" s="372"/>
      <c r="Y42" s="372"/>
      <c r="Z42" s="372"/>
      <c r="AA42" s="372"/>
      <c r="AB42" s="372"/>
      <c r="AC42" s="372"/>
      <c r="AD42" s="41"/>
      <c r="AE42" s="41"/>
      <c r="AF42" s="11">
        <f t="shared" si="8"/>
        <v>0</v>
      </c>
      <c r="AG42" s="11">
        <f t="shared" si="9"/>
        <v>0</v>
      </c>
      <c r="AH42" s="11">
        <f t="shared" si="10"/>
        <v>0</v>
      </c>
    </row>
    <row r="43" spans="1:36">
      <c r="A43" s="70">
        <v>38</v>
      </c>
      <c r="B43" s="15"/>
      <c r="C43" s="15"/>
      <c r="D43" s="15"/>
      <c r="E43" s="15"/>
      <c r="F43" s="372" t="s">
        <v>9</v>
      </c>
      <c r="G43" s="372" t="s">
        <v>9</v>
      </c>
      <c r="H43" s="372" t="s">
        <v>9</v>
      </c>
      <c r="I43" s="372" t="s">
        <v>9</v>
      </c>
      <c r="J43" s="372" t="s">
        <v>9</v>
      </c>
      <c r="K43" s="374" t="s">
        <v>9</v>
      </c>
      <c r="L43" s="374" t="s">
        <v>9</v>
      </c>
      <c r="M43" s="374" t="s">
        <v>9</v>
      </c>
      <c r="N43" s="372" t="s">
        <v>9</v>
      </c>
      <c r="O43" s="372" t="s">
        <v>9</v>
      </c>
      <c r="P43" s="372" t="s">
        <v>9</v>
      </c>
      <c r="Q43" s="372" t="s">
        <v>9</v>
      </c>
      <c r="R43" s="372" t="s">
        <v>9</v>
      </c>
      <c r="S43" s="372" t="s">
        <v>9</v>
      </c>
      <c r="T43" s="372" t="s">
        <v>9</v>
      </c>
      <c r="U43" s="372" t="s">
        <v>9</v>
      </c>
      <c r="V43" s="372" t="s">
        <v>9</v>
      </c>
      <c r="W43" s="372" t="s">
        <v>9</v>
      </c>
      <c r="X43" s="372" t="s">
        <v>9</v>
      </c>
      <c r="Y43" s="372" t="s">
        <v>9</v>
      </c>
      <c r="Z43" s="372" t="s">
        <v>9</v>
      </c>
      <c r="AA43" s="372" t="s">
        <v>9</v>
      </c>
      <c r="AB43" s="372" t="s">
        <v>9</v>
      </c>
      <c r="AC43" s="372" t="s">
        <v>9</v>
      </c>
      <c r="AD43" s="41"/>
      <c r="AE43" s="41"/>
      <c r="AF43" s="11">
        <f t="shared" si="8"/>
        <v>24</v>
      </c>
      <c r="AG43" s="11">
        <f t="shared" si="9"/>
        <v>0</v>
      </c>
      <c r="AH43" s="11">
        <f t="shared" si="10"/>
        <v>0</v>
      </c>
    </row>
    <row r="44" spans="1:36" ht="16.5" customHeight="1">
      <c r="A44" s="70">
        <v>39</v>
      </c>
      <c r="B44" s="15"/>
      <c r="C44" s="15">
        <v>1</v>
      </c>
      <c r="D44" s="15"/>
      <c r="E44" s="15"/>
      <c r="F44" s="372"/>
      <c r="G44" s="372"/>
      <c r="H44" s="372"/>
      <c r="I44" s="372"/>
      <c r="J44" s="372"/>
      <c r="K44" s="372"/>
      <c r="L44" s="374"/>
      <c r="M44" s="374"/>
      <c r="N44" s="372"/>
      <c r="O44" s="372"/>
      <c r="P44" s="372"/>
      <c r="Q44" s="372"/>
      <c r="R44" s="372"/>
      <c r="S44" s="372"/>
      <c r="T44" s="372"/>
      <c r="U44" s="372"/>
      <c r="V44" s="372"/>
      <c r="W44" s="372"/>
      <c r="X44" s="372"/>
      <c r="Y44" s="372"/>
      <c r="Z44" s="372"/>
      <c r="AA44" s="372"/>
      <c r="AB44" s="372"/>
      <c r="AC44" s="372"/>
      <c r="AD44" s="41"/>
      <c r="AE44" s="41"/>
      <c r="AF44" s="11">
        <f t="shared" si="8"/>
        <v>0</v>
      </c>
      <c r="AG44" s="11">
        <f t="shared" si="9"/>
        <v>0</v>
      </c>
      <c r="AH44" s="11">
        <f t="shared" si="10"/>
        <v>0</v>
      </c>
    </row>
    <row r="45" spans="1:36" ht="16.5" customHeight="1">
      <c r="A45" s="70" t="s">
        <v>40</v>
      </c>
      <c r="B45" s="15"/>
      <c r="C45" s="15">
        <v>0.85</v>
      </c>
      <c r="D45" s="15"/>
      <c r="E45" s="15"/>
      <c r="F45" s="372" t="s">
        <v>9</v>
      </c>
      <c r="G45" s="372" t="s">
        <v>9</v>
      </c>
      <c r="H45" s="372" t="s">
        <v>9</v>
      </c>
      <c r="I45" s="372" t="s">
        <v>9</v>
      </c>
      <c r="J45" s="372" t="s">
        <v>9</v>
      </c>
      <c r="K45" s="372" t="s">
        <v>9</v>
      </c>
      <c r="L45" s="372" t="s">
        <v>9</v>
      </c>
      <c r="M45" s="372" t="s">
        <v>9</v>
      </c>
      <c r="N45" s="372" t="s">
        <v>9</v>
      </c>
      <c r="O45" s="372" t="s">
        <v>9</v>
      </c>
      <c r="P45" s="372" t="s">
        <v>9</v>
      </c>
      <c r="Q45" s="372" t="s">
        <v>9</v>
      </c>
      <c r="R45" s="372" t="s">
        <v>9</v>
      </c>
      <c r="S45" s="372" t="s">
        <v>9</v>
      </c>
      <c r="T45" s="372" t="s">
        <v>9</v>
      </c>
      <c r="U45" s="372" t="s">
        <v>9</v>
      </c>
      <c r="V45" s="372" t="s">
        <v>9</v>
      </c>
      <c r="W45" s="372" t="s">
        <v>9</v>
      </c>
      <c r="X45" s="372" t="s">
        <v>9</v>
      </c>
      <c r="Y45" s="372" t="s">
        <v>9</v>
      </c>
      <c r="Z45" s="372" t="s">
        <v>9</v>
      </c>
      <c r="AA45" s="372" t="s">
        <v>9</v>
      </c>
      <c r="AB45" s="372" t="s">
        <v>9</v>
      </c>
      <c r="AC45" s="372" t="s">
        <v>9</v>
      </c>
      <c r="AD45" s="41"/>
      <c r="AE45" s="41"/>
      <c r="AF45" s="11">
        <f t="shared" si="8"/>
        <v>24</v>
      </c>
      <c r="AG45" s="11">
        <f t="shared" si="9"/>
        <v>0</v>
      </c>
      <c r="AH45" s="11">
        <f t="shared" si="10"/>
        <v>0</v>
      </c>
      <c r="AI45" s="159"/>
    </row>
    <row r="46" spans="1:36">
      <c r="A46" s="70" t="s">
        <v>41</v>
      </c>
      <c r="B46" s="15"/>
      <c r="C46" s="15">
        <v>0.75</v>
      </c>
      <c r="D46" s="15"/>
      <c r="E46" s="15"/>
      <c r="F46" s="372">
        <v>0</v>
      </c>
      <c r="G46" s="372">
        <v>0</v>
      </c>
      <c r="H46" s="372">
        <v>0</v>
      </c>
      <c r="I46" s="372">
        <v>0</v>
      </c>
      <c r="J46" s="372">
        <v>0</v>
      </c>
      <c r="K46" s="372">
        <v>0</v>
      </c>
      <c r="L46" s="372">
        <v>0</v>
      </c>
      <c r="M46" s="374">
        <v>0</v>
      </c>
      <c r="N46" s="372"/>
      <c r="O46" s="372"/>
      <c r="P46" s="372"/>
      <c r="Q46" s="372"/>
      <c r="R46" s="372">
        <v>0.7</v>
      </c>
      <c r="S46" s="372">
        <f>3.67/5</f>
        <v>0.73399999999999999</v>
      </c>
      <c r="T46" s="372"/>
      <c r="U46" s="372"/>
      <c r="V46" s="372"/>
      <c r="W46" s="372"/>
      <c r="X46" s="372"/>
      <c r="Y46" s="372">
        <f>3.5/5</f>
        <v>0.7</v>
      </c>
      <c r="Z46" s="372">
        <v>0</v>
      </c>
      <c r="AA46" s="372">
        <v>0</v>
      </c>
      <c r="AB46" s="372">
        <v>0</v>
      </c>
      <c r="AC46" s="372">
        <v>0</v>
      </c>
      <c r="AD46" s="41"/>
      <c r="AE46" s="41"/>
      <c r="AF46" s="11">
        <f t="shared" si="8"/>
        <v>0</v>
      </c>
      <c r="AG46" s="11">
        <f t="shared" si="9"/>
        <v>0</v>
      </c>
      <c r="AH46" s="11">
        <f t="shared" si="10"/>
        <v>15</v>
      </c>
      <c r="AI46" s="159"/>
    </row>
    <row r="47" spans="1:36">
      <c r="A47" s="70" t="s">
        <v>42</v>
      </c>
      <c r="B47" s="15"/>
      <c r="C47" s="15">
        <v>0.75</v>
      </c>
      <c r="D47" s="15"/>
      <c r="E47" s="15"/>
      <c r="F47" s="372">
        <v>0</v>
      </c>
      <c r="G47" s="372">
        <v>0</v>
      </c>
      <c r="H47" s="372">
        <v>0</v>
      </c>
      <c r="I47" s="372">
        <v>0</v>
      </c>
      <c r="J47" s="372">
        <v>0</v>
      </c>
      <c r="K47" s="372">
        <v>0</v>
      </c>
      <c r="L47" s="372">
        <v>0</v>
      </c>
      <c r="M47" s="372">
        <v>0</v>
      </c>
      <c r="N47" s="372"/>
      <c r="O47" s="372"/>
      <c r="P47" s="372"/>
      <c r="Q47" s="372"/>
      <c r="R47" s="372">
        <v>0.7</v>
      </c>
      <c r="S47" s="372">
        <f>3.67/5</f>
        <v>0.73399999999999999</v>
      </c>
      <c r="T47" s="372"/>
      <c r="U47" s="372"/>
      <c r="V47" s="372"/>
      <c r="W47" s="372"/>
      <c r="X47" s="372"/>
      <c r="Y47" s="372">
        <f t="shared" ref="Y47:Y48" si="11">3.5/5</f>
        <v>0.7</v>
      </c>
      <c r="Z47" s="372">
        <v>0</v>
      </c>
      <c r="AA47" s="372">
        <v>0</v>
      </c>
      <c r="AB47" s="372">
        <v>0</v>
      </c>
      <c r="AC47" s="372">
        <v>0</v>
      </c>
      <c r="AD47" s="41"/>
      <c r="AE47" s="41"/>
      <c r="AF47" s="11">
        <f t="shared" si="8"/>
        <v>0</v>
      </c>
      <c r="AG47" s="11">
        <f t="shared" si="9"/>
        <v>0</v>
      </c>
      <c r="AH47" s="11">
        <f t="shared" si="10"/>
        <v>15</v>
      </c>
    </row>
    <row r="48" spans="1:36">
      <c r="A48" s="70" t="s">
        <v>43</v>
      </c>
      <c r="B48" s="15"/>
      <c r="C48" s="15">
        <v>0.75</v>
      </c>
      <c r="D48" s="15"/>
      <c r="E48" s="15"/>
      <c r="F48" s="372"/>
      <c r="G48" s="372"/>
      <c r="H48" s="372"/>
      <c r="I48" s="372"/>
      <c r="J48" s="372"/>
      <c r="K48" s="372"/>
      <c r="L48" s="374"/>
      <c r="M48" s="372"/>
      <c r="N48" s="372"/>
      <c r="O48" s="372">
        <v>0.7</v>
      </c>
      <c r="P48" s="372">
        <v>0.6</v>
      </c>
      <c r="Q48" s="372"/>
      <c r="R48" s="372"/>
      <c r="S48" s="372">
        <f>3.67/5</f>
        <v>0.73399999999999999</v>
      </c>
      <c r="T48" s="372"/>
      <c r="U48" s="372"/>
      <c r="V48" s="372"/>
      <c r="W48" s="372"/>
      <c r="X48" s="372"/>
      <c r="Y48" s="372">
        <f t="shared" si="11"/>
        <v>0.7</v>
      </c>
      <c r="Z48" s="372">
        <v>0</v>
      </c>
      <c r="AA48" s="372">
        <v>0</v>
      </c>
      <c r="AB48" s="372">
        <v>0</v>
      </c>
      <c r="AC48" s="372">
        <v>0</v>
      </c>
      <c r="AD48" s="41"/>
      <c r="AE48" s="41"/>
      <c r="AF48" s="11">
        <f t="shared" si="8"/>
        <v>0</v>
      </c>
      <c r="AG48" s="11">
        <f t="shared" si="9"/>
        <v>0</v>
      </c>
      <c r="AH48" s="11">
        <f t="shared" si="10"/>
        <v>8</v>
      </c>
    </row>
    <row r="49" spans="1:124" ht="15" customHeight="1">
      <c r="A49" s="70" t="s">
        <v>44</v>
      </c>
      <c r="B49" s="15"/>
      <c r="C49" s="15">
        <v>0.75</v>
      </c>
      <c r="D49" s="15"/>
      <c r="E49" s="15"/>
      <c r="F49" s="372">
        <v>0</v>
      </c>
      <c r="G49" s="372"/>
      <c r="H49" s="372">
        <v>0.7</v>
      </c>
      <c r="I49" s="372">
        <v>0</v>
      </c>
      <c r="J49" s="372">
        <v>0</v>
      </c>
      <c r="K49" s="372">
        <v>0</v>
      </c>
      <c r="L49" s="372">
        <v>0</v>
      </c>
      <c r="M49" s="374">
        <v>0</v>
      </c>
      <c r="N49" s="372">
        <v>0</v>
      </c>
      <c r="O49" s="372">
        <v>0</v>
      </c>
      <c r="P49" s="372">
        <v>0.6</v>
      </c>
      <c r="Q49" s="372"/>
      <c r="R49" s="372"/>
      <c r="S49" s="372"/>
      <c r="T49" s="372"/>
      <c r="U49" s="372">
        <v>0.7</v>
      </c>
      <c r="V49" s="372"/>
      <c r="W49" s="372"/>
      <c r="X49" s="372"/>
      <c r="Y49" s="372"/>
      <c r="Z49" s="372"/>
      <c r="AA49" s="372"/>
      <c r="AB49" s="372"/>
      <c r="AC49" s="372"/>
      <c r="AD49" s="41"/>
      <c r="AE49" s="41"/>
      <c r="AF49" s="11">
        <f t="shared" si="8"/>
        <v>0</v>
      </c>
      <c r="AG49" s="11">
        <f t="shared" si="9"/>
        <v>0</v>
      </c>
      <c r="AH49" s="11">
        <f t="shared" si="10"/>
        <v>11</v>
      </c>
    </row>
    <row r="50" spans="1:124" ht="16.5" customHeight="1">
      <c r="A50" s="70" t="s">
        <v>45</v>
      </c>
      <c r="B50" s="15"/>
      <c r="C50" s="15">
        <v>0.75</v>
      </c>
      <c r="D50" s="15"/>
      <c r="E50" s="15"/>
      <c r="F50" s="372">
        <v>0.7</v>
      </c>
      <c r="G50" s="372">
        <v>0</v>
      </c>
      <c r="H50" s="372">
        <v>0</v>
      </c>
      <c r="I50" s="372">
        <v>0</v>
      </c>
      <c r="J50" s="374">
        <v>0</v>
      </c>
      <c r="K50" s="372">
        <v>0</v>
      </c>
      <c r="L50" s="374">
        <v>0</v>
      </c>
      <c r="M50" s="374">
        <v>0</v>
      </c>
      <c r="N50" s="372">
        <v>0</v>
      </c>
      <c r="O50" s="372"/>
      <c r="P50" s="372"/>
      <c r="Q50" s="372"/>
      <c r="R50" s="372"/>
      <c r="S50" s="372">
        <f>3.67/5</f>
        <v>0.73399999999999999</v>
      </c>
      <c r="T50" s="372"/>
      <c r="U50" s="372"/>
      <c r="V50" s="372"/>
      <c r="W50" s="372"/>
      <c r="X50" s="372"/>
      <c r="Y50" s="372" t="s">
        <v>9</v>
      </c>
      <c r="Z50" s="372">
        <v>0</v>
      </c>
      <c r="AA50" s="372">
        <v>0</v>
      </c>
      <c r="AB50" s="372">
        <v>0</v>
      </c>
      <c r="AC50" s="372">
        <v>0</v>
      </c>
      <c r="AD50" s="41"/>
      <c r="AE50" s="41"/>
      <c r="AF50" s="11">
        <f t="shared" si="8"/>
        <v>1</v>
      </c>
      <c r="AG50" s="11">
        <f t="shared" si="9"/>
        <v>0</v>
      </c>
      <c r="AH50" s="11">
        <f t="shared" si="10"/>
        <v>14</v>
      </c>
    </row>
    <row r="51" spans="1:124">
      <c r="A51" s="70" t="s">
        <v>46</v>
      </c>
      <c r="B51" s="15"/>
      <c r="C51" s="15">
        <v>0.85</v>
      </c>
      <c r="D51" s="15"/>
      <c r="E51" s="15"/>
      <c r="F51" s="372" t="s">
        <v>9</v>
      </c>
      <c r="G51" s="374" t="s">
        <v>9</v>
      </c>
      <c r="H51" s="374" t="s">
        <v>9</v>
      </c>
      <c r="I51" s="374" t="s">
        <v>9</v>
      </c>
      <c r="J51" s="374" t="s">
        <v>9</v>
      </c>
      <c r="K51" s="374" t="s">
        <v>9</v>
      </c>
      <c r="L51" s="374" t="s">
        <v>9</v>
      </c>
      <c r="M51" s="374" t="s">
        <v>9</v>
      </c>
      <c r="N51" s="372" t="s">
        <v>9</v>
      </c>
      <c r="O51" s="372" t="s">
        <v>9</v>
      </c>
      <c r="P51" s="372">
        <v>0.2</v>
      </c>
      <c r="Q51" s="372">
        <v>0.7</v>
      </c>
      <c r="R51" s="372"/>
      <c r="S51" s="372"/>
      <c r="T51" s="372"/>
      <c r="U51" s="372"/>
      <c r="V51" s="372"/>
      <c r="W51" s="372"/>
      <c r="X51" s="372"/>
      <c r="Y51" s="372"/>
      <c r="Z51" s="372"/>
      <c r="AA51" s="372"/>
      <c r="AB51" s="372"/>
      <c r="AC51" s="372"/>
      <c r="AD51" s="41"/>
      <c r="AE51" s="41"/>
      <c r="AF51" s="11">
        <f t="shared" si="8"/>
        <v>10</v>
      </c>
      <c r="AG51" s="11">
        <f t="shared" si="9"/>
        <v>0</v>
      </c>
      <c r="AH51" s="11">
        <f t="shared" si="10"/>
        <v>2</v>
      </c>
    </row>
    <row r="52" spans="1:124">
      <c r="A52" s="70" t="s">
        <v>47</v>
      </c>
      <c r="B52" s="15"/>
      <c r="C52" s="15">
        <v>0.85</v>
      </c>
      <c r="D52" s="15"/>
      <c r="E52" s="15"/>
      <c r="F52" s="372" t="s">
        <v>9</v>
      </c>
      <c r="G52" s="374" t="s">
        <v>9</v>
      </c>
      <c r="H52" s="374" t="s">
        <v>9</v>
      </c>
      <c r="I52" s="374" t="s">
        <v>9</v>
      </c>
      <c r="J52" s="374" t="s">
        <v>9</v>
      </c>
      <c r="K52" s="374" t="s">
        <v>9</v>
      </c>
      <c r="L52" s="374" t="s">
        <v>9</v>
      </c>
      <c r="M52" s="374" t="s">
        <v>9</v>
      </c>
      <c r="N52" s="372" t="s">
        <v>9</v>
      </c>
      <c r="O52" s="372" t="s">
        <v>9</v>
      </c>
      <c r="P52" s="372" t="s">
        <v>9</v>
      </c>
      <c r="Q52" s="372" t="s">
        <v>9</v>
      </c>
      <c r="R52" s="372" t="s">
        <v>9</v>
      </c>
      <c r="S52" s="372" t="s">
        <v>9</v>
      </c>
      <c r="T52" s="372" t="s">
        <v>9</v>
      </c>
      <c r="U52" s="372" t="s">
        <v>9</v>
      </c>
      <c r="V52" s="372" t="s">
        <v>9</v>
      </c>
      <c r="W52" s="372" t="s">
        <v>9</v>
      </c>
      <c r="X52" s="372" t="s">
        <v>9</v>
      </c>
      <c r="Y52" s="372" t="s">
        <v>9</v>
      </c>
      <c r="Z52" s="372" t="s">
        <v>9</v>
      </c>
      <c r="AA52" s="372" t="s">
        <v>9</v>
      </c>
      <c r="AB52" s="372" t="s">
        <v>9</v>
      </c>
      <c r="AC52" s="372" t="s">
        <v>9</v>
      </c>
      <c r="AD52" s="41"/>
      <c r="AE52" s="41"/>
      <c r="AF52" s="11">
        <f t="shared" si="8"/>
        <v>24</v>
      </c>
      <c r="AG52" s="11">
        <f t="shared" si="9"/>
        <v>0</v>
      </c>
      <c r="AH52" s="11">
        <f t="shared" si="10"/>
        <v>0</v>
      </c>
    </row>
    <row r="53" spans="1:124">
      <c r="A53" s="70" t="s">
        <v>48</v>
      </c>
      <c r="B53" s="15"/>
      <c r="C53" s="15">
        <v>0.85</v>
      </c>
      <c r="D53" s="15"/>
      <c r="E53" s="15"/>
      <c r="F53" s="372"/>
      <c r="G53" s="372"/>
      <c r="H53" s="372"/>
      <c r="I53" s="372"/>
      <c r="J53" s="372"/>
      <c r="K53" s="374"/>
      <c r="L53" s="372"/>
      <c r="M53" s="374"/>
      <c r="N53" s="372"/>
      <c r="O53" s="372"/>
      <c r="P53" s="372"/>
      <c r="Q53" s="372"/>
      <c r="R53" s="372"/>
      <c r="S53" s="372"/>
      <c r="T53" s="372"/>
      <c r="U53" s="372"/>
      <c r="V53" s="372"/>
      <c r="W53" s="372"/>
      <c r="X53" s="372"/>
      <c r="Y53" s="372"/>
      <c r="Z53" s="372"/>
      <c r="AA53" s="372"/>
      <c r="AB53" s="372"/>
      <c r="AC53" s="372"/>
      <c r="AD53" s="41"/>
      <c r="AE53" s="41"/>
      <c r="AF53" s="11">
        <f t="shared" si="8"/>
        <v>0</v>
      </c>
      <c r="AG53" s="11">
        <f t="shared" si="9"/>
        <v>0</v>
      </c>
      <c r="AH53" s="11">
        <f t="shared" si="10"/>
        <v>0</v>
      </c>
    </row>
    <row r="54" spans="1:124" ht="16.5" customHeight="1">
      <c r="A54" s="70" t="s">
        <v>49</v>
      </c>
      <c r="B54" s="15"/>
      <c r="C54" s="15">
        <v>0.85</v>
      </c>
      <c r="D54" s="15"/>
      <c r="E54" s="15"/>
      <c r="F54" s="372"/>
      <c r="G54" s="372"/>
      <c r="H54" s="372"/>
      <c r="I54" s="372"/>
      <c r="J54" s="372"/>
      <c r="K54" s="374"/>
      <c r="L54" s="372"/>
      <c r="M54" s="374"/>
      <c r="N54" s="372"/>
      <c r="O54" s="372"/>
      <c r="P54" s="372"/>
      <c r="Q54" s="372"/>
      <c r="R54" s="372"/>
      <c r="S54" s="372"/>
      <c r="T54" s="372"/>
      <c r="U54" s="372"/>
      <c r="V54" s="372"/>
      <c r="W54" s="372"/>
      <c r="X54" s="372"/>
      <c r="Y54" s="372"/>
      <c r="Z54" s="372"/>
      <c r="AA54" s="372"/>
      <c r="AB54" s="372"/>
      <c r="AC54" s="372"/>
      <c r="AD54" s="41"/>
      <c r="AE54" s="41"/>
      <c r="AF54" s="11">
        <f t="shared" si="8"/>
        <v>0</v>
      </c>
      <c r="AG54" s="11">
        <f t="shared" si="9"/>
        <v>0</v>
      </c>
      <c r="AH54" s="11">
        <f t="shared" si="10"/>
        <v>0</v>
      </c>
    </row>
    <row r="55" spans="1:124">
      <c r="A55" s="70" t="s">
        <v>50</v>
      </c>
      <c r="B55" s="15"/>
      <c r="C55" s="15">
        <v>0.85</v>
      </c>
      <c r="D55" s="15"/>
      <c r="E55" s="15"/>
      <c r="F55" s="372"/>
      <c r="G55" s="372"/>
      <c r="H55" s="372"/>
      <c r="I55" s="372"/>
      <c r="J55" s="372"/>
      <c r="K55" s="374"/>
      <c r="L55" s="372"/>
      <c r="M55" s="374"/>
      <c r="N55" s="372"/>
      <c r="O55" s="372"/>
      <c r="P55" s="372"/>
      <c r="Q55" s="372"/>
      <c r="R55" s="372"/>
      <c r="S55" s="372"/>
      <c r="T55" s="372"/>
      <c r="U55" s="372"/>
      <c r="V55" s="372"/>
      <c r="W55" s="372"/>
      <c r="X55" s="372"/>
      <c r="Y55" s="372"/>
      <c r="Z55" s="372"/>
      <c r="AA55" s="372"/>
      <c r="AB55" s="372"/>
      <c r="AC55" s="372"/>
      <c r="AD55" s="41"/>
      <c r="AE55" s="41"/>
      <c r="AF55" s="11">
        <f>COUNTIF(F55:AC55,$AJ$8)</f>
        <v>0</v>
      </c>
      <c r="AG55" s="11">
        <f t="shared" si="9"/>
        <v>0</v>
      </c>
      <c r="AH55" s="11">
        <f>COUNT(F55:AC55)</f>
        <v>0</v>
      </c>
    </row>
    <row r="56" spans="1:124">
      <c r="A56" s="70" t="s">
        <v>51</v>
      </c>
      <c r="B56" s="15"/>
      <c r="C56" s="15">
        <v>0.75</v>
      </c>
      <c r="D56" s="15"/>
      <c r="E56" s="15"/>
      <c r="F56" s="372">
        <v>0.7</v>
      </c>
      <c r="G56" s="372">
        <v>0</v>
      </c>
      <c r="H56" s="372">
        <v>0</v>
      </c>
      <c r="I56" s="372">
        <v>0</v>
      </c>
      <c r="J56" s="372">
        <v>0</v>
      </c>
      <c r="K56" s="374">
        <v>0</v>
      </c>
      <c r="L56" s="374">
        <v>0</v>
      </c>
      <c r="M56" s="374">
        <v>0</v>
      </c>
      <c r="N56" s="372">
        <v>0</v>
      </c>
      <c r="O56" s="372">
        <v>0.7</v>
      </c>
      <c r="P56" s="372"/>
      <c r="Q56" s="372"/>
      <c r="R56" s="372"/>
      <c r="S56" s="372">
        <f>3.67/5</f>
        <v>0.73399999999999999</v>
      </c>
      <c r="T56" s="372"/>
      <c r="U56" s="372"/>
      <c r="V56" s="372"/>
      <c r="W56" s="372"/>
      <c r="X56" s="372"/>
      <c r="Y56" s="372">
        <v>0.7</v>
      </c>
      <c r="Z56" s="372">
        <v>0</v>
      </c>
      <c r="AA56" s="372">
        <v>0</v>
      </c>
      <c r="AB56" s="372">
        <v>0</v>
      </c>
      <c r="AC56" s="372">
        <v>0</v>
      </c>
      <c r="AD56" s="41"/>
      <c r="AE56" s="41"/>
      <c r="AF56" s="11">
        <f t="shared" si="8"/>
        <v>0</v>
      </c>
      <c r="AG56" s="11">
        <f t="shared" si="9"/>
        <v>0</v>
      </c>
      <c r="AH56" s="11">
        <f t="shared" si="10"/>
        <v>16</v>
      </c>
    </row>
    <row r="57" spans="1:124">
      <c r="A57" s="70" t="s">
        <v>52</v>
      </c>
      <c r="B57" s="15"/>
      <c r="C57" s="15">
        <v>0.75</v>
      </c>
      <c r="D57" s="15"/>
      <c r="E57" s="15"/>
      <c r="F57" s="372"/>
      <c r="G57" s="372">
        <v>0</v>
      </c>
      <c r="H57" s="372">
        <v>0</v>
      </c>
      <c r="I57" s="372">
        <v>0</v>
      </c>
      <c r="J57" s="372">
        <v>0</v>
      </c>
      <c r="K57" s="372">
        <v>0</v>
      </c>
      <c r="L57" s="374">
        <v>0</v>
      </c>
      <c r="M57" s="374">
        <v>0</v>
      </c>
      <c r="N57" s="372">
        <v>0</v>
      </c>
      <c r="O57" s="372">
        <v>0.7</v>
      </c>
      <c r="P57" s="372">
        <v>0.7</v>
      </c>
      <c r="Q57" s="372"/>
      <c r="R57" s="372"/>
      <c r="S57" s="372"/>
      <c r="T57" s="372"/>
      <c r="U57" s="372"/>
      <c r="V57" s="372"/>
      <c r="W57" s="372"/>
      <c r="X57" s="372"/>
      <c r="Y57" s="372">
        <v>0.7</v>
      </c>
      <c r="Z57" s="372">
        <v>0</v>
      </c>
      <c r="AA57" s="372">
        <v>0</v>
      </c>
      <c r="AB57" s="372">
        <v>0</v>
      </c>
      <c r="AC57" s="372">
        <v>0</v>
      </c>
      <c r="AD57" s="41"/>
      <c r="AE57" s="41"/>
      <c r="AF57" s="11">
        <f t="shared" si="8"/>
        <v>0</v>
      </c>
      <c r="AG57" s="11">
        <f t="shared" si="9"/>
        <v>0</v>
      </c>
      <c r="AH57" s="11">
        <f t="shared" si="10"/>
        <v>15</v>
      </c>
    </row>
    <row r="58" spans="1:124">
      <c r="A58" s="70" t="s">
        <v>53</v>
      </c>
      <c r="B58" s="15"/>
      <c r="C58" s="15">
        <v>0.85</v>
      </c>
      <c r="D58" s="15"/>
      <c r="E58" s="15"/>
      <c r="F58" s="372"/>
      <c r="G58" s="372"/>
      <c r="H58" s="372"/>
      <c r="I58" s="372"/>
      <c r="J58" s="372"/>
      <c r="K58" s="374"/>
      <c r="L58" s="374"/>
      <c r="M58" s="374"/>
      <c r="N58" s="372"/>
      <c r="O58" s="372"/>
      <c r="P58" s="372"/>
      <c r="Q58" s="372"/>
      <c r="R58" s="372"/>
      <c r="S58" s="372"/>
      <c r="T58" s="372"/>
      <c r="U58" s="372"/>
      <c r="V58" s="372"/>
      <c r="W58" s="372"/>
      <c r="X58" s="372"/>
      <c r="Y58" s="372"/>
      <c r="Z58" s="372"/>
      <c r="AA58" s="372"/>
      <c r="AB58" s="372"/>
      <c r="AC58" s="372"/>
      <c r="AD58" s="41"/>
      <c r="AE58" s="41"/>
      <c r="AF58" s="11">
        <f t="shared" si="8"/>
        <v>0</v>
      </c>
      <c r="AG58" s="11">
        <f t="shared" si="9"/>
        <v>0</v>
      </c>
      <c r="AH58" s="11">
        <f t="shared" si="10"/>
        <v>0</v>
      </c>
    </row>
    <row r="59" spans="1:124">
      <c r="A59" s="70" t="s">
        <v>54</v>
      </c>
      <c r="B59" s="15"/>
      <c r="C59" s="15">
        <v>0.85</v>
      </c>
      <c r="D59" s="15"/>
      <c r="E59" s="15"/>
      <c r="F59" s="372"/>
      <c r="G59" s="372"/>
      <c r="H59" s="372"/>
      <c r="I59" s="372"/>
      <c r="J59" s="372"/>
      <c r="K59" s="374"/>
      <c r="L59" s="374"/>
      <c r="M59" s="374"/>
      <c r="N59" s="372"/>
      <c r="O59" s="372"/>
      <c r="P59" s="372"/>
      <c r="Q59" s="372"/>
      <c r="R59" s="372"/>
      <c r="S59" s="372"/>
      <c r="T59" s="372"/>
      <c r="U59" s="372"/>
      <c r="V59" s="372"/>
      <c r="W59" s="372"/>
      <c r="X59" s="372"/>
      <c r="Y59" s="372"/>
      <c r="Z59" s="372"/>
      <c r="AA59" s="372"/>
      <c r="AB59" s="372"/>
      <c r="AC59" s="372"/>
      <c r="AD59" s="41"/>
      <c r="AE59" s="41"/>
      <c r="AF59" s="11">
        <f t="shared" si="8"/>
        <v>0</v>
      </c>
      <c r="AG59" s="11">
        <f t="shared" si="9"/>
        <v>0</v>
      </c>
      <c r="AH59" s="11">
        <f t="shared" si="10"/>
        <v>0</v>
      </c>
    </row>
    <row r="60" spans="1:124">
      <c r="A60" s="9" t="s">
        <v>26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>SUM(F36:F59)</f>
        <v>1.4</v>
      </c>
      <c r="G60" s="19">
        <f t="shared" ref="G60:AC60" si="12">SUM(G36:G59)</f>
        <v>0</v>
      </c>
      <c r="H60" s="19">
        <f t="shared" si="12"/>
        <v>0.7</v>
      </c>
      <c r="I60" s="19">
        <f t="shared" si="12"/>
        <v>0</v>
      </c>
      <c r="J60" s="19">
        <f t="shared" si="12"/>
        <v>0</v>
      </c>
      <c r="K60" s="19">
        <f t="shared" si="12"/>
        <v>0</v>
      </c>
      <c r="L60" s="19">
        <f t="shared" si="12"/>
        <v>0</v>
      </c>
      <c r="M60" s="19">
        <f t="shared" si="12"/>
        <v>0</v>
      </c>
      <c r="N60" s="19">
        <f t="shared" si="12"/>
        <v>0</v>
      </c>
      <c r="O60" s="19">
        <f t="shared" si="12"/>
        <v>2.0999999999999996</v>
      </c>
      <c r="P60" s="19">
        <f t="shared" si="12"/>
        <v>2.0999999999999996</v>
      </c>
      <c r="Q60" s="19">
        <f t="shared" si="12"/>
        <v>0.7</v>
      </c>
      <c r="R60" s="19">
        <f t="shared" si="12"/>
        <v>1.4</v>
      </c>
      <c r="S60" s="19">
        <f t="shared" si="12"/>
        <v>3.67</v>
      </c>
      <c r="T60" s="19">
        <f>SUM(T36:T59)</f>
        <v>0</v>
      </c>
      <c r="U60" s="19">
        <f t="shared" si="12"/>
        <v>0.7</v>
      </c>
      <c r="V60" s="19">
        <f t="shared" si="12"/>
        <v>0</v>
      </c>
      <c r="W60" s="19">
        <f t="shared" si="12"/>
        <v>0</v>
      </c>
      <c r="X60" s="19">
        <f t="shared" si="12"/>
        <v>0</v>
      </c>
      <c r="Y60" s="19">
        <f t="shared" si="12"/>
        <v>3.5</v>
      </c>
      <c r="Z60" s="19">
        <f t="shared" si="12"/>
        <v>0</v>
      </c>
      <c r="AA60" s="19">
        <f t="shared" si="12"/>
        <v>0</v>
      </c>
      <c r="AB60" s="19">
        <f t="shared" si="12"/>
        <v>0</v>
      </c>
      <c r="AC60" s="19">
        <f t="shared" si="12"/>
        <v>0</v>
      </c>
      <c r="AD60" s="34"/>
      <c r="AE60" s="34"/>
      <c r="AF60" s="11"/>
      <c r="AG60" s="11"/>
      <c r="AH60" s="11"/>
    </row>
    <row r="61" spans="1:124">
      <c r="A61" s="12" t="s">
        <v>55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29.08</v>
      </c>
      <c r="AN61" s="351"/>
    </row>
    <row r="62" spans="1:124">
      <c r="A62" s="14" t="s">
        <v>56</v>
      </c>
      <c r="B62" s="20"/>
      <c r="C62" s="15">
        <v>0.75</v>
      </c>
      <c r="D62" s="15"/>
      <c r="E62" s="15"/>
      <c r="F62" s="372">
        <v>0</v>
      </c>
      <c r="G62" s="372">
        <v>0</v>
      </c>
      <c r="H62" s="372">
        <v>0</v>
      </c>
      <c r="I62" s="372">
        <v>0</v>
      </c>
      <c r="J62" s="372">
        <v>0</v>
      </c>
      <c r="K62" s="374">
        <v>0</v>
      </c>
      <c r="L62" s="372">
        <f>0.98/2</f>
        <v>0.49</v>
      </c>
      <c r="M62" s="372">
        <v>0.52500000000000002</v>
      </c>
      <c r="N62" s="372">
        <v>0.59499999999999997</v>
      </c>
      <c r="O62" s="372">
        <v>0.61499999999999999</v>
      </c>
      <c r="P62" s="372">
        <v>0.61</v>
      </c>
      <c r="Q62" s="372">
        <v>0.62</v>
      </c>
      <c r="R62" s="372">
        <v>0.64</v>
      </c>
      <c r="S62" s="372">
        <v>0.64</v>
      </c>
      <c r="T62" s="372">
        <v>0.62</v>
      </c>
      <c r="U62" s="372">
        <f>1.19/2</f>
        <v>0.59499999999999997</v>
      </c>
      <c r="V62" s="372">
        <f>1.23/2</f>
        <v>0.61499999999999999</v>
      </c>
      <c r="W62" s="372">
        <f>1.2/2</f>
        <v>0.6</v>
      </c>
      <c r="X62" s="372">
        <f>1.34/2</f>
        <v>0.67</v>
      </c>
      <c r="Y62" s="372">
        <f>1.61/2</f>
        <v>0.80500000000000005</v>
      </c>
      <c r="Z62" s="372">
        <f>1.65/3</f>
        <v>0.54999999999999993</v>
      </c>
      <c r="AA62" s="372">
        <f>1.55/2</f>
        <v>0.77500000000000002</v>
      </c>
      <c r="AB62" s="372">
        <f>1.42/2</f>
        <v>0.71</v>
      </c>
      <c r="AC62" s="372">
        <f>1.24/2</f>
        <v>0.62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24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57</v>
      </c>
      <c r="B63" s="20"/>
      <c r="C63" s="15">
        <v>0.75</v>
      </c>
      <c r="D63" s="15"/>
      <c r="E63" s="15"/>
      <c r="F63" s="372">
        <f>1.12/2</f>
        <v>0.56000000000000005</v>
      </c>
      <c r="G63" s="372">
        <f>1.03/2</f>
        <v>0.51500000000000001</v>
      </c>
      <c r="H63" s="372">
        <f>0.99/2</f>
        <v>0.495</v>
      </c>
      <c r="I63" s="372">
        <f>0.94/2</f>
        <v>0.47</v>
      </c>
      <c r="J63" s="372">
        <f>0.92/2</f>
        <v>0.46</v>
      </c>
      <c r="K63" s="374">
        <f>0.94/2</f>
        <v>0.47</v>
      </c>
      <c r="L63" s="372"/>
      <c r="M63" s="372"/>
      <c r="N63" s="372"/>
      <c r="O63" s="372"/>
      <c r="P63" s="372"/>
      <c r="Q63" s="372"/>
      <c r="R63" s="372"/>
      <c r="S63" s="372">
        <v>0.64</v>
      </c>
      <c r="T63" s="372">
        <v>0.62</v>
      </c>
      <c r="U63" s="372">
        <f>1.19/2</f>
        <v>0.59499999999999997</v>
      </c>
      <c r="V63" s="372">
        <f>1.23/2</f>
        <v>0.61499999999999999</v>
      </c>
      <c r="W63" s="372">
        <f>1.2/2</f>
        <v>0.6</v>
      </c>
      <c r="X63" s="372">
        <f>1.34/2</f>
        <v>0.67</v>
      </c>
      <c r="Y63" s="372">
        <f>1.61/2</f>
        <v>0.80500000000000005</v>
      </c>
      <c r="Z63" s="372">
        <f t="shared" ref="Z63:Z64" si="13">1.65/3</f>
        <v>0.54999999999999993</v>
      </c>
      <c r="AA63" s="372">
        <f>1.55/2</f>
        <v>0.77500000000000002</v>
      </c>
      <c r="AB63" s="372">
        <f>1.42/2</f>
        <v>0.71</v>
      </c>
      <c r="AC63" s="372">
        <f>1.24/2</f>
        <v>0.62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17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58</v>
      </c>
      <c r="B64" s="20"/>
      <c r="C64" s="15">
        <v>0.75</v>
      </c>
      <c r="D64" s="15"/>
      <c r="E64" s="15"/>
      <c r="F64" s="372">
        <f>1.12/2</f>
        <v>0.56000000000000005</v>
      </c>
      <c r="G64" s="372">
        <f>1.03/2</f>
        <v>0.51500000000000001</v>
      </c>
      <c r="H64" s="372">
        <f>0.99/2</f>
        <v>0.495</v>
      </c>
      <c r="I64" s="372">
        <f>0.94/2</f>
        <v>0.47</v>
      </c>
      <c r="J64" s="372">
        <f>0.92/2</f>
        <v>0.46</v>
      </c>
      <c r="K64" s="374">
        <f>0.94/2</f>
        <v>0.47</v>
      </c>
      <c r="L64" s="372">
        <f>0.98/2</f>
        <v>0.49</v>
      </c>
      <c r="M64" s="372">
        <v>0.52500000000000002</v>
      </c>
      <c r="N64" s="372">
        <v>0.59499999999999997</v>
      </c>
      <c r="O64" s="372">
        <v>0.61499999999999999</v>
      </c>
      <c r="P64" s="372">
        <v>0.61</v>
      </c>
      <c r="Q64" s="372">
        <v>0.62</v>
      </c>
      <c r="R64" s="372">
        <v>0.64</v>
      </c>
      <c r="S64" s="372"/>
      <c r="T64" s="372"/>
      <c r="U64" s="372"/>
      <c r="V64" s="372"/>
      <c r="W64" s="372"/>
      <c r="X64" s="372"/>
      <c r="Y64" s="372"/>
      <c r="Z64" s="372">
        <f t="shared" si="13"/>
        <v>0.54999999999999993</v>
      </c>
      <c r="AA64" s="372"/>
      <c r="AB64" s="372"/>
      <c r="AC64" s="372"/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14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1.1200000000000001</v>
      </c>
      <c r="G65" s="19">
        <f t="shared" ref="G65" si="14">SUM(G62:G64)</f>
        <v>1.03</v>
      </c>
      <c r="H65" s="19">
        <f>SUM(H62:H64)</f>
        <v>0.99</v>
      </c>
      <c r="I65" s="19">
        <f>SUM(I62:I64)</f>
        <v>0.94</v>
      </c>
      <c r="J65" s="19">
        <f t="shared" ref="J65" si="15">SUM(J62:J64)</f>
        <v>0.92</v>
      </c>
      <c r="K65" s="19">
        <f>SUM(K62:K64)</f>
        <v>0.94</v>
      </c>
      <c r="L65" s="19">
        <f>SUM(L62:L64)</f>
        <v>0.98</v>
      </c>
      <c r="M65" s="19">
        <f>SUM(M62:M64)</f>
        <v>1.05</v>
      </c>
      <c r="N65" s="19">
        <f>SUM(N62:N64)</f>
        <v>1.19</v>
      </c>
      <c r="O65" s="19">
        <f t="shared" ref="O65:AB65" si="16">SUM(O62:O64)</f>
        <v>1.23</v>
      </c>
      <c r="P65" s="19">
        <f t="shared" si="16"/>
        <v>1.22</v>
      </c>
      <c r="Q65" s="19">
        <f t="shared" si="16"/>
        <v>1.24</v>
      </c>
      <c r="R65" s="19">
        <f t="shared" si="16"/>
        <v>1.28</v>
      </c>
      <c r="S65" s="19">
        <f t="shared" si="16"/>
        <v>1.28</v>
      </c>
      <c r="T65" s="19">
        <f t="shared" si="16"/>
        <v>1.24</v>
      </c>
      <c r="U65" s="19">
        <f t="shared" si="16"/>
        <v>1.19</v>
      </c>
      <c r="V65" s="19">
        <f t="shared" si="16"/>
        <v>1.23</v>
      </c>
      <c r="W65" s="19">
        <f t="shared" si="16"/>
        <v>1.2</v>
      </c>
      <c r="X65" s="19">
        <f t="shared" si="16"/>
        <v>1.34</v>
      </c>
      <c r="Y65" s="19">
        <f>SUM(Y62:Y64)</f>
        <v>1.61</v>
      </c>
      <c r="Z65" s="19">
        <f t="shared" si="16"/>
        <v>1.65</v>
      </c>
      <c r="AA65" s="19">
        <f t="shared" si="16"/>
        <v>1.55</v>
      </c>
      <c r="AB65" s="19">
        <f t="shared" si="16"/>
        <v>1.42</v>
      </c>
      <c r="AC65" s="19">
        <f>SUM(AC62:AC64)</f>
        <v>1.24</v>
      </c>
      <c r="AD65" s="34"/>
      <c r="AE65" s="34"/>
      <c r="AF65" s="11"/>
      <c r="AG65" s="11"/>
      <c r="AH65" s="11"/>
    </row>
    <row r="66" spans="1:124" hidden="1">
      <c r="A66" s="12" t="s">
        <v>59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idden="1">
      <c r="A67" s="14" t="s">
        <v>60</v>
      </c>
      <c r="B67" s="15"/>
      <c r="C67" s="15">
        <v>0.85</v>
      </c>
      <c r="D67" s="15"/>
      <c r="E67" s="15"/>
      <c r="F67" s="372"/>
      <c r="G67" s="372"/>
      <c r="H67" s="372"/>
      <c r="I67" s="372"/>
      <c r="J67" s="372"/>
      <c r="K67" s="374"/>
      <c r="L67" s="374"/>
      <c r="M67" s="374"/>
      <c r="N67" s="372"/>
      <c r="O67" s="372"/>
      <c r="P67" s="372"/>
      <c r="Q67" s="372"/>
      <c r="R67" s="372"/>
      <c r="S67" s="372"/>
      <c r="T67" s="372"/>
      <c r="U67" s="372"/>
      <c r="V67" s="372"/>
      <c r="W67" s="372"/>
      <c r="X67" s="372"/>
      <c r="Y67" s="372"/>
      <c r="Z67" s="372"/>
      <c r="AA67" s="372"/>
      <c r="AB67" s="372"/>
      <c r="AC67" s="372"/>
      <c r="AD67" s="35"/>
      <c r="AE67" s="35"/>
      <c r="AF67" s="11">
        <f t="shared" ref="AF67:AF75" si="17">COUNTIF(F67:AC67,$AF$11)</f>
        <v>0</v>
      </c>
      <c r="AG67" s="11">
        <f t="shared" ref="AG67:AG75" si="18">COUNTIF(G67:AC67,$AG$11)</f>
        <v>0</v>
      </c>
      <c r="AH67" s="11">
        <f t="shared" ref="AH67:AH75" si="19">COUNT(F67:AC67)</f>
        <v>0</v>
      </c>
    </row>
    <row r="68" spans="1:124" hidden="1">
      <c r="A68" s="14" t="s">
        <v>61</v>
      </c>
      <c r="B68" s="15"/>
      <c r="C68" s="15">
        <v>0.85</v>
      </c>
      <c r="D68" s="15"/>
      <c r="E68" s="15"/>
      <c r="F68" s="372"/>
      <c r="G68" s="372"/>
      <c r="H68" s="372"/>
      <c r="I68" s="372"/>
      <c r="J68" s="372"/>
      <c r="K68" s="374"/>
      <c r="L68" s="374"/>
      <c r="M68" s="374"/>
      <c r="N68" s="372"/>
      <c r="O68" s="372"/>
      <c r="P68" s="372"/>
      <c r="Q68" s="372"/>
      <c r="R68" s="372"/>
      <c r="S68" s="372"/>
      <c r="T68" s="372"/>
      <c r="U68" s="372"/>
      <c r="V68" s="372"/>
      <c r="W68" s="372"/>
      <c r="X68" s="372"/>
      <c r="Y68" s="372"/>
      <c r="Z68" s="372"/>
      <c r="AA68" s="372"/>
      <c r="AB68" s="372"/>
      <c r="AC68" s="372"/>
      <c r="AD68" s="35"/>
      <c r="AE68" s="35"/>
      <c r="AF68" s="11">
        <f t="shared" si="17"/>
        <v>0</v>
      </c>
      <c r="AG68" s="11">
        <f t="shared" si="18"/>
        <v>0</v>
      </c>
      <c r="AH68" s="11">
        <f t="shared" si="19"/>
        <v>0</v>
      </c>
    </row>
    <row r="69" spans="1:124" hidden="1">
      <c r="A69" s="14" t="s">
        <v>62</v>
      </c>
      <c r="B69" s="15"/>
      <c r="C69" s="15">
        <v>0.85</v>
      </c>
      <c r="D69" s="15"/>
      <c r="E69" s="15"/>
      <c r="F69" s="372"/>
      <c r="G69" s="372"/>
      <c r="H69" s="372"/>
      <c r="I69" s="372"/>
      <c r="J69" s="372"/>
      <c r="K69" s="374"/>
      <c r="L69" s="374"/>
      <c r="M69" s="374"/>
      <c r="N69" s="372"/>
      <c r="O69" s="372"/>
      <c r="P69" s="372"/>
      <c r="Q69" s="372"/>
      <c r="R69" s="372"/>
      <c r="S69" s="372"/>
      <c r="T69" s="372"/>
      <c r="U69" s="372"/>
      <c r="V69" s="372"/>
      <c r="W69" s="372"/>
      <c r="X69" s="372"/>
      <c r="Y69" s="372"/>
      <c r="Z69" s="372"/>
      <c r="AA69" s="372"/>
      <c r="AB69" s="372"/>
      <c r="AC69" s="372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9"/>
        <v>0</v>
      </c>
    </row>
    <row r="70" spans="1:124" hidden="1">
      <c r="A70" s="14" t="s">
        <v>63</v>
      </c>
      <c r="B70" s="15"/>
      <c r="C70" s="15">
        <v>0.85</v>
      </c>
      <c r="D70" s="15"/>
      <c r="E70" s="15"/>
      <c r="F70" s="372"/>
      <c r="G70" s="372"/>
      <c r="H70" s="372"/>
      <c r="I70" s="372"/>
      <c r="J70" s="372"/>
      <c r="K70" s="374"/>
      <c r="L70" s="374"/>
      <c r="M70" s="374"/>
      <c r="N70" s="372"/>
      <c r="O70" s="372"/>
      <c r="P70" s="372"/>
      <c r="Q70" s="372"/>
      <c r="R70" s="372"/>
      <c r="S70" s="372"/>
      <c r="T70" s="372"/>
      <c r="U70" s="372"/>
      <c r="V70" s="372"/>
      <c r="W70" s="372"/>
      <c r="X70" s="372"/>
      <c r="Y70" s="372"/>
      <c r="Z70" s="372"/>
      <c r="AA70" s="372"/>
      <c r="AB70" s="372"/>
      <c r="AC70" s="372"/>
      <c r="AD70" s="35"/>
      <c r="AE70" s="35"/>
      <c r="AF70" s="11">
        <f t="shared" si="17"/>
        <v>0</v>
      </c>
      <c r="AG70" s="11">
        <f t="shared" si="18"/>
        <v>0</v>
      </c>
      <c r="AH70" s="11">
        <f t="shared" si="19"/>
        <v>0</v>
      </c>
      <c r="AI70" s="5"/>
      <c r="AJ70" s="5"/>
      <c r="AK70" s="5"/>
      <c r="AL70" s="5"/>
    </row>
    <row r="71" spans="1:124" hidden="1">
      <c r="A71" s="14" t="s">
        <v>64</v>
      </c>
      <c r="B71" s="15"/>
      <c r="C71" s="15">
        <v>0.85</v>
      </c>
      <c r="D71" s="15"/>
      <c r="E71" s="15"/>
      <c r="F71" s="372"/>
      <c r="G71" s="372"/>
      <c r="H71" s="372"/>
      <c r="I71" s="372"/>
      <c r="J71" s="372"/>
      <c r="K71" s="374"/>
      <c r="L71" s="374"/>
      <c r="M71" s="374"/>
      <c r="N71" s="372"/>
      <c r="O71" s="372"/>
      <c r="P71" s="372"/>
      <c r="Q71" s="372"/>
      <c r="R71" s="372"/>
      <c r="S71" s="372"/>
      <c r="T71" s="372"/>
      <c r="U71" s="372"/>
      <c r="V71" s="372"/>
      <c r="W71" s="372"/>
      <c r="X71" s="372"/>
      <c r="Y71" s="372"/>
      <c r="Z71" s="372"/>
      <c r="AA71" s="372"/>
      <c r="AB71" s="372"/>
      <c r="AC71" s="372"/>
      <c r="AD71" s="35"/>
      <c r="AE71" s="35"/>
      <c r="AF71" s="11">
        <f t="shared" si="17"/>
        <v>0</v>
      </c>
      <c r="AG71" s="11">
        <f t="shared" si="18"/>
        <v>0</v>
      </c>
      <c r="AH71" s="11">
        <f t="shared" si="19"/>
        <v>0</v>
      </c>
    </row>
    <row r="72" spans="1:124" hidden="1">
      <c r="A72" s="14" t="s">
        <v>65</v>
      </c>
      <c r="B72" s="15"/>
      <c r="C72" s="15">
        <v>0.85</v>
      </c>
      <c r="D72" s="15"/>
      <c r="E72" s="15"/>
      <c r="F72" s="372"/>
      <c r="G72" s="372"/>
      <c r="H72" s="372"/>
      <c r="I72" s="372"/>
      <c r="J72" s="372"/>
      <c r="K72" s="374"/>
      <c r="L72" s="374"/>
      <c r="M72" s="374"/>
      <c r="N72" s="372"/>
      <c r="O72" s="372"/>
      <c r="P72" s="372"/>
      <c r="Q72" s="372"/>
      <c r="R72" s="372"/>
      <c r="S72" s="372"/>
      <c r="T72" s="372"/>
      <c r="U72" s="372"/>
      <c r="V72" s="372"/>
      <c r="W72" s="372"/>
      <c r="X72" s="372"/>
      <c r="Y72" s="372"/>
      <c r="Z72" s="372"/>
      <c r="AA72" s="372"/>
      <c r="AB72" s="372"/>
      <c r="AC72" s="372"/>
      <c r="AD72" s="35"/>
      <c r="AE72" s="35"/>
      <c r="AF72" s="11">
        <f t="shared" si="17"/>
        <v>0</v>
      </c>
      <c r="AG72" s="11">
        <f t="shared" si="18"/>
        <v>0</v>
      </c>
      <c r="AH72" s="11">
        <f t="shared" si="19"/>
        <v>0</v>
      </c>
    </row>
    <row r="73" spans="1:124" hidden="1">
      <c r="A73" s="14" t="s">
        <v>66</v>
      </c>
      <c r="B73" s="15"/>
      <c r="C73" s="15">
        <v>0.85</v>
      </c>
      <c r="D73" s="15"/>
      <c r="E73" s="15"/>
      <c r="F73" s="372"/>
      <c r="G73" s="372"/>
      <c r="H73" s="372"/>
      <c r="I73" s="372"/>
      <c r="J73" s="372"/>
      <c r="K73" s="374"/>
      <c r="L73" s="374"/>
      <c r="M73" s="374"/>
      <c r="N73" s="372"/>
      <c r="O73" s="372"/>
      <c r="P73" s="372"/>
      <c r="Q73" s="372"/>
      <c r="R73" s="372"/>
      <c r="S73" s="372"/>
      <c r="T73" s="372"/>
      <c r="U73" s="372"/>
      <c r="V73" s="372"/>
      <c r="W73" s="372"/>
      <c r="X73" s="372"/>
      <c r="Y73" s="372"/>
      <c r="Z73" s="372"/>
      <c r="AA73" s="372"/>
      <c r="AB73" s="372"/>
      <c r="AC73" s="372"/>
      <c r="AD73" s="35"/>
      <c r="AE73" s="35"/>
      <c r="AF73" s="11">
        <f t="shared" si="17"/>
        <v>0</v>
      </c>
      <c r="AG73" s="11">
        <f t="shared" si="18"/>
        <v>0</v>
      </c>
      <c r="AH73" s="11">
        <f t="shared" si="19"/>
        <v>0</v>
      </c>
    </row>
    <row r="74" spans="1:124" hidden="1">
      <c r="A74" s="14" t="s">
        <v>67</v>
      </c>
      <c r="B74" s="19"/>
      <c r="C74" s="15">
        <v>0.85</v>
      </c>
      <c r="D74" s="15"/>
      <c r="E74" s="15"/>
      <c r="F74" s="372"/>
      <c r="G74" s="372"/>
      <c r="H74" s="372"/>
      <c r="I74" s="372"/>
      <c r="J74" s="372"/>
      <c r="K74" s="374"/>
      <c r="L74" s="374"/>
      <c r="M74" s="374"/>
      <c r="N74" s="372"/>
      <c r="O74" s="372"/>
      <c r="P74" s="372"/>
      <c r="Q74" s="372"/>
      <c r="R74" s="372"/>
      <c r="S74" s="372"/>
      <c r="T74" s="372"/>
      <c r="U74" s="372"/>
      <c r="V74" s="372"/>
      <c r="W74" s="372"/>
      <c r="X74" s="372"/>
      <c r="Y74" s="372"/>
      <c r="Z74" s="372"/>
      <c r="AA74" s="372"/>
      <c r="AB74" s="372"/>
      <c r="AC74" s="372"/>
      <c r="AD74" s="29"/>
      <c r="AE74" s="29"/>
      <c r="AF74" s="11">
        <f t="shared" si="17"/>
        <v>0</v>
      </c>
      <c r="AG74" s="11">
        <f t="shared" si="18"/>
        <v>0</v>
      </c>
      <c r="AH74" s="11">
        <f t="shared" si="19"/>
        <v>0</v>
      </c>
    </row>
    <row r="75" spans="1:124" ht="15.75" hidden="1" customHeight="1">
      <c r="A75" s="14" t="s">
        <v>68</v>
      </c>
      <c r="B75" s="9"/>
      <c r="C75" s="15">
        <v>0.85</v>
      </c>
      <c r="D75" s="15"/>
      <c r="E75" s="15"/>
      <c r="F75" s="372"/>
      <c r="G75" s="372"/>
      <c r="H75" s="372"/>
      <c r="I75" s="372"/>
      <c r="J75" s="372"/>
      <c r="K75" s="374"/>
      <c r="L75" s="374"/>
      <c r="M75" s="374"/>
      <c r="N75" s="372"/>
      <c r="O75" s="372"/>
      <c r="P75" s="372"/>
      <c r="Q75" s="372"/>
      <c r="R75" s="372"/>
      <c r="S75" s="372"/>
      <c r="T75" s="372"/>
      <c r="U75" s="372"/>
      <c r="V75" s="372"/>
      <c r="W75" s="372"/>
      <c r="X75" s="372"/>
      <c r="Y75" s="372"/>
      <c r="Z75" s="372"/>
      <c r="AA75" s="372"/>
      <c r="AB75" s="372"/>
      <c r="AC75" s="372"/>
      <c r="AD75" s="31"/>
      <c r="AE75" s="31"/>
      <c r="AF75" s="11">
        <f t="shared" si="17"/>
        <v>0</v>
      </c>
      <c r="AG75" s="11">
        <f t="shared" si="18"/>
        <v>0</v>
      </c>
      <c r="AH75" s="11">
        <f t="shared" si="19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20">SUM(F67:F75)</f>
        <v>0</v>
      </c>
      <c r="G76" s="19">
        <f t="shared" si="20"/>
        <v>0</v>
      </c>
      <c r="H76" s="19">
        <f t="shared" si="20"/>
        <v>0</v>
      </c>
      <c r="I76" s="19">
        <f t="shared" si="20"/>
        <v>0</v>
      </c>
      <c r="J76" s="19">
        <f t="shared" si="20"/>
        <v>0</v>
      </c>
      <c r="K76" s="19">
        <f t="shared" si="20"/>
        <v>0</v>
      </c>
      <c r="L76" s="19">
        <f>SUM(L67:L75)</f>
        <v>0</v>
      </c>
      <c r="M76" s="19">
        <f t="shared" si="20"/>
        <v>0</v>
      </c>
      <c r="N76" s="19">
        <f t="shared" si="20"/>
        <v>0</v>
      </c>
      <c r="O76" s="19">
        <f t="shared" si="20"/>
        <v>0</v>
      </c>
      <c r="P76" s="19">
        <f t="shared" si="20"/>
        <v>0</v>
      </c>
      <c r="Q76" s="19">
        <f>SUM(Q67:Q75)</f>
        <v>0</v>
      </c>
      <c r="R76" s="19">
        <f t="shared" si="20"/>
        <v>0</v>
      </c>
      <c r="S76" s="19">
        <f t="shared" si="20"/>
        <v>0</v>
      </c>
      <c r="T76" s="19">
        <f t="shared" si="20"/>
        <v>0</v>
      </c>
      <c r="U76" s="19">
        <f t="shared" si="20"/>
        <v>0</v>
      </c>
      <c r="V76" s="19">
        <f t="shared" si="20"/>
        <v>0</v>
      </c>
      <c r="W76" s="19">
        <f t="shared" si="20"/>
        <v>0</v>
      </c>
      <c r="X76" s="19">
        <f t="shared" si="20"/>
        <v>0</v>
      </c>
      <c r="Y76" s="19">
        <f t="shared" si="20"/>
        <v>0</v>
      </c>
      <c r="Z76" s="19">
        <f t="shared" si="20"/>
        <v>0</v>
      </c>
      <c r="AA76" s="19">
        <f t="shared" si="20"/>
        <v>0</v>
      </c>
      <c r="AB76" s="19">
        <f t="shared" si="20"/>
        <v>0</v>
      </c>
      <c r="AC76" s="19">
        <f t="shared" si="20"/>
        <v>0</v>
      </c>
      <c r="AD76" s="34"/>
      <c r="AE76" s="34"/>
      <c r="AF76" s="11"/>
      <c r="AG76" s="11"/>
      <c r="AH76" s="11"/>
    </row>
    <row r="77" spans="1:124">
      <c r="A77" s="12" t="s">
        <v>69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 t="s">
        <v>21</v>
      </c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19.020000000000003</v>
      </c>
    </row>
    <row r="78" spans="1:124">
      <c r="A78" s="14" t="s">
        <v>70</v>
      </c>
      <c r="B78" s="20"/>
      <c r="C78" s="15">
        <v>1</v>
      </c>
      <c r="D78" s="15"/>
      <c r="E78" s="15"/>
      <c r="F78" s="372"/>
      <c r="G78" s="372"/>
      <c r="H78" s="372"/>
      <c r="I78" s="372"/>
      <c r="J78" s="372"/>
      <c r="K78" s="374"/>
      <c r="L78" s="374"/>
      <c r="M78" s="374">
        <v>0.72</v>
      </c>
      <c r="N78" s="372">
        <v>0.71</v>
      </c>
      <c r="O78" s="372">
        <v>0.77</v>
      </c>
      <c r="P78" s="372">
        <v>0.81</v>
      </c>
      <c r="Q78" s="372">
        <v>0.78</v>
      </c>
      <c r="R78" s="372">
        <v>0.8</v>
      </c>
      <c r="S78" s="372">
        <v>0.81</v>
      </c>
      <c r="T78" s="372">
        <v>0.8</v>
      </c>
      <c r="U78" s="372">
        <v>0.83</v>
      </c>
      <c r="V78" s="372">
        <v>0.8</v>
      </c>
      <c r="W78" s="372">
        <v>0.77</v>
      </c>
      <c r="X78" s="372"/>
      <c r="Y78" s="372"/>
      <c r="Z78" s="372"/>
      <c r="AA78" s="372"/>
      <c r="AB78" s="372"/>
      <c r="AC78" s="372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11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71</v>
      </c>
      <c r="B79" s="20"/>
      <c r="C79" s="15">
        <v>1</v>
      </c>
      <c r="D79" s="15"/>
      <c r="E79" s="15"/>
      <c r="F79" s="372">
        <v>0.8</v>
      </c>
      <c r="G79" s="372">
        <v>0.77</v>
      </c>
      <c r="H79" s="372">
        <v>0.75</v>
      </c>
      <c r="I79" s="372">
        <v>0.71</v>
      </c>
      <c r="J79" s="372">
        <v>0.72</v>
      </c>
      <c r="K79" s="374">
        <v>0.72</v>
      </c>
      <c r="L79" s="374">
        <v>0.72</v>
      </c>
      <c r="M79" s="374"/>
      <c r="N79" s="372"/>
      <c r="O79" s="372"/>
      <c r="P79" s="372"/>
      <c r="Q79" s="372"/>
      <c r="R79" s="372"/>
      <c r="S79" s="372"/>
      <c r="T79" s="372"/>
      <c r="U79" s="372"/>
      <c r="V79" s="372"/>
      <c r="W79" s="372"/>
      <c r="X79" s="372">
        <v>0.82</v>
      </c>
      <c r="Y79" s="372">
        <v>0.9</v>
      </c>
      <c r="Z79" s="372">
        <v>0.92</v>
      </c>
      <c r="AA79" s="372">
        <v>0.9</v>
      </c>
      <c r="AB79" s="372">
        <v>0.87</v>
      </c>
      <c r="AC79" s="372">
        <v>0.82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13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21">SUM(F78:F79)</f>
        <v>0.8</v>
      </c>
      <c r="G80" s="19">
        <f t="shared" si="21"/>
        <v>0.77</v>
      </c>
      <c r="H80" s="19">
        <f>SUM(H78:H79)</f>
        <v>0.75</v>
      </c>
      <c r="I80" s="19">
        <f>SUM(I78:I79)</f>
        <v>0.71</v>
      </c>
      <c r="J80" s="19">
        <f t="shared" ref="J80:AC80" si="22">SUM(J78:J79)</f>
        <v>0.72</v>
      </c>
      <c r="K80" s="19">
        <f t="shared" si="22"/>
        <v>0.72</v>
      </c>
      <c r="L80" s="19">
        <f>SUM(L78:L79)</f>
        <v>0.72</v>
      </c>
      <c r="M80" s="19">
        <f t="shared" si="22"/>
        <v>0.72</v>
      </c>
      <c r="N80" s="19">
        <f t="shared" si="22"/>
        <v>0.71</v>
      </c>
      <c r="O80" s="19">
        <f>SUM(O78:O79)</f>
        <v>0.77</v>
      </c>
      <c r="P80" s="19">
        <f t="shared" si="22"/>
        <v>0.81</v>
      </c>
      <c r="Q80" s="19">
        <f t="shared" si="22"/>
        <v>0.78</v>
      </c>
      <c r="R80" s="19">
        <f t="shared" si="22"/>
        <v>0.8</v>
      </c>
      <c r="S80" s="19">
        <f t="shared" si="22"/>
        <v>0.81</v>
      </c>
      <c r="T80" s="19">
        <f t="shared" si="22"/>
        <v>0.8</v>
      </c>
      <c r="U80" s="19">
        <f t="shared" si="22"/>
        <v>0.83</v>
      </c>
      <c r="V80" s="19">
        <f t="shared" si="22"/>
        <v>0.8</v>
      </c>
      <c r="W80" s="19">
        <f t="shared" si="22"/>
        <v>0.77</v>
      </c>
      <c r="X80" s="19">
        <f t="shared" si="22"/>
        <v>0.82</v>
      </c>
      <c r="Y80" s="19">
        <f t="shared" si="22"/>
        <v>0.9</v>
      </c>
      <c r="Z80" s="19">
        <f t="shared" si="22"/>
        <v>0.92</v>
      </c>
      <c r="AA80" s="19">
        <f t="shared" si="22"/>
        <v>0.9</v>
      </c>
      <c r="AB80" s="19">
        <f t="shared" si="22"/>
        <v>0.87</v>
      </c>
      <c r="AC80" s="19">
        <f t="shared" si="22"/>
        <v>0.82</v>
      </c>
      <c r="AD80" s="34"/>
      <c r="AE80" s="34"/>
      <c r="AF80" s="11"/>
      <c r="AG80" s="11"/>
      <c r="AH80" s="11"/>
    </row>
    <row r="81" spans="1:40" ht="17.45" hidden="1">
      <c r="A81" s="366" t="s">
        <v>72</v>
      </c>
      <c r="B81" s="365"/>
      <c r="C81" s="367">
        <v>2</v>
      </c>
      <c r="D81" s="363"/>
      <c r="E81" s="363"/>
      <c r="F81" s="364"/>
      <c r="G81" s="364"/>
      <c r="H81" s="364"/>
      <c r="I81" s="364"/>
      <c r="J81" s="364"/>
      <c r="K81" s="364"/>
      <c r="L81" s="364"/>
      <c r="M81" s="364"/>
      <c r="N81" s="364"/>
      <c r="O81" s="364"/>
      <c r="P81" s="364"/>
      <c r="Q81" s="364"/>
      <c r="R81" s="364"/>
      <c r="S81" s="364"/>
      <c r="T81" s="364"/>
      <c r="U81" s="364"/>
      <c r="V81" s="364"/>
      <c r="W81" s="364"/>
      <c r="X81" s="364"/>
      <c r="Y81" s="364"/>
      <c r="Z81" s="364"/>
      <c r="AA81" s="364"/>
      <c r="AB81" s="364"/>
      <c r="AC81" s="364"/>
    </row>
    <row r="82" spans="1:40" ht="17.45" hidden="1">
      <c r="A82" s="368"/>
      <c r="B82" s="369"/>
      <c r="C82" s="370"/>
      <c r="D82" s="371"/>
      <c r="E82" s="371"/>
      <c r="F82" s="372"/>
      <c r="G82" s="372"/>
      <c r="H82" s="372"/>
      <c r="I82" s="372"/>
      <c r="J82" s="372"/>
      <c r="K82" s="374"/>
      <c r="L82" s="374"/>
      <c r="M82" s="374"/>
      <c r="N82" s="372"/>
      <c r="O82" s="372"/>
      <c r="P82" s="372"/>
      <c r="Q82" s="372"/>
      <c r="R82" s="372"/>
      <c r="S82" s="372"/>
      <c r="T82" s="372"/>
      <c r="U82" s="372"/>
      <c r="V82" s="372"/>
      <c r="W82" s="372"/>
      <c r="X82" s="372"/>
      <c r="Y82" s="372"/>
      <c r="Z82" s="372"/>
      <c r="AA82" s="372"/>
      <c r="AB82" s="372"/>
      <c r="AC82" s="372"/>
    </row>
    <row r="83" spans="1:40">
      <c r="A83" s="21" t="s">
        <v>73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:AC83" si="23">SUM(F17,F22,F25,F31,F34,F60,F65,F76,F80,F82)</f>
        <v>45.449999999999996</v>
      </c>
      <c r="G83" s="28">
        <f t="shared" si="23"/>
        <v>42.99</v>
      </c>
      <c r="H83" s="28">
        <f t="shared" si="23"/>
        <v>40.830000000000005</v>
      </c>
      <c r="I83" s="28">
        <f t="shared" si="23"/>
        <v>39.629999999999995</v>
      </c>
      <c r="J83" s="28">
        <f t="shared" si="23"/>
        <v>38.15</v>
      </c>
      <c r="K83" s="28">
        <f t="shared" si="23"/>
        <v>38.58</v>
      </c>
      <c r="L83" s="28">
        <f t="shared" si="23"/>
        <v>39.489999999999995</v>
      </c>
      <c r="M83" s="28">
        <f t="shared" si="23"/>
        <v>38.86999999999999</v>
      </c>
      <c r="N83" s="28">
        <f>SUM(N17,N22,N25,N31,N34,N60,N65,N76,N80,N82)</f>
        <v>42.49</v>
      </c>
      <c r="O83" s="28">
        <f>SUM(O17,O22,O25,O31,O34,O60,O65,O76,O80,O82)</f>
        <v>46.77</v>
      </c>
      <c r="P83" s="28">
        <f t="shared" si="23"/>
        <v>50.52</v>
      </c>
      <c r="Q83" s="28">
        <f t="shared" si="23"/>
        <v>51.720000000000006</v>
      </c>
      <c r="R83" s="28">
        <f t="shared" si="23"/>
        <v>52.87</v>
      </c>
      <c r="S83" s="28">
        <f t="shared" si="23"/>
        <v>54.33</v>
      </c>
      <c r="T83" s="28">
        <f t="shared" si="23"/>
        <v>55.8</v>
      </c>
      <c r="U83" s="28">
        <f>SUM(U17,U22,U25,U31,U34,U60,U65,U76,U80,U82)</f>
        <v>55.71</v>
      </c>
      <c r="V83" s="28">
        <f t="shared" si="23"/>
        <v>54.499999999999993</v>
      </c>
      <c r="W83" s="28">
        <f t="shared" si="23"/>
        <v>53.250000000000007</v>
      </c>
      <c r="X83" s="28">
        <f t="shared" si="23"/>
        <v>55.95</v>
      </c>
      <c r="Y83" s="28">
        <f t="shared" si="23"/>
        <v>61.099999999999994</v>
      </c>
      <c r="Z83" s="28">
        <f t="shared" si="23"/>
        <v>58.35</v>
      </c>
      <c r="AA83" s="28">
        <f t="shared" si="23"/>
        <v>56.44</v>
      </c>
      <c r="AB83" s="28">
        <f t="shared" si="23"/>
        <v>52.57</v>
      </c>
      <c r="AC83" s="28">
        <f t="shared" si="23"/>
        <v>49.250000000000007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25" t="s">
        <v>74</v>
      </c>
      <c r="B85" s="525"/>
      <c r="C85" s="525"/>
      <c r="D85" s="525"/>
      <c r="E85" s="525"/>
      <c r="F85" s="525"/>
      <c r="G85" s="525"/>
      <c r="H85" s="525"/>
      <c r="I85" s="525"/>
      <c r="J85" s="525"/>
      <c r="K85" s="525"/>
      <c r="L85" s="525"/>
      <c r="M85" s="525"/>
      <c r="N85" s="525"/>
      <c r="O85" s="525"/>
      <c r="P85" s="525"/>
      <c r="Q85" s="525"/>
      <c r="R85" s="525"/>
      <c r="S85" s="525"/>
      <c r="T85" s="525"/>
      <c r="U85" s="525"/>
      <c r="V85" s="525"/>
      <c r="W85" s="525"/>
      <c r="X85" s="525"/>
      <c r="Y85" s="525"/>
      <c r="Z85" s="525"/>
      <c r="AA85" s="525"/>
      <c r="AB85" s="525"/>
      <c r="AC85" s="525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</row>
    <row r="87" spans="1:40" ht="17.45">
      <c r="A87" s="500" t="s">
        <v>75</v>
      </c>
      <c r="B87" s="501"/>
      <c r="C87" s="502"/>
      <c r="D87" s="49"/>
      <c r="E87" s="49"/>
      <c r="F87" s="506" t="s">
        <v>76</v>
      </c>
      <c r="G87" s="506"/>
      <c r="H87" s="506"/>
      <c r="I87" s="506"/>
      <c r="J87" s="506"/>
      <c r="K87" s="506"/>
      <c r="L87" s="506"/>
      <c r="M87" s="506"/>
      <c r="N87" s="506"/>
      <c r="O87" s="506"/>
      <c r="P87" s="506"/>
      <c r="Q87" s="506"/>
      <c r="R87" s="506"/>
      <c r="S87" s="506"/>
      <c r="T87" s="506"/>
      <c r="U87" s="506"/>
      <c r="V87" s="506"/>
      <c r="W87" s="506"/>
      <c r="X87" s="506"/>
      <c r="Y87" s="506"/>
      <c r="Z87" s="506"/>
      <c r="AA87" s="506"/>
      <c r="AB87" s="506"/>
      <c r="AC87" s="506"/>
      <c r="AD87" s="5"/>
      <c r="AE87" s="5"/>
      <c r="AF87" s="5"/>
      <c r="AG87" s="5"/>
      <c r="AH87" s="5"/>
    </row>
    <row r="88" spans="1:40" ht="15.6" customHeight="1">
      <c r="A88" s="503"/>
      <c r="B88" s="504"/>
      <c r="C88" s="505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07" t="s">
        <v>27</v>
      </c>
      <c r="B89" s="508"/>
      <c r="C89" s="509"/>
      <c r="D89" s="45"/>
      <c r="E89" s="45"/>
      <c r="F89" s="64">
        <f t="shared" ref="F89:AC89" si="24">SUM(F22,F25)</f>
        <v>10.399999999999999</v>
      </c>
      <c r="G89" s="64">
        <f t="shared" si="24"/>
        <v>9.6</v>
      </c>
      <c r="H89" s="64">
        <f t="shared" si="24"/>
        <v>6.6</v>
      </c>
      <c r="I89" s="64">
        <f t="shared" si="24"/>
        <v>6.6</v>
      </c>
      <c r="J89" s="64">
        <f t="shared" si="24"/>
        <v>5.5</v>
      </c>
      <c r="K89" s="64">
        <f t="shared" si="24"/>
        <v>3.8</v>
      </c>
      <c r="L89" s="64">
        <f t="shared" si="24"/>
        <v>0</v>
      </c>
      <c r="M89" s="64">
        <f t="shared" si="24"/>
        <v>0</v>
      </c>
      <c r="N89" s="64">
        <f t="shared" si="24"/>
        <v>2.8</v>
      </c>
      <c r="O89" s="64">
        <f t="shared" si="24"/>
        <v>5</v>
      </c>
      <c r="P89" s="64">
        <f t="shared" si="24"/>
        <v>8.1</v>
      </c>
      <c r="Q89" s="64">
        <f t="shared" si="24"/>
        <v>10.399999999999999</v>
      </c>
      <c r="R89" s="64">
        <f t="shared" si="24"/>
        <v>10.399999999999999</v>
      </c>
      <c r="S89" s="64">
        <f t="shared" si="24"/>
        <v>10.399999999999999</v>
      </c>
      <c r="T89" s="64">
        <f t="shared" si="24"/>
        <v>10.399999999999999</v>
      </c>
      <c r="U89" s="64">
        <f t="shared" si="24"/>
        <v>10.399999999999999</v>
      </c>
      <c r="V89" s="64">
        <f t="shared" si="24"/>
        <v>10.199999999999999</v>
      </c>
      <c r="W89" s="64">
        <f t="shared" si="24"/>
        <v>10.399999999999999</v>
      </c>
      <c r="X89" s="64">
        <f t="shared" si="24"/>
        <v>10.399999999999999</v>
      </c>
      <c r="Y89" s="64">
        <f t="shared" si="24"/>
        <v>10.399999999999999</v>
      </c>
      <c r="Z89" s="64">
        <f t="shared" si="24"/>
        <v>10.399999999999999</v>
      </c>
      <c r="AA89" s="64">
        <f t="shared" si="24"/>
        <v>8.8000000000000007</v>
      </c>
      <c r="AB89" s="64">
        <f t="shared" si="24"/>
        <v>8</v>
      </c>
      <c r="AC89" s="64">
        <f t="shared" si="24"/>
        <v>8.8000000000000007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521" t="s">
        <v>77</v>
      </c>
      <c r="B90" s="521"/>
      <c r="C90" s="522"/>
      <c r="D90" s="45"/>
      <c r="E90" s="45"/>
      <c r="F90" s="68">
        <v>0.20399999999999999</v>
      </c>
      <c r="G90" s="68">
        <v>0.2</v>
      </c>
      <c r="H90" s="68"/>
      <c r="I90" s="68"/>
      <c r="J90" s="68"/>
      <c r="K90" s="68"/>
      <c r="L90" s="68"/>
      <c r="M90" s="68"/>
      <c r="N90" s="68"/>
      <c r="O90" s="68"/>
      <c r="P90" s="68">
        <v>0.193</v>
      </c>
      <c r="Q90" s="68">
        <v>0.2</v>
      </c>
      <c r="R90" s="68">
        <v>0.246</v>
      </c>
      <c r="S90" s="68">
        <v>0.23699999999999999</v>
      </c>
      <c r="T90" s="68">
        <v>0.20499999999999999</v>
      </c>
      <c r="U90" s="68">
        <v>0.23300000000000001</v>
      </c>
      <c r="V90" s="68">
        <v>0.23599999999999999</v>
      </c>
      <c r="W90" s="68">
        <v>0.222</v>
      </c>
      <c r="X90" s="68">
        <v>0.221</v>
      </c>
      <c r="Y90" s="68">
        <v>0.21299999999999999</v>
      </c>
      <c r="Z90" s="68">
        <v>0.245</v>
      </c>
      <c r="AA90" s="68">
        <v>0.248</v>
      </c>
      <c r="AB90" s="68">
        <v>0.22600000000000001</v>
      </c>
      <c r="AC90" s="68">
        <v>0.24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07" t="s">
        <v>78</v>
      </c>
      <c r="B91" s="508"/>
      <c r="C91" s="509"/>
      <c r="D91" s="45"/>
      <c r="E91" s="45"/>
      <c r="F91" s="64">
        <f t="shared" ref="F91:AC91" si="25">F17</f>
        <v>13.4</v>
      </c>
      <c r="G91" s="64">
        <f t="shared" si="25"/>
        <v>13.3</v>
      </c>
      <c r="H91" s="64">
        <f t="shared" si="25"/>
        <v>13.4</v>
      </c>
      <c r="I91" s="64">
        <f t="shared" si="25"/>
        <v>13.4</v>
      </c>
      <c r="J91" s="64">
        <f t="shared" si="25"/>
        <v>13.2</v>
      </c>
      <c r="K91" s="64">
        <f t="shared" si="25"/>
        <v>15.3</v>
      </c>
      <c r="L91" s="64">
        <f t="shared" si="25"/>
        <v>19.5</v>
      </c>
      <c r="M91" s="64">
        <f t="shared" si="25"/>
        <v>18.899999999999999</v>
      </c>
      <c r="N91" s="64">
        <f t="shared" si="25"/>
        <v>19.5</v>
      </c>
      <c r="O91" s="64">
        <f t="shared" si="25"/>
        <v>19.5</v>
      </c>
      <c r="P91" s="64">
        <f t="shared" si="25"/>
        <v>20.100000000000001</v>
      </c>
      <c r="Q91" s="64">
        <f t="shared" si="25"/>
        <v>20.100000000000001</v>
      </c>
      <c r="R91" s="64">
        <f t="shared" si="25"/>
        <v>20.399999999999999</v>
      </c>
      <c r="S91" s="64">
        <f t="shared" si="25"/>
        <v>19.799999999999997</v>
      </c>
      <c r="T91" s="64">
        <f t="shared" si="25"/>
        <v>19.5</v>
      </c>
      <c r="U91" s="64">
        <f t="shared" si="25"/>
        <v>19.5</v>
      </c>
      <c r="V91" s="64">
        <f t="shared" si="25"/>
        <v>19.5</v>
      </c>
      <c r="W91" s="64">
        <f t="shared" si="25"/>
        <v>20.100000000000001</v>
      </c>
      <c r="X91" s="64">
        <f t="shared" si="25"/>
        <v>20.399999999999999</v>
      </c>
      <c r="Y91" s="64">
        <f t="shared" si="25"/>
        <v>19.799999999999997</v>
      </c>
      <c r="Z91" s="64">
        <f t="shared" si="25"/>
        <v>20.100000000000001</v>
      </c>
      <c r="AA91" s="64">
        <f t="shared" si="25"/>
        <v>20</v>
      </c>
      <c r="AB91" s="64">
        <f t="shared" si="25"/>
        <v>20</v>
      </c>
      <c r="AC91" s="64">
        <f t="shared" si="25"/>
        <v>20.100000000000001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21" t="s">
        <v>79</v>
      </c>
      <c r="B92" s="521"/>
      <c r="C92" s="522"/>
      <c r="D92" s="45"/>
      <c r="E92" s="45"/>
      <c r="F92" s="68">
        <v>0.76500000000000001</v>
      </c>
      <c r="G92" s="68">
        <v>0.79500000000000004</v>
      </c>
      <c r="H92" s="68">
        <v>0.58599999999999997</v>
      </c>
      <c r="I92" s="68">
        <v>0.61199999999999999</v>
      </c>
      <c r="J92" s="68">
        <v>0.755</v>
      </c>
      <c r="K92" s="68">
        <v>0.68799999999999994</v>
      </c>
      <c r="L92" s="68">
        <v>0.60499999999999998</v>
      </c>
      <c r="M92" s="68">
        <v>0.79900000000000004</v>
      </c>
      <c r="N92" s="68">
        <v>0.75</v>
      </c>
      <c r="O92" s="68">
        <v>0.79900000000000004</v>
      </c>
      <c r="P92" s="68">
        <v>0.74099999999999999</v>
      </c>
      <c r="Q92" s="68">
        <v>0.80100000000000005</v>
      </c>
      <c r="R92" s="68">
        <v>0.82099999999999995</v>
      </c>
      <c r="S92" s="68">
        <v>0.71099999999999997</v>
      </c>
      <c r="T92" s="68">
        <v>0.73299999999999998</v>
      </c>
      <c r="U92" s="68">
        <v>0.72799999999999998</v>
      </c>
      <c r="V92" s="68">
        <v>0.70099999999999996</v>
      </c>
      <c r="W92" s="68">
        <v>0.81100000000000005</v>
      </c>
      <c r="X92" s="68">
        <v>0.89900000000000002</v>
      </c>
      <c r="Y92" s="68">
        <v>0.81</v>
      </c>
      <c r="Z92" s="68">
        <v>0.65</v>
      </c>
      <c r="AA92" s="68">
        <v>0.76200000000000001</v>
      </c>
      <c r="AB92" s="68">
        <v>0.91100000000000003</v>
      </c>
      <c r="AC92" s="68">
        <v>0.89100000000000001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07" t="s">
        <v>29</v>
      </c>
      <c r="B93" s="508"/>
      <c r="C93" s="509"/>
      <c r="D93" s="45"/>
      <c r="E93" s="45"/>
      <c r="F93" s="65">
        <f t="shared" ref="F93:AC93" si="26">F31</f>
        <v>4</v>
      </c>
      <c r="G93" s="65">
        <f t="shared" si="26"/>
        <v>4</v>
      </c>
      <c r="H93" s="65">
        <f t="shared" si="26"/>
        <v>4.0999999999999996</v>
      </c>
      <c r="I93" s="65">
        <f t="shared" si="26"/>
        <v>3.7</v>
      </c>
      <c r="J93" s="65">
        <f t="shared" si="26"/>
        <v>3.5</v>
      </c>
      <c r="K93" s="65">
        <f t="shared" si="26"/>
        <v>3.5</v>
      </c>
      <c r="L93" s="65">
        <f t="shared" si="26"/>
        <v>4</v>
      </c>
      <c r="M93" s="65">
        <f t="shared" si="26"/>
        <v>3.9</v>
      </c>
      <c r="N93" s="65">
        <f t="shared" si="26"/>
        <v>4</v>
      </c>
      <c r="O93" s="65">
        <f t="shared" si="26"/>
        <v>3.9</v>
      </c>
      <c r="P93" s="65">
        <f t="shared" si="26"/>
        <v>3.9</v>
      </c>
      <c r="Q93" s="65">
        <f t="shared" si="26"/>
        <v>4.2</v>
      </c>
      <c r="R93" s="65">
        <f t="shared" si="26"/>
        <v>4.3</v>
      </c>
      <c r="S93" s="65">
        <f t="shared" si="26"/>
        <v>4.0999999999999996</v>
      </c>
      <c r="T93" s="65">
        <f>T31</f>
        <v>9.6</v>
      </c>
      <c r="U93" s="65">
        <f t="shared" si="26"/>
        <v>8.8000000000000007</v>
      </c>
      <c r="V93" s="65">
        <f t="shared" si="26"/>
        <v>8.5</v>
      </c>
      <c r="W93" s="65">
        <f t="shared" si="26"/>
        <v>6.5</v>
      </c>
      <c r="X93" s="65">
        <f t="shared" si="26"/>
        <v>8.6999999999999993</v>
      </c>
      <c r="Y93" s="65">
        <f t="shared" si="26"/>
        <v>10.6</v>
      </c>
      <c r="Z93" s="65">
        <f t="shared" si="26"/>
        <v>11</v>
      </c>
      <c r="AA93" s="65">
        <f t="shared" si="26"/>
        <v>10.9</v>
      </c>
      <c r="AB93" s="65">
        <f t="shared" si="26"/>
        <v>8</v>
      </c>
      <c r="AC93" s="65">
        <f t="shared" si="26"/>
        <v>4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21" t="s">
        <v>80</v>
      </c>
      <c r="B94" s="521"/>
      <c r="C94" s="522"/>
      <c r="D94" s="45"/>
      <c r="E94" s="45"/>
      <c r="F94" s="68">
        <v>0.16600000000000001</v>
      </c>
      <c r="G94" s="68">
        <v>0.156</v>
      </c>
      <c r="H94" s="68">
        <v>0.14499999999999999</v>
      </c>
      <c r="I94" s="68">
        <v>0.14499999999999999</v>
      </c>
      <c r="J94" s="68">
        <v>0.16500000000000001</v>
      </c>
      <c r="K94" s="68">
        <v>0.14499999999999999</v>
      </c>
      <c r="L94" s="68">
        <v>0.16</v>
      </c>
      <c r="M94" s="68">
        <v>0.16400000000000001</v>
      </c>
      <c r="N94" s="68">
        <v>0.16900000000000001</v>
      </c>
      <c r="O94" s="68">
        <v>0.158</v>
      </c>
      <c r="P94" s="68">
        <v>0.19900000000000001</v>
      </c>
      <c r="Q94" s="68">
        <v>0.191</v>
      </c>
      <c r="R94" s="68">
        <v>0.193</v>
      </c>
      <c r="S94" s="68">
        <v>0.20100000000000001</v>
      </c>
      <c r="T94" s="68">
        <v>0.192</v>
      </c>
      <c r="U94" s="68">
        <v>0.20799999999999999</v>
      </c>
      <c r="V94" s="68">
        <v>0.19500000000000001</v>
      </c>
      <c r="W94" s="68">
        <v>0.19500000000000001</v>
      </c>
      <c r="X94" s="68">
        <v>0.19500000000000001</v>
      </c>
      <c r="Y94" s="68">
        <v>0.19700000000000001</v>
      </c>
      <c r="Z94" s="68">
        <v>0.17799999999999999</v>
      </c>
      <c r="AA94" s="68">
        <v>0.18</v>
      </c>
      <c r="AB94" s="68">
        <v>0.155</v>
      </c>
      <c r="AC94" s="68">
        <v>0.16400000000000001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07" t="s">
        <v>32</v>
      </c>
      <c r="B95" s="508"/>
      <c r="C95" s="509"/>
      <c r="D95" s="45"/>
      <c r="E95" s="45"/>
      <c r="F95" s="65">
        <f t="shared" ref="F95:AC95" si="27">F34</f>
        <v>14.33</v>
      </c>
      <c r="G95" s="65">
        <f t="shared" si="27"/>
        <v>14.29</v>
      </c>
      <c r="H95" s="65">
        <f t="shared" si="27"/>
        <v>14.29</v>
      </c>
      <c r="I95" s="65">
        <f t="shared" si="27"/>
        <v>14.28</v>
      </c>
      <c r="J95" s="65">
        <f t="shared" si="27"/>
        <v>14.31</v>
      </c>
      <c r="K95" s="65">
        <f t="shared" si="27"/>
        <v>14.32</v>
      </c>
      <c r="L95" s="65">
        <f t="shared" si="27"/>
        <v>14.29</v>
      </c>
      <c r="M95" s="65">
        <f t="shared" si="27"/>
        <v>14.3</v>
      </c>
      <c r="N95" s="65">
        <f t="shared" si="27"/>
        <v>14.29</v>
      </c>
      <c r="O95" s="65">
        <f t="shared" si="27"/>
        <v>14.27</v>
      </c>
      <c r="P95" s="65">
        <f t="shared" si="27"/>
        <v>14.29</v>
      </c>
      <c r="Q95" s="65">
        <f t="shared" si="27"/>
        <v>14.3</v>
      </c>
      <c r="R95" s="65">
        <f t="shared" si="27"/>
        <v>14.29</v>
      </c>
      <c r="S95" s="65">
        <f t="shared" si="27"/>
        <v>14.27</v>
      </c>
      <c r="T95" s="65">
        <f t="shared" si="27"/>
        <v>14.26</v>
      </c>
      <c r="U95" s="65">
        <f t="shared" si="27"/>
        <v>14.29</v>
      </c>
      <c r="V95" s="65">
        <f t="shared" si="27"/>
        <v>14.27</v>
      </c>
      <c r="W95" s="65">
        <f t="shared" si="27"/>
        <v>14.28</v>
      </c>
      <c r="X95" s="65">
        <f t="shared" si="27"/>
        <v>14.29</v>
      </c>
      <c r="Y95" s="65">
        <f t="shared" si="27"/>
        <v>14.29</v>
      </c>
      <c r="Z95" s="65">
        <f t="shared" si="27"/>
        <v>14.28</v>
      </c>
      <c r="AA95" s="65">
        <f t="shared" si="27"/>
        <v>14.29</v>
      </c>
      <c r="AB95" s="65">
        <f t="shared" si="27"/>
        <v>14.28</v>
      </c>
      <c r="AC95" s="65">
        <f t="shared" si="27"/>
        <v>14.29</v>
      </c>
      <c r="AG95" s="5"/>
      <c r="AH95" s="5"/>
      <c r="AI95" s="5"/>
      <c r="AJ95" s="5"/>
      <c r="AK95" s="5"/>
      <c r="AL95" s="5"/>
      <c r="AM95" s="5"/>
      <c r="AN95" s="5"/>
    </row>
    <row r="96" spans="1:40" s="67" customFormat="1" ht="17.45">
      <c r="A96" s="521" t="s">
        <v>81</v>
      </c>
      <c r="B96" s="521"/>
      <c r="C96" s="522"/>
      <c r="D96" s="68"/>
      <c r="E96" s="68"/>
      <c r="F96" s="68">
        <v>0.67</v>
      </c>
      <c r="G96" s="68">
        <v>0.71</v>
      </c>
      <c r="H96" s="68">
        <v>0.71</v>
      </c>
      <c r="I96" s="68">
        <v>0.72</v>
      </c>
      <c r="J96" s="68">
        <v>0.69</v>
      </c>
      <c r="K96" s="68">
        <v>0.68</v>
      </c>
      <c r="L96" s="68">
        <v>0.71</v>
      </c>
      <c r="M96" s="68">
        <v>0.7</v>
      </c>
      <c r="N96" s="68">
        <v>0.71</v>
      </c>
      <c r="O96" s="68">
        <v>0.73</v>
      </c>
      <c r="P96" s="68">
        <v>0.71</v>
      </c>
      <c r="Q96" s="68">
        <v>0.7</v>
      </c>
      <c r="R96" s="68">
        <v>0.71</v>
      </c>
      <c r="S96" s="68">
        <v>0.73</v>
      </c>
      <c r="T96" s="68">
        <v>0.74</v>
      </c>
      <c r="U96" s="68">
        <v>0.71</v>
      </c>
      <c r="V96" s="68">
        <v>0.73</v>
      </c>
      <c r="W96" s="68">
        <v>0.72</v>
      </c>
      <c r="X96" s="68">
        <v>0.71</v>
      </c>
      <c r="Y96" s="68">
        <v>0.71</v>
      </c>
      <c r="Z96" s="68">
        <v>0.72</v>
      </c>
      <c r="AA96" s="68">
        <v>0.71</v>
      </c>
      <c r="AB96" s="68">
        <v>0.72</v>
      </c>
      <c r="AC96" s="68">
        <v>0.71</v>
      </c>
      <c r="AD96" s="69"/>
      <c r="AE96" s="69"/>
      <c r="AF96" s="69"/>
      <c r="AG96" s="69"/>
      <c r="AH96" s="69"/>
      <c r="AI96" s="69"/>
      <c r="AJ96" s="69"/>
      <c r="AK96" s="69"/>
    </row>
    <row r="97" spans="1:124" ht="17.45">
      <c r="A97" s="507" t="s">
        <v>33</v>
      </c>
      <c r="B97" s="508"/>
      <c r="C97" s="509"/>
      <c r="D97" s="45"/>
      <c r="E97" s="45"/>
      <c r="F97" s="64">
        <f t="shared" ref="F97:AC97" si="28">F60</f>
        <v>1.4</v>
      </c>
      <c r="G97" s="64">
        <f t="shared" si="28"/>
        <v>0</v>
      </c>
      <c r="H97" s="64">
        <f t="shared" si="28"/>
        <v>0.7</v>
      </c>
      <c r="I97" s="64">
        <f t="shared" si="28"/>
        <v>0</v>
      </c>
      <c r="J97" s="64">
        <f t="shared" si="28"/>
        <v>0</v>
      </c>
      <c r="K97" s="64">
        <f t="shared" si="28"/>
        <v>0</v>
      </c>
      <c r="L97" s="64">
        <f t="shared" si="28"/>
        <v>0</v>
      </c>
      <c r="M97" s="64">
        <f t="shared" si="28"/>
        <v>0</v>
      </c>
      <c r="N97" s="64">
        <f t="shared" si="28"/>
        <v>0</v>
      </c>
      <c r="O97" s="64">
        <f t="shared" si="28"/>
        <v>2.0999999999999996</v>
      </c>
      <c r="P97" s="64">
        <f t="shared" si="28"/>
        <v>2.0999999999999996</v>
      </c>
      <c r="Q97" s="64">
        <f t="shared" si="28"/>
        <v>0.7</v>
      </c>
      <c r="R97" s="64">
        <f t="shared" si="28"/>
        <v>1.4</v>
      </c>
      <c r="S97" s="64">
        <f t="shared" si="28"/>
        <v>3.67</v>
      </c>
      <c r="T97" s="64">
        <f t="shared" si="28"/>
        <v>0</v>
      </c>
      <c r="U97" s="64">
        <f t="shared" si="28"/>
        <v>0.7</v>
      </c>
      <c r="V97" s="64">
        <f t="shared" si="28"/>
        <v>0</v>
      </c>
      <c r="W97" s="64">
        <f t="shared" si="28"/>
        <v>0</v>
      </c>
      <c r="X97" s="64">
        <f t="shared" si="28"/>
        <v>0</v>
      </c>
      <c r="Y97" s="64">
        <f t="shared" si="28"/>
        <v>3.5</v>
      </c>
      <c r="Z97" s="64">
        <f t="shared" si="28"/>
        <v>0</v>
      </c>
      <c r="AA97" s="64">
        <f t="shared" si="28"/>
        <v>0</v>
      </c>
      <c r="AB97" s="64">
        <f t="shared" si="28"/>
        <v>0</v>
      </c>
      <c r="AC97" s="64">
        <f t="shared" si="28"/>
        <v>0</v>
      </c>
      <c r="AG97" s="5"/>
      <c r="AH97" s="5"/>
      <c r="AI97" s="5"/>
      <c r="AJ97" s="5"/>
      <c r="AK97" s="5"/>
      <c r="AL97" s="5"/>
      <c r="AM97" s="5"/>
      <c r="AN97" s="5"/>
    </row>
    <row r="98" spans="1:124" ht="17.45">
      <c r="A98" s="507" t="s">
        <v>55</v>
      </c>
      <c r="B98" s="508"/>
      <c r="C98" s="509"/>
      <c r="D98" s="45"/>
      <c r="E98" s="45"/>
      <c r="F98" s="64">
        <f t="shared" ref="F98:AC98" si="29">F65</f>
        <v>1.1200000000000001</v>
      </c>
      <c r="G98" s="64">
        <f t="shared" si="29"/>
        <v>1.03</v>
      </c>
      <c r="H98" s="64">
        <f t="shared" si="29"/>
        <v>0.99</v>
      </c>
      <c r="I98" s="64">
        <f t="shared" si="29"/>
        <v>0.94</v>
      </c>
      <c r="J98" s="64">
        <f t="shared" si="29"/>
        <v>0.92</v>
      </c>
      <c r="K98" s="64">
        <f t="shared" si="29"/>
        <v>0.94</v>
      </c>
      <c r="L98" s="64">
        <f t="shared" si="29"/>
        <v>0.98</v>
      </c>
      <c r="M98" s="64">
        <f t="shared" si="29"/>
        <v>1.05</v>
      </c>
      <c r="N98" s="64">
        <f t="shared" si="29"/>
        <v>1.19</v>
      </c>
      <c r="O98" s="64">
        <f t="shared" si="29"/>
        <v>1.23</v>
      </c>
      <c r="P98" s="64">
        <f t="shared" si="29"/>
        <v>1.22</v>
      </c>
      <c r="Q98" s="64">
        <f t="shared" si="29"/>
        <v>1.24</v>
      </c>
      <c r="R98" s="64">
        <f t="shared" si="29"/>
        <v>1.28</v>
      </c>
      <c r="S98" s="64">
        <f t="shared" si="29"/>
        <v>1.28</v>
      </c>
      <c r="T98" s="64">
        <f t="shared" si="29"/>
        <v>1.24</v>
      </c>
      <c r="U98" s="64">
        <f t="shared" si="29"/>
        <v>1.19</v>
      </c>
      <c r="V98" s="64">
        <f t="shared" si="29"/>
        <v>1.23</v>
      </c>
      <c r="W98" s="64">
        <f t="shared" si="29"/>
        <v>1.2</v>
      </c>
      <c r="X98" s="64">
        <f t="shared" si="29"/>
        <v>1.34</v>
      </c>
      <c r="Y98" s="64">
        <f t="shared" si="29"/>
        <v>1.61</v>
      </c>
      <c r="Z98" s="64">
        <f t="shared" si="29"/>
        <v>1.65</v>
      </c>
      <c r="AA98" s="64">
        <f t="shared" si="29"/>
        <v>1.55</v>
      </c>
      <c r="AB98" s="64">
        <f t="shared" si="29"/>
        <v>1.42</v>
      </c>
      <c r="AC98" s="64">
        <f t="shared" si="29"/>
        <v>1.24</v>
      </c>
      <c r="AG98" s="5"/>
      <c r="AH98" s="5"/>
      <c r="AI98" s="5"/>
      <c r="AJ98" s="5"/>
      <c r="AK98" s="5"/>
      <c r="AL98" s="5"/>
      <c r="AM98" s="5"/>
      <c r="AN98" s="5"/>
    </row>
    <row r="99" spans="1:124" s="2" customFormat="1" ht="17.45">
      <c r="A99" s="507" t="s">
        <v>59</v>
      </c>
      <c r="B99" s="508"/>
      <c r="C99" s="509"/>
      <c r="D99" s="45"/>
      <c r="E99" s="45"/>
      <c r="F99" s="64">
        <f t="shared" ref="F99:AC99" si="30">F76</f>
        <v>0</v>
      </c>
      <c r="G99" s="64">
        <f t="shared" si="30"/>
        <v>0</v>
      </c>
      <c r="H99" s="64">
        <f t="shared" si="30"/>
        <v>0</v>
      </c>
      <c r="I99" s="64">
        <f t="shared" si="30"/>
        <v>0</v>
      </c>
      <c r="J99" s="64">
        <f t="shared" si="30"/>
        <v>0</v>
      </c>
      <c r="K99" s="64">
        <f t="shared" si="30"/>
        <v>0</v>
      </c>
      <c r="L99" s="64">
        <f t="shared" si="30"/>
        <v>0</v>
      </c>
      <c r="M99" s="64">
        <f t="shared" si="30"/>
        <v>0</v>
      </c>
      <c r="N99" s="64">
        <f t="shared" si="30"/>
        <v>0</v>
      </c>
      <c r="O99" s="64">
        <f t="shared" si="30"/>
        <v>0</v>
      </c>
      <c r="P99" s="64">
        <f t="shared" si="30"/>
        <v>0</v>
      </c>
      <c r="Q99" s="64">
        <f t="shared" si="30"/>
        <v>0</v>
      </c>
      <c r="R99" s="64">
        <f t="shared" si="30"/>
        <v>0</v>
      </c>
      <c r="S99" s="64">
        <f t="shared" si="30"/>
        <v>0</v>
      </c>
      <c r="T99" s="64">
        <f t="shared" si="30"/>
        <v>0</v>
      </c>
      <c r="U99" s="64">
        <f t="shared" si="30"/>
        <v>0</v>
      </c>
      <c r="V99" s="64">
        <f t="shared" si="30"/>
        <v>0</v>
      </c>
      <c r="W99" s="64">
        <f t="shared" si="30"/>
        <v>0</v>
      </c>
      <c r="X99" s="64">
        <f t="shared" si="30"/>
        <v>0</v>
      </c>
      <c r="Y99" s="64">
        <f t="shared" si="30"/>
        <v>0</v>
      </c>
      <c r="Z99" s="64">
        <f t="shared" si="30"/>
        <v>0</v>
      </c>
      <c r="AA99" s="64">
        <f t="shared" si="30"/>
        <v>0</v>
      </c>
      <c r="AB99" s="64">
        <f t="shared" si="30"/>
        <v>0</v>
      </c>
      <c r="AC99" s="64">
        <f t="shared" si="30"/>
        <v>0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>
      <c r="A100" s="507" t="s">
        <v>69</v>
      </c>
      <c r="B100" s="508"/>
      <c r="C100" s="509"/>
      <c r="D100" s="45"/>
      <c r="E100" s="45"/>
      <c r="F100" s="64">
        <f t="shared" ref="F100:AC100" si="31">F80</f>
        <v>0.8</v>
      </c>
      <c r="G100" s="64">
        <f t="shared" si="31"/>
        <v>0.77</v>
      </c>
      <c r="H100" s="64">
        <f t="shared" si="31"/>
        <v>0.75</v>
      </c>
      <c r="I100" s="64">
        <f t="shared" si="31"/>
        <v>0.71</v>
      </c>
      <c r="J100" s="64">
        <f t="shared" si="31"/>
        <v>0.72</v>
      </c>
      <c r="K100" s="64">
        <f t="shared" si="31"/>
        <v>0.72</v>
      </c>
      <c r="L100" s="64">
        <f t="shared" si="31"/>
        <v>0.72</v>
      </c>
      <c r="M100" s="64">
        <f t="shared" si="31"/>
        <v>0.72</v>
      </c>
      <c r="N100" s="64">
        <f t="shared" si="31"/>
        <v>0.71</v>
      </c>
      <c r="O100" s="64">
        <f t="shared" si="31"/>
        <v>0.77</v>
      </c>
      <c r="P100" s="64">
        <f t="shared" si="31"/>
        <v>0.81</v>
      </c>
      <c r="Q100" s="64">
        <f t="shared" si="31"/>
        <v>0.78</v>
      </c>
      <c r="R100" s="64">
        <f t="shared" si="31"/>
        <v>0.8</v>
      </c>
      <c r="S100" s="64">
        <f t="shared" si="31"/>
        <v>0.81</v>
      </c>
      <c r="T100" s="64">
        <f t="shared" si="31"/>
        <v>0.8</v>
      </c>
      <c r="U100" s="64">
        <f t="shared" si="31"/>
        <v>0.83</v>
      </c>
      <c r="V100" s="64">
        <f t="shared" si="31"/>
        <v>0.8</v>
      </c>
      <c r="W100" s="64">
        <f t="shared" si="31"/>
        <v>0.77</v>
      </c>
      <c r="X100" s="64">
        <f t="shared" si="31"/>
        <v>0.82</v>
      </c>
      <c r="Y100" s="64">
        <f t="shared" si="31"/>
        <v>0.9</v>
      </c>
      <c r="Z100" s="64">
        <f t="shared" si="31"/>
        <v>0.92</v>
      </c>
      <c r="AA100" s="64">
        <f t="shared" si="31"/>
        <v>0.9</v>
      </c>
      <c r="AB100" s="64">
        <f t="shared" si="31"/>
        <v>0.87</v>
      </c>
      <c r="AC100" s="64">
        <f t="shared" si="31"/>
        <v>0.82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 customHeight="1">
      <c r="A101" s="507" t="s">
        <v>72</v>
      </c>
      <c r="B101" s="508"/>
      <c r="C101" s="509"/>
      <c r="D101" s="45"/>
      <c r="E101" s="45"/>
      <c r="F101" s="64">
        <f t="shared" ref="F101:AC101" si="32">F82</f>
        <v>0</v>
      </c>
      <c r="G101" s="64">
        <f t="shared" si="32"/>
        <v>0</v>
      </c>
      <c r="H101" s="64">
        <f t="shared" si="32"/>
        <v>0</v>
      </c>
      <c r="I101" s="64">
        <f t="shared" si="32"/>
        <v>0</v>
      </c>
      <c r="J101" s="64">
        <f t="shared" si="32"/>
        <v>0</v>
      </c>
      <c r="K101" s="64">
        <f t="shared" si="32"/>
        <v>0</v>
      </c>
      <c r="L101" s="64">
        <f t="shared" si="32"/>
        <v>0</v>
      </c>
      <c r="M101" s="64">
        <f t="shared" si="32"/>
        <v>0</v>
      </c>
      <c r="N101" s="64">
        <f t="shared" si="32"/>
        <v>0</v>
      </c>
      <c r="O101" s="64">
        <f t="shared" si="32"/>
        <v>0</v>
      </c>
      <c r="P101" s="64">
        <f t="shared" si="32"/>
        <v>0</v>
      </c>
      <c r="Q101" s="64">
        <f t="shared" si="32"/>
        <v>0</v>
      </c>
      <c r="R101" s="64">
        <f t="shared" si="32"/>
        <v>0</v>
      </c>
      <c r="S101" s="64">
        <f t="shared" si="32"/>
        <v>0</v>
      </c>
      <c r="T101" s="64">
        <f t="shared" si="32"/>
        <v>0</v>
      </c>
      <c r="U101" s="64">
        <f t="shared" si="32"/>
        <v>0</v>
      </c>
      <c r="V101" s="64">
        <f t="shared" si="32"/>
        <v>0</v>
      </c>
      <c r="W101" s="64">
        <f t="shared" si="32"/>
        <v>0</v>
      </c>
      <c r="X101" s="64">
        <f t="shared" si="32"/>
        <v>0</v>
      </c>
      <c r="Y101" s="64">
        <f t="shared" si="32"/>
        <v>0</v>
      </c>
      <c r="Z101" s="64">
        <f t="shared" si="32"/>
        <v>0</v>
      </c>
      <c r="AA101" s="64">
        <f t="shared" si="32"/>
        <v>0</v>
      </c>
      <c r="AB101" s="64">
        <f t="shared" si="32"/>
        <v>0</v>
      </c>
      <c r="AC101" s="64">
        <f t="shared" si="32"/>
        <v>0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>
      <c r="A102" s="511" t="s">
        <v>82</v>
      </c>
      <c r="B102" s="511"/>
      <c r="C102" s="511"/>
      <c r="D102" s="47"/>
      <c r="E102" s="47"/>
      <c r="F102" s="61">
        <f t="shared" ref="F102:AC102" si="33">SUM(F89,F91,F93,F95,F97:F101,F81)</f>
        <v>45.449999999999989</v>
      </c>
      <c r="G102" s="61">
        <f t="shared" si="33"/>
        <v>42.99</v>
      </c>
      <c r="H102" s="61">
        <f t="shared" si="33"/>
        <v>40.830000000000005</v>
      </c>
      <c r="I102" s="61">
        <f t="shared" si="33"/>
        <v>39.629999999999995</v>
      </c>
      <c r="J102" s="61">
        <f t="shared" si="33"/>
        <v>38.15</v>
      </c>
      <c r="K102" s="61">
        <f>SUM(K89,K91,K93,K95,K97:K101,K81)</f>
        <v>38.58</v>
      </c>
      <c r="L102" s="61">
        <f t="shared" si="33"/>
        <v>39.489999999999995</v>
      </c>
      <c r="M102" s="61">
        <f t="shared" si="33"/>
        <v>38.86999999999999</v>
      </c>
      <c r="N102" s="61">
        <f t="shared" si="33"/>
        <v>42.49</v>
      </c>
      <c r="O102" s="61">
        <f t="shared" si="33"/>
        <v>46.77</v>
      </c>
      <c r="P102" s="61">
        <f t="shared" si="33"/>
        <v>50.52</v>
      </c>
      <c r="Q102" s="61">
        <f t="shared" si="33"/>
        <v>51.720000000000006</v>
      </c>
      <c r="R102" s="61">
        <f t="shared" si="33"/>
        <v>52.86999999999999</v>
      </c>
      <c r="S102" s="61">
        <f>SUM(S89,S91,S93,S95,S97:S101,S81)</f>
        <v>54.33</v>
      </c>
      <c r="T102" s="61">
        <f>SUM(T89,T91,T93,T95,T97:T101,T81)</f>
        <v>55.8</v>
      </c>
      <c r="U102" s="61">
        <f t="shared" si="33"/>
        <v>55.71</v>
      </c>
      <c r="V102" s="61">
        <f t="shared" si="33"/>
        <v>54.499999999999993</v>
      </c>
      <c r="W102" s="61">
        <f t="shared" si="33"/>
        <v>53.250000000000007</v>
      </c>
      <c r="X102" s="61">
        <f>SUM(X89,X91,X93,X95,X97:X101,X81)</f>
        <v>55.95</v>
      </c>
      <c r="Y102" s="61">
        <f t="shared" si="33"/>
        <v>61.099999999999994</v>
      </c>
      <c r="Z102" s="61">
        <f t="shared" si="33"/>
        <v>58.35</v>
      </c>
      <c r="AA102" s="61">
        <f t="shared" si="33"/>
        <v>56.44</v>
      </c>
      <c r="AB102" s="61">
        <f t="shared" si="33"/>
        <v>52.57</v>
      </c>
      <c r="AC102" s="61">
        <f t="shared" si="33"/>
        <v>49.250000000000007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12" t="s">
        <v>83</v>
      </c>
      <c r="B103" s="512"/>
      <c r="C103" s="512"/>
      <c r="D103" s="46"/>
      <c r="E103" s="46"/>
      <c r="F103" s="76"/>
      <c r="G103" s="76"/>
      <c r="H103" s="76"/>
      <c r="I103" s="76"/>
      <c r="J103" s="76"/>
      <c r="K103" s="76"/>
      <c r="L103" s="76"/>
      <c r="M103" s="76"/>
      <c r="N103" s="76"/>
      <c r="O103" s="76"/>
      <c r="P103" s="76"/>
      <c r="Q103" s="76"/>
      <c r="R103" s="76"/>
      <c r="S103" s="76"/>
      <c r="T103" s="76"/>
      <c r="U103" s="76"/>
      <c r="V103" s="76"/>
      <c r="W103" s="76"/>
      <c r="X103" s="76"/>
      <c r="Y103" s="76"/>
      <c r="Z103" s="76"/>
      <c r="AA103" s="76"/>
      <c r="AB103" s="76"/>
      <c r="AC103" s="76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12" t="s">
        <v>84</v>
      </c>
      <c r="B104" s="512"/>
      <c r="C104" s="512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12" t="s">
        <v>85</v>
      </c>
      <c r="B105" s="512"/>
      <c r="C105" s="512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11" t="s">
        <v>86</v>
      </c>
      <c r="B106" s="511"/>
      <c r="C106" s="511"/>
      <c r="D106" s="47"/>
      <c r="E106" s="47"/>
      <c r="F106" s="61">
        <f t="shared" ref="F106:AC106" si="34">SUM(F103:F105)</f>
        <v>0</v>
      </c>
      <c r="G106" s="61">
        <f t="shared" si="34"/>
        <v>0</v>
      </c>
      <c r="H106" s="61">
        <f t="shared" si="34"/>
        <v>0</v>
      </c>
      <c r="I106" s="61">
        <f t="shared" si="34"/>
        <v>0</v>
      </c>
      <c r="J106" s="61">
        <f t="shared" si="34"/>
        <v>0</v>
      </c>
      <c r="K106" s="61">
        <f t="shared" si="34"/>
        <v>0</v>
      </c>
      <c r="L106" s="61">
        <f t="shared" si="34"/>
        <v>0</v>
      </c>
      <c r="M106" s="61">
        <f t="shared" si="34"/>
        <v>0</v>
      </c>
      <c r="N106" s="61">
        <f t="shared" si="34"/>
        <v>0</v>
      </c>
      <c r="O106" s="61">
        <f t="shared" si="34"/>
        <v>0</v>
      </c>
      <c r="P106" s="61">
        <f t="shared" si="34"/>
        <v>0</v>
      </c>
      <c r="Q106" s="61">
        <f t="shared" si="34"/>
        <v>0</v>
      </c>
      <c r="R106" s="61">
        <f t="shared" si="34"/>
        <v>0</v>
      </c>
      <c r="S106" s="61">
        <f t="shared" si="34"/>
        <v>0</v>
      </c>
      <c r="T106" s="61">
        <f t="shared" si="34"/>
        <v>0</v>
      </c>
      <c r="U106" s="61">
        <f t="shared" si="34"/>
        <v>0</v>
      </c>
      <c r="V106" s="61">
        <f t="shared" si="34"/>
        <v>0</v>
      </c>
      <c r="W106" s="61">
        <f t="shared" si="34"/>
        <v>0</v>
      </c>
      <c r="X106" s="61">
        <f t="shared" si="34"/>
        <v>0</v>
      </c>
      <c r="Y106" s="61">
        <f t="shared" si="34"/>
        <v>0</v>
      </c>
      <c r="Z106" s="61">
        <f t="shared" si="34"/>
        <v>0</v>
      </c>
      <c r="AA106" s="61">
        <f t="shared" si="34"/>
        <v>0</v>
      </c>
      <c r="AB106" s="61">
        <f t="shared" si="34"/>
        <v>0</v>
      </c>
      <c r="AC106" s="61">
        <f t="shared" si="34"/>
        <v>0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13" t="s">
        <v>87</v>
      </c>
      <c r="B107" s="513"/>
      <c r="C107" s="513"/>
      <c r="D107" s="48"/>
      <c r="E107" s="48"/>
      <c r="F107" s="62">
        <f t="shared" ref="F107:AC107" si="35">F102+F106</f>
        <v>45.449999999999989</v>
      </c>
      <c r="G107" s="62">
        <f t="shared" si="35"/>
        <v>42.99</v>
      </c>
      <c r="H107" s="62">
        <f t="shared" si="35"/>
        <v>40.830000000000005</v>
      </c>
      <c r="I107" s="62">
        <f t="shared" si="35"/>
        <v>39.629999999999995</v>
      </c>
      <c r="J107" s="62">
        <f t="shared" si="35"/>
        <v>38.15</v>
      </c>
      <c r="K107" s="62">
        <f t="shared" si="35"/>
        <v>38.58</v>
      </c>
      <c r="L107" s="62">
        <f t="shared" si="35"/>
        <v>39.489999999999995</v>
      </c>
      <c r="M107" s="62">
        <f t="shared" si="35"/>
        <v>38.86999999999999</v>
      </c>
      <c r="N107" s="62">
        <f t="shared" si="35"/>
        <v>42.49</v>
      </c>
      <c r="O107" s="62">
        <f t="shared" si="35"/>
        <v>46.77</v>
      </c>
      <c r="P107" s="62">
        <f t="shared" si="35"/>
        <v>50.52</v>
      </c>
      <c r="Q107" s="62">
        <f t="shared" si="35"/>
        <v>51.720000000000006</v>
      </c>
      <c r="R107" s="62">
        <f t="shared" si="35"/>
        <v>52.86999999999999</v>
      </c>
      <c r="S107" s="62">
        <f t="shared" si="35"/>
        <v>54.33</v>
      </c>
      <c r="T107" s="62">
        <f>T102+T106</f>
        <v>55.8</v>
      </c>
      <c r="U107" s="62">
        <f t="shared" si="35"/>
        <v>55.71</v>
      </c>
      <c r="V107" s="62">
        <f t="shared" si="35"/>
        <v>54.499999999999993</v>
      </c>
      <c r="W107" s="62">
        <f>W102+W106</f>
        <v>53.250000000000007</v>
      </c>
      <c r="X107" s="62">
        <f t="shared" si="35"/>
        <v>55.95</v>
      </c>
      <c r="Y107" s="62">
        <f t="shared" si="35"/>
        <v>61.099999999999994</v>
      </c>
      <c r="Z107" s="62">
        <f t="shared" si="35"/>
        <v>58.35</v>
      </c>
      <c r="AA107" s="62">
        <f t="shared" si="35"/>
        <v>56.44</v>
      </c>
      <c r="AB107" s="62">
        <f t="shared" si="35"/>
        <v>52.57</v>
      </c>
      <c r="AC107" s="62">
        <f t="shared" si="35"/>
        <v>49.250000000000007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1" hidden="1">
      <c r="A108" s="514" t="s">
        <v>88</v>
      </c>
      <c r="B108" s="514"/>
      <c r="C108" s="514"/>
      <c r="D108" s="52"/>
      <c r="E108" s="52"/>
      <c r="F108" s="63">
        <f t="shared" ref="F108:AC108" si="36">(COUNT(F13:F16))*7.2+(COUNT(F27:F28)*4.9)+(COUNT(F19:F21)*4.5)-F91-F93</f>
        <v>25.300000000000004</v>
      </c>
      <c r="G108" s="63">
        <f t="shared" si="36"/>
        <v>25.400000000000002</v>
      </c>
      <c r="H108" s="63">
        <f t="shared" si="36"/>
        <v>25.200000000000003</v>
      </c>
      <c r="I108" s="63">
        <f t="shared" si="36"/>
        <v>25.600000000000005</v>
      </c>
      <c r="J108" s="63">
        <f t="shared" si="36"/>
        <v>26.000000000000004</v>
      </c>
      <c r="K108" s="63">
        <f t="shared" si="36"/>
        <v>19.400000000000002</v>
      </c>
      <c r="L108" s="63">
        <f t="shared" si="36"/>
        <v>10.200000000000003</v>
      </c>
      <c r="M108" s="63">
        <f t="shared" si="36"/>
        <v>10.900000000000004</v>
      </c>
      <c r="N108" s="63">
        <f t="shared" si="36"/>
        <v>14.700000000000003</v>
      </c>
      <c r="O108" s="63">
        <f t="shared" si="36"/>
        <v>19.300000000000004</v>
      </c>
      <c r="P108" s="63">
        <f t="shared" si="36"/>
        <v>18.700000000000003</v>
      </c>
      <c r="Q108" s="63">
        <f t="shared" si="36"/>
        <v>18.400000000000002</v>
      </c>
      <c r="R108" s="63">
        <f t="shared" si="36"/>
        <v>18.000000000000004</v>
      </c>
      <c r="S108" s="63">
        <f t="shared" si="36"/>
        <v>18.800000000000004</v>
      </c>
      <c r="T108" s="63">
        <f>(COUNT(T13:T16))*7.2+(COUNT(T27:T28)*4.9)+(COUNT(T19:T21)*4.5)-T91-T93</f>
        <v>6.4</v>
      </c>
      <c r="U108" s="63">
        <f t="shared" si="36"/>
        <v>7.1999999999999993</v>
      </c>
      <c r="V108" s="63">
        <f t="shared" si="36"/>
        <v>7.5</v>
      </c>
      <c r="W108" s="63">
        <f t="shared" si="36"/>
        <v>8.8999999999999986</v>
      </c>
      <c r="X108" s="63">
        <f t="shared" si="36"/>
        <v>6.4000000000000021</v>
      </c>
      <c r="Y108" s="63">
        <f t="shared" si="36"/>
        <v>5.1000000000000032</v>
      </c>
      <c r="Z108" s="63">
        <f t="shared" si="36"/>
        <v>4.3999999999999986</v>
      </c>
      <c r="AA108" s="63">
        <f t="shared" si="36"/>
        <v>4.5999999999999996</v>
      </c>
      <c r="AB108" s="63">
        <f t="shared" si="36"/>
        <v>14.700000000000003</v>
      </c>
      <c r="AC108" s="63">
        <f t="shared" si="36"/>
        <v>18.600000000000001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>
      <c r="A109" s="515" t="s">
        <v>89</v>
      </c>
      <c r="B109" s="516"/>
      <c r="C109" s="517"/>
      <c r="D109" s="204"/>
      <c r="E109" s="204"/>
      <c r="F109" s="205">
        <f t="shared" ref="F109:P109" si="37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2.5999999999999996</v>
      </c>
      <c r="G109" s="205">
        <f t="shared" si="37"/>
        <v>3.5</v>
      </c>
      <c r="H109" s="205">
        <f t="shared" si="37"/>
        <v>1.8000000000000007</v>
      </c>
      <c r="I109" s="205">
        <f t="shared" si="37"/>
        <v>2.2000000000000011</v>
      </c>
      <c r="J109" s="205">
        <f t="shared" si="37"/>
        <v>3.7000000000000011</v>
      </c>
      <c r="K109" s="205">
        <f t="shared" si="37"/>
        <v>7.0000000000000009</v>
      </c>
      <c r="L109" s="205">
        <f t="shared" si="37"/>
        <v>1.6000000000000014</v>
      </c>
      <c r="M109" s="205">
        <f t="shared" si="37"/>
        <v>2.3000000000000029</v>
      </c>
      <c r="N109" s="205">
        <f t="shared" si="37"/>
        <v>3.3000000000000016</v>
      </c>
      <c r="O109" s="205">
        <f t="shared" si="37"/>
        <v>4.7000000000000011</v>
      </c>
      <c r="P109" s="205">
        <f t="shared" si="37"/>
        <v>5.5</v>
      </c>
      <c r="Q109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4.3000000000000007</v>
      </c>
      <c r="R109" s="205">
        <f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3.5000000000000036</v>
      </c>
      <c r="S109" s="205">
        <f t="shared" ref="S109:AB109" si="38">(AND(IF(S13&lt;&gt;0,1,0),IF(S13&lt;&gt;"CMS",1,0))*7.2)+(AND(IF(S14&lt;&gt;0,1,0),IF(S14&lt;&gt;"CMS",1,0))*7.2)+(AND(IF(S15&lt;&gt;0,1,0),IF(S15&lt;&gt;"CMS",1,0))*7.2)+(AND(IF(S16&lt;&gt;0,1,0),IF(S16&lt;&gt;"CMS",1,0))*7.2)-S17
+(AND(IF(S27&lt;&gt;0,1,0),IF(S27&lt;&gt;"CMS",1,0))*4.5)+(AND(IF(S28&lt;&gt;0,1,0),IF(S28&lt;&gt;"CMS",1,0))*4.5)-S31
+AND(IF(S24&lt;&gt;0,1,0),IF(S24&lt;&gt;"CMS",1,0))*4.5-S25
+(AND(IF(S19&lt;&gt;0,1,0),IF(S19&lt;&gt;"CMS",1,0))*3.5)+(AND(IF(S20&lt;&gt;0,1,0),IF(S20&lt;&gt;"CMS",1,0))*4.5)+(AND(IF(S21&lt;&gt;0,1,0),IF(S21&lt;&gt;"CMS",1,0))*4.5)-S22</f>
        <v>4.300000000000006</v>
      </c>
      <c r="T109" s="205">
        <f t="shared" si="38"/>
        <v>-0.89999999999999769</v>
      </c>
      <c r="U109" s="205">
        <f t="shared" si="38"/>
        <v>-9.9999999999998757E-2</v>
      </c>
      <c r="V109" s="205">
        <f t="shared" si="38"/>
        <v>0.40000000000000124</v>
      </c>
      <c r="W109" s="205">
        <f>(AND(IF(W13&lt;&gt;0,1,0),IF(W13&lt;&gt;"CMS",1,0))*7.2)+(AND(IF(W14&lt;&gt;0,1,0),IF(W14&lt;&gt;"CMS",1,0))*7.2)+(AND(IF(W15&lt;&gt;0,1,0),IF(W15&lt;&gt;"CMS",1,0))*7.2)+(AND(IF(W16&lt;&gt;0,1,0),IF(W16&lt;&gt;"CMS",1,0))*7.2)-W17
+(AND(IF(W27&lt;&gt;0,1,0),IF(W27&lt;&gt;"CMS",1,0))*4.5)+(AND(IF(W28&lt;&gt;0,1,0),IF(W28&lt;&gt;"CMS",1,0))*4.5)-W31
+AND(IF(W24&lt;&gt;0,1,0),IF(W24&lt;&gt;"CMS",1,0))*4.5-W25
+(AND(IF(W19&lt;&gt;0,1,0),IF(W19&lt;&gt;"CMS",1,0))*3.5)+(AND(IF(W20&lt;&gt;0,1,0),IF(W20&lt;&gt;"CMS",1,0))*4.5)+(AND(IF(W21&lt;&gt;0,1,0),IF(W21&lt;&gt;"CMS",1,0))*4.5)-W22</f>
        <v>1.5999999999999996</v>
      </c>
      <c r="X109" s="205">
        <f>(AND(IF(X13&lt;&gt;0,1,0),IF(X13&lt;&gt;"CMS",1,0))*7.2)+(AND(IF(X14&lt;&gt;0,1,0),IF(X14&lt;&gt;"CMS",1,0))*7.2)+(AND(IF(X15&lt;&gt;0,1,0),IF(X15&lt;&gt;"CMS",1,0))*7.2)+(AND(IF(X16&lt;&gt;0,1,0),IF(X16&lt;&gt;"CMS",1,0))*7.2)-X17
+(AND(IF(X27&lt;&gt;0,1,0),IF(X27&lt;&gt;"CMS",1,0))*4.5)+(AND(IF(X28&lt;&gt;0,1,0),IF(X28&lt;&gt;"CMS",1,0))*4.5)-X31
+AND(IF(X24&lt;&gt;0,1,0),IF(X24&lt;&gt;"CMS",1,0))*4.5-X25
+(AND(IF(X19&lt;&gt;0,1,0),IF(X19&lt;&gt;"CMS",1,0))*3.5)+(AND(IF(X20&lt;&gt;0,1,0),IF(X20&lt;&gt;"CMS",1,0))*4.5)+(AND(IF(X21&lt;&gt;0,1,0),IF(X21&lt;&gt;"CMS",1,0))*4.5)-X22</f>
        <v>-0.89999999999999591</v>
      </c>
      <c r="Y109" s="205">
        <f t="shared" si="38"/>
        <v>-2.1999999999999948</v>
      </c>
      <c r="Z109" s="205">
        <f t="shared" si="38"/>
        <v>-2.8999999999999995</v>
      </c>
      <c r="AA109" s="205">
        <f t="shared" si="38"/>
        <v>-1.0999999999999988</v>
      </c>
      <c r="AB109" s="205">
        <f t="shared" si="38"/>
        <v>2.6000000000000014</v>
      </c>
      <c r="AC109" s="205">
        <f>(AND(IF(AC13&lt;&gt;0,1,0),IF(AC13&lt;&gt;"CMS",1,0))*7.2)+(AND(IF(AC14&lt;&gt;0,1,0),IF(AC14&lt;&gt;"CMS",1,0))*7.2)+(AND(IF(AC15&lt;&gt;0,1,0),IF(AC15&lt;&gt;"CMS",1,0))*7.2)+(AND(IF(AC16&lt;&gt;0,1,0),IF(AC16&lt;&gt;"CMS",1,0))*7.2)-AC17
+(AND(IF(AC27&lt;&gt;0,1,0),IF(AC27&lt;&gt;"CMS",1,0))*4.5)+(AND(IF(AC28&lt;&gt;0,1,0),IF(AC28&lt;&gt;"CMS",1,0))*4.5)-AC31
+AND(IF(AC24&lt;&gt;0,1,0),IF(AC24&lt;&gt;"CMS",1,0))*4.5-AC25
+(AND(IF(AC19&lt;&gt;0,1,0),IF(AC19&lt;&gt;"CMS",1,0))*3.5)+(AND(IF(AC20&lt;&gt;0,1,0),IF(AC20&lt;&gt;"CMS",1,0))*4.5)+(AND(IF(AC21&lt;&gt;0,1,0),IF(AC21&lt;&gt;"CMS",1,0))*4.5)-AC22</f>
        <v>5.6999999999999993</v>
      </c>
      <c r="AD109" s="26"/>
      <c r="AE109" s="26"/>
      <c r="AF109" s="466"/>
      <c r="AG109" t="s">
        <v>90</v>
      </c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10" t="s">
        <v>91</v>
      </c>
      <c r="B110" s="510"/>
      <c r="C110" s="510"/>
      <c r="D110" s="60"/>
      <c r="E110" s="72"/>
      <c r="F110" s="74">
        <v>60.1</v>
      </c>
      <c r="G110" s="74">
        <v>60.1</v>
      </c>
      <c r="H110" s="74">
        <v>60.1</v>
      </c>
      <c r="I110" s="74">
        <v>60.14</v>
      </c>
      <c r="J110" s="74">
        <v>60.17</v>
      </c>
      <c r="K110" s="74">
        <v>60.11</v>
      </c>
      <c r="L110" s="74">
        <v>60.09</v>
      </c>
      <c r="M110" s="74">
        <v>60.2</v>
      </c>
      <c r="N110" s="74">
        <v>60.18</v>
      </c>
      <c r="O110" s="74">
        <v>60.18</v>
      </c>
      <c r="P110" s="83">
        <v>60.15</v>
      </c>
      <c r="Q110" s="83">
        <v>60.21</v>
      </c>
      <c r="R110" s="83">
        <v>60.15</v>
      </c>
      <c r="S110" s="83">
        <v>60.17</v>
      </c>
      <c r="T110" s="83">
        <v>60.15</v>
      </c>
      <c r="U110" s="74">
        <v>60.13</v>
      </c>
      <c r="V110" s="74">
        <v>60.2</v>
      </c>
      <c r="W110" s="74">
        <v>60.13</v>
      </c>
      <c r="X110" s="74">
        <v>60.13</v>
      </c>
      <c r="Y110" s="74">
        <v>60.17</v>
      </c>
      <c r="Z110" s="74">
        <v>60.14</v>
      </c>
      <c r="AA110" s="74">
        <v>60.14</v>
      </c>
      <c r="AB110" s="74">
        <v>60.18</v>
      </c>
      <c r="AC110" s="74">
        <v>60.14</v>
      </c>
      <c r="AD110" s="26"/>
      <c r="AE110" s="26"/>
      <c r="AF110" s="467"/>
      <c r="AG110" t="s">
        <v>92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18" t="s">
        <v>93</v>
      </c>
      <c r="B111" s="519"/>
      <c r="C111" s="520"/>
      <c r="D111" s="60"/>
      <c r="E111" s="72"/>
      <c r="F111" s="468">
        <f>25-(F93+F95)-(4.7-F93)</f>
        <v>5.9700000000000015</v>
      </c>
      <c r="G111" s="468">
        <f>25-(G93+G95)-(4.7-G93)</f>
        <v>6.0100000000000007</v>
      </c>
      <c r="H111" s="468">
        <f>25-(H93+H95)-(4.7-H93)</f>
        <v>6.0099999999999989</v>
      </c>
      <c r="I111" s="468">
        <f>25-(I93+I95)-(4.7-I93)</f>
        <v>6.02</v>
      </c>
      <c r="J111" s="465">
        <f>J60+J22</f>
        <v>5.5</v>
      </c>
      <c r="K111" s="465">
        <f>K60+K22</f>
        <v>3.8</v>
      </c>
      <c r="L111" s="74"/>
      <c r="M111" s="74"/>
      <c r="N111" s="465">
        <f>N60+N22</f>
        <v>2.8</v>
      </c>
      <c r="O111" s="468">
        <f t="shared" ref="O111:AC111" si="39">25-(O93+O95)-(4.7-O93)</f>
        <v>6.0300000000000011</v>
      </c>
      <c r="P111" s="468">
        <f t="shared" si="39"/>
        <v>6.0100000000000016</v>
      </c>
      <c r="Q111" s="468">
        <f t="shared" si="39"/>
        <v>6</v>
      </c>
      <c r="R111" s="468">
        <f t="shared" si="39"/>
        <v>6.01</v>
      </c>
      <c r="S111" s="468">
        <f t="shared" si="39"/>
        <v>6.030000000000002</v>
      </c>
      <c r="T111" s="468">
        <f t="shared" si="39"/>
        <v>6.04</v>
      </c>
      <c r="U111" s="468">
        <f t="shared" si="39"/>
        <v>6.0100000000000007</v>
      </c>
      <c r="V111" s="468">
        <f t="shared" si="39"/>
        <v>6.03</v>
      </c>
      <c r="W111" s="468">
        <f t="shared" si="39"/>
        <v>6.0199999999999987</v>
      </c>
      <c r="X111" s="468">
        <f t="shared" si="39"/>
        <v>6.0100000000000007</v>
      </c>
      <c r="Y111" s="468">
        <f t="shared" si="39"/>
        <v>6.0099999999999989</v>
      </c>
      <c r="Z111" s="468">
        <f t="shared" si="39"/>
        <v>6.0199999999999987</v>
      </c>
      <c r="AA111" s="468">
        <f t="shared" si="39"/>
        <v>6.0100000000000025</v>
      </c>
      <c r="AB111" s="468">
        <f t="shared" si="39"/>
        <v>6.0199999999999987</v>
      </c>
      <c r="AC111" s="468">
        <f t="shared" si="39"/>
        <v>6.0100000000000007</v>
      </c>
      <c r="AD111" s="26"/>
      <c r="AE111" s="26"/>
      <c r="AF111" s="469"/>
      <c r="AG111" s="38" t="s">
        <v>94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18" t="s">
        <v>95</v>
      </c>
      <c r="B112" s="519"/>
      <c r="C112" s="520"/>
      <c r="D112" s="60"/>
      <c r="E112" s="72"/>
      <c r="G112" s="74"/>
      <c r="H112" s="74"/>
      <c r="I112" s="74"/>
      <c r="J112" s="74"/>
      <c r="K112" s="74"/>
      <c r="L112" s="74"/>
      <c r="M112" s="74"/>
      <c r="N112" s="74"/>
      <c r="O112" s="74"/>
      <c r="P112" s="83"/>
      <c r="Q112" s="83"/>
      <c r="R112" s="83"/>
      <c r="S112" s="83"/>
      <c r="T112" s="83"/>
      <c r="U112" s="74"/>
      <c r="V112" s="74"/>
      <c r="W112" s="74"/>
      <c r="X112" s="74"/>
      <c r="Y112" s="74"/>
      <c r="Z112" s="74"/>
      <c r="AA112" s="74"/>
      <c r="AB112" s="74"/>
      <c r="AC112" s="74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10" t="s">
        <v>96</v>
      </c>
      <c r="B113" s="510"/>
      <c r="C113" s="510"/>
      <c r="D113" s="60"/>
      <c r="E113" s="72"/>
      <c r="F113" s="73"/>
      <c r="G113" s="73"/>
      <c r="H113" s="73"/>
      <c r="I113" s="73"/>
      <c r="J113" s="73"/>
      <c r="K113" s="73"/>
      <c r="L113" s="73"/>
      <c r="M113" s="73"/>
      <c r="N113" s="73"/>
      <c r="O113" s="73"/>
      <c r="P113" s="73"/>
      <c r="Q113" s="73"/>
      <c r="R113" s="73"/>
      <c r="S113" s="73"/>
      <c r="T113" s="73"/>
      <c r="U113" s="73"/>
      <c r="V113" s="73" t="s">
        <v>101</v>
      </c>
      <c r="W113" s="73"/>
      <c r="X113" s="73"/>
      <c r="Y113" s="73"/>
      <c r="Z113" s="73"/>
      <c r="AA113" s="73"/>
      <c r="AB113" s="73"/>
      <c r="AC113" s="73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10" t="s">
        <v>97</v>
      </c>
      <c r="B114" s="510"/>
      <c r="C114" s="510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idden="1">
      <c r="A115"/>
      <c r="B115"/>
      <c r="C115"/>
      <c r="D115" s="71"/>
      <c r="E115"/>
      <c r="F115" s="75"/>
      <c r="G115" s="75"/>
      <c r="H115" s="75"/>
      <c r="I115" s="75"/>
      <c r="J115" s="75"/>
      <c r="K115" s="75"/>
      <c r="L115" s="75"/>
      <c r="M115" s="75"/>
      <c r="N115" s="75"/>
      <c r="O115" s="75"/>
      <c r="P115" s="75"/>
      <c r="Q115" s="75"/>
      <c r="R115" s="75"/>
      <c r="S115" s="75"/>
      <c r="T115" s="75"/>
      <c r="U115" s="75"/>
      <c r="V115" s="75"/>
      <c r="W115" s="75"/>
      <c r="X115" s="75"/>
      <c r="Y115" s="75"/>
      <c r="Z115" s="75"/>
      <c r="AA115" s="75"/>
      <c r="AB115" s="75"/>
      <c r="AC115" s="75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9" hidden="1">
      <c r="A116" s="499" t="s">
        <v>98</v>
      </c>
      <c r="B116" s="499"/>
      <c r="C116" s="499"/>
      <c r="D116" s="499"/>
      <c r="E116" s="499"/>
      <c r="F116" s="499"/>
      <c r="G116" s="499"/>
      <c r="H116" s="499"/>
      <c r="I116" s="499"/>
      <c r="J116" s="499"/>
      <c r="K116" s="499"/>
      <c r="L116" s="499"/>
      <c r="M116" s="499"/>
      <c r="N116" s="499"/>
      <c r="O116" s="499"/>
      <c r="P116" s="499"/>
      <c r="Q116" s="499"/>
      <c r="R116" s="499"/>
      <c r="S116" s="499"/>
      <c r="T116" s="499"/>
      <c r="U116" s="499"/>
      <c r="V116" s="499"/>
      <c r="W116" s="499"/>
      <c r="X116" s="499"/>
      <c r="Y116" s="499"/>
      <c r="Z116" s="499"/>
      <c r="AA116" s="499"/>
      <c r="AB116" s="499"/>
      <c r="AC116" s="499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idden="1">
      <c r="A117"/>
      <c r="B117" s="5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 s="26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ht="17.45" hidden="1">
      <c r="A118" s="500" t="s">
        <v>75</v>
      </c>
      <c r="B118" s="501"/>
      <c r="C118" s="502"/>
      <c r="D118" s="49"/>
      <c r="E118" s="49"/>
      <c r="F118" s="506" t="s">
        <v>76</v>
      </c>
      <c r="G118" s="506"/>
      <c r="H118" s="506"/>
      <c r="I118" s="506"/>
      <c r="J118" s="506"/>
      <c r="K118" s="506"/>
      <c r="L118" s="506"/>
      <c r="M118" s="506"/>
      <c r="N118" s="506"/>
      <c r="O118" s="506"/>
      <c r="P118" s="506"/>
      <c r="Q118" s="506"/>
      <c r="R118" s="506"/>
      <c r="S118" s="506"/>
      <c r="T118" s="506"/>
      <c r="U118" s="506"/>
      <c r="V118" s="506"/>
      <c r="W118" s="506"/>
      <c r="X118" s="506"/>
      <c r="Y118" s="506"/>
      <c r="Z118" s="506"/>
      <c r="AA118" s="506"/>
      <c r="AB118" s="506"/>
      <c r="AC118" s="506"/>
      <c r="AD118" s="5"/>
      <c r="AE118" s="5"/>
      <c r="AF118" s="5"/>
      <c r="AG118" s="5"/>
      <c r="AH118" s="5"/>
    </row>
    <row r="119" spans="1:124" ht="15.6" hidden="1" customHeight="1">
      <c r="A119" s="503"/>
      <c r="B119" s="504"/>
      <c r="C119" s="505"/>
      <c r="D119" s="50"/>
      <c r="E119" s="50"/>
      <c r="F119" s="43">
        <v>0</v>
      </c>
      <c r="G119" s="43">
        <v>4.1666666666666699E-2</v>
      </c>
      <c r="H119" s="43">
        <v>8.3333333333333301E-2</v>
      </c>
      <c r="I119" s="43">
        <v>0.125</v>
      </c>
      <c r="J119" s="43">
        <v>0.16666666666666699</v>
      </c>
      <c r="K119" s="43">
        <v>0.20833333333333301</v>
      </c>
      <c r="L119" s="43">
        <v>0.25</v>
      </c>
      <c r="M119" s="43">
        <v>0.29166666666666702</v>
      </c>
      <c r="N119" s="43">
        <v>0.33333333333333398</v>
      </c>
      <c r="O119" s="43">
        <v>0.375</v>
      </c>
      <c r="P119" s="43">
        <v>0.41666666666666702</v>
      </c>
      <c r="Q119" s="43">
        <v>0.45833333333333398</v>
      </c>
      <c r="R119" s="43">
        <v>0.5</v>
      </c>
      <c r="S119" s="43">
        <v>0.54166666666666696</v>
      </c>
      <c r="T119" s="43">
        <v>0.58333333333333404</v>
      </c>
      <c r="U119" s="43">
        <v>0.625</v>
      </c>
      <c r="V119" s="43">
        <v>0.66666666666666696</v>
      </c>
      <c r="W119" s="43">
        <v>0.70833333333333404</v>
      </c>
      <c r="X119" s="43">
        <v>0.750000000000001</v>
      </c>
      <c r="Y119" s="43">
        <v>0.79166666666666696</v>
      </c>
      <c r="Z119" s="43">
        <v>0.83333333333333337</v>
      </c>
      <c r="AA119" s="43">
        <v>0.875000000000001</v>
      </c>
      <c r="AB119" s="43">
        <v>0.91666666666666696</v>
      </c>
      <c r="AC119" s="43">
        <v>0.95833333333333404</v>
      </c>
      <c r="AD119" s="37"/>
      <c r="AE119" s="37"/>
      <c r="AG119" s="5"/>
      <c r="AH119" s="5"/>
      <c r="AI119" s="5"/>
      <c r="AJ119" s="5"/>
      <c r="AK119" s="5"/>
      <c r="AL119" s="5"/>
      <c r="AM119" s="5"/>
      <c r="AN119" s="5"/>
    </row>
    <row r="120" spans="1:124" ht="17.45" hidden="1">
      <c r="A120" s="507" t="s">
        <v>27</v>
      </c>
      <c r="B120" s="508"/>
      <c r="C120" s="509"/>
      <c r="D120" s="45"/>
      <c r="E120" s="45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07" t="s">
        <v>78</v>
      </c>
      <c r="B121" s="508"/>
      <c r="C121" s="509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07" t="s">
        <v>29</v>
      </c>
      <c r="B122" s="508"/>
      <c r="C122" s="509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07" t="s">
        <v>32</v>
      </c>
      <c r="B123" s="508"/>
      <c r="C123" s="509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07" t="s">
        <v>33</v>
      </c>
      <c r="B124" s="508"/>
      <c r="C124" s="509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07" t="s">
        <v>55</v>
      </c>
      <c r="B125" s="508"/>
      <c r="C125" s="509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07" t="s">
        <v>59</v>
      </c>
      <c r="B126" s="508"/>
      <c r="C126" s="509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</row>
    <row r="127" spans="1:124" ht="17.45" hidden="1">
      <c r="A127" s="507" t="s">
        <v>69</v>
      </c>
      <c r="B127" s="508"/>
      <c r="C127" s="509"/>
      <c r="D127" s="45"/>
      <c r="E127" s="45"/>
      <c r="F127" s="78"/>
      <c r="G127" s="78"/>
      <c r="H127" s="78"/>
      <c r="I127" s="78"/>
      <c r="J127" s="78"/>
      <c r="K127" s="78"/>
      <c r="L127" s="78"/>
      <c r="M127" s="78"/>
      <c r="N127" s="78"/>
      <c r="O127" s="78"/>
      <c r="P127" s="78"/>
      <c r="Q127" s="78"/>
      <c r="R127" s="78"/>
      <c r="S127" s="78"/>
      <c r="T127" s="78"/>
      <c r="U127" s="78"/>
      <c r="V127" s="78"/>
      <c r="W127" s="78"/>
      <c r="X127" s="78"/>
      <c r="Y127" s="78"/>
      <c r="Z127" s="78"/>
      <c r="AA127" s="78"/>
      <c r="AB127" s="78"/>
      <c r="AC127" s="78"/>
    </row>
    <row r="128" spans="1:124" ht="15.6" hidden="1" customHeight="1">
      <c r="A128" s="496" t="s">
        <v>99</v>
      </c>
      <c r="B128" s="497"/>
      <c r="C128" s="498"/>
      <c r="D128" s="51"/>
      <c r="E128" s="51"/>
      <c r="F128" s="44">
        <f>SUM(F120:F127)</f>
        <v>0</v>
      </c>
      <c r="G128" s="44">
        <f t="shared" ref="G128:AB128" si="40">SUM(G120:G127)</f>
        <v>0</v>
      </c>
      <c r="H128" s="44">
        <f t="shared" si="40"/>
        <v>0</v>
      </c>
      <c r="I128" s="44">
        <f t="shared" si="40"/>
        <v>0</v>
      </c>
      <c r="J128" s="44">
        <f t="shared" si="40"/>
        <v>0</v>
      </c>
      <c r="K128" s="44">
        <f t="shared" si="40"/>
        <v>0</v>
      </c>
      <c r="L128" s="44">
        <f t="shared" si="40"/>
        <v>0</v>
      </c>
      <c r="M128" s="44">
        <f t="shared" si="40"/>
        <v>0</v>
      </c>
      <c r="N128" s="44">
        <f t="shared" si="40"/>
        <v>0</v>
      </c>
      <c r="O128" s="44">
        <f t="shared" si="40"/>
        <v>0</v>
      </c>
      <c r="P128" s="44">
        <f t="shared" si="40"/>
        <v>0</v>
      </c>
      <c r="Q128" s="44">
        <f t="shared" si="40"/>
        <v>0</v>
      </c>
      <c r="R128" s="44">
        <f t="shared" si="40"/>
        <v>0</v>
      </c>
      <c r="S128" s="44">
        <f t="shared" si="40"/>
        <v>0</v>
      </c>
      <c r="T128" s="44">
        <f t="shared" si="40"/>
        <v>0</v>
      </c>
      <c r="U128" s="44">
        <f t="shared" si="40"/>
        <v>0</v>
      </c>
      <c r="V128" s="44">
        <f t="shared" si="40"/>
        <v>0</v>
      </c>
      <c r="W128" s="44">
        <f t="shared" si="40"/>
        <v>0</v>
      </c>
      <c r="X128" s="44">
        <f t="shared" si="40"/>
        <v>0</v>
      </c>
      <c r="Y128" s="44">
        <f t="shared" si="40"/>
        <v>0</v>
      </c>
      <c r="Z128" s="44">
        <f t="shared" si="40"/>
        <v>0</v>
      </c>
      <c r="AA128" s="44">
        <f t="shared" si="40"/>
        <v>0</v>
      </c>
      <c r="AB128" s="44">
        <f t="shared" si="40"/>
        <v>0</v>
      </c>
      <c r="AC128" s="44">
        <f>SUM(AC120:AC127)</f>
        <v>0</v>
      </c>
    </row>
    <row r="129" spans="1:124">
      <c r="F129" s="75"/>
      <c r="G129" s="75"/>
      <c r="H129" s="75"/>
      <c r="I129" s="75"/>
      <c r="J129" s="75"/>
      <c r="K129" s="75"/>
      <c r="L129" s="75"/>
      <c r="M129" s="75"/>
      <c r="N129" s="75"/>
      <c r="O129" s="75"/>
      <c r="P129" s="75"/>
      <c r="Q129" s="75"/>
      <c r="R129" s="75"/>
      <c r="S129" s="75"/>
      <c r="T129" s="75"/>
      <c r="U129" s="75"/>
      <c r="V129" s="75"/>
      <c r="W129" s="75"/>
      <c r="X129" s="75"/>
      <c r="Y129" s="75"/>
      <c r="Z129" s="75"/>
      <c r="AA129" s="75"/>
      <c r="AB129" s="75"/>
      <c r="AC129" s="75"/>
      <c r="AD129" s="5"/>
      <c r="AE129" s="5"/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AB131" s="26"/>
      <c r="AC131" s="27"/>
      <c r="AD131" s="5"/>
      <c r="AE131" s="5"/>
    </row>
    <row r="132" spans="1:124" s="2" customFormat="1">
      <c r="A132"/>
      <c r="B132"/>
      <c r="AB132" s="26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>
      <c r="A133"/>
      <c r="B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 s="26"/>
      <c r="D135" s="26"/>
      <c r="E135" s="26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</row>
    <row r="138" spans="1:124">
      <c r="C138" s="26"/>
      <c r="D138" s="26"/>
      <c r="E138" s="26"/>
    </row>
    <row r="139" spans="1:124">
      <c r="C139" s="26"/>
      <c r="D139" s="26"/>
      <c r="E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</row>
    <row r="140" spans="1:124"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</sheetData>
  <mergeCells count="43">
    <mergeCell ref="A89:C89"/>
    <mergeCell ref="M8:O8"/>
    <mergeCell ref="M9:O9"/>
    <mergeCell ref="A85:AC85"/>
    <mergeCell ref="A87:C88"/>
    <mergeCell ref="F87:AC87"/>
    <mergeCell ref="A101:C101"/>
    <mergeCell ref="A90:C90"/>
    <mergeCell ref="A91:C91"/>
    <mergeCell ref="A92:C92"/>
    <mergeCell ref="A93:C93"/>
    <mergeCell ref="A94:C94"/>
    <mergeCell ref="A95:C95"/>
    <mergeCell ref="A96:C96"/>
    <mergeCell ref="A97:C97"/>
    <mergeCell ref="A98:C98"/>
    <mergeCell ref="A99:C99"/>
    <mergeCell ref="A100:C100"/>
    <mergeCell ref="A114:C114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3:C113"/>
    <mergeCell ref="A111:C111"/>
    <mergeCell ref="A112:C112"/>
    <mergeCell ref="A128:C128"/>
    <mergeCell ref="A116:AC116"/>
    <mergeCell ref="A118:C119"/>
    <mergeCell ref="F118:AC118"/>
    <mergeCell ref="A120:C120"/>
    <mergeCell ref="A121:C121"/>
    <mergeCell ref="A122:C122"/>
    <mergeCell ref="A123:C123"/>
    <mergeCell ref="A124:C124"/>
    <mergeCell ref="A125:C125"/>
    <mergeCell ref="A126:C126"/>
    <mergeCell ref="A127:C127"/>
  </mergeCells>
  <conditionalFormatting sqref="G110:AC110">
    <cfRule type="cellIs" dxfId="8224" priority="345" operator="greaterThan">
      <formula>60.3</formula>
    </cfRule>
  </conditionalFormatting>
  <conditionalFormatting sqref="F110">
    <cfRule type="cellIs" dxfId="8223" priority="344" operator="greaterThan">
      <formula>60.3</formula>
    </cfRule>
  </conditionalFormatting>
  <conditionalFormatting sqref="H13:L13 H15:M16 P15:P16 N13:S13 Q14:S16 T13:AC16 G36:AC59 G62:AC64">
    <cfRule type="cellIs" dxfId="8222" priority="336" operator="equal">
      <formula>"PMS"</formula>
    </cfRule>
    <cfRule type="containsText" dxfId="8221" priority="337" operator="containsText" text="CMS">
      <formula>NOT(ISERROR(SEARCH("CMS",G13)))</formula>
    </cfRule>
    <cfRule type="cellIs" dxfId="8220" priority="338" operator="equal">
      <formula>0</formula>
    </cfRule>
    <cfRule type="cellIs" dxfId="8219" priority="339" operator="greaterThan">
      <formula>0</formula>
    </cfRule>
    <cfRule type="cellIs" dxfId="8218" priority="340" operator="equal">
      <formula>"PMS"</formula>
    </cfRule>
    <cfRule type="containsText" dxfId="8217" priority="341" operator="containsText" text="CMS">
      <formula>NOT(ISERROR(SEARCH("CMS",G13)))</formula>
    </cfRule>
    <cfRule type="cellIs" dxfId="8216" priority="342" operator="equal">
      <formula>0</formula>
    </cfRule>
    <cfRule type="cellIs" dxfId="8215" priority="343" operator="greaterThan">
      <formula>0</formula>
    </cfRule>
  </conditionalFormatting>
  <conditionalFormatting sqref="H13:L13 H15:M16 P15:P16 N13:S13 Q14:S16 T13:AC16 G36:AC59 G62:AC64">
    <cfRule type="cellIs" dxfId="8214" priority="332" operator="equal">
      <formula>"PMS"</formula>
    </cfRule>
    <cfRule type="containsText" dxfId="8213" priority="333" operator="containsText" text="CMS">
      <formula>NOT(ISERROR(SEARCH("CMS",G13)))</formula>
    </cfRule>
    <cfRule type="cellIs" dxfId="8212" priority="334" operator="equal">
      <formula>0</formula>
    </cfRule>
    <cfRule type="cellIs" dxfId="8211" priority="335" operator="greaterThan">
      <formula>0</formula>
    </cfRule>
  </conditionalFormatting>
  <conditionalFormatting sqref="G20:S20 G21:N21 P21:S21 U19:AC21 T20:T21 F19:Q19">
    <cfRule type="cellIs" dxfId="8210" priority="324" operator="equal">
      <formula>"PMS"</formula>
    </cfRule>
    <cfRule type="containsText" dxfId="8209" priority="325" operator="containsText" text="CMS">
      <formula>NOT(ISERROR(SEARCH("CMS",F19)))</formula>
    </cfRule>
    <cfRule type="cellIs" dxfId="8208" priority="326" operator="equal">
      <formula>0</formula>
    </cfRule>
    <cfRule type="cellIs" dxfId="8207" priority="327" operator="greaterThan">
      <formula>0</formula>
    </cfRule>
    <cfRule type="cellIs" dxfId="8206" priority="328" operator="equal">
      <formula>"PMS"</formula>
    </cfRule>
    <cfRule type="containsText" dxfId="8205" priority="329" operator="containsText" text="CMS">
      <formula>NOT(ISERROR(SEARCH("CMS",F19)))</formula>
    </cfRule>
    <cfRule type="cellIs" dxfId="8204" priority="330" operator="equal">
      <formula>0</formula>
    </cfRule>
    <cfRule type="cellIs" dxfId="8203" priority="331" operator="greaterThan">
      <formula>0</formula>
    </cfRule>
  </conditionalFormatting>
  <conditionalFormatting sqref="G20:S20 G21:N21 P21:S21 U19:AC21 T20:T21 F19:Q19">
    <cfRule type="cellIs" dxfId="8202" priority="320" operator="equal">
      <formula>"PMS"</formula>
    </cfRule>
    <cfRule type="containsText" dxfId="8201" priority="321" operator="containsText" text="CMS">
      <formula>NOT(ISERROR(SEARCH("CMS",F19)))</formula>
    </cfRule>
    <cfRule type="cellIs" dxfId="8200" priority="322" operator="equal">
      <formula>0</formula>
    </cfRule>
    <cfRule type="cellIs" dxfId="8199" priority="323" operator="greaterThan">
      <formula>0</formula>
    </cfRule>
  </conditionalFormatting>
  <conditionalFormatting sqref="V24:AC24 F24:M24 O24:T24">
    <cfRule type="cellIs" dxfId="8198" priority="312" operator="equal">
      <formula>"PMS"</formula>
    </cfRule>
    <cfRule type="containsText" dxfId="8197" priority="313" operator="containsText" text="CMS">
      <formula>NOT(ISERROR(SEARCH("CMS",F24)))</formula>
    </cfRule>
    <cfRule type="cellIs" dxfId="8196" priority="314" operator="equal">
      <formula>0</formula>
    </cfRule>
    <cfRule type="cellIs" dxfId="8195" priority="315" operator="greaterThan">
      <formula>0</formula>
    </cfRule>
    <cfRule type="cellIs" dxfId="8194" priority="316" operator="equal">
      <formula>"PMS"</formula>
    </cfRule>
    <cfRule type="containsText" dxfId="8193" priority="317" operator="containsText" text="CMS">
      <formula>NOT(ISERROR(SEARCH("CMS",F24)))</formula>
    </cfRule>
    <cfRule type="cellIs" dxfId="8192" priority="318" operator="equal">
      <formula>0</formula>
    </cfRule>
    <cfRule type="cellIs" dxfId="8191" priority="319" operator="greaterThan">
      <formula>0</formula>
    </cfRule>
  </conditionalFormatting>
  <conditionalFormatting sqref="V24:AC24 F24:M24 O24:T24">
    <cfRule type="cellIs" dxfId="8190" priority="308" operator="equal">
      <formula>"PMS"</formula>
    </cfRule>
    <cfRule type="containsText" dxfId="8189" priority="309" operator="containsText" text="CMS">
      <formula>NOT(ISERROR(SEARCH("CMS",F24)))</formula>
    </cfRule>
    <cfRule type="cellIs" dxfId="8188" priority="310" operator="equal">
      <formula>0</formula>
    </cfRule>
    <cfRule type="cellIs" dxfId="8187" priority="311" operator="greaterThan">
      <formula>0</formula>
    </cfRule>
  </conditionalFormatting>
  <conditionalFormatting sqref="G27:AC27 G29:AC30 H28:AC28">
    <cfRule type="cellIs" dxfId="8186" priority="300" operator="equal">
      <formula>"PMS"</formula>
    </cfRule>
    <cfRule type="containsText" dxfId="8185" priority="301" operator="containsText" text="CMS">
      <formula>NOT(ISERROR(SEARCH("CMS",G27)))</formula>
    </cfRule>
    <cfRule type="cellIs" dxfId="8184" priority="302" operator="equal">
      <formula>0</formula>
    </cfRule>
    <cfRule type="cellIs" dxfId="8183" priority="303" operator="greaterThan">
      <formula>0</formula>
    </cfRule>
    <cfRule type="cellIs" dxfId="8182" priority="304" operator="equal">
      <formula>"PMS"</formula>
    </cfRule>
    <cfRule type="containsText" dxfId="8181" priority="305" operator="containsText" text="CMS">
      <formula>NOT(ISERROR(SEARCH("CMS",G27)))</formula>
    </cfRule>
    <cfRule type="cellIs" dxfId="8180" priority="306" operator="equal">
      <formula>0</formula>
    </cfRule>
    <cfRule type="cellIs" dxfId="8179" priority="307" operator="greaterThan">
      <formula>0</formula>
    </cfRule>
  </conditionalFormatting>
  <conditionalFormatting sqref="G27:AC27 G29:AC30 H28:AC28">
    <cfRule type="cellIs" dxfId="8178" priority="296" operator="equal">
      <formula>"PMS"</formula>
    </cfRule>
    <cfRule type="containsText" dxfId="8177" priority="297" operator="containsText" text="CMS">
      <formula>NOT(ISERROR(SEARCH("CMS",G27)))</formula>
    </cfRule>
    <cfRule type="cellIs" dxfId="8176" priority="298" operator="equal">
      <formula>0</formula>
    </cfRule>
    <cfRule type="cellIs" dxfId="8175" priority="299" operator="greaterThan">
      <formula>0</formula>
    </cfRule>
  </conditionalFormatting>
  <conditionalFormatting sqref="G33:AC33">
    <cfRule type="cellIs" dxfId="8174" priority="288" operator="equal">
      <formula>"PMS"</formula>
    </cfRule>
    <cfRule type="containsText" dxfId="8173" priority="289" operator="containsText" text="CMS">
      <formula>NOT(ISERROR(SEARCH("CMS",G33)))</formula>
    </cfRule>
    <cfRule type="cellIs" dxfId="8172" priority="290" operator="equal">
      <formula>0</formula>
    </cfRule>
    <cfRule type="cellIs" dxfId="8171" priority="291" operator="greaterThan">
      <formula>0</formula>
    </cfRule>
    <cfRule type="cellIs" dxfId="8170" priority="292" operator="equal">
      <formula>"PMS"</formula>
    </cfRule>
    <cfRule type="containsText" dxfId="8169" priority="293" operator="containsText" text="CMS">
      <formula>NOT(ISERROR(SEARCH("CMS",G33)))</formula>
    </cfRule>
    <cfRule type="cellIs" dxfId="8168" priority="294" operator="equal">
      <formula>0</formula>
    </cfRule>
    <cfRule type="cellIs" dxfId="8167" priority="295" operator="greaterThan">
      <formula>0</formula>
    </cfRule>
  </conditionalFormatting>
  <conditionalFormatting sqref="G33:AC33">
    <cfRule type="cellIs" dxfId="8166" priority="284" operator="equal">
      <formula>"PMS"</formula>
    </cfRule>
    <cfRule type="containsText" dxfId="8165" priority="285" operator="containsText" text="CMS">
      <formula>NOT(ISERROR(SEARCH("CMS",G33)))</formula>
    </cfRule>
    <cfRule type="cellIs" dxfId="8164" priority="286" operator="equal">
      <formula>0</formula>
    </cfRule>
    <cfRule type="cellIs" dxfId="8163" priority="287" operator="greaterThan">
      <formula>0</formula>
    </cfRule>
  </conditionalFormatting>
  <conditionalFormatting sqref="G67:AC75 G78:Q79 S78:AC79">
    <cfRule type="cellIs" dxfId="8162" priority="276" operator="equal">
      <formula>"PMS"</formula>
    </cfRule>
    <cfRule type="containsText" dxfId="8161" priority="277" operator="containsText" text="CMS">
      <formula>NOT(ISERROR(SEARCH("CMS",G67)))</formula>
    </cfRule>
    <cfRule type="cellIs" dxfId="8160" priority="278" operator="equal">
      <formula>0</formula>
    </cfRule>
    <cfRule type="cellIs" dxfId="8159" priority="279" operator="greaterThan">
      <formula>0</formula>
    </cfRule>
    <cfRule type="cellIs" dxfId="8158" priority="280" operator="equal">
      <formula>"PMS"</formula>
    </cfRule>
    <cfRule type="containsText" dxfId="8157" priority="281" operator="containsText" text="CMS">
      <formula>NOT(ISERROR(SEARCH("CMS",G67)))</formula>
    </cfRule>
    <cfRule type="cellIs" dxfId="8156" priority="282" operator="equal">
      <formula>0</formula>
    </cfRule>
    <cfRule type="cellIs" dxfId="8155" priority="283" operator="greaterThan">
      <formula>0</formula>
    </cfRule>
  </conditionalFormatting>
  <conditionalFormatting sqref="G67:AC75 G78:Q79 S78:AC79">
    <cfRule type="cellIs" dxfId="8154" priority="272" operator="equal">
      <formula>"PMS"</formula>
    </cfRule>
    <cfRule type="containsText" dxfId="8153" priority="273" operator="containsText" text="CMS">
      <formula>NOT(ISERROR(SEARCH("CMS",G67)))</formula>
    </cfRule>
    <cfRule type="cellIs" dxfId="8152" priority="274" operator="equal">
      <formula>0</formula>
    </cfRule>
    <cfRule type="cellIs" dxfId="8151" priority="275" operator="greaterThan">
      <formula>0</formula>
    </cfRule>
  </conditionalFormatting>
  <conditionalFormatting sqref="G82:AC82">
    <cfRule type="cellIs" dxfId="8150" priority="264" operator="equal">
      <formula>"PMS"</formula>
    </cfRule>
    <cfRule type="containsText" dxfId="8149" priority="265" operator="containsText" text="CMS">
      <formula>NOT(ISERROR(SEARCH("CMS",G82)))</formula>
    </cfRule>
    <cfRule type="cellIs" dxfId="8148" priority="266" operator="equal">
      <formula>0</formula>
    </cfRule>
    <cfRule type="cellIs" dxfId="8147" priority="267" operator="greaterThan">
      <formula>0</formula>
    </cfRule>
    <cfRule type="cellIs" dxfId="8146" priority="268" operator="equal">
      <formula>"PMS"</formula>
    </cfRule>
    <cfRule type="containsText" dxfId="8145" priority="269" operator="containsText" text="CMS">
      <formula>NOT(ISERROR(SEARCH("CMS",G82)))</formula>
    </cfRule>
    <cfRule type="cellIs" dxfId="8144" priority="270" operator="equal">
      <formula>0</formula>
    </cfRule>
    <cfRule type="cellIs" dxfId="8143" priority="271" operator="greaterThan">
      <formula>0</formula>
    </cfRule>
  </conditionalFormatting>
  <conditionalFormatting sqref="G82:AC82">
    <cfRule type="cellIs" dxfId="8142" priority="260" operator="equal">
      <formula>"PMS"</formula>
    </cfRule>
    <cfRule type="containsText" dxfId="8141" priority="261" operator="containsText" text="CMS">
      <formula>NOT(ISERROR(SEARCH("CMS",G82)))</formula>
    </cfRule>
    <cfRule type="cellIs" dxfId="8140" priority="262" operator="equal">
      <formula>0</formula>
    </cfRule>
    <cfRule type="cellIs" dxfId="8139" priority="263" operator="greaterThan">
      <formula>0</formula>
    </cfRule>
  </conditionalFormatting>
  <conditionalFormatting sqref="N24">
    <cfRule type="cellIs" dxfId="8138" priority="252" operator="equal">
      <formula>"PMS"</formula>
    </cfRule>
    <cfRule type="containsText" dxfId="8137" priority="253" operator="containsText" text="CMS">
      <formula>NOT(ISERROR(SEARCH("CMS",N24)))</formula>
    </cfRule>
    <cfRule type="cellIs" dxfId="8136" priority="254" operator="equal">
      <formula>0</formula>
    </cfRule>
    <cfRule type="cellIs" dxfId="8135" priority="255" operator="greaterThan">
      <formula>0</formula>
    </cfRule>
    <cfRule type="cellIs" dxfId="8134" priority="256" operator="equal">
      <formula>"PMS"</formula>
    </cfRule>
    <cfRule type="containsText" dxfId="8133" priority="257" operator="containsText" text="CMS">
      <formula>NOT(ISERROR(SEARCH("CMS",N24)))</formula>
    </cfRule>
    <cfRule type="cellIs" dxfId="8132" priority="258" operator="equal">
      <formula>0</formula>
    </cfRule>
    <cfRule type="cellIs" dxfId="8131" priority="259" operator="greaterThan">
      <formula>0</formula>
    </cfRule>
  </conditionalFormatting>
  <conditionalFormatting sqref="N24">
    <cfRule type="cellIs" dxfId="8130" priority="248" operator="equal">
      <formula>"PMS"</formula>
    </cfRule>
    <cfRule type="containsText" dxfId="8129" priority="249" operator="containsText" text="CMS">
      <formula>NOT(ISERROR(SEARCH("CMS",N24)))</formula>
    </cfRule>
    <cfRule type="cellIs" dxfId="8128" priority="250" operator="equal">
      <formula>0</formula>
    </cfRule>
    <cfRule type="cellIs" dxfId="8127" priority="251" operator="greaterThan">
      <formula>0</formula>
    </cfRule>
  </conditionalFormatting>
  <conditionalFormatting sqref="U24">
    <cfRule type="cellIs" dxfId="8126" priority="240" operator="equal">
      <formula>"PMS"</formula>
    </cfRule>
    <cfRule type="containsText" dxfId="8125" priority="241" operator="containsText" text="CMS">
      <formula>NOT(ISERROR(SEARCH("CMS",U24)))</formula>
    </cfRule>
    <cfRule type="cellIs" dxfId="8124" priority="242" operator="equal">
      <formula>0</formula>
    </cfRule>
    <cfRule type="cellIs" dxfId="8123" priority="243" operator="greaterThan">
      <formula>0</formula>
    </cfRule>
    <cfRule type="cellIs" dxfId="8122" priority="244" operator="equal">
      <formula>"PMS"</formula>
    </cfRule>
    <cfRule type="containsText" dxfId="8121" priority="245" operator="containsText" text="CMS">
      <formula>NOT(ISERROR(SEARCH("CMS",U24)))</formula>
    </cfRule>
    <cfRule type="cellIs" dxfId="8120" priority="246" operator="equal">
      <formula>0</formula>
    </cfRule>
    <cfRule type="cellIs" dxfId="8119" priority="247" operator="greaterThan">
      <formula>0</formula>
    </cfRule>
  </conditionalFormatting>
  <conditionalFormatting sqref="U24">
    <cfRule type="cellIs" dxfId="8118" priority="236" operator="equal">
      <formula>"PMS"</formula>
    </cfRule>
    <cfRule type="containsText" dxfId="8117" priority="237" operator="containsText" text="CMS">
      <formula>NOT(ISERROR(SEARCH("CMS",U24)))</formula>
    </cfRule>
    <cfRule type="cellIs" dxfId="8116" priority="238" operator="equal">
      <formula>0</formula>
    </cfRule>
    <cfRule type="cellIs" dxfId="8115" priority="239" operator="greaterThan">
      <formula>0</formula>
    </cfRule>
  </conditionalFormatting>
  <conditionalFormatting sqref="H14:P14">
    <cfRule type="cellIs" dxfId="8114" priority="228" operator="equal">
      <formula>"PMS"</formula>
    </cfRule>
    <cfRule type="containsText" dxfId="8113" priority="229" operator="containsText" text="CMS">
      <formula>NOT(ISERROR(SEARCH("CMS",H14)))</formula>
    </cfRule>
    <cfRule type="cellIs" dxfId="8112" priority="230" operator="equal">
      <formula>0</formula>
    </cfRule>
    <cfRule type="cellIs" dxfId="8111" priority="231" operator="greaterThan">
      <formula>0</formula>
    </cfRule>
    <cfRule type="cellIs" dxfId="8110" priority="232" operator="equal">
      <formula>"PMS"</formula>
    </cfRule>
    <cfRule type="containsText" dxfId="8109" priority="233" operator="containsText" text="CMS">
      <formula>NOT(ISERROR(SEARCH("CMS",H14)))</formula>
    </cfRule>
    <cfRule type="cellIs" dxfId="8108" priority="234" operator="equal">
      <formula>0</formula>
    </cfRule>
    <cfRule type="cellIs" dxfId="8107" priority="235" operator="greaterThan">
      <formula>0</formula>
    </cfRule>
  </conditionalFormatting>
  <conditionalFormatting sqref="H14:P14">
    <cfRule type="cellIs" dxfId="8106" priority="224" operator="equal">
      <formula>"PMS"</formula>
    </cfRule>
    <cfRule type="containsText" dxfId="8105" priority="225" operator="containsText" text="CMS">
      <formula>NOT(ISERROR(SEARCH("CMS",H14)))</formula>
    </cfRule>
    <cfRule type="cellIs" dxfId="8104" priority="226" operator="equal">
      <formula>0</formula>
    </cfRule>
    <cfRule type="cellIs" dxfId="8103" priority="227" operator="greaterThan">
      <formula>0</formula>
    </cfRule>
  </conditionalFormatting>
  <conditionalFormatting sqref="F82">
    <cfRule type="cellIs" dxfId="8102" priority="216" operator="equal">
      <formula>"PMS"</formula>
    </cfRule>
    <cfRule type="containsText" dxfId="8101" priority="217" operator="containsText" text="CMS">
      <formula>NOT(ISERROR(SEARCH("CMS",F82)))</formula>
    </cfRule>
    <cfRule type="cellIs" dxfId="8100" priority="218" operator="equal">
      <formula>0</formula>
    </cfRule>
    <cfRule type="cellIs" dxfId="8099" priority="219" operator="greaterThan">
      <formula>0</formula>
    </cfRule>
    <cfRule type="cellIs" dxfId="8098" priority="220" operator="equal">
      <formula>"PMS"</formula>
    </cfRule>
    <cfRule type="containsText" dxfId="8097" priority="221" operator="containsText" text="CMS">
      <formula>NOT(ISERROR(SEARCH("CMS",F82)))</formula>
    </cfRule>
    <cfRule type="cellIs" dxfId="8096" priority="222" operator="equal">
      <formula>0</formula>
    </cfRule>
    <cfRule type="cellIs" dxfId="8095" priority="223" operator="greaterThan">
      <formula>0</formula>
    </cfRule>
  </conditionalFormatting>
  <conditionalFormatting sqref="F82">
    <cfRule type="cellIs" dxfId="8094" priority="212" operator="equal">
      <formula>"PMS"</formula>
    </cfRule>
    <cfRule type="containsText" dxfId="8093" priority="213" operator="containsText" text="CMS">
      <formula>NOT(ISERROR(SEARCH("CMS",F82)))</formula>
    </cfRule>
    <cfRule type="cellIs" dxfId="8092" priority="214" operator="equal">
      <formula>0</formula>
    </cfRule>
    <cfRule type="cellIs" dxfId="8091" priority="215" operator="greaterThan">
      <formula>0</formula>
    </cfRule>
  </conditionalFormatting>
  <conditionalFormatting sqref="R19:T19">
    <cfRule type="cellIs" dxfId="8090" priority="204" operator="equal">
      <formula>"PMS"</formula>
    </cfRule>
    <cfRule type="containsText" dxfId="8089" priority="205" operator="containsText" text="CMS">
      <formula>NOT(ISERROR(SEARCH("CMS",R19)))</formula>
    </cfRule>
    <cfRule type="cellIs" dxfId="8088" priority="206" operator="equal">
      <formula>0</formula>
    </cfRule>
    <cfRule type="cellIs" dxfId="8087" priority="207" operator="greaterThan">
      <formula>0</formula>
    </cfRule>
    <cfRule type="cellIs" dxfId="8086" priority="208" operator="equal">
      <formula>"PMS"</formula>
    </cfRule>
    <cfRule type="containsText" dxfId="8085" priority="209" operator="containsText" text="CMS">
      <formula>NOT(ISERROR(SEARCH("CMS",R19)))</formula>
    </cfRule>
    <cfRule type="cellIs" dxfId="8084" priority="210" operator="equal">
      <formula>0</formula>
    </cfRule>
    <cfRule type="cellIs" dxfId="8083" priority="211" operator="greaterThan">
      <formula>0</formula>
    </cfRule>
  </conditionalFormatting>
  <conditionalFormatting sqref="R19:T19">
    <cfRule type="cellIs" dxfId="8082" priority="200" operator="equal">
      <formula>"PMS"</formula>
    </cfRule>
    <cfRule type="containsText" dxfId="8081" priority="201" operator="containsText" text="CMS">
      <formula>NOT(ISERROR(SEARCH("CMS",R19)))</formula>
    </cfRule>
    <cfRule type="cellIs" dxfId="8080" priority="202" operator="equal">
      <formula>0</formula>
    </cfRule>
    <cfRule type="cellIs" dxfId="8079" priority="203" operator="greaterThan">
      <formula>0</formula>
    </cfRule>
  </conditionalFormatting>
  <conditionalFormatting sqref="G13:G16">
    <cfRule type="cellIs" dxfId="8078" priority="192" operator="equal">
      <formula>"PMS"</formula>
    </cfRule>
    <cfRule type="containsText" dxfId="8077" priority="193" operator="containsText" text="CMS">
      <formula>NOT(ISERROR(SEARCH("CMS",G13)))</formula>
    </cfRule>
    <cfRule type="cellIs" dxfId="8076" priority="194" operator="equal">
      <formula>0</formula>
    </cfRule>
    <cfRule type="cellIs" dxfId="8075" priority="195" operator="greaterThan">
      <formula>0</formula>
    </cfRule>
    <cfRule type="cellIs" dxfId="8074" priority="196" operator="equal">
      <formula>"PMS"</formula>
    </cfRule>
    <cfRule type="containsText" dxfId="8073" priority="197" operator="containsText" text="CMS">
      <formula>NOT(ISERROR(SEARCH("CMS",G13)))</formula>
    </cfRule>
    <cfRule type="cellIs" dxfId="8072" priority="198" operator="equal">
      <formula>0</formula>
    </cfRule>
    <cfRule type="cellIs" dxfId="8071" priority="199" operator="greaterThan">
      <formula>0</formula>
    </cfRule>
  </conditionalFormatting>
  <conditionalFormatting sqref="G13:G16">
    <cfRule type="cellIs" dxfId="8070" priority="188" operator="equal">
      <formula>"PMS"</formula>
    </cfRule>
    <cfRule type="containsText" dxfId="8069" priority="189" operator="containsText" text="CMS">
      <formula>NOT(ISERROR(SEARCH("CMS",G13)))</formula>
    </cfRule>
    <cfRule type="cellIs" dxfId="8068" priority="190" operator="equal">
      <formula>0</formula>
    </cfRule>
    <cfRule type="cellIs" dxfId="8067" priority="191" operator="greaterThan">
      <formula>0</formula>
    </cfRule>
  </conditionalFormatting>
  <conditionalFormatting sqref="M13">
    <cfRule type="cellIs" dxfId="8066" priority="180" operator="equal">
      <formula>"PMS"</formula>
    </cfRule>
    <cfRule type="containsText" dxfId="8065" priority="181" operator="containsText" text="CMS">
      <formula>NOT(ISERROR(SEARCH("CMS",M13)))</formula>
    </cfRule>
    <cfRule type="cellIs" dxfId="8064" priority="182" operator="equal">
      <formula>0</formula>
    </cfRule>
    <cfRule type="cellIs" dxfId="8063" priority="183" operator="greaterThan">
      <formula>0</formula>
    </cfRule>
    <cfRule type="cellIs" dxfId="8062" priority="184" operator="equal">
      <formula>"PMS"</formula>
    </cfRule>
    <cfRule type="containsText" dxfId="8061" priority="185" operator="containsText" text="CMS">
      <formula>NOT(ISERROR(SEARCH("CMS",M13)))</formula>
    </cfRule>
    <cfRule type="cellIs" dxfId="8060" priority="186" operator="equal">
      <formula>0</formula>
    </cfRule>
    <cfRule type="cellIs" dxfId="8059" priority="187" operator="greaterThan">
      <formula>0</formula>
    </cfRule>
  </conditionalFormatting>
  <conditionalFormatting sqref="M13">
    <cfRule type="cellIs" dxfId="8058" priority="176" operator="equal">
      <formula>"PMS"</formula>
    </cfRule>
    <cfRule type="containsText" dxfId="8057" priority="177" operator="containsText" text="CMS">
      <formula>NOT(ISERROR(SEARCH("CMS",M13)))</formula>
    </cfRule>
    <cfRule type="cellIs" dxfId="8056" priority="178" operator="equal">
      <formula>0</formula>
    </cfRule>
    <cfRule type="cellIs" dxfId="8055" priority="179" operator="greaterThan">
      <formula>0</formula>
    </cfRule>
  </conditionalFormatting>
  <conditionalFormatting sqref="R78:R79">
    <cfRule type="cellIs" dxfId="8054" priority="168" operator="equal">
      <formula>"PMS"</formula>
    </cfRule>
    <cfRule type="containsText" dxfId="8053" priority="169" operator="containsText" text="CMS">
      <formula>NOT(ISERROR(SEARCH("CMS",R78)))</formula>
    </cfRule>
    <cfRule type="cellIs" dxfId="8052" priority="170" operator="equal">
      <formula>0</formula>
    </cfRule>
    <cfRule type="cellIs" dxfId="8051" priority="171" operator="greaterThan">
      <formula>0</formula>
    </cfRule>
    <cfRule type="cellIs" dxfId="8050" priority="172" operator="equal">
      <formula>"PMS"</formula>
    </cfRule>
    <cfRule type="containsText" dxfId="8049" priority="173" operator="containsText" text="CMS">
      <formula>NOT(ISERROR(SEARCH("CMS",R78)))</formula>
    </cfRule>
    <cfRule type="cellIs" dxfId="8048" priority="174" operator="equal">
      <formula>0</formula>
    </cfRule>
    <cfRule type="cellIs" dxfId="8047" priority="175" operator="greaterThan">
      <formula>0</formula>
    </cfRule>
  </conditionalFormatting>
  <conditionalFormatting sqref="R78:R79">
    <cfRule type="cellIs" dxfId="8046" priority="164" operator="equal">
      <formula>"PMS"</formula>
    </cfRule>
    <cfRule type="containsText" dxfId="8045" priority="165" operator="containsText" text="CMS">
      <formula>NOT(ISERROR(SEARCH("CMS",R78)))</formula>
    </cfRule>
    <cfRule type="cellIs" dxfId="8044" priority="166" operator="equal">
      <formula>0</formula>
    </cfRule>
    <cfRule type="cellIs" dxfId="8043" priority="167" operator="greaterThan">
      <formula>0</formula>
    </cfRule>
  </conditionalFormatting>
  <conditionalFormatting sqref="O15">
    <cfRule type="cellIs" dxfId="8042" priority="156" operator="equal">
      <formula>"PMS"</formula>
    </cfRule>
    <cfRule type="containsText" dxfId="8041" priority="157" operator="containsText" text="CMS">
      <formula>NOT(ISERROR(SEARCH("CMS",O15)))</formula>
    </cfRule>
    <cfRule type="cellIs" dxfId="8040" priority="158" operator="equal">
      <formula>0</formula>
    </cfRule>
    <cfRule type="cellIs" dxfId="8039" priority="159" operator="greaterThan">
      <formula>0</formula>
    </cfRule>
    <cfRule type="cellIs" dxfId="8038" priority="160" operator="equal">
      <formula>"PMS"</formula>
    </cfRule>
    <cfRule type="containsText" dxfId="8037" priority="161" operator="containsText" text="CMS">
      <formula>NOT(ISERROR(SEARCH("CMS",O15)))</formula>
    </cfRule>
    <cfRule type="cellIs" dxfId="8036" priority="162" operator="equal">
      <formula>0</formula>
    </cfRule>
    <cfRule type="cellIs" dxfId="8035" priority="163" operator="greaterThan">
      <formula>0</formula>
    </cfRule>
  </conditionalFormatting>
  <conditionalFormatting sqref="O15">
    <cfRule type="cellIs" dxfId="8034" priority="152" operator="equal">
      <formula>"PMS"</formula>
    </cfRule>
    <cfRule type="containsText" dxfId="8033" priority="153" operator="containsText" text="CMS">
      <formula>NOT(ISERROR(SEARCH("CMS",O15)))</formula>
    </cfRule>
    <cfRule type="cellIs" dxfId="8032" priority="154" operator="equal">
      <formula>0</formula>
    </cfRule>
    <cfRule type="cellIs" dxfId="8031" priority="155" operator="greaterThan">
      <formula>0</formula>
    </cfRule>
  </conditionalFormatting>
  <conditionalFormatting sqref="O16">
    <cfRule type="cellIs" dxfId="8030" priority="144" operator="equal">
      <formula>"PMS"</formula>
    </cfRule>
    <cfRule type="containsText" dxfId="8029" priority="145" operator="containsText" text="CMS">
      <formula>NOT(ISERROR(SEARCH("CMS",O16)))</formula>
    </cfRule>
    <cfRule type="cellIs" dxfId="8028" priority="146" operator="equal">
      <formula>0</formula>
    </cfRule>
    <cfRule type="cellIs" dxfId="8027" priority="147" operator="greaterThan">
      <formula>0</formula>
    </cfRule>
    <cfRule type="cellIs" dxfId="8026" priority="148" operator="equal">
      <formula>"PMS"</formula>
    </cfRule>
    <cfRule type="containsText" dxfId="8025" priority="149" operator="containsText" text="CMS">
      <formula>NOT(ISERROR(SEARCH("CMS",O16)))</formula>
    </cfRule>
    <cfRule type="cellIs" dxfId="8024" priority="150" operator="equal">
      <formula>0</formula>
    </cfRule>
    <cfRule type="cellIs" dxfId="8023" priority="151" operator="greaterThan">
      <formula>0</formula>
    </cfRule>
  </conditionalFormatting>
  <conditionalFormatting sqref="O16">
    <cfRule type="cellIs" dxfId="8022" priority="140" operator="equal">
      <formula>"PMS"</formula>
    </cfRule>
    <cfRule type="containsText" dxfId="8021" priority="141" operator="containsText" text="CMS">
      <formula>NOT(ISERROR(SEARCH("CMS",O16)))</formula>
    </cfRule>
    <cfRule type="cellIs" dxfId="8020" priority="142" operator="equal">
      <formula>0</formula>
    </cfRule>
    <cfRule type="cellIs" dxfId="8019" priority="143" operator="greaterThan">
      <formula>0</formula>
    </cfRule>
  </conditionalFormatting>
  <conditionalFormatting sqref="F36:F48 F50:F59">
    <cfRule type="cellIs" dxfId="8018" priority="132" operator="equal">
      <formula>"PMS"</formula>
    </cfRule>
    <cfRule type="containsText" dxfId="8017" priority="133" operator="containsText" text="CMS">
      <formula>NOT(ISERROR(SEARCH("CMS",F36)))</formula>
    </cfRule>
    <cfRule type="cellIs" dxfId="8016" priority="134" operator="equal">
      <formula>0</formula>
    </cfRule>
    <cfRule type="cellIs" dxfId="8015" priority="135" operator="greaterThan">
      <formula>0</formula>
    </cfRule>
    <cfRule type="cellIs" dxfId="8014" priority="136" operator="equal">
      <formula>"PMS"</formula>
    </cfRule>
    <cfRule type="containsText" dxfId="8013" priority="137" operator="containsText" text="CMS">
      <formula>NOT(ISERROR(SEARCH("CMS",F36)))</formula>
    </cfRule>
    <cfRule type="cellIs" dxfId="8012" priority="138" operator="equal">
      <formula>0</formula>
    </cfRule>
    <cfRule type="cellIs" dxfId="8011" priority="139" operator="greaterThan">
      <formula>0</formula>
    </cfRule>
  </conditionalFormatting>
  <conditionalFormatting sqref="F36:F48 F50:F59">
    <cfRule type="cellIs" dxfId="8010" priority="128" operator="equal">
      <formula>"PMS"</formula>
    </cfRule>
    <cfRule type="containsText" dxfId="8009" priority="129" operator="containsText" text="CMS">
      <formula>NOT(ISERROR(SEARCH("CMS",F36)))</formula>
    </cfRule>
    <cfRule type="cellIs" dxfId="8008" priority="130" operator="equal">
      <formula>0</formula>
    </cfRule>
    <cfRule type="cellIs" dxfId="8007" priority="131" operator="greaterThan">
      <formula>0</formula>
    </cfRule>
  </conditionalFormatting>
  <conditionalFormatting sqref="F20:F21">
    <cfRule type="cellIs" dxfId="8006" priority="120" operator="equal">
      <formula>"PMS"</formula>
    </cfRule>
    <cfRule type="containsText" dxfId="8005" priority="121" operator="containsText" text="CMS">
      <formula>NOT(ISERROR(SEARCH("CMS",F20)))</formula>
    </cfRule>
    <cfRule type="cellIs" dxfId="8004" priority="122" operator="equal">
      <formula>0</formula>
    </cfRule>
    <cfRule type="cellIs" dxfId="8003" priority="123" operator="greaterThan">
      <formula>0</formula>
    </cfRule>
    <cfRule type="cellIs" dxfId="8002" priority="124" operator="equal">
      <formula>"PMS"</formula>
    </cfRule>
    <cfRule type="containsText" dxfId="8001" priority="125" operator="containsText" text="CMS">
      <formula>NOT(ISERROR(SEARCH("CMS",F20)))</formula>
    </cfRule>
    <cfRule type="cellIs" dxfId="8000" priority="126" operator="equal">
      <formula>0</formula>
    </cfRule>
    <cfRule type="cellIs" dxfId="7999" priority="127" operator="greaterThan">
      <formula>0</formula>
    </cfRule>
  </conditionalFormatting>
  <conditionalFormatting sqref="F20:F21">
    <cfRule type="cellIs" dxfId="7998" priority="116" operator="equal">
      <formula>"PMS"</formula>
    </cfRule>
    <cfRule type="containsText" dxfId="7997" priority="117" operator="containsText" text="CMS">
      <formula>NOT(ISERROR(SEARCH("CMS",F20)))</formula>
    </cfRule>
    <cfRule type="cellIs" dxfId="7996" priority="118" operator="equal">
      <formula>0</formula>
    </cfRule>
    <cfRule type="cellIs" dxfId="7995" priority="119" operator="greaterThan">
      <formula>0</formula>
    </cfRule>
  </conditionalFormatting>
  <conditionalFormatting sqref="F33">
    <cfRule type="cellIs" dxfId="7994" priority="108" operator="equal">
      <formula>"PMS"</formula>
    </cfRule>
    <cfRule type="containsText" dxfId="7993" priority="109" operator="containsText" text="CMS">
      <formula>NOT(ISERROR(SEARCH("CMS",F33)))</formula>
    </cfRule>
    <cfRule type="cellIs" dxfId="7992" priority="110" operator="equal">
      <formula>0</formula>
    </cfRule>
    <cfRule type="cellIs" dxfId="7991" priority="111" operator="greaterThan">
      <formula>0</formula>
    </cfRule>
    <cfRule type="cellIs" dxfId="7990" priority="112" operator="equal">
      <formula>"PMS"</formula>
    </cfRule>
    <cfRule type="containsText" dxfId="7989" priority="113" operator="containsText" text="CMS">
      <formula>NOT(ISERROR(SEARCH("CMS",F33)))</formula>
    </cfRule>
    <cfRule type="cellIs" dxfId="7988" priority="114" operator="equal">
      <formula>0</formula>
    </cfRule>
    <cfRule type="cellIs" dxfId="7987" priority="115" operator="greaterThan">
      <formula>0</formula>
    </cfRule>
  </conditionalFormatting>
  <conditionalFormatting sqref="F33">
    <cfRule type="cellIs" dxfId="7986" priority="104" operator="equal">
      <formula>"PMS"</formula>
    </cfRule>
    <cfRule type="containsText" dxfId="7985" priority="105" operator="containsText" text="CMS">
      <formula>NOT(ISERROR(SEARCH("CMS",F33)))</formula>
    </cfRule>
    <cfRule type="cellIs" dxfId="7984" priority="106" operator="equal">
      <formula>0</formula>
    </cfRule>
    <cfRule type="cellIs" dxfId="7983" priority="107" operator="greaterThan">
      <formula>0</formula>
    </cfRule>
  </conditionalFormatting>
  <conditionalFormatting sqref="F67:F75 F78:F79">
    <cfRule type="cellIs" dxfId="7982" priority="96" operator="equal">
      <formula>"PMS"</formula>
    </cfRule>
    <cfRule type="containsText" dxfId="7981" priority="97" operator="containsText" text="CMS">
      <formula>NOT(ISERROR(SEARCH("CMS",F67)))</formula>
    </cfRule>
    <cfRule type="cellIs" dxfId="7980" priority="98" operator="equal">
      <formula>0</formula>
    </cfRule>
    <cfRule type="cellIs" dxfId="7979" priority="99" operator="greaterThan">
      <formula>0</formula>
    </cfRule>
    <cfRule type="cellIs" dxfId="7978" priority="100" operator="equal">
      <formula>"PMS"</formula>
    </cfRule>
    <cfRule type="containsText" dxfId="7977" priority="101" operator="containsText" text="CMS">
      <formula>NOT(ISERROR(SEARCH("CMS",F67)))</formula>
    </cfRule>
    <cfRule type="cellIs" dxfId="7976" priority="102" operator="equal">
      <formula>0</formula>
    </cfRule>
    <cfRule type="cellIs" dxfId="7975" priority="103" operator="greaterThan">
      <formula>0</formula>
    </cfRule>
  </conditionalFormatting>
  <conditionalFormatting sqref="F67:F75 F78:F79">
    <cfRule type="cellIs" dxfId="7974" priority="92" operator="equal">
      <formula>"PMS"</formula>
    </cfRule>
    <cfRule type="containsText" dxfId="7973" priority="93" operator="containsText" text="CMS">
      <formula>NOT(ISERROR(SEARCH("CMS",F67)))</formula>
    </cfRule>
    <cfRule type="cellIs" dxfId="7972" priority="94" operator="equal">
      <formula>0</formula>
    </cfRule>
    <cfRule type="cellIs" dxfId="7971" priority="95" operator="greaterThan">
      <formula>0</formula>
    </cfRule>
  </conditionalFormatting>
  <conditionalFormatting sqref="N15">
    <cfRule type="cellIs" dxfId="7970" priority="84" operator="equal">
      <formula>"PMS"</formula>
    </cfRule>
    <cfRule type="containsText" dxfId="7969" priority="85" operator="containsText" text="CMS">
      <formula>NOT(ISERROR(SEARCH("CMS",N15)))</formula>
    </cfRule>
    <cfRule type="cellIs" dxfId="7968" priority="86" operator="equal">
      <formula>0</formula>
    </cfRule>
    <cfRule type="cellIs" dxfId="7967" priority="87" operator="greaterThan">
      <formula>0</formula>
    </cfRule>
    <cfRule type="cellIs" dxfId="7966" priority="88" operator="equal">
      <formula>"PMS"</formula>
    </cfRule>
    <cfRule type="containsText" dxfId="7965" priority="89" operator="containsText" text="CMS">
      <formula>NOT(ISERROR(SEARCH("CMS",N15)))</formula>
    </cfRule>
    <cfRule type="cellIs" dxfId="7964" priority="90" operator="equal">
      <formula>0</formula>
    </cfRule>
    <cfRule type="cellIs" dxfId="7963" priority="91" operator="greaterThan">
      <formula>0</formula>
    </cfRule>
  </conditionalFormatting>
  <conditionalFormatting sqref="N15">
    <cfRule type="cellIs" dxfId="7962" priority="80" operator="equal">
      <formula>"PMS"</formula>
    </cfRule>
    <cfRule type="containsText" dxfId="7961" priority="81" operator="containsText" text="CMS">
      <formula>NOT(ISERROR(SEARCH("CMS",N15)))</formula>
    </cfRule>
    <cfRule type="cellIs" dxfId="7960" priority="82" operator="equal">
      <formula>0</formula>
    </cfRule>
    <cfRule type="cellIs" dxfId="7959" priority="83" operator="greaterThan">
      <formula>0</formula>
    </cfRule>
  </conditionalFormatting>
  <conditionalFormatting sqref="N16">
    <cfRule type="cellIs" dxfId="7958" priority="72" operator="equal">
      <formula>"PMS"</formula>
    </cfRule>
    <cfRule type="containsText" dxfId="7957" priority="73" operator="containsText" text="CMS">
      <formula>NOT(ISERROR(SEARCH("CMS",N16)))</formula>
    </cfRule>
    <cfRule type="cellIs" dxfId="7956" priority="74" operator="equal">
      <formula>0</formula>
    </cfRule>
    <cfRule type="cellIs" dxfId="7955" priority="75" operator="greaterThan">
      <formula>0</formula>
    </cfRule>
    <cfRule type="cellIs" dxfId="7954" priority="76" operator="equal">
      <formula>"PMS"</formula>
    </cfRule>
    <cfRule type="containsText" dxfId="7953" priority="77" operator="containsText" text="CMS">
      <formula>NOT(ISERROR(SEARCH("CMS",N16)))</formula>
    </cfRule>
    <cfRule type="cellIs" dxfId="7952" priority="78" operator="equal">
      <formula>0</formula>
    </cfRule>
    <cfRule type="cellIs" dxfId="7951" priority="79" operator="greaterThan">
      <formula>0</formula>
    </cfRule>
  </conditionalFormatting>
  <conditionalFormatting sqref="N16">
    <cfRule type="cellIs" dxfId="7950" priority="68" operator="equal">
      <formula>"PMS"</formula>
    </cfRule>
    <cfRule type="containsText" dxfId="7949" priority="69" operator="containsText" text="CMS">
      <formula>NOT(ISERROR(SEARCH("CMS",N16)))</formula>
    </cfRule>
    <cfRule type="cellIs" dxfId="7948" priority="70" operator="equal">
      <formula>0</formula>
    </cfRule>
    <cfRule type="cellIs" dxfId="7947" priority="71" operator="greaterThan">
      <formula>0</formula>
    </cfRule>
  </conditionalFormatting>
  <conditionalFormatting sqref="O21">
    <cfRule type="cellIs" dxfId="7946" priority="60" operator="equal">
      <formula>"PMS"</formula>
    </cfRule>
    <cfRule type="containsText" dxfId="7945" priority="61" operator="containsText" text="CMS">
      <formula>NOT(ISERROR(SEARCH("CMS",O21)))</formula>
    </cfRule>
    <cfRule type="cellIs" dxfId="7944" priority="62" operator="equal">
      <formula>0</formula>
    </cfRule>
    <cfRule type="cellIs" dxfId="7943" priority="63" operator="greaterThan">
      <formula>0</formula>
    </cfRule>
    <cfRule type="cellIs" dxfId="7942" priority="64" operator="equal">
      <formula>"PMS"</formula>
    </cfRule>
    <cfRule type="containsText" dxfId="7941" priority="65" operator="containsText" text="CMS">
      <formula>NOT(ISERROR(SEARCH("CMS",O21)))</formula>
    </cfRule>
    <cfRule type="cellIs" dxfId="7940" priority="66" operator="equal">
      <formula>0</formula>
    </cfRule>
    <cfRule type="cellIs" dxfId="7939" priority="67" operator="greaterThan">
      <formula>0</formula>
    </cfRule>
  </conditionalFormatting>
  <conditionalFormatting sqref="O21">
    <cfRule type="cellIs" dxfId="7938" priority="56" operator="equal">
      <formula>"PMS"</formula>
    </cfRule>
    <cfRule type="containsText" dxfId="7937" priority="57" operator="containsText" text="CMS">
      <formula>NOT(ISERROR(SEARCH("CMS",O21)))</formula>
    </cfRule>
    <cfRule type="cellIs" dxfId="7936" priority="58" operator="equal">
      <formula>0</formula>
    </cfRule>
    <cfRule type="cellIs" dxfId="7935" priority="59" operator="greaterThan">
      <formula>0</formula>
    </cfRule>
  </conditionalFormatting>
  <conditionalFormatting sqref="F13:F16">
    <cfRule type="cellIs" dxfId="7934" priority="48" operator="equal">
      <formula>"PMS"</formula>
    </cfRule>
    <cfRule type="containsText" dxfId="7933" priority="49" operator="containsText" text="CMS">
      <formula>NOT(ISERROR(SEARCH("CMS",F13)))</formula>
    </cfRule>
    <cfRule type="cellIs" dxfId="7932" priority="50" operator="equal">
      <formula>0</formula>
    </cfRule>
    <cfRule type="cellIs" dxfId="7931" priority="51" operator="greaterThan">
      <formula>0</formula>
    </cfRule>
    <cfRule type="cellIs" dxfId="7930" priority="52" operator="equal">
      <formula>"PMS"</formula>
    </cfRule>
    <cfRule type="containsText" dxfId="7929" priority="53" operator="containsText" text="CMS">
      <formula>NOT(ISERROR(SEARCH("CMS",F13)))</formula>
    </cfRule>
    <cfRule type="cellIs" dxfId="7928" priority="54" operator="equal">
      <formula>0</formula>
    </cfRule>
    <cfRule type="cellIs" dxfId="7927" priority="55" operator="greaterThan">
      <formula>0</formula>
    </cfRule>
  </conditionalFormatting>
  <conditionalFormatting sqref="F13:F16">
    <cfRule type="cellIs" dxfId="7926" priority="44" operator="equal">
      <formula>"PMS"</formula>
    </cfRule>
    <cfRule type="containsText" dxfId="7925" priority="45" operator="containsText" text="CMS">
      <formula>NOT(ISERROR(SEARCH("CMS",F13)))</formula>
    </cfRule>
    <cfRule type="cellIs" dxfId="7924" priority="46" operator="equal">
      <formula>0</formula>
    </cfRule>
    <cfRule type="cellIs" dxfId="7923" priority="47" operator="greaterThan">
      <formula>0</formula>
    </cfRule>
  </conditionalFormatting>
  <conditionalFormatting sqref="F27:F30 G28">
    <cfRule type="cellIs" dxfId="7922" priority="36" operator="equal">
      <formula>"PMS"</formula>
    </cfRule>
    <cfRule type="containsText" dxfId="7921" priority="37" operator="containsText" text="CMS">
      <formula>NOT(ISERROR(SEARCH("CMS",F27)))</formula>
    </cfRule>
    <cfRule type="cellIs" dxfId="7920" priority="38" operator="equal">
      <formula>0</formula>
    </cfRule>
    <cfRule type="cellIs" dxfId="7919" priority="39" operator="greaterThan">
      <formula>0</formula>
    </cfRule>
    <cfRule type="cellIs" dxfId="7918" priority="40" operator="equal">
      <formula>"PMS"</formula>
    </cfRule>
    <cfRule type="containsText" dxfId="7917" priority="41" operator="containsText" text="CMS">
      <formula>NOT(ISERROR(SEARCH("CMS",F27)))</formula>
    </cfRule>
    <cfRule type="cellIs" dxfId="7916" priority="42" operator="equal">
      <formula>0</formula>
    </cfRule>
    <cfRule type="cellIs" dxfId="7915" priority="43" operator="greaterThan">
      <formula>0</formula>
    </cfRule>
  </conditionalFormatting>
  <conditionalFormatting sqref="F27:F30 G28">
    <cfRule type="cellIs" dxfId="7914" priority="32" operator="equal">
      <formula>"PMS"</formula>
    </cfRule>
    <cfRule type="containsText" dxfId="7913" priority="33" operator="containsText" text="CMS">
      <formula>NOT(ISERROR(SEARCH("CMS",F27)))</formula>
    </cfRule>
    <cfRule type="cellIs" dxfId="7912" priority="34" operator="equal">
      <formula>0</formula>
    </cfRule>
    <cfRule type="cellIs" dxfId="7911" priority="35" operator="greaterThan">
      <formula>0</formula>
    </cfRule>
  </conditionalFormatting>
  <conditionalFormatting sqref="F49">
    <cfRule type="cellIs" dxfId="7910" priority="24" operator="equal">
      <formula>"PMS"</formula>
    </cfRule>
    <cfRule type="containsText" dxfId="7909" priority="25" operator="containsText" text="CMS">
      <formula>NOT(ISERROR(SEARCH("CMS",F49)))</formula>
    </cfRule>
    <cfRule type="cellIs" dxfId="7908" priority="26" operator="equal">
      <formula>0</formula>
    </cfRule>
    <cfRule type="cellIs" dxfId="7907" priority="27" operator="greaterThan">
      <formula>0</formula>
    </cfRule>
    <cfRule type="cellIs" dxfId="7906" priority="28" operator="equal">
      <formula>"PMS"</formula>
    </cfRule>
    <cfRule type="containsText" dxfId="7905" priority="29" operator="containsText" text="CMS">
      <formula>NOT(ISERROR(SEARCH("CMS",F49)))</formula>
    </cfRule>
    <cfRule type="cellIs" dxfId="7904" priority="30" operator="equal">
      <formula>0</formula>
    </cfRule>
    <cfRule type="cellIs" dxfId="7903" priority="31" operator="greaterThan">
      <formula>0</formula>
    </cfRule>
  </conditionalFormatting>
  <conditionalFormatting sqref="F49">
    <cfRule type="cellIs" dxfId="7902" priority="20" operator="equal">
      <formula>"PMS"</formula>
    </cfRule>
    <cfRule type="containsText" dxfId="7901" priority="21" operator="containsText" text="CMS">
      <formula>NOT(ISERROR(SEARCH("CMS",F49)))</formula>
    </cfRule>
    <cfRule type="cellIs" dxfId="7900" priority="22" operator="equal">
      <formula>0</formula>
    </cfRule>
    <cfRule type="cellIs" dxfId="7899" priority="23" operator="greaterThan">
      <formula>0</formula>
    </cfRule>
  </conditionalFormatting>
  <conditionalFormatting sqref="F62:F64">
    <cfRule type="cellIs" dxfId="7898" priority="12" operator="equal">
      <formula>"PMS"</formula>
    </cfRule>
    <cfRule type="containsText" dxfId="7897" priority="13" operator="containsText" text="CMS">
      <formula>NOT(ISERROR(SEARCH("CMS",F62)))</formula>
    </cfRule>
    <cfRule type="cellIs" dxfId="7896" priority="14" operator="equal">
      <formula>0</formula>
    </cfRule>
    <cfRule type="cellIs" dxfId="7895" priority="15" operator="greaterThan">
      <formula>0</formula>
    </cfRule>
    <cfRule type="cellIs" dxfId="7894" priority="16" operator="equal">
      <formula>"PMS"</formula>
    </cfRule>
    <cfRule type="containsText" dxfId="7893" priority="17" operator="containsText" text="CMS">
      <formula>NOT(ISERROR(SEARCH("CMS",F62)))</formula>
    </cfRule>
    <cfRule type="cellIs" dxfId="7892" priority="18" operator="equal">
      <formula>0</formula>
    </cfRule>
    <cfRule type="cellIs" dxfId="7891" priority="19" operator="greaterThan">
      <formula>0</formula>
    </cfRule>
  </conditionalFormatting>
  <conditionalFormatting sqref="F62:F64">
    <cfRule type="cellIs" dxfId="7890" priority="8" operator="equal">
      <formula>"PMS"</formula>
    </cfRule>
    <cfRule type="containsText" dxfId="7889" priority="9" operator="containsText" text="CMS">
      <formula>NOT(ISERROR(SEARCH("CMS",F62)))</formula>
    </cfRule>
    <cfRule type="cellIs" dxfId="7888" priority="10" operator="equal">
      <formula>0</formula>
    </cfRule>
    <cfRule type="cellIs" dxfId="7887" priority="11" operator="greaterThan">
      <formula>0</formula>
    </cfRule>
  </conditionalFormatting>
  <conditionalFormatting sqref="G112:AC112 L111:M111">
    <cfRule type="cellIs" dxfId="7886" priority="7" operator="greaterThan">
      <formula>60.3</formula>
    </cfRule>
  </conditionalFormatting>
  <conditionalFormatting sqref="F111:I111">
    <cfRule type="cellIs" dxfId="7885" priority="5" operator="greaterThan">
      <formula>60.3</formula>
    </cfRule>
  </conditionalFormatting>
  <conditionalFormatting sqref="J111:K111">
    <cfRule type="cellIs" dxfId="7884" priority="3" operator="greaterThan">
      <formula>60.3</formula>
    </cfRule>
  </conditionalFormatting>
  <conditionalFormatting sqref="N111">
    <cfRule type="cellIs" dxfId="7883" priority="2" operator="greaterThan">
      <formula>60.3</formula>
    </cfRule>
  </conditionalFormatting>
  <conditionalFormatting sqref="O111:AC111">
    <cfRule type="cellIs" dxfId="7882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974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05C52-8F32-4905-9ECF-1B258C541B38}">
  <sheetPr codeName="Sheet163"/>
  <dimension ref="A2:DT140"/>
  <sheetViews>
    <sheetView zoomScale="70" zoomScaleNormal="70" zoomScaleSheetLayoutView="51" zoomScalePageLayoutView="55" workbookViewId="0">
      <pane xSplit="5" ySplit="11" topLeftCell="F12" activePane="bottomRight" state="frozen"/>
      <selection pane="bottomRight" activeCell="M84" sqref="M84"/>
      <selection pane="bottomLeft" activeCell="AJ44" sqref="AJ44"/>
      <selection pane="topRight" activeCell="AJ44" sqref="AJ4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4">
      <c r="C2" s="16"/>
      <c r="D2" s="23" t="s">
        <v>1</v>
      </c>
      <c r="E2" s="22" t="s">
        <v>2</v>
      </c>
      <c r="F2" s="22"/>
    </row>
    <row r="3" spans="1:44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4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  <c r="AR4">
        <f>2.73/2</f>
        <v>1.365</v>
      </c>
    </row>
    <row r="5" spans="1:44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4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4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4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23"/>
      <c r="N8" s="523"/>
      <c r="O8" s="52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4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24" t="e" cm="1">
        <f t="array" aca="1" ref="M9" ca="1">TEXT(TODAY(),"mmmm")&amp;" "&amp;MID(CELL("filename",A1),FIND("]",CELL("filename",A1))+1,255)&amp;", "&amp;TEXT(TODAY(),"yyyy")</f>
        <v>#VALUE!</v>
      </c>
      <c r="N9" s="524"/>
      <c r="O9" s="524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4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4"/>
      <c r="R10" s="344"/>
      <c r="S10" s="344"/>
      <c r="T10" s="344"/>
      <c r="U10" s="344"/>
      <c r="V10" s="344"/>
      <c r="W10" s="344"/>
      <c r="X10" s="344"/>
      <c r="Y10" s="344"/>
      <c r="Z10" s="344"/>
      <c r="AA10" s="344"/>
      <c r="AB10" s="344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4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4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17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551.49999999999977</v>
      </c>
    </row>
    <row r="13" spans="1:44">
      <c r="A13" s="14" t="s">
        <v>22</v>
      </c>
      <c r="B13" s="15"/>
      <c r="C13" s="15">
        <v>7.2</v>
      </c>
      <c r="D13" s="15"/>
      <c r="E13" s="15"/>
      <c r="F13" s="372">
        <v>0</v>
      </c>
      <c r="G13" s="372">
        <v>0</v>
      </c>
      <c r="H13" s="372">
        <v>0</v>
      </c>
      <c r="I13" s="372" t="s">
        <v>9</v>
      </c>
      <c r="J13" s="372" t="s">
        <v>9</v>
      </c>
      <c r="K13" s="372">
        <v>2.9</v>
      </c>
      <c r="L13" s="374">
        <v>6.7</v>
      </c>
      <c r="M13" s="372">
        <v>6.2</v>
      </c>
      <c r="N13" s="372">
        <v>6.7</v>
      </c>
      <c r="O13" s="372">
        <v>6.7</v>
      </c>
      <c r="P13" s="372">
        <v>6.7</v>
      </c>
      <c r="Q13" s="372">
        <v>6.7</v>
      </c>
      <c r="R13" s="372">
        <v>6.7</v>
      </c>
      <c r="S13" s="372">
        <v>6.7</v>
      </c>
      <c r="T13" s="372">
        <v>6.6</v>
      </c>
      <c r="U13" s="372">
        <v>6.5</v>
      </c>
      <c r="V13" s="372">
        <v>6.7</v>
      </c>
      <c r="W13" s="372">
        <v>6.5</v>
      </c>
      <c r="X13" s="372">
        <v>6.4</v>
      </c>
      <c r="Y13" s="372">
        <v>6.7</v>
      </c>
      <c r="Z13" s="372">
        <v>6.7</v>
      </c>
      <c r="AA13" s="372">
        <v>6.5</v>
      </c>
      <c r="AB13" s="372">
        <v>6.8</v>
      </c>
      <c r="AC13" s="372">
        <v>6.6</v>
      </c>
      <c r="AD13" s="41"/>
      <c r="AE13" s="41"/>
      <c r="AF13" s="11">
        <f>COUNTIF(F13:AC13,$AJ$8)</f>
        <v>2</v>
      </c>
      <c r="AG13" s="11">
        <f>COUNTIF(F13:AD13,$AJ$7)</f>
        <v>0</v>
      </c>
      <c r="AH13" s="11">
        <f>COUNT(F13:AC13)</f>
        <v>22</v>
      </c>
    </row>
    <row r="14" spans="1:44">
      <c r="A14" s="14" t="s">
        <v>23</v>
      </c>
      <c r="B14" s="15"/>
      <c r="C14" s="15">
        <v>7.2</v>
      </c>
      <c r="D14" s="15"/>
      <c r="E14" s="15"/>
      <c r="F14" s="372">
        <v>6.7</v>
      </c>
      <c r="G14" s="372">
        <v>6.7</v>
      </c>
      <c r="H14" s="374">
        <v>6.7</v>
      </c>
      <c r="I14" s="372">
        <v>6.5</v>
      </c>
      <c r="J14" s="372">
        <v>6.7</v>
      </c>
      <c r="K14" s="372">
        <v>5.5</v>
      </c>
      <c r="L14" s="372">
        <v>6.8</v>
      </c>
      <c r="M14" s="372">
        <v>6.3</v>
      </c>
      <c r="N14" s="372">
        <v>6.7</v>
      </c>
      <c r="O14" s="372">
        <v>6.7</v>
      </c>
      <c r="P14" s="372">
        <v>6.7</v>
      </c>
      <c r="Q14" s="372">
        <v>6.7</v>
      </c>
      <c r="R14" s="372">
        <v>6.7</v>
      </c>
      <c r="S14" s="372">
        <v>6.7</v>
      </c>
      <c r="T14" s="372">
        <v>6.6</v>
      </c>
      <c r="U14" s="372">
        <v>6.5</v>
      </c>
      <c r="V14" s="372">
        <v>6.7</v>
      </c>
      <c r="W14" s="372">
        <v>6.5</v>
      </c>
      <c r="X14" s="372">
        <v>6.4</v>
      </c>
      <c r="Y14" s="372">
        <v>6.7</v>
      </c>
      <c r="Z14" s="372">
        <v>6.5</v>
      </c>
      <c r="AA14" s="372">
        <v>6.5</v>
      </c>
      <c r="AB14" s="372">
        <v>6.7</v>
      </c>
      <c r="AC14" s="372">
        <v>6.5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4">
      <c r="A15" s="66" t="s">
        <v>24</v>
      </c>
      <c r="B15" s="15"/>
      <c r="C15" s="15">
        <v>7.2</v>
      </c>
      <c r="D15" s="15"/>
      <c r="E15" s="15"/>
      <c r="F15" s="372">
        <v>6.7</v>
      </c>
      <c r="G15" s="372">
        <v>6.7</v>
      </c>
      <c r="H15" s="374">
        <v>6.7</v>
      </c>
      <c r="I15" s="372">
        <v>6.6</v>
      </c>
      <c r="J15" s="372">
        <v>6.6</v>
      </c>
      <c r="K15" s="374">
        <v>5.7</v>
      </c>
      <c r="L15" s="374">
        <v>0</v>
      </c>
      <c r="M15" s="374">
        <v>0</v>
      </c>
      <c r="N15" s="372">
        <v>0</v>
      </c>
      <c r="O15" s="372">
        <v>0</v>
      </c>
      <c r="P15" s="372">
        <v>1.5</v>
      </c>
      <c r="Q15" s="372">
        <v>6.7</v>
      </c>
      <c r="R15" s="372">
        <v>6.7</v>
      </c>
      <c r="S15" s="372">
        <v>6.7</v>
      </c>
      <c r="T15" s="372">
        <v>6.6</v>
      </c>
      <c r="U15" s="372">
        <v>6.5</v>
      </c>
      <c r="V15" s="372">
        <v>6.7</v>
      </c>
      <c r="W15" s="372">
        <v>6.5</v>
      </c>
      <c r="X15" s="372">
        <v>6.4</v>
      </c>
      <c r="Y15" s="372">
        <v>6.7</v>
      </c>
      <c r="Z15" s="372">
        <v>6.5</v>
      </c>
      <c r="AA15" s="372">
        <v>6.5</v>
      </c>
      <c r="AB15" s="372"/>
      <c r="AC15" s="372"/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22</v>
      </c>
    </row>
    <row r="16" spans="1:44">
      <c r="A16" s="14" t="s">
        <v>25</v>
      </c>
      <c r="B16" s="15"/>
      <c r="C16" s="15">
        <v>7.2</v>
      </c>
      <c r="D16" s="15"/>
      <c r="E16" s="15"/>
      <c r="F16" s="372">
        <v>6.7</v>
      </c>
      <c r="G16" s="372">
        <v>6.7</v>
      </c>
      <c r="H16" s="374">
        <v>6.7</v>
      </c>
      <c r="I16" s="372">
        <v>6.4</v>
      </c>
      <c r="J16" s="372">
        <v>6.6</v>
      </c>
      <c r="K16" s="374">
        <v>6</v>
      </c>
      <c r="L16" s="374">
        <v>6.9</v>
      </c>
      <c r="M16" s="374">
        <v>6.5</v>
      </c>
      <c r="N16" s="372">
        <v>6.7</v>
      </c>
      <c r="O16" s="372">
        <v>6.7</v>
      </c>
      <c r="P16" s="372">
        <v>6.7</v>
      </c>
      <c r="Q16" s="372">
        <v>6.7</v>
      </c>
      <c r="R16" s="372">
        <v>6.7</v>
      </c>
      <c r="S16" s="372">
        <v>6.7</v>
      </c>
      <c r="T16" s="372">
        <v>6.6</v>
      </c>
      <c r="U16" s="372">
        <v>6.5</v>
      </c>
      <c r="V16" s="372">
        <v>6.7</v>
      </c>
      <c r="W16" s="372">
        <v>6.5</v>
      </c>
      <c r="X16" s="372">
        <v>6.4</v>
      </c>
      <c r="Y16" s="372">
        <v>6.7</v>
      </c>
      <c r="Z16" s="372">
        <v>6.5</v>
      </c>
      <c r="AA16" s="372">
        <v>6.5</v>
      </c>
      <c r="AB16" s="372">
        <v>7</v>
      </c>
      <c r="AC16" s="372">
        <v>6.7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20.100000000000001</v>
      </c>
      <c r="G17" s="19">
        <f t="shared" ref="G17:AC17" si="1">SUM(G13:G16)</f>
        <v>20.100000000000001</v>
      </c>
      <c r="H17" s="19">
        <f t="shared" si="1"/>
        <v>20.100000000000001</v>
      </c>
      <c r="I17" s="19">
        <f t="shared" si="1"/>
        <v>19.5</v>
      </c>
      <c r="J17" s="19">
        <f t="shared" si="1"/>
        <v>19.899999999999999</v>
      </c>
      <c r="K17" s="19">
        <f t="shared" si="1"/>
        <v>20.100000000000001</v>
      </c>
      <c r="L17" s="19">
        <f t="shared" si="1"/>
        <v>20.399999999999999</v>
      </c>
      <c r="M17" s="19">
        <f t="shared" si="1"/>
        <v>19</v>
      </c>
      <c r="N17" s="19">
        <f t="shared" si="1"/>
        <v>20.100000000000001</v>
      </c>
      <c r="O17" s="19">
        <f t="shared" si="1"/>
        <v>20.100000000000001</v>
      </c>
      <c r="P17" s="19">
        <f t="shared" si="1"/>
        <v>21.6</v>
      </c>
      <c r="Q17" s="19">
        <f t="shared" si="1"/>
        <v>26.8</v>
      </c>
      <c r="R17" s="19">
        <f t="shared" si="1"/>
        <v>26.8</v>
      </c>
      <c r="S17" s="19">
        <f t="shared" si="1"/>
        <v>26.8</v>
      </c>
      <c r="T17" s="19">
        <f t="shared" si="1"/>
        <v>26.4</v>
      </c>
      <c r="U17" s="19">
        <f t="shared" si="1"/>
        <v>26</v>
      </c>
      <c r="V17" s="19">
        <f t="shared" si="1"/>
        <v>26.8</v>
      </c>
      <c r="W17" s="19">
        <f t="shared" si="1"/>
        <v>26</v>
      </c>
      <c r="X17" s="19">
        <f t="shared" si="1"/>
        <v>25.6</v>
      </c>
      <c r="Y17" s="19">
        <f t="shared" si="1"/>
        <v>26.8</v>
      </c>
      <c r="Z17" s="19">
        <f t="shared" si="1"/>
        <v>26.2</v>
      </c>
      <c r="AA17" s="19">
        <f t="shared" si="1"/>
        <v>26</v>
      </c>
      <c r="AB17" s="19">
        <f t="shared" si="1"/>
        <v>20.5</v>
      </c>
      <c r="AC17" s="19">
        <f t="shared" si="1"/>
        <v>19.8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98.699999999999989</v>
      </c>
    </row>
    <row r="19" spans="1:51">
      <c r="A19" s="14" t="s">
        <v>22</v>
      </c>
      <c r="B19" s="15"/>
      <c r="C19" s="15">
        <v>3</v>
      </c>
      <c r="D19" s="15"/>
      <c r="E19" s="15"/>
      <c r="F19" s="372"/>
      <c r="G19" s="372"/>
      <c r="H19" s="372"/>
      <c r="I19" s="372"/>
      <c r="J19" s="372"/>
      <c r="K19" s="374"/>
      <c r="L19" s="374"/>
      <c r="M19" s="374"/>
      <c r="N19" s="374">
        <v>0.8</v>
      </c>
      <c r="O19" s="372">
        <v>2.8</v>
      </c>
      <c r="P19" s="374">
        <v>2.8</v>
      </c>
      <c r="Q19" s="372">
        <v>2.8</v>
      </c>
      <c r="R19" s="372">
        <v>2.8</v>
      </c>
      <c r="S19" s="372">
        <v>2</v>
      </c>
      <c r="T19" s="372">
        <v>2.5</v>
      </c>
      <c r="U19" s="372">
        <v>2.5</v>
      </c>
      <c r="V19" s="372">
        <v>2</v>
      </c>
      <c r="W19" s="372">
        <v>2</v>
      </c>
      <c r="X19" s="372">
        <v>2.5</v>
      </c>
      <c r="Y19" s="372">
        <v>2.8</v>
      </c>
      <c r="Z19" s="372">
        <v>2.7</v>
      </c>
      <c r="AA19" s="372"/>
      <c r="AB19" s="372"/>
      <c r="AC19" s="372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13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372"/>
      <c r="G20" s="372"/>
      <c r="H20" s="372"/>
      <c r="I20" s="372"/>
      <c r="J20" s="372"/>
      <c r="K20" s="374"/>
      <c r="L20" s="374"/>
      <c r="M20" s="374"/>
      <c r="N20" s="372"/>
      <c r="O20" s="372"/>
      <c r="P20" s="372"/>
      <c r="Q20" s="372"/>
      <c r="R20" s="372"/>
      <c r="S20" s="372"/>
      <c r="T20" s="372"/>
      <c r="U20" s="372"/>
      <c r="V20" s="372"/>
      <c r="W20" s="372"/>
      <c r="X20" s="372"/>
      <c r="Y20" s="372"/>
      <c r="Z20" s="372"/>
      <c r="AA20" s="372"/>
      <c r="AB20" s="372"/>
      <c r="AC20" s="372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2">
        <v>3</v>
      </c>
      <c r="G21" s="372">
        <v>3</v>
      </c>
      <c r="H21" s="372"/>
      <c r="I21" s="372"/>
      <c r="J21" s="372"/>
      <c r="K21" s="374"/>
      <c r="L21" s="374">
        <v>3.5</v>
      </c>
      <c r="M21" s="374">
        <v>3</v>
      </c>
      <c r="N21" s="372">
        <v>3.8</v>
      </c>
      <c r="O21" s="372">
        <v>3.8</v>
      </c>
      <c r="P21" s="372">
        <v>3.8</v>
      </c>
      <c r="Q21" s="372">
        <v>3.8</v>
      </c>
      <c r="R21" s="372">
        <v>3.8</v>
      </c>
      <c r="S21" s="372">
        <v>3</v>
      </c>
      <c r="T21" s="372">
        <v>3.5</v>
      </c>
      <c r="U21" s="372">
        <v>3.5</v>
      </c>
      <c r="V21" s="372">
        <v>3</v>
      </c>
      <c r="W21" s="372">
        <v>3</v>
      </c>
      <c r="X21" s="372">
        <v>3</v>
      </c>
      <c r="Y21" s="372">
        <v>3.8</v>
      </c>
      <c r="Z21" s="372">
        <v>3.5</v>
      </c>
      <c r="AA21" s="372">
        <v>3</v>
      </c>
      <c r="AB21" s="372">
        <v>3.9</v>
      </c>
      <c r="AC21" s="372">
        <v>3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3</v>
      </c>
      <c r="G22" s="19">
        <f t="shared" ref="G22:AC22" si="3">SUM(G19:G21)</f>
        <v>3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3.5</v>
      </c>
      <c r="M22" s="19">
        <f t="shared" si="3"/>
        <v>3</v>
      </c>
      <c r="N22" s="19">
        <f t="shared" si="3"/>
        <v>4.5999999999999996</v>
      </c>
      <c r="O22" s="19">
        <f t="shared" si="3"/>
        <v>6.6</v>
      </c>
      <c r="P22" s="19">
        <f t="shared" si="3"/>
        <v>6.6</v>
      </c>
      <c r="Q22" s="19">
        <f t="shared" si="3"/>
        <v>6.6</v>
      </c>
      <c r="R22" s="19">
        <f t="shared" si="3"/>
        <v>6.6</v>
      </c>
      <c r="S22" s="19">
        <f>SUM(S19:S21)</f>
        <v>5</v>
      </c>
      <c r="T22" s="19">
        <f t="shared" ref="T22" si="4">SUM(T19:T21)</f>
        <v>6</v>
      </c>
      <c r="U22" s="19">
        <f t="shared" si="3"/>
        <v>6</v>
      </c>
      <c r="V22" s="19">
        <f t="shared" si="3"/>
        <v>5</v>
      </c>
      <c r="W22" s="19">
        <f t="shared" si="3"/>
        <v>5</v>
      </c>
      <c r="X22" s="19">
        <f t="shared" si="3"/>
        <v>5.5</v>
      </c>
      <c r="Y22" s="19">
        <f t="shared" si="3"/>
        <v>6.6</v>
      </c>
      <c r="Z22" s="19">
        <f t="shared" si="3"/>
        <v>6.2</v>
      </c>
      <c r="AA22" s="19">
        <f t="shared" si="3"/>
        <v>3</v>
      </c>
      <c r="AB22" s="19">
        <f>SUM(AB19:AB21)</f>
        <v>3.9</v>
      </c>
      <c r="AC22" s="19">
        <f t="shared" si="3"/>
        <v>3</v>
      </c>
      <c r="AD22" s="41"/>
      <c r="AE22" s="41"/>
      <c r="AF22" s="11"/>
      <c r="AG22" s="11"/>
      <c r="AH22" s="11"/>
      <c r="AI22" s="400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409">
        <f>SUM(F24:AC24)</f>
        <v>56.999999999999986</v>
      </c>
    </row>
    <row r="24" spans="1:51">
      <c r="A24" s="14" t="s">
        <v>22</v>
      </c>
      <c r="B24" s="20"/>
      <c r="C24" s="15">
        <v>4.5</v>
      </c>
      <c r="D24" s="15"/>
      <c r="E24" s="15"/>
      <c r="F24" s="372">
        <v>3</v>
      </c>
      <c r="G24" s="372"/>
      <c r="H24" s="372"/>
      <c r="I24" s="372"/>
      <c r="J24" s="372"/>
      <c r="K24" s="374"/>
      <c r="L24" s="374"/>
      <c r="M24" s="374"/>
      <c r="N24" s="372">
        <v>1.8</v>
      </c>
      <c r="O24" s="372">
        <v>3.8</v>
      </c>
      <c r="P24" s="372">
        <v>3.8</v>
      </c>
      <c r="Q24" s="374">
        <v>3.8</v>
      </c>
      <c r="R24" s="372">
        <v>3.8</v>
      </c>
      <c r="S24" s="372">
        <v>3.8</v>
      </c>
      <c r="T24" s="372">
        <v>3</v>
      </c>
      <c r="U24" s="372">
        <v>3</v>
      </c>
      <c r="V24" s="372">
        <v>3</v>
      </c>
      <c r="W24" s="372">
        <v>3</v>
      </c>
      <c r="X24" s="372">
        <v>3</v>
      </c>
      <c r="Y24" s="372">
        <v>3.8</v>
      </c>
      <c r="Z24" s="372">
        <v>3.8</v>
      </c>
      <c r="AA24" s="372">
        <v>3.8</v>
      </c>
      <c r="AB24" s="372">
        <v>3.8</v>
      </c>
      <c r="AC24" s="372">
        <v>3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17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3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1.8</v>
      </c>
      <c r="O25" s="19">
        <f t="shared" si="6"/>
        <v>3.8</v>
      </c>
      <c r="P25" s="19">
        <f t="shared" si="6"/>
        <v>3.8</v>
      </c>
      <c r="Q25" s="19">
        <f t="shared" si="6"/>
        <v>3.8</v>
      </c>
      <c r="R25" s="19">
        <f t="shared" si="6"/>
        <v>3.8</v>
      </c>
      <c r="S25" s="19">
        <f t="shared" si="6"/>
        <v>3.8</v>
      </c>
      <c r="T25" s="19">
        <f t="shared" si="6"/>
        <v>3</v>
      </c>
      <c r="U25" s="19">
        <f t="shared" si="6"/>
        <v>3</v>
      </c>
      <c r="V25" s="19">
        <f t="shared" si="6"/>
        <v>3</v>
      </c>
      <c r="W25" s="19">
        <f t="shared" si="6"/>
        <v>3</v>
      </c>
      <c r="X25" s="19">
        <f t="shared" si="6"/>
        <v>3</v>
      </c>
      <c r="Y25" s="19">
        <f t="shared" si="6"/>
        <v>3.8</v>
      </c>
      <c r="Z25" s="19">
        <f t="shared" si="6"/>
        <v>3.8</v>
      </c>
      <c r="AA25" s="19">
        <f t="shared" si="6"/>
        <v>3.8</v>
      </c>
      <c r="AB25" s="19">
        <f t="shared" si="6"/>
        <v>3.8</v>
      </c>
      <c r="AC25" s="19">
        <f t="shared" si="6"/>
        <v>3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88.9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2" t="s">
        <v>9</v>
      </c>
      <c r="G27" s="372" t="s">
        <v>9</v>
      </c>
      <c r="H27" s="372" t="s">
        <v>9</v>
      </c>
      <c r="I27" s="372" t="s">
        <v>9</v>
      </c>
      <c r="J27" s="374" t="s">
        <v>9</v>
      </c>
      <c r="K27" s="374" t="s">
        <v>9</v>
      </c>
      <c r="L27" s="374" t="s">
        <v>9</v>
      </c>
      <c r="M27" s="374" t="s">
        <v>9</v>
      </c>
      <c r="N27" s="372" t="s">
        <v>9</v>
      </c>
      <c r="O27" s="372" t="s">
        <v>9</v>
      </c>
      <c r="P27" s="372" t="s">
        <v>9</v>
      </c>
      <c r="Q27" s="372" t="s">
        <v>9</v>
      </c>
      <c r="R27" s="372" t="s">
        <v>9</v>
      </c>
      <c r="S27" s="372" t="s">
        <v>9</v>
      </c>
      <c r="T27" s="372" t="s">
        <v>9</v>
      </c>
      <c r="U27" s="374" t="s">
        <v>9</v>
      </c>
      <c r="V27" s="372" t="s">
        <v>9</v>
      </c>
      <c r="W27" s="372" t="s">
        <v>9</v>
      </c>
      <c r="X27" s="372" t="s">
        <v>9</v>
      </c>
      <c r="Y27" s="372" t="s">
        <v>9</v>
      </c>
      <c r="Z27" s="372" t="s">
        <v>9</v>
      </c>
      <c r="AA27" s="372" t="s">
        <v>9</v>
      </c>
      <c r="AB27" s="372" t="s">
        <v>9</v>
      </c>
      <c r="AC27" s="372" t="s">
        <v>9</v>
      </c>
      <c r="AD27" s="41"/>
      <c r="AE27" s="41"/>
      <c r="AF27" s="11">
        <f>COUNTIF(F27:AC27,$AJ$8)</f>
        <v>24</v>
      </c>
      <c r="AG27" s="11">
        <f>COUNTIF(G27:AD27,$AJ$7)</f>
        <v>0</v>
      </c>
      <c r="AH27" s="11">
        <f>COUNT(F27:AC27)</f>
        <v>0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2">
        <v>3</v>
      </c>
      <c r="G28" s="372">
        <v>3</v>
      </c>
      <c r="H28" s="372">
        <v>4.0999999999999996</v>
      </c>
      <c r="I28" s="372">
        <v>3</v>
      </c>
      <c r="J28" s="372">
        <v>3</v>
      </c>
      <c r="K28" s="374">
        <v>4</v>
      </c>
      <c r="L28" s="374">
        <v>4.4000000000000004</v>
      </c>
      <c r="M28" s="374">
        <v>3.5</v>
      </c>
      <c r="N28" s="372">
        <v>4.3</v>
      </c>
      <c r="O28" s="372">
        <v>4</v>
      </c>
      <c r="P28" s="372">
        <v>4.2</v>
      </c>
      <c r="Q28" s="372">
        <v>4.2</v>
      </c>
      <c r="R28" s="372">
        <v>4.2</v>
      </c>
      <c r="S28" s="372">
        <v>4.0999999999999996</v>
      </c>
      <c r="T28" s="372">
        <v>4.0999999999999996</v>
      </c>
      <c r="U28" s="374">
        <v>4</v>
      </c>
      <c r="V28" s="372">
        <v>4.0999999999999996</v>
      </c>
      <c r="W28" s="372">
        <v>3.7</v>
      </c>
      <c r="X28" s="372">
        <v>4</v>
      </c>
      <c r="Y28" s="372">
        <v>1.8</v>
      </c>
      <c r="Z28" s="372">
        <v>3</v>
      </c>
      <c r="AA28" s="372">
        <v>3.8</v>
      </c>
      <c r="AB28" s="372">
        <v>4.4000000000000004</v>
      </c>
      <c r="AC28" s="372">
        <v>3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47.6</v>
      </c>
    </row>
    <row r="29" spans="1:51" ht="15" customHeight="1">
      <c r="A29" s="14" t="s">
        <v>30</v>
      </c>
      <c r="B29" s="369"/>
      <c r="C29" s="370">
        <v>8.8000000000000007</v>
      </c>
      <c r="D29" s="371"/>
      <c r="E29" s="371"/>
      <c r="F29" s="372"/>
      <c r="G29" s="372"/>
      <c r="H29" s="372"/>
      <c r="I29" s="372"/>
      <c r="J29" s="372"/>
      <c r="K29" s="374"/>
      <c r="L29" s="374"/>
      <c r="M29" s="374"/>
      <c r="N29" s="374"/>
      <c r="O29" s="374">
        <v>4</v>
      </c>
      <c r="P29" s="374">
        <v>7</v>
      </c>
      <c r="Q29" s="374">
        <v>6</v>
      </c>
      <c r="R29" s="374">
        <v>6</v>
      </c>
      <c r="S29" s="374">
        <v>5.2</v>
      </c>
      <c r="T29" s="374">
        <v>5.2</v>
      </c>
      <c r="U29" s="374">
        <v>4.0999999999999996</v>
      </c>
      <c r="V29" s="374">
        <v>4</v>
      </c>
      <c r="W29" s="374">
        <v>3.1</v>
      </c>
      <c r="X29" s="372"/>
      <c r="Y29" s="372"/>
      <c r="Z29" s="374"/>
      <c r="AA29" s="372"/>
      <c r="AB29" s="372"/>
      <c r="AC29" s="372"/>
    </row>
    <row r="30" spans="1:51" ht="15" customHeight="1">
      <c r="A30" s="14" t="s">
        <v>31</v>
      </c>
      <c r="B30" s="369"/>
      <c r="C30" s="370">
        <v>8.8000000000000007</v>
      </c>
      <c r="D30" s="371"/>
      <c r="E30" s="371"/>
      <c r="F30" s="372"/>
      <c r="G30" s="372"/>
      <c r="H30" s="372"/>
      <c r="I30" s="372"/>
      <c r="J30" s="372"/>
      <c r="K30" s="374"/>
      <c r="L30" s="374"/>
      <c r="M30" s="374"/>
      <c r="N30" s="372"/>
      <c r="O30" s="372"/>
      <c r="P30" s="372"/>
      <c r="Q30" s="372"/>
      <c r="R30" s="372"/>
      <c r="S30" s="372"/>
      <c r="T30" s="372"/>
      <c r="U30" s="372"/>
      <c r="V30" s="372"/>
      <c r="W30" s="372"/>
      <c r="X30" s="372"/>
      <c r="Y30" s="372">
        <v>3</v>
      </c>
      <c r="Z30" s="372"/>
      <c r="AA30" s="372"/>
      <c r="AB30" s="372"/>
      <c r="AC30" s="372"/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SUM(F27:F29)</f>
        <v>3</v>
      </c>
      <c r="G31" s="19">
        <f t="shared" ref="G31:AC31" si="8">SUM(G27:G29)</f>
        <v>3</v>
      </c>
      <c r="H31" s="19">
        <f t="shared" si="8"/>
        <v>4.0999999999999996</v>
      </c>
      <c r="I31" s="19">
        <f t="shared" si="8"/>
        <v>3</v>
      </c>
      <c r="J31" s="19">
        <f t="shared" si="8"/>
        <v>3</v>
      </c>
      <c r="K31" s="19">
        <f t="shared" si="8"/>
        <v>4</v>
      </c>
      <c r="L31" s="19">
        <f t="shared" si="8"/>
        <v>4.4000000000000004</v>
      </c>
      <c r="M31" s="19">
        <f t="shared" si="8"/>
        <v>3.5</v>
      </c>
      <c r="N31" s="19">
        <f t="shared" si="8"/>
        <v>4.3</v>
      </c>
      <c r="O31" s="19">
        <f t="shared" si="8"/>
        <v>8</v>
      </c>
      <c r="P31" s="19">
        <f t="shared" si="8"/>
        <v>11.2</v>
      </c>
      <c r="Q31" s="19">
        <f t="shared" si="8"/>
        <v>10.199999999999999</v>
      </c>
      <c r="R31" s="19">
        <f t="shared" si="8"/>
        <v>10.199999999999999</v>
      </c>
      <c r="S31" s="19">
        <f t="shared" si="8"/>
        <v>9.3000000000000007</v>
      </c>
      <c r="T31" s="19">
        <f>SUM(T27:T29)</f>
        <v>9.3000000000000007</v>
      </c>
      <c r="U31" s="19">
        <f t="shared" si="8"/>
        <v>8.1</v>
      </c>
      <c r="V31" s="19">
        <f t="shared" si="8"/>
        <v>8.1</v>
      </c>
      <c r="W31" s="19">
        <f t="shared" si="8"/>
        <v>6.8000000000000007</v>
      </c>
      <c r="X31" s="19">
        <f t="shared" si="8"/>
        <v>4</v>
      </c>
      <c r="Y31" s="19">
        <f t="shared" si="8"/>
        <v>1.8</v>
      </c>
      <c r="Z31" s="19">
        <f t="shared" si="8"/>
        <v>3</v>
      </c>
      <c r="AA31" s="19">
        <f t="shared" si="8"/>
        <v>3.8</v>
      </c>
      <c r="AB31" s="19">
        <f t="shared" si="8"/>
        <v>4.4000000000000004</v>
      </c>
      <c r="AC31" s="19">
        <f t="shared" si="8"/>
        <v>3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340.23</v>
      </c>
    </row>
    <row r="33" spans="1:36">
      <c r="A33" s="14" t="s">
        <v>22</v>
      </c>
      <c r="B33" s="15"/>
      <c r="C33" s="15">
        <v>15</v>
      </c>
      <c r="D33" s="15"/>
      <c r="E33" s="15"/>
      <c r="F33" s="372">
        <v>14.3</v>
      </c>
      <c r="G33" s="372">
        <v>14.29</v>
      </c>
      <c r="H33" s="374">
        <v>14.31</v>
      </c>
      <c r="I33" s="372">
        <v>14.28</v>
      </c>
      <c r="J33" s="372">
        <v>12.79</v>
      </c>
      <c r="K33" s="374">
        <v>13.3</v>
      </c>
      <c r="L33" s="374">
        <v>14.27</v>
      </c>
      <c r="M33" s="374">
        <v>14.29</v>
      </c>
      <c r="N33" s="372">
        <v>14.29</v>
      </c>
      <c r="O33" s="372">
        <v>14.24</v>
      </c>
      <c r="P33" s="372">
        <v>14.3</v>
      </c>
      <c r="Q33" s="372">
        <v>14.28</v>
      </c>
      <c r="R33" s="372">
        <v>14.3</v>
      </c>
      <c r="S33" s="372">
        <v>14.29</v>
      </c>
      <c r="T33" s="372">
        <v>14.27</v>
      </c>
      <c r="U33" s="372">
        <v>14.27</v>
      </c>
      <c r="V33" s="372">
        <v>14.27</v>
      </c>
      <c r="W33" s="374">
        <v>14.27</v>
      </c>
      <c r="X33" s="372">
        <v>14.26</v>
      </c>
      <c r="Y33" s="372">
        <v>14.25</v>
      </c>
      <c r="Z33" s="372">
        <v>14.28</v>
      </c>
      <c r="AA33" s="372">
        <v>14.27</v>
      </c>
      <c r="AB33" s="372">
        <v>14.29</v>
      </c>
      <c r="AC33" s="372">
        <v>14.27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9">SUM(F33)</f>
        <v>14.3</v>
      </c>
      <c r="G34" s="19">
        <f t="shared" ref="G34:AC34" si="10">SUM(G33)</f>
        <v>14.29</v>
      </c>
      <c r="H34" s="19">
        <f t="shared" si="10"/>
        <v>14.31</v>
      </c>
      <c r="I34" s="19">
        <f t="shared" si="10"/>
        <v>14.28</v>
      </c>
      <c r="J34" s="19">
        <f t="shared" si="10"/>
        <v>12.79</v>
      </c>
      <c r="K34" s="19">
        <f t="shared" si="10"/>
        <v>13.3</v>
      </c>
      <c r="L34" s="19">
        <f t="shared" si="10"/>
        <v>14.27</v>
      </c>
      <c r="M34" s="19">
        <f t="shared" si="10"/>
        <v>14.29</v>
      </c>
      <c r="N34" s="19">
        <f t="shared" si="10"/>
        <v>14.29</v>
      </c>
      <c r="O34" s="19">
        <f t="shared" si="10"/>
        <v>14.24</v>
      </c>
      <c r="P34" s="19">
        <f t="shared" si="10"/>
        <v>14.3</v>
      </c>
      <c r="Q34" s="19">
        <f t="shared" si="10"/>
        <v>14.28</v>
      </c>
      <c r="R34" s="19">
        <f t="shared" si="10"/>
        <v>14.3</v>
      </c>
      <c r="S34" s="19">
        <f t="shared" si="10"/>
        <v>14.29</v>
      </c>
      <c r="T34" s="19">
        <f t="shared" si="10"/>
        <v>14.27</v>
      </c>
      <c r="U34" s="19">
        <f t="shared" si="10"/>
        <v>14.27</v>
      </c>
      <c r="V34" s="19">
        <f t="shared" si="10"/>
        <v>14.27</v>
      </c>
      <c r="W34" s="19">
        <f t="shared" si="10"/>
        <v>14.27</v>
      </c>
      <c r="X34" s="19">
        <f t="shared" si="10"/>
        <v>14.26</v>
      </c>
      <c r="Y34" s="19">
        <f t="shared" si="10"/>
        <v>14.25</v>
      </c>
      <c r="Z34" s="19">
        <f t="shared" si="10"/>
        <v>14.28</v>
      </c>
      <c r="AA34" s="19">
        <f t="shared" si="10"/>
        <v>14.27</v>
      </c>
      <c r="AB34" s="19">
        <f t="shared" si="10"/>
        <v>14.29</v>
      </c>
      <c r="AC34" s="19">
        <f t="shared" si="10"/>
        <v>14.27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55"/>
      <c r="G35" s="455"/>
      <c r="H35" s="455"/>
      <c r="I35" s="455"/>
      <c r="J35" s="455"/>
      <c r="K35" s="455"/>
      <c r="L35" s="455"/>
      <c r="M35" s="455"/>
      <c r="N35" s="455"/>
      <c r="O35" s="455"/>
      <c r="P35" s="455"/>
      <c r="Q35" s="455"/>
      <c r="R35" s="455"/>
      <c r="S35" s="455"/>
      <c r="T35" s="455"/>
      <c r="U35" s="455"/>
      <c r="V35" s="455"/>
      <c r="W35" s="456"/>
      <c r="X35" s="455"/>
      <c r="Y35" s="455"/>
      <c r="Z35" s="455"/>
      <c r="AA35" s="455"/>
      <c r="AB35" s="455"/>
      <c r="AC35" s="455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35</v>
      </c>
    </row>
    <row r="36" spans="1:36">
      <c r="A36" s="70" t="s">
        <v>36</v>
      </c>
      <c r="B36" s="15"/>
      <c r="C36" s="15"/>
      <c r="D36" s="15"/>
      <c r="E36" s="15"/>
      <c r="F36" s="372"/>
      <c r="G36" s="372"/>
      <c r="H36" s="372"/>
      <c r="I36" s="372"/>
      <c r="J36" s="372"/>
      <c r="K36" s="374"/>
      <c r="L36" s="374"/>
      <c r="M36" s="374"/>
      <c r="N36" s="372"/>
      <c r="O36" s="372"/>
      <c r="P36" s="372"/>
      <c r="Q36" s="372"/>
      <c r="R36" s="372"/>
      <c r="S36" s="372"/>
      <c r="T36" s="372"/>
      <c r="U36" s="372"/>
      <c r="V36" s="372"/>
      <c r="W36" s="372"/>
      <c r="X36" s="372"/>
      <c r="Y36" s="372"/>
      <c r="Z36" s="372"/>
      <c r="AA36" s="372"/>
      <c r="AB36" s="372"/>
      <c r="AC36" s="372"/>
      <c r="AD36" s="41"/>
      <c r="AE36" s="41"/>
      <c r="AF36" s="11">
        <f t="shared" ref="AF36:AF59" si="11">COUNTIF(F36:AC36,$AJ$8)</f>
        <v>0</v>
      </c>
      <c r="AG36" s="11">
        <f t="shared" ref="AG36:AG59" si="12">COUNTIF(G36:AD36,$AJ$7)</f>
        <v>0</v>
      </c>
      <c r="AH36" s="11">
        <f t="shared" ref="AH36:AH59" si="13">COUNT(F36:AC36)</f>
        <v>0</v>
      </c>
      <c r="AI36" s="159">
        <f>SUM(F36:AC38,F40:AC40,F45:AC59)</f>
        <v>7.6</v>
      </c>
      <c r="AJ36" t="s">
        <v>37</v>
      </c>
    </row>
    <row r="37" spans="1:36">
      <c r="A37" s="70" t="s">
        <v>38</v>
      </c>
      <c r="B37" s="15"/>
      <c r="C37" s="15"/>
      <c r="D37" s="15"/>
      <c r="E37" s="15"/>
      <c r="F37" s="372"/>
      <c r="G37" s="372"/>
      <c r="H37" s="372"/>
      <c r="I37" s="372"/>
      <c r="J37" s="372"/>
      <c r="K37" s="374"/>
      <c r="L37" s="374"/>
      <c r="M37" s="374"/>
      <c r="N37" s="372"/>
      <c r="O37" s="372"/>
      <c r="P37" s="372"/>
      <c r="Q37" s="372"/>
      <c r="R37" s="372"/>
      <c r="S37" s="372"/>
      <c r="T37" s="372"/>
      <c r="U37" s="372"/>
      <c r="V37" s="372"/>
      <c r="W37" s="372"/>
      <c r="X37" s="372"/>
      <c r="Y37" s="372"/>
      <c r="Z37" s="372"/>
      <c r="AA37" s="372"/>
      <c r="AB37" s="372"/>
      <c r="AC37" s="372"/>
      <c r="AD37" s="41"/>
      <c r="AE37" s="41"/>
      <c r="AF37" s="11">
        <f t="shared" si="11"/>
        <v>0</v>
      </c>
      <c r="AG37" s="11">
        <f t="shared" si="12"/>
        <v>0</v>
      </c>
      <c r="AH37" s="11">
        <f t="shared" si="13"/>
        <v>0</v>
      </c>
    </row>
    <row r="38" spans="1:36">
      <c r="A38" s="70" t="s">
        <v>39</v>
      </c>
      <c r="B38" s="15"/>
      <c r="C38" s="15"/>
      <c r="D38" s="15"/>
      <c r="E38" s="15"/>
      <c r="F38" s="372"/>
      <c r="G38" s="372"/>
      <c r="H38" s="372"/>
      <c r="I38" s="372"/>
      <c r="J38" s="372"/>
      <c r="K38" s="374"/>
      <c r="L38" s="374"/>
      <c r="M38" s="374"/>
      <c r="N38" s="372"/>
      <c r="O38" s="372"/>
      <c r="P38" s="372"/>
      <c r="Q38" s="372"/>
      <c r="R38" s="372"/>
      <c r="S38" s="372"/>
      <c r="T38" s="372"/>
      <c r="U38" s="372"/>
      <c r="V38" s="372"/>
      <c r="W38" s="372"/>
      <c r="X38" s="372"/>
      <c r="Y38" s="372"/>
      <c r="Z38" s="372"/>
      <c r="AA38" s="372"/>
      <c r="AB38" s="372"/>
      <c r="AC38" s="372"/>
      <c r="AD38" s="41"/>
      <c r="AE38" s="41"/>
      <c r="AF38" s="11">
        <f t="shared" si="11"/>
        <v>0</v>
      </c>
      <c r="AG38" s="11">
        <f t="shared" si="12"/>
        <v>0</v>
      </c>
      <c r="AH38" s="11">
        <f t="shared" si="13"/>
        <v>0</v>
      </c>
    </row>
    <row r="39" spans="1:36">
      <c r="A39" s="70">
        <v>34</v>
      </c>
      <c r="B39" s="15"/>
      <c r="C39" s="15"/>
      <c r="D39" s="15"/>
      <c r="E39" s="15"/>
      <c r="F39" s="372"/>
      <c r="G39" s="372"/>
      <c r="H39" s="372"/>
      <c r="I39" s="372"/>
      <c r="J39" s="372"/>
      <c r="K39" s="374"/>
      <c r="L39" s="374"/>
      <c r="M39" s="374"/>
      <c r="N39" s="372"/>
      <c r="O39" s="372"/>
      <c r="P39" s="372"/>
      <c r="Q39" s="372"/>
      <c r="R39" s="372"/>
      <c r="S39" s="372"/>
      <c r="T39" s="372"/>
      <c r="U39" s="372"/>
      <c r="V39" s="372"/>
      <c r="W39" s="372"/>
      <c r="X39" s="372"/>
      <c r="Y39" s="372"/>
      <c r="Z39" s="372"/>
      <c r="AA39" s="372"/>
      <c r="AB39" s="372"/>
      <c r="AC39" s="372"/>
      <c r="AD39" s="41"/>
      <c r="AE39" s="41"/>
      <c r="AF39" s="11">
        <f t="shared" si="11"/>
        <v>0</v>
      </c>
      <c r="AG39" s="11">
        <f t="shared" si="12"/>
        <v>0</v>
      </c>
      <c r="AH39" s="11">
        <f t="shared" si="13"/>
        <v>0</v>
      </c>
    </row>
    <row r="40" spans="1:36">
      <c r="A40" s="70">
        <v>35</v>
      </c>
      <c r="B40" s="15"/>
      <c r="C40" s="15">
        <v>0.85</v>
      </c>
      <c r="D40" s="15"/>
      <c r="E40" s="15"/>
      <c r="F40" s="372"/>
      <c r="G40" s="372"/>
      <c r="H40" s="372"/>
      <c r="I40" s="372"/>
      <c r="J40" s="372"/>
      <c r="K40" s="374"/>
      <c r="L40" s="374"/>
      <c r="M40" s="374"/>
      <c r="N40" s="372"/>
      <c r="O40" s="372"/>
      <c r="P40" s="372"/>
      <c r="Q40" s="372"/>
      <c r="R40" s="372"/>
      <c r="S40" s="372"/>
      <c r="T40" s="372"/>
      <c r="U40" s="372"/>
      <c r="V40" s="372"/>
      <c r="W40" s="372"/>
      <c r="X40" s="372"/>
      <c r="Y40" s="372"/>
      <c r="Z40" s="372"/>
      <c r="AA40" s="372"/>
      <c r="AB40" s="372"/>
      <c r="AC40" s="372"/>
      <c r="AD40" s="41"/>
      <c r="AE40" s="41"/>
      <c r="AF40" s="11">
        <f t="shared" si="11"/>
        <v>0</v>
      </c>
      <c r="AG40" s="11">
        <f t="shared" si="12"/>
        <v>0</v>
      </c>
      <c r="AH40" s="11">
        <f t="shared" si="13"/>
        <v>0</v>
      </c>
    </row>
    <row r="41" spans="1:36">
      <c r="A41" s="70">
        <v>36</v>
      </c>
      <c r="B41" s="15"/>
      <c r="C41" s="15">
        <v>1</v>
      </c>
      <c r="D41" s="15"/>
      <c r="E41" s="15"/>
      <c r="F41" s="372"/>
      <c r="G41" s="372"/>
      <c r="H41" s="372"/>
      <c r="I41" s="372"/>
      <c r="J41" s="372"/>
      <c r="K41" s="374"/>
      <c r="L41" s="374"/>
      <c r="M41" s="374"/>
      <c r="N41" s="372"/>
      <c r="O41" s="372"/>
      <c r="P41" s="372"/>
      <c r="Q41" s="372"/>
      <c r="R41" s="372"/>
      <c r="S41" s="372"/>
      <c r="T41" s="372"/>
      <c r="U41" s="372"/>
      <c r="V41" s="372"/>
      <c r="W41" s="372"/>
      <c r="X41" s="372"/>
      <c r="Y41" s="372"/>
      <c r="Z41" s="372"/>
      <c r="AA41" s="372"/>
      <c r="AB41" s="372"/>
      <c r="AC41" s="372"/>
      <c r="AD41" s="41"/>
      <c r="AE41" s="41"/>
      <c r="AF41" s="11">
        <f t="shared" si="11"/>
        <v>0</v>
      </c>
      <c r="AG41" s="11">
        <f t="shared" si="12"/>
        <v>0</v>
      </c>
      <c r="AH41" s="11">
        <f t="shared" si="13"/>
        <v>0</v>
      </c>
    </row>
    <row r="42" spans="1:36">
      <c r="A42" s="70">
        <v>37</v>
      </c>
      <c r="B42" s="15"/>
      <c r="C42" s="15">
        <v>1</v>
      </c>
      <c r="D42" s="15"/>
      <c r="E42" s="15"/>
      <c r="F42" s="372"/>
      <c r="G42" s="372"/>
      <c r="H42" s="372"/>
      <c r="I42" s="372"/>
      <c r="J42" s="372"/>
      <c r="K42" s="374"/>
      <c r="L42" s="374"/>
      <c r="M42" s="374"/>
      <c r="N42" s="372"/>
      <c r="O42" s="372"/>
      <c r="P42" s="372"/>
      <c r="Q42" s="372"/>
      <c r="R42" s="372"/>
      <c r="S42" s="372"/>
      <c r="T42" s="372"/>
      <c r="U42" s="372"/>
      <c r="V42" s="372"/>
      <c r="W42" s="372"/>
      <c r="X42" s="372"/>
      <c r="Y42" s="372"/>
      <c r="Z42" s="372"/>
      <c r="AA42" s="372"/>
      <c r="AB42" s="372"/>
      <c r="AC42" s="372"/>
      <c r="AD42" s="41"/>
      <c r="AE42" s="41"/>
      <c r="AF42" s="11">
        <f t="shared" si="11"/>
        <v>0</v>
      </c>
      <c r="AG42" s="11">
        <f t="shared" si="12"/>
        <v>0</v>
      </c>
      <c r="AH42" s="11">
        <f t="shared" si="13"/>
        <v>0</v>
      </c>
    </row>
    <row r="43" spans="1:36">
      <c r="A43" s="70">
        <v>38</v>
      </c>
      <c r="B43" s="15"/>
      <c r="C43" s="15"/>
      <c r="D43" s="15"/>
      <c r="E43" s="15"/>
      <c r="F43" s="372" t="s">
        <v>9</v>
      </c>
      <c r="G43" s="372" t="s">
        <v>9</v>
      </c>
      <c r="H43" s="372" t="s">
        <v>9</v>
      </c>
      <c r="I43" s="372" t="s">
        <v>9</v>
      </c>
      <c r="J43" s="372" t="s">
        <v>9</v>
      </c>
      <c r="K43" s="374" t="s">
        <v>9</v>
      </c>
      <c r="L43" s="374" t="s">
        <v>9</v>
      </c>
      <c r="M43" s="374" t="s">
        <v>9</v>
      </c>
      <c r="N43" s="372" t="s">
        <v>9</v>
      </c>
      <c r="O43" s="372" t="s">
        <v>9</v>
      </c>
      <c r="P43" s="372" t="s">
        <v>9</v>
      </c>
      <c r="Q43" s="372" t="s">
        <v>9</v>
      </c>
      <c r="R43" s="372" t="s">
        <v>9</v>
      </c>
      <c r="S43" s="372" t="s">
        <v>9</v>
      </c>
      <c r="T43" s="372" t="s">
        <v>9</v>
      </c>
      <c r="U43" s="372" t="s">
        <v>9</v>
      </c>
      <c r="V43" s="372" t="s">
        <v>9</v>
      </c>
      <c r="W43" s="372" t="s">
        <v>9</v>
      </c>
      <c r="X43" s="372" t="s">
        <v>9</v>
      </c>
      <c r="Y43" s="372" t="s">
        <v>9</v>
      </c>
      <c r="Z43" s="372" t="s">
        <v>9</v>
      </c>
      <c r="AA43" s="372" t="s">
        <v>9</v>
      </c>
      <c r="AB43" s="372" t="s">
        <v>9</v>
      </c>
      <c r="AC43" s="372" t="s">
        <v>9</v>
      </c>
      <c r="AD43" s="41"/>
      <c r="AE43" s="41"/>
      <c r="AF43" s="11">
        <f t="shared" si="11"/>
        <v>24</v>
      </c>
      <c r="AG43" s="11">
        <f t="shared" si="12"/>
        <v>0</v>
      </c>
      <c r="AH43" s="11">
        <f t="shared" si="13"/>
        <v>0</v>
      </c>
    </row>
    <row r="44" spans="1:36" ht="16.5" customHeight="1">
      <c r="A44" s="70">
        <v>39</v>
      </c>
      <c r="B44" s="15"/>
      <c r="C44" s="15">
        <v>1</v>
      </c>
      <c r="D44" s="15"/>
      <c r="E44" s="15"/>
      <c r="F44" s="372"/>
      <c r="G44" s="372"/>
      <c r="H44" s="372"/>
      <c r="I44" s="372"/>
      <c r="J44" s="372"/>
      <c r="K44" s="372"/>
      <c r="L44" s="374"/>
      <c r="M44" s="374"/>
      <c r="N44" s="372"/>
      <c r="O44" s="372"/>
      <c r="P44" s="372"/>
      <c r="Q44" s="372"/>
      <c r="R44" s="372"/>
      <c r="S44" s="372"/>
      <c r="T44" s="372"/>
      <c r="U44" s="372"/>
      <c r="V44" s="372"/>
      <c r="W44" s="372"/>
      <c r="X44" s="372"/>
      <c r="Y44" s="372"/>
      <c r="Z44" s="372"/>
      <c r="AA44" s="372"/>
      <c r="AB44" s="372"/>
      <c r="AC44" s="372"/>
      <c r="AD44" s="41"/>
      <c r="AE44" s="41"/>
      <c r="AF44" s="11">
        <f t="shared" si="11"/>
        <v>0</v>
      </c>
      <c r="AG44" s="11">
        <f t="shared" si="12"/>
        <v>0</v>
      </c>
      <c r="AH44" s="11">
        <f t="shared" si="13"/>
        <v>0</v>
      </c>
    </row>
    <row r="45" spans="1:36" ht="16.5" customHeight="1">
      <c r="A45" s="70" t="s">
        <v>40</v>
      </c>
      <c r="B45" s="15"/>
      <c r="C45" s="15">
        <v>0.85</v>
      </c>
      <c r="D45" s="15"/>
      <c r="E45" s="15"/>
      <c r="F45" s="372" t="s">
        <v>9</v>
      </c>
      <c r="G45" s="372" t="s">
        <v>9</v>
      </c>
      <c r="H45" s="372" t="s">
        <v>9</v>
      </c>
      <c r="I45" s="372" t="s">
        <v>9</v>
      </c>
      <c r="J45" s="372" t="s">
        <v>9</v>
      </c>
      <c r="K45" s="372" t="s">
        <v>9</v>
      </c>
      <c r="L45" s="372" t="s">
        <v>9</v>
      </c>
      <c r="M45" s="372" t="s">
        <v>9</v>
      </c>
      <c r="N45" s="372" t="s">
        <v>9</v>
      </c>
      <c r="O45" s="372" t="s">
        <v>9</v>
      </c>
      <c r="P45" s="372" t="s">
        <v>9</v>
      </c>
      <c r="Q45" s="372" t="s">
        <v>9</v>
      </c>
      <c r="R45" s="372" t="s">
        <v>9</v>
      </c>
      <c r="S45" s="372" t="s">
        <v>9</v>
      </c>
      <c r="T45" s="372" t="s">
        <v>9</v>
      </c>
      <c r="U45" s="372" t="s">
        <v>9</v>
      </c>
      <c r="V45" s="372" t="s">
        <v>9</v>
      </c>
      <c r="W45" s="372" t="s">
        <v>9</v>
      </c>
      <c r="X45" s="372" t="s">
        <v>9</v>
      </c>
      <c r="Y45" s="372" t="s">
        <v>9</v>
      </c>
      <c r="Z45" s="372" t="s">
        <v>9</v>
      </c>
      <c r="AA45" s="372" t="s">
        <v>9</v>
      </c>
      <c r="AB45" s="372" t="s">
        <v>9</v>
      </c>
      <c r="AC45" s="372" t="s">
        <v>9</v>
      </c>
      <c r="AD45" s="41"/>
      <c r="AE45" s="41"/>
      <c r="AF45" s="11">
        <f t="shared" si="11"/>
        <v>24</v>
      </c>
      <c r="AG45" s="11">
        <f t="shared" si="12"/>
        <v>0</v>
      </c>
      <c r="AH45" s="11">
        <f t="shared" si="13"/>
        <v>0</v>
      </c>
      <c r="AI45" s="159"/>
    </row>
    <row r="46" spans="1:36">
      <c r="A46" s="70" t="s">
        <v>41</v>
      </c>
      <c r="B46" s="15"/>
      <c r="C46" s="15">
        <v>0.75</v>
      </c>
      <c r="D46" s="15"/>
      <c r="E46" s="15"/>
      <c r="F46" s="372">
        <v>0</v>
      </c>
      <c r="G46" s="372">
        <v>0</v>
      </c>
      <c r="H46" s="372">
        <v>0</v>
      </c>
      <c r="I46" s="372">
        <v>0</v>
      </c>
      <c r="J46" s="372">
        <v>0</v>
      </c>
      <c r="K46" s="372">
        <v>0</v>
      </c>
      <c r="L46" s="372">
        <v>0</v>
      </c>
      <c r="M46" s="374">
        <v>0</v>
      </c>
      <c r="N46" s="372">
        <v>0</v>
      </c>
      <c r="O46" s="372">
        <v>0.7</v>
      </c>
      <c r="P46" s="372"/>
      <c r="Q46" s="372"/>
      <c r="R46" s="372"/>
      <c r="S46" s="372"/>
      <c r="T46" s="372"/>
      <c r="U46" s="372"/>
      <c r="V46" s="372"/>
      <c r="W46" s="372"/>
      <c r="X46" s="372"/>
      <c r="Y46" s="372">
        <v>0.7</v>
      </c>
      <c r="Z46" s="372"/>
      <c r="AA46" s="372"/>
      <c r="AB46" s="372"/>
      <c r="AC46" s="372"/>
      <c r="AD46" s="41"/>
      <c r="AE46" s="41"/>
      <c r="AF46" s="11">
        <f t="shared" si="11"/>
        <v>0</v>
      </c>
      <c r="AG46" s="11">
        <f t="shared" si="12"/>
        <v>0</v>
      </c>
      <c r="AH46" s="11">
        <f t="shared" si="13"/>
        <v>11</v>
      </c>
      <c r="AI46" s="159"/>
    </row>
    <row r="47" spans="1:36">
      <c r="A47" s="70" t="s">
        <v>42</v>
      </c>
      <c r="B47" s="15"/>
      <c r="C47" s="15">
        <v>0.75</v>
      </c>
      <c r="D47" s="15"/>
      <c r="E47" s="15"/>
      <c r="F47" s="372">
        <v>0</v>
      </c>
      <c r="G47" s="372">
        <v>0</v>
      </c>
      <c r="H47" s="372">
        <v>0</v>
      </c>
      <c r="I47" s="372">
        <v>0</v>
      </c>
      <c r="J47" s="372">
        <v>0</v>
      </c>
      <c r="K47" s="372">
        <v>0</v>
      </c>
      <c r="L47" s="372">
        <v>0</v>
      </c>
      <c r="M47" s="372">
        <v>0</v>
      </c>
      <c r="N47" s="372">
        <v>0</v>
      </c>
      <c r="O47" s="372">
        <v>0.7</v>
      </c>
      <c r="P47" s="372">
        <f>2.7/4</f>
        <v>0.67500000000000004</v>
      </c>
      <c r="Q47" s="372"/>
      <c r="R47" s="372"/>
      <c r="S47" s="372"/>
      <c r="T47" s="372"/>
      <c r="U47" s="372"/>
      <c r="V47" s="372"/>
      <c r="W47" s="372"/>
      <c r="X47" s="372"/>
      <c r="Y47" s="372"/>
      <c r="Z47" s="372"/>
      <c r="AA47" s="372"/>
      <c r="AB47" s="372"/>
      <c r="AC47" s="372"/>
      <c r="AD47" s="41"/>
      <c r="AE47" s="41"/>
      <c r="AF47" s="11">
        <f t="shared" si="11"/>
        <v>0</v>
      </c>
      <c r="AG47" s="11">
        <f t="shared" si="12"/>
        <v>0</v>
      </c>
      <c r="AH47" s="11">
        <f t="shared" si="13"/>
        <v>11</v>
      </c>
    </row>
    <row r="48" spans="1:36">
      <c r="A48" s="70" t="s">
        <v>43</v>
      </c>
      <c r="B48" s="15"/>
      <c r="C48" s="15">
        <v>0.75</v>
      </c>
      <c r="D48" s="15"/>
      <c r="E48" s="15"/>
      <c r="F48" s="372">
        <v>0</v>
      </c>
      <c r="G48" s="372">
        <v>0</v>
      </c>
      <c r="H48" s="372">
        <v>0</v>
      </c>
      <c r="I48" s="372">
        <v>0</v>
      </c>
      <c r="J48" s="372">
        <v>0</v>
      </c>
      <c r="K48" s="372">
        <v>0</v>
      </c>
      <c r="L48" s="374">
        <v>0</v>
      </c>
      <c r="M48" s="372">
        <v>0</v>
      </c>
      <c r="N48" s="372">
        <v>0</v>
      </c>
      <c r="O48" s="372"/>
      <c r="P48" s="372">
        <f>2.7/4</f>
        <v>0.67500000000000004</v>
      </c>
      <c r="Q48" s="372"/>
      <c r="R48" s="372"/>
      <c r="S48" s="372"/>
      <c r="T48" s="372"/>
      <c r="U48" s="372"/>
      <c r="V48" s="372"/>
      <c r="W48" s="372"/>
      <c r="X48" s="372"/>
      <c r="Y48" s="372"/>
      <c r="Z48" s="372"/>
      <c r="AA48" s="372"/>
      <c r="AB48" s="372">
        <v>0.7</v>
      </c>
      <c r="AC48" s="372"/>
      <c r="AD48" s="41"/>
      <c r="AE48" s="41"/>
      <c r="AF48" s="11">
        <f t="shared" si="11"/>
        <v>0</v>
      </c>
      <c r="AG48" s="11">
        <f t="shared" si="12"/>
        <v>0</v>
      </c>
      <c r="AH48" s="11">
        <f t="shared" si="13"/>
        <v>11</v>
      </c>
    </row>
    <row r="49" spans="1:124" ht="15" customHeight="1">
      <c r="A49" s="70" t="s">
        <v>44</v>
      </c>
      <c r="B49" s="15"/>
      <c r="C49" s="15">
        <v>0.75</v>
      </c>
      <c r="D49" s="15"/>
      <c r="E49" s="15"/>
      <c r="F49" s="372"/>
      <c r="G49" s="372"/>
      <c r="H49" s="372"/>
      <c r="I49" s="372"/>
      <c r="J49" s="372"/>
      <c r="K49" s="372"/>
      <c r="L49" s="372">
        <v>0</v>
      </c>
      <c r="M49" s="374">
        <v>0</v>
      </c>
      <c r="N49" s="372">
        <v>0</v>
      </c>
      <c r="O49" s="372"/>
      <c r="P49" s="372"/>
      <c r="Q49" s="372"/>
      <c r="R49" s="372"/>
      <c r="S49" s="372"/>
      <c r="T49" s="372"/>
      <c r="U49" s="372"/>
      <c r="V49" s="372"/>
      <c r="W49" s="372"/>
      <c r="X49" s="372"/>
      <c r="Y49" s="372">
        <v>0.7</v>
      </c>
      <c r="Z49" s="372"/>
      <c r="AA49" s="372"/>
      <c r="AB49" s="372"/>
      <c r="AC49" s="372"/>
      <c r="AD49" s="41"/>
      <c r="AE49" s="41"/>
      <c r="AF49" s="11">
        <f t="shared" si="11"/>
        <v>0</v>
      </c>
      <c r="AG49" s="11">
        <f t="shared" si="12"/>
        <v>0</v>
      </c>
      <c r="AH49" s="11">
        <f t="shared" si="13"/>
        <v>4</v>
      </c>
    </row>
    <row r="50" spans="1:124" ht="16.5" customHeight="1">
      <c r="A50" s="70" t="s">
        <v>45</v>
      </c>
      <c r="B50" s="15"/>
      <c r="C50" s="15">
        <v>0.75</v>
      </c>
      <c r="D50" s="15"/>
      <c r="E50" s="15"/>
      <c r="F50" s="372">
        <v>0</v>
      </c>
      <c r="G50" s="372">
        <v>0</v>
      </c>
      <c r="H50" s="372">
        <v>0</v>
      </c>
      <c r="I50" s="372">
        <v>0</v>
      </c>
      <c r="J50" s="374">
        <v>0</v>
      </c>
      <c r="K50" s="372">
        <v>0</v>
      </c>
      <c r="L50" s="374"/>
      <c r="M50" s="374"/>
      <c r="N50" s="372"/>
      <c r="O50" s="372"/>
      <c r="P50" s="372">
        <f>2.7/4</f>
        <v>0.67500000000000004</v>
      </c>
      <c r="Q50" s="372"/>
      <c r="R50" s="372"/>
      <c r="S50" s="372"/>
      <c r="T50" s="372"/>
      <c r="U50" s="372"/>
      <c r="V50" s="372"/>
      <c r="W50" s="372"/>
      <c r="X50" s="372"/>
      <c r="Y50" s="372"/>
      <c r="Z50" s="372"/>
      <c r="AA50" s="372"/>
      <c r="AB50" s="372"/>
      <c r="AC50" s="372"/>
      <c r="AD50" s="41"/>
      <c r="AE50" s="41"/>
      <c r="AF50" s="11">
        <f t="shared" si="11"/>
        <v>0</v>
      </c>
      <c r="AG50" s="11">
        <f t="shared" si="12"/>
        <v>0</v>
      </c>
      <c r="AH50" s="11">
        <f t="shared" si="13"/>
        <v>7</v>
      </c>
    </row>
    <row r="51" spans="1:124">
      <c r="A51" s="70" t="s">
        <v>46</v>
      </c>
      <c r="B51" s="15"/>
      <c r="C51" s="15">
        <v>0.85</v>
      </c>
      <c r="D51" s="15"/>
      <c r="E51" s="15"/>
      <c r="F51" s="372"/>
      <c r="G51" s="374"/>
      <c r="H51" s="374"/>
      <c r="I51" s="374"/>
      <c r="J51" s="374"/>
      <c r="K51" s="374"/>
      <c r="L51" s="374"/>
      <c r="M51" s="374"/>
      <c r="N51" s="372"/>
      <c r="O51" s="372"/>
      <c r="P51" s="372"/>
      <c r="Q51" s="372"/>
      <c r="R51" s="372"/>
      <c r="S51" s="372"/>
      <c r="T51" s="372"/>
      <c r="U51" s="372"/>
      <c r="V51" s="372"/>
      <c r="W51" s="372"/>
      <c r="X51" s="372"/>
      <c r="Y51" s="372"/>
      <c r="Z51" s="372"/>
      <c r="AA51" s="372"/>
      <c r="AB51" s="372"/>
      <c r="AC51" s="372"/>
      <c r="AD51" s="41"/>
      <c r="AE51" s="41"/>
      <c r="AF51" s="11">
        <f t="shared" si="11"/>
        <v>0</v>
      </c>
      <c r="AG51" s="11">
        <f t="shared" si="12"/>
        <v>0</v>
      </c>
      <c r="AH51" s="11">
        <f t="shared" si="13"/>
        <v>0</v>
      </c>
    </row>
    <row r="52" spans="1:124">
      <c r="A52" s="70" t="s">
        <v>47</v>
      </c>
      <c r="B52" s="15"/>
      <c r="C52" s="15">
        <v>0.85</v>
      </c>
      <c r="D52" s="15"/>
      <c r="E52" s="15"/>
      <c r="F52" s="372" t="s">
        <v>9</v>
      </c>
      <c r="G52" s="374" t="s">
        <v>9</v>
      </c>
      <c r="H52" s="374" t="s">
        <v>9</v>
      </c>
      <c r="I52" s="374" t="s">
        <v>9</v>
      </c>
      <c r="J52" s="374" t="s">
        <v>9</v>
      </c>
      <c r="K52" s="374" t="s">
        <v>9</v>
      </c>
      <c r="L52" s="374" t="s">
        <v>9</v>
      </c>
      <c r="M52" s="374" t="s">
        <v>9</v>
      </c>
      <c r="N52" s="372" t="s">
        <v>9</v>
      </c>
      <c r="O52" s="372" t="s">
        <v>9</v>
      </c>
      <c r="P52" s="372" t="s">
        <v>9</v>
      </c>
      <c r="Q52" s="372" t="s">
        <v>9</v>
      </c>
      <c r="R52" s="372" t="s">
        <v>9</v>
      </c>
      <c r="S52" s="372" t="s">
        <v>9</v>
      </c>
      <c r="T52" s="372" t="s">
        <v>9</v>
      </c>
      <c r="U52" s="372" t="s">
        <v>9</v>
      </c>
      <c r="V52" s="372" t="s">
        <v>9</v>
      </c>
      <c r="W52" s="372" t="s">
        <v>9</v>
      </c>
      <c r="X52" s="372" t="s">
        <v>9</v>
      </c>
      <c r="Y52" s="372" t="s">
        <v>9</v>
      </c>
      <c r="Z52" s="372" t="s">
        <v>9</v>
      </c>
      <c r="AA52" s="372" t="s">
        <v>9</v>
      </c>
      <c r="AB52" s="372" t="s">
        <v>9</v>
      </c>
      <c r="AC52" s="372" t="s">
        <v>9</v>
      </c>
      <c r="AD52" s="41"/>
      <c r="AE52" s="41"/>
      <c r="AF52" s="11">
        <f t="shared" si="11"/>
        <v>24</v>
      </c>
      <c r="AG52" s="11">
        <f t="shared" si="12"/>
        <v>0</v>
      </c>
      <c r="AH52" s="11">
        <f t="shared" si="13"/>
        <v>0</v>
      </c>
    </row>
    <row r="53" spans="1:124">
      <c r="A53" s="70" t="s">
        <v>48</v>
      </c>
      <c r="B53" s="15"/>
      <c r="C53" s="15">
        <v>0.85</v>
      </c>
      <c r="D53" s="15"/>
      <c r="E53" s="15"/>
      <c r="F53" s="372"/>
      <c r="G53" s="372"/>
      <c r="H53" s="372"/>
      <c r="I53" s="372"/>
      <c r="J53" s="372"/>
      <c r="K53" s="374"/>
      <c r="L53" s="372"/>
      <c r="M53" s="374"/>
      <c r="N53" s="372"/>
      <c r="O53" s="372"/>
      <c r="P53" s="372"/>
      <c r="Q53" s="372"/>
      <c r="R53" s="372"/>
      <c r="S53" s="372"/>
      <c r="T53" s="372"/>
      <c r="U53" s="372"/>
      <c r="V53" s="372"/>
      <c r="W53" s="372"/>
      <c r="X53" s="372"/>
      <c r="Y53" s="372"/>
      <c r="Z53" s="372"/>
      <c r="AA53" s="372"/>
      <c r="AB53" s="372"/>
      <c r="AC53" s="372"/>
      <c r="AD53" s="41"/>
      <c r="AE53" s="41"/>
      <c r="AF53" s="11">
        <f t="shared" si="11"/>
        <v>0</v>
      </c>
      <c r="AG53" s="11">
        <f t="shared" si="12"/>
        <v>0</v>
      </c>
      <c r="AH53" s="11">
        <f t="shared" si="13"/>
        <v>0</v>
      </c>
    </row>
    <row r="54" spans="1:124" ht="16.5" customHeight="1">
      <c r="A54" s="70" t="s">
        <v>49</v>
      </c>
      <c r="B54" s="15"/>
      <c r="C54" s="15">
        <v>0.85</v>
      </c>
      <c r="D54" s="15"/>
      <c r="E54" s="15"/>
      <c r="F54" s="372"/>
      <c r="G54" s="372"/>
      <c r="H54" s="372"/>
      <c r="I54" s="372"/>
      <c r="J54" s="372"/>
      <c r="K54" s="374"/>
      <c r="L54" s="372"/>
      <c r="M54" s="374"/>
      <c r="N54" s="372"/>
      <c r="O54" s="372"/>
      <c r="P54" s="372"/>
      <c r="Q54" s="372"/>
      <c r="R54" s="372"/>
      <c r="S54" s="372"/>
      <c r="T54" s="372"/>
      <c r="U54" s="372"/>
      <c r="V54" s="372"/>
      <c r="W54" s="372"/>
      <c r="X54" s="372"/>
      <c r="Y54" s="372"/>
      <c r="Z54" s="372"/>
      <c r="AA54" s="372"/>
      <c r="AB54" s="372"/>
      <c r="AC54" s="372"/>
      <c r="AD54" s="41"/>
      <c r="AE54" s="41"/>
      <c r="AF54" s="11">
        <f t="shared" si="11"/>
        <v>0</v>
      </c>
      <c r="AG54" s="11">
        <f t="shared" si="12"/>
        <v>0</v>
      </c>
      <c r="AH54" s="11">
        <f t="shared" si="13"/>
        <v>0</v>
      </c>
    </row>
    <row r="55" spans="1:124">
      <c r="A55" s="70" t="s">
        <v>50</v>
      </c>
      <c r="B55" s="15"/>
      <c r="C55" s="15">
        <v>0.85</v>
      </c>
      <c r="D55" s="15"/>
      <c r="E55" s="15"/>
      <c r="F55" s="372"/>
      <c r="G55" s="372"/>
      <c r="H55" s="372"/>
      <c r="I55" s="372"/>
      <c r="J55" s="372"/>
      <c r="K55" s="374"/>
      <c r="L55" s="372"/>
      <c r="M55" s="374"/>
      <c r="N55" s="372"/>
      <c r="O55" s="372"/>
      <c r="P55" s="372"/>
      <c r="Q55" s="372"/>
      <c r="R55" s="372"/>
      <c r="S55" s="372"/>
      <c r="T55" s="372"/>
      <c r="U55" s="372"/>
      <c r="V55" s="372"/>
      <c r="W55" s="372"/>
      <c r="X55" s="372"/>
      <c r="Y55" s="372"/>
      <c r="Z55" s="372"/>
      <c r="AA55" s="372"/>
      <c r="AB55" s="372"/>
      <c r="AC55" s="372"/>
      <c r="AD55" s="41"/>
      <c r="AE55" s="41"/>
      <c r="AF55" s="11">
        <f>COUNTIF(F55:AC55,$AJ$8)</f>
        <v>0</v>
      </c>
      <c r="AG55" s="11">
        <f t="shared" si="12"/>
        <v>0</v>
      </c>
      <c r="AH55" s="11">
        <f>COUNT(F55:AC55)</f>
        <v>0</v>
      </c>
    </row>
    <row r="56" spans="1:124">
      <c r="A56" s="70" t="s">
        <v>51</v>
      </c>
      <c r="B56" s="15"/>
      <c r="C56" s="15">
        <v>0.75</v>
      </c>
      <c r="D56" s="15"/>
      <c r="E56" s="15"/>
      <c r="F56" s="372">
        <v>0</v>
      </c>
      <c r="G56" s="372">
        <v>0</v>
      </c>
      <c r="H56" s="372">
        <v>0</v>
      </c>
      <c r="I56" s="372">
        <v>0</v>
      </c>
      <c r="J56" s="372">
        <v>0</v>
      </c>
      <c r="K56" s="374">
        <v>0</v>
      </c>
      <c r="L56" s="374">
        <v>0</v>
      </c>
      <c r="M56" s="374">
        <v>0</v>
      </c>
      <c r="N56" s="372"/>
      <c r="O56" s="372">
        <v>0.7</v>
      </c>
      <c r="P56" s="372">
        <f>2.7/4</f>
        <v>0.67500000000000004</v>
      </c>
      <c r="Q56" s="372"/>
      <c r="R56" s="372"/>
      <c r="S56" s="372"/>
      <c r="T56" s="372"/>
      <c r="U56" s="372"/>
      <c r="V56" s="372"/>
      <c r="W56" s="372"/>
      <c r="X56" s="372"/>
      <c r="Y56" s="372"/>
      <c r="Z56" s="372"/>
      <c r="AA56" s="372"/>
      <c r="AB56" s="372"/>
      <c r="AC56" s="372"/>
      <c r="AD56" s="41"/>
      <c r="AE56" s="41"/>
      <c r="AF56" s="11">
        <f t="shared" si="11"/>
        <v>0</v>
      </c>
      <c r="AG56" s="11">
        <f t="shared" si="12"/>
        <v>0</v>
      </c>
      <c r="AH56" s="11">
        <f t="shared" si="13"/>
        <v>10</v>
      </c>
    </row>
    <row r="57" spans="1:124">
      <c r="A57" s="70" t="s">
        <v>52</v>
      </c>
      <c r="B57" s="15"/>
      <c r="C57" s="15">
        <v>0.75</v>
      </c>
      <c r="D57" s="15"/>
      <c r="E57" s="15"/>
      <c r="F57" s="372">
        <v>0</v>
      </c>
      <c r="G57" s="372">
        <v>0</v>
      </c>
      <c r="H57" s="372">
        <v>0</v>
      </c>
      <c r="I57" s="372">
        <v>0</v>
      </c>
      <c r="J57" s="372">
        <v>0</v>
      </c>
      <c r="K57" s="372">
        <v>0</v>
      </c>
      <c r="L57" s="374">
        <v>0</v>
      </c>
      <c r="M57" s="374">
        <v>0</v>
      </c>
      <c r="N57" s="372">
        <v>0</v>
      </c>
      <c r="O57" s="372"/>
      <c r="P57" s="372"/>
      <c r="Q57" s="372"/>
      <c r="R57" s="372">
        <v>0.7</v>
      </c>
      <c r="S57" s="372">
        <v>0</v>
      </c>
      <c r="T57" s="372">
        <v>0</v>
      </c>
      <c r="U57" s="372">
        <v>0</v>
      </c>
      <c r="V57" s="372">
        <v>0</v>
      </c>
      <c r="W57" s="372">
        <v>0</v>
      </c>
      <c r="X57" s="372">
        <v>0</v>
      </c>
      <c r="Y57" s="372">
        <v>0</v>
      </c>
      <c r="Z57" s="372">
        <v>0</v>
      </c>
      <c r="AA57" s="372">
        <v>0</v>
      </c>
      <c r="AB57" s="372">
        <v>0</v>
      </c>
      <c r="AC57" s="372">
        <v>0</v>
      </c>
      <c r="AD57" s="41"/>
      <c r="AE57" s="41"/>
      <c r="AF57" s="11">
        <f t="shared" si="11"/>
        <v>0</v>
      </c>
      <c r="AG57" s="11">
        <f t="shared" si="12"/>
        <v>0</v>
      </c>
      <c r="AH57" s="11">
        <f t="shared" si="13"/>
        <v>21</v>
      </c>
    </row>
    <row r="58" spans="1:124">
      <c r="A58" s="70" t="s">
        <v>53</v>
      </c>
      <c r="B58" s="15"/>
      <c r="C58" s="15">
        <v>0.85</v>
      </c>
      <c r="D58" s="15"/>
      <c r="E58" s="15"/>
      <c r="F58" s="372"/>
      <c r="G58" s="372"/>
      <c r="H58" s="372"/>
      <c r="I58" s="372"/>
      <c r="J58" s="372"/>
      <c r="K58" s="374"/>
      <c r="L58" s="374"/>
      <c r="M58" s="374"/>
      <c r="N58" s="372"/>
      <c r="O58" s="372"/>
      <c r="P58" s="372"/>
      <c r="Q58" s="372"/>
      <c r="R58" s="372"/>
      <c r="S58" s="372"/>
      <c r="T58" s="372"/>
      <c r="U58" s="372"/>
      <c r="V58" s="372"/>
      <c r="W58" s="372"/>
      <c r="X58" s="372"/>
      <c r="Y58" s="372"/>
      <c r="Z58" s="372"/>
      <c r="AA58" s="372"/>
      <c r="AB58" s="372"/>
      <c r="AC58" s="372"/>
      <c r="AD58" s="41"/>
      <c r="AE58" s="41"/>
      <c r="AF58" s="11">
        <f t="shared" si="11"/>
        <v>0</v>
      </c>
      <c r="AG58" s="11">
        <f t="shared" si="12"/>
        <v>0</v>
      </c>
      <c r="AH58" s="11">
        <f t="shared" si="13"/>
        <v>0</v>
      </c>
    </row>
    <row r="59" spans="1:124">
      <c r="A59" s="70" t="s">
        <v>54</v>
      </c>
      <c r="B59" s="15"/>
      <c r="C59" s="15">
        <v>0.85</v>
      </c>
      <c r="D59" s="15"/>
      <c r="E59" s="15"/>
      <c r="F59" s="372"/>
      <c r="G59" s="372"/>
      <c r="H59" s="372"/>
      <c r="I59" s="372"/>
      <c r="J59" s="372"/>
      <c r="K59" s="374"/>
      <c r="L59" s="374"/>
      <c r="M59" s="374"/>
      <c r="N59" s="372"/>
      <c r="O59" s="372"/>
      <c r="P59" s="372"/>
      <c r="Q59" s="372"/>
      <c r="R59" s="372"/>
      <c r="S59" s="372"/>
      <c r="T59" s="372"/>
      <c r="U59" s="372"/>
      <c r="V59" s="372"/>
      <c r="W59" s="372"/>
      <c r="X59" s="372"/>
      <c r="Y59" s="372"/>
      <c r="Z59" s="372"/>
      <c r="AA59" s="372"/>
      <c r="AB59" s="372"/>
      <c r="AC59" s="372"/>
      <c r="AD59" s="41"/>
      <c r="AE59" s="41"/>
      <c r="AF59" s="11">
        <f t="shared" si="11"/>
        <v>0</v>
      </c>
      <c r="AG59" s="11">
        <f t="shared" si="12"/>
        <v>0</v>
      </c>
      <c r="AH59" s="11">
        <f t="shared" si="13"/>
        <v>0</v>
      </c>
    </row>
    <row r="60" spans="1:124">
      <c r="A60" s="9" t="s">
        <v>26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 t="shared" ref="F60" si="14">SUM(F36:F59)</f>
        <v>0</v>
      </c>
      <c r="G60" s="19">
        <f t="shared" ref="G60:AC60" si="15">SUM(G36:G59)</f>
        <v>0</v>
      </c>
      <c r="H60" s="19">
        <f t="shared" si="15"/>
        <v>0</v>
      </c>
      <c r="I60" s="19">
        <f t="shared" si="15"/>
        <v>0</v>
      </c>
      <c r="J60" s="19">
        <f t="shared" si="15"/>
        <v>0</v>
      </c>
      <c r="K60" s="19">
        <f t="shared" si="15"/>
        <v>0</v>
      </c>
      <c r="L60" s="19">
        <f t="shared" si="15"/>
        <v>0</v>
      </c>
      <c r="M60" s="19">
        <f t="shared" si="15"/>
        <v>0</v>
      </c>
      <c r="N60" s="19">
        <f t="shared" si="15"/>
        <v>0</v>
      </c>
      <c r="O60" s="19">
        <f>SUM(O36:O59)</f>
        <v>2.0999999999999996</v>
      </c>
      <c r="P60" s="19">
        <f t="shared" si="15"/>
        <v>2.7</v>
      </c>
      <c r="Q60" s="19">
        <f t="shared" si="15"/>
        <v>0</v>
      </c>
      <c r="R60" s="19">
        <f t="shared" si="15"/>
        <v>0.7</v>
      </c>
      <c r="S60" s="19">
        <f t="shared" si="15"/>
        <v>0</v>
      </c>
      <c r="T60" s="19">
        <f>SUM(T36:T59)</f>
        <v>0</v>
      </c>
      <c r="U60" s="19">
        <f t="shared" si="15"/>
        <v>0</v>
      </c>
      <c r="V60" s="19">
        <f t="shared" si="15"/>
        <v>0</v>
      </c>
      <c r="W60" s="19">
        <f t="shared" si="15"/>
        <v>0</v>
      </c>
      <c r="X60" s="19">
        <f t="shared" si="15"/>
        <v>0</v>
      </c>
      <c r="Y60" s="19">
        <f t="shared" si="15"/>
        <v>1.4</v>
      </c>
      <c r="Z60" s="19">
        <f t="shared" si="15"/>
        <v>0</v>
      </c>
      <c r="AA60" s="19">
        <f t="shared" si="15"/>
        <v>0</v>
      </c>
      <c r="AB60" s="19">
        <f t="shared" si="15"/>
        <v>0.7</v>
      </c>
      <c r="AC60" s="19">
        <f t="shared" si="15"/>
        <v>0</v>
      </c>
      <c r="AD60" s="34"/>
      <c r="AE60" s="34"/>
      <c r="AF60" s="11"/>
      <c r="AG60" s="11"/>
      <c r="AH60" s="11"/>
    </row>
    <row r="61" spans="1:124">
      <c r="A61" s="12" t="s">
        <v>55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28.889999999999993</v>
      </c>
      <c r="AN61" s="351"/>
    </row>
    <row r="62" spans="1:124">
      <c r="A62" s="14" t="s">
        <v>56</v>
      </c>
      <c r="B62" s="20"/>
      <c r="C62" s="15">
        <v>0.75</v>
      </c>
      <c r="D62" s="15"/>
      <c r="E62" s="15"/>
      <c r="F62" s="372">
        <f>1.13/2</f>
        <v>0.56499999999999995</v>
      </c>
      <c r="G62" s="372"/>
      <c r="H62" s="372"/>
      <c r="I62" s="372"/>
      <c r="J62" s="372"/>
      <c r="K62" s="374"/>
      <c r="L62" s="372"/>
      <c r="M62" s="372"/>
      <c r="N62" s="372"/>
      <c r="O62" s="372"/>
      <c r="P62" s="372"/>
      <c r="Q62" s="372"/>
      <c r="R62" s="372"/>
      <c r="S62" s="372">
        <f>1.43/2</f>
        <v>0.71499999999999997</v>
      </c>
      <c r="T62" s="372">
        <f>1.23/2</f>
        <v>0.61499999999999999</v>
      </c>
      <c r="U62" s="372">
        <v>0.60499999999999998</v>
      </c>
      <c r="V62" s="372">
        <v>0.6</v>
      </c>
      <c r="W62" s="372">
        <v>0.65500000000000003</v>
      </c>
      <c r="X62" s="372">
        <v>0.63</v>
      </c>
      <c r="Y62" s="372">
        <f>1.52/2</f>
        <v>0.76</v>
      </c>
      <c r="Z62" s="372">
        <f>1.45/2</f>
        <v>0.72499999999999998</v>
      </c>
      <c r="AA62" s="372">
        <f>1.35/2</f>
        <v>0.67500000000000004</v>
      </c>
      <c r="AB62" s="372">
        <f>1.12/2</f>
        <v>0.56000000000000005</v>
      </c>
      <c r="AC62" s="372">
        <f>1.07/2</f>
        <v>0.53500000000000003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12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57</v>
      </c>
      <c r="B63" s="20"/>
      <c r="C63" s="15">
        <v>0.75</v>
      </c>
      <c r="D63" s="15"/>
      <c r="E63" s="15"/>
      <c r="F63" s="372">
        <f>1.13/2</f>
        <v>0.56499999999999995</v>
      </c>
      <c r="G63" s="372">
        <v>0.5</v>
      </c>
      <c r="H63" s="372">
        <v>0.5</v>
      </c>
      <c r="I63" s="372">
        <f>0.98/2</f>
        <v>0.49</v>
      </c>
      <c r="J63" s="372">
        <f>0.94/2</f>
        <v>0.47</v>
      </c>
      <c r="K63" s="374">
        <f>0.89/2</f>
        <v>0.44500000000000001</v>
      </c>
      <c r="L63" s="372">
        <v>0.5</v>
      </c>
      <c r="M63" s="372">
        <f>1.16/2</f>
        <v>0.57999999999999996</v>
      </c>
      <c r="N63" s="372">
        <f>1.16/2</f>
        <v>0.57999999999999996</v>
      </c>
      <c r="O63" s="372">
        <f>1.28/2</f>
        <v>0.64</v>
      </c>
      <c r="P63" s="372">
        <f>1.36/2</f>
        <v>0.68</v>
      </c>
      <c r="Q63" s="372">
        <f>1.4/2</f>
        <v>0.7</v>
      </c>
      <c r="R63" s="372">
        <f>1.44/2</f>
        <v>0.72</v>
      </c>
      <c r="S63" s="372">
        <v>0</v>
      </c>
      <c r="T63" s="372">
        <v>0</v>
      </c>
      <c r="U63" s="372">
        <v>0</v>
      </c>
      <c r="V63" s="372">
        <v>0</v>
      </c>
      <c r="W63" s="372">
        <v>0</v>
      </c>
      <c r="X63" s="372">
        <v>0</v>
      </c>
      <c r="Y63" s="372">
        <v>0.76</v>
      </c>
      <c r="Z63" s="372">
        <f>1.45/2</f>
        <v>0.72499999999999998</v>
      </c>
      <c r="AA63" s="372">
        <f>1.35/2</f>
        <v>0.67500000000000004</v>
      </c>
      <c r="AB63" s="372">
        <f>1.12/2</f>
        <v>0.56000000000000005</v>
      </c>
      <c r="AC63" s="372">
        <f>1.07/2</f>
        <v>0.53500000000000003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24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58</v>
      </c>
      <c r="B64" s="20"/>
      <c r="C64" s="15">
        <v>0.75</v>
      </c>
      <c r="D64" s="15"/>
      <c r="E64" s="15"/>
      <c r="F64" s="372"/>
      <c r="G64" s="372">
        <v>0.5</v>
      </c>
      <c r="H64" s="372">
        <v>0.5</v>
      </c>
      <c r="I64" s="372">
        <f>0.98/2</f>
        <v>0.49</v>
      </c>
      <c r="J64" s="372">
        <f>0.94/2</f>
        <v>0.47</v>
      </c>
      <c r="K64" s="374">
        <f>0.89/2</f>
        <v>0.44500000000000001</v>
      </c>
      <c r="L64" s="372">
        <v>0.5</v>
      </c>
      <c r="M64" s="372">
        <f>1.16/2</f>
        <v>0.57999999999999996</v>
      </c>
      <c r="N64" s="372">
        <f>1.16/2</f>
        <v>0.57999999999999996</v>
      </c>
      <c r="O64" s="372">
        <f>1.28/2</f>
        <v>0.64</v>
      </c>
      <c r="P64" s="372">
        <f>1.36/2</f>
        <v>0.68</v>
      </c>
      <c r="Q64" s="372">
        <f>1.4/2</f>
        <v>0.7</v>
      </c>
      <c r="R64" s="372">
        <f>1.44/2</f>
        <v>0.72</v>
      </c>
      <c r="S64" s="372">
        <f>1.43/2</f>
        <v>0.71499999999999997</v>
      </c>
      <c r="T64" s="372">
        <f>1.23/2</f>
        <v>0.61499999999999999</v>
      </c>
      <c r="U64" s="372">
        <v>0.60499999999999998</v>
      </c>
      <c r="V64" s="372">
        <v>0.6</v>
      </c>
      <c r="W64" s="372">
        <v>0.65500000000000003</v>
      </c>
      <c r="X64" s="372">
        <v>0.63</v>
      </c>
      <c r="Y64" s="372"/>
      <c r="Z64" s="372"/>
      <c r="AA64" s="372"/>
      <c r="AB64" s="372"/>
      <c r="AC64" s="372"/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18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1.1299999999999999</v>
      </c>
      <c r="G65" s="19">
        <f t="shared" ref="G65" si="16">SUM(G62:G64)</f>
        <v>1</v>
      </c>
      <c r="H65" s="19">
        <f>SUM(H62:H64)</f>
        <v>1</v>
      </c>
      <c r="I65" s="19">
        <f>SUM(I62:I64)</f>
        <v>0.98</v>
      </c>
      <c r="J65" s="19">
        <f t="shared" ref="J65" si="17">SUM(J62:J64)</f>
        <v>0.94</v>
      </c>
      <c r="K65" s="19">
        <f>SUM(K62:K64)</f>
        <v>0.89</v>
      </c>
      <c r="L65" s="19">
        <f>SUM(L62:L64)</f>
        <v>1</v>
      </c>
      <c r="M65" s="19">
        <f>SUM(M62:M64)</f>
        <v>1.1599999999999999</v>
      </c>
      <c r="N65" s="19">
        <f>SUM(N62:N64)</f>
        <v>1.1599999999999999</v>
      </c>
      <c r="O65" s="19">
        <f t="shared" ref="O65:AB65" si="18">SUM(O62:O64)</f>
        <v>1.28</v>
      </c>
      <c r="P65" s="19">
        <f t="shared" si="18"/>
        <v>1.36</v>
      </c>
      <c r="Q65" s="19">
        <f t="shared" si="18"/>
        <v>1.4</v>
      </c>
      <c r="R65" s="19">
        <f t="shared" si="18"/>
        <v>1.44</v>
      </c>
      <c r="S65" s="19">
        <f t="shared" si="18"/>
        <v>1.43</v>
      </c>
      <c r="T65" s="19">
        <f t="shared" si="18"/>
        <v>1.23</v>
      </c>
      <c r="U65" s="19">
        <f t="shared" si="18"/>
        <v>1.21</v>
      </c>
      <c r="V65" s="19">
        <f t="shared" si="18"/>
        <v>1.2</v>
      </c>
      <c r="W65" s="19">
        <f t="shared" si="18"/>
        <v>1.31</v>
      </c>
      <c r="X65" s="19">
        <f t="shared" si="18"/>
        <v>1.26</v>
      </c>
      <c r="Y65" s="19">
        <f>SUM(Y62:Y64)</f>
        <v>1.52</v>
      </c>
      <c r="Z65" s="19">
        <f t="shared" si="18"/>
        <v>1.45</v>
      </c>
      <c r="AA65" s="19">
        <f t="shared" si="18"/>
        <v>1.35</v>
      </c>
      <c r="AB65" s="19">
        <f t="shared" si="18"/>
        <v>1.1200000000000001</v>
      </c>
      <c r="AC65" s="19">
        <f>SUM(AC62:AC64)</f>
        <v>1.07</v>
      </c>
      <c r="AD65" s="34"/>
      <c r="AE65" s="34"/>
      <c r="AF65" s="11"/>
      <c r="AG65" s="11"/>
      <c r="AH65" s="11"/>
    </row>
    <row r="66" spans="1:124" hidden="1">
      <c r="A66" s="12" t="s">
        <v>59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idden="1">
      <c r="A67" s="14" t="s">
        <v>60</v>
      </c>
      <c r="B67" s="15"/>
      <c r="C67" s="15">
        <v>0.85</v>
      </c>
      <c r="D67" s="15"/>
      <c r="E67" s="15"/>
      <c r="F67" s="372"/>
      <c r="G67" s="372"/>
      <c r="H67" s="372"/>
      <c r="I67" s="372"/>
      <c r="J67" s="372"/>
      <c r="K67" s="374"/>
      <c r="L67" s="374"/>
      <c r="M67" s="374"/>
      <c r="N67" s="372"/>
      <c r="O67" s="372"/>
      <c r="P67" s="372"/>
      <c r="Q67" s="372"/>
      <c r="R67" s="372"/>
      <c r="S67" s="372"/>
      <c r="T67" s="372"/>
      <c r="U67" s="372"/>
      <c r="V67" s="372"/>
      <c r="W67" s="372"/>
      <c r="X67" s="372"/>
      <c r="Y67" s="372"/>
      <c r="Z67" s="372"/>
      <c r="AA67" s="372"/>
      <c r="AB67" s="372"/>
      <c r="AC67" s="372"/>
      <c r="AD67" s="35"/>
      <c r="AE67" s="35"/>
      <c r="AF67" s="11">
        <f t="shared" ref="AF67:AF75" si="19">COUNTIF(F67:AC67,$AF$11)</f>
        <v>0</v>
      </c>
      <c r="AG67" s="11">
        <f t="shared" ref="AG67:AG75" si="20">COUNTIF(G67:AC67,$AG$11)</f>
        <v>0</v>
      </c>
      <c r="AH67" s="11">
        <f t="shared" ref="AH67:AH75" si="21">COUNT(F67:AC67)</f>
        <v>0</v>
      </c>
    </row>
    <row r="68" spans="1:124" hidden="1">
      <c r="A68" s="14" t="s">
        <v>61</v>
      </c>
      <c r="B68" s="15"/>
      <c r="C68" s="15">
        <v>0.85</v>
      </c>
      <c r="D68" s="15"/>
      <c r="E68" s="15"/>
      <c r="F68" s="372"/>
      <c r="G68" s="372"/>
      <c r="H68" s="372"/>
      <c r="I68" s="372"/>
      <c r="J68" s="372"/>
      <c r="K68" s="374"/>
      <c r="L68" s="374"/>
      <c r="M68" s="374"/>
      <c r="N68" s="372"/>
      <c r="O68" s="372"/>
      <c r="P68" s="372"/>
      <c r="Q68" s="372"/>
      <c r="R68" s="372"/>
      <c r="S68" s="372"/>
      <c r="T68" s="372"/>
      <c r="U68" s="372"/>
      <c r="V68" s="372"/>
      <c r="W68" s="372"/>
      <c r="X68" s="372"/>
      <c r="Y68" s="372"/>
      <c r="Z68" s="372"/>
      <c r="AA68" s="372"/>
      <c r="AB68" s="372"/>
      <c r="AC68" s="372"/>
      <c r="AD68" s="35"/>
      <c r="AE68" s="35"/>
      <c r="AF68" s="11">
        <f t="shared" si="19"/>
        <v>0</v>
      </c>
      <c r="AG68" s="11">
        <f t="shared" si="20"/>
        <v>0</v>
      </c>
      <c r="AH68" s="11">
        <f t="shared" si="21"/>
        <v>0</v>
      </c>
    </row>
    <row r="69" spans="1:124" hidden="1">
      <c r="A69" s="14" t="s">
        <v>62</v>
      </c>
      <c r="B69" s="15"/>
      <c r="C69" s="15">
        <v>0.85</v>
      </c>
      <c r="D69" s="15"/>
      <c r="E69" s="15"/>
      <c r="F69" s="372"/>
      <c r="G69" s="372"/>
      <c r="H69" s="372"/>
      <c r="I69" s="372"/>
      <c r="J69" s="372"/>
      <c r="K69" s="374"/>
      <c r="L69" s="374"/>
      <c r="M69" s="374"/>
      <c r="N69" s="372"/>
      <c r="O69" s="372"/>
      <c r="P69" s="372"/>
      <c r="Q69" s="372"/>
      <c r="R69" s="372"/>
      <c r="S69" s="372"/>
      <c r="T69" s="372"/>
      <c r="U69" s="372"/>
      <c r="V69" s="372"/>
      <c r="W69" s="372"/>
      <c r="X69" s="372"/>
      <c r="Y69" s="372"/>
      <c r="Z69" s="372"/>
      <c r="AA69" s="372"/>
      <c r="AB69" s="372"/>
      <c r="AC69" s="372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1"/>
        <v>0</v>
      </c>
    </row>
    <row r="70" spans="1:124" hidden="1">
      <c r="A70" s="14" t="s">
        <v>63</v>
      </c>
      <c r="B70" s="15"/>
      <c r="C70" s="15">
        <v>0.85</v>
      </c>
      <c r="D70" s="15"/>
      <c r="E70" s="15"/>
      <c r="F70" s="372"/>
      <c r="G70" s="372"/>
      <c r="H70" s="372"/>
      <c r="I70" s="372"/>
      <c r="J70" s="372"/>
      <c r="K70" s="374"/>
      <c r="L70" s="374"/>
      <c r="M70" s="374"/>
      <c r="N70" s="372"/>
      <c r="O70" s="372"/>
      <c r="P70" s="372"/>
      <c r="Q70" s="372"/>
      <c r="R70" s="372"/>
      <c r="S70" s="372"/>
      <c r="T70" s="372"/>
      <c r="U70" s="372"/>
      <c r="V70" s="372"/>
      <c r="W70" s="372"/>
      <c r="X70" s="372"/>
      <c r="Y70" s="372"/>
      <c r="Z70" s="372"/>
      <c r="AA70" s="372"/>
      <c r="AB70" s="372"/>
      <c r="AC70" s="372"/>
      <c r="AD70" s="35"/>
      <c r="AE70" s="35"/>
      <c r="AF70" s="11">
        <f t="shared" si="19"/>
        <v>0</v>
      </c>
      <c r="AG70" s="11">
        <f t="shared" si="20"/>
        <v>0</v>
      </c>
      <c r="AH70" s="11">
        <f t="shared" si="21"/>
        <v>0</v>
      </c>
      <c r="AI70" s="5"/>
      <c r="AJ70" s="5"/>
      <c r="AK70" s="5"/>
      <c r="AL70" s="5"/>
    </row>
    <row r="71" spans="1:124" hidden="1">
      <c r="A71" s="14" t="s">
        <v>64</v>
      </c>
      <c r="B71" s="15"/>
      <c r="C71" s="15">
        <v>0.85</v>
      </c>
      <c r="D71" s="15"/>
      <c r="E71" s="15"/>
      <c r="F71" s="372"/>
      <c r="G71" s="372"/>
      <c r="H71" s="372"/>
      <c r="I71" s="372"/>
      <c r="J71" s="372"/>
      <c r="K71" s="374"/>
      <c r="L71" s="374"/>
      <c r="M71" s="374"/>
      <c r="N71" s="372"/>
      <c r="O71" s="372"/>
      <c r="P71" s="372"/>
      <c r="Q71" s="372"/>
      <c r="R71" s="372"/>
      <c r="S71" s="372"/>
      <c r="T71" s="372"/>
      <c r="U71" s="372"/>
      <c r="V71" s="372"/>
      <c r="W71" s="372"/>
      <c r="X71" s="372"/>
      <c r="Y71" s="372"/>
      <c r="Z71" s="372"/>
      <c r="AA71" s="372"/>
      <c r="AB71" s="372"/>
      <c r="AC71" s="372"/>
      <c r="AD71" s="35"/>
      <c r="AE71" s="35"/>
      <c r="AF71" s="11">
        <f t="shared" si="19"/>
        <v>0</v>
      </c>
      <c r="AG71" s="11">
        <f t="shared" si="20"/>
        <v>0</v>
      </c>
      <c r="AH71" s="11">
        <f t="shared" si="21"/>
        <v>0</v>
      </c>
    </row>
    <row r="72" spans="1:124" hidden="1">
      <c r="A72" s="14" t="s">
        <v>65</v>
      </c>
      <c r="B72" s="15"/>
      <c r="C72" s="15">
        <v>0.85</v>
      </c>
      <c r="D72" s="15"/>
      <c r="E72" s="15"/>
      <c r="F72" s="372"/>
      <c r="G72" s="372"/>
      <c r="H72" s="372"/>
      <c r="I72" s="372"/>
      <c r="J72" s="372"/>
      <c r="K72" s="374"/>
      <c r="L72" s="374"/>
      <c r="M72" s="374"/>
      <c r="N72" s="372"/>
      <c r="O72" s="372"/>
      <c r="P72" s="372"/>
      <c r="Q72" s="372"/>
      <c r="R72" s="372"/>
      <c r="S72" s="372"/>
      <c r="T72" s="372"/>
      <c r="U72" s="372"/>
      <c r="V72" s="372"/>
      <c r="W72" s="372"/>
      <c r="X72" s="372"/>
      <c r="Y72" s="372"/>
      <c r="Z72" s="372"/>
      <c r="AA72" s="372"/>
      <c r="AB72" s="372"/>
      <c r="AC72" s="372"/>
      <c r="AD72" s="35"/>
      <c r="AE72" s="35"/>
      <c r="AF72" s="11">
        <f t="shared" si="19"/>
        <v>0</v>
      </c>
      <c r="AG72" s="11">
        <f t="shared" si="20"/>
        <v>0</v>
      </c>
      <c r="AH72" s="11">
        <f t="shared" si="21"/>
        <v>0</v>
      </c>
    </row>
    <row r="73" spans="1:124" hidden="1">
      <c r="A73" s="14" t="s">
        <v>66</v>
      </c>
      <c r="B73" s="15"/>
      <c r="C73" s="15">
        <v>0.85</v>
      </c>
      <c r="D73" s="15"/>
      <c r="E73" s="15"/>
      <c r="F73" s="372"/>
      <c r="G73" s="372"/>
      <c r="H73" s="372"/>
      <c r="I73" s="372"/>
      <c r="J73" s="372"/>
      <c r="K73" s="374"/>
      <c r="L73" s="374"/>
      <c r="M73" s="374"/>
      <c r="N73" s="372"/>
      <c r="O73" s="372"/>
      <c r="P73" s="372"/>
      <c r="Q73" s="372"/>
      <c r="R73" s="372"/>
      <c r="S73" s="372"/>
      <c r="T73" s="372"/>
      <c r="U73" s="372"/>
      <c r="V73" s="372"/>
      <c r="W73" s="372"/>
      <c r="X73" s="372"/>
      <c r="Y73" s="372"/>
      <c r="Z73" s="372"/>
      <c r="AA73" s="372"/>
      <c r="AB73" s="372"/>
      <c r="AC73" s="372"/>
      <c r="AD73" s="35"/>
      <c r="AE73" s="35"/>
      <c r="AF73" s="11">
        <f t="shared" si="19"/>
        <v>0</v>
      </c>
      <c r="AG73" s="11">
        <f t="shared" si="20"/>
        <v>0</v>
      </c>
      <c r="AH73" s="11">
        <f t="shared" si="21"/>
        <v>0</v>
      </c>
    </row>
    <row r="74" spans="1:124" hidden="1">
      <c r="A74" s="14" t="s">
        <v>67</v>
      </c>
      <c r="B74" s="19"/>
      <c r="C74" s="15">
        <v>0.85</v>
      </c>
      <c r="D74" s="15"/>
      <c r="E74" s="15"/>
      <c r="F74" s="372"/>
      <c r="G74" s="372"/>
      <c r="H74" s="372"/>
      <c r="I74" s="372"/>
      <c r="J74" s="372"/>
      <c r="K74" s="374"/>
      <c r="L74" s="374"/>
      <c r="M74" s="374"/>
      <c r="N74" s="372"/>
      <c r="O74" s="372"/>
      <c r="P74" s="372"/>
      <c r="Q74" s="372"/>
      <c r="R74" s="372"/>
      <c r="S74" s="372"/>
      <c r="T74" s="372"/>
      <c r="U74" s="372"/>
      <c r="V74" s="372"/>
      <c r="W74" s="372"/>
      <c r="X74" s="372"/>
      <c r="Y74" s="372"/>
      <c r="Z74" s="372"/>
      <c r="AA74" s="372"/>
      <c r="AB74" s="372"/>
      <c r="AC74" s="372"/>
      <c r="AD74" s="29"/>
      <c r="AE74" s="29"/>
      <c r="AF74" s="11">
        <f t="shared" si="19"/>
        <v>0</v>
      </c>
      <c r="AG74" s="11">
        <f t="shared" si="20"/>
        <v>0</v>
      </c>
      <c r="AH74" s="11">
        <f t="shared" si="21"/>
        <v>0</v>
      </c>
    </row>
    <row r="75" spans="1:124" ht="15.75" hidden="1" customHeight="1">
      <c r="A75" s="14" t="s">
        <v>68</v>
      </c>
      <c r="B75" s="9"/>
      <c r="C75" s="15">
        <v>0.85</v>
      </c>
      <c r="D75" s="15"/>
      <c r="E75" s="15"/>
      <c r="F75" s="372"/>
      <c r="G75" s="372"/>
      <c r="H75" s="372"/>
      <c r="I75" s="372"/>
      <c r="J75" s="372"/>
      <c r="K75" s="374"/>
      <c r="L75" s="374"/>
      <c r="M75" s="374"/>
      <c r="N75" s="372"/>
      <c r="O75" s="372"/>
      <c r="P75" s="372"/>
      <c r="Q75" s="372"/>
      <c r="R75" s="372"/>
      <c r="S75" s="372"/>
      <c r="T75" s="372"/>
      <c r="U75" s="372"/>
      <c r="V75" s="372"/>
      <c r="W75" s="372"/>
      <c r="X75" s="372"/>
      <c r="Y75" s="372"/>
      <c r="Z75" s="372"/>
      <c r="AA75" s="372"/>
      <c r="AB75" s="372"/>
      <c r="AC75" s="372"/>
      <c r="AD75" s="31"/>
      <c r="AE75" s="31"/>
      <c r="AF75" s="11">
        <f t="shared" si="19"/>
        <v>0</v>
      </c>
      <c r="AG75" s="11">
        <f t="shared" si="20"/>
        <v>0</v>
      </c>
      <c r="AH75" s="11">
        <f t="shared" si="21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2">SUM(F67:F75)</f>
        <v>0</v>
      </c>
      <c r="G76" s="19">
        <f t="shared" ref="G76:AC76" si="23">SUM(G67:G75)</f>
        <v>0</v>
      </c>
      <c r="H76" s="19">
        <f t="shared" si="23"/>
        <v>0</v>
      </c>
      <c r="I76" s="19">
        <f t="shared" si="23"/>
        <v>0</v>
      </c>
      <c r="J76" s="19">
        <f t="shared" si="23"/>
        <v>0</v>
      </c>
      <c r="K76" s="19">
        <f t="shared" si="23"/>
        <v>0</v>
      </c>
      <c r="L76" s="19">
        <f>SUM(L67:L75)</f>
        <v>0</v>
      </c>
      <c r="M76" s="19">
        <f t="shared" si="23"/>
        <v>0</v>
      </c>
      <c r="N76" s="19">
        <f t="shared" si="23"/>
        <v>0</v>
      </c>
      <c r="O76" s="19">
        <f t="shared" si="23"/>
        <v>0</v>
      </c>
      <c r="P76" s="19">
        <f t="shared" si="23"/>
        <v>0</v>
      </c>
      <c r="Q76" s="19">
        <f>SUM(Q67:Q75)</f>
        <v>0</v>
      </c>
      <c r="R76" s="19">
        <f t="shared" si="23"/>
        <v>0</v>
      </c>
      <c r="S76" s="19">
        <f t="shared" si="23"/>
        <v>0</v>
      </c>
      <c r="T76" s="19">
        <f t="shared" si="23"/>
        <v>0</v>
      </c>
      <c r="U76" s="19">
        <f t="shared" si="23"/>
        <v>0</v>
      </c>
      <c r="V76" s="19">
        <f t="shared" si="23"/>
        <v>0</v>
      </c>
      <c r="W76" s="19">
        <f t="shared" si="23"/>
        <v>0</v>
      </c>
      <c r="X76" s="19">
        <f t="shared" si="23"/>
        <v>0</v>
      </c>
      <c r="Y76" s="19">
        <f t="shared" si="23"/>
        <v>0</v>
      </c>
      <c r="Z76" s="19">
        <f t="shared" si="23"/>
        <v>0</v>
      </c>
      <c r="AA76" s="19">
        <f t="shared" si="23"/>
        <v>0</v>
      </c>
      <c r="AB76" s="19">
        <f t="shared" si="23"/>
        <v>0</v>
      </c>
      <c r="AC76" s="19">
        <f t="shared" si="23"/>
        <v>0</v>
      </c>
      <c r="AD76" s="34"/>
      <c r="AE76" s="34"/>
      <c r="AF76" s="11"/>
      <c r="AG76" s="11"/>
      <c r="AH76" s="11"/>
    </row>
    <row r="77" spans="1:124">
      <c r="A77" s="12" t="s">
        <v>69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 t="s">
        <v>21</v>
      </c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18.740000000000006</v>
      </c>
    </row>
    <row r="78" spans="1:124">
      <c r="A78" s="14" t="s">
        <v>70</v>
      </c>
      <c r="B78" s="20"/>
      <c r="C78" s="15">
        <v>1</v>
      </c>
      <c r="D78" s="15"/>
      <c r="E78" s="15"/>
      <c r="F78" s="372"/>
      <c r="G78" s="372"/>
      <c r="H78" s="372"/>
      <c r="I78" s="372"/>
      <c r="J78" s="372"/>
      <c r="K78" s="374"/>
      <c r="L78" s="374"/>
      <c r="M78" s="374"/>
      <c r="N78" s="372">
        <v>0.69</v>
      </c>
      <c r="O78" s="372">
        <v>0.74</v>
      </c>
      <c r="P78" s="372">
        <v>0.76</v>
      </c>
      <c r="Q78" s="372">
        <v>0.81</v>
      </c>
      <c r="R78" s="372">
        <v>0.82</v>
      </c>
      <c r="S78" s="372"/>
      <c r="T78" s="372"/>
      <c r="U78" s="372"/>
      <c r="V78" s="372"/>
      <c r="W78" s="372"/>
      <c r="X78" s="372"/>
      <c r="Y78" s="372"/>
      <c r="Z78" s="372"/>
      <c r="AA78" s="372"/>
      <c r="AB78" s="372"/>
      <c r="AC78" s="372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5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71</v>
      </c>
      <c r="B79" s="20"/>
      <c r="C79" s="15">
        <v>1</v>
      </c>
      <c r="D79" s="15"/>
      <c r="E79" s="15"/>
      <c r="F79" s="372">
        <v>0.76</v>
      </c>
      <c r="G79" s="372">
        <v>0.74</v>
      </c>
      <c r="H79" s="372">
        <v>0.71</v>
      </c>
      <c r="I79" s="372">
        <v>0.69</v>
      </c>
      <c r="J79" s="372">
        <v>0.67</v>
      </c>
      <c r="K79" s="374">
        <v>0.7</v>
      </c>
      <c r="L79" s="374">
        <v>0.72</v>
      </c>
      <c r="M79" s="374">
        <v>0.72</v>
      </c>
      <c r="N79" s="372"/>
      <c r="O79" s="372"/>
      <c r="P79" s="372"/>
      <c r="Q79" s="372"/>
      <c r="R79" s="372"/>
      <c r="S79" s="372">
        <v>0.83</v>
      </c>
      <c r="T79" s="372">
        <v>0.86</v>
      </c>
      <c r="U79" s="372">
        <v>0.84</v>
      </c>
      <c r="V79" s="372">
        <v>0.8</v>
      </c>
      <c r="W79" s="372">
        <v>0.8</v>
      </c>
      <c r="X79" s="372">
        <v>0.8</v>
      </c>
      <c r="Y79" s="372">
        <v>0.88</v>
      </c>
      <c r="Z79" s="372">
        <v>0.9</v>
      </c>
      <c r="AA79" s="372">
        <v>0.92</v>
      </c>
      <c r="AB79" s="372">
        <v>0.82</v>
      </c>
      <c r="AC79" s="372">
        <v>0.76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19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>SUM(F78:F79)</f>
        <v>0.76</v>
      </c>
      <c r="G80" s="19">
        <f t="shared" ref="G80" si="24">SUM(G78:G79)</f>
        <v>0.74</v>
      </c>
      <c r="H80" s="19">
        <f>SUM(H78:H79)</f>
        <v>0.71</v>
      </c>
      <c r="I80" s="19">
        <f>SUM(I78:I79)</f>
        <v>0.69</v>
      </c>
      <c r="J80" s="19">
        <f t="shared" ref="J80:AC80" si="25">SUM(J78:J79)</f>
        <v>0.67</v>
      </c>
      <c r="K80" s="19">
        <f t="shared" si="25"/>
        <v>0.7</v>
      </c>
      <c r="L80" s="19">
        <f>SUM(L78:L79)</f>
        <v>0.72</v>
      </c>
      <c r="M80" s="19">
        <f t="shared" si="25"/>
        <v>0.72</v>
      </c>
      <c r="N80" s="19">
        <f t="shared" si="25"/>
        <v>0.69</v>
      </c>
      <c r="O80" s="19">
        <f>SUM(O78:O79)</f>
        <v>0.74</v>
      </c>
      <c r="P80" s="19">
        <f t="shared" si="25"/>
        <v>0.76</v>
      </c>
      <c r="Q80" s="19">
        <f t="shared" si="25"/>
        <v>0.81</v>
      </c>
      <c r="R80" s="19">
        <f t="shared" si="25"/>
        <v>0.82</v>
      </c>
      <c r="S80" s="19">
        <f t="shared" si="25"/>
        <v>0.83</v>
      </c>
      <c r="T80" s="19">
        <f t="shared" si="25"/>
        <v>0.86</v>
      </c>
      <c r="U80" s="19">
        <f t="shared" si="25"/>
        <v>0.84</v>
      </c>
      <c r="V80" s="19">
        <f t="shared" si="25"/>
        <v>0.8</v>
      </c>
      <c r="W80" s="19">
        <f t="shared" si="25"/>
        <v>0.8</v>
      </c>
      <c r="X80" s="19">
        <f t="shared" si="25"/>
        <v>0.8</v>
      </c>
      <c r="Y80" s="19">
        <f t="shared" si="25"/>
        <v>0.88</v>
      </c>
      <c r="Z80" s="19">
        <f t="shared" si="25"/>
        <v>0.9</v>
      </c>
      <c r="AA80" s="19">
        <f t="shared" si="25"/>
        <v>0.92</v>
      </c>
      <c r="AB80" s="19">
        <f t="shared" si="25"/>
        <v>0.82</v>
      </c>
      <c r="AC80" s="19">
        <f t="shared" si="25"/>
        <v>0.76</v>
      </c>
      <c r="AD80" s="34"/>
      <c r="AE80" s="34"/>
      <c r="AF80" s="11"/>
      <c r="AG80" s="11"/>
      <c r="AH80" s="11"/>
    </row>
    <row r="81" spans="1:40" ht="17.45" hidden="1">
      <c r="A81" s="366" t="s">
        <v>72</v>
      </c>
      <c r="B81" s="365"/>
      <c r="C81" s="367">
        <v>2</v>
      </c>
      <c r="D81" s="363"/>
      <c r="E81" s="363"/>
      <c r="F81" s="364"/>
      <c r="G81" s="364"/>
      <c r="H81" s="364"/>
      <c r="I81" s="364"/>
      <c r="J81" s="364"/>
      <c r="K81" s="364"/>
      <c r="L81" s="364"/>
      <c r="M81" s="364"/>
      <c r="N81" s="364"/>
      <c r="O81" s="364"/>
      <c r="P81" s="364"/>
      <c r="Q81" s="364"/>
      <c r="R81" s="364"/>
      <c r="S81" s="364"/>
      <c r="T81" s="364"/>
      <c r="U81" s="364"/>
      <c r="V81" s="364"/>
      <c r="W81" s="364"/>
      <c r="X81" s="364"/>
      <c r="Y81" s="364"/>
      <c r="Z81" s="364"/>
      <c r="AA81" s="364"/>
      <c r="AB81" s="364"/>
      <c r="AC81" s="364"/>
    </row>
    <row r="82" spans="1:40" ht="17.45" hidden="1">
      <c r="A82" s="368"/>
      <c r="B82" s="369"/>
      <c r="C82" s="370"/>
      <c r="D82" s="371"/>
      <c r="E82" s="371"/>
      <c r="F82" s="372"/>
      <c r="G82" s="372"/>
      <c r="H82" s="372"/>
      <c r="I82" s="372"/>
      <c r="J82" s="372"/>
      <c r="K82" s="374"/>
      <c r="L82" s="374"/>
      <c r="M82" s="374"/>
      <c r="N82" s="372"/>
      <c r="O82" s="372"/>
      <c r="P82" s="372"/>
      <c r="Q82" s="372"/>
      <c r="R82" s="372"/>
      <c r="S82" s="372"/>
      <c r="T82" s="372"/>
      <c r="U82" s="372"/>
      <c r="V82" s="372"/>
      <c r="W82" s="372"/>
      <c r="X82" s="372"/>
      <c r="Y82" s="372"/>
      <c r="Z82" s="372"/>
      <c r="AA82" s="372"/>
      <c r="AB82" s="372"/>
      <c r="AC82" s="372"/>
    </row>
    <row r="83" spans="1:40">
      <c r="A83" s="21" t="s">
        <v>73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:AC83" si="26">SUM(F17,F22,F25,F31,F34,F60,F65,F76,F80,F82)</f>
        <v>45.290000000000006</v>
      </c>
      <c r="G83" s="28">
        <f t="shared" si="26"/>
        <v>42.13</v>
      </c>
      <c r="H83" s="28">
        <f t="shared" si="26"/>
        <v>40.220000000000006</v>
      </c>
      <c r="I83" s="28">
        <f t="shared" si="26"/>
        <v>38.449999999999996</v>
      </c>
      <c r="J83" s="28">
        <f t="shared" si="26"/>
        <v>37.299999999999997</v>
      </c>
      <c r="K83" s="28">
        <f t="shared" si="26"/>
        <v>38.990000000000009</v>
      </c>
      <c r="L83" s="28">
        <f t="shared" si="26"/>
        <v>44.289999999999992</v>
      </c>
      <c r="M83" s="28">
        <f t="shared" si="26"/>
        <v>41.669999999999995</v>
      </c>
      <c r="N83" s="28">
        <f>SUM(N17,N22,N25,N31,N34,N60,N65,N76,N80,N82)</f>
        <v>46.94</v>
      </c>
      <c r="O83" s="28">
        <f>SUM(O17,O22,O25,O31,O34,O60,O65,O76,O80,O82)</f>
        <v>56.860000000000007</v>
      </c>
      <c r="P83" s="28">
        <f t="shared" si="26"/>
        <v>62.32</v>
      </c>
      <c r="Q83" s="28">
        <f t="shared" si="26"/>
        <v>63.889999999999993</v>
      </c>
      <c r="R83" s="28">
        <f t="shared" si="26"/>
        <v>64.659999999999982</v>
      </c>
      <c r="S83" s="28">
        <f t="shared" si="26"/>
        <v>61.45</v>
      </c>
      <c r="T83" s="28">
        <f t="shared" si="26"/>
        <v>61.059999999999995</v>
      </c>
      <c r="U83" s="28">
        <f>SUM(U17,U22,U25,U31,U34,U60,U65,U76,U80,U82)</f>
        <v>59.420000000000009</v>
      </c>
      <c r="V83" s="28">
        <f t="shared" si="26"/>
        <v>59.17</v>
      </c>
      <c r="W83" s="28">
        <f t="shared" si="26"/>
        <v>57.179999999999993</v>
      </c>
      <c r="X83" s="28">
        <f t="shared" si="26"/>
        <v>54.419999999999995</v>
      </c>
      <c r="Y83" s="28">
        <f t="shared" si="26"/>
        <v>57.05</v>
      </c>
      <c r="Z83" s="28">
        <f t="shared" si="26"/>
        <v>55.83</v>
      </c>
      <c r="AA83" s="28">
        <f t="shared" si="26"/>
        <v>53.139999999999993</v>
      </c>
      <c r="AB83" s="28">
        <f t="shared" si="26"/>
        <v>49.53</v>
      </c>
      <c r="AC83" s="28">
        <f t="shared" si="26"/>
        <v>44.9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25" t="s">
        <v>74</v>
      </c>
      <c r="B85" s="525"/>
      <c r="C85" s="525"/>
      <c r="D85" s="525"/>
      <c r="E85" s="525"/>
      <c r="F85" s="525"/>
      <c r="G85" s="525"/>
      <c r="H85" s="525"/>
      <c r="I85" s="525"/>
      <c r="J85" s="525"/>
      <c r="K85" s="525"/>
      <c r="L85" s="525"/>
      <c r="M85" s="525"/>
      <c r="N85" s="525"/>
      <c r="O85" s="525"/>
      <c r="P85" s="525"/>
      <c r="Q85" s="525"/>
      <c r="R85" s="525"/>
      <c r="S85" s="525"/>
      <c r="T85" s="525"/>
      <c r="U85" s="525"/>
      <c r="V85" s="525"/>
      <c r="W85" s="525"/>
      <c r="X85" s="525"/>
      <c r="Y85" s="525"/>
      <c r="Z85" s="525"/>
      <c r="AA85" s="525"/>
      <c r="AB85" s="525"/>
      <c r="AC85" s="525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</row>
    <row r="87" spans="1:40" ht="17.45">
      <c r="A87" s="500" t="s">
        <v>75</v>
      </c>
      <c r="B87" s="501"/>
      <c r="C87" s="502"/>
      <c r="D87" s="49"/>
      <c r="E87" s="49"/>
      <c r="F87" s="506" t="s">
        <v>76</v>
      </c>
      <c r="G87" s="506"/>
      <c r="H87" s="506"/>
      <c r="I87" s="506"/>
      <c r="J87" s="506"/>
      <c r="K87" s="506"/>
      <c r="L87" s="506"/>
      <c r="M87" s="506"/>
      <c r="N87" s="506"/>
      <c r="O87" s="506"/>
      <c r="P87" s="506"/>
      <c r="Q87" s="506"/>
      <c r="R87" s="506"/>
      <c r="S87" s="506"/>
      <c r="T87" s="506"/>
      <c r="U87" s="506"/>
      <c r="V87" s="506"/>
      <c r="W87" s="506"/>
      <c r="X87" s="506"/>
      <c r="Y87" s="506"/>
      <c r="Z87" s="506"/>
      <c r="AA87" s="506"/>
      <c r="AB87" s="506"/>
      <c r="AC87" s="506"/>
      <c r="AD87" s="5"/>
      <c r="AE87" s="5"/>
      <c r="AF87" s="5"/>
      <c r="AG87" s="5"/>
      <c r="AH87" s="5"/>
    </row>
    <row r="88" spans="1:40" ht="15.6" customHeight="1">
      <c r="A88" s="503"/>
      <c r="B88" s="504"/>
      <c r="C88" s="505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07" t="s">
        <v>27</v>
      </c>
      <c r="B89" s="508"/>
      <c r="C89" s="509"/>
      <c r="D89" s="45"/>
      <c r="E89" s="45"/>
      <c r="F89" s="64">
        <f t="shared" ref="F89:AC89" si="27">SUM(F22,F25)</f>
        <v>6</v>
      </c>
      <c r="G89" s="64">
        <f t="shared" si="27"/>
        <v>3</v>
      </c>
      <c r="H89" s="64">
        <f t="shared" si="27"/>
        <v>0</v>
      </c>
      <c r="I89" s="64">
        <f t="shared" si="27"/>
        <v>0</v>
      </c>
      <c r="J89" s="64">
        <f t="shared" si="27"/>
        <v>0</v>
      </c>
      <c r="K89" s="64">
        <f t="shared" si="27"/>
        <v>0</v>
      </c>
      <c r="L89" s="64">
        <f t="shared" si="27"/>
        <v>3.5</v>
      </c>
      <c r="M89" s="64">
        <f t="shared" si="27"/>
        <v>3</v>
      </c>
      <c r="N89" s="64">
        <f t="shared" si="27"/>
        <v>6.3999999999999995</v>
      </c>
      <c r="O89" s="64">
        <f t="shared" si="27"/>
        <v>10.399999999999999</v>
      </c>
      <c r="P89" s="64">
        <f t="shared" si="27"/>
        <v>10.399999999999999</v>
      </c>
      <c r="Q89" s="64">
        <f t="shared" si="27"/>
        <v>10.399999999999999</v>
      </c>
      <c r="R89" s="64">
        <f t="shared" si="27"/>
        <v>10.399999999999999</v>
      </c>
      <c r="S89" s="64">
        <f t="shared" si="27"/>
        <v>8.8000000000000007</v>
      </c>
      <c r="T89" s="64">
        <f t="shared" si="27"/>
        <v>9</v>
      </c>
      <c r="U89" s="64">
        <f t="shared" si="27"/>
        <v>9</v>
      </c>
      <c r="V89" s="64">
        <f t="shared" si="27"/>
        <v>8</v>
      </c>
      <c r="W89" s="64">
        <f t="shared" si="27"/>
        <v>8</v>
      </c>
      <c r="X89" s="64">
        <f t="shared" si="27"/>
        <v>8.5</v>
      </c>
      <c r="Y89" s="64">
        <f t="shared" si="27"/>
        <v>10.399999999999999</v>
      </c>
      <c r="Z89" s="64">
        <f t="shared" si="27"/>
        <v>10</v>
      </c>
      <c r="AA89" s="64">
        <f t="shared" si="27"/>
        <v>6.8</v>
      </c>
      <c r="AB89" s="64">
        <f t="shared" si="27"/>
        <v>7.6999999999999993</v>
      </c>
      <c r="AC89" s="64">
        <f t="shared" si="27"/>
        <v>6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521" t="s">
        <v>77</v>
      </c>
      <c r="B90" s="521"/>
      <c r="C90" s="522"/>
      <c r="D90" s="45"/>
      <c r="E90" s="45"/>
      <c r="F90" s="68">
        <v>0.20200000000000001</v>
      </c>
      <c r="G90" s="68"/>
      <c r="H90" s="68"/>
      <c r="I90" s="68"/>
      <c r="J90" s="68"/>
      <c r="K90" s="68"/>
      <c r="L90" s="68"/>
      <c r="M90" s="68"/>
      <c r="N90" s="68">
        <v>0.193</v>
      </c>
      <c r="O90" s="68">
        <v>0.27100000000000002</v>
      </c>
      <c r="P90" s="68">
        <v>0.247</v>
      </c>
      <c r="Q90" s="68">
        <v>0.255</v>
      </c>
      <c r="R90" s="68">
        <v>0.219</v>
      </c>
      <c r="S90" s="68">
        <v>0.222</v>
      </c>
      <c r="T90" s="68">
        <v>0.26</v>
      </c>
      <c r="U90" s="68">
        <v>0.248</v>
      </c>
      <c r="V90" s="68">
        <v>0.26100000000000001</v>
      </c>
      <c r="W90" s="68">
        <v>0.21199999999999999</v>
      </c>
      <c r="X90" s="68">
        <v>0.252</v>
      </c>
      <c r="Y90" s="68">
        <v>0.247</v>
      </c>
      <c r="Z90" s="68">
        <v>0.24</v>
      </c>
      <c r="AA90" s="68">
        <v>0.20499999999999999</v>
      </c>
      <c r="AB90" s="68">
        <v>0.224</v>
      </c>
      <c r="AC90" s="68">
        <v>0.218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07" t="s">
        <v>78</v>
      </c>
      <c r="B91" s="508"/>
      <c r="C91" s="509"/>
      <c r="D91" s="45"/>
      <c r="E91" s="45"/>
      <c r="F91" s="64">
        <f t="shared" ref="F91:AC91" si="28">F17</f>
        <v>20.100000000000001</v>
      </c>
      <c r="G91" s="64">
        <f t="shared" si="28"/>
        <v>20.100000000000001</v>
      </c>
      <c r="H91" s="64">
        <f t="shared" si="28"/>
        <v>20.100000000000001</v>
      </c>
      <c r="I91" s="64">
        <f t="shared" si="28"/>
        <v>19.5</v>
      </c>
      <c r="J91" s="64">
        <f t="shared" si="28"/>
        <v>19.899999999999999</v>
      </c>
      <c r="K91" s="64">
        <f t="shared" si="28"/>
        <v>20.100000000000001</v>
      </c>
      <c r="L91" s="64">
        <f t="shared" si="28"/>
        <v>20.399999999999999</v>
      </c>
      <c r="M91" s="64">
        <f t="shared" si="28"/>
        <v>19</v>
      </c>
      <c r="N91" s="64">
        <f t="shared" si="28"/>
        <v>20.100000000000001</v>
      </c>
      <c r="O91" s="64">
        <f t="shared" si="28"/>
        <v>20.100000000000001</v>
      </c>
      <c r="P91" s="64">
        <f t="shared" si="28"/>
        <v>21.6</v>
      </c>
      <c r="Q91" s="64">
        <f t="shared" si="28"/>
        <v>26.8</v>
      </c>
      <c r="R91" s="64">
        <f t="shared" si="28"/>
        <v>26.8</v>
      </c>
      <c r="S91" s="64">
        <f t="shared" si="28"/>
        <v>26.8</v>
      </c>
      <c r="T91" s="64">
        <f t="shared" si="28"/>
        <v>26.4</v>
      </c>
      <c r="U91" s="64">
        <f t="shared" si="28"/>
        <v>26</v>
      </c>
      <c r="V91" s="64">
        <f t="shared" si="28"/>
        <v>26.8</v>
      </c>
      <c r="W91" s="64">
        <f t="shared" si="28"/>
        <v>26</v>
      </c>
      <c r="X91" s="64">
        <f t="shared" si="28"/>
        <v>25.6</v>
      </c>
      <c r="Y91" s="64">
        <f t="shared" si="28"/>
        <v>26.8</v>
      </c>
      <c r="Z91" s="64">
        <f t="shared" si="28"/>
        <v>26.2</v>
      </c>
      <c r="AA91" s="64">
        <f t="shared" si="28"/>
        <v>26</v>
      </c>
      <c r="AB91" s="64">
        <f t="shared" si="28"/>
        <v>20.5</v>
      </c>
      <c r="AC91" s="64">
        <f t="shared" si="28"/>
        <v>19.8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21" t="s">
        <v>79</v>
      </c>
      <c r="B92" s="521"/>
      <c r="C92" s="522"/>
      <c r="D92" s="45"/>
      <c r="E92" s="45"/>
      <c r="F92" s="68">
        <v>0.64</v>
      </c>
      <c r="G92" s="68">
        <v>0.68</v>
      </c>
      <c r="H92" s="68">
        <v>0.68400000000000005</v>
      </c>
      <c r="I92" s="68">
        <v>0.69699999999999995</v>
      </c>
      <c r="J92" s="68">
        <v>0.69299999999999995</v>
      </c>
      <c r="K92" s="68">
        <v>0.93200000000000005</v>
      </c>
      <c r="L92" s="68">
        <v>0.68799999999999994</v>
      </c>
      <c r="M92" s="68">
        <v>0.85</v>
      </c>
      <c r="N92" s="68">
        <v>0.85099999999999998</v>
      </c>
      <c r="O92" s="68">
        <v>0.73299999999999998</v>
      </c>
      <c r="P92" s="68">
        <v>1.0229999999999999</v>
      </c>
      <c r="Q92" s="68">
        <v>1.0609999999999999</v>
      </c>
      <c r="R92" s="68">
        <v>1.1160000000000001</v>
      </c>
      <c r="S92" s="68">
        <v>1.0880000000000001</v>
      </c>
      <c r="T92" s="68">
        <v>1.036</v>
      </c>
      <c r="U92" s="68">
        <v>0.98899999999999999</v>
      </c>
      <c r="V92" s="68">
        <v>1.0009999999999999</v>
      </c>
      <c r="W92" s="68">
        <v>1.0209999999999999</v>
      </c>
      <c r="X92" s="68">
        <v>0.89900000000000002</v>
      </c>
      <c r="Y92" s="68">
        <v>0.92700000000000005</v>
      </c>
      <c r="Z92" s="68">
        <v>0.98299999999999998</v>
      </c>
      <c r="AA92" s="68">
        <v>0.92100000000000004</v>
      </c>
      <c r="AB92" s="68">
        <v>0.73199999999999998</v>
      </c>
      <c r="AC92" s="68">
        <v>0.74399999999999999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07" t="s">
        <v>29</v>
      </c>
      <c r="B93" s="508"/>
      <c r="C93" s="509"/>
      <c r="D93" s="45"/>
      <c r="E93" s="45"/>
      <c r="F93" s="65">
        <f t="shared" ref="F93:AC93" si="29">F31</f>
        <v>3</v>
      </c>
      <c r="G93" s="65">
        <f t="shared" si="29"/>
        <v>3</v>
      </c>
      <c r="H93" s="65">
        <f t="shared" si="29"/>
        <v>4.0999999999999996</v>
      </c>
      <c r="I93" s="65">
        <f t="shared" si="29"/>
        <v>3</v>
      </c>
      <c r="J93" s="65">
        <f t="shared" si="29"/>
        <v>3</v>
      </c>
      <c r="K93" s="65">
        <f t="shared" si="29"/>
        <v>4</v>
      </c>
      <c r="L93" s="65">
        <f t="shared" si="29"/>
        <v>4.4000000000000004</v>
      </c>
      <c r="M93" s="65">
        <f t="shared" si="29"/>
        <v>3.5</v>
      </c>
      <c r="N93" s="65">
        <f t="shared" si="29"/>
        <v>4.3</v>
      </c>
      <c r="O93" s="65">
        <f t="shared" si="29"/>
        <v>8</v>
      </c>
      <c r="P93" s="65">
        <f t="shared" si="29"/>
        <v>11.2</v>
      </c>
      <c r="Q93" s="65">
        <f t="shared" si="29"/>
        <v>10.199999999999999</v>
      </c>
      <c r="R93" s="65">
        <f t="shared" si="29"/>
        <v>10.199999999999999</v>
      </c>
      <c r="S93" s="65">
        <f t="shared" si="29"/>
        <v>9.3000000000000007</v>
      </c>
      <c r="T93" s="65">
        <f>T31</f>
        <v>9.3000000000000007</v>
      </c>
      <c r="U93" s="65">
        <f t="shared" si="29"/>
        <v>8.1</v>
      </c>
      <c r="V93" s="65">
        <f t="shared" si="29"/>
        <v>8.1</v>
      </c>
      <c r="W93" s="65">
        <f t="shared" si="29"/>
        <v>6.8000000000000007</v>
      </c>
      <c r="X93" s="65">
        <f t="shared" si="29"/>
        <v>4</v>
      </c>
      <c r="Y93" s="65">
        <f t="shared" si="29"/>
        <v>1.8</v>
      </c>
      <c r="Z93" s="65">
        <f t="shared" si="29"/>
        <v>3</v>
      </c>
      <c r="AA93" s="65">
        <f t="shared" si="29"/>
        <v>3.8</v>
      </c>
      <c r="AB93" s="65">
        <f t="shared" si="29"/>
        <v>4.4000000000000004</v>
      </c>
      <c r="AC93" s="65">
        <f t="shared" si="29"/>
        <v>3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21" t="s">
        <v>80</v>
      </c>
      <c r="B94" s="521"/>
      <c r="C94" s="522"/>
      <c r="D94" s="45"/>
      <c r="E94" s="45"/>
      <c r="F94" s="68">
        <v>0.16500000000000001</v>
      </c>
      <c r="G94" s="68">
        <v>0.153</v>
      </c>
      <c r="H94" s="68">
        <v>0.15</v>
      </c>
      <c r="I94" s="68">
        <v>0.16200000000000001</v>
      </c>
      <c r="J94" s="68">
        <v>0.16200000000000001</v>
      </c>
      <c r="K94" s="68">
        <v>0.16200000000000001</v>
      </c>
      <c r="L94" s="68">
        <v>0.14799999999999999</v>
      </c>
      <c r="M94" s="68">
        <v>0.20399999999999999</v>
      </c>
      <c r="N94" s="68">
        <v>0.19800000000000001</v>
      </c>
      <c r="O94" s="68">
        <f>0.22+0.1987</f>
        <v>0.41869999999999996</v>
      </c>
      <c r="P94" s="68">
        <f>0.185+0.3715</f>
        <v>0.55649999999999999</v>
      </c>
      <c r="Q94" s="68">
        <v>0.19500000000000001</v>
      </c>
      <c r="R94" s="68">
        <v>0.19700000000000001</v>
      </c>
      <c r="S94" s="68">
        <v>0.19800000000000001</v>
      </c>
      <c r="T94" s="68">
        <v>0.192</v>
      </c>
      <c r="U94" s="68">
        <v>0.247</v>
      </c>
      <c r="V94" s="68">
        <v>0.20699999999999999</v>
      </c>
      <c r="W94" s="68">
        <v>0.21199999999999999</v>
      </c>
      <c r="X94" s="68">
        <v>0.187</v>
      </c>
      <c r="Y94" s="68">
        <v>0.187</v>
      </c>
      <c r="Z94" s="68">
        <v>0.2</v>
      </c>
      <c r="AA94" s="68">
        <v>0.19800000000000001</v>
      </c>
      <c r="AB94" s="68">
        <v>0.17199999999999999</v>
      </c>
      <c r="AC94" s="68">
        <v>0.17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07" t="s">
        <v>32</v>
      </c>
      <c r="B95" s="508"/>
      <c r="C95" s="509"/>
      <c r="D95" s="45"/>
      <c r="E95" s="45"/>
      <c r="F95" s="65">
        <f t="shared" ref="F95:AC95" si="30">F34</f>
        <v>14.3</v>
      </c>
      <c r="G95" s="65">
        <f t="shared" si="30"/>
        <v>14.29</v>
      </c>
      <c r="H95" s="65">
        <f t="shared" si="30"/>
        <v>14.31</v>
      </c>
      <c r="I95" s="65">
        <f t="shared" si="30"/>
        <v>14.28</v>
      </c>
      <c r="J95" s="65">
        <f t="shared" si="30"/>
        <v>12.79</v>
      </c>
      <c r="K95" s="65">
        <f t="shared" si="30"/>
        <v>13.3</v>
      </c>
      <c r="L95" s="65">
        <f t="shared" si="30"/>
        <v>14.27</v>
      </c>
      <c r="M95" s="65">
        <f t="shared" si="30"/>
        <v>14.29</v>
      </c>
      <c r="N95" s="65">
        <f t="shared" si="30"/>
        <v>14.29</v>
      </c>
      <c r="O95" s="65">
        <f t="shared" si="30"/>
        <v>14.24</v>
      </c>
      <c r="P95" s="65">
        <f t="shared" si="30"/>
        <v>14.3</v>
      </c>
      <c r="Q95" s="65">
        <f t="shared" si="30"/>
        <v>14.28</v>
      </c>
      <c r="R95" s="65">
        <f t="shared" si="30"/>
        <v>14.3</v>
      </c>
      <c r="S95" s="65">
        <f t="shared" si="30"/>
        <v>14.29</v>
      </c>
      <c r="T95" s="65">
        <f t="shared" si="30"/>
        <v>14.27</v>
      </c>
      <c r="U95" s="65">
        <f t="shared" si="30"/>
        <v>14.27</v>
      </c>
      <c r="V95" s="65">
        <f t="shared" si="30"/>
        <v>14.27</v>
      </c>
      <c r="W95" s="65">
        <f t="shared" si="30"/>
        <v>14.27</v>
      </c>
      <c r="X95" s="65">
        <f t="shared" si="30"/>
        <v>14.26</v>
      </c>
      <c r="Y95" s="65">
        <f t="shared" si="30"/>
        <v>14.25</v>
      </c>
      <c r="Z95" s="65">
        <f t="shared" si="30"/>
        <v>14.28</v>
      </c>
      <c r="AA95" s="65">
        <f t="shared" si="30"/>
        <v>14.27</v>
      </c>
      <c r="AB95" s="65">
        <f t="shared" si="30"/>
        <v>14.29</v>
      </c>
      <c r="AC95" s="65">
        <f t="shared" si="30"/>
        <v>14.27</v>
      </c>
      <c r="AG95" s="5"/>
      <c r="AH95" s="5"/>
      <c r="AI95" s="5"/>
      <c r="AJ95" s="5"/>
      <c r="AK95" s="5"/>
      <c r="AL95" s="5"/>
      <c r="AM95" s="5"/>
      <c r="AN95" s="5"/>
    </row>
    <row r="96" spans="1:40" s="67" customFormat="1" ht="17.45">
      <c r="A96" s="521" t="s">
        <v>81</v>
      </c>
      <c r="B96" s="521"/>
      <c r="C96" s="522"/>
      <c r="D96" s="68"/>
      <c r="E96" s="68"/>
      <c r="F96" s="68">
        <v>0.7</v>
      </c>
      <c r="G96" s="68">
        <v>0.71</v>
      </c>
      <c r="H96" s="68">
        <v>0.69</v>
      </c>
      <c r="I96" s="68">
        <v>0.72</v>
      </c>
      <c r="J96" s="68">
        <v>0.71</v>
      </c>
      <c r="K96" s="68">
        <v>0.7</v>
      </c>
      <c r="L96" s="68">
        <v>0.73</v>
      </c>
      <c r="M96" s="68">
        <v>0.71</v>
      </c>
      <c r="N96" s="68">
        <v>0.71</v>
      </c>
      <c r="O96" s="68">
        <v>0.76</v>
      </c>
      <c r="P96" s="68">
        <v>0.7</v>
      </c>
      <c r="Q96" s="68">
        <v>0.72</v>
      </c>
      <c r="R96" s="68">
        <v>0.7</v>
      </c>
      <c r="S96" s="68">
        <v>0.71</v>
      </c>
      <c r="T96" s="68">
        <v>0.73</v>
      </c>
      <c r="U96" s="68">
        <v>0.73</v>
      </c>
      <c r="V96" s="68">
        <v>0.73</v>
      </c>
      <c r="W96" s="68">
        <v>0.71</v>
      </c>
      <c r="X96" s="68">
        <v>0.74</v>
      </c>
      <c r="Y96" s="68">
        <v>0.75</v>
      </c>
      <c r="Z96" s="68">
        <v>0.72</v>
      </c>
      <c r="AA96" s="68">
        <v>0.73</v>
      </c>
      <c r="AB96" s="68">
        <v>0.71</v>
      </c>
      <c r="AC96" s="68">
        <v>0.73</v>
      </c>
      <c r="AD96" s="69"/>
      <c r="AE96" s="69"/>
      <c r="AF96" s="69"/>
      <c r="AG96" s="69"/>
      <c r="AH96" s="69"/>
      <c r="AI96" s="69"/>
      <c r="AJ96" s="69"/>
      <c r="AK96" s="69"/>
    </row>
    <row r="97" spans="1:124" ht="17.45">
      <c r="A97" s="507" t="s">
        <v>33</v>
      </c>
      <c r="B97" s="508"/>
      <c r="C97" s="509"/>
      <c r="D97" s="45"/>
      <c r="E97" s="45"/>
      <c r="F97" s="64">
        <f t="shared" ref="F97:AC97" si="31">F60</f>
        <v>0</v>
      </c>
      <c r="G97" s="64">
        <f t="shared" si="31"/>
        <v>0</v>
      </c>
      <c r="H97" s="64">
        <f t="shared" si="31"/>
        <v>0</v>
      </c>
      <c r="I97" s="64">
        <f t="shared" si="31"/>
        <v>0</v>
      </c>
      <c r="J97" s="64">
        <f t="shared" si="31"/>
        <v>0</v>
      </c>
      <c r="K97" s="64">
        <f t="shared" si="31"/>
        <v>0</v>
      </c>
      <c r="L97" s="64">
        <f t="shared" si="31"/>
        <v>0</v>
      </c>
      <c r="M97" s="64">
        <f t="shared" si="31"/>
        <v>0</v>
      </c>
      <c r="N97" s="64">
        <f t="shared" si="31"/>
        <v>0</v>
      </c>
      <c r="O97" s="64">
        <f t="shared" si="31"/>
        <v>2.0999999999999996</v>
      </c>
      <c r="P97" s="64">
        <f t="shared" si="31"/>
        <v>2.7</v>
      </c>
      <c r="Q97" s="64">
        <f t="shared" si="31"/>
        <v>0</v>
      </c>
      <c r="R97" s="64">
        <f t="shared" si="31"/>
        <v>0.7</v>
      </c>
      <c r="S97" s="64">
        <f t="shared" si="31"/>
        <v>0</v>
      </c>
      <c r="T97" s="64">
        <f t="shared" si="31"/>
        <v>0</v>
      </c>
      <c r="U97" s="64">
        <f t="shared" si="31"/>
        <v>0</v>
      </c>
      <c r="V97" s="64">
        <f t="shared" si="31"/>
        <v>0</v>
      </c>
      <c r="W97" s="64">
        <f t="shared" si="31"/>
        <v>0</v>
      </c>
      <c r="X97" s="64">
        <f t="shared" si="31"/>
        <v>0</v>
      </c>
      <c r="Y97" s="64">
        <f t="shared" si="31"/>
        <v>1.4</v>
      </c>
      <c r="Z97" s="64">
        <f t="shared" si="31"/>
        <v>0</v>
      </c>
      <c r="AA97" s="64">
        <f t="shared" si="31"/>
        <v>0</v>
      </c>
      <c r="AB97" s="64">
        <f t="shared" si="31"/>
        <v>0.7</v>
      </c>
      <c r="AC97" s="64">
        <f t="shared" si="31"/>
        <v>0</v>
      </c>
      <c r="AG97" s="5"/>
      <c r="AH97" s="5"/>
      <c r="AI97" s="5"/>
      <c r="AJ97" s="5"/>
      <c r="AK97" s="5"/>
      <c r="AL97" s="5"/>
      <c r="AM97" s="5"/>
      <c r="AN97" s="5"/>
    </row>
    <row r="98" spans="1:124" ht="17.45">
      <c r="A98" s="507" t="s">
        <v>55</v>
      </c>
      <c r="B98" s="508"/>
      <c r="C98" s="509"/>
      <c r="D98" s="45"/>
      <c r="E98" s="45"/>
      <c r="F98" s="64">
        <f t="shared" ref="F98:AC98" si="32">F65</f>
        <v>1.1299999999999999</v>
      </c>
      <c r="G98" s="64">
        <f t="shared" si="32"/>
        <v>1</v>
      </c>
      <c r="H98" s="64">
        <f t="shared" si="32"/>
        <v>1</v>
      </c>
      <c r="I98" s="64">
        <f t="shared" si="32"/>
        <v>0.98</v>
      </c>
      <c r="J98" s="64">
        <f t="shared" si="32"/>
        <v>0.94</v>
      </c>
      <c r="K98" s="64">
        <f t="shared" si="32"/>
        <v>0.89</v>
      </c>
      <c r="L98" s="64">
        <f t="shared" si="32"/>
        <v>1</v>
      </c>
      <c r="M98" s="64">
        <f t="shared" si="32"/>
        <v>1.1599999999999999</v>
      </c>
      <c r="N98" s="64">
        <f t="shared" si="32"/>
        <v>1.1599999999999999</v>
      </c>
      <c r="O98" s="64">
        <f t="shared" si="32"/>
        <v>1.28</v>
      </c>
      <c r="P98" s="64">
        <f t="shared" si="32"/>
        <v>1.36</v>
      </c>
      <c r="Q98" s="64">
        <f t="shared" si="32"/>
        <v>1.4</v>
      </c>
      <c r="R98" s="64">
        <f t="shared" si="32"/>
        <v>1.44</v>
      </c>
      <c r="S98" s="64">
        <f t="shared" si="32"/>
        <v>1.43</v>
      </c>
      <c r="T98" s="64">
        <f t="shared" si="32"/>
        <v>1.23</v>
      </c>
      <c r="U98" s="64">
        <f t="shared" si="32"/>
        <v>1.21</v>
      </c>
      <c r="V98" s="64">
        <f t="shared" si="32"/>
        <v>1.2</v>
      </c>
      <c r="W98" s="64">
        <f t="shared" si="32"/>
        <v>1.31</v>
      </c>
      <c r="X98" s="64">
        <f t="shared" si="32"/>
        <v>1.26</v>
      </c>
      <c r="Y98" s="64">
        <f t="shared" si="32"/>
        <v>1.52</v>
      </c>
      <c r="Z98" s="64">
        <f t="shared" si="32"/>
        <v>1.45</v>
      </c>
      <c r="AA98" s="64">
        <f t="shared" si="32"/>
        <v>1.35</v>
      </c>
      <c r="AB98" s="64">
        <f t="shared" si="32"/>
        <v>1.1200000000000001</v>
      </c>
      <c r="AC98" s="64">
        <f t="shared" si="32"/>
        <v>1.07</v>
      </c>
      <c r="AG98" s="5"/>
      <c r="AH98" s="5"/>
      <c r="AI98" s="5"/>
      <c r="AJ98" s="5"/>
      <c r="AK98" s="5"/>
      <c r="AL98" s="5"/>
      <c r="AM98" s="5"/>
      <c r="AN98" s="5"/>
    </row>
    <row r="99" spans="1:124" s="2" customFormat="1" ht="17.45">
      <c r="A99" s="507" t="s">
        <v>59</v>
      </c>
      <c r="B99" s="508"/>
      <c r="C99" s="509"/>
      <c r="D99" s="45"/>
      <c r="E99" s="45"/>
      <c r="F99" s="64">
        <f t="shared" ref="F99:AC99" si="33">F76</f>
        <v>0</v>
      </c>
      <c r="G99" s="64">
        <f t="shared" si="33"/>
        <v>0</v>
      </c>
      <c r="H99" s="64">
        <f t="shared" si="33"/>
        <v>0</v>
      </c>
      <c r="I99" s="64">
        <f t="shared" si="33"/>
        <v>0</v>
      </c>
      <c r="J99" s="64">
        <f t="shared" si="33"/>
        <v>0</v>
      </c>
      <c r="K99" s="64">
        <f t="shared" si="33"/>
        <v>0</v>
      </c>
      <c r="L99" s="64">
        <f t="shared" si="33"/>
        <v>0</v>
      </c>
      <c r="M99" s="64">
        <f t="shared" si="33"/>
        <v>0</v>
      </c>
      <c r="N99" s="64">
        <f t="shared" si="33"/>
        <v>0</v>
      </c>
      <c r="O99" s="64">
        <f t="shared" si="33"/>
        <v>0</v>
      </c>
      <c r="P99" s="64">
        <f t="shared" si="33"/>
        <v>0</v>
      </c>
      <c r="Q99" s="64">
        <f t="shared" si="33"/>
        <v>0</v>
      </c>
      <c r="R99" s="64">
        <f t="shared" si="33"/>
        <v>0</v>
      </c>
      <c r="S99" s="64">
        <f t="shared" si="33"/>
        <v>0</v>
      </c>
      <c r="T99" s="64">
        <f t="shared" si="33"/>
        <v>0</v>
      </c>
      <c r="U99" s="64">
        <f t="shared" si="33"/>
        <v>0</v>
      </c>
      <c r="V99" s="64">
        <f t="shared" si="33"/>
        <v>0</v>
      </c>
      <c r="W99" s="64">
        <f t="shared" si="33"/>
        <v>0</v>
      </c>
      <c r="X99" s="64">
        <f t="shared" si="33"/>
        <v>0</v>
      </c>
      <c r="Y99" s="64">
        <f t="shared" si="33"/>
        <v>0</v>
      </c>
      <c r="Z99" s="64">
        <f t="shared" si="33"/>
        <v>0</v>
      </c>
      <c r="AA99" s="64">
        <f t="shared" si="33"/>
        <v>0</v>
      </c>
      <c r="AB99" s="64">
        <f t="shared" si="33"/>
        <v>0</v>
      </c>
      <c r="AC99" s="64">
        <f t="shared" si="33"/>
        <v>0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>
      <c r="A100" s="507" t="s">
        <v>69</v>
      </c>
      <c r="B100" s="508"/>
      <c r="C100" s="509"/>
      <c r="D100" s="45"/>
      <c r="E100" s="45"/>
      <c r="F100" s="64">
        <f t="shared" ref="F100:AC100" si="34">F80</f>
        <v>0.76</v>
      </c>
      <c r="G100" s="64">
        <f t="shared" si="34"/>
        <v>0.74</v>
      </c>
      <c r="H100" s="64">
        <f t="shared" si="34"/>
        <v>0.71</v>
      </c>
      <c r="I100" s="64">
        <f t="shared" si="34"/>
        <v>0.69</v>
      </c>
      <c r="J100" s="64">
        <f t="shared" si="34"/>
        <v>0.67</v>
      </c>
      <c r="K100" s="64">
        <f t="shared" si="34"/>
        <v>0.7</v>
      </c>
      <c r="L100" s="64">
        <f t="shared" si="34"/>
        <v>0.72</v>
      </c>
      <c r="M100" s="64">
        <f t="shared" si="34"/>
        <v>0.72</v>
      </c>
      <c r="N100" s="64">
        <f t="shared" si="34"/>
        <v>0.69</v>
      </c>
      <c r="O100" s="64">
        <f t="shared" si="34"/>
        <v>0.74</v>
      </c>
      <c r="P100" s="64">
        <f t="shared" si="34"/>
        <v>0.76</v>
      </c>
      <c r="Q100" s="64">
        <f t="shared" si="34"/>
        <v>0.81</v>
      </c>
      <c r="R100" s="64">
        <f t="shared" si="34"/>
        <v>0.82</v>
      </c>
      <c r="S100" s="64">
        <f t="shared" si="34"/>
        <v>0.83</v>
      </c>
      <c r="T100" s="64">
        <f t="shared" si="34"/>
        <v>0.86</v>
      </c>
      <c r="U100" s="64">
        <f t="shared" si="34"/>
        <v>0.84</v>
      </c>
      <c r="V100" s="64">
        <f t="shared" si="34"/>
        <v>0.8</v>
      </c>
      <c r="W100" s="64">
        <f t="shared" si="34"/>
        <v>0.8</v>
      </c>
      <c r="X100" s="64">
        <f t="shared" si="34"/>
        <v>0.8</v>
      </c>
      <c r="Y100" s="64">
        <f t="shared" si="34"/>
        <v>0.88</v>
      </c>
      <c r="Z100" s="64">
        <f t="shared" si="34"/>
        <v>0.9</v>
      </c>
      <c r="AA100" s="64">
        <f t="shared" si="34"/>
        <v>0.92</v>
      </c>
      <c r="AB100" s="64">
        <f t="shared" si="34"/>
        <v>0.82</v>
      </c>
      <c r="AC100" s="64">
        <f t="shared" si="34"/>
        <v>0.76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 customHeight="1">
      <c r="A101" s="507" t="s">
        <v>72</v>
      </c>
      <c r="B101" s="508"/>
      <c r="C101" s="509"/>
      <c r="D101" s="45"/>
      <c r="E101" s="45"/>
      <c r="F101" s="64">
        <f t="shared" ref="F101:AC101" si="35">F82</f>
        <v>0</v>
      </c>
      <c r="G101" s="64">
        <f t="shared" si="35"/>
        <v>0</v>
      </c>
      <c r="H101" s="64">
        <f t="shared" si="35"/>
        <v>0</v>
      </c>
      <c r="I101" s="64">
        <f t="shared" si="35"/>
        <v>0</v>
      </c>
      <c r="J101" s="64">
        <f t="shared" si="35"/>
        <v>0</v>
      </c>
      <c r="K101" s="64">
        <f t="shared" si="35"/>
        <v>0</v>
      </c>
      <c r="L101" s="64">
        <f t="shared" si="35"/>
        <v>0</v>
      </c>
      <c r="M101" s="64">
        <f t="shared" si="35"/>
        <v>0</v>
      </c>
      <c r="N101" s="64">
        <f t="shared" si="35"/>
        <v>0</v>
      </c>
      <c r="O101" s="64">
        <f t="shared" si="35"/>
        <v>0</v>
      </c>
      <c r="P101" s="64">
        <f t="shared" si="35"/>
        <v>0</v>
      </c>
      <c r="Q101" s="64">
        <f t="shared" si="35"/>
        <v>0</v>
      </c>
      <c r="R101" s="64">
        <f t="shared" si="35"/>
        <v>0</v>
      </c>
      <c r="S101" s="64">
        <f t="shared" si="35"/>
        <v>0</v>
      </c>
      <c r="T101" s="64">
        <f t="shared" si="35"/>
        <v>0</v>
      </c>
      <c r="U101" s="64">
        <f t="shared" si="35"/>
        <v>0</v>
      </c>
      <c r="V101" s="64">
        <f t="shared" si="35"/>
        <v>0</v>
      </c>
      <c r="W101" s="64">
        <f t="shared" si="35"/>
        <v>0</v>
      </c>
      <c r="X101" s="64">
        <f t="shared" si="35"/>
        <v>0</v>
      </c>
      <c r="Y101" s="64">
        <f t="shared" si="35"/>
        <v>0</v>
      </c>
      <c r="Z101" s="64">
        <f t="shared" si="35"/>
        <v>0</v>
      </c>
      <c r="AA101" s="64">
        <f t="shared" si="35"/>
        <v>0</v>
      </c>
      <c r="AB101" s="64">
        <f t="shared" si="35"/>
        <v>0</v>
      </c>
      <c r="AC101" s="64">
        <f t="shared" si="35"/>
        <v>0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>
      <c r="A102" s="511" t="s">
        <v>82</v>
      </c>
      <c r="B102" s="511"/>
      <c r="C102" s="511"/>
      <c r="D102" s="47"/>
      <c r="E102" s="47"/>
      <c r="F102" s="61">
        <f t="shared" ref="F102:AC102" si="36">SUM(F89,F91,F93,F95,F97:F101,F81)</f>
        <v>45.290000000000006</v>
      </c>
      <c r="G102" s="61">
        <f t="shared" si="36"/>
        <v>42.13</v>
      </c>
      <c r="H102" s="61">
        <f t="shared" si="36"/>
        <v>40.220000000000006</v>
      </c>
      <c r="I102" s="61">
        <f t="shared" si="36"/>
        <v>38.449999999999996</v>
      </c>
      <c r="J102" s="61">
        <f t="shared" si="36"/>
        <v>37.299999999999997</v>
      </c>
      <c r="K102" s="61">
        <f>SUM(K89,K91,K93,K95,K97:K101,K81)</f>
        <v>38.990000000000009</v>
      </c>
      <c r="L102" s="61">
        <f t="shared" si="36"/>
        <v>44.289999999999992</v>
      </c>
      <c r="M102" s="61">
        <f t="shared" si="36"/>
        <v>41.669999999999995</v>
      </c>
      <c r="N102" s="61">
        <f t="shared" si="36"/>
        <v>46.94</v>
      </c>
      <c r="O102" s="61">
        <f t="shared" si="36"/>
        <v>56.860000000000007</v>
      </c>
      <c r="P102" s="61">
        <f t="shared" si="36"/>
        <v>62.32</v>
      </c>
      <c r="Q102" s="61">
        <f t="shared" si="36"/>
        <v>63.890000000000008</v>
      </c>
      <c r="R102" s="61">
        <f t="shared" si="36"/>
        <v>64.66</v>
      </c>
      <c r="S102" s="61">
        <f>SUM(S89,S91,S93,S95,S97:S101,S81)</f>
        <v>61.45</v>
      </c>
      <c r="T102" s="61">
        <f>SUM(T89,T91,T93,T95,T97:T101,T81)</f>
        <v>61.059999999999995</v>
      </c>
      <c r="U102" s="61">
        <f t="shared" si="36"/>
        <v>59.420000000000009</v>
      </c>
      <c r="V102" s="61">
        <f t="shared" si="36"/>
        <v>59.17</v>
      </c>
      <c r="W102" s="61">
        <f t="shared" si="36"/>
        <v>57.179999999999993</v>
      </c>
      <c r="X102" s="61">
        <f>SUM(X89,X91,X93,X95,X97:X101,X81)</f>
        <v>54.419999999999995</v>
      </c>
      <c r="Y102" s="61">
        <f t="shared" si="36"/>
        <v>57.050000000000004</v>
      </c>
      <c r="Z102" s="61">
        <f t="shared" si="36"/>
        <v>55.830000000000005</v>
      </c>
      <c r="AA102" s="61">
        <f t="shared" si="36"/>
        <v>53.139999999999993</v>
      </c>
      <c r="AB102" s="61">
        <f t="shared" si="36"/>
        <v>49.53</v>
      </c>
      <c r="AC102" s="61">
        <f t="shared" si="36"/>
        <v>44.9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12" t="s">
        <v>83</v>
      </c>
      <c r="B103" s="512"/>
      <c r="C103" s="512"/>
      <c r="D103" s="46"/>
      <c r="E103" s="46"/>
      <c r="F103" s="76"/>
      <c r="G103" s="76"/>
      <c r="H103" s="76"/>
      <c r="I103" s="76"/>
      <c r="J103" s="76"/>
      <c r="K103" s="76"/>
      <c r="L103" s="76"/>
      <c r="M103" s="76"/>
      <c r="N103" s="76"/>
      <c r="O103" s="76"/>
      <c r="P103" s="76"/>
      <c r="Q103" s="76"/>
      <c r="R103" s="76"/>
      <c r="S103" s="76"/>
      <c r="T103" s="76"/>
      <c r="U103" s="76"/>
      <c r="V103" s="76"/>
      <c r="W103" s="76"/>
      <c r="X103" s="76"/>
      <c r="Y103" s="76"/>
      <c r="Z103" s="76"/>
      <c r="AA103" s="76"/>
      <c r="AB103" s="76"/>
      <c r="AC103" s="76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12" t="s">
        <v>84</v>
      </c>
      <c r="B104" s="512"/>
      <c r="C104" s="512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12" t="s">
        <v>85</v>
      </c>
      <c r="B105" s="512"/>
      <c r="C105" s="512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>
        <v>0.48</v>
      </c>
      <c r="T105" s="76">
        <v>0.48</v>
      </c>
      <c r="U105" s="76">
        <f>3.6-2.1</f>
        <v>1.5</v>
      </c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11" t="s">
        <v>86</v>
      </c>
      <c r="B106" s="511"/>
      <c r="C106" s="511"/>
      <c r="D106" s="47"/>
      <c r="E106" s="47"/>
      <c r="F106" s="61">
        <f t="shared" ref="F106:AC106" si="37">SUM(F103:F105)</f>
        <v>0</v>
      </c>
      <c r="G106" s="61">
        <f t="shared" si="37"/>
        <v>0</v>
      </c>
      <c r="H106" s="61">
        <f t="shared" si="37"/>
        <v>0</v>
      </c>
      <c r="I106" s="61">
        <f t="shared" si="37"/>
        <v>0</v>
      </c>
      <c r="J106" s="61">
        <f t="shared" si="37"/>
        <v>0</v>
      </c>
      <c r="K106" s="61">
        <f t="shared" si="37"/>
        <v>0</v>
      </c>
      <c r="L106" s="61">
        <f t="shared" si="37"/>
        <v>0</v>
      </c>
      <c r="M106" s="61">
        <f t="shared" si="37"/>
        <v>0</v>
      </c>
      <c r="N106" s="61">
        <f t="shared" si="37"/>
        <v>0</v>
      </c>
      <c r="O106" s="61">
        <f t="shared" si="37"/>
        <v>0</v>
      </c>
      <c r="P106" s="61">
        <f t="shared" si="37"/>
        <v>0</v>
      </c>
      <c r="Q106" s="61">
        <f t="shared" si="37"/>
        <v>0</v>
      </c>
      <c r="R106" s="61">
        <f t="shared" si="37"/>
        <v>0</v>
      </c>
      <c r="S106" s="61">
        <f t="shared" si="37"/>
        <v>0.48</v>
      </c>
      <c r="T106" s="61">
        <f t="shared" si="37"/>
        <v>0.48</v>
      </c>
      <c r="U106" s="61">
        <f t="shared" si="37"/>
        <v>1.5</v>
      </c>
      <c r="V106" s="61">
        <f t="shared" si="37"/>
        <v>0</v>
      </c>
      <c r="W106" s="61">
        <f t="shared" si="37"/>
        <v>0</v>
      </c>
      <c r="X106" s="61">
        <f t="shared" si="37"/>
        <v>0</v>
      </c>
      <c r="Y106" s="61">
        <f t="shared" si="37"/>
        <v>0</v>
      </c>
      <c r="Z106" s="61">
        <f t="shared" si="37"/>
        <v>0</v>
      </c>
      <c r="AA106" s="61">
        <f t="shared" si="37"/>
        <v>0</v>
      </c>
      <c r="AB106" s="61">
        <f t="shared" si="37"/>
        <v>0</v>
      </c>
      <c r="AC106" s="61">
        <f t="shared" si="37"/>
        <v>0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13" t="s">
        <v>87</v>
      </c>
      <c r="B107" s="513"/>
      <c r="C107" s="513"/>
      <c r="D107" s="48"/>
      <c r="E107" s="48"/>
      <c r="F107" s="62">
        <f t="shared" ref="F107:AC107" si="38">F102+F106</f>
        <v>45.290000000000006</v>
      </c>
      <c r="G107" s="62">
        <f t="shared" si="38"/>
        <v>42.13</v>
      </c>
      <c r="H107" s="62">
        <f t="shared" si="38"/>
        <v>40.220000000000006</v>
      </c>
      <c r="I107" s="62">
        <f t="shared" si="38"/>
        <v>38.449999999999996</v>
      </c>
      <c r="J107" s="62">
        <f t="shared" si="38"/>
        <v>37.299999999999997</v>
      </c>
      <c r="K107" s="62">
        <f t="shared" si="38"/>
        <v>38.990000000000009</v>
      </c>
      <c r="L107" s="62">
        <f t="shared" si="38"/>
        <v>44.289999999999992</v>
      </c>
      <c r="M107" s="62">
        <f t="shared" si="38"/>
        <v>41.669999999999995</v>
      </c>
      <c r="N107" s="62">
        <f t="shared" si="38"/>
        <v>46.94</v>
      </c>
      <c r="O107" s="62">
        <f t="shared" si="38"/>
        <v>56.860000000000007</v>
      </c>
      <c r="P107" s="62">
        <f t="shared" si="38"/>
        <v>62.32</v>
      </c>
      <c r="Q107" s="62">
        <f t="shared" si="38"/>
        <v>63.890000000000008</v>
      </c>
      <c r="R107" s="62">
        <f t="shared" si="38"/>
        <v>64.66</v>
      </c>
      <c r="S107" s="62">
        <f t="shared" si="38"/>
        <v>61.93</v>
      </c>
      <c r="T107" s="62">
        <f>T102+T106</f>
        <v>61.539999999999992</v>
      </c>
      <c r="U107" s="62">
        <f t="shared" si="38"/>
        <v>60.920000000000009</v>
      </c>
      <c r="V107" s="62">
        <f t="shared" si="38"/>
        <v>59.17</v>
      </c>
      <c r="W107" s="62">
        <f>W102+W106</f>
        <v>57.179999999999993</v>
      </c>
      <c r="X107" s="62">
        <f t="shared" si="38"/>
        <v>54.419999999999995</v>
      </c>
      <c r="Y107" s="62">
        <f t="shared" si="38"/>
        <v>57.050000000000004</v>
      </c>
      <c r="Z107" s="62">
        <f t="shared" si="38"/>
        <v>55.830000000000005</v>
      </c>
      <c r="AA107" s="62">
        <f t="shared" si="38"/>
        <v>53.139999999999993</v>
      </c>
      <c r="AB107" s="62">
        <f t="shared" si="38"/>
        <v>49.53</v>
      </c>
      <c r="AC107" s="62">
        <f t="shared" si="38"/>
        <v>44.9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1" hidden="1">
      <c r="A108" s="514" t="s">
        <v>88</v>
      </c>
      <c r="B108" s="514"/>
      <c r="C108" s="514"/>
      <c r="D108" s="52"/>
      <c r="E108" s="52"/>
      <c r="F108" s="63">
        <f t="shared" ref="F108:AC108" si="39">(COUNT(F13:F16))*7.2+(COUNT(F27:F28)*4.9)+(COUNT(F19:F21)*4.5)-F91-F93</f>
        <v>15.100000000000001</v>
      </c>
      <c r="G108" s="63">
        <f t="shared" si="39"/>
        <v>15.100000000000001</v>
      </c>
      <c r="H108" s="63">
        <f t="shared" si="39"/>
        <v>9.5000000000000018</v>
      </c>
      <c r="I108" s="63">
        <f t="shared" si="39"/>
        <v>4</v>
      </c>
      <c r="J108" s="63">
        <f t="shared" si="39"/>
        <v>3.6000000000000014</v>
      </c>
      <c r="K108" s="63">
        <f t="shared" si="39"/>
        <v>9.6000000000000014</v>
      </c>
      <c r="L108" s="63">
        <f t="shared" si="39"/>
        <v>13.400000000000004</v>
      </c>
      <c r="M108" s="63">
        <f t="shared" si="39"/>
        <v>15.700000000000003</v>
      </c>
      <c r="N108" s="63">
        <f t="shared" si="39"/>
        <v>18.3</v>
      </c>
      <c r="O108" s="63">
        <f t="shared" si="39"/>
        <v>14.600000000000001</v>
      </c>
      <c r="P108" s="63">
        <f t="shared" si="39"/>
        <v>9.9000000000000021</v>
      </c>
      <c r="Q108" s="63">
        <f t="shared" si="39"/>
        <v>5.7000000000000028</v>
      </c>
      <c r="R108" s="63">
        <f t="shared" si="39"/>
        <v>5.7000000000000028</v>
      </c>
      <c r="S108" s="63">
        <f t="shared" si="39"/>
        <v>6.6000000000000014</v>
      </c>
      <c r="T108" s="63">
        <f>(COUNT(T13:T16))*7.2+(COUNT(T27:T28)*4.9)+(COUNT(T19:T21)*4.5)-T91-T93</f>
        <v>7.0000000000000036</v>
      </c>
      <c r="U108" s="63">
        <f t="shared" si="39"/>
        <v>8.6000000000000032</v>
      </c>
      <c r="V108" s="63">
        <f t="shared" si="39"/>
        <v>7.8000000000000025</v>
      </c>
      <c r="W108" s="63">
        <f t="shared" si="39"/>
        <v>9.9000000000000021</v>
      </c>
      <c r="X108" s="63">
        <f t="shared" si="39"/>
        <v>13.100000000000001</v>
      </c>
      <c r="Y108" s="63">
        <f t="shared" si="39"/>
        <v>14.100000000000001</v>
      </c>
      <c r="Z108" s="63">
        <f t="shared" si="39"/>
        <v>13.500000000000004</v>
      </c>
      <c r="AA108" s="63">
        <f t="shared" si="39"/>
        <v>8.4000000000000021</v>
      </c>
      <c r="AB108" s="63">
        <f t="shared" si="39"/>
        <v>6.1</v>
      </c>
      <c r="AC108" s="63">
        <f t="shared" si="39"/>
        <v>8.1999999999999993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>
      <c r="A109" s="515" t="s">
        <v>89</v>
      </c>
      <c r="B109" s="516"/>
      <c r="C109" s="517"/>
      <c r="D109" s="204"/>
      <c r="E109" s="204"/>
      <c r="F109" s="205">
        <f t="shared" ref="F109:P109" si="40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5</v>
      </c>
      <c r="G109" s="205">
        <f t="shared" si="40"/>
        <v>3.5</v>
      </c>
      <c r="H109" s="205">
        <f t="shared" si="40"/>
        <v>0.90000000000000036</v>
      </c>
      <c r="I109" s="205">
        <f t="shared" si="40"/>
        <v>2.6000000000000014</v>
      </c>
      <c r="J109" s="205">
        <f t="shared" si="40"/>
        <v>2.2000000000000028</v>
      </c>
      <c r="K109" s="205">
        <f t="shared" si="40"/>
        <v>8.1999999999999993</v>
      </c>
      <c r="L109" s="205">
        <f t="shared" si="40"/>
        <v>1.3000000000000025</v>
      </c>
      <c r="M109" s="205">
        <f t="shared" si="40"/>
        <v>4.1000000000000014</v>
      </c>
      <c r="N109" s="205">
        <f t="shared" si="40"/>
        <v>6.8000000000000007</v>
      </c>
      <c r="O109" s="205">
        <f t="shared" si="40"/>
        <v>-0.89999999999999947</v>
      </c>
      <c r="P109" s="205">
        <f t="shared" si="40"/>
        <v>1.5999999999999996</v>
      </c>
      <c r="Q109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-1.1999999999999984</v>
      </c>
      <c r="R109" s="205">
        <f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-1.5999999999999988</v>
      </c>
      <c r="S109" s="205">
        <f t="shared" ref="S109:AC109" si="41">(AND(IF(S13&lt;&gt;0,1,0),IF(S13&lt;&gt;"CMS",1,0))*7.2)+(AND(IF(S14&lt;&gt;0,1,0),IF(S14&lt;&gt;"CMS",1,0))*7.2)+(AND(IF(S15&lt;&gt;0,1,0),IF(S15&lt;&gt;"CMS",1,0))*7.2)+(AND(IF(S16&lt;&gt;0,1,0),IF(S16&lt;&gt;"CMS",1,0))*7.2)-S17
+(AND(IF(S27&lt;&gt;0,1,0),IF(S27&lt;&gt;"CMS",1,0))*4.5)+(AND(IF(S28&lt;&gt;0,1,0),IF(S28&lt;&gt;"CMS",1,0))*4.5)-S31
+AND(IF(S24&lt;&gt;0,1,0),IF(S24&lt;&gt;"CMS",1,0))*4.5-S25
+(AND(IF(S19&lt;&gt;0,1,0),IF(S19&lt;&gt;"CMS",1,0))*3.5)+(AND(IF(S20&lt;&gt;0,1,0),IF(S20&lt;&gt;"CMS",1,0))*4.5)+(AND(IF(S21&lt;&gt;0,1,0),IF(S21&lt;&gt;"CMS",1,0))*4.5)-S22</f>
        <v>0.89999999999999947</v>
      </c>
      <c r="T109" s="205">
        <f t="shared" si="41"/>
        <v>1.1000000000000014</v>
      </c>
      <c r="U109" s="205">
        <f t="shared" si="41"/>
        <v>2.7000000000000011</v>
      </c>
      <c r="V109" s="205">
        <f t="shared" si="41"/>
        <v>2.9000000000000004</v>
      </c>
      <c r="W109" s="205">
        <f>(AND(IF(W13&lt;&gt;0,1,0),IF(W13&lt;&gt;"CMS",1,0))*7.2)+(AND(IF(W14&lt;&gt;0,1,0),IF(W14&lt;&gt;"CMS",1,0))*7.2)+(AND(IF(W15&lt;&gt;0,1,0),IF(W15&lt;&gt;"CMS",1,0))*7.2)+(AND(IF(W16&lt;&gt;0,1,0),IF(W16&lt;&gt;"CMS",1,0))*7.2)-W17
+(AND(IF(W27&lt;&gt;0,1,0),IF(W27&lt;&gt;"CMS",1,0))*4.5)+(AND(IF(W28&lt;&gt;0,1,0),IF(W28&lt;&gt;"CMS",1,0))*4.5)-W31
+AND(IF(W24&lt;&gt;0,1,0),IF(W24&lt;&gt;"CMS",1,0))*4.5-W25
+(AND(IF(W19&lt;&gt;0,1,0),IF(W19&lt;&gt;"CMS",1,0))*3.5)+(AND(IF(W20&lt;&gt;0,1,0),IF(W20&lt;&gt;"CMS",1,0))*4.5)+(AND(IF(W21&lt;&gt;0,1,0),IF(W21&lt;&gt;"CMS",1,0))*4.5)-W22</f>
        <v>5</v>
      </c>
      <c r="X109" s="205">
        <f>(AND(IF(X13&lt;&gt;0,1,0),IF(X13&lt;&gt;"CMS",1,0))*7.2)+(AND(IF(X14&lt;&gt;0,1,0),IF(X14&lt;&gt;"CMS",1,0))*7.2)+(AND(IF(X15&lt;&gt;0,1,0),IF(X15&lt;&gt;"CMS",1,0))*7.2)+(AND(IF(X16&lt;&gt;0,1,0),IF(X16&lt;&gt;"CMS",1,0))*7.2)-X17
+(AND(IF(X27&lt;&gt;0,1,0),IF(X27&lt;&gt;"CMS",1,0))*4.5)+(AND(IF(X28&lt;&gt;0,1,0),IF(X28&lt;&gt;"CMS",1,0))*4.5)-X31
+AND(IF(X24&lt;&gt;0,1,0),IF(X24&lt;&gt;"CMS",1,0))*4.5-X25
+(AND(IF(X19&lt;&gt;0,1,0),IF(X19&lt;&gt;"CMS",1,0))*3.5)+(AND(IF(X20&lt;&gt;0,1,0),IF(X20&lt;&gt;"CMS",1,0))*4.5)+(AND(IF(X21&lt;&gt;0,1,0),IF(X21&lt;&gt;"CMS",1,0))*4.5)-X22</f>
        <v>7.6999999999999993</v>
      </c>
      <c r="Y109" s="205">
        <f t="shared" si="41"/>
        <v>6.7999999999999989</v>
      </c>
      <c r="Z109" s="205">
        <f t="shared" si="41"/>
        <v>6.6000000000000005</v>
      </c>
      <c r="AA109" s="205">
        <f t="shared" si="41"/>
        <v>5.6999999999999993</v>
      </c>
      <c r="AB109" s="205">
        <f t="shared" si="41"/>
        <v>2.5000000000000013</v>
      </c>
      <c r="AC109" s="205">
        <f t="shared" si="41"/>
        <v>6.3000000000000007</v>
      </c>
      <c r="AD109" s="26"/>
      <c r="AE109" s="26"/>
      <c r="AF109" s="466"/>
      <c r="AG109" t="s">
        <v>90</v>
      </c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10" t="s">
        <v>91</v>
      </c>
      <c r="B110" s="510"/>
      <c r="C110" s="510"/>
      <c r="D110" s="60"/>
      <c r="E110" s="72"/>
      <c r="F110" s="74">
        <v>60.13</v>
      </c>
      <c r="G110" s="74">
        <v>60.15</v>
      </c>
      <c r="H110" s="74">
        <v>60.12</v>
      </c>
      <c r="I110" s="74">
        <v>60.24</v>
      </c>
      <c r="J110" s="74">
        <v>60.17</v>
      </c>
      <c r="K110" s="74">
        <v>60.07</v>
      </c>
      <c r="L110" s="74">
        <v>60.03</v>
      </c>
      <c r="M110" s="74">
        <v>60.18</v>
      </c>
      <c r="N110" s="74">
        <v>60.18</v>
      </c>
      <c r="O110" s="74">
        <v>60.08</v>
      </c>
      <c r="P110" s="83">
        <v>60.17</v>
      </c>
      <c r="Q110" s="83">
        <v>60.15</v>
      </c>
      <c r="R110" s="83">
        <v>60.2</v>
      </c>
      <c r="S110" s="83">
        <v>60.16</v>
      </c>
      <c r="T110" s="83">
        <v>60.16</v>
      </c>
      <c r="U110" s="74">
        <v>60.3</v>
      </c>
      <c r="V110" s="74">
        <v>60.2</v>
      </c>
      <c r="W110" s="74">
        <v>60.3</v>
      </c>
      <c r="X110" s="74">
        <v>60.2</v>
      </c>
      <c r="Y110" s="74">
        <v>60.16</v>
      </c>
      <c r="Z110" s="74">
        <v>60.38</v>
      </c>
      <c r="AA110" s="74">
        <v>60.22</v>
      </c>
      <c r="AB110" s="74">
        <v>60.06</v>
      </c>
      <c r="AC110" s="74">
        <v>60.13</v>
      </c>
      <c r="AD110" s="26"/>
      <c r="AE110" s="26"/>
      <c r="AF110" s="467"/>
      <c r="AG110" t="s">
        <v>92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18" t="s">
        <v>93</v>
      </c>
      <c r="B111" s="519"/>
      <c r="C111" s="520"/>
      <c r="D111" s="60"/>
      <c r="E111" s="72"/>
      <c r="F111" s="465">
        <f>F89-(4.2-F93)</f>
        <v>4.8</v>
      </c>
      <c r="G111" s="465">
        <f>G89-(4.2-G93)</f>
        <v>1.7999999999999998</v>
      </c>
      <c r="H111" s="74"/>
      <c r="I111" s="74"/>
      <c r="J111" s="74"/>
      <c r="K111" s="74"/>
      <c r="L111" s="465">
        <f>L89</f>
        <v>3.5</v>
      </c>
      <c r="M111" s="465">
        <f>M89-(4.2-M93)</f>
        <v>2.2999999999999998</v>
      </c>
      <c r="N111" s="465">
        <f>N89-(N93)</f>
        <v>2.0999999999999996</v>
      </c>
      <c r="O111" s="468">
        <f t="shared" ref="O111:AC111" si="42">25-(O28+O95)-(4.7-O28)</f>
        <v>6.0599999999999978</v>
      </c>
      <c r="P111" s="468">
        <f t="shared" si="42"/>
        <v>6</v>
      </c>
      <c r="Q111" s="468">
        <f t="shared" si="42"/>
        <v>6.02</v>
      </c>
      <c r="R111" s="468">
        <f t="shared" si="42"/>
        <v>6</v>
      </c>
      <c r="S111" s="468">
        <f t="shared" si="42"/>
        <v>6.0099999999999989</v>
      </c>
      <c r="T111" s="468">
        <f t="shared" si="42"/>
        <v>6.030000000000002</v>
      </c>
      <c r="U111" s="468">
        <f t="shared" si="42"/>
        <v>6.03</v>
      </c>
      <c r="V111" s="468">
        <f t="shared" si="42"/>
        <v>6.030000000000002</v>
      </c>
      <c r="W111" s="468">
        <f t="shared" si="42"/>
        <v>6.0300000000000011</v>
      </c>
      <c r="X111" s="468">
        <f t="shared" si="42"/>
        <v>6.0400000000000018</v>
      </c>
      <c r="Y111" s="468">
        <f t="shared" si="42"/>
        <v>6.0499999999999989</v>
      </c>
      <c r="Z111" s="468">
        <f t="shared" si="42"/>
        <v>6.0199999999999987</v>
      </c>
      <c r="AA111" s="468">
        <f t="shared" si="42"/>
        <v>6.0299999999999994</v>
      </c>
      <c r="AB111" s="468">
        <f t="shared" si="42"/>
        <v>6.0100000000000025</v>
      </c>
      <c r="AC111" s="468">
        <f t="shared" si="42"/>
        <v>6.03</v>
      </c>
      <c r="AD111" s="26"/>
      <c r="AE111" s="26"/>
      <c r="AF111" s="469"/>
      <c r="AG111" s="38" t="s">
        <v>94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18" t="s">
        <v>95</v>
      </c>
      <c r="B112" s="519"/>
      <c r="C112" s="520"/>
      <c r="D112" s="60"/>
      <c r="E112" s="72"/>
      <c r="G112" s="74"/>
      <c r="H112" s="74"/>
      <c r="I112" s="74"/>
      <c r="J112" s="74"/>
      <c r="K112" s="74"/>
      <c r="L112" s="74"/>
      <c r="M112" s="74"/>
      <c r="N112" s="74"/>
      <c r="O112" s="74"/>
      <c r="P112" s="83"/>
      <c r="Q112" s="83"/>
      <c r="R112" s="83"/>
      <c r="S112" s="83"/>
      <c r="T112" s="83"/>
      <c r="U112" s="74"/>
      <c r="V112" s="74"/>
      <c r="W112" s="74"/>
      <c r="X112" s="74"/>
      <c r="Y112" s="74"/>
      <c r="Z112" s="74"/>
      <c r="AA112" s="74"/>
      <c r="AB112" s="74"/>
      <c r="AC112" s="74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10" t="s">
        <v>96</v>
      </c>
      <c r="B113" s="510"/>
      <c r="C113" s="510"/>
      <c r="D113" s="60"/>
      <c r="E113" s="72"/>
      <c r="F113" s="73"/>
      <c r="G113" s="73"/>
      <c r="H113" s="73"/>
      <c r="I113" s="73"/>
      <c r="J113" s="73"/>
      <c r="K113" s="73"/>
      <c r="L113" s="73"/>
      <c r="M113" s="73"/>
      <c r="N113" s="73"/>
      <c r="O113" s="73"/>
      <c r="P113" s="73"/>
      <c r="Q113" s="73"/>
      <c r="R113" s="73"/>
      <c r="S113" s="73"/>
      <c r="T113" s="73"/>
      <c r="U113" s="73"/>
      <c r="V113" s="73" t="s">
        <v>101</v>
      </c>
      <c r="W113" s="73"/>
      <c r="X113" s="73"/>
      <c r="Y113" s="73"/>
      <c r="Z113" s="73"/>
      <c r="AA113" s="73"/>
      <c r="AB113" s="73"/>
      <c r="AC113" s="73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10" t="s">
        <v>97</v>
      </c>
      <c r="B114" s="510"/>
      <c r="C114" s="510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idden="1">
      <c r="A115"/>
      <c r="B115"/>
      <c r="C115"/>
      <c r="D115" s="71"/>
      <c r="E115"/>
      <c r="F115" s="75"/>
      <c r="G115" s="75"/>
      <c r="H115" s="75"/>
      <c r="I115" s="75"/>
      <c r="J115" s="75"/>
      <c r="K115" s="75"/>
      <c r="L115" s="75"/>
      <c r="M115" s="75"/>
      <c r="N115" s="75"/>
      <c r="O115" s="75"/>
      <c r="P115" s="75"/>
      <c r="Q115" s="75"/>
      <c r="R115" s="75"/>
      <c r="S115" s="75"/>
      <c r="T115" s="75"/>
      <c r="U115" s="75"/>
      <c r="V115" s="75"/>
      <c r="W115" s="75"/>
      <c r="X115" s="75"/>
      <c r="Y115" s="75"/>
      <c r="Z115" s="75"/>
      <c r="AA115" s="75"/>
      <c r="AB115" s="75"/>
      <c r="AC115" s="75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9" hidden="1">
      <c r="A116" s="499" t="s">
        <v>98</v>
      </c>
      <c r="B116" s="499"/>
      <c r="C116" s="499"/>
      <c r="D116" s="499"/>
      <c r="E116" s="499"/>
      <c r="F116" s="499"/>
      <c r="G116" s="499"/>
      <c r="H116" s="499"/>
      <c r="I116" s="499"/>
      <c r="J116" s="499"/>
      <c r="K116" s="499"/>
      <c r="L116" s="499"/>
      <c r="M116" s="499"/>
      <c r="N116" s="499"/>
      <c r="O116" s="499"/>
      <c r="P116" s="499"/>
      <c r="Q116" s="499"/>
      <c r="R116" s="499"/>
      <c r="S116" s="499"/>
      <c r="T116" s="499"/>
      <c r="U116" s="499"/>
      <c r="V116" s="499"/>
      <c r="W116" s="499"/>
      <c r="X116" s="499"/>
      <c r="Y116" s="499"/>
      <c r="Z116" s="499"/>
      <c r="AA116" s="499"/>
      <c r="AB116" s="499"/>
      <c r="AC116" s="499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idden="1">
      <c r="A117"/>
      <c r="B117" s="5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 s="26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ht="17.45" hidden="1">
      <c r="A118" s="500" t="s">
        <v>75</v>
      </c>
      <c r="B118" s="501"/>
      <c r="C118" s="502"/>
      <c r="D118" s="49"/>
      <c r="E118" s="49"/>
      <c r="F118" s="506" t="s">
        <v>76</v>
      </c>
      <c r="G118" s="506"/>
      <c r="H118" s="506"/>
      <c r="I118" s="506"/>
      <c r="J118" s="506"/>
      <c r="K118" s="506"/>
      <c r="L118" s="506"/>
      <c r="M118" s="506"/>
      <c r="N118" s="506"/>
      <c r="O118" s="506"/>
      <c r="P118" s="506"/>
      <c r="Q118" s="506"/>
      <c r="R118" s="506"/>
      <c r="S118" s="506"/>
      <c r="T118" s="506"/>
      <c r="U118" s="506"/>
      <c r="V118" s="506"/>
      <c r="W118" s="506"/>
      <c r="X118" s="506"/>
      <c r="Y118" s="506"/>
      <c r="Z118" s="506"/>
      <c r="AA118" s="506"/>
      <c r="AB118" s="506"/>
      <c r="AC118" s="506"/>
      <c r="AD118" s="5"/>
      <c r="AE118" s="5"/>
      <c r="AF118" s="5"/>
      <c r="AG118" s="5"/>
      <c r="AH118" s="5"/>
    </row>
    <row r="119" spans="1:124" ht="15.6" hidden="1" customHeight="1">
      <c r="A119" s="503"/>
      <c r="B119" s="504"/>
      <c r="C119" s="505"/>
      <c r="D119" s="50"/>
      <c r="E119" s="50"/>
      <c r="F119" s="43">
        <v>0</v>
      </c>
      <c r="G119" s="43">
        <v>4.1666666666666699E-2</v>
      </c>
      <c r="H119" s="43">
        <v>8.3333333333333301E-2</v>
      </c>
      <c r="I119" s="43">
        <v>0.125</v>
      </c>
      <c r="J119" s="43">
        <v>0.16666666666666699</v>
      </c>
      <c r="K119" s="43">
        <v>0.20833333333333301</v>
      </c>
      <c r="L119" s="43">
        <v>0.25</v>
      </c>
      <c r="M119" s="43">
        <v>0.29166666666666702</v>
      </c>
      <c r="N119" s="43">
        <v>0.33333333333333398</v>
      </c>
      <c r="O119" s="43">
        <v>0.375</v>
      </c>
      <c r="P119" s="43">
        <v>0.41666666666666702</v>
      </c>
      <c r="Q119" s="43">
        <v>0.45833333333333398</v>
      </c>
      <c r="R119" s="43">
        <v>0.5</v>
      </c>
      <c r="S119" s="43">
        <v>0.54166666666666696</v>
      </c>
      <c r="T119" s="43">
        <v>0.58333333333333404</v>
      </c>
      <c r="U119" s="43">
        <v>0.625</v>
      </c>
      <c r="V119" s="43">
        <v>0.66666666666666696</v>
      </c>
      <c r="W119" s="43">
        <v>0.70833333333333404</v>
      </c>
      <c r="X119" s="43">
        <v>0.750000000000001</v>
      </c>
      <c r="Y119" s="43">
        <v>0.79166666666666696</v>
      </c>
      <c r="Z119" s="43">
        <v>0.83333333333333337</v>
      </c>
      <c r="AA119" s="43">
        <v>0.875000000000001</v>
      </c>
      <c r="AB119" s="43">
        <v>0.91666666666666696</v>
      </c>
      <c r="AC119" s="43">
        <v>0.95833333333333404</v>
      </c>
      <c r="AD119" s="37"/>
      <c r="AE119" s="37"/>
      <c r="AG119" s="5"/>
      <c r="AH119" s="5"/>
      <c r="AI119" s="5"/>
      <c r="AJ119" s="5"/>
      <c r="AK119" s="5"/>
      <c r="AL119" s="5"/>
      <c r="AM119" s="5"/>
      <c r="AN119" s="5"/>
    </row>
    <row r="120" spans="1:124" ht="17.45" hidden="1">
      <c r="A120" s="507" t="s">
        <v>27</v>
      </c>
      <c r="B120" s="508"/>
      <c r="C120" s="509"/>
      <c r="D120" s="45"/>
      <c r="E120" s="45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07" t="s">
        <v>78</v>
      </c>
      <c r="B121" s="508"/>
      <c r="C121" s="509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07" t="s">
        <v>29</v>
      </c>
      <c r="B122" s="508"/>
      <c r="C122" s="509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07" t="s">
        <v>32</v>
      </c>
      <c r="B123" s="508"/>
      <c r="C123" s="509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07" t="s">
        <v>33</v>
      </c>
      <c r="B124" s="508"/>
      <c r="C124" s="509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07" t="s">
        <v>55</v>
      </c>
      <c r="B125" s="508"/>
      <c r="C125" s="509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07" t="s">
        <v>59</v>
      </c>
      <c r="B126" s="508"/>
      <c r="C126" s="509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</row>
    <row r="127" spans="1:124" ht="17.45" hidden="1">
      <c r="A127" s="507" t="s">
        <v>69</v>
      </c>
      <c r="B127" s="508"/>
      <c r="C127" s="509"/>
      <c r="D127" s="45"/>
      <c r="E127" s="45"/>
      <c r="F127" s="78"/>
      <c r="G127" s="78"/>
      <c r="H127" s="78"/>
      <c r="I127" s="78"/>
      <c r="J127" s="78"/>
      <c r="K127" s="78"/>
      <c r="L127" s="78"/>
      <c r="M127" s="78"/>
      <c r="N127" s="78"/>
      <c r="O127" s="78"/>
      <c r="P127" s="78"/>
      <c r="Q127" s="78"/>
      <c r="R127" s="78"/>
      <c r="S127" s="78"/>
      <c r="T127" s="78"/>
      <c r="U127" s="78"/>
      <c r="V127" s="78"/>
      <c r="W127" s="78"/>
      <c r="X127" s="78"/>
      <c r="Y127" s="78"/>
      <c r="Z127" s="78"/>
      <c r="AA127" s="78"/>
      <c r="AB127" s="78"/>
      <c r="AC127" s="78"/>
    </row>
    <row r="128" spans="1:124" ht="15.6" hidden="1" customHeight="1">
      <c r="A128" s="496" t="s">
        <v>99</v>
      </c>
      <c r="B128" s="497"/>
      <c r="C128" s="498"/>
      <c r="D128" s="51"/>
      <c r="E128" s="51"/>
      <c r="F128" s="44">
        <f>SUM(F120:F127)</f>
        <v>0</v>
      </c>
      <c r="G128" s="44">
        <f t="shared" ref="G128:AB128" si="43">SUM(G120:G127)</f>
        <v>0</v>
      </c>
      <c r="H128" s="44">
        <f t="shared" si="43"/>
        <v>0</v>
      </c>
      <c r="I128" s="44">
        <f t="shared" si="43"/>
        <v>0</v>
      </c>
      <c r="J128" s="44">
        <f t="shared" si="43"/>
        <v>0</v>
      </c>
      <c r="K128" s="44">
        <f t="shared" si="43"/>
        <v>0</v>
      </c>
      <c r="L128" s="44">
        <f t="shared" si="43"/>
        <v>0</v>
      </c>
      <c r="M128" s="44">
        <f t="shared" si="43"/>
        <v>0</v>
      </c>
      <c r="N128" s="44">
        <f t="shared" si="43"/>
        <v>0</v>
      </c>
      <c r="O128" s="44">
        <f t="shared" si="43"/>
        <v>0</v>
      </c>
      <c r="P128" s="44">
        <f t="shared" si="43"/>
        <v>0</v>
      </c>
      <c r="Q128" s="44">
        <f t="shared" si="43"/>
        <v>0</v>
      </c>
      <c r="R128" s="44">
        <f t="shared" si="43"/>
        <v>0</v>
      </c>
      <c r="S128" s="44">
        <f t="shared" si="43"/>
        <v>0</v>
      </c>
      <c r="T128" s="44">
        <f t="shared" si="43"/>
        <v>0</v>
      </c>
      <c r="U128" s="44">
        <f t="shared" si="43"/>
        <v>0</v>
      </c>
      <c r="V128" s="44">
        <f t="shared" si="43"/>
        <v>0</v>
      </c>
      <c r="W128" s="44">
        <f t="shared" si="43"/>
        <v>0</v>
      </c>
      <c r="X128" s="44">
        <f t="shared" si="43"/>
        <v>0</v>
      </c>
      <c r="Y128" s="44">
        <f t="shared" si="43"/>
        <v>0</v>
      </c>
      <c r="Z128" s="44">
        <f t="shared" si="43"/>
        <v>0</v>
      </c>
      <c r="AA128" s="44">
        <f t="shared" si="43"/>
        <v>0</v>
      </c>
      <c r="AB128" s="44">
        <f t="shared" si="43"/>
        <v>0</v>
      </c>
      <c r="AC128" s="44">
        <f>SUM(AC120:AC127)</f>
        <v>0</v>
      </c>
    </row>
    <row r="129" spans="1:124">
      <c r="F129" s="75"/>
      <c r="G129" s="75"/>
      <c r="H129" s="75"/>
      <c r="I129" s="75"/>
      <c r="J129" s="75"/>
      <c r="K129" s="75"/>
      <c r="L129" s="75"/>
      <c r="M129" s="75"/>
      <c r="N129" s="75"/>
      <c r="O129" s="75"/>
      <c r="P129" s="75"/>
      <c r="Q129" s="75"/>
      <c r="R129" s="75"/>
      <c r="S129" s="75"/>
      <c r="T129" s="75"/>
      <c r="U129" s="75"/>
      <c r="V129" s="75"/>
      <c r="W129" s="75"/>
      <c r="X129" s="75"/>
      <c r="Y129" s="75"/>
      <c r="Z129" s="75"/>
      <c r="AA129" s="75"/>
      <c r="AB129" s="75"/>
      <c r="AC129" s="75"/>
      <c r="AD129" s="5"/>
      <c r="AE129" s="5"/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AB131" s="26"/>
      <c r="AC131" s="27"/>
      <c r="AD131" s="5"/>
      <c r="AE131" s="5"/>
    </row>
    <row r="132" spans="1:124" s="2" customFormat="1">
      <c r="A132"/>
      <c r="B132"/>
      <c r="AB132" s="26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>
      <c r="A133"/>
      <c r="B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 s="26"/>
      <c r="D135" s="26"/>
      <c r="E135" s="26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</row>
    <row r="138" spans="1:124">
      <c r="C138" s="26"/>
      <c r="D138" s="26"/>
      <c r="E138" s="26"/>
    </row>
    <row r="139" spans="1:124">
      <c r="C139" s="26"/>
      <c r="D139" s="26"/>
      <c r="E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</row>
    <row r="140" spans="1:124"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</sheetData>
  <mergeCells count="43">
    <mergeCell ref="A128:C128"/>
    <mergeCell ref="A116:AC116"/>
    <mergeCell ref="A118:C119"/>
    <mergeCell ref="F118:AC118"/>
    <mergeCell ref="A120:C120"/>
    <mergeCell ref="A121:C121"/>
    <mergeCell ref="A122:C122"/>
    <mergeCell ref="A123:C123"/>
    <mergeCell ref="A124:C124"/>
    <mergeCell ref="A125:C125"/>
    <mergeCell ref="A126:C126"/>
    <mergeCell ref="A127:C127"/>
    <mergeCell ref="A114:C114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3:C113"/>
    <mergeCell ref="A111:C111"/>
    <mergeCell ref="A112:C112"/>
    <mergeCell ref="A101:C101"/>
    <mergeCell ref="A90:C90"/>
    <mergeCell ref="A91:C91"/>
    <mergeCell ref="A92:C92"/>
    <mergeCell ref="A93:C93"/>
    <mergeCell ref="A94:C94"/>
    <mergeCell ref="A95:C95"/>
    <mergeCell ref="A96:C96"/>
    <mergeCell ref="A97:C97"/>
    <mergeCell ref="A98:C98"/>
    <mergeCell ref="A99:C99"/>
    <mergeCell ref="A100:C100"/>
    <mergeCell ref="A89:C89"/>
    <mergeCell ref="M8:O8"/>
    <mergeCell ref="M9:O9"/>
    <mergeCell ref="A85:AC85"/>
    <mergeCell ref="A87:C88"/>
    <mergeCell ref="F87:AC87"/>
  </mergeCells>
  <conditionalFormatting sqref="G110:AC110">
    <cfRule type="cellIs" dxfId="7881" priority="427" operator="greaterThan">
      <formula>60.3</formula>
    </cfRule>
  </conditionalFormatting>
  <conditionalFormatting sqref="F110">
    <cfRule type="cellIs" dxfId="7880" priority="426" operator="greaterThan">
      <formula>60.3</formula>
    </cfRule>
  </conditionalFormatting>
  <conditionalFormatting sqref="H13:J13 H15:M16 P15:P16 N13:S13 Q14:S16 T13:AC16 L13 G36:AC59 G62:AC64">
    <cfRule type="cellIs" dxfId="7879" priority="418" operator="equal">
      <formula>"PMS"</formula>
    </cfRule>
    <cfRule type="containsText" dxfId="7878" priority="419" operator="containsText" text="CMS">
      <formula>NOT(ISERROR(SEARCH("CMS",G13)))</formula>
    </cfRule>
    <cfRule type="cellIs" dxfId="7877" priority="420" operator="equal">
      <formula>0</formula>
    </cfRule>
    <cfRule type="cellIs" dxfId="7876" priority="421" operator="greaterThan">
      <formula>0</formula>
    </cfRule>
    <cfRule type="cellIs" dxfId="7875" priority="422" operator="equal">
      <formula>"PMS"</formula>
    </cfRule>
    <cfRule type="containsText" dxfId="7874" priority="423" operator="containsText" text="CMS">
      <formula>NOT(ISERROR(SEARCH("CMS",G13)))</formula>
    </cfRule>
    <cfRule type="cellIs" dxfId="7873" priority="424" operator="equal">
      <formula>0</formula>
    </cfRule>
    <cfRule type="cellIs" dxfId="7872" priority="425" operator="greaterThan">
      <formula>0</formula>
    </cfRule>
  </conditionalFormatting>
  <conditionalFormatting sqref="H13:J13 H15:M16 P15:P16 N13:S13 Q14:S16 T13:AC16 L13 G36:AC59 G62:AC64">
    <cfRule type="cellIs" dxfId="7871" priority="414" operator="equal">
      <formula>"PMS"</formula>
    </cfRule>
    <cfRule type="containsText" dxfId="7870" priority="415" operator="containsText" text="CMS">
      <formula>NOT(ISERROR(SEARCH("CMS",G13)))</formula>
    </cfRule>
    <cfRule type="cellIs" dxfId="7869" priority="416" operator="equal">
      <formula>0</formula>
    </cfRule>
    <cfRule type="cellIs" dxfId="7868" priority="417" operator="greaterThan">
      <formula>0</formula>
    </cfRule>
  </conditionalFormatting>
  <conditionalFormatting sqref="G20:S20 G21:N21 P21:S21 U19:AC21 T20:T21 G19:Q19">
    <cfRule type="cellIs" dxfId="7867" priority="406" operator="equal">
      <formula>"PMS"</formula>
    </cfRule>
    <cfRule type="containsText" dxfId="7866" priority="407" operator="containsText" text="CMS">
      <formula>NOT(ISERROR(SEARCH("CMS",G19)))</formula>
    </cfRule>
    <cfRule type="cellIs" dxfId="7865" priority="408" operator="equal">
      <formula>0</formula>
    </cfRule>
    <cfRule type="cellIs" dxfId="7864" priority="409" operator="greaterThan">
      <formula>0</formula>
    </cfRule>
    <cfRule type="cellIs" dxfId="7863" priority="410" operator="equal">
      <formula>"PMS"</formula>
    </cfRule>
    <cfRule type="containsText" dxfId="7862" priority="411" operator="containsText" text="CMS">
      <formula>NOT(ISERROR(SEARCH("CMS",G19)))</formula>
    </cfRule>
    <cfRule type="cellIs" dxfId="7861" priority="412" operator="equal">
      <formula>0</formula>
    </cfRule>
    <cfRule type="cellIs" dxfId="7860" priority="413" operator="greaterThan">
      <formula>0</formula>
    </cfRule>
  </conditionalFormatting>
  <conditionalFormatting sqref="G20:S20 G21:N21 P21:S21 U19:AC21 T20:T21 G19:Q19">
    <cfRule type="cellIs" dxfId="7859" priority="402" operator="equal">
      <formula>"PMS"</formula>
    </cfRule>
    <cfRule type="containsText" dxfId="7858" priority="403" operator="containsText" text="CMS">
      <formula>NOT(ISERROR(SEARCH("CMS",G19)))</formula>
    </cfRule>
    <cfRule type="cellIs" dxfId="7857" priority="404" operator="equal">
      <formula>0</formula>
    </cfRule>
    <cfRule type="cellIs" dxfId="7856" priority="405" operator="greaterThan">
      <formula>0</formula>
    </cfRule>
  </conditionalFormatting>
  <conditionalFormatting sqref="V24:AC24 G24:M24 O24:T24">
    <cfRule type="cellIs" dxfId="7855" priority="394" operator="equal">
      <formula>"PMS"</formula>
    </cfRule>
    <cfRule type="containsText" dxfId="7854" priority="395" operator="containsText" text="CMS">
      <formula>NOT(ISERROR(SEARCH("CMS",G24)))</formula>
    </cfRule>
    <cfRule type="cellIs" dxfId="7853" priority="396" operator="equal">
      <formula>0</formula>
    </cfRule>
    <cfRule type="cellIs" dxfId="7852" priority="397" operator="greaterThan">
      <formula>0</formula>
    </cfRule>
    <cfRule type="cellIs" dxfId="7851" priority="398" operator="equal">
      <formula>"PMS"</formula>
    </cfRule>
    <cfRule type="containsText" dxfId="7850" priority="399" operator="containsText" text="CMS">
      <formula>NOT(ISERROR(SEARCH("CMS",G24)))</formula>
    </cfRule>
    <cfRule type="cellIs" dxfId="7849" priority="400" operator="equal">
      <formula>0</formula>
    </cfRule>
    <cfRule type="cellIs" dxfId="7848" priority="401" operator="greaterThan">
      <formula>0</formula>
    </cfRule>
  </conditionalFormatting>
  <conditionalFormatting sqref="V24:AC24 G24:M24 O24:T24">
    <cfRule type="cellIs" dxfId="7847" priority="390" operator="equal">
      <formula>"PMS"</formula>
    </cfRule>
    <cfRule type="containsText" dxfId="7846" priority="391" operator="containsText" text="CMS">
      <formula>NOT(ISERROR(SEARCH("CMS",G24)))</formula>
    </cfRule>
    <cfRule type="cellIs" dxfId="7845" priority="392" operator="equal">
      <formula>0</formula>
    </cfRule>
    <cfRule type="cellIs" dxfId="7844" priority="393" operator="greaterThan">
      <formula>0</formula>
    </cfRule>
  </conditionalFormatting>
  <conditionalFormatting sqref="G27:AC27 G29:AC30 H28:AC28">
    <cfRule type="cellIs" dxfId="7843" priority="382" operator="equal">
      <formula>"PMS"</formula>
    </cfRule>
    <cfRule type="containsText" dxfId="7842" priority="383" operator="containsText" text="CMS">
      <formula>NOT(ISERROR(SEARCH("CMS",G27)))</formula>
    </cfRule>
    <cfRule type="cellIs" dxfId="7841" priority="384" operator="equal">
      <formula>0</formula>
    </cfRule>
    <cfRule type="cellIs" dxfId="7840" priority="385" operator="greaterThan">
      <formula>0</formula>
    </cfRule>
    <cfRule type="cellIs" dxfId="7839" priority="386" operator="equal">
      <formula>"PMS"</formula>
    </cfRule>
    <cfRule type="containsText" dxfId="7838" priority="387" operator="containsText" text="CMS">
      <formula>NOT(ISERROR(SEARCH("CMS",G27)))</formula>
    </cfRule>
    <cfRule type="cellIs" dxfId="7837" priority="388" operator="equal">
      <formula>0</formula>
    </cfRule>
    <cfRule type="cellIs" dxfId="7836" priority="389" operator="greaterThan">
      <formula>0</formula>
    </cfRule>
  </conditionalFormatting>
  <conditionalFormatting sqref="G27:AC27 G29:AC30 H28:AC28">
    <cfRule type="cellIs" dxfId="7835" priority="378" operator="equal">
      <formula>"PMS"</formula>
    </cfRule>
    <cfRule type="containsText" dxfId="7834" priority="379" operator="containsText" text="CMS">
      <formula>NOT(ISERROR(SEARCH("CMS",G27)))</formula>
    </cfRule>
    <cfRule type="cellIs" dxfId="7833" priority="380" operator="equal">
      <formula>0</formula>
    </cfRule>
    <cfRule type="cellIs" dxfId="7832" priority="381" operator="greaterThan">
      <formula>0</formula>
    </cfRule>
  </conditionalFormatting>
  <conditionalFormatting sqref="G33:AC33">
    <cfRule type="cellIs" dxfId="7831" priority="370" operator="equal">
      <formula>"PMS"</formula>
    </cfRule>
    <cfRule type="containsText" dxfId="7830" priority="371" operator="containsText" text="CMS">
      <formula>NOT(ISERROR(SEARCH("CMS",G33)))</formula>
    </cfRule>
    <cfRule type="cellIs" dxfId="7829" priority="372" operator="equal">
      <formula>0</formula>
    </cfRule>
    <cfRule type="cellIs" dxfId="7828" priority="373" operator="greaterThan">
      <formula>0</formula>
    </cfRule>
    <cfRule type="cellIs" dxfId="7827" priority="374" operator="equal">
      <formula>"PMS"</formula>
    </cfRule>
    <cfRule type="containsText" dxfId="7826" priority="375" operator="containsText" text="CMS">
      <formula>NOT(ISERROR(SEARCH("CMS",G33)))</formula>
    </cfRule>
    <cfRule type="cellIs" dxfId="7825" priority="376" operator="equal">
      <formula>0</formula>
    </cfRule>
    <cfRule type="cellIs" dxfId="7824" priority="377" operator="greaterThan">
      <formula>0</formula>
    </cfRule>
  </conditionalFormatting>
  <conditionalFormatting sqref="G33:AC33">
    <cfRule type="cellIs" dxfId="7823" priority="366" operator="equal">
      <formula>"PMS"</formula>
    </cfRule>
    <cfRule type="containsText" dxfId="7822" priority="367" operator="containsText" text="CMS">
      <formula>NOT(ISERROR(SEARCH("CMS",G33)))</formula>
    </cfRule>
    <cfRule type="cellIs" dxfId="7821" priority="368" operator="equal">
      <formula>0</formula>
    </cfRule>
    <cfRule type="cellIs" dxfId="7820" priority="369" operator="greaterThan">
      <formula>0</formula>
    </cfRule>
  </conditionalFormatting>
  <conditionalFormatting sqref="G67:AC75 G78:Q79 S78:AC79">
    <cfRule type="cellIs" dxfId="7819" priority="358" operator="equal">
      <formula>"PMS"</formula>
    </cfRule>
    <cfRule type="containsText" dxfId="7818" priority="359" operator="containsText" text="CMS">
      <formula>NOT(ISERROR(SEARCH("CMS",G67)))</formula>
    </cfRule>
    <cfRule type="cellIs" dxfId="7817" priority="360" operator="equal">
      <formula>0</formula>
    </cfRule>
    <cfRule type="cellIs" dxfId="7816" priority="361" operator="greaterThan">
      <formula>0</formula>
    </cfRule>
    <cfRule type="cellIs" dxfId="7815" priority="362" operator="equal">
      <formula>"PMS"</formula>
    </cfRule>
    <cfRule type="containsText" dxfId="7814" priority="363" operator="containsText" text="CMS">
      <formula>NOT(ISERROR(SEARCH("CMS",G67)))</formula>
    </cfRule>
    <cfRule type="cellIs" dxfId="7813" priority="364" operator="equal">
      <formula>0</formula>
    </cfRule>
    <cfRule type="cellIs" dxfId="7812" priority="365" operator="greaterThan">
      <formula>0</formula>
    </cfRule>
  </conditionalFormatting>
  <conditionalFormatting sqref="G67:AC75 G78:Q79 S78:AC79">
    <cfRule type="cellIs" dxfId="7811" priority="354" operator="equal">
      <formula>"PMS"</formula>
    </cfRule>
    <cfRule type="containsText" dxfId="7810" priority="355" operator="containsText" text="CMS">
      <formula>NOT(ISERROR(SEARCH("CMS",G67)))</formula>
    </cfRule>
    <cfRule type="cellIs" dxfId="7809" priority="356" operator="equal">
      <formula>0</formula>
    </cfRule>
    <cfRule type="cellIs" dxfId="7808" priority="357" operator="greaterThan">
      <formula>0</formula>
    </cfRule>
  </conditionalFormatting>
  <conditionalFormatting sqref="G82:AC82">
    <cfRule type="cellIs" dxfId="7807" priority="346" operator="equal">
      <formula>"PMS"</formula>
    </cfRule>
    <cfRule type="containsText" dxfId="7806" priority="347" operator="containsText" text="CMS">
      <formula>NOT(ISERROR(SEARCH("CMS",G82)))</formula>
    </cfRule>
    <cfRule type="cellIs" dxfId="7805" priority="348" operator="equal">
      <formula>0</formula>
    </cfRule>
    <cfRule type="cellIs" dxfId="7804" priority="349" operator="greaterThan">
      <formula>0</formula>
    </cfRule>
    <cfRule type="cellIs" dxfId="7803" priority="350" operator="equal">
      <formula>"PMS"</formula>
    </cfRule>
    <cfRule type="containsText" dxfId="7802" priority="351" operator="containsText" text="CMS">
      <formula>NOT(ISERROR(SEARCH("CMS",G82)))</formula>
    </cfRule>
    <cfRule type="cellIs" dxfId="7801" priority="352" operator="equal">
      <formula>0</formula>
    </cfRule>
    <cfRule type="cellIs" dxfId="7800" priority="353" operator="greaterThan">
      <formula>0</formula>
    </cfRule>
  </conditionalFormatting>
  <conditionalFormatting sqref="G82:AC82">
    <cfRule type="cellIs" dxfId="7799" priority="342" operator="equal">
      <formula>"PMS"</formula>
    </cfRule>
    <cfRule type="containsText" dxfId="7798" priority="343" operator="containsText" text="CMS">
      <formula>NOT(ISERROR(SEARCH("CMS",G82)))</formula>
    </cfRule>
    <cfRule type="cellIs" dxfId="7797" priority="344" operator="equal">
      <formula>0</formula>
    </cfRule>
    <cfRule type="cellIs" dxfId="7796" priority="345" operator="greaterThan">
      <formula>0</formula>
    </cfRule>
  </conditionalFormatting>
  <conditionalFormatting sqref="N24">
    <cfRule type="cellIs" dxfId="7795" priority="334" operator="equal">
      <formula>"PMS"</formula>
    </cfRule>
    <cfRule type="containsText" dxfId="7794" priority="335" operator="containsText" text="CMS">
      <formula>NOT(ISERROR(SEARCH("CMS",N24)))</formula>
    </cfRule>
    <cfRule type="cellIs" dxfId="7793" priority="336" operator="equal">
      <formula>0</formula>
    </cfRule>
    <cfRule type="cellIs" dxfId="7792" priority="337" operator="greaterThan">
      <formula>0</formula>
    </cfRule>
    <cfRule type="cellIs" dxfId="7791" priority="338" operator="equal">
      <formula>"PMS"</formula>
    </cfRule>
    <cfRule type="containsText" dxfId="7790" priority="339" operator="containsText" text="CMS">
      <formula>NOT(ISERROR(SEARCH("CMS",N24)))</formula>
    </cfRule>
    <cfRule type="cellIs" dxfId="7789" priority="340" operator="equal">
      <formula>0</formula>
    </cfRule>
    <cfRule type="cellIs" dxfId="7788" priority="341" operator="greaterThan">
      <formula>0</formula>
    </cfRule>
  </conditionalFormatting>
  <conditionalFormatting sqref="N24">
    <cfRule type="cellIs" dxfId="7787" priority="330" operator="equal">
      <formula>"PMS"</formula>
    </cfRule>
    <cfRule type="containsText" dxfId="7786" priority="331" operator="containsText" text="CMS">
      <formula>NOT(ISERROR(SEARCH("CMS",N24)))</formula>
    </cfRule>
    <cfRule type="cellIs" dxfId="7785" priority="332" operator="equal">
      <formula>0</formula>
    </cfRule>
    <cfRule type="cellIs" dxfId="7784" priority="333" operator="greaterThan">
      <formula>0</formula>
    </cfRule>
  </conditionalFormatting>
  <conditionalFormatting sqref="U24">
    <cfRule type="cellIs" dxfId="7783" priority="322" operator="equal">
      <formula>"PMS"</formula>
    </cfRule>
    <cfRule type="containsText" dxfId="7782" priority="323" operator="containsText" text="CMS">
      <formula>NOT(ISERROR(SEARCH("CMS",U24)))</formula>
    </cfRule>
    <cfRule type="cellIs" dxfId="7781" priority="324" operator="equal">
      <formula>0</formula>
    </cfRule>
    <cfRule type="cellIs" dxfId="7780" priority="325" operator="greaterThan">
      <formula>0</formula>
    </cfRule>
    <cfRule type="cellIs" dxfId="7779" priority="326" operator="equal">
      <formula>"PMS"</formula>
    </cfRule>
    <cfRule type="containsText" dxfId="7778" priority="327" operator="containsText" text="CMS">
      <formula>NOT(ISERROR(SEARCH("CMS",U24)))</formula>
    </cfRule>
    <cfRule type="cellIs" dxfId="7777" priority="328" operator="equal">
      <formula>0</formula>
    </cfRule>
    <cfRule type="cellIs" dxfId="7776" priority="329" operator="greaterThan">
      <formula>0</formula>
    </cfRule>
  </conditionalFormatting>
  <conditionalFormatting sqref="U24">
    <cfRule type="cellIs" dxfId="7775" priority="318" operator="equal">
      <formula>"PMS"</formula>
    </cfRule>
    <cfRule type="containsText" dxfId="7774" priority="319" operator="containsText" text="CMS">
      <formula>NOT(ISERROR(SEARCH("CMS",U24)))</formula>
    </cfRule>
    <cfRule type="cellIs" dxfId="7773" priority="320" operator="equal">
      <formula>0</formula>
    </cfRule>
    <cfRule type="cellIs" dxfId="7772" priority="321" operator="greaterThan">
      <formula>0</formula>
    </cfRule>
  </conditionalFormatting>
  <conditionalFormatting sqref="H14:P14">
    <cfRule type="cellIs" dxfId="7771" priority="310" operator="equal">
      <formula>"PMS"</formula>
    </cfRule>
    <cfRule type="containsText" dxfId="7770" priority="311" operator="containsText" text="CMS">
      <formula>NOT(ISERROR(SEARCH("CMS",H14)))</formula>
    </cfRule>
    <cfRule type="cellIs" dxfId="7769" priority="312" operator="equal">
      <formula>0</formula>
    </cfRule>
    <cfRule type="cellIs" dxfId="7768" priority="313" operator="greaterThan">
      <formula>0</formula>
    </cfRule>
    <cfRule type="cellIs" dxfId="7767" priority="314" operator="equal">
      <formula>"PMS"</formula>
    </cfRule>
    <cfRule type="containsText" dxfId="7766" priority="315" operator="containsText" text="CMS">
      <formula>NOT(ISERROR(SEARCH("CMS",H14)))</formula>
    </cfRule>
    <cfRule type="cellIs" dxfId="7765" priority="316" operator="equal">
      <formula>0</formula>
    </cfRule>
    <cfRule type="cellIs" dxfId="7764" priority="317" operator="greaterThan">
      <formula>0</formula>
    </cfRule>
  </conditionalFormatting>
  <conditionalFormatting sqref="H14:P14">
    <cfRule type="cellIs" dxfId="7763" priority="306" operator="equal">
      <formula>"PMS"</formula>
    </cfRule>
    <cfRule type="containsText" dxfId="7762" priority="307" operator="containsText" text="CMS">
      <formula>NOT(ISERROR(SEARCH("CMS",H14)))</formula>
    </cfRule>
    <cfRule type="cellIs" dxfId="7761" priority="308" operator="equal">
      <formula>0</formula>
    </cfRule>
    <cfRule type="cellIs" dxfId="7760" priority="309" operator="greaterThan">
      <formula>0</formula>
    </cfRule>
  </conditionalFormatting>
  <conditionalFormatting sqref="F82">
    <cfRule type="cellIs" dxfId="7759" priority="298" operator="equal">
      <formula>"PMS"</formula>
    </cfRule>
    <cfRule type="containsText" dxfId="7758" priority="299" operator="containsText" text="CMS">
      <formula>NOT(ISERROR(SEARCH("CMS",F82)))</formula>
    </cfRule>
    <cfRule type="cellIs" dxfId="7757" priority="300" operator="equal">
      <formula>0</formula>
    </cfRule>
    <cfRule type="cellIs" dxfId="7756" priority="301" operator="greaterThan">
      <formula>0</formula>
    </cfRule>
    <cfRule type="cellIs" dxfId="7755" priority="302" operator="equal">
      <formula>"PMS"</formula>
    </cfRule>
    <cfRule type="containsText" dxfId="7754" priority="303" operator="containsText" text="CMS">
      <formula>NOT(ISERROR(SEARCH("CMS",F82)))</formula>
    </cfRule>
    <cfRule type="cellIs" dxfId="7753" priority="304" operator="equal">
      <formula>0</formula>
    </cfRule>
    <cfRule type="cellIs" dxfId="7752" priority="305" operator="greaterThan">
      <formula>0</formula>
    </cfRule>
  </conditionalFormatting>
  <conditionalFormatting sqref="F82">
    <cfRule type="cellIs" dxfId="7751" priority="294" operator="equal">
      <formula>"PMS"</formula>
    </cfRule>
    <cfRule type="containsText" dxfId="7750" priority="295" operator="containsText" text="CMS">
      <formula>NOT(ISERROR(SEARCH("CMS",F82)))</formula>
    </cfRule>
    <cfRule type="cellIs" dxfId="7749" priority="296" operator="equal">
      <formula>0</formula>
    </cfRule>
    <cfRule type="cellIs" dxfId="7748" priority="297" operator="greaterThan">
      <formula>0</formula>
    </cfRule>
  </conditionalFormatting>
  <conditionalFormatting sqref="R19:T19">
    <cfRule type="cellIs" dxfId="7747" priority="286" operator="equal">
      <formula>"PMS"</formula>
    </cfRule>
    <cfRule type="containsText" dxfId="7746" priority="287" operator="containsText" text="CMS">
      <formula>NOT(ISERROR(SEARCH("CMS",R19)))</formula>
    </cfRule>
    <cfRule type="cellIs" dxfId="7745" priority="288" operator="equal">
      <formula>0</formula>
    </cfRule>
    <cfRule type="cellIs" dxfId="7744" priority="289" operator="greaterThan">
      <formula>0</formula>
    </cfRule>
    <cfRule type="cellIs" dxfId="7743" priority="290" operator="equal">
      <formula>"PMS"</formula>
    </cfRule>
    <cfRule type="containsText" dxfId="7742" priority="291" operator="containsText" text="CMS">
      <formula>NOT(ISERROR(SEARCH("CMS",R19)))</formula>
    </cfRule>
    <cfRule type="cellIs" dxfId="7741" priority="292" operator="equal">
      <formula>0</formula>
    </cfRule>
    <cfRule type="cellIs" dxfId="7740" priority="293" operator="greaterThan">
      <formula>0</formula>
    </cfRule>
  </conditionalFormatting>
  <conditionalFormatting sqref="R19:T19">
    <cfRule type="cellIs" dxfId="7739" priority="282" operator="equal">
      <formula>"PMS"</formula>
    </cfRule>
    <cfRule type="containsText" dxfId="7738" priority="283" operator="containsText" text="CMS">
      <formula>NOT(ISERROR(SEARCH("CMS",R19)))</formula>
    </cfRule>
    <cfRule type="cellIs" dxfId="7737" priority="284" operator="equal">
      <formula>0</formula>
    </cfRule>
    <cfRule type="cellIs" dxfId="7736" priority="285" operator="greaterThan">
      <formula>0</formula>
    </cfRule>
  </conditionalFormatting>
  <conditionalFormatting sqref="G13:G16">
    <cfRule type="cellIs" dxfId="7735" priority="274" operator="equal">
      <formula>"PMS"</formula>
    </cfRule>
    <cfRule type="containsText" dxfId="7734" priority="275" operator="containsText" text="CMS">
      <formula>NOT(ISERROR(SEARCH("CMS",G13)))</formula>
    </cfRule>
    <cfRule type="cellIs" dxfId="7733" priority="276" operator="equal">
      <formula>0</formula>
    </cfRule>
    <cfRule type="cellIs" dxfId="7732" priority="277" operator="greaterThan">
      <formula>0</formula>
    </cfRule>
    <cfRule type="cellIs" dxfId="7731" priority="278" operator="equal">
      <formula>"PMS"</formula>
    </cfRule>
    <cfRule type="containsText" dxfId="7730" priority="279" operator="containsText" text="CMS">
      <formula>NOT(ISERROR(SEARCH("CMS",G13)))</formula>
    </cfRule>
    <cfRule type="cellIs" dxfId="7729" priority="280" operator="equal">
      <formula>0</formula>
    </cfRule>
    <cfRule type="cellIs" dxfId="7728" priority="281" operator="greaterThan">
      <formula>0</formula>
    </cfRule>
  </conditionalFormatting>
  <conditionalFormatting sqref="G13:G16">
    <cfRule type="cellIs" dxfId="7727" priority="270" operator="equal">
      <formula>"PMS"</formula>
    </cfRule>
    <cfRule type="containsText" dxfId="7726" priority="271" operator="containsText" text="CMS">
      <formula>NOT(ISERROR(SEARCH("CMS",G13)))</formula>
    </cfRule>
    <cfRule type="cellIs" dxfId="7725" priority="272" operator="equal">
      <formula>0</formula>
    </cfRule>
    <cfRule type="cellIs" dxfId="7724" priority="273" operator="greaterThan">
      <formula>0</formula>
    </cfRule>
  </conditionalFormatting>
  <conditionalFormatting sqref="M13">
    <cfRule type="cellIs" dxfId="7723" priority="262" operator="equal">
      <formula>"PMS"</formula>
    </cfRule>
    <cfRule type="containsText" dxfId="7722" priority="263" operator="containsText" text="CMS">
      <formula>NOT(ISERROR(SEARCH("CMS",M13)))</formula>
    </cfRule>
    <cfRule type="cellIs" dxfId="7721" priority="264" operator="equal">
      <formula>0</formula>
    </cfRule>
    <cfRule type="cellIs" dxfId="7720" priority="265" operator="greaterThan">
      <formula>0</formula>
    </cfRule>
    <cfRule type="cellIs" dxfId="7719" priority="266" operator="equal">
      <formula>"PMS"</formula>
    </cfRule>
    <cfRule type="containsText" dxfId="7718" priority="267" operator="containsText" text="CMS">
      <formula>NOT(ISERROR(SEARCH("CMS",M13)))</formula>
    </cfRule>
    <cfRule type="cellIs" dxfId="7717" priority="268" operator="equal">
      <formula>0</formula>
    </cfRule>
    <cfRule type="cellIs" dxfId="7716" priority="269" operator="greaterThan">
      <formula>0</formula>
    </cfRule>
  </conditionalFormatting>
  <conditionalFormatting sqref="M13">
    <cfRule type="cellIs" dxfId="7715" priority="258" operator="equal">
      <formula>"PMS"</formula>
    </cfRule>
    <cfRule type="containsText" dxfId="7714" priority="259" operator="containsText" text="CMS">
      <formula>NOT(ISERROR(SEARCH("CMS",M13)))</formula>
    </cfRule>
    <cfRule type="cellIs" dxfId="7713" priority="260" operator="equal">
      <formula>0</formula>
    </cfRule>
    <cfRule type="cellIs" dxfId="7712" priority="261" operator="greaterThan">
      <formula>0</formula>
    </cfRule>
  </conditionalFormatting>
  <conditionalFormatting sqref="R78:R79">
    <cfRule type="cellIs" dxfId="7711" priority="250" operator="equal">
      <formula>"PMS"</formula>
    </cfRule>
    <cfRule type="containsText" dxfId="7710" priority="251" operator="containsText" text="CMS">
      <formula>NOT(ISERROR(SEARCH("CMS",R78)))</formula>
    </cfRule>
    <cfRule type="cellIs" dxfId="7709" priority="252" operator="equal">
      <formula>0</formula>
    </cfRule>
    <cfRule type="cellIs" dxfId="7708" priority="253" operator="greaterThan">
      <formula>0</formula>
    </cfRule>
    <cfRule type="cellIs" dxfId="7707" priority="254" operator="equal">
      <formula>"PMS"</formula>
    </cfRule>
    <cfRule type="containsText" dxfId="7706" priority="255" operator="containsText" text="CMS">
      <formula>NOT(ISERROR(SEARCH("CMS",R78)))</formula>
    </cfRule>
    <cfRule type="cellIs" dxfId="7705" priority="256" operator="equal">
      <formula>0</formula>
    </cfRule>
    <cfRule type="cellIs" dxfId="7704" priority="257" operator="greaterThan">
      <formula>0</formula>
    </cfRule>
  </conditionalFormatting>
  <conditionalFormatting sqref="R78:R79">
    <cfRule type="cellIs" dxfId="7703" priority="246" operator="equal">
      <formula>"PMS"</formula>
    </cfRule>
    <cfRule type="containsText" dxfId="7702" priority="247" operator="containsText" text="CMS">
      <formula>NOT(ISERROR(SEARCH("CMS",R78)))</formula>
    </cfRule>
    <cfRule type="cellIs" dxfId="7701" priority="248" operator="equal">
      <formula>0</formula>
    </cfRule>
    <cfRule type="cellIs" dxfId="7700" priority="249" operator="greaterThan">
      <formula>0</formula>
    </cfRule>
  </conditionalFormatting>
  <conditionalFormatting sqref="O15">
    <cfRule type="cellIs" dxfId="7699" priority="238" operator="equal">
      <formula>"PMS"</formula>
    </cfRule>
    <cfRule type="containsText" dxfId="7698" priority="239" operator="containsText" text="CMS">
      <formula>NOT(ISERROR(SEARCH("CMS",O15)))</formula>
    </cfRule>
    <cfRule type="cellIs" dxfId="7697" priority="240" operator="equal">
      <formula>0</formula>
    </cfRule>
    <cfRule type="cellIs" dxfId="7696" priority="241" operator="greaterThan">
      <formula>0</formula>
    </cfRule>
    <cfRule type="cellIs" dxfId="7695" priority="242" operator="equal">
      <formula>"PMS"</formula>
    </cfRule>
    <cfRule type="containsText" dxfId="7694" priority="243" operator="containsText" text="CMS">
      <formula>NOT(ISERROR(SEARCH("CMS",O15)))</formula>
    </cfRule>
    <cfRule type="cellIs" dxfId="7693" priority="244" operator="equal">
      <formula>0</formula>
    </cfRule>
    <cfRule type="cellIs" dxfId="7692" priority="245" operator="greaterThan">
      <formula>0</formula>
    </cfRule>
  </conditionalFormatting>
  <conditionalFormatting sqref="O15">
    <cfRule type="cellIs" dxfId="7691" priority="234" operator="equal">
      <formula>"PMS"</formula>
    </cfRule>
    <cfRule type="containsText" dxfId="7690" priority="235" operator="containsText" text="CMS">
      <formula>NOT(ISERROR(SEARCH("CMS",O15)))</formula>
    </cfRule>
    <cfRule type="cellIs" dxfId="7689" priority="236" operator="equal">
      <formula>0</formula>
    </cfRule>
    <cfRule type="cellIs" dxfId="7688" priority="237" operator="greaterThan">
      <formula>0</formula>
    </cfRule>
  </conditionalFormatting>
  <conditionalFormatting sqref="O16">
    <cfRule type="cellIs" dxfId="7687" priority="226" operator="equal">
      <formula>"PMS"</formula>
    </cfRule>
    <cfRule type="containsText" dxfId="7686" priority="227" operator="containsText" text="CMS">
      <formula>NOT(ISERROR(SEARCH("CMS",O16)))</formula>
    </cfRule>
    <cfRule type="cellIs" dxfId="7685" priority="228" operator="equal">
      <formula>0</formula>
    </cfRule>
    <cfRule type="cellIs" dxfId="7684" priority="229" operator="greaterThan">
      <formula>0</formula>
    </cfRule>
    <cfRule type="cellIs" dxfId="7683" priority="230" operator="equal">
      <formula>"PMS"</formula>
    </cfRule>
    <cfRule type="containsText" dxfId="7682" priority="231" operator="containsText" text="CMS">
      <formula>NOT(ISERROR(SEARCH("CMS",O16)))</formula>
    </cfRule>
    <cfRule type="cellIs" dxfId="7681" priority="232" operator="equal">
      <formula>0</formula>
    </cfRule>
    <cfRule type="cellIs" dxfId="7680" priority="233" operator="greaterThan">
      <formula>0</formula>
    </cfRule>
  </conditionalFormatting>
  <conditionalFormatting sqref="O16">
    <cfRule type="cellIs" dxfId="7679" priority="222" operator="equal">
      <formula>"PMS"</formula>
    </cfRule>
    <cfRule type="containsText" dxfId="7678" priority="223" operator="containsText" text="CMS">
      <formula>NOT(ISERROR(SEARCH("CMS",O16)))</formula>
    </cfRule>
    <cfRule type="cellIs" dxfId="7677" priority="224" operator="equal">
      <formula>0</formula>
    </cfRule>
    <cfRule type="cellIs" dxfId="7676" priority="225" operator="greaterThan">
      <formula>0</formula>
    </cfRule>
  </conditionalFormatting>
  <conditionalFormatting sqref="N15">
    <cfRule type="cellIs" dxfId="7675" priority="166" operator="equal">
      <formula>"PMS"</formula>
    </cfRule>
    <cfRule type="containsText" dxfId="7674" priority="167" operator="containsText" text="CMS">
      <formula>NOT(ISERROR(SEARCH("CMS",N15)))</formula>
    </cfRule>
    <cfRule type="cellIs" dxfId="7673" priority="168" operator="equal">
      <formula>0</formula>
    </cfRule>
    <cfRule type="cellIs" dxfId="7672" priority="169" operator="greaterThan">
      <formula>0</formula>
    </cfRule>
    <cfRule type="cellIs" dxfId="7671" priority="170" operator="equal">
      <formula>"PMS"</formula>
    </cfRule>
    <cfRule type="containsText" dxfId="7670" priority="171" operator="containsText" text="CMS">
      <formula>NOT(ISERROR(SEARCH("CMS",N15)))</formula>
    </cfRule>
    <cfRule type="cellIs" dxfId="7669" priority="172" operator="equal">
      <formula>0</formula>
    </cfRule>
    <cfRule type="cellIs" dxfId="7668" priority="173" operator="greaterThan">
      <formula>0</formula>
    </cfRule>
  </conditionalFormatting>
  <conditionalFormatting sqref="N15">
    <cfRule type="cellIs" dxfId="7667" priority="162" operator="equal">
      <formula>"PMS"</formula>
    </cfRule>
    <cfRule type="containsText" dxfId="7666" priority="163" operator="containsText" text="CMS">
      <formula>NOT(ISERROR(SEARCH("CMS",N15)))</formula>
    </cfRule>
    <cfRule type="cellIs" dxfId="7665" priority="164" operator="equal">
      <formula>0</formula>
    </cfRule>
    <cfRule type="cellIs" dxfId="7664" priority="165" operator="greaterThan">
      <formula>0</formula>
    </cfRule>
  </conditionalFormatting>
  <conditionalFormatting sqref="N16">
    <cfRule type="cellIs" dxfId="7663" priority="154" operator="equal">
      <formula>"PMS"</formula>
    </cfRule>
    <cfRule type="containsText" dxfId="7662" priority="155" operator="containsText" text="CMS">
      <formula>NOT(ISERROR(SEARCH("CMS",N16)))</formula>
    </cfRule>
    <cfRule type="cellIs" dxfId="7661" priority="156" operator="equal">
      <formula>0</formula>
    </cfRule>
    <cfRule type="cellIs" dxfId="7660" priority="157" operator="greaterThan">
      <formula>0</formula>
    </cfRule>
    <cfRule type="cellIs" dxfId="7659" priority="158" operator="equal">
      <formula>"PMS"</formula>
    </cfRule>
    <cfRule type="containsText" dxfId="7658" priority="159" operator="containsText" text="CMS">
      <formula>NOT(ISERROR(SEARCH("CMS",N16)))</formula>
    </cfRule>
    <cfRule type="cellIs" dxfId="7657" priority="160" operator="equal">
      <formula>0</formula>
    </cfRule>
    <cfRule type="cellIs" dxfId="7656" priority="161" operator="greaterThan">
      <formula>0</formula>
    </cfRule>
  </conditionalFormatting>
  <conditionalFormatting sqref="N16">
    <cfRule type="cellIs" dxfId="7655" priority="150" operator="equal">
      <formula>"PMS"</formula>
    </cfRule>
    <cfRule type="containsText" dxfId="7654" priority="151" operator="containsText" text="CMS">
      <formula>NOT(ISERROR(SEARCH("CMS",N16)))</formula>
    </cfRule>
    <cfRule type="cellIs" dxfId="7653" priority="152" operator="equal">
      <formula>0</formula>
    </cfRule>
    <cfRule type="cellIs" dxfId="7652" priority="153" operator="greaterThan">
      <formula>0</formula>
    </cfRule>
  </conditionalFormatting>
  <conditionalFormatting sqref="O21">
    <cfRule type="cellIs" dxfId="7651" priority="142" operator="equal">
      <formula>"PMS"</formula>
    </cfRule>
    <cfRule type="containsText" dxfId="7650" priority="143" operator="containsText" text="CMS">
      <formula>NOT(ISERROR(SEARCH("CMS",O21)))</formula>
    </cfRule>
    <cfRule type="cellIs" dxfId="7649" priority="144" operator="equal">
      <formula>0</formula>
    </cfRule>
    <cfRule type="cellIs" dxfId="7648" priority="145" operator="greaterThan">
      <formula>0</formula>
    </cfRule>
    <cfRule type="cellIs" dxfId="7647" priority="146" operator="equal">
      <formula>"PMS"</formula>
    </cfRule>
    <cfRule type="containsText" dxfId="7646" priority="147" operator="containsText" text="CMS">
      <formula>NOT(ISERROR(SEARCH("CMS",O21)))</formula>
    </cfRule>
    <cfRule type="cellIs" dxfId="7645" priority="148" operator="equal">
      <formula>0</formula>
    </cfRule>
    <cfRule type="cellIs" dxfId="7644" priority="149" operator="greaterThan">
      <formula>0</formula>
    </cfRule>
  </conditionalFormatting>
  <conditionalFormatting sqref="O21">
    <cfRule type="cellIs" dxfId="7643" priority="138" operator="equal">
      <formula>"PMS"</formula>
    </cfRule>
    <cfRule type="containsText" dxfId="7642" priority="139" operator="containsText" text="CMS">
      <formula>NOT(ISERROR(SEARCH("CMS",O21)))</formula>
    </cfRule>
    <cfRule type="cellIs" dxfId="7641" priority="140" operator="equal">
      <formula>0</formula>
    </cfRule>
    <cfRule type="cellIs" dxfId="7640" priority="141" operator="greaterThan">
      <formula>0</formula>
    </cfRule>
  </conditionalFormatting>
  <conditionalFormatting sqref="G28">
    <cfRule type="cellIs" dxfId="7639" priority="118" operator="equal">
      <formula>"PMS"</formula>
    </cfRule>
    <cfRule type="containsText" dxfId="7638" priority="119" operator="containsText" text="CMS">
      <formula>NOT(ISERROR(SEARCH("CMS",G28)))</formula>
    </cfRule>
    <cfRule type="cellIs" dxfId="7637" priority="120" operator="equal">
      <formula>0</formula>
    </cfRule>
    <cfRule type="cellIs" dxfId="7636" priority="121" operator="greaterThan">
      <formula>0</formula>
    </cfRule>
    <cfRule type="cellIs" dxfId="7635" priority="122" operator="equal">
      <formula>"PMS"</formula>
    </cfRule>
    <cfRule type="containsText" dxfId="7634" priority="123" operator="containsText" text="CMS">
      <formula>NOT(ISERROR(SEARCH("CMS",G28)))</formula>
    </cfRule>
    <cfRule type="cellIs" dxfId="7633" priority="124" operator="equal">
      <formula>0</formula>
    </cfRule>
    <cfRule type="cellIs" dxfId="7632" priority="125" operator="greaterThan">
      <formula>0</formula>
    </cfRule>
  </conditionalFormatting>
  <conditionalFormatting sqref="G28">
    <cfRule type="cellIs" dxfId="7631" priority="114" operator="equal">
      <formula>"PMS"</formula>
    </cfRule>
    <cfRule type="containsText" dxfId="7630" priority="115" operator="containsText" text="CMS">
      <formula>NOT(ISERROR(SEARCH("CMS",G28)))</formula>
    </cfRule>
    <cfRule type="cellIs" dxfId="7629" priority="116" operator="equal">
      <formula>0</formula>
    </cfRule>
    <cfRule type="cellIs" dxfId="7628" priority="117" operator="greaterThan">
      <formula>0</formula>
    </cfRule>
  </conditionalFormatting>
  <conditionalFormatting sqref="F13:F16 F36:F59 F62:F64">
    <cfRule type="cellIs" dxfId="7627" priority="82" operator="equal">
      <formula>"PMS"</formula>
    </cfRule>
    <cfRule type="containsText" dxfId="7626" priority="83" operator="containsText" text="CMS">
      <formula>NOT(ISERROR(SEARCH("CMS",F13)))</formula>
    </cfRule>
    <cfRule type="cellIs" dxfId="7625" priority="84" operator="equal">
      <formula>0</formula>
    </cfRule>
    <cfRule type="cellIs" dxfId="7624" priority="85" operator="greaterThan">
      <formula>0</formula>
    </cfRule>
    <cfRule type="cellIs" dxfId="7623" priority="86" operator="equal">
      <formula>"PMS"</formula>
    </cfRule>
    <cfRule type="containsText" dxfId="7622" priority="87" operator="containsText" text="CMS">
      <formula>NOT(ISERROR(SEARCH("CMS",F13)))</formula>
    </cfRule>
    <cfRule type="cellIs" dxfId="7621" priority="88" operator="equal">
      <formula>0</formula>
    </cfRule>
    <cfRule type="cellIs" dxfId="7620" priority="89" operator="greaterThan">
      <formula>0</formula>
    </cfRule>
  </conditionalFormatting>
  <conditionalFormatting sqref="F13:F16 F36:F59 F62:F64">
    <cfRule type="cellIs" dxfId="7619" priority="78" operator="equal">
      <formula>"PMS"</formula>
    </cfRule>
    <cfRule type="containsText" dxfId="7618" priority="79" operator="containsText" text="CMS">
      <formula>NOT(ISERROR(SEARCH("CMS",F13)))</formula>
    </cfRule>
    <cfRule type="cellIs" dxfId="7617" priority="80" operator="equal">
      <formula>0</formula>
    </cfRule>
    <cfRule type="cellIs" dxfId="7616" priority="81" operator="greaterThan">
      <formula>0</formula>
    </cfRule>
  </conditionalFormatting>
  <conditionalFormatting sqref="F19:F21">
    <cfRule type="cellIs" dxfId="7615" priority="70" operator="equal">
      <formula>"PMS"</formula>
    </cfRule>
    <cfRule type="containsText" dxfId="7614" priority="71" operator="containsText" text="CMS">
      <formula>NOT(ISERROR(SEARCH("CMS",F19)))</formula>
    </cfRule>
    <cfRule type="cellIs" dxfId="7613" priority="72" operator="equal">
      <formula>0</formula>
    </cfRule>
    <cfRule type="cellIs" dxfId="7612" priority="73" operator="greaterThan">
      <formula>0</formula>
    </cfRule>
    <cfRule type="cellIs" dxfId="7611" priority="74" operator="equal">
      <formula>"PMS"</formula>
    </cfRule>
    <cfRule type="containsText" dxfId="7610" priority="75" operator="containsText" text="CMS">
      <formula>NOT(ISERROR(SEARCH("CMS",F19)))</formula>
    </cfRule>
    <cfRule type="cellIs" dxfId="7609" priority="76" operator="equal">
      <formula>0</formula>
    </cfRule>
    <cfRule type="cellIs" dxfId="7608" priority="77" operator="greaterThan">
      <formula>0</formula>
    </cfRule>
  </conditionalFormatting>
  <conditionalFormatting sqref="F19:F21">
    <cfRule type="cellIs" dxfId="7607" priority="66" operator="equal">
      <formula>"PMS"</formula>
    </cfRule>
    <cfRule type="containsText" dxfId="7606" priority="67" operator="containsText" text="CMS">
      <formula>NOT(ISERROR(SEARCH("CMS",F19)))</formula>
    </cfRule>
    <cfRule type="cellIs" dxfId="7605" priority="68" operator="equal">
      <formula>0</formula>
    </cfRule>
    <cfRule type="cellIs" dxfId="7604" priority="69" operator="greaterThan">
      <formula>0</formula>
    </cfRule>
  </conditionalFormatting>
  <conditionalFormatting sqref="F24">
    <cfRule type="cellIs" dxfId="7603" priority="58" operator="equal">
      <formula>"PMS"</formula>
    </cfRule>
    <cfRule type="containsText" dxfId="7602" priority="59" operator="containsText" text="CMS">
      <formula>NOT(ISERROR(SEARCH("CMS",F24)))</formula>
    </cfRule>
    <cfRule type="cellIs" dxfId="7601" priority="60" operator="equal">
      <formula>0</formula>
    </cfRule>
    <cfRule type="cellIs" dxfId="7600" priority="61" operator="greaterThan">
      <formula>0</formula>
    </cfRule>
    <cfRule type="cellIs" dxfId="7599" priority="62" operator="equal">
      <formula>"PMS"</formula>
    </cfRule>
    <cfRule type="containsText" dxfId="7598" priority="63" operator="containsText" text="CMS">
      <formula>NOT(ISERROR(SEARCH("CMS",F24)))</formula>
    </cfRule>
    <cfRule type="cellIs" dxfId="7597" priority="64" operator="equal">
      <formula>0</formula>
    </cfRule>
    <cfRule type="cellIs" dxfId="7596" priority="65" operator="greaterThan">
      <formula>0</formula>
    </cfRule>
  </conditionalFormatting>
  <conditionalFormatting sqref="F24">
    <cfRule type="cellIs" dxfId="7595" priority="54" operator="equal">
      <formula>"PMS"</formula>
    </cfRule>
    <cfRule type="containsText" dxfId="7594" priority="55" operator="containsText" text="CMS">
      <formula>NOT(ISERROR(SEARCH("CMS",F24)))</formula>
    </cfRule>
    <cfRule type="cellIs" dxfId="7593" priority="56" operator="equal">
      <formula>0</formula>
    </cfRule>
    <cfRule type="cellIs" dxfId="7592" priority="57" operator="greaterThan">
      <formula>0</formula>
    </cfRule>
  </conditionalFormatting>
  <conditionalFormatting sqref="F27:F30">
    <cfRule type="cellIs" dxfId="7591" priority="46" operator="equal">
      <formula>"PMS"</formula>
    </cfRule>
    <cfRule type="containsText" dxfId="7590" priority="47" operator="containsText" text="CMS">
      <formula>NOT(ISERROR(SEARCH("CMS",F27)))</formula>
    </cfRule>
    <cfRule type="cellIs" dxfId="7589" priority="48" operator="equal">
      <formula>0</formula>
    </cfRule>
    <cfRule type="cellIs" dxfId="7588" priority="49" operator="greaterThan">
      <formula>0</formula>
    </cfRule>
    <cfRule type="cellIs" dxfId="7587" priority="50" operator="equal">
      <formula>"PMS"</formula>
    </cfRule>
    <cfRule type="containsText" dxfId="7586" priority="51" operator="containsText" text="CMS">
      <formula>NOT(ISERROR(SEARCH("CMS",F27)))</formula>
    </cfRule>
    <cfRule type="cellIs" dxfId="7585" priority="52" operator="equal">
      <formula>0</formula>
    </cfRule>
    <cfRule type="cellIs" dxfId="7584" priority="53" operator="greaterThan">
      <formula>0</formula>
    </cfRule>
  </conditionalFormatting>
  <conditionalFormatting sqref="F27:F30">
    <cfRule type="cellIs" dxfId="7583" priority="42" operator="equal">
      <formula>"PMS"</formula>
    </cfRule>
    <cfRule type="containsText" dxfId="7582" priority="43" operator="containsText" text="CMS">
      <formula>NOT(ISERROR(SEARCH("CMS",F27)))</formula>
    </cfRule>
    <cfRule type="cellIs" dxfId="7581" priority="44" operator="equal">
      <formula>0</formula>
    </cfRule>
    <cfRule type="cellIs" dxfId="7580" priority="45" operator="greaterThan">
      <formula>0</formula>
    </cfRule>
  </conditionalFormatting>
  <conditionalFormatting sqref="F33">
    <cfRule type="cellIs" dxfId="7579" priority="34" operator="equal">
      <formula>"PMS"</formula>
    </cfRule>
    <cfRule type="containsText" dxfId="7578" priority="35" operator="containsText" text="CMS">
      <formula>NOT(ISERROR(SEARCH("CMS",F33)))</formula>
    </cfRule>
    <cfRule type="cellIs" dxfId="7577" priority="36" operator="equal">
      <formula>0</formula>
    </cfRule>
    <cfRule type="cellIs" dxfId="7576" priority="37" operator="greaterThan">
      <formula>0</formula>
    </cfRule>
    <cfRule type="cellIs" dxfId="7575" priority="38" operator="equal">
      <formula>"PMS"</formula>
    </cfRule>
    <cfRule type="containsText" dxfId="7574" priority="39" operator="containsText" text="CMS">
      <formula>NOT(ISERROR(SEARCH("CMS",F33)))</formula>
    </cfRule>
    <cfRule type="cellIs" dxfId="7573" priority="40" operator="equal">
      <formula>0</formula>
    </cfRule>
    <cfRule type="cellIs" dxfId="7572" priority="41" operator="greaterThan">
      <formula>0</formula>
    </cfRule>
  </conditionalFormatting>
  <conditionalFormatting sqref="F33">
    <cfRule type="cellIs" dxfId="7571" priority="30" operator="equal">
      <formula>"PMS"</formula>
    </cfRule>
    <cfRule type="containsText" dxfId="7570" priority="31" operator="containsText" text="CMS">
      <formula>NOT(ISERROR(SEARCH("CMS",F33)))</formula>
    </cfRule>
    <cfRule type="cellIs" dxfId="7569" priority="32" operator="equal">
      <formula>0</formula>
    </cfRule>
    <cfRule type="cellIs" dxfId="7568" priority="33" operator="greaterThan">
      <formula>0</formula>
    </cfRule>
  </conditionalFormatting>
  <conditionalFormatting sqref="F67:F75 F78:F79">
    <cfRule type="cellIs" dxfId="7567" priority="22" operator="equal">
      <formula>"PMS"</formula>
    </cfRule>
    <cfRule type="containsText" dxfId="7566" priority="23" operator="containsText" text="CMS">
      <formula>NOT(ISERROR(SEARCH("CMS",F67)))</formula>
    </cfRule>
    <cfRule type="cellIs" dxfId="7565" priority="24" operator="equal">
      <formula>0</formula>
    </cfRule>
    <cfRule type="cellIs" dxfId="7564" priority="25" operator="greaterThan">
      <formula>0</formula>
    </cfRule>
    <cfRule type="cellIs" dxfId="7563" priority="26" operator="equal">
      <formula>"PMS"</formula>
    </cfRule>
    <cfRule type="containsText" dxfId="7562" priority="27" operator="containsText" text="CMS">
      <formula>NOT(ISERROR(SEARCH("CMS",F67)))</formula>
    </cfRule>
    <cfRule type="cellIs" dxfId="7561" priority="28" operator="equal">
      <formula>0</formula>
    </cfRule>
    <cfRule type="cellIs" dxfId="7560" priority="29" operator="greaterThan">
      <formula>0</formula>
    </cfRule>
  </conditionalFormatting>
  <conditionalFormatting sqref="F67:F75 F78:F79">
    <cfRule type="cellIs" dxfId="7559" priority="18" operator="equal">
      <formula>"PMS"</formula>
    </cfRule>
    <cfRule type="containsText" dxfId="7558" priority="19" operator="containsText" text="CMS">
      <formula>NOT(ISERROR(SEARCH("CMS",F67)))</formula>
    </cfRule>
    <cfRule type="cellIs" dxfId="7557" priority="20" operator="equal">
      <formula>0</formula>
    </cfRule>
    <cfRule type="cellIs" dxfId="7556" priority="21" operator="greaterThan">
      <formula>0</formula>
    </cfRule>
  </conditionalFormatting>
  <conditionalFormatting sqref="K13">
    <cfRule type="cellIs" dxfId="7555" priority="10" operator="equal">
      <formula>"PMS"</formula>
    </cfRule>
    <cfRule type="containsText" dxfId="7554" priority="11" operator="containsText" text="CMS">
      <formula>NOT(ISERROR(SEARCH("CMS",K13)))</formula>
    </cfRule>
    <cfRule type="cellIs" dxfId="7553" priority="12" operator="equal">
      <formula>0</formula>
    </cfRule>
    <cfRule type="cellIs" dxfId="7552" priority="13" operator="greaterThan">
      <formula>0</formula>
    </cfRule>
    <cfRule type="cellIs" dxfId="7551" priority="14" operator="equal">
      <formula>"PMS"</formula>
    </cfRule>
    <cfRule type="containsText" dxfId="7550" priority="15" operator="containsText" text="CMS">
      <formula>NOT(ISERROR(SEARCH("CMS",K13)))</formula>
    </cfRule>
    <cfRule type="cellIs" dxfId="7549" priority="16" operator="equal">
      <formula>0</formula>
    </cfRule>
    <cfRule type="cellIs" dxfId="7548" priority="17" operator="greaterThan">
      <formula>0</formula>
    </cfRule>
  </conditionalFormatting>
  <conditionalFormatting sqref="K13">
    <cfRule type="cellIs" dxfId="7547" priority="6" operator="equal">
      <formula>"PMS"</formula>
    </cfRule>
    <cfRule type="containsText" dxfId="7546" priority="7" operator="containsText" text="CMS">
      <formula>NOT(ISERROR(SEARCH("CMS",K13)))</formula>
    </cfRule>
    <cfRule type="cellIs" dxfId="7545" priority="8" operator="equal">
      <formula>0</formula>
    </cfRule>
    <cfRule type="cellIs" dxfId="7544" priority="9" operator="greaterThan">
      <formula>0</formula>
    </cfRule>
  </conditionalFormatting>
  <conditionalFormatting sqref="G112:AC112 H111:K111">
    <cfRule type="cellIs" dxfId="7543" priority="5" operator="greaterThan">
      <formula>60.3</formula>
    </cfRule>
  </conditionalFormatting>
  <conditionalFormatting sqref="F111:G111 L111:N111">
    <cfRule type="cellIs" dxfId="7542" priority="2" operator="greaterThan">
      <formula>60.3</formula>
    </cfRule>
  </conditionalFormatting>
  <conditionalFormatting sqref="O111:AC111">
    <cfRule type="cellIs" dxfId="7541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1481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1FC089-54E1-4AA5-8B0A-6BE3576D6049}">
  <sheetPr codeName="Sheet164"/>
  <dimension ref="A2:DT140"/>
  <sheetViews>
    <sheetView zoomScale="70" zoomScaleNormal="70" zoomScaleSheetLayoutView="51" zoomScalePageLayoutView="55" workbookViewId="0">
      <pane xSplit="5" ySplit="11" topLeftCell="F12" activePane="bottomRight" state="frozen"/>
      <selection pane="bottomRight" activeCell="AC83" sqref="AC83"/>
      <selection pane="bottomLeft" activeCell="AJ44" sqref="AJ44"/>
      <selection pane="topRight" activeCell="AJ44" sqref="AJ4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4">
      <c r="C2" s="16"/>
      <c r="D2" s="23" t="s">
        <v>1</v>
      </c>
      <c r="E2" s="22" t="s">
        <v>2</v>
      </c>
      <c r="F2" s="22"/>
    </row>
    <row r="3" spans="1:44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4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  <c r="AR4">
        <f>2.73/2</f>
        <v>1.365</v>
      </c>
    </row>
    <row r="5" spans="1:44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4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4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4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23"/>
      <c r="N8" s="523"/>
      <c r="O8" s="52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4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24" t="e" cm="1">
        <f t="array" aca="1" ref="M9" ca="1">TEXT(TODAY(),"mmmm")&amp;" "&amp;MID(CELL("filename",A1),FIND("]",CELL("filename",A1))+1,255)&amp;", "&amp;TEXT(TODAY(),"yyyy")</f>
        <v>#VALUE!</v>
      </c>
      <c r="N9" s="524"/>
      <c r="O9" s="524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4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4"/>
      <c r="R10" s="344"/>
      <c r="S10" s="344"/>
      <c r="T10" s="344"/>
      <c r="U10" s="344"/>
      <c r="V10" s="344"/>
      <c r="W10" s="344"/>
      <c r="X10" s="344"/>
      <c r="Y10" s="344"/>
      <c r="Z10" s="344"/>
      <c r="AA10" s="344"/>
      <c r="AB10" s="344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4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4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17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541.50000000000011</v>
      </c>
    </row>
    <row r="13" spans="1:44">
      <c r="A13" s="14" t="s">
        <v>22</v>
      </c>
      <c r="B13" s="15"/>
      <c r="C13" s="15">
        <v>7.2</v>
      </c>
      <c r="D13" s="15"/>
      <c r="E13" s="15"/>
      <c r="F13" s="372">
        <v>6.6</v>
      </c>
      <c r="G13" s="372">
        <v>6.7</v>
      </c>
      <c r="H13" s="372">
        <v>6.6</v>
      </c>
      <c r="I13" s="372">
        <v>6.6</v>
      </c>
      <c r="J13" s="372">
        <v>6.5</v>
      </c>
      <c r="K13" s="372">
        <v>6.7</v>
      </c>
      <c r="L13" s="374">
        <v>6.6</v>
      </c>
      <c r="M13" s="372">
        <v>6.5</v>
      </c>
      <c r="N13" s="372">
        <v>6.7</v>
      </c>
      <c r="O13" s="372">
        <v>6.7</v>
      </c>
      <c r="P13" s="372">
        <v>6.7</v>
      </c>
      <c r="Q13" s="372">
        <v>6.5</v>
      </c>
      <c r="R13" s="372">
        <v>6.5</v>
      </c>
      <c r="S13" s="372">
        <v>6.7</v>
      </c>
      <c r="T13" s="372">
        <v>7.2</v>
      </c>
      <c r="U13" s="372">
        <v>6.6</v>
      </c>
      <c r="V13" s="372">
        <v>6.7</v>
      </c>
      <c r="W13" s="372">
        <v>6.6</v>
      </c>
      <c r="X13" s="372">
        <v>6.6</v>
      </c>
      <c r="Y13" s="372">
        <v>6.6</v>
      </c>
      <c r="Z13" s="372">
        <v>6.7</v>
      </c>
      <c r="AA13" s="372">
        <v>6.7</v>
      </c>
      <c r="AB13" s="372">
        <v>6.5</v>
      </c>
      <c r="AC13" s="372">
        <v>6.3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4">
      <c r="A14" s="14" t="s">
        <v>23</v>
      </c>
      <c r="B14" s="15"/>
      <c r="C14" s="15">
        <v>7.2</v>
      </c>
      <c r="D14" s="15"/>
      <c r="E14" s="15"/>
      <c r="F14" s="372">
        <v>6.5</v>
      </c>
      <c r="G14" s="372">
        <v>6.6</v>
      </c>
      <c r="H14" s="374">
        <v>6.6</v>
      </c>
      <c r="I14" s="372">
        <v>6.5</v>
      </c>
      <c r="J14" s="372">
        <v>6.4</v>
      </c>
      <c r="K14" s="372">
        <v>6.7</v>
      </c>
      <c r="L14" s="372">
        <v>3.5</v>
      </c>
      <c r="M14" s="372"/>
      <c r="N14" s="372"/>
      <c r="O14" s="372"/>
      <c r="P14" s="372">
        <v>3.2</v>
      </c>
      <c r="Q14" s="372">
        <v>6.5</v>
      </c>
      <c r="R14" s="372">
        <v>6.5</v>
      </c>
      <c r="S14" s="372">
        <v>6.7</v>
      </c>
      <c r="T14" s="372">
        <v>7.2</v>
      </c>
      <c r="U14" s="372">
        <v>6.6</v>
      </c>
      <c r="V14" s="372">
        <v>6.7</v>
      </c>
      <c r="W14" s="372">
        <v>6.6</v>
      </c>
      <c r="X14" s="372">
        <v>6.6</v>
      </c>
      <c r="Y14" s="372">
        <v>6.6</v>
      </c>
      <c r="Z14" s="372">
        <v>6.7</v>
      </c>
      <c r="AA14" s="372">
        <v>6.7</v>
      </c>
      <c r="AB14" s="372">
        <v>6.5</v>
      </c>
      <c r="AC14" s="372">
        <v>6.3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21</v>
      </c>
    </row>
    <row r="15" spans="1:44">
      <c r="A15" s="66" t="s">
        <v>24</v>
      </c>
      <c r="B15" s="15"/>
      <c r="C15" s="15">
        <v>7.2</v>
      </c>
      <c r="D15" s="15"/>
      <c r="E15" s="15"/>
      <c r="F15" s="372"/>
      <c r="G15" s="372"/>
      <c r="H15" s="374"/>
      <c r="I15" s="372"/>
      <c r="J15" s="372"/>
      <c r="K15" s="374"/>
      <c r="L15" s="374">
        <v>3.4</v>
      </c>
      <c r="M15" s="374">
        <v>6.6</v>
      </c>
      <c r="N15" s="372">
        <v>6.7</v>
      </c>
      <c r="O15" s="372">
        <v>6.7</v>
      </c>
      <c r="P15" s="372">
        <v>6.7</v>
      </c>
      <c r="Q15" s="372">
        <v>6.5</v>
      </c>
      <c r="R15" s="372">
        <v>6.5</v>
      </c>
      <c r="S15" s="372">
        <v>6.7</v>
      </c>
      <c r="T15" s="372">
        <v>7.2</v>
      </c>
      <c r="U15" s="372">
        <v>6.6</v>
      </c>
      <c r="V15" s="372">
        <v>6.7</v>
      </c>
      <c r="W15" s="372">
        <v>6.6</v>
      </c>
      <c r="X15" s="372">
        <v>6.6</v>
      </c>
      <c r="Y15" s="372">
        <v>6.6</v>
      </c>
      <c r="Z15" s="372" t="s">
        <v>9</v>
      </c>
      <c r="AA15" s="372" t="s">
        <v>9</v>
      </c>
      <c r="AB15" s="372" t="s">
        <v>9</v>
      </c>
      <c r="AC15" s="372" t="s">
        <v>9</v>
      </c>
      <c r="AD15" s="41"/>
      <c r="AE15" s="41"/>
      <c r="AF15" s="11">
        <f>COUNTIF(F15:AC15,$AJ$8)</f>
        <v>4</v>
      </c>
      <c r="AG15" s="11">
        <f>COUNTIF(G15:AD15,$AJ$7)</f>
        <v>0</v>
      </c>
      <c r="AH15" s="11">
        <f>COUNT(F15:AC15)</f>
        <v>14</v>
      </c>
    </row>
    <row r="16" spans="1:44">
      <c r="A16" s="14" t="s">
        <v>25</v>
      </c>
      <c r="B16" s="15"/>
      <c r="C16" s="15">
        <v>7.2</v>
      </c>
      <c r="D16" s="15"/>
      <c r="E16" s="15"/>
      <c r="F16" s="372">
        <v>6.8</v>
      </c>
      <c r="G16" s="372">
        <v>6.7</v>
      </c>
      <c r="H16" s="374">
        <v>6.7</v>
      </c>
      <c r="I16" s="372">
        <v>6.6</v>
      </c>
      <c r="J16" s="372">
        <v>6.6</v>
      </c>
      <c r="K16" s="374">
        <v>6.7</v>
      </c>
      <c r="L16" s="374">
        <v>6.7</v>
      </c>
      <c r="M16" s="374">
        <v>6.6</v>
      </c>
      <c r="N16" s="372">
        <v>6.7</v>
      </c>
      <c r="O16" s="372">
        <v>6.7</v>
      </c>
      <c r="P16" s="372">
        <v>6.7</v>
      </c>
      <c r="Q16" s="372">
        <v>6.5</v>
      </c>
      <c r="R16" s="372">
        <v>6.5</v>
      </c>
      <c r="S16" s="372">
        <v>6.7</v>
      </c>
      <c r="T16" s="372">
        <v>7.2</v>
      </c>
      <c r="U16" s="372">
        <v>6.6</v>
      </c>
      <c r="V16" s="372">
        <v>6.7</v>
      </c>
      <c r="W16" s="372">
        <v>6.6</v>
      </c>
      <c r="X16" s="372">
        <v>6.6</v>
      </c>
      <c r="Y16" s="372">
        <v>6.6</v>
      </c>
      <c r="Z16" s="372">
        <v>6.7</v>
      </c>
      <c r="AA16" s="372">
        <v>6.7</v>
      </c>
      <c r="AB16" s="372">
        <v>6.5</v>
      </c>
      <c r="AC16" s="372">
        <v>6.7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19.899999999999999</v>
      </c>
      <c r="G17" s="19">
        <f t="shared" ref="G17:AC17" si="1">SUM(G13:G16)</f>
        <v>20</v>
      </c>
      <c r="H17" s="19">
        <f t="shared" si="1"/>
        <v>19.899999999999999</v>
      </c>
      <c r="I17" s="19">
        <f t="shared" si="1"/>
        <v>19.7</v>
      </c>
      <c r="J17" s="19">
        <f t="shared" si="1"/>
        <v>19.5</v>
      </c>
      <c r="K17" s="19">
        <f t="shared" si="1"/>
        <v>20.100000000000001</v>
      </c>
      <c r="L17" s="19">
        <f t="shared" si="1"/>
        <v>20.2</v>
      </c>
      <c r="M17" s="19">
        <f t="shared" si="1"/>
        <v>19.7</v>
      </c>
      <c r="N17" s="19">
        <f t="shared" si="1"/>
        <v>20.100000000000001</v>
      </c>
      <c r="O17" s="19">
        <f t="shared" si="1"/>
        <v>20.100000000000001</v>
      </c>
      <c r="P17" s="19">
        <f t="shared" si="1"/>
        <v>23.3</v>
      </c>
      <c r="Q17" s="19">
        <f t="shared" si="1"/>
        <v>26</v>
      </c>
      <c r="R17" s="19">
        <f t="shared" si="1"/>
        <v>26</v>
      </c>
      <c r="S17" s="19">
        <f t="shared" si="1"/>
        <v>26.8</v>
      </c>
      <c r="T17" s="19">
        <f t="shared" si="1"/>
        <v>28.8</v>
      </c>
      <c r="U17" s="19">
        <f t="shared" si="1"/>
        <v>26.4</v>
      </c>
      <c r="V17" s="19">
        <f t="shared" si="1"/>
        <v>26.8</v>
      </c>
      <c r="W17" s="19">
        <f t="shared" si="1"/>
        <v>26.4</v>
      </c>
      <c r="X17" s="19">
        <f t="shared" si="1"/>
        <v>26.4</v>
      </c>
      <c r="Y17" s="19">
        <f t="shared" si="1"/>
        <v>26.4</v>
      </c>
      <c r="Z17" s="19">
        <f t="shared" si="1"/>
        <v>20.100000000000001</v>
      </c>
      <c r="AA17" s="19">
        <f t="shared" si="1"/>
        <v>20.100000000000001</v>
      </c>
      <c r="AB17" s="19">
        <f t="shared" si="1"/>
        <v>19.5</v>
      </c>
      <c r="AC17" s="19">
        <f t="shared" si="1"/>
        <v>19.3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81.799999999999969</v>
      </c>
    </row>
    <row r="19" spans="1:51">
      <c r="A19" s="14" t="s">
        <v>22</v>
      </c>
      <c r="B19" s="15"/>
      <c r="C19" s="15">
        <v>3</v>
      </c>
      <c r="D19" s="15"/>
      <c r="E19" s="15"/>
      <c r="F19" s="372"/>
      <c r="G19" s="372"/>
      <c r="H19" s="372"/>
      <c r="I19" s="372"/>
      <c r="J19" s="372"/>
      <c r="K19" s="374"/>
      <c r="L19" s="374"/>
      <c r="M19" s="374"/>
      <c r="N19" s="374">
        <v>1.5</v>
      </c>
      <c r="O19" s="372">
        <v>2.8</v>
      </c>
      <c r="P19" s="374">
        <v>2.8</v>
      </c>
      <c r="Q19" s="372">
        <v>2.8</v>
      </c>
      <c r="R19" s="372">
        <v>2.8</v>
      </c>
      <c r="S19" s="372">
        <v>2.8</v>
      </c>
      <c r="T19" s="372" t="s">
        <v>9</v>
      </c>
      <c r="U19" s="372" t="s">
        <v>9</v>
      </c>
      <c r="V19" s="372" t="s">
        <v>9</v>
      </c>
      <c r="W19" s="372" t="s">
        <v>9</v>
      </c>
      <c r="X19" s="372" t="s">
        <v>9</v>
      </c>
      <c r="Y19" s="372" t="s">
        <v>9</v>
      </c>
      <c r="Z19" s="372" t="s">
        <v>9</v>
      </c>
      <c r="AA19" s="372" t="s">
        <v>9</v>
      </c>
      <c r="AB19" s="372" t="s">
        <v>9</v>
      </c>
      <c r="AC19" s="372" t="s">
        <v>9</v>
      </c>
      <c r="AD19" s="41"/>
      <c r="AE19" s="41"/>
      <c r="AF19" s="11">
        <f>COUNTIF(F19:AC19,$AJ$8)</f>
        <v>10</v>
      </c>
      <c r="AG19" s="11">
        <f>COUNTIF(G19:AD19,$AJ$7)</f>
        <v>0</v>
      </c>
      <c r="AH19" s="11">
        <f>COUNT(F19:AC19)</f>
        <v>6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372"/>
      <c r="G20" s="372"/>
      <c r="H20" s="372"/>
      <c r="I20" s="372"/>
      <c r="J20" s="372"/>
      <c r="K20" s="374"/>
      <c r="L20" s="374"/>
      <c r="M20" s="374"/>
      <c r="N20" s="372"/>
      <c r="O20" s="372"/>
      <c r="P20" s="372"/>
      <c r="Q20" s="372"/>
      <c r="R20" s="372"/>
      <c r="S20" s="372"/>
      <c r="T20" s="372"/>
      <c r="U20" s="372"/>
      <c r="V20" s="372"/>
      <c r="W20" s="372"/>
      <c r="X20" s="372"/>
      <c r="Y20" s="372"/>
      <c r="Z20" s="372"/>
      <c r="AA20" s="372"/>
      <c r="AB20" s="372"/>
      <c r="AC20" s="372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2">
        <v>3.3</v>
      </c>
      <c r="G21" s="372"/>
      <c r="H21" s="372"/>
      <c r="I21" s="372"/>
      <c r="J21" s="372"/>
      <c r="K21" s="374"/>
      <c r="L21" s="374"/>
      <c r="M21" s="374">
        <v>2</v>
      </c>
      <c r="N21" s="372">
        <v>3.8</v>
      </c>
      <c r="O21" s="372">
        <v>3.8</v>
      </c>
      <c r="P21" s="372">
        <v>3.8</v>
      </c>
      <c r="Q21" s="372">
        <v>3.8</v>
      </c>
      <c r="R21" s="372">
        <v>3.8</v>
      </c>
      <c r="S21" s="372">
        <v>3.8</v>
      </c>
      <c r="T21" s="372">
        <v>4</v>
      </c>
      <c r="U21" s="372">
        <v>3.8</v>
      </c>
      <c r="V21" s="372">
        <v>3.8</v>
      </c>
      <c r="W21" s="372">
        <v>3.8</v>
      </c>
      <c r="X21" s="372">
        <v>3.8</v>
      </c>
      <c r="Y21" s="372">
        <v>3.8</v>
      </c>
      <c r="Z21" s="372">
        <v>3.8</v>
      </c>
      <c r="AA21" s="372">
        <v>3.8</v>
      </c>
      <c r="AB21" s="372">
        <v>3.8</v>
      </c>
      <c r="AC21" s="372">
        <v>3.8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18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3.3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2</v>
      </c>
      <c r="N22" s="19">
        <f t="shared" si="3"/>
        <v>5.3</v>
      </c>
      <c r="O22" s="19">
        <f t="shared" si="3"/>
        <v>6.6</v>
      </c>
      <c r="P22" s="19">
        <f t="shared" si="3"/>
        <v>6.6</v>
      </c>
      <c r="Q22" s="19">
        <f t="shared" si="3"/>
        <v>6.6</v>
      </c>
      <c r="R22" s="19">
        <f t="shared" si="3"/>
        <v>6.6</v>
      </c>
      <c r="S22" s="19">
        <f>SUM(S19:S21)</f>
        <v>6.6</v>
      </c>
      <c r="T22" s="19">
        <f t="shared" ref="T22" si="4">SUM(T19:T21)</f>
        <v>4</v>
      </c>
      <c r="U22" s="19">
        <f t="shared" si="3"/>
        <v>3.8</v>
      </c>
      <c r="V22" s="19">
        <f t="shared" si="3"/>
        <v>3.8</v>
      </c>
      <c r="W22" s="19">
        <f t="shared" si="3"/>
        <v>3.8</v>
      </c>
      <c r="X22" s="19">
        <f t="shared" si="3"/>
        <v>3.8</v>
      </c>
      <c r="Y22" s="19">
        <f t="shared" si="3"/>
        <v>3.8</v>
      </c>
      <c r="Z22" s="19">
        <f t="shared" si="3"/>
        <v>3.8</v>
      </c>
      <c r="AA22" s="19">
        <f t="shared" si="3"/>
        <v>3.8</v>
      </c>
      <c r="AB22" s="19">
        <f>SUM(AB19:AB21)</f>
        <v>3.8</v>
      </c>
      <c r="AC22" s="19">
        <f t="shared" si="3"/>
        <v>3.8</v>
      </c>
      <c r="AD22" s="41"/>
      <c r="AE22" s="41"/>
      <c r="AF22" s="11"/>
      <c r="AG22" s="11"/>
      <c r="AH22" s="11"/>
      <c r="AI22" s="400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409">
        <f>SUM(F24:AC24)</f>
        <v>55.399999999999984</v>
      </c>
    </row>
    <row r="24" spans="1:51">
      <c r="A24" s="14" t="s">
        <v>22</v>
      </c>
      <c r="B24" s="20"/>
      <c r="C24" s="15">
        <v>4.5</v>
      </c>
      <c r="D24" s="15"/>
      <c r="E24" s="15"/>
      <c r="F24" s="372"/>
      <c r="G24" s="372"/>
      <c r="H24" s="372"/>
      <c r="I24" s="372"/>
      <c r="J24" s="372"/>
      <c r="K24" s="374"/>
      <c r="L24" s="374"/>
      <c r="M24" s="374"/>
      <c r="N24" s="372"/>
      <c r="O24" s="372">
        <v>3.8</v>
      </c>
      <c r="P24" s="372">
        <v>3.8</v>
      </c>
      <c r="Q24" s="374">
        <v>3</v>
      </c>
      <c r="R24" s="372">
        <v>3.8</v>
      </c>
      <c r="S24" s="372">
        <v>3.8</v>
      </c>
      <c r="T24" s="372">
        <v>3.8</v>
      </c>
      <c r="U24" s="372">
        <v>3.8</v>
      </c>
      <c r="V24" s="372">
        <v>3.8</v>
      </c>
      <c r="W24" s="372">
        <v>3.8</v>
      </c>
      <c r="X24" s="372">
        <v>3.8</v>
      </c>
      <c r="Y24" s="372">
        <v>3.8</v>
      </c>
      <c r="Z24" s="372">
        <v>3.8</v>
      </c>
      <c r="AA24" s="372">
        <v>3.8</v>
      </c>
      <c r="AB24" s="372">
        <v>3.8</v>
      </c>
      <c r="AC24" s="372">
        <v>3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15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3.8</v>
      </c>
      <c r="P25" s="19">
        <f t="shared" si="6"/>
        <v>3.8</v>
      </c>
      <c r="Q25" s="19">
        <f t="shared" si="6"/>
        <v>3</v>
      </c>
      <c r="R25" s="19">
        <f t="shared" si="6"/>
        <v>3.8</v>
      </c>
      <c r="S25" s="19">
        <f t="shared" si="6"/>
        <v>3.8</v>
      </c>
      <c r="T25" s="19">
        <f t="shared" si="6"/>
        <v>3.8</v>
      </c>
      <c r="U25" s="19">
        <f t="shared" si="6"/>
        <v>3.8</v>
      </c>
      <c r="V25" s="19">
        <f t="shared" si="6"/>
        <v>3.8</v>
      </c>
      <c r="W25" s="19">
        <f t="shared" si="6"/>
        <v>3.8</v>
      </c>
      <c r="X25" s="19">
        <f t="shared" si="6"/>
        <v>3.8</v>
      </c>
      <c r="Y25" s="19">
        <f t="shared" si="6"/>
        <v>3.8</v>
      </c>
      <c r="Z25" s="19">
        <f t="shared" si="6"/>
        <v>3.8</v>
      </c>
      <c r="AA25" s="19">
        <f t="shared" si="6"/>
        <v>3.8</v>
      </c>
      <c r="AB25" s="19">
        <f t="shared" si="6"/>
        <v>3.8</v>
      </c>
      <c r="AC25" s="19">
        <f t="shared" si="6"/>
        <v>3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93.2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2" t="s">
        <v>9</v>
      </c>
      <c r="G27" s="372" t="s">
        <v>9</v>
      </c>
      <c r="H27" s="372" t="s">
        <v>9</v>
      </c>
      <c r="I27" s="372" t="s">
        <v>9</v>
      </c>
      <c r="J27" s="374" t="s">
        <v>9</v>
      </c>
      <c r="K27" s="374" t="s">
        <v>9</v>
      </c>
      <c r="L27" s="374" t="s">
        <v>9</v>
      </c>
      <c r="M27" s="374" t="s">
        <v>9</v>
      </c>
      <c r="N27" s="372" t="s">
        <v>9</v>
      </c>
      <c r="O27" s="372" t="s">
        <v>9</v>
      </c>
      <c r="P27" s="372" t="s">
        <v>9</v>
      </c>
      <c r="Q27" s="372" t="s">
        <v>9</v>
      </c>
      <c r="R27" s="372" t="s">
        <v>9</v>
      </c>
      <c r="S27" s="372" t="s">
        <v>9</v>
      </c>
      <c r="T27" s="372" t="s">
        <v>9</v>
      </c>
      <c r="U27" s="374" t="s">
        <v>9</v>
      </c>
      <c r="V27" s="372" t="s">
        <v>9</v>
      </c>
      <c r="W27" s="372" t="s">
        <v>9</v>
      </c>
      <c r="X27" s="372" t="s">
        <v>9</v>
      </c>
      <c r="Y27" s="372" t="s">
        <v>9</v>
      </c>
      <c r="Z27" s="372" t="s">
        <v>9</v>
      </c>
      <c r="AA27" s="372" t="s">
        <v>9</v>
      </c>
      <c r="AB27" s="372" t="s">
        <v>9</v>
      </c>
      <c r="AC27" s="372" t="s">
        <v>9</v>
      </c>
      <c r="AD27" s="41"/>
      <c r="AE27" s="41"/>
      <c r="AF27" s="11">
        <f>COUNTIF(F27:AC27,$AJ$8)</f>
        <v>24</v>
      </c>
      <c r="AG27" s="11">
        <f>COUNTIF(G27:AD27,$AJ$7)</f>
        <v>0</v>
      </c>
      <c r="AH27" s="11">
        <f>COUNT(F27:AC27)</f>
        <v>0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2">
        <v>4</v>
      </c>
      <c r="G28" s="372">
        <v>3.8</v>
      </c>
      <c r="H28" s="372">
        <v>3</v>
      </c>
      <c r="I28" s="372">
        <v>3</v>
      </c>
      <c r="J28" s="372">
        <v>3</v>
      </c>
      <c r="K28" s="374">
        <v>4</v>
      </c>
      <c r="L28" s="374">
        <v>4.2</v>
      </c>
      <c r="M28" s="374">
        <v>3</v>
      </c>
      <c r="N28" s="372">
        <v>3.8</v>
      </c>
      <c r="O28" s="372">
        <v>3.8</v>
      </c>
      <c r="P28" s="372">
        <v>4</v>
      </c>
      <c r="Q28" s="372">
        <v>4</v>
      </c>
      <c r="R28" s="372">
        <v>3.8</v>
      </c>
      <c r="S28" s="372">
        <v>4</v>
      </c>
      <c r="T28" s="372">
        <v>4.9000000000000004</v>
      </c>
      <c r="U28" s="374">
        <v>4</v>
      </c>
      <c r="V28" s="372">
        <v>4.3</v>
      </c>
      <c r="W28" s="372">
        <v>4.2</v>
      </c>
      <c r="X28" s="372">
        <v>4.2</v>
      </c>
      <c r="Y28" s="372">
        <v>4.5</v>
      </c>
      <c r="Z28" s="372">
        <v>4.5</v>
      </c>
      <c r="AA28" s="372">
        <v>4.2</v>
      </c>
      <c r="AB28" s="372">
        <v>4</v>
      </c>
      <c r="AC28" s="372">
        <v>3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94.600000000000009</v>
      </c>
    </row>
    <row r="29" spans="1:51" ht="15" customHeight="1">
      <c r="A29" s="14" t="s">
        <v>30</v>
      </c>
      <c r="B29" s="369"/>
      <c r="C29" s="370">
        <v>8.8000000000000007</v>
      </c>
      <c r="D29" s="371"/>
      <c r="E29" s="371"/>
      <c r="F29" s="372"/>
      <c r="G29" s="372"/>
      <c r="H29" s="372"/>
      <c r="I29" s="372"/>
      <c r="J29" s="372"/>
      <c r="K29" s="374"/>
      <c r="L29" s="374"/>
      <c r="M29" s="374"/>
      <c r="N29" s="374"/>
      <c r="O29" s="374">
        <v>3</v>
      </c>
      <c r="P29" s="374">
        <v>7</v>
      </c>
      <c r="Q29" s="374">
        <v>6</v>
      </c>
      <c r="R29" s="374">
        <v>6.5</v>
      </c>
      <c r="S29" s="374">
        <v>7</v>
      </c>
      <c r="T29" s="374">
        <v>7.7</v>
      </c>
      <c r="U29" s="374">
        <v>6.7</v>
      </c>
      <c r="V29" s="374">
        <v>7</v>
      </c>
      <c r="W29" s="374">
        <v>7</v>
      </c>
      <c r="X29" s="372">
        <v>6</v>
      </c>
      <c r="Y29" s="372">
        <v>6.2</v>
      </c>
      <c r="Z29" s="374">
        <v>5.5</v>
      </c>
      <c r="AA29" s="372">
        <v>7</v>
      </c>
      <c r="AB29" s="372">
        <v>6</v>
      </c>
      <c r="AC29" s="372">
        <v>6</v>
      </c>
    </row>
    <row r="30" spans="1:51" ht="15" customHeight="1">
      <c r="A30" s="14" t="s">
        <v>31</v>
      </c>
      <c r="B30" s="369"/>
      <c r="C30" s="370">
        <v>8.8000000000000007</v>
      </c>
      <c r="D30" s="371"/>
      <c r="E30" s="371"/>
      <c r="F30" s="372"/>
      <c r="G30" s="372"/>
      <c r="H30" s="372"/>
      <c r="I30" s="372"/>
      <c r="J30" s="372"/>
      <c r="K30" s="374"/>
      <c r="L30" s="374"/>
      <c r="M30" s="374"/>
      <c r="N30" s="372"/>
      <c r="O30" s="372"/>
      <c r="P30" s="372"/>
      <c r="Q30" s="372"/>
      <c r="R30" s="372"/>
      <c r="S30" s="372"/>
      <c r="T30" s="372"/>
      <c r="U30" s="372"/>
      <c r="V30" s="372"/>
      <c r="W30" s="372"/>
      <c r="X30" s="372"/>
      <c r="Y30" s="372"/>
      <c r="Z30" s="372"/>
      <c r="AA30" s="372"/>
      <c r="AB30" s="372"/>
      <c r="AC30" s="372"/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SUM(F27:F29)</f>
        <v>4</v>
      </c>
      <c r="G31" s="19">
        <f t="shared" ref="G31:AC31" si="8">SUM(G27:G29)</f>
        <v>3.8</v>
      </c>
      <c r="H31" s="19">
        <f t="shared" si="8"/>
        <v>3</v>
      </c>
      <c r="I31" s="19">
        <f t="shared" si="8"/>
        <v>3</v>
      </c>
      <c r="J31" s="19">
        <f t="shared" si="8"/>
        <v>3</v>
      </c>
      <c r="K31" s="19">
        <f t="shared" si="8"/>
        <v>4</v>
      </c>
      <c r="L31" s="19">
        <f t="shared" si="8"/>
        <v>4.2</v>
      </c>
      <c r="M31" s="19">
        <f t="shared" si="8"/>
        <v>3</v>
      </c>
      <c r="N31" s="19">
        <f t="shared" si="8"/>
        <v>3.8</v>
      </c>
      <c r="O31" s="19">
        <f t="shared" si="8"/>
        <v>6.8</v>
      </c>
      <c r="P31" s="19">
        <f t="shared" si="8"/>
        <v>11</v>
      </c>
      <c r="Q31" s="19">
        <f t="shared" si="8"/>
        <v>10</v>
      </c>
      <c r="R31" s="19">
        <f t="shared" si="8"/>
        <v>10.3</v>
      </c>
      <c r="S31" s="19">
        <f t="shared" si="8"/>
        <v>11</v>
      </c>
      <c r="T31" s="19">
        <f>SUM(T27:T29)</f>
        <v>12.600000000000001</v>
      </c>
      <c r="U31" s="19">
        <f t="shared" si="8"/>
        <v>10.7</v>
      </c>
      <c r="V31" s="19">
        <f t="shared" si="8"/>
        <v>11.3</v>
      </c>
      <c r="W31" s="19">
        <f t="shared" si="8"/>
        <v>11.2</v>
      </c>
      <c r="X31" s="19">
        <f t="shared" si="8"/>
        <v>10.199999999999999</v>
      </c>
      <c r="Y31" s="19">
        <f t="shared" si="8"/>
        <v>10.7</v>
      </c>
      <c r="Z31" s="19">
        <f t="shared" si="8"/>
        <v>10</v>
      </c>
      <c r="AA31" s="19">
        <f t="shared" si="8"/>
        <v>11.2</v>
      </c>
      <c r="AB31" s="19">
        <f t="shared" si="8"/>
        <v>10</v>
      </c>
      <c r="AC31" s="19">
        <f t="shared" si="8"/>
        <v>9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336.22999999999996</v>
      </c>
    </row>
    <row r="33" spans="1:36">
      <c r="A33" s="14" t="s">
        <v>22</v>
      </c>
      <c r="B33" s="15"/>
      <c r="C33" s="15">
        <v>15</v>
      </c>
      <c r="D33" s="15"/>
      <c r="E33" s="15"/>
      <c r="F33" s="372">
        <v>13.25</v>
      </c>
      <c r="G33" s="372">
        <v>14.27</v>
      </c>
      <c r="H33" s="374">
        <v>13.28</v>
      </c>
      <c r="I33" s="372">
        <v>12.81</v>
      </c>
      <c r="J33" s="372">
        <v>12.8</v>
      </c>
      <c r="K33" s="374">
        <v>14.28</v>
      </c>
      <c r="L33" s="374">
        <v>14.27</v>
      </c>
      <c r="M33" s="374">
        <v>14.28</v>
      </c>
      <c r="N33" s="372">
        <v>14.3</v>
      </c>
      <c r="O33" s="372">
        <v>14.3</v>
      </c>
      <c r="P33" s="372">
        <v>14.28</v>
      </c>
      <c r="Q33" s="372">
        <v>14.26</v>
      </c>
      <c r="R33" s="372">
        <v>14.27</v>
      </c>
      <c r="S33" s="372">
        <v>14.29</v>
      </c>
      <c r="T33" s="372">
        <v>14.3</v>
      </c>
      <c r="U33" s="372">
        <v>14.27</v>
      </c>
      <c r="V33" s="372">
        <v>14.27</v>
      </c>
      <c r="W33" s="374">
        <v>14.29</v>
      </c>
      <c r="X33" s="372">
        <v>14.3</v>
      </c>
      <c r="Y33" s="372">
        <v>14.26</v>
      </c>
      <c r="Z33" s="372">
        <v>14.26</v>
      </c>
      <c r="AA33" s="372">
        <v>14.25</v>
      </c>
      <c r="AB33" s="372">
        <v>14.28</v>
      </c>
      <c r="AC33" s="372">
        <v>12.81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9">SUM(F33)</f>
        <v>13.25</v>
      </c>
      <c r="G34" s="19">
        <f t="shared" ref="G34:AC34" si="10">SUM(G33)</f>
        <v>14.27</v>
      </c>
      <c r="H34" s="19">
        <f t="shared" si="10"/>
        <v>13.28</v>
      </c>
      <c r="I34" s="19">
        <f t="shared" si="10"/>
        <v>12.81</v>
      </c>
      <c r="J34" s="19">
        <f t="shared" si="10"/>
        <v>12.8</v>
      </c>
      <c r="K34" s="19">
        <f t="shared" si="10"/>
        <v>14.28</v>
      </c>
      <c r="L34" s="19">
        <f t="shared" si="10"/>
        <v>14.27</v>
      </c>
      <c r="M34" s="19">
        <f t="shared" si="10"/>
        <v>14.28</v>
      </c>
      <c r="N34" s="19">
        <f t="shared" si="10"/>
        <v>14.3</v>
      </c>
      <c r="O34" s="19">
        <f t="shared" si="10"/>
        <v>14.3</v>
      </c>
      <c r="P34" s="19">
        <f t="shared" si="10"/>
        <v>14.28</v>
      </c>
      <c r="Q34" s="19">
        <f t="shared" si="10"/>
        <v>14.26</v>
      </c>
      <c r="R34" s="19">
        <f t="shared" si="10"/>
        <v>14.27</v>
      </c>
      <c r="S34" s="19">
        <f t="shared" si="10"/>
        <v>14.29</v>
      </c>
      <c r="T34" s="19">
        <f t="shared" si="10"/>
        <v>14.3</v>
      </c>
      <c r="U34" s="19">
        <f t="shared" si="10"/>
        <v>14.27</v>
      </c>
      <c r="V34" s="19">
        <f t="shared" si="10"/>
        <v>14.27</v>
      </c>
      <c r="W34" s="19">
        <f t="shared" si="10"/>
        <v>14.29</v>
      </c>
      <c r="X34" s="19">
        <f t="shared" si="10"/>
        <v>14.3</v>
      </c>
      <c r="Y34" s="19">
        <f t="shared" si="10"/>
        <v>14.26</v>
      </c>
      <c r="Z34" s="19">
        <f t="shared" si="10"/>
        <v>14.26</v>
      </c>
      <c r="AA34" s="19">
        <f t="shared" si="10"/>
        <v>14.25</v>
      </c>
      <c r="AB34" s="19">
        <f t="shared" si="10"/>
        <v>14.28</v>
      </c>
      <c r="AC34" s="19">
        <f t="shared" si="10"/>
        <v>12.81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55"/>
      <c r="G35" s="455"/>
      <c r="H35" s="455"/>
      <c r="I35" s="455"/>
      <c r="J35" s="455"/>
      <c r="K35" s="455"/>
      <c r="L35" s="455"/>
      <c r="M35" s="455"/>
      <c r="N35" s="455"/>
      <c r="O35" s="455"/>
      <c r="P35" s="455"/>
      <c r="Q35" s="455"/>
      <c r="R35" s="455"/>
      <c r="S35" s="455"/>
      <c r="T35" s="455"/>
      <c r="U35" s="455"/>
      <c r="V35" s="455"/>
      <c r="W35" s="456"/>
      <c r="X35" s="455"/>
      <c r="Y35" s="455"/>
      <c r="Z35" s="455"/>
      <c r="AA35" s="455"/>
      <c r="AB35" s="455"/>
      <c r="AC35" s="455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35</v>
      </c>
    </row>
    <row r="36" spans="1:36" hidden="1">
      <c r="A36" s="70" t="s">
        <v>36</v>
      </c>
      <c r="B36" s="15"/>
      <c r="C36" s="15"/>
      <c r="D36" s="15"/>
      <c r="E36" s="15"/>
      <c r="F36" s="372"/>
      <c r="G36" s="372"/>
      <c r="H36" s="372"/>
      <c r="I36" s="372"/>
      <c r="J36" s="372"/>
      <c r="K36" s="374"/>
      <c r="L36" s="374"/>
      <c r="M36" s="374"/>
      <c r="N36" s="372"/>
      <c r="O36" s="372"/>
      <c r="P36" s="372"/>
      <c r="Q36" s="372"/>
      <c r="R36" s="372"/>
      <c r="S36" s="372"/>
      <c r="T36" s="372"/>
      <c r="U36" s="372"/>
      <c r="V36" s="372"/>
      <c r="W36" s="372"/>
      <c r="X36" s="372"/>
      <c r="Y36" s="372"/>
      <c r="Z36" s="372"/>
      <c r="AA36" s="372"/>
      <c r="AB36" s="372"/>
      <c r="AC36" s="372"/>
      <c r="AD36" s="41"/>
      <c r="AE36" s="41"/>
      <c r="AF36" s="11">
        <f t="shared" ref="AF36:AF59" si="11">COUNTIF(F36:AC36,$AJ$8)</f>
        <v>0</v>
      </c>
      <c r="AG36" s="11">
        <f t="shared" ref="AG36:AG59" si="12">COUNTIF(G36:AD36,$AJ$7)</f>
        <v>0</v>
      </c>
      <c r="AH36" s="11">
        <f t="shared" ref="AH36:AH59" si="13">COUNT(F36:AC36)</f>
        <v>0</v>
      </c>
      <c r="AI36" s="159">
        <f>SUM(F36:AC38,F40:AC40,F45:AC59)</f>
        <v>23.289999999999992</v>
      </c>
      <c r="AJ36" t="s">
        <v>37</v>
      </c>
    </row>
    <row r="37" spans="1:36" hidden="1">
      <c r="A37" s="70" t="s">
        <v>38</v>
      </c>
      <c r="B37" s="15"/>
      <c r="C37" s="15"/>
      <c r="D37" s="15"/>
      <c r="E37" s="15"/>
      <c r="F37" s="372"/>
      <c r="G37" s="372"/>
      <c r="H37" s="372"/>
      <c r="I37" s="372"/>
      <c r="J37" s="372"/>
      <c r="K37" s="374"/>
      <c r="L37" s="374"/>
      <c r="M37" s="374"/>
      <c r="N37" s="372"/>
      <c r="O37" s="372"/>
      <c r="P37" s="372"/>
      <c r="Q37" s="372"/>
      <c r="R37" s="372"/>
      <c r="S37" s="372"/>
      <c r="T37" s="372"/>
      <c r="U37" s="372"/>
      <c r="V37" s="372"/>
      <c r="W37" s="372"/>
      <c r="X37" s="372"/>
      <c r="Y37" s="372"/>
      <c r="Z37" s="372"/>
      <c r="AA37" s="372"/>
      <c r="AB37" s="372"/>
      <c r="AC37" s="372"/>
      <c r="AD37" s="41"/>
      <c r="AE37" s="41"/>
      <c r="AF37" s="11">
        <f t="shared" si="11"/>
        <v>0</v>
      </c>
      <c r="AG37" s="11">
        <f t="shared" si="12"/>
        <v>0</v>
      </c>
      <c r="AH37" s="11">
        <f t="shared" si="13"/>
        <v>0</v>
      </c>
    </row>
    <row r="38" spans="1:36" hidden="1">
      <c r="A38" s="70" t="s">
        <v>39</v>
      </c>
      <c r="B38" s="15"/>
      <c r="C38" s="15"/>
      <c r="D38" s="15"/>
      <c r="E38" s="15"/>
      <c r="F38" s="372"/>
      <c r="G38" s="372"/>
      <c r="H38" s="372"/>
      <c r="I38" s="372"/>
      <c r="J38" s="372"/>
      <c r="K38" s="374"/>
      <c r="L38" s="374"/>
      <c r="M38" s="374"/>
      <c r="N38" s="372"/>
      <c r="O38" s="372"/>
      <c r="P38" s="372"/>
      <c r="Q38" s="372"/>
      <c r="R38" s="372"/>
      <c r="S38" s="372"/>
      <c r="T38" s="372"/>
      <c r="U38" s="372"/>
      <c r="V38" s="372"/>
      <c r="W38" s="372"/>
      <c r="X38" s="372"/>
      <c r="Y38" s="372"/>
      <c r="Z38" s="372"/>
      <c r="AA38" s="372"/>
      <c r="AB38" s="372"/>
      <c r="AC38" s="372"/>
      <c r="AD38" s="41"/>
      <c r="AE38" s="41"/>
      <c r="AF38" s="11">
        <f t="shared" si="11"/>
        <v>0</v>
      </c>
      <c r="AG38" s="11">
        <f t="shared" si="12"/>
        <v>0</v>
      </c>
      <c r="AH38" s="11">
        <f t="shared" si="13"/>
        <v>0</v>
      </c>
    </row>
    <row r="39" spans="1:36" hidden="1">
      <c r="A39" s="70">
        <v>34</v>
      </c>
      <c r="B39" s="15"/>
      <c r="C39" s="15"/>
      <c r="D39" s="15"/>
      <c r="E39" s="15"/>
      <c r="F39" s="372"/>
      <c r="G39" s="372"/>
      <c r="H39" s="372"/>
      <c r="I39" s="372"/>
      <c r="J39" s="372"/>
      <c r="K39" s="374"/>
      <c r="L39" s="374"/>
      <c r="M39" s="374"/>
      <c r="N39" s="372"/>
      <c r="O39" s="372"/>
      <c r="P39" s="372"/>
      <c r="Q39" s="372"/>
      <c r="R39" s="372"/>
      <c r="S39" s="372"/>
      <c r="T39" s="372"/>
      <c r="U39" s="372"/>
      <c r="V39" s="372"/>
      <c r="W39" s="372"/>
      <c r="X39" s="372"/>
      <c r="Y39" s="372"/>
      <c r="Z39" s="372"/>
      <c r="AA39" s="372"/>
      <c r="AB39" s="372"/>
      <c r="AC39" s="372"/>
      <c r="AD39" s="41"/>
      <c r="AE39" s="41"/>
      <c r="AF39" s="11">
        <f t="shared" si="11"/>
        <v>0</v>
      </c>
      <c r="AG39" s="11">
        <f t="shared" si="12"/>
        <v>0</v>
      </c>
      <c r="AH39" s="11">
        <f t="shared" si="13"/>
        <v>0</v>
      </c>
    </row>
    <row r="40" spans="1:36" hidden="1">
      <c r="A40" s="70">
        <v>35</v>
      </c>
      <c r="B40" s="15"/>
      <c r="C40" s="15">
        <v>0.85</v>
      </c>
      <c r="D40" s="15"/>
      <c r="E40" s="15"/>
      <c r="F40" s="372"/>
      <c r="G40" s="372"/>
      <c r="H40" s="372"/>
      <c r="I40" s="372"/>
      <c r="J40" s="372"/>
      <c r="K40" s="374"/>
      <c r="L40" s="374"/>
      <c r="M40" s="374"/>
      <c r="N40" s="372"/>
      <c r="O40" s="372"/>
      <c r="P40" s="372"/>
      <c r="Q40" s="372"/>
      <c r="R40" s="372"/>
      <c r="S40" s="372"/>
      <c r="T40" s="372"/>
      <c r="U40" s="372"/>
      <c r="V40" s="372"/>
      <c r="W40" s="372"/>
      <c r="X40" s="372"/>
      <c r="Y40" s="372"/>
      <c r="Z40" s="372"/>
      <c r="AA40" s="372"/>
      <c r="AB40" s="372"/>
      <c r="AC40" s="372"/>
      <c r="AD40" s="41"/>
      <c r="AE40" s="41"/>
      <c r="AF40" s="11">
        <f t="shared" si="11"/>
        <v>0</v>
      </c>
      <c r="AG40" s="11">
        <f t="shared" si="12"/>
        <v>0</v>
      </c>
      <c r="AH40" s="11">
        <f t="shared" si="13"/>
        <v>0</v>
      </c>
    </row>
    <row r="41" spans="1:36" hidden="1">
      <c r="A41" s="70">
        <v>36</v>
      </c>
      <c r="B41" s="15"/>
      <c r="C41" s="15">
        <v>1</v>
      </c>
      <c r="D41" s="15"/>
      <c r="E41" s="15"/>
      <c r="F41" s="372"/>
      <c r="G41" s="372"/>
      <c r="H41" s="372"/>
      <c r="I41" s="372"/>
      <c r="J41" s="372"/>
      <c r="K41" s="374"/>
      <c r="L41" s="374"/>
      <c r="M41" s="374"/>
      <c r="N41" s="372"/>
      <c r="O41" s="372"/>
      <c r="P41" s="372"/>
      <c r="Q41" s="372"/>
      <c r="R41" s="372"/>
      <c r="S41" s="372"/>
      <c r="T41" s="372"/>
      <c r="U41" s="372"/>
      <c r="V41" s="372"/>
      <c r="W41" s="372"/>
      <c r="X41" s="372"/>
      <c r="Y41" s="372"/>
      <c r="Z41" s="372"/>
      <c r="AA41" s="372"/>
      <c r="AB41" s="372"/>
      <c r="AC41" s="372"/>
      <c r="AD41" s="41"/>
      <c r="AE41" s="41"/>
      <c r="AF41" s="11">
        <f t="shared" si="11"/>
        <v>0</v>
      </c>
      <c r="AG41" s="11">
        <f t="shared" si="12"/>
        <v>0</v>
      </c>
      <c r="AH41" s="11">
        <f t="shared" si="13"/>
        <v>0</v>
      </c>
    </row>
    <row r="42" spans="1:36" hidden="1">
      <c r="A42" s="70">
        <v>37</v>
      </c>
      <c r="B42" s="15"/>
      <c r="C42" s="15">
        <v>1</v>
      </c>
      <c r="D42" s="15"/>
      <c r="E42" s="15"/>
      <c r="F42" s="372"/>
      <c r="G42" s="372"/>
      <c r="H42" s="372"/>
      <c r="I42" s="372"/>
      <c r="J42" s="372"/>
      <c r="K42" s="374"/>
      <c r="L42" s="374"/>
      <c r="M42" s="374"/>
      <c r="N42" s="372"/>
      <c r="O42" s="372"/>
      <c r="P42" s="372"/>
      <c r="Q42" s="372"/>
      <c r="R42" s="372"/>
      <c r="S42" s="372"/>
      <c r="T42" s="372"/>
      <c r="U42" s="372"/>
      <c r="V42" s="372"/>
      <c r="W42" s="372"/>
      <c r="X42" s="372"/>
      <c r="Y42" s="372"/>
      <c r="Z42" s="372"/>
      <c r="AA42" s="372"/>
      <c r="AB42" s="372"/>
      <c r="AC42" s="372"/>
      <c r="AD42" s="41"/>
      <c r="AE42" s="41"/>
      <c r="AF42" s="11">
        <f t="shared" si="11"/>
        <v>0</v>
      </c>
      <c r="AG42" s="11">
        <f t="shared" si="12"/>
        <v>0</v>
      </c>
      <c r="AH42" s="11">
        <f t="shared" si="13"/>
        <v>0</v>
      </c>
    </row>
    <row r="43" spans="1:36" hidden="1">
      <c r="A43" s="70">
        <v>38</v>
      </c>
      <c r="B43" s="15"/>
      <c r="C43" s="15"/>
      <c r="D43" s="15"/>
      <c r="E43" s="15"/>
      <c r="F43" s="372" t="s">
        <v>9</v>
      </c>
      <c r="G43" s="372" t="s">
        <v>9</v>
      </c>
      <c r="H43" s="372" t="s">
        <v>9</v>
      </c>
      <c r="I43" s="372" t="s">
        <v>9</v>
      </c>
      <c r="J43" s="372" t="s">
        <v>9</v>
      </c>
      <c r="K43" s="374" t="s">
        <v>9</v>
      </c>
      <c r="L43" s="374" t="s">
        <v>9</v>
      </c>
      <c r="M43" s="374" t="s">
        <v>9</v>
      </c>
      <c r="N43" s="372" t="s">
        <v>9</v>
      </c>
      <c r="O43" s="372" t="s">
        <v>9</v>
      </c>
      <c r="P43" s="372" t="s">
        <v>9</v>
      </c>
      <c r="Q43" s="372" t="s">
        <v>9</v>
      </c>
      <c r="R43" s="372" t="s">
        <v>9</v>
      </c>
      <c r="S43" s="372" t="s">
        <v>9</v>
      </c>
      <c r="T43" s="372" t="s">
        <v>9</v>
      </c>
      <c r="U43" s="372" t="s">
        <v>9</v>
      </c>
      <c r="V43" s="372" t="s">
        <v>9</v>
      </c>
      <c r="W43" s="372" t="s">
        <v>9</v>
      </c>
      <c r="X43" s="372" t="s">
        <v>9</v>
      </c>
      <c r="Y43" s="372" t="s">
        <v>9</v>
      </c>
      <c r="Z43" s="372" t="s">
        <v>9</v>
      </c>
      <c r="AA43" s="372" t="s">
        <v>9</v>
      </c>
      <c r="AB43" s="372" t="s">
        <v>9</v>
      </c>
      <c r="AC43" s="372" t="s">
        <v>9</v>
      </c>
      <c r="AD43" s="41"/>
      <c r="AE43" s="41"/>
      <c r="AF43" s="11">
        <f t="shared" si="11"/>
        <v>24</v>
      </c>
      <c r="AG43" s="11">
        <f t="shared" si="12"/>
        <v>0</v>
      </c>
      <c r="AH43" s="11">
        <f t="shared" si="13"/>
        <v>0</v>
      </c>
    </row>
    <row r="44" spans="1:36" ht="16.5" hidden="1" customHeight="1">
      <c r="A44" s="70">
        <v>39</v>
      </c>
      <c r="B44" s="15"/>
      <c r="C44" s="15">
        <v>1</v>
      </c>
      <c r="D44" s="15"/>
      <c r="E44" s="15"/>
      <c r="F44" s="372"/>
      <c r="G44" s="372"/>
      <c r="H44" s="372"/>
      <c r="I44" s="372"/>
      <c r="J44" s="372"/>
      <c r="K44" s="372"/>
      <c r="L44" s="374"/>
      <c r="M44" s="374"/>
      <c r="N44" s="372"/>
      <c r="O44" s="372"/>
      <c r="P44" s="372"/>
      <c r="Q44" s="372"/>
      <c r="R44" s="372"/>
      <c r="S44" s="372"/>
      <c r="T44" s="372"/>
      <c r="U44" s="372"/>
      <c r="V44" s="372"/>
      <c r="W44" s="372"/>
      <c r="X44" s="372"/>
      <c r="Y44" s="372"/>
      <c r="Z44" s="372"/>
      <c r="AA44" s="372"/>
      <c r="AB44" s="372"/>
      <c r="AC44" s="372"/>
      <c r="AD44" s="41"/>
      <c r="AE44" s="41"/>
      <c r="AF44" s="11">
        <f t="shared" si="11"/>
        <v>0</v>
      </c>
      <c r="AG44" s="11">
        <f t="shared" si="12"/>
        <v>0</v>
      </c>
      <c r="AH44" s="11">
        <f t="shared" si="13"/>
        <v>0</v>
      </c>
    </row>
    <row r="45" spans="1:36" ht="16.5" hidden="1" customHeight="1">
      <c r="A45" s="70" t="s">
        <v>40</v>
      </c>
      <c r="B45" s="15"/>
      <c r="C45" s="15">
        <v>0.85</v>
      </c>
      <c r="D45" s="15"/>
      <c r="E45" s="15"/>
      <c r="F45" s="372" t="s">
        <v>9</v>
      </c>
      <c r="G45" s="372" t="s">
        <v>9</v>
      </c>
      <c r="H45" s="372" t="s">
        <v>9</v>
      </c>
      <c r="I45" s="372" t="s">
        <v>9</v>
      </c>
      <c r="J45" s="372" t="s">
        <v>9</v>
      </c>
      <c r="K45" s="372" t="s">
        <v>9</v>
      </c>
      <c r="L45" s="372" t="s">
        <v>9</v>
      </c>
      <c r="M45" s="372" t="s">
        <v>9</v>
      </c>
      <c r="N45" s="372" t="s">
        <v>9</v>
      </c>
      <c r="O45" s="372" t="s">
        <v>9</v>
      </c>
      <c r="P45" s="372" t="s">
        <v>9</v>
      </c>
      <c r="Q45" s="372" t="s">
        <v>9</v>
      </c>
      <c r="R45" s="372" t="s">
        <v>9</v>
      </c>
      <c r="S45" s="372" t="s">
        <v>9</v>
      </c>
      <c r="T45" s="372" t="s">
        <v>9</v>
      </c>
      <c r="U45" s="372" t="s">
        <v>9</v>
      </c>
      <c r="V45" s="372" t="s">
        <v>9</v>
      </c>
      <c r="W45" s="372" t="s">
        <v>9</v>
      </c>
      <c r="X45" s="372" t="s">
        <v>9</v>
      </c>
      <c r="Y45" s="372" t="s">
        <v>9</v>
      </c>
      <c r="Z45" s="372" t="s">
        <v>9</v>
      </c>
      <c r="AA45" s="372" t="s">
        <v>9</v>
      </c>
      <c r="AB45" s="372" t="s">
        <v>9</v>
      </c>
      <c r="AC45" s="372" t="s">
        <v>9</v>
      </c>
      <c r="AD45" s="41"/>
      <c r="AE45" s="41"/>
      <c r="AF45" s="11">
        <f t="shared" si="11"/>
        <v>24</v>
      </c>
      <c r="AG45" s="11">
        <f t="shared" si="12"/>
        <v>0</v>
      </c>
      <c r="AH45" s="11">
        <f t="shared" si="13"/>
        <v>0</v>
      </c>
      <c r="AI45" s="159"/>
    </row>
    <row r="46" spans="1:36">
      <c r="A46" s="70" t="s">
        <v>41</v>
      </c>
      <c r="B46" s="15"/>
      <c r="C46" s="15">
        <v>0.75</v>
      </c>
      <c r="D46" s="15"/>
      <c r="E46" s="15"/>
      <c r="F46" s="372"/>
      <c r="G46" s="372"/>
      <c r="H46" s="372"/>
      <c r="I46" s="372"/>
      <c r="J46" s="372"/>
      <c r="K46" s="372"/>
      <c r="L46" s="372"/>
      <c r="M46" s="374"/>
      <c r="N46" s="372"/>
      <c r="O46" s="372">
        <v>0.7</v>
      </c>
      <c r="P46" s="372"/>
      <c r="Q46" s="372"/>
      <c r="R46" s="372"/>
      <c r="S46" s="372"/>
      <c r="T46" s="372"/>
      <c r="U46" s="372">
        <f>5/7</f>
        <v>0.7142857142857143</v>
      </c>
      <c r="V46" s="372">
        <v>0.7</v>
      </c>
      <c r="W46" s="372">
        <v>0</v>
      </c>
      <c r="X46" s="372">
        <v>0</v>
      </c>
      <c r="Y46" s="372">
        <v>0</v>
      </c>
      <c r="Z46" s="372">
        <v>0.75</v>
      </c>
      <c r="AA46" s="372"/>
      <c r="AB46" s="372"/>
      <c r="AC46" s="372"/>
      <c r="AD46" s="41"/>
      <c r="AE46" s="41"/>
      <c r="AF46" s="11">
        <f t="shared" si="11"/>
        <v>0</v>
      </c>
      <c r="AG46" s="11">
        <f t="shared" si="12"/>
        <v>0</v>
      </c>
      <c r="AH46" s="11">
        <f t="shared" si="13"/>
        <v>7</v>
      </c>
      <c r="AI46" s="159"/>
    </row>
    <row r="47" spans="1:36">
      <c r="A47" s="70" t="s">
        <v>42</v>
      </c>
      <c r="B47" s="15"/>
      <c r="C47" s="15">
        <v>0.75</v>
      </c>
      <c r="D47" s="15"/>
      <c r="E47" s="15"/>
      <c r="F47" s="372"/>
      <c r="G47" s="372"/>
      <c r="H47" s="372"/>
      <c r="I47" s="372"/>
      <c r="J47" s="372"/>
      <c r="K47" s="372"/>
      <c r="L47" s="372"/>
      <c r="M47" s="372"/>
      <c r="N47" s="372"/>
      <c r="O47" s="372"/>
      <c r="P47" s="372"/>
      <c r="Q47" s="372"/>
      <c r="R47" s="372"/>
      <c r="S47" s="372"/>
      <c r="T47" s="372"/>
      <c r="U47" s="372">
        <f>5/7</f>
        <v>0.7142857142857143</v>
      </c>
      <c r="V47" s="372">
        <v>0.7</v>
      </c>
      <c r="W47" s="372">
        <v>0</v>
      </c>
      <c r="X47" s="372">
        <v>0</v>
      </c>
      <c r="Y47" s="372">
        <v>0.7</v>
      </c>
      <c r="Z47" s="372">
        <v>0.75</v>
      </c>
      <c r="AA47" s="372"/>
      <c r="AB47" s="372"/>
      <c r="AC47" s="372"/>
      <c r="AD47" s="41"/>
      <c r="AE47" s="41"/>
      <c r="AF47" s="11">
        <f t="shared" si="11"/>
        <v>0</v>
      </c>
      <c r="AG47" s="11">
        <f t="shared" si="12"/>
        <v>0</v>
      </c>
      <c r="AH47" s="11">
        <f t="shared" si="13"/>
        <v>6</v>
      </c>
    </row>
    <row r="48" spans="1:36">
      <c r="A48" s="70" t="s">
        <v>43</v>
      </c>
      <c r="B48" s="15"/>
      <c r="C48" s="15">
        <v>0.75</v>
      </c>
      <c r="D48" s="15"/>
      <c r="E48" s="15"/>
      <c r="F48" s="372"/>
      <c r="G48" s="372"/>
      <c r="H48" s="372"/>
      <c r="I48" s="372"/>
      <c r="J48" s="372"/>
      <c r="K48" s="372"/>
      <c r="L48" s="374"/>
      <c r="M48" s="372"/>
      <c r="N48" s="372">
        <v>0.71499999999999997</v>
      </c>
      <c r="O48" s="372"/>
      <c r="P48" s="372"/>
      <c r="Q48" s="372"/>
      <c r="R48" s="372"/>
      <c r="S48" s="372"/>
      <c r="T48" s="372"/>
      <c r="U48" s="372">
        <f>5/7</f>
        <v>0.7142857142857143</v>
      </c>
      <c r="V48" s="372">
        <v>0</v>
      </c>
      <c r="W48" s="372">
        <v>0</v>
      </c>
      <c r="X48" s="372">
        <v>0</v>
      </c>
      <c r="Y48" s="372">
        <v>0.7</v>
      </c>
      <c r="Z48" s="372">
        <v>0.7</v>
      </c>
      <c r="AA48" s="372"/>
      <c r="AB48" s="372"/>
      <c r="AC48" s="372"/>
      <c r="AD48" s="41"/>
      <c r="AE48" s="41"/>
      <c r="AF48" s="11">
        <f t="shared" si="11"/>
        <v>0</v>
      </c>
      <c r="AG48" s="11">
        <f t="shared" si="12"/>
        <v>0</v>
      </c>
      <c r="AH48" s="11">
        <f t="shared" si="13"/>
        <v>7</v>
      </c>
    </row>
    <row r="49" spans="1:124" ht="15" customHeight="1">
      <c r="A49" s="70" t="s">
        <v>44</v>
      </c>
      <c r="B49" s="15"/>
      <c r="C49" s="15">
        <v>0.75</v>
      </c>
      <c r="D49" s="15"/>
      <c r="E49" s="15"/>
      <c r="F49" s="372"/>
      <c r="G49" s="372"/>
      <c r="H49" s="372"/>
      <c r="I49" s="372"/>
      <c r="J49" s="372"/>
      <c r="K49" s="372"/>
      <c r="L49" s="372">
        <f>2.03/3</f>
        <v>0.67666666666666664</v>
      </c>
      <c r="M49" s="374"/>
      <c r="N49" s="372">
        <v>0.71499999999999997</v>
      </c>
      <c r="O49" s="372">
        <v>0.7</v>
      </c>
      <c r="P49" s="372"/>
      <c r="Q49" s="372"/>
      <c r="R49" s="372"/>
      <c r="S49" s="372"/>
      <c r="T49" s="372"/>
      <c r="U49" s="372">
        <f>5/7</f>
        <v>0.7142857142857143</v>
      </c>
      <c r="V49" s="372">
        <v>0.7</v>
      </c>
      <c r="W49" s="372">
        <v>0</v>
      </c>
      <c r="X49" s="372">
        <v>0</v>
      </c>
      <c r="Y49" s="372">
        <v>0</v>
      </c>
      <c r="Z49" s="372">
        <v>0.7</v>
      </c>
      <c r="AA49" s="372"/>
      <c r="AB49" s="372"/>
      <c r="AC49" s="372"/>
      <c r="AD49" s="41"/>
      <c r="AE49" s="41"/>
      <c r="AF49" s="11">
        <f t="shared" si="11"/>
        <v>0</v>
      </c>
      <c r="AG49" s="11">
        <f t="shared" si="12"/>
        <v>0</v>
      </c>
      <c r="AH49" s="11">
        <f t="shared" si="13"/>
        <v>9</v>
      </c>
    </row>
    <row r="50" spans="1:124" ht="16.5" customHeight="1">
      <c r="A50" s="70" t="s">
        <v>45</v>
      </c>
      <c r="B50" s="15"/>
      <c r="C50" s="15">
        <v>0.75</v>
      </c>
      <c r="D50" s="15"/>
      <c r="E50" s="15"/>
      <c r="F50" s="372"/>
      <c r="G50" s="372"/>
      <c r="H50" s="372"/>
      <c r="I50" s="372"/>
      <c r="J50" s="374"/>
      <c r="K50" s="372"/>
      <c r="L50" s="372">
        <f>2.03/3</f>
        <v>0.67666666666666664</v>
      </c>
      <c r="M50" s="374"/>
      <c r="N50" s="372"/>
      <c r="O50" s="372"/>
      <c r="P50" s="372"/>
      <c r="Q50" s="372"/>
      <c r="R50" s="372"/>
      <c r="S50" s="372"/>
      <c r="T50" s="372">
        <v>0.7</v>
      </c>
      <c r="U50" s="372">
        <f>5/7</f>
        <v>0.7142857142857143</v>
      </c>
      <c r="V50" s="372">
        <v>0</v>
      </c>
      <c r="W50" s="372">
        <v>0</v>
      </c>
      <c r="X50" s="372">
        <v>0</v>
      </c>
      <c r="Y50" s="372"/>
      <c r="Z50" s="372">
        <v>0.7</v>
      </c>
      <c r="AA50" s="372"/>
      <c r="AB50" s="372"/>
      <c r="AC50" s="372"/>
      <c r="AD50" s="41"/>
      <c r="AE50" s="41"/>
      <c r="AF50" s="11">
        <f t="shared" si="11"/>
        <v>0</v>
      </c>
      <c r="AG50" s="11">
        <f t="shared" si="12"/>
        <v>0</v>
      </c>
      <c r="AH50" s="11">
        <f t="shared" si="13"/>
        <v>7</v>
      </c>
    </row>
    <row r="51" spans="1:124">
      <c r="A51" s="70" t="s">
        <v>46</v>
      </c>
      <c r="B51" s="15"/>
      <c r="C51" s="15">
        <v>0.85</v>
      </c>
      <c r="D51" s="15"/>
      <c r="E51" s="15"/>
      <c r="F51" s="372"/>
      <c r="G51" s="374"/>
      <c r="H51" s="374"/>
      <c r="I51" s="374"/>
      <c r="J51" s="374"/>
      <c r="K51" s="374"/>
      <c r="L51" s="374"/>
      <c r="M51" s="374"/>
      <c r="N51" s="372"/>
      <c r="O51" s="372"/>
      <c r="P51" s="372"/>
      <c r="Q51" s="372"/>
      <c r="R51" s="372"/>
      <c r="S51" s="372"/>
      <c r="T51" s="372"/>
      <c r="U51" s="372"/>
      <c r="V51" s="372"/>
      <c r="W51" s="372"/>
      <c r="X51" s="372"/>
      <c r="Y51" s="372"/>
      <c r="Z51" s="372"/>
      <c r="AA51" s="372"/>
      <c r="AB51" s="372"/>
      <c r="AC51" s="372"/>
      <c r="AD51" s="41"/>
      <c r="AE51" s="41"/>
      <c r="AF51" s="11">
        <f t="shared" si="11"/>
        <v>0</v>
      </c>
      <c r="AG51" s="11">
        <f t="shared" si="12"/>
        <v>0</v>
      </c>
      <c r="AH51" s="11">
        <f t="shared" si="13"/>
        <v>0</v>
      </c>
    </row>
    <row r="52" spans="1:124">
      <c r="A52" s="70" t="s">
        <v>47</v>
      </c>
      <c r="B52" s="15"/>
      <c r="C52" s="15">
        <v>0.85</v>
      </c>
      <c r="D52" s="15"/>
      <c r="E52" s="15"/>
      <c r="F52" s="372" t="s">
        <v>9</v>
      </c>
      <c r="G52" s="374" t="s">
        <v>9</v>
      </c>
      <c r="H52" s="374" t="s">
        <v>9</v>
      </c>
      <c r="I52" s="374" t="s">
        <v>9</v>
      </c>
      <c r="J52" s="374" t="s">
        <v>9</v>
      </c>
      <c r="K52" s="374" t="s">
        <v>9</v>
      </c>
      <c r="L52" s="374" t="s">
        <v>9</v>
      </c>
      <c r="M52" s="374" t="s">
        <v>9</v>
      </c>
      <c r="N52" s="372" t="s">
        <v>9</v>
      </c>
      <c r="O52" s="372" t="s">
        <v>9</v>
      </c>
      <c r="P52" s="372" t="s">
        <v>9</v>
      </c>
      <c r="Q52" s="372" t="s">
        <v>9</v>
      </c>
      <c r="R52" s="372" t="s">
        <v>9</v>
      </c>
      <c r="S52" s="372" t="s">
        <v>9</v>
      </c>
      <c r="T52" s="372" t="s">
        <v>9</v>
      </c>
      <c r="U52" s="372" t="s">
        <v>9</v>
      </c>
      <c r="V52" s="372" t="s">
        <v>9</v>
      </c>
      <c r="W52" s="372" t="s">
        <v>9</v>
      </c>
      <c r="X52" s="372" t="s">
        <v>9</v>
      </c>
      <c r="Y52" s="372" t="s">
        <v>9</v>
      </c>
      <c r="Z52" s="372" t="s">
        <v>9</v>
      </c>
      <c r="AA52" s="372" t="s">
        <v>9</v>
      </c>
      <c r="AB52" s="372" t="s">
        <v>9</v>
      </c>
      <c r="AC52" s="372" t="s">
        <v>9</v>
      </c>
      <c r="AD52" s="41"/>
      <c r="AE52" s="41"/>
      <c r="AF52" s="11">
        <f t="shared" si="11"/>
        <v>24</v>
      </c>
      <c r="AG52" s="11">
        <f t="shared" si="12"/>
        <v>0</v>
      </c>
      <c r="AH52" s="11">
        <f t="shared" si="13"/>
        <v>0</v>
      </c>
    </row>
    <row r="53" spans="1:124">
      <c r="A53" s="70" t="s">
        <v>48</v>
      </c>
      <c r="B53" s="15"/>
      <c r="C53" s="15">
        <v>0.85</v>
      </c>
      <c r="D53" s="15"/>
      <c r="E53" s="15"/>
      <c r="F53" s="372"/>
      <c r="G53" s="372"/>
      <c r="H53" s="372"/>
      <c r="I53" s="372"/>
      <c r="J53" s="372"/>
      <c r="K53" s="374"/>
      <c r="L53" s="372"/>
      <c r="M53" s="374"/>
      <c r="N53" s="372"/>
      <c r="O53" s="372"/>
      <c r="P53" s="372"/>
      <c r="Q53" s="372"/>
      <c r="R53" s="372"/>
      <c r="S53" s="372"/>
      <c r="T53" s="372"/>
      <c r="U53" s="372"/>
      <c r="V53" s="372"/>
      <c r="W53" s="372"/>
      <c r="X53" s="372"/>
      <c r="Y53" s="372"/>
      <c r="Z53" s="372">
        <v>0.7</v>
      </c>
      <c r="AA53" s="372">
        <v>0.7</v>
      </c>
      <c r="AB53" s="372"/>
      <c r="AC53" s="372"/>
      <c r="AD53" s="41"/>
      <c r="AE53" s="41"/>
      <c r="AF53" s="11">
        <f t="shared" si="11"/>
        <v>0</v>
      </c>
      <c r="AG53" s="11">
        <f t="shared" si="12"/>
        <v>0</v>
      </c>
      <c r="AH53" s="11">
        <f t="shared" si="13"/>
        <v>2</v>
      </c>
    </row>
    <row r="54" spans="1:124" ht="16.5" customHeight="1">
      <c r="A54" s="70" t="s">
        <v>49</v>
      </c>
      <c r="B54" s="15"/>
      <c r="C54" s="15">
        <v>0.85</v>
      </c>
      <c r="D54" s="15"/>
      <c r="E54" s="15"/>
      <c r="F54" s="372"/>
      <c r="G54" s="372"/>
      <c r="H54" s="372"/>
      <c r="I54" s="372"/>
      <c r="J54" s="372"/>
      <c r="K54" s="374"/>
      <c r="L54" s="372"/>
      <c r="M54" s="374"/>
      <c r="N54" s="372"/>
      <c r="O54" s="372"/>
      <c r="P54" s="372"/>
      <c r="Q54" s="372"/>
      <c r="R54" s="372"/>
      <c r="S54" s="372"/>
      <c r="T54" s="372"/>
      <c r="U54" s="372"/>
      <c r="V54" s="372"/>
      <c r="W54" s="372"/>
      <c r="X54" s="372"/>
      <c r="Y54" s="372"/>
      <c r="Z54" s="372">
        <v>0.7</v>
      </c>
      <c r="AA54" s="372"/>
      <c r="AB54" s="372"/>
      <c r="AC54" s="372"/>
      <c r="AD54" s="41"/>
      <c r="AE54" s="41"/>
      <c r="AF54" s="11">
        <f t="shared" si="11"/>
        <v>0</v>
      </c>
      <c r="AG54" s="11">
        <f t="shared" si="12"/>
        <v>0</v>
      </c>
      <c r="AH54" s="11">
        <f t="shared" si="13"/>
        <v>1</v>
      </c>
    </row>
    <row r="55" spans="1:124">
      <c r="A55" s="70" t="s">
        <v>50</v>
      </c>
      <c r="B55" s="15"/>
      <c r="C55" s="15">
        <v>0.85</v>
      </c>
      <c r="D55" s="15"/>
      <c r="E55" s="15"/>
      <c r="F55" s="372"/>
      <c r="G55" s="372"/>
      <c r="H55" s="372"/>
      <c r="I55" s="372"/>
      <c r="J55" s="372"/>
      <c r="K55" s="374"/>
      <c r="L55" s="372"/>
      <c r="M55" s="374"/>
      <c r="N55" s="372"/>
      <c r="O55" s="372"/>
      <c r="P55" s="372"/>
      <c r="Q55" s="372"/>
      <c r="R55" s="372"/>
      <c r="S55" s="372"/>
      <c r="T55" s="372"/>
      <c r="U55" s="372"/>
      <c r="V55" s="372"/>
      <c r="W55" s="372"/>
      <c r="X55" s="372"/>
      <c r="Y55" s="372"/>
      <c r="Z55" s="372"/>
      <c r="AA55" s="372"/>
      <c r="AB55" s="372"/>
      <c r="AC55" s="372"/>
      <c r="AD55" s="41"/>
      <c r="AE55" s="41"/>
      <c r="AF55" s="11">
        <f>COUNTIF(F55:AC55,$AJ$8)</f>
        <v>0</v>
      </c>
      <c r="AG55" s="11">
        <f t="shared" si="12"/>
        <v>0</v>
      </c>
      <c r="AH55" s="11">
        <f>COUNT(F55:AC55)</f>
        <v>0</v>
      </c>
    </row>
    <row r="56" spans="1:124">
      <c r="A56" s="70" t="s">
        <v>51</v>
      </c>
      <c r="B56" s="15"/>
      <c r="C56" s="15">
        <v>0.75</v>
      </c>
      <c r="D56" s="15"/>
      <c r="E56" s="15"/>
      <c r="F56" s="372"/>
      <c r="G56" s="372"/>
      <c r="H56" s="372"/>
      <c r="I56" s="372"/>
      <c r="J56" s="372"/>
      <c r="K56" s="374"/>
      <c r="L56" s="374"/>
      <c r="M56" s="374"/>
      <c r="N56" s="372">
        <v>0.71499999999999997</v>
      </c>
      <c r="O56" s="372"/>
      <c r="P56" s="372"/>
      <c r="Q56" s="372"/>
      <c r="R56" s="372"/>
      <c r="S56" s="372"/>
      <c r="T56" s="372">
        <v>0.7</v>
      </c>
      <c r="U56" s="372">
        <f>5/7</f>
        <v>0.7142857142857143</v>
      </c>
      <c r="V56" s="372">
        <v>0</v>
      </c>
      <c r="W56" s="372">
        <v>0</v>
      </c>
      <c r="X56" s="372">
        <v>0</v>
      </c>
      <c r="Y56" s="372">
        <v>0</v>
      </c>
      <c r="Z56" s="372">
        <v>0</v>
      </c>
      <c r="AA56" s="372">
        <v>0</v>
      </c>
      <c r="AB56" s="372">
        <v>0</v>
      </c>
      <c r="AC56" s="372">
        <v>0</v>
      </c>
      <c r="AD56" s="41"/>
      <c r="AE56" s="41"/>
      <c r="AF56" s="11">
        <f t="shared" si="11"/>
        <v>0</v>
      </c>
      <c r="AG56" s="11">
        <f t="shared" si="12"/>
        <v>0</v>
      </c>
      <c r="AH56" s="11">
        <f t="shared" si="13"/>
        <v>11</v>
      </c>
    </row>
    <row r="57" spans="1:124">
      <c r="A57" s="70" t="s">
        <v>52</v>
      </c>
      <c r="B57" s="15"/>
      <c r="C57" s="15">
        <v>0.75</v>
      </c>
      <c r="D57" s="15"/>
      <c r="E57" s="15"/>
      <c r="F57" s="372">
        <v>0</v>
      </c>
      <c r="G57" s="372">
        <v>0</v>
      </c>
      <c r="H57" s="372">
        <v>0</v>
      </c>
      <c r="I57" s="372">
        <v>0</v>
      </c>
      <c r="J57" s="372">
        <v>0</v>
      </c>
      <c r="K57" s="372">
        <v>0</v>
      </c>
      <c r="L57" s="372">
        <f>2.03/3</f>
        <v>0.67666666666666664</v>
      </c>
      <c r="M57" s="374"/>
      <c r="N57" s="372">
        <v>0.71499999999999997</v>
      </c>
      <c r="O57" s="372"/>
      <c r="P57" s="372"/>
      <c r="Q57" s="372"/>
      <c r="R57" s="372"/>
      <c r="S57" s="372"/>
      <c r="T57" s="372"/>
      <c r="U57" s="372">
        <f>5/7</f>
        <v>0.7142857142857143</v>
      </c>
      <c r="V57" s="372">
        <v>0.7</v>
      </c>
      <c r="W57" s="372">
        <v>0</v>
      </c>
      <c r="X57" s="372">
        <v>0</v>
      </c>
      <c r="Y57" s="372">
        <v>0</v>
      </c>
      <c r="Z57" s="372">
        <v>0.7</v>
      </c>
      <c r="AA57" s="372"/>
      <c r="AB57" s="372"/>
      <c r="AC57" s="372"/>
      <c r="AD57" s="41"/>
      <c r="AE57" s="41"/>
      <c r="AF57" s="11">
        <f t="shared" si="11"/>
        <v>0</v>
      </c>
      <c r="AG57" s="11">
        <f t="shared" si="12"/>
        <v>0</v>
      </c>
      <c r="AH57" s="11">
        <f t="shared" si="13"/>
        <v>14</v>
      </c>
    </row>
    <row r="58" spans="1:124">
      <c r="A58" s="70" t="s">
        <v>53</v>
      </c>
      <c r="B58" s="15"/>
      <c r="C58" s="15">
        <v>0.85</v>
      </c>
      <c r="D58" s="15"/>
      <c r="E58" s="15"/>
      <c r="F58" s="372"/>
      <c r="G58" s="372"/>
      <c r="H58" s="372"/>
      <c r="I58" s="372"/>
      <c r="J58" s="372"/>
      <c r="K58" s="374"/>
      <c r="L58" s="374"/>
      <c r="M58" s="374"/>
      <c r="N58" s="372"/>
      <c r="O58" s="372"/>
      <c r="P58" s="372"/>
      <c r="Q58" s="372"/>
      <c r="R58" s="372"/>
      <c r="S58" s="372"/>
      <c r="T58" s="372"/>
      <c r="U58" s="372"/>
      <c r="V58" s="372"/>
      <c r="W58" s="372"/>
      <c r="X58" s="372"/>
      <c r="Y58" s="372"/>
      <c r="Z58" s="372"/>
      <c r="AA58" s="372"/>
      <c r="AB58" s="372"/>
      <c r="AC58" s="372"/>
      <c r="AD58" s="41"/>
      <c r="AE58" s="41"/>
      <c r="AF58" s="11">
        <f t="shared" si="11"/>
        <v>0</v>
      </c>
      <c r="AG58" s="11">
        <f t="shared" si="12"/>
        <v>0</v>
      </c>
      <c r="AH58" s="11">
        <f t="shared" si="13"/>
        <v>0</v>
      </c>
    </row>
    <row r="59" spans="1:124">
      <c r="A59" s="70" t="s">
        <v>54</v>
      </c>
      <c r="B59" s="15"/>
      <c r="C59" s="15">
        <v>0.85</v>
      </c>
      <c r="D59" s="15"/>
      <c r="E59" s="15"/>
      <c r="F59" s="372"/>
      <c r="G59" s="372"/>
      <c r="H59" s="372"/>
      <c r="I59" s="372"/>
      <c r="J59" s="372"/>
      <c r="K59" s="374"/>
      <c r="L59" s="374"/>
      <c r="M59" s="374"/>
      <c r="N59" s="372"/>
      <c r="O59" s="372"/>
      <c r="P59" s="372"/>
      <c r="Q59" s="372"/>
      <c r="R59" s="372"/>
      <c r="S59" s="372"/>
      <c r="T59" s="372"/>
      <c r="U59" s="372"/>
      <c r="V59" s="372"/>
      <c r="W59" s="372"/>
      <c r="X59" s="372"/>
      <c r="Y59" s="372"/>
      <c r="Z59" s="372"/>
      <c r="AA59" s="372"/>
      <c r="AB59" s="372"/>
      <c r="AC59" s="372"/>
      <c r="AD59" s="41"/>
      <c r="AE59" s="41"/>
      <c r="AF59" s="11">
        <f t="shared" si="11"/>
        <v>0</v>
      </c>
      <c r="AG59" s="11">
        <f t="shared" si="12"/>
        <v>0</v>
      </c>
      <c r="AH59" s="11">
        <f t="shared" si="13"/>
        <v>0</v>
      </c>
    </row>
    <row r="60" spans="1:124">
      <c r="A60" s="9" t="s">
        <v>26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 t="shared" ref="F60" si="14">SUM(F36:F59)</f>
        <v>0</v>
      </c>
      <c r="G60" s="19">
        <f t="shared" ref="G60:AC60" si="15">SUM(G36:G59)</f>
        <v>0</v>
      </c>
      <c r="H60" s="19">
        <f t="shared" si="15"/>
        <v>0</v>
      </c>
      <c r="I60" s="19">
        <f t="shared" si="15"/>
        <v>0</v>
      </c>
      <c r="J60" s="19">
        <f t="shared" si="15"/>
        <v>0</v>
      </c>
      <c r="K60" s="19">
        <f t="shared" si="15"/>
        <v>0</v>
      </c>
      <c r="L60" s="19">
        <f t="shared" si="15"/>
        <v>2.0299999999999998</v>
      </c>
      <c r="M60" s="19">
        <f t="shared" si="15"/>
        <v>0</v>
      </c>
      <c r="N60" s="19">
        <f t="shared" si="15"/>
        <v>2.86</v>
      </c>
      <c r="O60" s="19">
        <f>SUM(O36:O59)</f>
        <v>1.4</v>
      </c>
      <c r="P60" s="19">
        <f t="shared" si="15"/>
        <v>0</v>
      </c>
      <c r="Q60" s="19">
        <f t="shared" si="15"/>
        <v>0</v>
      </c>
      <c r="R60" s="19">
        <f t="shared" si="15"/>
        <v>0</v>
      </c>
      <c r="S60" s="19">
        <f t="shared" si="15"/>
        <v>0</v>
      </c>
      <c r="T60" s="19">
        <f>SUM(T36:T59)</f>
        <v>1.4</v>
      </c>
      <c r="U60" s="19">
        <f t="shared" si="15"/>
        <v>5</v>
      </c>
      <c r="V60" s="19">
        <f t="shared" si="15"/>
        <v>2.8</v>
      </c>
      <c r="W60" s="19">
        <f t="shared" si="15"/>
        <v>0</v>
      </c>
      <c r="X60" s="19">
        <f t="shared" si="15"/>
        <v>0</v>
      </c>
      <c r="Y60" s="19">
        <f t="shared" si="15"/>
        <v>1.4</v>
      </c>
      <c r="Z60" s="19">
        <f t="shared" si="15"/>
        <v>5.7000000000000011</v>
      </c>
      <c r="AA60" s="19">
        <f t="shared" si="15"/>
        <v>0.7</v>
      </c>
      <c r="AB60" s="19">
        <f t="shared" si="15"/>
        <v>0</v>
      </c>
      <c r="AC60" s="19">
        <f t="shared" si="15"/>
        <v>0</v>
      </c>
      <c r="AD60" s="34"/>
      <c r="AE60" s="34"/>
      <c r="AF60" s="11"/>
      <c r="AG60" s="11"/>
      <c r="AH60" s="11"/>
    </row>
    <row r="61" spans="1:124">
      <c r="A61" s="12" t="s">
        <v>55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28.27000000000001</v>
      </c>
      <c r="AN61" s="351"/>
    </row>
    <row r="62" spans="1:124">
      <c r="A62" s="14" t="s">
        <v>56</v>
      </c>
      <c r="B62" s="20"/>
      <c r="C62" s="15">
        <v>0.75</v>
      </c>
      <c r="D62" s="15"/>
      <c r="E62" s="15"/>
      <c r="F62" s="372">
        <f>0.9/2</f>
        <v>0.45</v>
      </c>
      <c r="G62" s="372"/>
      <c r="H62" s="372"/>
      <c r="I62" s="372"/>
      <c r="J62" s="372"/>
      <c r="K62" s="374"/>
      <c r="L62" s="372"/>
      <c r="M62" s="372">
        <v>0.49</v>
      </c>
      <c r="N62" s="372">
        <v>0.56499999999999995</v>
      </c>
      <c r="O62" s="372">
        <v>0.60499999999999998</v>
      </c>
      <c r="P62" s="372">
        <v>0.69</v>
      </c>
      <c r="Q62" s="372">
        <f>1.56/2</f>
        <v>0.78</v>
      </c>
      <c r="R62" s="372">
        <f>1.55/2</f>
        <v>0.77500000000000002</v>
      </c>
      <c r="S62" s="372">
        <f>1.29/2</f>
        <v>0.64500000000000002</v>
      </c>
      <c r="T62" s="372">
        <f>1.21/2</f>
        <v>0.60499999999999998</v>
      </c>
      <c r="U62" s="372">
        <f>1.21/2</f>
        <v>0.60499999999999998</v>
      </c>
      <c r="V62" s="372">
        <f>1.27/2</f>
        <v>0.63500000000000001</v>
      </c>
      <c r="W62" s="372">
        <f>1.37/2</f>
        <v>0.68500000000000005</v>
      </c>
      <c r="X62" s="372">
        <f>1.3/2</f>
        <v>0.65</v>
      </c>
      <c r="Y62" s="372">
        <v>0</v>
      </c>
      <c r="Z62" s="372">
        <v>0</v>
      </c>
      <c r="AA62" s="372">
        <v>0</v>
      </c>
      <c r="AB62" s="372">
        <v>0</v>
      </c>
      <c r="AC62" s="372">
        <v>0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57</v>
      </c>
      <c r="B63" s="20"/>
      <c r="C63" s="15">
        <v>0.75</v>
      </c>
      <c r="D63" s="15"/>
      <c r="E63" s="15"/>
      <c r="F63" s="372">
        <f>0.9/2</f>
        <v>0.45</v>
      </c>
      <c r="G63" s="372">
        <f>0.88/2</f>
        <v>0.44</v>
      </c>
      <c r="H63" s="372">
        <f>0.85/2</f>
        <v>0.42499999999999999</v>
      </c>
      <c r="I63" s="372">
        <f>0.83/2</f>
        <v>0.41499999999999998</v>
      </c>
      <c r="J63" s="372">
        <f>0.78/2</f>
        <v>0.39</v>
      </c>
      <c r="K63" s="374">
        <f>1.1/2</f>
        <v>0.55000000000000004</v>
      </c>
      <c r="L63" s="372">
        <f>0.92/2</f>
        <v>0.46</v>
      </c>
      <c r="M63" s="372"/>
      <c r="N63" s="372"/>
      <c r="O63" s="372"/>
      <c r="P63" s="372"/>
      <c r="Q63" s="372"/>
      <c r="R63" s="372"/>
      <c r="S63" s="372"/>
      <c r="T63" s="372">
        <f>1.21/2</f>
        <v>0.60499999999999998</v>
      </c>
      <c r="U63" s="372">
        <f>1.21/2</f>
        <v>0.60499999999999998</v>
      </c>
      <c r="V63" s="372">
        <f>1.27/2</f>
        <v>0.63500000000000001</v>
      </c>
      <c r="W63" s="372">
        <f>1.37/2</f>
        <v>0.68500000000000005</v>
      </c>
      <c r="X63" s="372">
        <f>1.3/2</f>
        <v>0.65</v>
      </c>
      <c r="Y63" s="372">
        <v>0.74</v>
      </c>
      <c r="Z63" s="372">
        <v>0.72</v>
      </c>
      <c r="AA63" s="372">
        <v>0.68500000000000005</v>
      </c>
      <c r="AB63" s="372">
        <v>0.6</v>
      </c>
      <c r="AC63" s="372">
        <f>1.06/2</f>
        <v>0.53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17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58</v>
      </c>
      <c r="B64" s="20"/>
      <c r="C64" s="15">
        <v>0.75</v>
      </c>
      <c r="D64" s="15"/>
      <c r="E64" s="15"/>
      <c r="F64" s="372"/>
      <c r="G64" s="372">
        <f>0.88/2</f>
        <v>0.44</v>
      </c>
      <c r="H64" s="372">
        <f>0.85/2</f>
        <v>0.42499999999999999</v>
      </c>
      <c r="I64" s="372">
        <f>0.83/2</f>
        <v>0.41499999999999998</v>
      </c>
      <c r="J64" s="372">
        <f>0.78/2</f>
        <v>0.39</v>
      </c>
      <c r="K64" s="374">
        <f>1.1/2</f>
        <v>0.55000000000000004</v>
      </c>
      <c r="L64" s="372">
        <f>0.92/2</f>
        <v>0.46</v>
      </c>
      <c r="M64" s="372">
        <v>0.49</v>
      </c>
      <c r="N64" s="372">
        <v>0.56499999999999995</v>
      </c>
      <c r="O64" s="372">
        <v>0.60499999999999998</v>
      </c>
      <c r="P64" s="372">
        <v>0.69</v>
      </c>
      <c r="Q64" s="372">
        <f>1.56/2</f>
        <v>0.78</v>
      </c>
      <c r="R64" s="372">
        <f>1.55/2</f>
        <v>0.77500000000000002</v>
      </c>
      <c r="S64" s="372">
        <f>1.29/2</f>
        <v>0.64500000000000002</v>
      </c>
      <c r="T64" s="372"/>
      <c r="U64" s="372"/>
      <c r="V64" s="372"/>
      <c r="W64" s="372"/>
      <c r="X64" s="372"/>
      <c r="Y64" s="372">
        <v>0.74</v>
      </c>
      <c r="Z64" s="372">
        <v>0.72</v>
      </c>
      <c r="AA64" s="372">
        <v>0.68500000000000005</v>
      </c>
      <c r="AB64" s="372">
        <v>0.6</v>
      </c>
      <c r="AC64" s="372">
        <f>1.06/2</f>
        <v>0.53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18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0.9</v>
      </c>
      <c r="G65" s="19">
        <f t="shared" ref="G65" si="16">SUM(G62:G64)</f>
        <v>0.88</v>
      </c>
      <c r="H65" s="19">
        <f>SUM(H62:H64)</f>
        <v>0.85</v>
      </c>
      <c r="I65" s="19">
        <f>SUM(I62:I64)</f>
        <v>0.83</v>
      </c>
      <c r="J65" s="19">
        <f t="shared" ref="J65" si="17">SUM(J62:J64)</f>
        <v>0.78</v>
      </c>
      <c r="K65" s="19">
        <f>SUM(K62:K64)</f>
        <v>1.1000000000000001</v>
      </c>
      <c r="L65" s="19">
        <f>SUM(L62:L64)</f>
        <v>0.92</v>
      </c>
      <c r="M65" s="19">
        <f>SUM(M62:M64)</f>
        <v>0.98</v>
      </c>
      <c r="N65" s="19">
        <f>SUM(N62:N64)</f>
        <v>1.1299999999999999</v>
      </c>
      <c r="O65" s="19">
        <f t="shared" ref="O65:AB65" si="18">SUM(O62:O64)</f>
        <v>1.21</v>
      </c>
      <c r="P65" s="19">
        <f t="shared" si="18"/>
        <v>1.38</v>
      </c>
      <c r="Q65" s="19">
        <f t="shared" si="18"/>
        <v>1.56</v>
      </c>
      <c r="R65" s="19">
        <f t="shared" si="18"/>
        <v>1.55</v>
      </c>
      <c r="S65" s="19">
        <f t="shared" si="18"/>
        <v>1.29</v>
      </c>
      <c r="T65" s="19">
        <f t="shared" si="18"/>
        <v>1.21</v>
      </c>
      <c r="U65" s="19">
        <f t="shared" si="18"/>
        <v>1.21</v>
      </c>
      <c r="V65" s="19">
        <f t="shared" si="18"/>
        <v>1.27</v>
      </c>
      <c r="W65" s="19">
        <f t="shared" si="18"/>
        <v>1.37</v>
      </c>
      <c r="X65" s="19">
        <f t="shared" si="18"/>
        <v>1.3</v>
      </c>
      <c r="Y65" s="19">
        <f>SUM(Y62:Y64)</f>
        <v>1.48</v>
      </c>
      <c r="Z65" s="19">
        <f t="shared" si="18"/>
        <v>1.44</v>
      </c>
      <c r="AA65" s="19">
        <f t="shared" si="18"/>
        <v>1.37</v>
      </c>
      <c r="AB65" s="19">
        <f t="shared" si="18"/>
        <v>1.2</v>
      </c>
      <c r="AC65" s="19">
        <f>SUM(AC62:AC64)</f>
        <v>1.06</v>
      </c>
      <c r="AD65" s="34"/>
      <c r="AE65" s="34"/>
      <c r="AF65" s="11"/>
      <c r="AG65" s="11"/>
      <c r="AH65" s="11"/>
    </row>
    <row r="66" spans="1:124" hidden="1">
      <c r="A66" s="12" t="s">
        <v>59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idden="1">
      <c r="A67" s="14" t="s">
        <v>60</v>
      </c>
      <c r="B67" s="15"/>
      <c r="C67" s="15">
        <v>0.85</v>
      </c>
      <c r="D67" s="15"/>
      <c r="E67" s="15"/>
      <c r="F67" s="372"/>
      <c r="G67" s="372"/>
      <c r="H67" s="372"/>
      <c r="I67" s="372"/>
      <c r="J67" s="372"/>
      <c r="K67" s="374"/>
      <c r="L67" s="374"/>
      <c r="M67" s="374"/>
      <c r="N67" s="372"/>
      <c r="O67" s="372"/>
      <c r="P67" s="372"/>
      <c r="Q67" s="372"/>
      <c r="R67" s="372"/>
      <c r="S67" s="372"/>
      <c r="T67" s="372"/>
      <c r="U67" s="372"/>
      <c r="V67" s="372"/>
      <c r="W67" s="372"/>
      <c r="X67" s="372"/>
      <c r="Y67" s="372"/>
      <c r="Z67" s="372"/>
      <c r="AA67" s="372"/>
      <c r="AB67" s="372"/>
      <c r="AC67" s="372"/>
      <c r="AD67" s="35"/>
      <c r="AE67" s="35"/>
      <c r="AF67" s="11">
        <f t="shared" ref="AF67:AF75" si="19">COUNTIF(F67:AC67,$AF$11)</f>
        <v>0</v>
      </c>
      <c r="AG67" s="11">
        <f t="shared" ref="AG67:AG75" si="20">COUNTIF(G67:AC67,$AG$11)</f>
        <v>0</v>
      </c>
      <c r="AH67" s="11">
        <f t="shared" ref="AH67:AH75" si="21">COUNT(F67:AC67)</f>
        <v>0</v>
      </c>
    </row>
    <row r="68" spans="1:124" hidden="1">
      <c r="A68" s="14" t="s">
        <v>61</v>
      </c>
      <c r="B68" s="15"/>
      <c r="C68" s="15">
        <v>0.85</v>
      </c>
      <c r="D68" s="15"/>
      <c r="E68" s="15"/>
      <c r="F68" s="372"/>
      <c r="G68" s="372"/>
      <c r="H68" s="372"/>
      <c r="I68" s="372"/>
      <c r="J68" s="372"/>
      <c r="K68" s="374"/>
      <c r="L68" s="374"/>
      <c r="M68" s="374"/>
      <c r="N68" s="372"/>
      <c r="O68" s="372"/>
      <c r="P68" s="372"/>
      <c r="Q68" s="372"/>
      <c r="R68" s="372"/>
      <c r="S68" s="372"/>
      <c r="T68" s="372"/>
      <c r="U68" s="372"/>
      <c r="V68" s="372"/>
      <c r="W68" s="372"/>
      <c r="X68" s="372"/>
      <c r="Y68" s="372"/>
      <c r="Z68" s="372"/>
      <c r="AA68" s="372"/>
      <c r="AB68" s="372"/>
      <c r="AC68" s="372"/>
      <c r="AD68" s="35"/>
      <c r="AE68" s="35"/>
      <c r="AF68" s="11">
        <f t="shared" si="19"/>
        <v>0</v>
      </c>
      <c r="AG68" s="11">
        <f t="shared" si="20"/>
        <v>0</v>
      </c>
      <c r="AH68" s="11">
        <f t="shared" si="21"/>
        <v>0</v>
      </c>
    </row>
    <row r="69" spans="1:124" hidden="1">
      <c r="A69" s="14" t="s">
        <v>62</v>
      </c>
      <c r="B69" s="15"/>
      <c r="C69" s="15">
        <v>0.85</v>
      </c>
      <c r="D69" s="15"/>
      <c r="E69" s="15"/>
      <c r="F69" s="372"/>
      <c r="G69" s="372"/>
      <c r="H69" s="372"/>
      <c r="I69" s="372"/>
      <c r="J69" s="372"/>
      <c r="K69" s="374"/>
      <c r="L69" s="374"/>
      <c r="M69" s="374"/>
      <c r="N69" s="372"/>
      <c r="O69" s="372"/>
      <c r="P69" s="372"/>
      <c r="Q69" s="372"/>
      <c r="R69" s="372"/>
      <c r="S69" s="372"/>
      <c r="T69" s="372"/>
      <c r="U69" s="372"/>
      <c r="V69" s="372"/>
      <c r="W69" s="372"/>
      <c r="X69" s="372"/>
      <c r="Y69" s="372"/>
      <c r="Z69" s="372"/>
      <c r="AA69" s="372"/>
      <c r="AB69" s="372"/>
      <c r="AC69" s="372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1"/>
        <v>0</v>
      </c>
    </row>
    <row r="70" spans="1:124" hidden="1">
      <c r="A70" s="14" t="s">
        <v>63</v>
      </c>
      <c r="B70" s="15"/>
      <c r="C70" s="15">
        <v>0.85</v>
      </c>
      <c r="D70" s="15"/>
      <c r="E70" s="15"/>
      <c r="F70" s="372"/>
      <c r="G70" s="372"/>
      <c r="H70" s="372"/>
      <c r="I70" s="372"/>
      <c r="J70" s="372"/>
      <c r="K70" s="374"/>
      <c r="L70" s="374"/>
      <c r="M70" s="374"/>
      <c r="N70" s="372"/>
      <c r="O70" s="372"/>
      <c r="P70" s="372"/>
      <c r="Q70" s="372"/>
      <c r="R70" s="372"/>
      <c r="S70" s="372"/>
      <c r="T70" s="372"/>
      <c r="U70" s="372"/>
      <c r="V70" s="372"/>
      <c r="W70" s="372"/>
      <c r="X70" s="372"/>
      <c r="Y70" s="372"/>
      <c r="Z70" s="372"/>
      <c r="AA70" s="372"/>
      <c r="AB70" s="372"/>
      <c r="AC70" s="372"/>
      <c r="AD70" s="35"/>
      <c r="AE70" s="35"/>
      <c r="AF70" s="11">
        <f t="shared" si="19"/>
        <v>0</v>
      </c>
      <c r="AG70" s="11">
        <f t="shared" si="20"/>
        <v>0</v>
      </c>
      <c r="AH70" s="11">
        <f t="shared" si="21"/>
        <v>0</v>
      </c>
      <c r="AI70" s="5"/>
      <c r="AJ70" s="5"/>
      <c r="AK70" s="5"/>
      <c r="AL70" s="5"/>
    </row>
    <row r="71" spans="1:124" hidden="1">
      <c r="A71" s="14" t="s">
        <v>64</v>
      </c>
      <c r="B71" s="15"/>
      <c r="C71" s="15">
        <v>0.85</v>
      </c>
      <c r="D71" s="15"/>
      <c r="E71" s="15"/>
      <c r="F71" s="372"/>
      <c r="G71" s="372"/>
      <c r="H71" s="372"/>
      <c r="I71" s="372"/>
      <c r="J71" s="372"/>
      <c r="K71" s="374"/>
      <c r="L71" s="374"/>
      <c r="M71" s="374"/>
      <c r="N71" s="372"/>
      <c r="O71" s="372"/>
      <c r="P71" s="372"/>
      <c r="Q71" s="372"/>
      <c r="R71" s="372"/>
      <c r="S71" s="372"/>
      <c r="T71" s="372"/>
      <c r="U71" s="372"/>
      <c r="V71" s="372"/>
      <c r="W71" s="372"/>
      <c r="X71" s="372"/>
      <c r="Y71" s="372"/>
      <c r="Z71" s="372"/>
      <c r="AA71" s="372"/>
      <c r="AB71" s="372"/>
      <c r="AC71" s="372"/>
      <c r="AD71" s="35"/>
      <c r="AE71" s="35"/>
      <c r="AF71" s="11">
        <f t="shared" si="19"/>
        <v>0</v>
      </c>
      <c r="AG71" s="11">
        <f t="shared" si="20"/>
        <v>0</v>
      </c>
      <c r="AH71" s="11">
        <f t="shared" si="21"/>
        <v>0</v>
      </c>
    </row>
    <row r="72" spans="1:124" hidden="1">
      <c r="A72" s="14" t="s">
        <v>65</v>
      </c>
      <c r="B72" s="15"/>
      <c r="C72" s="15">
        <v>0.85</v>
      </c>
      <c r="D72" s="15"/>
      <c r="E72" s="15"/>
      <c r="F72" s="372"/>
      <c r="G72" s="372"/>
      <c r="H72" s="372"/>
      <c r="I72" s="372"/>
      <c r="J72" s="372"/>
      <c r="K72" s="374"/>
      <c r="L72" s="374"/>
      <c r="M72" s="374"/>
      <c r="N72" s="372"/>
      <c r="O72" s="372"/>
      <c r="P72" s="372"/>
      <c r="Q72" s="372"/>
      <c r="R72" s="372"/>
      <c r="S72" s="372"/>
      <c r="T72" s="372"/>
      <c r="U72" s="372"/>
      <c r="V72" s="372"/>
      <c r="W72" s="372"/>
      <c r="X72" s="372"/>
      <c r="Y72" s="372"/>
      <c r="Z72" s="372"/>
      <c r="AA72" s="372"/>
      <c r="AB72" s="372"/>
      <c r="AC72" s="372"/>
      <c r="AD72" s="35"/>
      <c r="AE72" s="35"/>
      <c r="AF72" s="11">
        <f t="shared" si="19"/>
        <v>0</v>
      </c>
      <c r="AG72" s="11">
        <f t="shared" si="20"/>
        <v>0</v>
      </c>
      <c r="AH72" s="11">
        <f t="shared" si="21"/>
        <v>0</v>
      </c>
    </row>
    <row r="73" spans="1:124" hidden="1">
      <c r="A73" s="14" t="s">
        <v>66</v>
      </c>
      <c r="B73" s="15"/>
      <c r="C73" s="15">
        <v>0.85</v>
      </c>
      <c r="D73" s="15"/>
      <c r="E73" s="15"/>
      <c r="F73" s="372"/>
      <c r="G73" s="372"/>
      <c r="H73" s="372"/>
      <c r="I73" s="372"/>
      <c r="J73" s="372"/>
      <c r="K73" s="374"/>
      <c r="L73" s="374"/>
      <c r="M73" s="374"/>
      <c r="N73" s="372"/>
      <c r="O73" s="372"/>
      <c r="P73" s="372"/>
      <c r="Q73" s="372"/>
      <c r="R73" s="372"/>
      <c r="S73" s="372"/>
      <c r="T73" s="372"/>
      <c r="U73" s="372"/>
      <c r="V73" s="372"/>
      <c r="W73" s="372"/>
      <c r="X73" s="372"/>
      <c r="Y73" s="372"/>
      <c r="Z73" s="372"/>
      <c r="AA73" s="372"/>
      <c r="AB73" s="372"/>
      <c r="AC73" s="372"/>
      <c r="AD73" s="35"/>
      <c r="AE73" s="35"/>
      <c r="AF73" s="11">
        <f t="shared" si="19"/>
        <v>0</v>
      </c>
      <c r="AG73" s="11">
        <f t="shared" si="20"/>
        <v>0</v>
      </c>
      <c r="AH73" s="11">
        <f t="shared" si="21"/>
        <v>0</v>
      </c>
    </row>
    <row r="74" spans="1:124" hidden="1">
      <c r="A74" s="14" t="s">
        <v>67</v>
      </c>
      <c r="B74" s="19"/>
      <c r="C74" s="15">
        <v>0.85</v>
      </c>
      <c r="D74" s="15"/>
      <c r="E74" s="15"/>
      <c r="F74" s="372"/>
      <c r="G74" s="372"/>
      <c r="H74" s="372"/>
      <c r="I74" s="372"/>
      <c r="J74" s="372"/>
      <c r="K74" s="374"/>
      <c r="L74" s="374"/>
      <c r="M74" s="374"/>
      <c r="N74" s="372"/>
      <c r="O74" s="372"/>
      <c r="P74" s="372"/>
      <c r="Q74" s="372"/>
      <c r="R74" s="372"/>
      <c r="S74" s="372"/>
      <c r="T74" s="372"/>
      <c r="U74" s="372"/>
      <c r="V74" s="372"/>
      <c r="W74" s="372"/>
      <c r="X74" s="372"/>
      <c r="Y74" s="372"/>
      <c r="Z74" s="372"/>
      <c r="AA74" s="372"/>
      <c r="AB74" s="372"/>
      <c r="AC74" s="372"/>
      <c r="AD74" s="29"/>
      <c r="AE74" s="29"/>
      <c r="AF74" s="11">
        <f t="shared" si="19"/>
        <v>0</v>
      </c>
      <c r="AG74" s="11">
        <f t="shared" si="20"/>
        <v>0</v>
      </c>
      <c r="AH74" s="11">
        <f t="shared" si="21"/>
        <v>0</v>
      </c>
    </row>
    <row r="75" spans="1:124" ht="15.75" hidden="1" customHeight="1">
      <c r="A75" s="14" t="s">
        <v>68</v>
      </c>
      <c r="B75" s="9"/>
      <c r="C75" s="15">
        <v>0.85</v>
      </c>
      <c r="D75" s="15"/>
      <c r="E75" s="15"/>
      <c r="F75" s="372"/>
      <c r="G75" s="372"/>
      <c r="H75" s="372"/>
      <c r="I75" s="372"/>
      <c r="J75" s="372"/>
      <c r="K75" s="374"/>
      <c r="L75" s="374"/>
      <c r="M75" s="374"/>
      <c r="N75" s="372"/>
      <c r="O75" s="372"/>
      <c r="P75" s="372"/>
      <c r="Q75" s="372"/>
      <c r="R75" s="372"/>
      <c r="S75" s="372"/>
      <c r="T75" s="372"/>
      <c r="U75" s="372"/>
      <c r="V75" s="372"/>
      <c r="W75" s="372"/>
      <c r="X75" s="372"/>
      <c r="Y75" s="372"/>
      <c r="Z75" s="372"/>
      <c r="AA75" s="372"/>
      <c r="AB75" s="372"/>
      <c r="AC75" s="372"/>
      <c r="AD75" s="31"/>
      <c r="AE75" s="31"/>
      <c r="AF75" s="11">
        <f t="shared" si="19"/>
        <v>0</v>
      </c>
      <c r="AG75" s="11">
        <f t="shared" si="20"/>
        <v>0</v>
      </c>
      <c r="AH75" s="11">
        <f t="shared" si="21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2">SUM(F67:F75)</f>
        <v>0</v>
      </c>
      <c r="G76" s="19">
        <f t="shared" ref="G76:AC76" si="23">SUM(G67:G75)</f>
        <v>0</v>
      </c>
      <c r="H76" s="19">
        <f t="shared" si="23"/>
        <v>0</v>
      </c>
      <c r="I76" s="19">
        <f t="shared" si="23"/>
        <v>0</v>
      </c>
      <c r="J76" s="19">
        <f t="shared" si="23"/>
        <v>0</v>
      </c>
      <c r="K76" s="19">
        <f t="shared" si="23"/>
        <v>0</v>
      </c>
      <c r="L76" s="19">
        <f>SUM(L67:L75)</f>
        <v>0</v>
      </c>
      <c r="M76" s="19">
        <f t="shared" si="23"/>
        <v>0</v>
      </c>
      <c r="N76" s="19">
        <f t="shared" si="23"/>
        <v>0</v>
      </c>
      <c r="O76" s="19">
        <f t="shared" si="23"/>
        <v>0</v>
      </c>
      <c r="P76" s="19">
        <f t="shared" si="23"/>
        <v>0</v>
      </c>
      <c r="Q76" s="19">
        <f>SUM(Q67:Q75)</f>
        <v>0</v>
      </c>
      <c r="R76" s="19">
        <f t="shared" si="23"/>
        <v>0</v>
      </c>
      <c r="S76" s="19">
        <f t="shared" si="23"/>
        <v>0</v>
      </c>
      <c r="T76" s="19">
        <f t="shared" si="23"/>
        <v>0</v>
      </c>
      <c r="U76" s="19">
        <f t="shared" si="23"/>
        <v>0</v>
      </c>
      <c r="V76" s="19">
        <f t="shared" si="23"/>
        <v>0</v>
      </c>
      <c r="W76" s="19">
        <f t="shared" si="23"/>
        <v>0</v>
      </c>
      <c r="X76" s="19">
        <f t="shared" si="23"/>
        <v>0</v>
      </c>
      <c r="Y76" s="19">
        <f t="shared" si="23"/>
        <v>0</v>
      </c>
      <c r="Z76" s="19">
        <f t="shared" si="23"/>
        <v>0</v>
      </c>
      <c r="AA76" s="19">
        <f t="shared" si="23"/>
        <v>0</v>
      </c>
      <c r="AB76" s="19">
        <f t="shared" si="23"/>
        <v>0</v>
      </c>
      <c r="AC76" s="19">
        <f t="shared" si="23"/>
        <v>0</v>
      </c>
      <c r="AD76" s="34"/>
      <c r="AE76" s="34"/>
      <c r="AF76" s="11"/>
      <c r="AG76" s="11"/>
      <c r="AH76" s="11"/>
    </row>
    <row r="77" spans="1:124">
      <c r="A77" s="12" t="s">
        <v>69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 t="s">
        <v>21</v>
      </c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19.059999999999999</v>
      </c>
    </row>
    <row r="78" spans="1:124">
      <c r="A78" s="14" t="s">
        <v>70</v>
      </c>
      <c r="B78" s="20"/>
      <c r="C78" s="15">
        <v>1</v>
      </c>
      <c r="D78" s="15"/>
      <c r="E78" s="15"/>
      <c r="F78" s="372"/>
      <c r="G78" s="372"/>
      <c r="H78" s="372"/>
      <c r="I78" s="372"/>
      <c r="J78" s="372"/>
      <c r="K78" s="374"/>
      <c r="L78" s="374"/>
      <c r="M78" s="374">
        <v>0.78</v>
      </c>
      <c r="N78" s="372">
        <v>0.71</v>
      </c>
      <c r="O78" s="372">
        <v>0.73</v>
      </c>
      <c r="P78" s="372">
        <v>0.78</v>
      </c>
      <c r="Q78" s="372">
        <v>0.8</v>
      </c>
      <c r="R78" s="372">
        <v>0.87</v>
      </c>
      <c r="S78" s="372">
        <v>0.86</v>
      </c>
      <c r="T78" s="372">
        <v>0.86</v>
      </c>
      <c r="U78" s="372">
        <v>0.85</v>
      </c>
      <c r="V78" s="372">
        <v>0.84</v>
      </c>
      <c r="W78" s="372">
        <v>0.83</v>
      </c>
      <c r="X78" s="372">
        <v>0.83</v>
      </c>
      <c r="Y78" s="372">
        <v>0</v>
      </c>
      <c r="Z78" s="372">
        <v>0</v>
      </c>
      <c r="AA78" s="372">
        <v>0</v>
      </c>
      <c r="AB78" s="372">
        <v>0</v>
      </c>
      <c r="AC78" s="372">
        <v>0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17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71</v>
      </c>
      <c r="B79" s="20"/>
      <c r="C79" s="15">
        <v>1</v>
      </c>
      <c r="D79" s="15"/>
      <c r="E79" s="15"/>
      <c r="F79" s="372">
        <v>0.73</v>
      </c>
      <c r="G79" s="372">
        <v>0.71</v>
      </c>
      <c r="H79" s="372">
        <v>0.69</v>
      </c>
      <c r="I79" s="372">
        <v>0.68</v>
      </c>
      <c r="J79" s="372">
        <v>0.64</v>
      </c>
      <c r="K79" s="374">
        <v>0.72</v>
      </c>
      <c r="L79" s="374">
        <v>0.71</v>
      </c>
      <c r="M79" s="374"/>
      <c r="N79" s="372"/>
      <c r="O79" s="372"/>
      <c r="P79" s="372"/>
      <c r="Q79" s="372"/>
      <c r="R79" s="372"/>
      <c r="S79" s="372"/>
      <c r="T79" s="372"/>
      <c r="U79" s="372"/>
      <c r="V79" s="372"/>
      <c r="W79" s="372"/>
      <c r="X79" s="372"/>
      <c r="Y79" s="372">
        <v>0.92</v>
      </c>
      <c r="Z79" s="372">
        <v>0.92</v>
      </c>
      <c r="AA79" s="372">
        <v>0.9</v>
      </c>
      <c r="AB79" s="372">
        <v>0.87</v>
      </c>
      <c r="AC79" s="372">
        <v>0.83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>SUM(F78:F79)</f>
        <v>0.73</v>
      </c>
      <c r="G80" s="19">
        <f t="shared" ref="G80" si="24">SUM(G78:G79)</f>
        <v>0.71</v>
      </c>
      <c r="H80" s="19">
        <f>SUM(H78:H79)</f>
        <v>0.69</v>
      </c>
      <c r="I80" s="19">
        <f>SUM(I78:I79)</f>
        <v>0.68</v>
      </c>
      <c r="J80" s="19">
        <f t="shared" ref="J80:AC80" si="25">SUM(J78:J79)</f>
        <v>0.64</v>
      </c>
      <c r="K80" s="19">
        <f t="shared" si="25"/>
        <v>0.72</v>
      </c>
      <c r="L80" s="19">
        <f>SUM(L78:L79)</f>
        <v>0.71</v>
      </c>
      <c r="M80" s="19">
        <f t="shared" si="25"/>
        <v>0.78</v>
      </c>
      <c r="N80" s="19">
        <f t="shared" si="25"/>
        <v>0.71</v>
      </c>
      <c r="O80" s="19">
        <f>SUM(O78:O79)</f>
        <v>0.73</v>
      </c>
      <c r="P80" s="19">
        <f t="shared" si="25"/>
        <v>0.78</v>
      </c>
      <c r="Q80" s="19">
        <f t="shared" si="25"/>
        <v>0.8</v>
      </c>
      <c r="R80" s="19">
        <f t="shared" si="25"/>
        <v>0.87</v>
      </c>
      <c r="S80" s="19">
        <f t="shared" si="25"/>
        <v>0.86</v>
      </c>
      <c r="T80" s="19">
        <f t="shared" si="25"/>
        <v>0.86</v>
      </c>
      <c r="U80" s="19">
        <f t="shared" si="25"/>
        <v>0.85</v>
      </c>
      <c r="V80" s="19">
        <f t="shared" si="25"/>
        <v>0.84</v>
      </c>
      <c r="W80" s="19">
        <f t="shared" si="25"/>
        <v>0.83</v>
      </c>
      <c r="X80" s="19">
        <f t="shared" si="25"/>
        <v>0.83</v>
      </c>
      <c r="Y80" s="19">
        <f t="shared" si="25"/>
        <v>0.92</v>
      </c>
      <c r="Z80" s="19">
        <f t="shared" si="25"/>
        <v>0.92</v>
      </c>
      <c r="AA80" s="19">
        <f t="shared" si="25"/>
        <v>0.9</v>
      </c>
      <c r="AB80" s="19">
        <f t="shared" si="25"/>
        <v>0.87</v>
      </c>
      <c r="AC80" s="19">
        <f t="shared" si="25"/>
        <v>0.83</v>
      </c>
      <c r="AD80" s="34"/>
      <c r="AE80" s="34"/>
      <c r="AF80" s="11"/>
      <c r="AG80" s="11"/>
      <c r="AH80" s="11"/>
    </row>
    <row r="81" spans="1:40" ht="17.45" hidden="1">
      <c r="A81" s="366" t="s">
        <v>72</v>
      </c>
      <c r="B81" s="365"/>
      <c r="C81" s="367">
        <v>2</v>
      </c>
      <c r="D81" s="363"/>
      <c r="E81" s="363"/>
      <c r="F81" s="364"/>
      <c r="G81" s="364"/>
      <c r="H81" s="364"/>
      <c r="I81" s="364"/>
      <c r="J81" s="364"/>
      <c r="K81" s="364"/>
      <c r="L81" s="364"/>
      <c r="M81" s="364"/>
      <c r="N81" s="364"/>
      <c r="O81" s="364"/>
      <c r="P81" s="364"/>
      <c r="Q81" s="364"/>
      <c r="R81" s="364"/>
      <c r="S81" s="364"/>
      <c r="T81" s="364"/>
      <c r="U81" s="364"/>
      <c r="V81" s="364"/>
      <c r="W81" s="364"/>
      <c r="X81" s="364"/>
      <c r="Y81" s="364"/>
      <c r="Z81" s="364"/>
      <c r="AA81" s="364"/>
      <c r="AB81" s="364"/>
      <c r="AC81" s="364"/>
    </row>
    <row r="82" spans="1:40" ht="17.45" hidden="1">
      <c r="A82" s="368"/>
      <c r="B82" s="369"/>
      <c r="C82" s="370"/>
      <c r="D82" s="371"/>
      <c r="E82" s="371"/>
      <c r="F82" s="372"/>
      <c r="G82" s="372"/>
      <c r="H82" s="372"/>
      <c r="I82" s="372"/>
      <c r="J82" s="372"/>
      <c r="K82" s="374"/>
      <c r="L82" s="374"/>
      <c r="M82" s="374"/>
      <c r="N82" s="372"/>
      <c r="O82" s="372"/>
      <c r="P82" s="372"/>
      <c r="Q82" s="372"/>
      <c r="R82" s="372"/>
      <c r="S82" s="372"/>
      <c r="T82" s="372"/>
      <c r="U82" s="372"/>
      <c r="V82" s="372"/>
      <c r="W82" s="372"/>
      <c r="X82" s="372"/>
      <c r="Y82" s="372"/>
      <c r="Z82" s="372"/>
      <c r="AA82" s="372"/>
      <c r="AB82" s="372"/>
      <c r="AC82" s="372"/>
    </row>
    <row r="83" spans="1:40">
      <c r="A83" s="21" t="s">
        <v>73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:AC83" si="26">SUM(F17,F22,F25,F31,F34,F60,F65,F76,F80,F82)</f>
        <v>42.08</v>
      </c>
      <c r="G83" s="28">
        <f t="shared" si="26"/>
        <v>39.660000000000004</v>
      </c>
      <c r="H83" s="28">
        <f t="shared" si="26"/>
        <v>37.72</v>
      </c>
      <c r="I83" s="28">
        <f t="shared" si="26"/>
        <v>37.019999999999996</v>
      </c>
      <c r="J83" s="28">
        <f t="shared" si="26"/>
        <v>36.72</v>
      </c>
      <c r="K83" s="28">
        <f t="shared" si="26"/>
        <v>40.200000000000003</v>
      </c>
      <c r="L83" s="28">
        <f t="shared" si="26"/>
        <v>42.330000000000005</v>
      </c>
      <c r="M83" s="28">
        <f t="shared" si="26"/>
        <v>40.739999999999995</v>
      </c>
      <c r="N83" s="28">
        <f>SUM(N17,N22,N25,N31,N34,N60,N65,N76,N80,N82)</f>
        <v>48.2</v>
      </c>
      <c r="O83" s="28">
        <f>SUM(O17,O22,O25,O31,O34,O60,O65,O76,O80,O82)</f>
        <v>54.940000000000005</v>
      </c>
      <c r="P83" s="28">
        <f t="shared" si="26"/>
        <v>61.14</v>
      </c>
      <c r="Q83" s="28">
        <f t="shared" si="26"/>
        <v>62.22</v>
      </c>
      <c r="R83" s="28">
        <f t="shared" si="26"/>
        <v>63.389999999999993</v>
      </c>
      <c r="S83" s="28">
        <f t="shared" si="26"/>
        <v>64.64</v>
      </c>
      <c r="T83" s="28">
        <f t="shared" si="26"/>
        <v>66.97</v>
      </c>
      <c r="U83" s="28">
        <f>SUM(U17,U22,U25,U31,U34,U60,U65,U76,U80,U82)</f>
        <v>66.029999999999987</v>
      </c>
      <c r="V83" s="28">
        <f t="shared" si="26"/>
        <v>64.88</v>
      </c>
      <c r="W83" s="28">
        <f t="shared" si="26"/>
        <v>61.69</v>
      </c>
      <c r="X83" s="28">
        <f t="shared" si="26"/>
        <v>60.629999999999995</v>
      </c>
      <c r="Y83" s="28">
        <f t="shared" si="26"/>
        <v>62.76</v>
      </c>
      <c r="Z83" s="28">
        <f t="shared" si="26"/>
        <v>60.02</v>
      </c>
      <c r="AA83" s="28">
        <f t="shared" si="26"/>
        <v>56.120000000000005</v>
      </c>
      <c r="AB83" s="28">
        <f t="shared" si="26"/>
        <v>53.45</v>
      </c>
      <c r="AC83" s="28">
        <f t="shared" si="26"/>
        <v>49.800000000000004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25" t="s">
        <v>74</v>
      </c>
      <c r="B85" s="525"/>
      <c r="C85" s="525"/>
      <c r="D85" s="525"/>
      <c r="E85" s="525"/>
      <c r="F85" s="525"/>
      <c r="G85" s="525"/>
      <c r="H85" s="525"/>
      <c r="I85" s="525"/>
      <c r="J85" s="525"/>
      <c r="K85" s="525"/>
      <c r="L85" s="525"/>
      <c r="M85" s="525"/>
      <c r="N85" s="525"/>
      <c r="O85" s="525"/>
      <c r="P85" s="525"/>
      <c r="Q85" s="525"/>
      <c r="R85" s="525"/>
      <c r="S85" s="525"/>
      <c r="T85" s="525"/>
      <c r="U85" s="525"/>
      <c r="V85" s="525"/>
      <c r="W85" s="525"/>
      <c r="X85" s="525"/>
      <c r="Y85" s="525"/>
      <c r="Z85" s="525"/>
      <c r="AA85" s="525"/>
      <c r="AB85" s="525"/>
      <c r="AC85" s="525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</row>
    <row r="87" spans="1:40" ht="17.45">
      <c r="A87" s="500" t="s">
        <v>75</v>
      </c>
      <c r="B87" s="501"/>
      <c r="C87" s="502"/>
      <c r="D87" s="49"/>
      <c r="E87" s="49"/>
      <c r="F87" s="506" t="s">
        <v>76</v>
      </c>
      <c r="G87" s="506"/>
      <c r="H87" s="506"/>
      <c r="I87" s="506"/>
      <c r="J87" s="506"/>
      <c r="K87" s="506"/>
      <c r="L87" s="506"/>
      <c r="M87" s="506"/>
      <c r="N87" s="506"/>
      <c r="O87" s="506"/>
      <c r="P87" s="506"/>
      <c r="Q87" s="506"/>
      <c r="R87" s="506"/>
      <c r="S87" s="506"/>
      <c r="T87" s="506"/>
      <c r="U87" s="506"/>
      <c r="V87" s="506"/>
      <c r="W87" s="506"/>
      <c r="X87" s="506"/>
      <c r="Y87" s="506"/>
      <c r="Z87" s="506"/>
      <c r="AA87" s="506"/>
      <c r="AB87" s="506"/>
      <c r="AC87" s="506"/>
      <c r="AD87" s="5"/>
      <c r="AE87" s="5"/>
      <c r="AF87" s="5"/>
      <c r="AG87" s="5"/>
      <c r="AH87" s="5"/>
    </row>
    <row r="88" spans="1:40" ht="15.6" customHeight="1">
      <c r="A88" s="503"/>
      <c r="B88" s="504"/>
      <c r="C88" s="505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07" t="s">
        <v>27</v>
      </c>
      <c r="B89" s="508"/>
      <c r="C89" s="509"/>
      <c r="D89" s="45"/>
      <c r="E89" s="45"/>
      <c r="F89" s="64">
        <f t="shared" ref="F89:AC89" si="27">SUM(F22,F25)</f>
        <v>3.3</v>
      </c>
      <c r="G89" s="64">
        <f t="shared" si="27"/>
        <v>0</v>
      </c>
      <c r="H89" s="64">
        <f t="shared" si="27"/>
        <v>0</v>
      </c>
      <c r="I89" s="64">
        <f t="shared" si="27"/>
        <v>0</v>
      </c>
      <c r="J89" s="64">
        <f t="shared" si="27"/>
        <v>0</v>
      </c>
      <c r="K89" s="64">
        <f t="shared" si="27"/>
        <v>0</v>
      </c>
      <c r="L89" s="64">
        <f t="shared" si="27"/>
        <v>0</v>
      </c>
      <c r="M89" s="64">
        <f t="shared" si="27"/>
        <v>2</v>
      </c>
      <c r="N89" s="64">
        <f t="shared" si="27"/>
        <v>5.3</v>
      </c>
      <c r="O89" s="64">
        <f t="shared" si="27"/>
        <v>10.399999999999999</v>
      </c>
      <c r="P89" s="64">
        <f t="shared" si="27"/>
        <v>10.399999999999999</v>
      </c>
      <c r="Q89" s="64">
        <f t="shared" si="27"/>
        <v>9.6</v>
      </c>
      <c r="R89" s="64">
        <f t="shared" si="27"/>
        <v>10.399999999999999</v>
      </c>
      <c r="S89" s="64">
        <f t="shared" si="27"/>
        <v>10.399999999999999</v>
      </c>
      <c r="T89" s="64">
        <f t="shared" si="27"/>
        <v>7.8</v>
      </c>
      <c r="U89" s="64">
        <f t="shared" si="27"/>
        <v>7.6</v>
      </c>
      <c r="V89" s="64">
        <f t="shared" si="27"/>
        <v>7.6</v>
      </c>
      <c r="W89" s="64">
        <f t="shared" si="27"/>
        <v>7.6</v>
      </c>
      <c r="X89" s="64">
        <f t="shared" si="27"/>
        <v>7.6</v>
      </c>
      <c r="Y89" s="64">
        <f t="shared" si="27"/>
        <v>7.6</v>
      </c>
      <c r="Z89" s="64">
        <f t="shared" si="27"/>
        <v>7.6</v>
      </c>
      <c r="AA89" s="64">
        <f t="shared" si="27"/>
        <v>7.6</v>
      </c>
      <c r="AB89" s="64">
        <f t="shared" si="27"/>
        <v>7.6</v>
      </c>
      <c r="AC89" s="64">
        <f t="shared" si="27"/>
        <v>6.8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521" t="s">
        <v>77</v>
      </c>
      <c r="B90" s="521"/>
      <c r="C90" s="522"/>
      <c r="D90" s="45"/>
      <c r="E90" s="45"/>
      <c r="F90" s="68"/>
      <c r="G90" s="68"/>
      <c r="H90" s="68"/>
      <c r="I90" s="68"/>
      <c r="J90" s="68"/>
      <c r="K90" s="68"/>
      <c r="L90" s="68"/>
      <c r="M90" s="68"/>
      <c r="N90" s="68"/>
      <c r="O90" s="68"/>
      <c r="P90" s="68"/>
      <c r="Q90" s="68">
        <v>0.25600000000000001</v>
      </c>
      <c r="R90" s="68">
        <v>0.26400000000000001</v>
      </c>
      <c r="S90" s="68">
        <v>0.26400000000000001</v>
      </c>
      <c r="T90" s="68">
        <v>0.23499999999999999</v>
      </c>
      <c r="U90" s="68">
        <v>0.218</v>
      </c>
      <c r="V90" s="68">
        <v>0.222</v>
      </c>
      <c r="W90" s="68">
        <v>0.20799999999999999</v>
      </c>
      <c r="X90" s="68">
        <v>0.19500000000000001</v>
      </c>
      <c r="Y90" s="68">
        <v>0.16400000000000001</v>
      </c>
      <c r="Z90" s="68">
        <v>0.18099999999999999</v>
      </c>
      <c r="AA90" s="68">
        <v>0.19500000000000001</v>
      </c>
      <c r="AB90" s="68">
        <v>0.20200000000000001</v>
      </c>
      <c r="AC90" s="68">
        <v>0.17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07" t="s">
        <v>78</v>
      </c>
      <c r="B91" s="508"/>
      <c r="C91" s="509"/>
      <c r="D91" s="45"/>
      <c r="E91" s="45"/>
      <c r="F91" s="64">
        <f t="shared" ref="F91:AC91" si="28">F17</f>
        <v>19.899999999999999</v>
      </c>
      <c r="G91" s="64">
        <f t="shared" si="28"/>
        <v>20</v>
      </c>
      <c r="H91" s="64">
        <f t="shared" si="28"/>
        <v>19.899999999999999</v>
      </c>
      <c r="I91" s="64">
        <f t="shared" si="28"/>
        <v>19.7</v>
      </c>
      <c r="J91" s="64">
        <f t="shared" si="28"/>
        <v>19.5</v>
      </c>
      <c r="K91" s="64">
        <f t="shared" si="28"/>
        <v>20.100000000000001</v>
      </c>
      <c r="L91" s="64">
        <f t="shared" si="28"/>
        <v>20.2</v>
      </c>
      <c r="M91" s="64">
        <f t="shared" si="28"/>
        <v>19.7</v>
      </c>
      <c r="N91" s="64">
        <f t="shared" si="28"/>
        <v>20.100000000000001</v>
      </c>
      <c r="O91" s="64">
        <f t="shared" si="28"/>
        <v>20.100000000000001</v>
      </c>
      <c r="P91" s="64">
        <f t="shared" si="28"/>
        <v>23.3</v>
      </c>
      <c r="Q91" s="64">
        <f t="shared" si="28"/>
        <v>26</v>
      </c>
      <c r="R91" s="64">
        <f t="shared" si="28"/>
        <v>26</v>
      </c>
      <c r="S91" s="64">
        <f t="shared" si="28"/>
        <v>26.8</v>
      </c>
      <c r="T91" s="64">
        <f t="shared" si="28"/>
        <v>28.8</v>
      </c>
      <c r="U91" s="64">
        <f t="shared" si="28"/>
        <v>26.4</v>
      </c>
      <c r="V91" s="64">
        <f t="shared" si="28"/>
        <v>26.8</v>
      </c>
      <c r="W91" s="64">
        <f t="shared" si="28"/>
        <v>26.4</v>
      </c>
      <c r="X91" s="64">
        <f t="shared" si="28"/>
        <v>26.4</v>
      </c>
      <c r="Y91" s="64">
        <f t="shared" si="28"/>
        <v>26.4</v>
      </c>
      <c r="Z91" s="64">
        <f t="shared" si="28"/>
        <v>20.100000000000001</v>
      </c>
      <c r="AA91" s="64">
        <f t="shared" si="28"/>
        <v>20.100000000000001</v>
      </c>
      <c r="AB91" s="64">
        <f t="shared" si="28"/>
        <v>19.5</v>
      </c>
      <c r="AC91" s="64">
        <f t="shared" si="28"/>
        <v>19.3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21" t="s">
        <v>79</v>
      </c>
      <c r="B92" s="521"/>
      <c r="C92" s="522"/>
      <c r="D92" s="45"/>
      <c r="E92" s="45"/>
      <c r="F92" s="68">
        <v>0.746</v>
      </c>
      <c r="G92" s="68">
        <v>0.623</v>
      </c>
      <c r="H92" s="68">
        <v>0.63600000000000001</v>
      </c>
      <c r="I92" s="68">
        <v>0.64100000000000001</v>
      </c>
      <c r="J92" s="68">
        <v>0.745</v>
      </c>
      <c r="K92" s="68">
        <v>0.63600000000000001</v>
      </c>
      <c r="L92" s="68">
        <v>0.93</v>
      </c>
      <c r="M92" s="68">
        <v>0.85299999999999998</v>
      </c>
      <c r="N92" s="68">
        <v>0.86299999999999999</v>
      </c>
      <c r="O92" s="68">
        <v>0.871</v>
      </c>
      <c r="P92" s="68">
        <v>1.0329999999999999</v>
      </c>
      <c r="Q92" s="68">
        <v>1.0409999999999999</v>
      </c>
      <c r="R92" s="68">
        <v>1.044</v>
      </c>
      <c r="S92" s="68">
        <v>0.998</v>
      </c>
      <c r="T92" s="68">
        <v>1.0660000000000001</v>
      </c>
      <c r="U92" s="68">
        <v>1.091</v>
      </c>
      <c r="V92" s="68">
        <v>1.099</v>
      </c>
      <c r="W92" s="68">
        <v>1.0109999999999999</v>
      </c>
      <c r="X92" s="68">
        <v>0.98799999999999999</v>
      </c>
      <c r="Y92" s="68">
        <v>0.95299999999999996</v>
      </c>
      <c r="Z92" s="68">
        <v>0.88100000000000001</v>
      </c>
      <c r="AA92" s="68">
        <v>0.82199999999999995</v>
      </c>
      <c r="AB92" s="68">
        <v>0.65100000000000002</v>
      </c>
      <c r="AC92" s="68">
        <v>0.65300000000000002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07" t="s">
        <v>29</v>
      </c>
      <c r="B93" s="508"/>
      <c r="C93" s="509"/>
      <c r="D93" s="45"/>
      <c r="E93" s="45"/>
      <c r="F93" s="65">
        <f t="shared" ref="F93:AC93" si="29">F31</f>
        <v>4</v>
      </c>
      <c r="G93" s="65">
        <f t="shared" si="29"/>
        <v>3.8</v>
      </c>
      <c r="H93" s="65">
        <f t="shared" si="29"/>
        <v>3</v>
      </c>
      <c r="I93" s="65">
        <f t="shared" si="29"/>
        <v>3</v>
      </c>
      <c r="J93" s="65">
        <f t="shared" si="29"/>
        <v>3</v>
      </c>
      <c r="K93" s="65">
        <f t="shared" si="29"/>
        <v>4</v>
      </c>
      <c r="L93" s="65">
        <f t="shared" si="29"/>
        <v>4.2</v>
      </c>
      <c r="M93" s="65">
        <f t="shared" si="29"/>
        <v>3</v>
      </c>
      <c r="N93" s="65">
        <f t="shared" si="29"/>
        <v>3.8</v>
      </c>
      <c r="O93" s="65">
        <f t="shared" si="29"/>
        <v>6.8</v>
      </c>
      <c r="P93" s="65">
        <f t="shared" si="29"/>
        <v>11</v>
      </c>
      <c r="Q93" s="65">
        <f t="shared" si="29"/>
        <v>10</v>
      </c>
      <c r="R93" s="65">
        <f t="shared" si="29"/>
        <v>10.3</v>
      </c>
      <c r="S93" s="65">
        <f t="shared" si="29"/>
        <v>11</v>
      </c>
      <c r="T93" s="65">
        <f>T31</f>
        <v>12.600000000000001</v>
      </c>
      <c r="U93" s="65">
        <f t="shared" si="29"/>
        <v>10.7</v>
      </c>
      <c r="V93" s="65">
        <f t="shared" si="29"/>
        <v>11.3</v>
      </c>
      <c r="W93" s="65">
        <f t="shared" si="29"/>
        <v>11.2</v>
      </c>
      <c r="X93" s="65">
        <f t="shared" si="29"/>
        <v>10.199999999999999</v>
      </c>
      <c r="Y93" s="65">
        <f t="shared" si="29"/>
        <v>10.7</v>
      </c>
      <c r="Z93" s="65">
        <f t="shared" si="29"/>
        <v>10</v>
      </c>
      <c r="AA93" s="65">
        <f t="shared" si="29"/>
        <v>11.2</v>
      </c>
      <c r="AB93" s="65">
        <f t="shared" si="29"/>
        <v>10</v>
      </c>
      <c r="AC93" s="65">
        <f t="shared" si="29"/>
        <v>9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21" t="s">
        <v>80</v>
      </c>
      <c r="B94" s="521"/>
      <c r="C94" s="522"/>
      <c r="D94" s="45"/>
      <c r="E94" s="45"/>
      <c r="F94" s="68">
        <v>0.17199999999999999</v>
      </c>
      <c r="G94" s="68">
        <v>0.16400000000000001</v>
      </c>
      <c r="H94" s="68">
        <v>0.16500000000000001</v>
      </c>
      <c r="I94" s="68">
        <v>0.16</v>
      </c>
      <c r="J94" s="68">
        <v>0.158</v>
      </c>
      <c r="K94" s="68">
        <v>0.158</v>
      </c>
      <c r="L94" s="68">
        <v>0.153</v>
      </c>
      <c r="M94" s="68">
        <v>0.185</v>
      </c>
      <c r="N94" s="68">
        <v>0.185</v>
      </c>
      <c r="O94" s="68">
        <v>0.223</v>
      </c>
      <c r="P94" s="68">
        <v>0.23499999999999999</v>
      </c>
      <c r="Q94" s="68">
        <f>0.225+0.1921</f>
        <v>0.41710000000000003</v>
      </c>
      <c r="R94" s="68">
        <v>0.22</v>
      </c>
      <c r="S94" s="68">
        <f>0.218+0.216</f>
        <v>0.434</v>
      </c>
      <c r="T94" s="68">
        <f>0.22+0.2021</f>
        <v>0.42210000000000003</v>
      </c>
      <c r="U94" s="68">
        <v>0.216</v>
      </c>
      <c r="V94" s="68">
        <v>0.20499999999999999</v>
      </c>
      <c r="W94" s="68">
        <v>0.22500000000000001</v>
      </c>
      <c r="X94" s="68">
        <v>0.222</v>
      </c>
      <c r="Y94" s="68">
        <v>0.22500000000000001</v>
      </c>
      <c r="Z94" s="68">
        <v>0.20100000000000001</v>
      </c>
      <c r="AA94" s="68">
        <v>0.187</v>
      </c>
      <c r="AB94" s="68">
        <v>0.20200000000000001</v>
      </c>
      <c r="AC94" s="68">
        <v>0.17399999999999999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07" t="s">
        <v>32</v>
      </c>
      <c r="B95" s="508"/>
      <c r="C95" s="509"/>
      <c r="D95" s="45"/>
      <c r="E95" s="45"/>
      <c r="F95" s="65">
        <f t="shared" ref="F95:AC95" si="30">F34</f>
        <v>13.25</v>
      </c>
      <c r="G95" s="65">
        <f t="shared" si="30"/>
        <v>14.27</v>
      </c>
      <c r="H95" s="65">
        <f t="shared" si="30"/>
        <v>13.28</v>
      </c>
      <c r="I95" s="65">
        <f t="shared" si="30"/>
        <v>12.81</v>
      </c>
      <c r="J95" s="65">
        <f t="shared" si="30"/>
        <v>12.8</v>
      </c>
      <c r="K95" s="65">
        <f t="shared" si="30"/>
        <v>14.28</v>
      </c>
      <c r="L95" s="65">
        <f t="shared" si="30"/>
        <v>14.27</v>
      </c>
      <c r="M95" s="65">
        <f t="shared" si="30"/>
        <v>14.28</v>
      </c>
      <c r="N95" s="65">
        <f t="shared" si="30"/>
        <v>14.3</v>
      </c>
      <c r="O95" s="65">
        <f t="shared" si="30"/>
        <v>14.3</v>
      </c>
      <c r="P95" s="65">
        <f t="shared" si="30"/>
        <v>14.28</v>
      </c>
      <c r="Q95" s="65">
        <f t="shared" si="30"/>
        <v>14.26</v>
      </c>
      <c r="R95" s="65">
        <f t="shared" si="30"/>
        <v>14.27</v>
      </c>
      <c r="S95" s="65">
        <f t="shared" si="30"/>
        <v>14.29</v>
      </c>
      <c r="T95" s="65">
        <f t="shared" si="30"/>
        <v>14.3</v>
      </c>
      <c r="U95" s="65">
        <f t="shared" si="30"/>
        <v>14.27</v>
      </c>
      <c r="V95" s="65">
        <f t="shared" si="30"/>
        <v>14.27</v>
      </c>
      <c r="W95" s="65">
        <f t="shared" si="30"/>
        <v>14.29</v>
      </c>
      <c r="X95" s="65">
        <f t="shared" si="30"/>
        <v>14.3</v>
      </c>
      <c r="Y95" s="65">
        <f t="shared" si="30"/>
        <v>14.26</v>
      </c>
      <c r="Z95" s="65">
        <f t="shared" si="30"/>
        <v>14.26</v>
      </c>
      <c r="AA95" s="65">
        <f t="shared" si="30"/>
        <v>14.25</v>
      </c>
      <c r="AB95" s="65">
        <f t="shared" si="30"/>
        <v>14.28</v>
      </c>
      <c r="AC95" s="65">
        <f t="shared" si="30"/>
        <v>12.81</v>
      </c>
      <c r="AG95" s="5"/>
      <c r="AH95" s="5"/>
      <c r="AI95" s="5"/>
      <c r="AJ95" s="5"/>
      <c r="AK95" s="5"/>
      <c r="AL95" s="5"/>
      <c r="AM95" s="5"/>
      <c r="AN95" s="5"/>
    </row>
    <row r="96" spans="1:40" s="67" customFormat="1" ht="17.45">
      <c r="A96" s="521" t="s">
        <v>81</v>
      </c>
      <c r="B96" s="521"/>
      <c r="C96" s="522"/>
      <c r="D96" s="68"/>
      <c r="E96" s="68"/>
      <c r="F96" s="68">
        <v>0.75</v>
      </c>
      <c r="G96" s="68">
        <v>0.73</v>
      </c>
      <c r="H96" s="68">
        <v>0.72</v>
      </c>
      <c r="I96" s="68">
        <v>0.69</v>
      </c>
      <c r="J96" s="68">
        <v>0.7</v>
      </c>
      <c r="K96" s="68">
        <v>0.72</v>
      </c>
      <c r="L96" s="68">
        <v>0.73</v>
      </c>
      <c r="M96" s="68">
        <v>0.72</v>
      </c>
      <c r="N96" s="68">
        <v>0.7</v>
      </c>
      <c r="O96" s="68">
        <v>0.7</v>
      </c>
      <c r="P96" s="68">
        <v>0.72</v>
      </c>
      <c r="Q96" s="68">
        <v>0.74</v>
      </c>
      <c r="R96" s="68">
        <v>0.73</v>
      </c>
      <c r="S96" s="68">
        <v>0.71</v>
      </c>
      <c r="T96" s="68">
        <v>0.7</v>
      </c>
      <c r="U96" s="68">
        <v>0.73</v>
      </c>
      <c r="V96" s="68">
        <v>0.73</v>
      </c>
      <c r="W96" s="68">
        <v>0.71</v>
      </c>
      <c r="X96" s="68">
        <v>0.7</v>
      </c>
      <c r="Y96" s="68">
        <v>0.74</v>
      </c>
      <c r="Z96" s="68">
        <v>0.74</v>
      </c>
      <c r="AA96" s="68">
        <v>0.75</v>
      </c>
      <c r="AB96" s="68">
        <v>0.72</v>
      </c>
      <c r="AC96" s="68">
        <v>0.69</v>
      </c>
      <c r="AD96" s="69"/>
      <c r="AE96" s="69"/>
      <c r="AF96" s="69"/>
      <c r="AG96" s="69"/>
      <c r="AH96" s="69"/>
      <c r="AI96" s="69"/>
      <c r="AJ96" s="69"/>
      <c r="AK96" s="69"/>
    </row>
    <row r="97" spans="1:124" ht="17.45">
      <c r="A97" s="507" t="s">
        <v>33</v>
      </c>
      <c r="B97" s="508"/>
      <c r="C97" s="509"/>
      <c r="D97" s="45"/>
      <c r="E97" s="45"/>
      <c r="F97" s="64">
        <f t="shared" ref="F97:AC97" si="31">F60</f>
        <v>0</v>
      </c>
      <c r="G97" s="64">
        <f t="shared" si="31"/>
        <v>0</v>
      </c>
      <c r="H97" s="64">
        <f t="shared" si="31"/>
        <v>0</v>
      </c>
      <c r="I97" s="64">
        <f t="shared" si="31"/>
        <v>0</v>
      </c>
      <c r="J97" s="64">
        <f t="shared" si="31"/>
        <v>0</v>
      </c>
      <c r="K97" s="64">
        <f t="shared" si="31"/>
        <v>0</v>
      </c>
      <c r="L97" s="64">
        <f t="shared" si="31"/>
        <v>2.0299999999999998</v>
      </c>
      <c r="M97" s="64">
        <f t="shared" si="31"/>
        <v>0</v>
      </c>
      <c r="N97" s="64">
        <f t="shared" si="31"/>
        <v>2.86</v>
      </c>
      <c r="O97" s="64">
        <f t="shared" si="31"/>
        <v>1.4</v>
      </c>
      <c r="P97" s="64">
        <f t="shared" si="31"/>
        <v>0</v>
      </c>
      <c r="Q97" s="64">
        <f t="shared" si="31"/>
        <v>0</v>
      </c>
      <c r="R97" s="64">
        <f t="shared" si="31"/>
        <v>0</v>
      </c>
      <c r="S97" s="64">
        <f t="shared" si="31"/>
        <v>0</v>
      </c>
      <c r="T97" s="64">
        <f t="shared" si="31"/>
        <v>1.4</v>
      </c>
      <c r="U97" s="64">
        <f t="shared" si="31"/>
        <v>5</v>
      </c>
      <c r="V97" s="64">
        <f t="shared" si="31"/>
        <v>2.8</v>
      </c>
      <c r="W97" s="64">
        <f t="shared" si="31"/>
        <v>0</v>
      </c>
      <c r="X97" s="64">
        <f t="shared" si="31"/>
        <v>0</v>
      </c>
      <c r="Y97" s="64">
        <f t="shared" si="31"/>
        <v>1.4</v>
      </c>
      <c r="Z97" s="64">
        <f t="shared" si="31"/>
        <v>5.7000000000000011</v>
      </c>
      <c r="AA97" s="64">
        <f t="shared" si="31"/>
        <v>0.7</v>
      </c>
      <c r="AB97" s="64">
        <f t="shared" si="31"/>
        <v>0</v>
      </c>
      <c r="AC97" s="64">
        <f t="shared" si="31"/>
        <v>0</v>
      </c>
      <c r="AG97" s="5"/>
      <c r="AH97" s="5"/>
      <c r="AI97" s="5"/>
      <c r="AJ97" s="5"/>
      <c r="AK97" s="5"/>
      <c r="AL97" s="5"/>
      <c r="AM97" s="5"/>
      <c r="AN97" s="5"/>
    </row>
    <row r="98" spans="1:124" ht="17.45">
      <c r="A98" s="507" t="s">
        <v>55</v>
      </c>
      <c r="B98" s="508"/>
      <c r="C98" s="509"/>
      <c r="D98" s="45"/>
      <c r="E98" s="45"/>
      <c r="F98" s="64">
        <f t="shared" ref="F98:AC98" si="32">F65</f>
        <v>0.9</v>
      </c>
      <c r="G98" s="64">
        <f t="shared" si="32"/>
        <v>0.88</v>
      </c>
      <c r="H98" s="64">
        <f t="shared" si="32"/>
        <v>0.85</v>
      </c>
      <c r="I98" s="64">
        <f t="shared" si="32"/>
        <v>0.83</v>
      </c>
      <c r="J98" s="64">
        <f t="shared" si="32"/>
        <v>0.78</v>
      </c>
      <c r="K98" s="64">
        <f t="shared" si="32"/>
        <v>1.1000000000000001</v>
      </c>
      <c r="L98" s="64">
        <f t="shared" si="32"/>
        <v>0.92</v>
      </c>
      <c r="M98" s="64">
        <f t="shared" si="32"/>
        <v>0.98</v>
      </c>
      <c r="N98" s="64">
        <f t="shared" si="32"/>
        <v>1.1299999999999999</v>
      </c>
      <c r="O98" s="64">
        <f t="shared" si="32"/>
        <v>1.21</v>
      </c>
      <c r="P98" s="64">
        <f t="shared" si="32"/>
        <v>1.38</v>
      </c>
      <c r="Q98" s="64">
        <f t="shared" si="32"/>
        <v>1.56</v>
      </c>
      <c r="R98" s="64">
        <f t="shared" si="32"/>
        <v>1.55</v>
      </c>
      <c r="S98" s="64">
        <f t="shared" si="32"/>
        <v>1.29</v>
      </c>
      <c r="T98" s="64">
        <f t="shared" si="32"/>
        <v>1.21</v>
      </c>
      <c r="U98" s="64">
        <f t="shared" si="32"/>
        <v>1.21</v>
      </c>
      <c r="V98" s="64">
        <f t="shared" si="32"/>
        <v>1.27</v>
      </c>
      <c r="W98" s="64">
        <f t="shared" si="32"/>
        <v>1.37</v>
      </c>
      <c r="X98" s="64">
        <f t="shared" si="32"/>
        <v>1.3</v>
      </c>
      <c r="Y98" s="64">
        <f t="shared" si="32"/>
        <v>1.48</v>
      </c>
      <c r="Z98" s="64">
        <f t="shared" si="32"/>
        <v>1.44</v>
      </c>
      <c r="AA98" s="64">
        <f t="shared" si="32"/>
        <v>1.37</v>
      </c>
      <c r="AB98" s="64">
        <f t="shared" si="32"/>
        <v>1.2</v>
      </c>
      <c r="AC98" s="64">
        <f t="shared" si="32"/>
        <v>1.06</v>
      </c>
      <c r="AG98" s="5"/>
      <c r="AH98" s="5"/>
      <c r="AI98" s="5"/>
      <c r="AJ98" s="5"/>
      <c r="AK98" s="5"/>
      <c r="AL98" s="5"/>
      <c r="AM98" s="5"/>
      <c r="AN98" s="5"/>
    </row>
    <row r="99" spans="1:124" s="2" customFormat="1" ht="17.45">
      <c r="A99" s="507" t="s">
        <v>59</v>
      </c>
      <c r="B99" s="508"/>
      <c r="C99" s="509"/>
      <c r="D99" s="45"/>
      <c r="E99" s="45"/>
      <c r="F99" s="64">
        <f t="shared" ref="F99:AC99" si="33">F76</f>
        <v>0</v>
      </c>
      <c r="G99" s="64">
        <f t="shared" si="33"/>
        <v>0</v>
      </c>
      <c r="H99" s="64">
        <f t="shared" si="33"/>
        <v>0</v>
      </c>
      <c r="I99" s="64">
        <f t="shared" si="33"/>
        <v>0</v>
      </c>
      <c r="J99" s="64">
        <f t="shared" si="33"/>
        <v>0</v>
      </c>
      <c r="K99" s="64">
        <f t="shared" si="33"/>
        <v>0</v>
      </c>
      <c r="L99" s="64">
        <f t="shared" si="33"/>
        <v>0</v>
      </c>
      <c r="M99" s="64">
        <f t="shared" si="33"/>
        <v>0</v>
      </c>
      <c r="N99" s="64">
        <f t="shared" si="33"/>
        <v>0</v>
      </c>
      <c r="O99" s="64">
        <f t="shared" si="33"/>
        <v>0</v>
      </c>
      <c r="P99" s="64">
        <f t="shared" si="33"/>
        <v>0</v>
      </c>
      <c r="Q99" s="64">
        <f t="shared" si="33"/>
        <v>0</v>
      </c>
      <c r="R99" s="64">
        <f t="shared" si="33"/>
        <v>0</v>
      </c>
      <c r="S99" s="64">
        <f t="shared" si="33"/>
        <v>0</v>
      </c>
      <c r="T99" s="64">
        <f t="shared" si="33"/>
        <v>0</v>
      </c>
      <c r="U99" s="64">
        <f t="shared" si="33"/>
        <v>0</v>
      </c>
      <c r="V99" s="64">
        <f t="shared" si="33"/>
        <v>0</v>
      </c>
      <c r="W99" s="64">
        <f t="shared" si="33"/>
        <v>0</v>
      </c>
      <c r="X99" s="64">
        <f t="shared" si="33"/>
        <v>0</v>
      </c>
      <c r="Y99" s="64">
        <f t="shared" si="33"/>
        <v>0</v>
      </c>
      <c r="Z99" s="64">
        <f t="shared" si="33"/>
        <v>0</v>
      </c>
      <c r="AA99" s="64">
        <f t="shared" si="33"/>
        <v>0</v>
      </c>
      <c r="AB99" s="64">
        <f t="shared" si="33"/>
        <v>0</v>
      </c>
      <c r="AC99" s="64">
        <f t="shared" si="33"/>
        <v>0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>
      <c r="A100" s="507" t="s">
        <v>69</v>
      </c>
      <c r="B100" s="508"/>
      <c r="C100" s="509"/>
      <c r="D100" s="45"/>
      <c r="E100" s="45"/>
      <c r="F100" s="64">
        <f t="shared" ref="F100:AC100" si="34">F80</f>
        <v>0.73</v>
      </c>
      <c r="G100" s="64">
        <f t="shared" si="34"/>
        <v>0.71</v>
      </c>
      <c r="H100" s="64">
        <f t="shared" si="34"/>
        <v>0.69</v>
      </c>
      <c r="I100" s="64">
        <f t="shared" si="34"/>
        <v>0.68</v>
      </c>
      <c r="J100" s="64">
        <f t="shared" si="34"/>
        <v>0.64</v>
      </c>
      <c r="K100" s="64">
        <f t="shared" si="34"/>
        <v>0.72</v>
      </c>
      <c r="L100" s="64">
        <f t="shared" si="34"/>
        <v>0.71</v>
      </c>
      <c r="M100" s="64">
        <f t="shared" si="34"/>
        <v>0.78</v>
      </c>
      <c r="N100" s="64">
        <f t="shared" si="34"/>
        <v>0.71</v>
      </c>
      <c r="O100" s="64">
        <f t="shared" si="34"/>
        <v>0.73</v>
      </c>
      <c r="P100" s="64">
        <f t="shared" si="34"/>
        <v>0.78</v>
      </c>
      <c r="Q100" s="64">
        <f t="shared" si="34"/>
        <v>0.8</v>
      </c>
      <c r="R100" s="64">
        <f t="shared" si="34"/>
        <v>0.87</v>
      </c>
      <c r="S100" s="64">
        <f t="shared" si="34"/>
        <v>0.86</v>
      </c>
      <c r="T100" s="64">
        <f t="shared" si="34"/>
        <v>0.86</v>
      </c>
      <c r="U100" s="64">
        <f t="shared" si="34"/>
        <v>0.85</v>
      </c>
      <c r="V100" s="64">
        <f t="shared" si="34"/>
        <v>0.84</v>
      </c>
      <c r="W100" s="64">
        <f t="shared" si="34"/>
        <v>0.83</v>
      </c>
      <c r="X100" s="64">
        <f t="shared" si="34"/>
        <v>0.83</v>
      </c>
      <c r="Y100" s="64">
        <f t="shared" si="34"/>
        <v>0.92</v>
      </c>
      <c r="Z100" s="64">
        <f t="shared" si="34"/>
        <v>0.92</v>
      </c>
      <c r="AA100" s="64">
        <f t="shared" si="34"/>
        <v>0.9</v>
      </c>
      <c r="AB100" s="64">
        <f t="shared" si="34"/>
        <v>0.87</v>
      </c>
      <c r="AC100" s="64">
        <f t="shared" si="34"/>
        <v>0.83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 customHeight="1">
      <c r="A101" s="507" t="s">
        <v>72</v>
      </c>
      <c r="B101" s="508"/>
      <c r="C101" s="509"/>
      <c r="D101" s="45"/>
      <c r="E101" s="45"/>
      <c r="F101" s="64">
        <f t="shared" ref="F101:AC101" si="35">F82</f>
        <v>0</v>
      </c>
      <c r="G101" s="64">
        <f t="shared" si="35"/>
        <v>0</v>
      </c>
      <c r="H101" s="64">
        <f t="shared" si="35"/>
        <v>0</v>
      </c>
      <c r="I101" s="64">
        <f t="shared" si="35"/>
        <v>0</v>
      </c>
      <c r="J101" s="64">
        <f t="shared" si="35"/>
        <v>0</v>
      </c>
      <c r="K101" s="64">
        <f t="shared" si="35"/>
        <v>0</v>
      </c>
      <c r="L101" s="64">
        <f t="shared" si="35"/>
        <v>0</v>
      </c>
      <c r="M101" s="64">
        <f t="shared" si="35"/>
        <v>0</v>
      </c>
      <c r="N101" s="64">
        <f t="shared" si="35"/>
        <v>0</v>
      </c>
      <c r="O101" s="64">
        <f t="shared" si="35"/>
        <v>0</v>
      </c>
      <c r="P101" s="64">
        <f t="shared" si="35"/>
        <v>0</v>
      </c>
      <c r="Q101" s="64">
        <f t="shared" si="35"/>
        <v>0</v>
      </c>
      <c r="R101" s="64">
        <f t="shared" si="35"/>
        <v>0</v>
      </c>
      <c r="S101" s="64">
        <f t="shared" si="35"/>
        <v>0</v>
      </c>
      <c r="T101" s="64">
        <f t="shared" si="35"/>
        <v>0</v>
      </c>
      <c r="U101" s="64">
        <f t="shared" si="35"/>
        <v>0</v>
      </c>
      <c r="V101" s="64">
        <f t="shared" si="35"/>
        <v>0</v>
      </c>
      <c r="W101" s="64">
        <f t="shared" si="35"/>
        <v>0</v>
      </c>
      <c r="X101" s="64">
        <f t="shared" si="35"/>
        <v>0</v>
      </c>
      <c r="Y101" s="64">
        <f t="shared" si="35"/>
        <v>0</v>
      </c>
      <c r="Z101" s="64">
        <f t="shared" si="35"/>
        <v>0</v>
      </c>
      <c r="AA101" s="64">
        <f t="shared" si="35"/>
        <v>0</v>
      </c>
      <c r="AB101" s="64">
        <f t="shared" si="35"/>
        <v>0</v>
      </c>
      <c r="AC101" s="64">
        <f t="shared" si="35"/>
        <v>0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>
      <c r="A102" s="511" t="s">
        <v>82</v>
      </c>
      <c r="B102" s="511"/>
      <c r="C102" s="511"/>
      <c r="D102" s="47"/>
      <c r="E102" s="47"/>
      <c r="F102" s="61">
        <f t="shared" ref="F102:AC102" si="36">SUM(F89,F91,F93,F95,F97:F101,F81)</f>
        <v>42.08</v>
      </c>
      <c r="G102" s="61">
        <f t="shared" si="36"/>
        <v>39.660000000000004</v>
      </c>
      <c r="H102" s="61">
        <f t="shared" si="36"/>
        <v>37.72</v>
      </c>
      <c r="I102" s="61">
        <f t="shared" si="36"/>
        <v>37.019999999999996</v>
      </c>
      <c r="J102" s="61">
        <f t="shared" si="36"/>
        <v>36.72</v>
      </c>
      <c r="K102" s="61">
        <f>SUM(K89,K91,K93,K95,K97:K101,K81)</f>
        <v>40.200000000000003</v>
      </c>
      <c r="L102" s="61">
        <f t="shared" si="36"/>
        <v>42.330000000000005</v>
      </c>
      <c r="M102" s="61">
        <f t="shared" si="36"/>
        <v>40.739999999999995</v>
      </c>
      <c r="N102" s="61">
        <f t="shared" si="36"/>
        <v>48.2</v>
      </c>
      <c r="O102" s="61">
        <f t="shared" si="36"/>
        <v>54.939999999999991</v>
      </c>
      <c r="P102" s="61">
        <f t="shared" si="36"/>
        <v>61.140000000000008</v>
      </c>
      <c r="Q102" s="61">
        <f t="shared" si="36"/>
        <v>62.22</v>
      </c>
      <c r="R102" s="61">
        <f t="shared" si="36"/>
        <v>63.389999999999993</v>
      </c>
      <c r="S102" s="61">
        <f>SUM(S89,S91,S93,S95,S97:S101,S81)</f>
        <v>64.64</v>
      </c>
      <c r="T102" s="61">
        <f>SUM(T89,T91,T93,T95,T97:T101,T81)</f>
        <v>66.97</v>
      </c>
      <c r="U102" s="61">
        <f t="shared" si="36"/>
        <v>66.029999999999987</v>
      </c>
      <c r="V102" s="61">
        <f t="shared" si="36"/>
        <v>64.88</v>
      </c>
      <c r="W102" s="61">
        <f t="shared" si="36"/>
        <v>61.69</v>
      </c>
      <c r="X102" s="61">
        <f>SUM(X89,X91,X93,X95,X97:X101,X81)</f>
        <v>60.629999999999995</v>
      </c>
      <c r="Y102" s="61">
        <f t="shared" si="36"/>
        <v>62.76</v>
      </c>
      <c r="Z102" s="61">
        <f t="shared" si="36"/>
        <v>60.02</v>
      </c>
      <c r="AA102" s="61">
        <f t="shared" si="36"/>
        <v>56.120000000000005</v>
      </c>
      <c r="AB102" s="61">
        <f t="shared" si="36"/>
        <v>53.45</v>
      </c>
      <c r="AC102" s="61">
        <f t="shared" si="36"/>
        <v>49.800000000000004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12" t="s">
        <v>83</v>
      </c>
      <c r="B103" s="512"/>
      <c r="C103" s="512"/>
      <c r="D103" s="46"/>
      <c r="E103" s="46"/>
      <c r="F103" s="76"/>
      <c r="G103" s="76"/>
      <c r="H103" s="76"/>
      <c r="I103" s="76"/>
      <c r="J103" s="76"/>
      <c r="K103" s="76"/>
      <c r="L103" s="76"/>
      <c r="M103" s="76"/>
      <c r="N103" s="76"/>
      <c r="O103" s="76"/>
      <c r="P103" s="76"/>
      <c r="Q103" s="76"/>
      <c r="R103" s="76"/>
      <c r="S103" s="76"/>
      <c r="T103" s="76"/>
      <c r="U103" s="76"/>
      <c r="V103" s="76"/>
      <c r="W103" s="76"/>
      <c r="X103" s="76"/>
      <c r="Y103" s="76"/>
      <c r="Z103" s="76"/>
      <c r="AA103" s="76"/>
      <c r="AB103" s="76"/>
      <c r="AC103" s="76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12" t="s">
        <v>84</v>
      </c>
      <c r="B104" s="512"/>
      <c r="C104" s="512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12" t="s">
        <v>85</v>
      </c>
      <c r="B105" s="512"/>
      <c r="C105" s="512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>
        <v>1.44</v>
      </c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11" t="s">
        <v>86</v>
      </c>
      <c r="B106" s="511"/>
      <c r="C106" s="511"/>
      <c r="D106" s="47"/>
      <c r="E106" s="47"/>
      <c r="F106" s="61">
        <f t="shared" ref="F106:AC106" si="37">SUM(F103:F105)</f>
        <v>0</v>
      </c>
      <c r="G106" s="61">
        <f t="shared" si="37"/>
        <v>0</v>
      </c>
      <c r="H106" s="61">
        <f t="shared" si="37"/>
        <v>0</v>
      </c>
      <c r="I106" s="61">
        <f t="shared" si="37"/>
        <v>0</v>
      </c>
      <c r="J106" s="61">
        <f t="shared" si="37"/>
        <v>0</v>
      </c>
      <c r="K106" s="61">
        <f t="shared" si="37"/>
        <v>0</v>
      </c>
      <c r="L106" s="61">
        <f t="shared" si="37"/>
        <v>0</v>
      </c>
      <c r="M106" s="61">
        <f t="shared" si="37"/>
        <v>0</v>
      </c>
      <c r="N106" s="61">
        <f t="shared" si="37"/>
        <v>0</v>
      </c>
      <c r="O106" s="61">
        <f t="shared" si="37"/>
        <v>0</v>
      </c>
      <c r="P106" s="61">
        <f t="shared" si="37"/>
        <v>0</v>
      </c>
      <c r="Q106" s="61">
        <f t="shared" si="37"/>
        <v>0</v>
      </c>
      <c r="R106" s="61">
        <f t="shared" si="37"/>
        <v>0</v>
      </c>
      <c r="S106" s="61">
        <f t="shared" si="37"/>
        <v>0</v>
      </c>
      <c r="T106" s="61">
        <f t="shared" si="37"/>
        <v>0</v>
      </c>
      <c r="U106" s="61">
        <f t="shared" si="37"/>
        <v>0</v>
      </c>
      <c r="V106" s="61">
        <f t="shared" si="37"/>
        <v>0</v>
      </c>
      <c r="W106" s="61">
        <f t="shared" si="37"/>
        <v>0</v>
      </c>
      <c r="X106" s="61">
        <f t="shared" si="37"/>
        <v>0</v>
      </c>
      <c r="Y106" s="61">
        <f t="shared" si="37"/>
        <v>0</v>
      </c>
      <c r="Z106" s="61">
        <f t="shared" si="37"/>
        <v>0</v>
      </c>
      <c r="AA106" s="61">
        <f t="shared" si="37"/>
        <v>1.44</v>
      </c>
      <c r="AB106" s="61">
        <f t="shared" si="37"/>
        <v>0</v>
      </c>
      <c r="AC106" s="61">
        <f t="shared" si="37"/>
        <v>0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13" t="s">
        <v>87</v>
      </c>
      <c r="B107" s="513"/>
      <c r="C107" s="513"/>
      <c r="D107" s="48"/>
      <c r="E107" s="48"/>
      <c r="F107" s="62">
        <f t="shared" ref="F107:AC107" si="38">F102+F106</f>
        <v>42.08</v>
      </c>
      <c r="G107" s="62">
        <f t="shared" si="38"/>
        <v>39.660000000000004</v>
      </c>
      <c r="H107" s="62">
        <f t="shared" si="38"/>
        <v>37.72</v>
      </c>
      <c r="I107" s="62">
        <f t="shared" si="38"/>
        <v>37.019999999999996</v>
      </c>
      <c r="J107" s="62">
        <f t="shared" si="38"/>
        <v>36.72</v>
      </c>
      <c r="K107" s="62">
        <f t="shared" si="38"/>
        <v>40.200000000000003</v>
      </c>
      <c r="L107" s="62">
        <f t="shared" si="38"/>
        <v>42.330000000000005</v>
      </c>
      <c r="M107" s="62">
        <f t="shared" si="38"/>
        <v>40.739999999999995</v>
      </c>
      <c r="N107" s="62">
        <f t="shared" si="38"/>
        <v>48.2</v>
      </c>
      <c r="O107" s="62">
        <f t="shared" si="38"/>
        <v>54.939999999999991</v>
      </c>
      <c r="P107" s="62">
        <f t="shared" si="38"/>
        <v>61.140000000000008</v>
      </c>
      <c r="Q107" s="62">
        <f t="shared" si="38"/>
        <v>62.22</v>
      </c>
      <c r="R107" s="62">
        <f t="shared" si="38"/>
        <v>63.389999999999993</v>
      </c>
      <c r="S107" s="62">
        <f t="shared" si="38"/>
        <v>64.64</v>
      </c>
      <c r="T107" s="62">
        <f>T102+T106</f>
        <v>66.97</v>
      </c>
      <c r="U107" s="62">
        <f t="shared" si="38"/>
        <v>66.029999999999987</v>
      </c>
      <c r="V107" s="62">
        <f t="shared" si="38"/>
        <v>64.88</v>
      </c>
      <c r="W107" s="62">
        <f>W102+W106</f>
        <v>61.69</v>
      </c>
      <c r="X107" s="62">
        <f t="shared" si="38"/>
        <v>60.629999999999995</v>
      </c>
      <c r="Y107" s="62">
        <f t="shared" si="38"/>
        <v>62.76</v>
      </c>
      <c r="Z107" s="62">
        <f t="shared" si="38"/>
        <v>60.02</v>
      </c>
      <c r="AA107" s="62">
        <f t="shared" si="38"/>
        <v>57.56</v>
      </c>
      <c r="AB107" s="62">
        <f t="shared" si="38"/>
        <v>53.45</v>
      </c>
      <c r="AC107" s="62">
        <f t="shared" si="38"/>
        <v>49.800000000000004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1" hidden="1">
      <c r="A108" s="514" t="s">
        <v>88</v>
      </c>
      <c r="B108" s="514"/>
      <c r="C108" s="514"/>
      <c r="D108" s="52"/>
      <c r="E108" s="52"/>
      <c r="F108" s="63">
        <f t="shared" ref="F108:AC108" si="39">(COUNT(F13:F16))*7.2+(COUNT(F27:F28)*4.9)+(COUNT(F19:F21)*4.5)-F91-F93</f>
        <v>7.1000000000000014</v>
      </c>
      <c r="G108" s="63">
        <f t="shared" si="39"/>
        <v>2.7</v>
      </c>
      <c r="H108" s="63">
        <f t="shared" si="39"/>
        <v>3.6000000000000014</v>
      </c>
      <c r="I108" s="63">
        <f t="shared" si="39"/>
        <v>3.8000000000000007</v>
      </c>
      <c r="J108" s="63">
        <f t="shared" si="39"/>
        <v>4</v>
      </c>
      <c r="K108" s="63">
        <f t="shared" si="39"/>
        <v>2.3999999999999986</v>
      </c>
      <c r="L108" s="63">
        <f t="shared" si="39"/>
        <v>9.3000000000000043</v>
      </c>
      <c r="M108" s="63">
        <f t="shared" si="39"/>
        <v>8.3000000000000007</v>
      </c>
      <c r="N108" s="63">
        <f t="shared" si="39"/>
        <v>11.599999999999998</v>
      </c>
      <c r="O108" s="63">
        <f t="shared" si="39"/>
        <v>8.5999999999999979</v>
      </c>
      <c r="P108" s="63">
        <f t="shared" si="39"/>
        <v>8.4000000000000021</v>
      </c>
      <c r="Q108" s="63">
        <f t="shared" si="39"/>
        <v>6.7000000000000028</v>
      </c>
      <c r="R108" s="63">
        <f t="shared" si="39"/>
        <v>6.4000000000000021</v>
      </c>
      <c r="S108" s="63">
        <f t="shared" si="39"/>
        <v>4.9000000000000021</v>
      </c>
      <c r="T108" s="63">
        <f>(COUNT(T13:T16))*7.2+(COUNT(T27:T28)*4.9)+(COUNT(T19:T21)*4.5)-T91-T93</f>
        <v>-3.1999999999999993</v>
      </c>
      <c r="U108" s="63">
        <f t="shared" si="39"/>
        <v>1.100000000000005</v>
      </c>
      <c r="V108" s="63">
        <f t="shared" si="39"/>
        <v>0.10000000000000142</v>
      </c>
      <c r="W108" s="63">
        <f t="shared" si="39"/>
        <v>0.60000000000000497</v>
      </c>
      <c r="X108" s="63">
        <f t="shared" si="39"/>
        <v>1.600000000000005</v>
      </c>
      <c r="Y108" s="63">
        <f t="shared" si="39"/>
        <v>1.100000000000005</v>
      </c>
      <c r="Z108" s="63">
        <f t="shared" si="39"/>
        <v>0.89999999999999858</v>
      </c>
      <c r="AA108" s="63">
        <f t="shared" si="39"/>
        <v>-0.30000000000000071</v>
      </c>
      <c r="AB108" s="63">
        <f t="shared" si="39"/>
        <v>1.5</v>
      </c>
      <c r="AC108" s="63">
        <f t="shared" si="39"/>
        <v>2.6999999999999993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>
      <c r="A109" s="515" t="s">
        <v>89</v>
      </c>
      <c r="B109" s="516"/>
      <c r="C109" s="517"/>
      <c r="D109" s="204"/>
      <c r="E109" s="204"/>
      <c r="F109" s="205">
        <f t="shared" ref="F109:P109" si="40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2.400000000000003</v>
      </c>
      <c r="G109" s="205">
        <f t="shared" si="40"/>
        <v>1.3000000000000016</v>
      </c>
      <c r="H109" s="205">
        <f t="shared" si="40"/>
        <v>2.2000000000000028</v>
      </c>
      <c r="I109" s="205">
        <f t="shared" si="40"/>
        <v>2.4000000000000021</v>
      </c>
      <c r="J109" s="205">
        <f t="shared" si="40"/>
        <v>2.6000000000000014</v>
      </c>
      <c r="K109" s="205">
        <f t="shared" si="40"/>
        <v>1</v>
      </c>
      <c r="L109" s="205">
        <f t="shared" si="40"/>
        <v>7.9000000000000012</v>
      </c>
      <c r="M109" s="205">
        <f t="shared" si="40"/>
        <v>4.9000000000000021</v>
      </c>
      <c r="N109" s="205">
        <f t="shared" si="40"/>
        <v>3.8999999999999995</v>
      </c>
      <c r="O109" s="205">
        <f t="shared" si="40"/>
        <v>0.30000000000000071</v>
      </c>
      <c r="P109" s="205">
        <f t="shared" si="40"/>
        <v>0.10000000000000053</v>
      </c>
      <c r="Q109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0.60000000000000142</v>
      </c>
      <c r="R109" s="205">
        <f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-0.89999999999999947</v>
      </c>
      <c r="S109" s="205">
        <f t="shared" ref="S109:AC109" si="41">(AND(IF(S13&lt;&gt;0,1,0),IF(S13&lt;&gt;"CMS",1,0))*7.2)+(AND(IF(S14&lt;&gt;0,1,0),IF(S14&lt;&gt;"CMS",1,0))*7.2)+(AND(IF(S15&lt;&gt;0,1,0),IF(S15&lt;&gt;"CMS",1,0))*7.2)+(AND(IF(S16&lt;&gt;0,1,0),IF(S16&lt;&gt;"CMS",1,0))*7.2)-S17
+(AND(IF(S27&lt;&gt;0,1,0),IF(S27&lt;&gt;"CMS",1,0))*4.5)+(AND(IF(S28&lt;&gt;0,1,0),IF(S28&lt;&gt;"CMS",1,0))*4.5)-S31
+AND(IF(S24&lt;&gt;0,1,0),IF(S24&lt;&gt;"CMS",1,0))*4.5-S25
+(AND(IF(S19&lt;&gt;0,1,0),IF(S19&lt;&gt;"CMS",1,0))*3.5)+(AND(IF(S20&lt;&gt;0,1,0),IF(S20&lt;&gt;"CMS",1,0))*4.5)+(AND(IF(S21&lt;&gt;0,1,0),IF(S21&lt;&gt;"CMS",1,0))*4.5)-S22</f>
        <v>-2.3999999999999995</v>
      </c>
      <c r="T109" s="205">
        <f t="shared" si="41"/>
        <v>-6.9000000000000012</v>
      </c>
      <c r="U109" s="205">
        <f t="shared" si="41"/>
        <v>-2.3999999999999968</v>
      </c>
      <c r="V109" s="205">
        <f t="shared" si="41"/>
        <v>-3.4000000000000004</v>
      </c>
      <c r="W109" s="205">
        <f>(AND(IF(W13&lt;&gt;0,1,0),IF(W13&lt;&gt;"CMS",1,0))*7.2)+(AND(IF(W14&lt;&gt;0,1,0),IF(W14&lt;&gt;"CMS",1,0))*7.2)+(AND(IF(W15&lt;&gt;0,1,0),IF(W15&lt;&gt;"CMS",1,0))*7.2)+(AND(IF(W16&lt;&gt;0,1,0),IF(W16&lt;&gt;"CMS",1,0))*7.2)-W17
+(AND(IF(W27&lt;&gt;0,1,0),IF(W27&lt;&gt;"CMS",1,0))*4.5)+(AND(IF(W28&lt;&gt;0,1,0),IF(W28&lt;&gt;"CMS",1,0))*4.5)-W31
+AND(IF(W24&lt;&gt;0,1,0),IF(W24&lt;&gt;"CMS",1,0))*4.5-W25
+(AND(IF(W19&lt;&gt;0,1,0),IF(W19&lt;&gt;"CMS",1,0))*3.5)+(AND(IF(W20&lt;&gt;0,1,0),IF(W20&lt;&gt;"CMS",1,0))*4.5)+(AND(IF(W21&lt;&gt;0,1,0),IF(W21&lt;&gt;"CMS",1,0))*4.5)-W22</f>
        <v>-2.8999999999999968</v>
      </c>
      <c r="X109" s="205">
        <f>(AND(IF(X13&lt;&gt;0,1,0),IF(X13&lt;&gt;"CMS",1,0))*7.2)+(AND(IF(X14&lt;&gt;0,1,0),IF(X14&lt;&gt;"CMS",1,0))*7.2)+(AND(IF(X15&lt;&gt;0,1,0),IF(X15&lt;&gt;"CMS",1,0))*7.2)+(AND(IF(X16&lt;&gt;0,1,0),IF(X16&lt;&gt;"CMS",1,0))*7.2)-X17
+(AND(IF(X27&lt;&gt;0,1,0),IF(X27&lt;&gt;"CMS",1,0))*4.5)+(AND(IF(X28&lt;&gt;0,1,0),IF(X28&lt;&gt;"CMS",1,0))*4.5)-X31
+AND(IF(X24&lt;&gt;0,1,0),IF(X24&lt;&gt;"CMS",1,0))*4.5-X25
+(AND(IF(X19&lt;&gt;0,1,0),IF(X19&lt;&gt;"CMS",1,0))*3.5)+(AND(IF(X20&lt;&gt;0,1,0),IF(X20&lt;&gt;"CMS",1,0))*4.5)+(AND(IF(X21&lt;&gt;0,1,0),IF(X21&lt;&gt;"CMS",1,0))*4.5)-X22</f>
        <v>-1.8999999999999968</v>
      </c>
      <c r="Y109" s="205">
        <f t="shared" si="41"/>
        <v>-2.3999999999999968</v>
      </c>
      <c r="Z109" s="205">
        <f t="shared" si="41"/>
        <v>-2.5999999999999996</v>
      </c>
      <c r="AA109" s="205">
        <f t="shared" si="41"/>
        <v>-3.7999999999999989</v>
      </c>
      <c r="AB109" s="205">
        <f t="shared" si="41"/>
        <v>-1.9999999999999982</v>
      </c>
      <c r="AC109" s="205">
        <f t="shared" si="41"/>
        <v>0</v>
      </c>
      <c r="AD109" s="26"/>
      <c r="AE109" s="26"/>
      <c r="AF109" s="466"/>
      <c r="AG109" t="s">
        <v>90</v>
      </c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10" t="s">
        <v>91</v>
      </c>
      <c r="B110" s="510"/>
      <c r="C110" s="510"/>
      <c r="D110" s="60"/>
      <c r="E110" s="72"/>
      <c r="F110" s="74">
        <v>60.17</v>
      </c>
      <c r="G110" s="74">
        <v>60.16</v>
      </c>
      <c r="H110" s="74">
        <v>60.13</v>
      </c>
      <c r="I110" s="74">
        <v>60.17</v>
      </c>
      <c r="J110" s="74">
        <v>60.16</v>
      </c>
      <c r="K110" s="74">
        <v>60.1</v>
      </c>
      <c r="L110" s="74">
        <v>60.15</v>
      </c>
      <c r="M110" s="74">
        <v>60.15</v>
      </c>
      <c r="N110" s="74">
        <v>60.16</v>
      </c>
      <c r="O110" s="74">
        <v>60.11</v>
      </c>
      <c r="P110" s="83">
        <v>60.08</v>
      </c>
      <c r="Q110" s="83">
        <v>60.18</v>
      </c>
      <c r="R110" s="83">
        <v>60.14</v>
      </c>
      <c r="S110" s="83">
        <v>60.12</v>
      </c>
      <c r="T110" s="83">
        <v>59.72</v>
      </c>
      <c r="U110" s="74">
        <v>60.09</v>
      </c>
      <c r="V110" s="74">
        <v>60.12</v>
      </c>
      <c r="W110" s="74">
        <v>60.08</v>
      </c>
      <c r="X110" s="74">
        <v>60.13</v>
      </c>
      <c r="Y110" s="74">
        <v>60.19</v>
      </c>
      <c r="Z110" s="74">
        <v>60.25</v>
      </c>
      <c r="AA110" s="74">
        <v>60.06</v>
      </c>
      <c r="AB110" s="74">
        <v>60.17</v>
      </c>
      <c r="AC110" s="74">
        <v>60.26</v>
      </c>
      <c r="AD110" s="26"/>
      <c r="AE110" s="26"/>
      <c r="AF110" s="467"/>
      <c r="AG110" t="s">
        <v>92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18" t="s">
        <v>93</v>
      </c>
      <c r="B111" s="519"/>
      <c r="C111" s="520"/>
      <c r="D111" s="60"/>
      <c r="E111" s="72"/>
      <c r="F111" s="465">
        <f>F89</f>
        <v>3.3</v>
      </c>
      <c r="G111" s="74"/>
      <c r="H111" s="74"/>
      <c r="I111" s="74"/>
      <c r="J111" s="74"/>
      <c r="K111" s="74"/>
      <c r="L111" s="465">
        <f>L97</f>
        <v>2.0299999999999998</v>
      </c>
      <c r="M111" s="465">
        <f>M89</f>
        <v>2</v>
      </c>
      <c r="N111" s="468">
        <f t="shared" ref="N111:AB111" si="42">25-(N28+N95)-(4.7-N28)</f>
        <v>5.9999999999999982</v>
      </c>
      <c r="O111" s="468">
        <f t="shared" si="42"/>
        <v>5.9999999999999982</v>
      </c>
      <c r="P111" s="468">
        <f t="shared" si="42"/>
        <v>6.0199999999999987</v>
      </c>
      <c r="Q111" s="468">
        <f t="shared" si="42"/>
        <v>6.0400000000000018</v>
      </c>
      <c r="R111" s="468">
        <f t="shared" si="42"/>
        <v>6.0299999999999994</v>
      </c>
      <c r="S111" s="468">
        <f t="shared" si="42"/>
        <v>6.0100000000000007</v>
      </c>
      <c r="T111" s="468">
        <f t="shared" si="42"/>
        <v>5.9999999999999973</v>
      </c>
      <c r="U111" s="468">
        <f t="shared" si="42"/>
        <v>6.03</v>
      </c>
      <c r="V111" s="468">
        <f t="shared" si="42"/>
        <v>6.0299999999999994</v>
      </c>
      <c r="W111" s="468">
        <f t="shared" si="42"/>
        <v>6.0100000000000016</v>
      </c>
      <c r="X111" s="468">
        <f t="shared" si="42"/>
        <v>6</v>
      </c>
      <c r="Y111" s="468">
        <f t="shared" si="42"/>
        <v>6.0400000000000018</v>
      </c>
      <c r="Z111" s="468">
        <f t="shared" si="42"/>
        <v>6.0400000000000018</v>
      </c>
      <c r="AA111" s="468">
        <f t="shared" si="42"/>
        <v>6.0500000000000007</v>
      </c>
      <c r="AB111" s="468">
        <f t="shared" si="42"/>
        <v>6.0199999999999987</v>
      </c>
      <c r="AC111" s="468">
        <f>AC89-(4.2-AC28)</f>
        <v>5.6</v>
      </c>
      <c r="AD111" s="26"/>
      <c r="AE111" s="26"/>
      <c r="AF111" s="469"/>
      <c r="AG111" s="38" t="s">
        <v>94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18" t="s">
        <v>95</v>
      </c>
      <c r="B112" s="519"/>
      <c r="C112" s="520"/>
      <c r="D112" s="60"/>
      <c r="E112" s="72"/>
      <c r="G112" s="74"/>
      <c r="H112" s="74"/>
      <c r="I112" s="74"/>
      <c r="J112" s="74"/>
      <c r="K112" s="74"/>
      <c r="L112" s="74"/>
      <c r="M112" s="74"/>
      <c r="N112" s="74"/>
      <c r="O112" s="74"/>
      <c r="P112" s="83"/>
      <c r="Q112" s="83"/>
      <c r="R112" s="83"/>
      <c r="S112" s="83"/>
      <c r="T112" s="83">
        <v>3</v>
      </c>
      <c r="U112" s="83">
        <v>3</v>
      </c>
      <c r="V112" s="83">
        <v>3</v>
      </c>
      <c r="W112" s="83">
        <v>3</v>
      </c>
      <c r="X112" s="83">
        <v>3</v>
      </c>
      <c r="Y112" s="83">
        <v>3</v>
      </c>
      <c r="Z112" s="74"/>
      <c r="AA112" s="74"/>
      <c r="AB112" s="74"/>
      <c r="AC112" s="74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10" t="s">
        <v>96</v>
      </c>
      <c r="B113" s="510"/>
      <c r="C113" s="510"/>
      <c r="D113" s="60"/>
      <c r="E113" s="72"/>
      <c r="F113" s="73"/>
      <c r="G113" s="73"/>
      <c r="H113" s="73"/>
      <c r="I113" s="73"/>
      <c r="J113" s="73"/>
      <c r="K113" s="73"/>
      <c r="L113" s="73"/>
      <c r="M113" s="73"/>
      <c r="N113" s="73"/>
      <c r="O113" s="73"/>
      <c r="P113" s="73"/>
      <c r="Q113" s="73"/>
      <c r="R113" s="73"/>
      <c r="S113" s="73"/>
      <c r="T113" s="73"/>
      <c r="U113" s="73"/>
      <c r="V113" s="73" t="s">
        <v>101</v>
      </c>
      <c r="W113" s="73"/>
      <c r="X113" s="73"/>
      <c r="Y113" s="73"/>
      <c r="Z113" s="73"/>
      <c r="AA113" s="73"/>
      <c r="AB113" s="73"/>
      <c r="AC113" s="73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10" t="s">
        <v>97</v>
      </c>
      <c r="B114" s="510"/>
      <c r="C114" s="510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idden="1">
      <c r="A115"/>
      <c r="B115"/>
      <c r="C115"/>
      <c r="D115" s="71"/>
      <c r="E115"/>
      <c r="F115" s="75"/>
      <c r="G115" s="75"/>
      <c r="H115" s="75"/>
      <c r="I115" s="75"/>
      <c r="J115" s="75"/>
      <c r="K115" s="75"/>
      <c r="L115" s="75"/>
      <c r="M115" s="75"/>
      <c r="N115" s="75"/>
      <c r="O115" s="75"/>
      <c r="P115" s="75"/>
      <c r="Q115" s="75"/>
      <c r="R115" s="75"/>
      <c r="S115" s="75"/>
      <c r="T115" s="75"/>
      <c r="U115" s="75"/>
      <c r="V115" s="75"/>
      <c r="W115" s="75"/>
      <c r="X115" s="75"/>
      <c r="Y115" s="75"/>
      <c r="Z115" s="75"/>
      <c r="AA115" s="75"/>
      <c r="AB115" s="75"/>
      <c r="AC115" s="75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9" hidden="1">
      <c r="A116" s="499" t="s">
        <v>98</v>
      </c>
      <c r="B116" s="499"/>
      <c r="C116" s="499"/>
      <c r="D116" s="499"/>
      <c r="E116" s="499"/>
      <c r="F116" s="499"/>
      <c r="G116" s="499"/>
      <c r="H116" s="499"/>
      <c r="I116" s="499"/>
      <c r="J116" s="499"/>
      <c r="K116" s="499"/>
      <c r="L116" s="499"/>
      <c r="M116" s="499"/>
      <c r="N116" s="499"/>
      <c r="O116" s="499"/>
      <c r="P116" s="499"/>
      <c r="Q116" s="499"/>
      <c r="R116" s="499"/>
      <c r="S116" s="499"/>
      <c r="T116" s="499"/>
      <c r="U116" s="499"/>
      <c r="V116" s="499"/>
      <c r="W116" s="499"/>
      <c r="X116" s="499"/>
      <c r="Y116" s="499"/>
      <c r="Z116" s="499"/>
      <c r="AA116" s="499"/>
      <c r="AB116" s="499"/>
      <c r="AC116" s="499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idden="1">
      <c r="A117"/>
      <c r="B117" s="5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 s="26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ht="17.45" hidden="1">
      <c r="A118" s="500" t="s">
        <v>75</v>
      </c>
      <c r="B118" s="501"/>
      <c r="C118" s="502"/>
      <c r="D118" s="49"/>
      <c r="E118" s="49"/>
      <c r="F118" s="506" t="s">
        <v>76</v>
      </c>
      <c r="G118" s="506"/>
      <c r="H118" s="506"/>
      <c r="I118" s="506"/>
      <c r="J118" s="506"/>
      <c r="K118" s="506"/>
      <c r="L118" s="506"/>
      <c r="M118" s="506"/>
      <c r="N118" s="506"/>
      <c r="O118" s="506"/>
      <c r="P118" s="506"/>
      <c r="Q118" s="506"/>
      <c r="R118" s="506"/>
      <c r="S118" s="506"/>
      <c r="T118" s="506"/>
      <c r="U118" s="506"/>
      <c r="V118" s="506"/>
      <c r="W118" s="506"/>
      <c r="X118" s="506"/>
      <c r="Y118" s="506"/>
      <c r="Z118" s="506"/>
      <c r="AA118" s="506"/>
      <c r="AB118" s="506"/>
      <c r="AC118" s="506"/>
      <c r="AD118" s="5"/>
      <c r="AE118" s="5"/>
      <c r="AF118" s="5"/>
      <c r="AG118" s="5"/>
      <c r="AH118" s="5"/>
    </row>
    <row r="119" spans="1:124" ht="15.6" hidden="1" customHeight="1">
      <c r="A119" s="503"/>
      <c r="B119" s="504"/>
      <c r="C119" s="505"/>
      <c r="D119" s="50"/>
      <c r="E119" s="50"/>
      <c r="F119" s="43">
        <v>0</v>
      </c>
      <c r="G119" s="43">
        <v>4.1666666666666699E-2</v>
      </c>
      <c r="H119" s="43">
        <v>8.3333333333333301E-2</v>
      </c>
      <c r="I119" s="43">
        <v>0.125</v>
      </c>
      <c r="J119" s="43">
        <v>0.16666666666666699</v>
      </c>
      <c r="K119" s="43">
        <v>0.20833333333333301</v>
      </c>
      <c r="L119" s="43">
        <v>0.25</v>
      </c>
      <c r="M119" s="43">
        <v>0.29166666666666702</v>
      </c>
      <c r="N119" s="43">
        <v>0.33333333333333398</v>
      </c>
      <c r="O119" s="43">
        <v>0.375</v>
      </c>
      <c r="P119" s="43">
        <v>0.41666666666666702</v>
      </c>
      <c r="Q119" s="43">
        <v>0.45833333333333398</v>
      </c>
      <c r="R119" s="43">
        <v>0.5</v>
      </c>
      <c r="S119" s="43">
        <v>0.54166666666666696</v>
      </c>
      <c r="T119" s="43">
        <v>0.58333333333333404</v>
      </c>
      <c r="U119" s="43">
        <v>0.625</v>
      </c>
      <c r="V119" s="43">
        <v>0.66666666666666696</v>
      </c>
      <c r="W119" s="43">
        <v>0.70833333333333404</v>
      </c>
      <c r="X119" s="43">
        <v>0.750000000000001</v>
      </c>
      <c r="Y119" s="43">
        <v>0.79166666666666696</v>
      </c>
      <c r="Z119" s="43">
        <v>0.83333333333333337</v>
      </c>
      <c r="AA119" s="43">
        <v>0.875000000000001</v>
      </c>
      <c r="AB119" s="43">
        <v>0.91666666666666696</v>
      </c>
      <c r="AC119" s="43">
        <v>0.95833333333333404</v>
      </c>
      <c r="AD119" s="37"/>
      <c r="AE119" s="37"/>
      <c r="AG119" s="5"/>
      <c r="AH119" s="5"/>
      <c r="AI119" s="5"/>
      <c r="AJ119" s="5"/>
      <c r="AK119" s="5"/>
      <c r="AL119" s="5"/>
      <c r="AM119" s="5"/>
      <c r="AN119" s="5"/>
    </row>
    <row r="120" spans="1:124" ht="17.45" hidden="1">
      <c r="A120" s="507" t="s">
        <v>27</v>
      </c>
      <c r="B120" s="508"/>
      <c r="C120" s="509"/>
      <c r="D120" s="45"/>
      <c r="E120" s="45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07" t="s">
        <v>78</v>
      </c>
      <c r="B121" s="508"/>
      <c r="C121" s="509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07" t="s">
        <v>29</v>
      </c>
      <c r="B122" s="508"/>
      <c r="C122" s="509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07" t="s">
        <v>32</v>
      </c>
      <c r="B123" s="508"/>
      <c r="C123" s="509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07" t="s">
        <v>33</v>
      </c>
      <c r="B124" s="508"/>
      <c r="C124" s="509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07" t="s">
        <v>55</v>
      </c>
      <c r="B125" s="508"/>
      <c r="C125" s="509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07" t="s">
        <v>59</v>
      </c>
      <c r="B126" s="508"/>
      <c r="C126" s="509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</row>
    <row r="127" spans="1:124" ht="17.45" hidden="1">
      <c r="A127" s="507" t="s">
        <v>69</v>
      </c>
      <c r="B127" s="508"/>
      <c r="C127" s="509"/>
      <c r="D127" s="45"/>
      <c r="E127" s="45"/>
      <c r="F127" s="78"/>
      <c r="G127" s="78"/>
      <c r="H127" s="78"/>
      <c r="I127" s="78"/>
      <c r="J127" s="78"/>
      <c r="K127" s="78"/>
      <c r="L127" s="78"/>
      <c r="M127" s="78"/>
      <c r="N127" s="78"/>
      <c r="O127" s="78"/>
      <c r="P127" s="78"/>
      <c r="Q127" s="78"/>
      <c r="R127" s="78"/>
      <c r="S127" s="78"/>
      <c r="T127" s="78"/>
      <c r="U127" s="78"/>
      <c r="V127" s="78"/>
      <c r="W127" s="78"/>
      <c r="X127" s="78"/>
      <c r="Y127" s="78"/>
      <c r="Z127" s="78"/>
      <c r="AA127" s="78"/>
      <c r="AB127" s="78"/>
      <c r="AC127" s="78"/>
    </row>
    <row r="128" spans="1:124" ht="15.6" hidden="1" customHeight="1">
      <c r="A128" s="496" t="s">
        <v>99</v>
      </c>
      <c r="B128" s="497"/>
      <c r="C128" s="498"/>
      <c r="D128" s="51"/>
      <c r="E128" s="51"/>
      <c r="F128" s="44">
        <f>SUM(F120:F127)</f>
        <v>0</v>
      </c>
      <c r="G128" s="44">
        <f t="shared" ref="G128:AB128" si="43">SUM(G120:G127)</f>
        <v>0</v>
      </c>
      <c r="H128" s="44">
        <f t="shared" si="43"/>
        <v>0</v>
      </c>
      <c r="I128" s="44">
        <f t="shared" si="43"/>
        <v>0</v>
      </c>
      <c r="J128" s="44">
        <f t="shared" si="43"/>
        <v>0</v>
      </c>
      <c r="K128" s="44">
        <f t="shared" si="43"/>
        <v>0</v>
      </c>
      <c r="L128" s="44">
        <f t="shared" si="43"/>
        <v>0</v>
      </c>
      <c r="M128" s="44">
        <f t="shared" si="43"/>
        <v>0</v>
      </c>
      <c r="N128" s="44">
        <f t="shared" si="43"/>
        <v>0</v>
      </c>
      <c r="O128" s="44">
        <f t="shared" si="43"/>
        <v>0</v>
      </c>
      <c r="P128" s="44">
        <f t="shared" si="43"/>
        <v>0</v>
      </c>
      <c r="Q128" s="44">
        <f t="shared" si="43"/>
        <v>0</v>
      </c>
      <c r="R128" s="44">
        <f t="shared" si="43"/>
        <v>0</v>
      </c>
      <c r="S128" s="44">
        <f t="shared" si="43"/>
        <v>0</v>
      </c>
      <c r="T128" s="44">
        <f t="shared" si="43"/>
        <v>0</v>
      </c>
      <c r="U128" s="44">
        <f t="shared" si="43"/>
        <v>0</v>
      </c>
      <c r="V128" s="44">
        <f t="shared" si="43"/>
        <v>0</v>
      </c>
      <c r="W128" s="44">
        <f t="shared" si="43"/>
        <v>0</v>
      </c>
      <c r="X128" s="44">
        <f t="shared" si="43"/>
        <v>0</v>
      </c>
      <c r="Y128" s="44">
        <f t="shared" si="43"/>
        <v>0</v>
      </c>
      <c r="Z128" s="44">
        <f t="shared" si="43"/>
        <v>0</v>
      </c>
      <c r="AA128" s="44">
        <f t="shared" si="43"/>
        <v>0</v>
      </c>
      <c r="AB128" s="44">
        <f t="shared" si="43"/>
        <v>0</v>
      </c>
      <c r="AC128" s="44">
        <f>SUM(AC120:AC127)</f>
        <v>0</v>
      </c>
    </row>
    <row r="129" spans="1:124">
      <c r="F129" s="75"/>
      <c r="G129" s="75"/>
      <c r="H129" s="75"/>
      <c r="I129" s="75"/>
      <c r="J129" s="75"/>
      <c r="K129" s="75"/>
      <c r="L129" s="75"/>
      <c r="M129" s="75"/>
      <c r="N129" s="75"/>
      <c r="O129" s="75"/>
      <c r="P129" s="75"/>
      <c r="Q129" s="75"/>
      <c r="R129" s="75"/>
      <c r="S129" s="75"/>
      <c r="T129" s="75"/>
      <c r="U129" s="75"/>
      <c r="V129" s="75"/>
      <c r="W129" s="75"/>
      <c r="X129" s="75"/>
      <c r="Y129" s="75"/>
      <c r="Z129" s="75"/>
      <c r="AA129" s="75"/>
      <c r="AB129" s="75"/>
      <c r="AC129" s="75"/>
      <c r="AD129" s="5"/>
      <c r="AE129" s="5"/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AB131" s="26"/>
      <c r="AC131" s="27"/>
      <c r="AD131" s="5"/>
      <c r="AE131" s="5"/>
    </row>
    <row r="132" spans="1:124" s="2" customFormat="1">
      <c r="A132"/>
      <c r="B132"/>
      <c r="AB132" s="26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>
      <c r="A133"/>
      <c r="B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 s="26"/>
      <c r="D135" s="26"/>
      <c r="E135" s="26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</row>
    <row r="138" spans="1:124">
      <c r="C138" s="26"/>
      <c r="D138" s="26"/>
      <c r="E138" s="26"/>
    </row>
    <row r="139" spans="1:124">
      <c r="C139" s="26"/>
      <c r="D139" s="26"/>
      <c r="E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</row>
    <row r="140" spans="1:124"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</sheetData>
  <mergeCells count="43">
    <mergeCell ref="A89:C89"/>
    <mergeCell ref="M8:O8"/>
    <mergeCell ref="M9:O9"/>
    <mergeCell ref="A85:AC85"/>
    <mergeCell ref="A87:C88"/>
    <mergeCell ref="F87:AC87"/>
    <mergeCell ref="A101:C101"/>
    <mergeCell ref="A90:C90"/>
    <mergeCell ref="A91:C91"/>
    <mergeCell ref="A92:C92"/>
    <mergeCell ref="A93:C93"/>
    <mergeCell ref="A94:C94"/>
    <mergeCell ref="A95:C95"/>
    <mergeCell ref="A96:C96"/>
    <mergeCell ref="A97:C97"/>
    <mergeCell ref="A98:C98"/>
    <mergeCell ref="A99:C99"/>
    <mergeCell ref="A100:C100"/>
    <mergeCell ref="A114:C114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3:C113"/>
    <mergeCell ref="A111:C111"/>
    <mergeCell ref="A112:C112"/>
    <mergeCell ref="A128:C128"/>
    <mergeCell ref="A116:AC116"/>
    <mergeCell ref="A118:C119"/>
    <mergeCell ref="F118:AC118"/>
    <mergeCell ref="A120:C120"/>
    <mergeCell ref="A121:C121"/>
    <mergeCell ref="A122:C122"/>
    <mergeCell ref="A123:C123"/>
    <mergeCell ref="A124:C124"/>
    <mergeCell ref="A125:C125"/>
    <mergeCell ref="A126:C126"/>
    <mergeCell ref="A127:C127"/>
  </mergeCells>
  <conditionalFormatting sqref="G110:AC110">
    <cfRule type="cellIs" dxfId="7540" priority="418" operator="greaterThan">
      <formula>60.3</formula>
    </cfRule>
  </conditionalFormatting>
  <conditionalFormatting sqref="F110">
    <cfRule type="cellIs" dxfId="7539" priority="417" operator="greaterThan">
      <formula>60.3</formula>
    </cfRule>
  </conditionalFormatting>
  <conditionalFormatting sqref="H13:J13 H15:M16 P15:P16 N13:S13 T13:AC16 L13 Q14:S16 G36:AC59 G62:AC64">
    <cfRule type="cellIs" dxfId="7538" priority="409" operator="equal">
      <formula>"PMS"</formula>
    </cfRule>
    <cfRule type="containsText" dxfId="7537" priority="410" operator="containsText" text="CMS">
      <formula>NOT(ISERROR(SEARCH("CMS",G13)))</formula>
    </cfRule>
    <cfRule type="cellIs" dxfId="7536" priority="411" operator="equal">
      <formula>0</formula>
    </cfRule>
    <cfRule type="cellIs" dxfId="7535" priority="412" operator="greaterThan">
      <formula>0</formula>
    </cfRule>
    <cfRule type="cellIs" dxfId="7534" priority="413" operator="equal">
      <formula>"PMS"</formula>
    </cfRule>
    <cfRule type="containsText" dxfId="7533" priority="414" operator="containsText" text="CMS">
      <formula>NOT(ISERROR(SEARCH("CMS",G13)))</formula>
    </cfRule>
    <cfRule type="cellIs" dxfId="7532" priority="415" operator="equal">
      <formula>0</formula>
    </cfRule>
    <cfRule type="cellIs" dxfId="7531" priority="416" operator="greaterThan">
      <formula>0</formula>
    </cfRule>
  </conditionalFormatting>
  <conditionalFormatting sqref="H13:J13 H15:M16 P15:P16 N13:S13 T13:AC16 L13 Q14:S16 G36:AC59 G62:AC64">
    <cfRule type="cellIs" dxfId="7530" priority="405" operator="equal">
      <formula>"PMS"</formula>
    </cfRule>
    <cfRule type="containsText" dxfId="7529" priority="406" operator="containsText" text="CMS">
      <formula>NOT(ISERROR(SEARCH("CMS",G13)))</formula>
    </cfRule>
    <cfRule type="cellIs" dxfId="7528" priority="407" operator="equal">
      <formula>0</formula>
    </cfRule>
    <cfRule type="cellIs" dxfId="7527" priority="408" operator="greaterThan">
      <formula>0</formula>
    </cfRule>
  </conditionalFormatting>
  <conditionalFormatting sqref="G20:S20 G21:N21 P21:S21 U19:AC21 T20:T21 G19:Q19">
    <cfRule type="cellIs" dxfId="7526" priority="397" operator="equal">
      <formula>"PMS"</formula>
    </cfRule>
    <cfRule type="containsText" dxfId="7525" priority="398" operator="containsText" text="CMS">
      <formula>NOT(ISERROR(SEARCH("CMS",G19)))</formula>
    </cfRule>
    <cfRule type="cellIs" dxfId="7524" priority="399" operator="equal">
      <formula>0</formula>
    </cfRule>
    <cfRule type="cellIs" dxfId="7523" priority="400" operator="greaterThan">
      <formula>0</formula>
    </cfRule>
    <cfRule type="cellIs" dxfId="7522" priority="401" operator="equal">
      <formula>"PMS"</formula>
    </cfRule>
    <cfRule type="containsText" dxfId="7521" priority="402" operator="containsText" text="CMS">
      <formula>NOT(ISERROR(SEARCH("CMS",G19)))</formula>
    </cfRule>
    <cfRule type="cellIs" dxfId="7520" priority="403" operator="equal">
      <formula>0</formula>
    </cfRule>
    <cfRule type="cellIs" dxfId="7519" priority="404" operator="greaterThan">
      <formula>0</formula>
    </cfRule>
  </conditionalFormatting>
  <conditionalFormatting sqref="G20:S20 G21:N21 P21:S21 U19:AC21 T20:T21 G19:Q19">
    <cfRule type="cellIs" dxfId="7518" priority="393" operator="equal">
      <formula>"PMS"</formula>
    </cfRule>
    <cfRule type="containsText" dxfId="7517" priority="394" operator="containsText" text="CMS">
      <formula>NOT(ISERROR(SEARCH("CMS",G19)))</formula>
    </cfRule>
    <cfRule type="cellIs" dxfId="7516" priority="395" operator="equal">
      <formula>0</formula>
    </cfRule>
    <cfRule type="cellIs" dxfId="7515" priority="396" operator="greaterThan">
      <formula>0</formula>
    </cfRule>
  </conditionalFormatting>
  <conditionalFormatting sqref="V24:AC24 G24:M24 O24:T24">
    <cfRule type="cellIs" dxfId="7514" priority="385" operator="equal">
      <formula>"PMS"</formula>
    </cfRule>
    <cfRule type="containsText" dxfId="7513" priority="386" operator="containsText" text="CMS">
      <formula>NOT(ISERROR(SEARCH("CMS",G24)))</formula>
    </cfRule>
    <cfRule type="cellIs" dxfId="7512" priority="387" operator="equal">
      <formula>0</formula>
    </cfRule>
    <cfRule type="cellIs" dxfId="7511" priority="388" operator="greaterThan">
      <formula>0</formula>
    </cfRule>
    <cfRule type="cellIs" dxfId="7510" priority="389" operator="equal">
      <formula>"PMS"</formula>
    </cfRule>
    <cfRule type="containsText" dxfId="7509" priority="390" operator="containsText" text="CMS">
      <formula>NOT(ISERROR(SEARCH("CMS",G24)))</formula>
    </cfRule>
    <cfRule type="cellIs" dxfId="7508" priority="391" operator="equal">
      <formula>0</formula>
    </cfRule>
    <cfRule type="cellIs" dxfId="7507" priority="392" operator="greaterThan">
      <formula>0</formula>
    </cfRule>
  </conditionalFormatting>
  <conditionalFormatting sqref="V24:AC24 G24:M24 O24:T24">
    <cfRule type="cellIs" dxfId="7506" priority="381" operator="equal">
      <formula>"PMS"</formula>
    </cfRule>
    <cfRule type="containsText" dxfId="7505" priority="382" operator="containsText" text="CMS">
      <formula>NOT(ISERROR(SEARCH("CMS",G24)))</formula>
    </cfRule>
    <cfRule type="cellIs" dxfId="7504" priority="383" operator="equal">
      <formula>0</formula>
    </cfRule>
    <cfRule type="cellIs" dxfId="7503" priority="384" operator="greaterThan">
      <formula>0</formula>
    </cfRule>
  </conditionalFormatting>
  <conditionalFormatting sqref="G27:AC27 G29:AC30 H28:AC28">
    <cfRule type="cellIs" dxfId="7502" priority="373" operator="equal">
      <formula>"PMS"</formula>
    </cfRule>
    <cfRule type="containsText" dxfId="7501" priority="374" operator="containsText" text="CMS">
      <formula>NOT(ISERROR(SEARCH("CMS",G27)))</formula>
    </cfRule>
    <cfRule type="cellIs" dxfId="7500" priority="375" operator="equal">
      <formula>0</formula>
    </cfRule>
    <cfRule type="cellIs" dxfId="7499" priority="376" operator="greaterThan">
      <formula>0</formula>
    </cfRule>
    <cfRule type="cellIs" dxfId="7498" priority="377" operator="equal">
      <formula>"PMS"</formula>
    </cfRule>
    <cfRule type="containsText" dxfId="7497" priority="378" operator="containsText" text="CMS">
      <formula>NOT(ISERROR(SEARCH("CMS",G27)))</formula>
    </cfRule>
    <cfRule type="cellIs" dxfId="7496" priority="379" operator="equal">
      <formula>0</formula>
    </cfRule>
    <cfRule type="cellIs" dxfId="7495" priority="380" operator="greaterThan">
      <formula>0</formula>
    </cfRule>
  </conditionalFormatting>
  <conditionalFormatting sqref="G27:AC27 G29:AC30 H28:AC28">
    <cfRule type="cellIs" dxfId="7494" priority="369" operator="equal">
      <formula>"PMS"</formula>
    </cfRule>
    <cfRule type="containsText" dxfId="7493" priority="370" operator="containsText" text="CMS">
      <formula>NOT(ISERROR(SEARCH("CMS",G27)))</formula>
    </cfRule>
    <cfRule type="cellIs" dxfId="7492" priority="371" operator="equal">
      <formula>0</formula>
    </cfRule>
    <cfRule type="cellIs" dxfId="7491" priority="372" operator="greaterThan">
      <formula>0</formula>
    </cfRule>
  </conditionalFormatting>
  <conditionalFormatting sqref="G33:AC33">
    <cfRule type="cellIs" dxfId="7490" priority="361" operator="equal">
      <formula>"PMS"</formula>
    </cfRule>
    <cfRule type="containsText" dxfId="7489" priority="362" operator="containsText" text="CMS">
      <formula>NOT(ISERROR(SEARCH("CMS",G33)))</formula>
    </cfRule>
    <cfRule type="cellIs" dxfId="7488" priority="363" operator="equal">
      <formula>0</formula>
    </cfRule>
    <cfRule type="cellIs" dxfId="7487" priority="364" operator="greaterThan">
      <formula>0</formula>
    </cfRule>
    <cfRule type="cellIs" dxfId="7486" priority="365" operator="equal">
      <formula>"PMS"</formula>
    </cfRule>
    <cfRule type="containsText" dxfId="7485" priority="366" operator="containsText" text="CMS">
      <formula>NOT(ISERROR(SEARCH("CMS",G33)))</formula>
    </cfRule>
    <cfRule type="cellIs" dxfId="7484" priority="367" operator="equal">
      <formula>0</formula>
    </cfRule>
    <cfRule type="cellIs" dxfId="7483" priority="368" operator="greaterThan">
      <formula>0</formula>
    </cfRule>
  </conditionalFormatting>
  <conditionalFormatting sqref="G33:AC33">
    <cfRule type="cellIs" dxfId="7482" priority="357" operator="equal">
      <formula>"PMS"</formula>
    </cfRule>
    <cfRule type="containsText" dxfId="7481" priority="358" operator="containsText" text="CMS">
      <formula>NOT(ISERROR(SEARCH("CMS",G33)))</formula>
    </cfRule>
    <cfRule type="cellIs" dxfId="7480" priority="359" operator="equal">
      <formula>0</formula>
    </cfRule>
    <cfRule type="cellIs" dxfId="7479" priority="360" operator="greaterThan">
      <formula>0</formula>
    </cfRule>
  </conditionalFormatting>
  <conditionalFormatting sqref="G67:AC75 S78:AC79 G78:Q79">
    <cfRule type="cellIs" dxfId="7478" priority="349" operator="equal">
      <formula>"PMS"</formula>
    </cfRule>
    <cfRule type="containsText" dxfId="7477" priority="350" operator="containsText" text="CMS">
      <formula>NOT(ISERROR(SEARCH("CMS",G67)))</formula>
    </cfRule>
    <cfRule type="cellIs" dxfId="7476" priority="351" operator="equal">
      <formula>0</formula>
    </cfRule>
    <cfRule type="cellIs" dxfId="7475" priority="352" operator="greaterThan">
      <formula>0</formula>
    </cfRule>
    <cfRule type="cellIs" dxfId="7474" priority="353" operator="equal">
      <formula>"PMS"</formula>
    </cfRule>
    <cfRule type="containsText" dxfId="7473" priority="354" operator="containsText" text="CMS">
      <formula>NOT(ISERROR(SEARCH("CMS",G67)))</formula>
    </cfRule>
    <cfRule type="cellIs" dxfId="7472" priority="355" operator="equal">
      <formula>0</formula>
    </cfRule>
    <cfRule type="cellIs" dxfId="7471" priority="356" operator="greaterThan">
      <formula>0</formula>
    </cfRule>
  </conditionalFormatting>
  <conditionalFormatting sqref="G67:AC75 S78:AC79 G78:Q79">
    <cfRule type="cellIs" dxfId="7470" priority="345" operator="equal">
      <formula>"PMS"</formula>
    </cfRule>
    <cfRule type="containsText" dxfId="7469" priority="346" operator="containsText" text="CMS">
      <formula>NOT(ISERROR(SEARCH("CMS",G67)))</formula>
    </cfRule>
    <cfRule type="cellIs" dxfId="7468" priority="347" operator="equal">
      <formula>0</formula>
    </cfRule>
    <cfRule type="cellIs" dxfId="7467" priority="348" operator="greaterThan">
      <formula>0</formula>
    </cfRule>
  </conditionalFormatting>
  <conditionalFormatting sqref="G82:AC82">
    <cfRule type="cellIs" dxfId="7466" priority="337" operator="equal">
      <formula>"PMS"</formula>
    </cfRule>
    <cfRule type="containsText" dxfId="7465" priority="338" operator="containsText" text="CMS">
      <formula>NOT(ISERROR(SEARCH("CMS",G82)))</formula>
    </cfRule>
    <cfRule type="cellIs" dxfId="7464" priority="339" operator="equal">
      <formula>0</formula>
    </cfRule>
    <cfRule type="cellIs" dxfId="7463" priority="340" operator="greaterThan">
      <formula>0</formula>
    </cfRule>
    <cfRule type="cellIs" dxfId="7462" priority="341" operator="equal">
      <formula>"PMS"</formula>
    </cfRule>
    <cfRule type="containsText" dxfId="7461" priority="342" operator="containsText" text="CMS">
      <formula>NOT(ISERROR(SEARCH("CMS",G82)))</formula>
    </cfRule>
    <cfRule type="cellIs" dxfId="7460" priority="343" operator="equal">
      <formula>0</formula>
    </cfRule>
    <cfRule type="cellIs" dxfId="7459" priority="344" operator="greaterThan">
      <formula>0</formula>
    </cfRule>
  </conditionalFormatting>
  <conditionalFormatting sqref="G82:AC82">
    <cfRule type="cellIs" dxfId="7458" priority="333" operator="equal">
      <formula>"PMS"</formula>
    </cfRule>
    <cfRule type="containsText" dxfId="7457" priority="334" operator="containsText" text="CMS">
      <formula>NOT(ISERROR(SEARCH("CMS",G82)))</formula>
    </cfRule>
    <cfRule type="cellIs" dxfId="7456" priority="335" operator="equal">
      <formula>0</formula>
    </cfRule>
    <cfRule type="cellIs" dxfId="7455" priority="336" operator="greaterThan">
      <formula>0</formula>
    </cfRule>
  </conditionalFormatting>
  <conditionalFormatting sqref="N24">
    <cfRule type="cellIs" dxfId="7454" priority="325" operator="equal">
      <formula>"PMS"</formula>
    </cfRule>
    <cfRule type="containsText" dxfId="7453" priority="326" operator="containsText" text="CMS">
      <formula>NOT(ISERROR(SEARCH("CMS",N24)))</formula>
    </cfRule>
    <cfRule type="cellIs" dxfId="7452" priority="327" operator="equal">
      <formula>0</formula>
    </cfRule>
    <cfRule type="cellIs" dxfId="7451" priority="328" operator="greaterThan">
      <formula>0</formula>
    </cfRule>
    <cfRule type="cellIs" dxfId="7450" priority="329" operator="equal">
      <formula>"PMS"</formula>
    </cfRule>
    <cfRule type="containsText" dxfId="7449" priority="330" operator="containsText" text="CMS">
      <formula>NOT(ISERROR(SEARCH("CMS",N24)))</formula>
    </cfRule>
    <cfRule type="cellIs" dxfId="7448" priority="331" operator="equal">
      <formula>0</formula>
    </cfRule>
    <cfRule type="cellIs" dxfId="7447" priority="332" operator="greaterThan">
      <formula>0</formula>
    </cfRule>
  </conditionalFormatting>
  <conditionalFormatting sqref="N24">
    <cfRule type="cellIs" dxfId="7446" priority="321" operator="equal">
      <formula>"PMS"</formula>
    </cfRule>
    <cfRule type="containsText" dxfId="7445" priority="322" operator="containsText" text="CMS">
      <formula>NOT(ISERROR(SEARCH("CMS",N24)))</formula>
    </cfRule>
    <cfRule type="cellIs" dxfId="7444" priority="323" operator="equal">
      <formula>0</formula>
    </cfRule>
    <cfRule type="cellIs" dxfId="7443" priority="324" operator="greaterThan">
      <formula>0</formula>
    </cfRule>
  </conditionalFormatting>
  <conditionalFormatting sqref="U24">
    <cfRule type="cellIs" dxfId="7442" priority="313" operator="equal">
      <formula>"PMS"</formula>
    </cfRule>
    <cfRule type="containsText" dxfId="7441" priority="314" operator="containsText" text="CMS">
      <formula>NOT(ISERROR(SEARCH("CMS",U24)))</formula>
    </cfRule>
    <cfRule type="cellIs" dxfId="7440" priority="315" operator="equal">
      <formula>0</formula>
    </cfRule>
    <cfRule type="cellIs" dxfId="7439" priority="316" operator="greaterThan">
      <formula>0</formula>
    </cfRule>
    <cfRule type="cellIs" dxfId="7438" priority="317" operator="equal">
      <formula>"PMS"</formula>
    </cfRule>
    <cfRule type="containsText" dxfId="7437" priority="318" operator="containsText" text="CMS">
      <formula>NOT(ISERROR(SEARCH("CMS",U24)))</formula>
    </cfRule>
    <cfRule type="cellIs" dxfId="7436" priority="319" operator="equal">
      <formula>0</formula>
    </cfRule>
    <cfRule type="cellIs" dxfId="7435" priority="320" operator="greaterThan">
      <formula>0</formula>
    </cfRule>
  </conditionalFormatting>
  <conditionalFormatting sqref="U24">
    <cfRule type="cellIs" dxfId="7434" priority="309" operator="equal">
      <formula>"PMS"</formula>
    </cfRule>
    <cfRule type="containsText" dxfId="7433" priority="310" operator="containsText" text="CMS">
      <formula>NOT(ISERROR(SEARCH("CMS",U24)))</formula>
    </cfRule>
    <cfRule type="cellIs" dxfId="7432" priority="311" operator="equal">
      <formula>0</formula>
    </cfRule>
    <cfRule type="cellIs" dxfId="7431" priority="312" operator="greaterThan">
      <formula>0</formula>
    </cfRule>
  </conditionalFormatting>
  <conditionalFormatting sqref="H14:P14">
    <cfRule type="cellIs" dxfId="7430" priority="301" operator="equal">
      <formula>"PMS"</formula>
    </cfRule>
    <cfRule type="containsText" dxfId="7429" priority="302" operator="containsText" text="CMS">
      <formula>NOT(ISERROR(SEARCH("CMS",H14)))</formula>
    </cfRule>
    <cfRule type="cellIs" dxfId="7428" priority="303" operator="equal">
      <formula>0</formula>
    </cfRule>
    <cfRule type="cellIs" dxfId="7427" priority="304" operator="greaterThan">
      <formula>0</formula>
    </cfRule>
    <cfRule type="cellIs" dxfId="7426" priority="305" operator="equal">
      <formula>"PMS"</formula>
    </cfRule>
    <cfRule type="containsText" dxfId="7425" priority="306" operator="containsText" text="CMS">
      <formula>NOT(ISERROR(SEARCH("CMS",H14)))</formula>
    </cfRule>
    <cfRule type="cellIs" dxfId="7424" priority="307" operator="equal">
      <formula>0</formula>
    </cfRule>
    <cfRule type="cellIs" dxfId="7423" priority="308" operator="greaterThan">
      <formula>0</formula>
    </cfRule>
  </conditionalFormatting>
  <conditionalFormatting sqref="H14:P14">
    <cfRule type="cellIs" dxfId="7422" priority="297" operator="equal">
      <formula>"PMS"</formula>
    </cfRule>
    <cfRule type="containsText" dxfId="7421" priority="298" operator="containsText" text="CMS">
      <formula>NOT(ISERROR(SEARCH("CMS",H14)))</formula>
    </cfRule>
    <cfRule type="cellIs" dxfId="7420" priority="299" operator="equal">
      <formula>0</formula>
    </cfRule>
    <cfRule type="cellIs" dxfId="7419" priority="300" operator="greaterThan">
      <formula>0</formula>
    </cfRule>
  </conditionalFormatting>
  <conditionalFormatting sqref="F82">
    <cfRule type="cellIs" dxfId="7418" priority="289" operator="equal">
      <formula>"PMS"</formula>
    </cfRule>
    <cfRule type="containsText" dxfId="7417" priority="290" operator="containsText" text="CMS">
      <formula>NOT(ISERROR(SEARCH("CMS",F82)))</formula>
    </cfRule>
    <cfRule type="cellIs" dxfId="7416" priority="291" operator="equal">
      <formula>0</formula>
    </cfRule>
    <cfRule type="cellIs" dxfId="7415" priority="292" operator="greaterThan">
      <formula>0</formula>
    </cfRule>
    <cfRule type="cellIs" dxfId="7414" priority="293" operator="equal">
      <formula>"PMS"</formula>
    </cfRule>
    <cfRule type="containsText" dxfId="7413" priority="294" operator="containsText" text="CMS">
      <formula>NOT(ISERROR(SEARCH("CMS",F82)))</formula>
    </cfRule>
    <cfRule type="cellIs" dxfId="7412" priority="295" operator="equal">
      <formula>0</formula>
    </cfRule>
    <cfRule type="cellIs" dxfId="7411" priority="296" operator="greaterThan">
      <formula>0</formula>
    </cfRule>
  </conditionalFormatting>
  <conditionalFormatting sqref="F82">
    <cfRule type="cellIs" dxfId="7410" priority="285" operator="equal">
      <formula>"PMS"</formula>
    </cfRule>
    <cfRule type="containsText" dxfId="7409" priority="286" operator="containsText" text="CMS">
      <formula>NOT(ISERROR(SEARCH("CMS",F82)))</formula>
    </cfRule>
    <cfRule type="cellIs" dxfId="7408" priority="287" operator="equal">
      <formula>0</formula>
    </cfRule>
    <cfRule type="cellIs" dxfId="7407" priority="288" operator="greaterThan">
      <formula>0</formula>
    </cfRule>
  </conditionalFormatting>
  <conditionalFormatting sqref="R19:T19">
    <cfRule type="cellIs" dxfId="7406" priority="277" operator="equal">
      <formula>"PMS"</formula>
    </cfRule>
    <cfRule type="containsText" dxfId="7405" priority="278" operator="containsText" text="CMS">
      <formula>NOT(ISERROR(SEARCH("CMS",R19)))</formula>
    </cfRule>
    <cfRule type="cellIs" dxfId="7404" priority="279" operator="equal">
      <formula>0</formula>
    </cfRule>
    <cfRule type="cellIs" dxfId="7403" priority="280" operator="greaterThan">
      <formula>0</formula>
    </cfRule>
    <cfRule type="cellIs" dxfId="7402" priority="281" operator="equal">
      <formula>"PMS"</formula>
    </cfRule>
    <cfRule type="containsText" dxfId="7401" priority="282" operator="containsText" text="CMS">
      <formula>NOT(ISERROR(SEARCH("CMS",R19)))</formula>
    </cfRule>
    <cfRule type="cellIs" dxfId="7400" priority="283" operator="equal">
      <formula>0</formula>
    </cfRule>
    <cfRule type="cellIs" dxfId="7399" priority="284" operator="greaterThan">
      <formula>0</formula>
    </cfRule>
  </conditionalFormatting>
  <conditionalFormatting sqref="R19:T19">
    <cfRule type="cellIs" dxfId="7398" priority="273" operator="equal">
      <formula>"PMS"</formula>
    </cfRule>
    <cfRule type="containsText" dxfId="7397" priority="274" operator="containsText" text="CMS">
      <formula>NOT(ISERROR(SEARCH("CMS",R19)))</formula>
    </cfRule>
    <cfRule type="cellIs" dxfId="7396" priority="275" operator="equal">
      <formula>0</formula>
    </cfRule>
    <cfRule type="cellIs" dxfId="7395" priority="276" operator="greaterThan">
      <formula>0</formula>
    </cfRule>
  </conditionalFormatting>
  <conditionalFormatting sqref="G13:G16">
    <cfRule type="cellIs" dxfId="7394" priority="265" operator="equal">
      <formula>"PMS"</formula>
    </cfRule>
    <cfRule type="containsText" dxfId="7393" priority="266" operator="containsText" text="CMS">
      <formula>NOT(ISERROR(SEARCH("CMS",G13)))</formula>
    </cfRule>
    <cfRule type="cellIs" dxfId="7392" priority="267" operator="equal">
      <formula>0</formula>
    </cfRule>
    <cfRule type="cellIs" dxfId="7391" priority="268" operator="greaterThan">
      <formula>0</formula>
    </cfRule>
    <cfRule type="cellIs" dxfId="7390" priority="269" operator="equal">
      <formula>"PMS"</formula>
    </cfRule>
    <cfRule type="containsText" dxfId="7389" priority="270" operator="containsText" text="CMS">
      <formula>NOT(ISERROR(SEARCH("CMS",G13)))</formula>
    </cfRule>
    <cfRule type="cellIs" dxfId="7388" priority="271" operator="equal">
      <formula>0</formula>
    </cfRule>
    <cfRule type="cellIs" dxfId="7387" priority="272" operator="greaterThan">
      <formula>0</formula>
    </cfRule>
  </conditionalFormatting>
  <conditionalFormatting sqref="G13:G16">
    <cfRule type="cellIs" dxfId="7386" priority="261" operator="equal">
      <formula>"PMS"</formula>
    </cfRule>
    <cfRule type="containsText" dxfId="7385" priority="262" operator="containsText" text="CMS">
      <formula>NOT(ISERROR(SEARCH("CMS",G13)))</formula>
    </cfRule>
    <cfRule type="cellIs" dxfId="7384" priority="263" operator="equal">
      <formula>0</formula>
    </cfRule>
    <cfRule type="cellIs" dxfId="7383" priority="264" operator="greaterThan">
      <formula>0</formula>
    </cfRule>
  </conditionalFormatting>
  <conditionalFormatting sqref="M13">
    <cfRule type="cellIs" dxfId="7382" priority="253" operator="equal">
      <formula>"PMS"</formula>
    </cfRule>
    <cfRule type="containsText" dxfId="7381" priority="254" operator="containsText" text="CMS">
      <formula>NOT(ISERROR(SEARCH("CMS",M13)))</formula>
    </cfRule>
    <cfRule type="cellIs" dxfId="7380" priority="255" operator="equal">
      <formula>0</formula>
    </cfRule>
    <cfRule type="cellIs" dxfId="7379" priority="256" operator="greaterThan">
      <formula>0</formula>
    </cfRule>
    <cfRule type="cellIs" dxfId="7378" priority="257" operator="equal">
      <formula>"PMS"</formula>
    </cfRule>
    <cfRule type="containsText" dxfId="7377" priority="258" operator="containsText" text="CMS">
      <formula>NOT(ISERROR(SEARCH("CMS",M13)))</formula>
    </cfRule>
    <cfRule type="cellIs" dxfId="7376" priority="259" operator="equal">
      <formula>0</formula>
    </cfRule>
    <cfRule type="cellIs" dxfId="7375" priority="260" operator="greaterThan">
      <formula>0</formula>
    </cfRule>
  </conditionalFormatting>
  <conditionalFormatting sqref="M13">
    <cfRule type="cellIs" dxfId="7374" priority="249" operator="equal">
      <formula>"PMS"</formula>
    </cfRule>
    <cfRule type="containsText" dxfId="7373" priority="250" operator="containsText" text="CMS">
      <formula>NOT(ISERROR(SEARCH("CMS",M13)))</formula>
    </cfRule>
    <cfRule type="cellIs" dxfId="7372" priority="251" operator="equal">
      <formula>0</formula>
    </cfRule>
    <cfRule type="cellIs" dxfId="7371" priority="252" operator="greaterThan">
      <formula>0</formula>
    </cfRule>
  </conditionalFormatting>
  <conditionalFormatting sqref="R78:R79">
    <cfRule type="cellIs" dxfId="7370" priority="241" operator="equal">
      <formula>"PMS"</formula>
    </cfRule>
    <cfRule type="containsText" dxfId="7369" priority="242" operator="containsText" text="CMS">
      <formula>NOT(ISERROR(SEARCH("CMS",R78)))</formula>
    </cfRule>
    <cfRule type="cellIs" dxfId="7368" priority="243" operator="equal">
      <formula>0</formula>
    </cfRule>
    <cfRule type="cellIs" dxfId="7367" priority="244" operator="greaterThan">
      <formula>0</formula>
    </cfRule>
    <cfRule type="cellIs" dxfId="7366" priority="245" operator="equal">
      <formula>"PMS"</formula>
    </cfRule>
    <cfRule type="containsText" dxfId="7365" priority="246" operator="containsText" text="CMS">
      <formula>NOT(ISERROR(SEARCH("CMS",R78)))</formula>
    </cfRule>
    <cfRule type="cellIs" dxfId="7364" priority="247" operator="equal">
      <formula>0</formula>
    </cfRule>
    <cfRule type="cellIs" dxfId="7363" priority="248" operator="greaterThan">
      <formula>0</formula>
    </cfRule>
  </conditionalFormatting>
  <conditionalFormatting sqref="R78:R79">
    <cfRule type="cellIs" dxfId="7362" priority="237" operator="equal">
      <formula>"PMS"</formula>
    </cfRule>
    <cfRule type="containsText" dxfId="7361" priority="238" operator="containsText" text="CMS">
      <formula>NOT(ISERROR(SEARCH("CMS",R78)))</formula>
    </cfRule>
    <cfRule type="cellIs" dxfId="7360" priority="239" operator="equal">
      <formula>0</formula>
    </cfRule>
    <cfRule type="cellIs" dxfId="7359" priority="240" operator="greaterThan">
      <formula>0</formula>
    </cfRule>
  </conditionalFormatting>
  <conditionalFormatting sqref="O15">
    <cfRule type="cellIs" dxfId="7358" priority="229" operator="equal">
      <formula>"PMS"</formula>
    </cfRule>
    <cfRule type="containsText" dxfId="7357" priority="230" operator="containsText" text="CMS">
      <formula>NOT(ISERROR(SEARCH("CMS",O15)))</formula>
    </cfRule>
    <cfRule type="cellIs" dxfId="7356" priority="231" operator="equal">
      <formula>0</formula>
    </cfRule>
    <cfRule type="cellIs" dxfId="7355" priority="232" operator="greaterThan">
      <formula>0</formula>
    </cfRule>
    <cfRule type="cellIs" dxfId="7354" priority="233" operator="equal">
      <formula>"PMS"</formula>
    </cfRule>
    <cfRule type="containsText" dxfId="7353" priority="234" operator="containsText" text="CMS">
      <formula>NOT(ISERROR(SEARCH("CMS",O15)))</formula>
    </cfRule>
    <cfRule type="cellIs" dxfId="7352" priority="235" operator="equal">
      <formula>0</formula>
    </cfRule>
    <cfRule type="cellIs" dxfId="7351" priority="236" operator="greaterThan">
      <formula>0</formula>
    </cfRule>
  </conditionalFormatting>
  <conditionalFormatting sqref="O15">
    <cfRule type="cellIs" dxfId="7350" priority="225" operator="equal">
      <formula>"PMS"</formula>
    </cfRule>
    <cfRule type="containsText" dxfId="7349" priority="226" operator="containsText" text="CMS">
      <formula>NOT(ISERROR(SEARCH("CMS",O15)))</formula>
    </cfRule>
    <cfRule type="cellIs" dxfId="7348" priority="227" operator="equal">
      <formula>0</formula>
    </cfRule>
    <cfRule type="cellIs" dxfId="7347" priority="228" operator="greaterThan">
      <formula>0</formula>
    </cfRule>
  </conditionalFormatting>
  <conditionalFormatting sqref="O16">
    <cfRule type="cellIs" dxfId="7346" priority="217" operator="equal">
      <formula>"PMS"</formula>
    </cfRule>
    <cfRule type="containsText" dxfId="7345" priority="218" operator="containsText" text="CMS">
      <formula>NOT(ISERROR(SEARCH("CMS",O16)))</formula>
    </cfRule>
    <cfRule type="cellIs" dxfId="7344" priority="219" operator="equal">
      <formula>0</formula>
    </cfRule>
    <cfRule type="cellIs" dxfId="7343" priority="220" operator="greaterThan">
      <formula>0</formula>
    </cfRule>
    <cfRule type="cellIs" dxfId="7342" priority="221" operator="equal">
      <formula>"PMS"</formula>
    </cfRule>
    <cfRule type="containsText" dxfId="7341" priority="222" operator="containsText" text="CMS">
      <formula>NOT(ISERROR(SEARCH("CMS",O16)))</formula>
    </cfRule>
    <cfRule type="cellIs" dxfId="7340" priority="223" operator="equal">
      <formula>0</formula>
    </cfRule>
    <cfRule type="cellIs" dxfId="7339" priority="224" operator="greaterThan">
      <formula>0</formula>
    </cfRule>
  </conditionalFormatting>
  <conditionalFormatting sqref="O16">
    <cfRule type="cellIs" dxfId="7338" priority="213" operator="equal">
      <formula>"PMS"</formula>
    </cfRule>
    <cfRule type="containsText" dxfId="7337" priority="214" operator="containsText" text="CMS">
      <formula>NOT(ISERROR(SEARCH("CMS",O16)))</formula>
    </cfRule>
    <cfRule type="cellIs" dxfId="7336" priority="215" operator="equal">
      <formula>0</formula>
    </cfRule>
    <cfRule type="cellIs" dxfId="7335" priority="216" operator="greaterThan">
      <formula>0</formula>
    </cfRule>
  </conditionalFormatting>
  <conditionalFormatting sqref="N15">
    <cfRule type="cellIs" dxfId="7334" priority="205" operator="equal">
      <formula>"PMS"</formula>
    </cfRule>
    <cfRule type="containsText" dxfId="7333" priority="206" operator="containsText" text="CMS">
      <formula>NOT(ISERROR(SEARCH("CMS",N15)))</formula>
    </cfRule>
    <cfRule type="cellIs" dxfId="7332" priority="207" operator="equal">
      <formula>0</formula>
    </cfRule>
    <cfRule type="cellIs" dxfId="7331" priority="208" operator="greaterThan">
      <formula>0</formula>
    </cfRule>
    <cfRule type="cellIs" dxfId="7330" priority="209" operator="equal">
      <formula>"PMS"</formula>
    </cfRule>
    <cfRule type="containsText" dxfId="7329" priority="210" operator="containsText" text="CMS">
      <formula>NOT(ISERROR(SEARCH("CMS",N15)))</formula>
    </cfRule>
    <cfRule type="cellIs" dxfId="7328" priority="211" operator="equal">
      <formula>0</formula>
    </cfRule>
    <cfRule type="cellIs" dxfId="7327" priority="212" operator="greaterThan">
      <formula>0</formula>
    </cfRule>
  </conditionalFormatting>
  <conditionalFormatting sqref="N15">
    <cfRule type="cellIs" dxfId="7326" priority="201" operator="equal">
      <formula>"PMS"</formula>
    </cfRule>
    <cfRule type="containsText" dxfId="7325" priority="202" operator="containsText" text="CMS">
      <formula>NOT(ISERROR(SEARCH("CMS",N15)))</formula>
    </cfRule>
    <cfRule type="cellIs" dxfId="7324" priority="203" operator="equal">
      <formula>0</formula>
    </cfRule>
    <cfRule type="cellIs" dxfId="7323" priority="204" operator="greaterThan">
      <formula>0</formula>
    </cfRule>
  </conditionalFormatting>
  <conditionalFormatting sqref="N16">
    <cfRule type="cellIs" dxfId="7322" priority="193" operator="equal">
      <formula>"PMS"</formula>
    </cfRule>
    <cfRule type="containsText" dxfId="7321" priority="194" operator="containsText" text="CMS">
      <formula>NOT(ISERROR(SEARCH("CMS",N16)))</formula>
    </cfRule>
    <cfRule type="cellIs" dxfId="7320" priority="195" operator="equal">
      <formula>0</formula>
    </cfRule>
    <cfRule type="cellIs" dxfId="7319" priority="196" operator="greaterThan">
      <formula>0</formula>
    </cfRule>
    <cfRule type="cellIs" dxfId="7318" priority="197" operator="equal">
      <formula>"PMS"</formula>
    </cfRule>
    <cfRule type="containsText" dxfId="7317" priority="198" operator="containsText" text="CMS">
      <formula>NOT(ISERROR(SEARCH("CMS",N16)))</formula>
    </cfRule>
    <cfRule type="cellIs" dxfId="7316" priority="199" operator="equal">
      <formula>0</formula>
    </cfRule>
    <cfRule type="cellIs" dxfId="7315" priority="200" operator="greaterThan">
      <formula>0</formula>
    </cfRule>
  </conditionalFormatting>
  <conditionalFormatting sqref="N16">
    <cfRule type="cellIs" dxfId="7314" priority="189" operator="equal">
      <formula>"PMS"</formula>
    </cfRule>
    <cfRule type="containsText" dxfId="7313" priority="190" operator="containsText" text="CMS">
      <formula>NOT(ISERROR(SEARCH("CMS",N16)))</formula>
    </cfRule>
    <cfRule type="cellIs" dxfId="7312" priority="191" operator="equal">
      <formula>0</formula>
    </cfRule>
    <cfRule type="cellIs" dxfId="7311" priority="192" operator="greaterThan">
      <formula>0</formula>
    </cfRule>
  </conditionalFormatting>
  <conditionalFormatting sqref="O21">
    <cfRule type="cellIs" dxfId="7310" priority="181" operator="equal">
      <formula>"PMS"</formula>
    </cfRule>
    <cfRule type="containsText" dxfId="7309" priority="182" operator="containsText" text="CMS">
      <formula>NOT(ISERROR(SEARCH("CMS",O21)))</formula>
    </cfRule>
    <cfRule type="cellIs" dxfId="7308" priority="183" operator="equal">
      <formula>0</formula>
    </cfRule>
    <cfRule type="cellIs" dxfId="7307" priority="184" operator="greaterThan">
      <formula>0</formula>
    </cfRule>
    <cfRule type="cellIs" dxfId="7306" priority="185" operator="equal">
      <formula>"PMS"</formula>
    </cfRule>
    <cfRule type="containsText" dxfId="7305" priority="186" operator="containsText" text="CMS">
      <formula>NOT(ISERROR(SEARCH("CMS",O21)))</formula>
    </cfRule>
    <cfRule type="cellIs" dxfId="7304" priority="187" operator="equal">
      <formula>0</formula>
    </cfRule>
    <cfRule type="cellIs" dxfId="7303" priority="188" operator="greaterThan">
      <formula>0</formula>
    </cfRule>
  </conditionalFormatting>
  <conditionalFormatting sqref="O21">
    <cfRule type="cellIs" dxfId="7302" priority="177" operator="equal">
      <formula>"PMS"</formula>
    </cfRule>
    <cfRule type="containsText" dxfId="7301" priority="178" operator="containsText" text="CMS">
      <formula>NOT(ISERROR(SEARCH("CMS",O21)))</formula>
    </cfRule>
    <cfRule type="cellIs" dxfId="7300" priority="179" operator="equal">
      <formula>0</formula>
    </cfRule>
    <cfRule type="cellIs" dxfId="7299" priority="180" operator="greaterThan">
      <formula>0</formula>
    </cfRule>
  </conditionalFormatting>
  <conditionalFormatting sqref="G28">
    <cfRule type="cellIs" dxfId="7298" priority="169" operator="equal">
      <formula>"PMS"</formula>
    </cfRule>
    <cfRule type="containsText" dxfId="7297" priority="170" operator="containsText" text="CMS">
      <formula>NOT(ISERROR(SEARCH("CMS",G28)))</formula>
    </cfRule>
    <cfRule type="cellIs" dxfId="7296" priority="171" operator="equal">
      <formula>0</formula>
    </cfRule>
    <cfRule type="cellIs" dxfId="7295" priority="172" operator="greaterThan">
      <formula>0</formula>
    </cfRule>
    <cfRule type="cellIs" dxfId="7294" priority="173" operator="equal">
      <formula>"PMS"</formula>
    </cfRule>
    <cfRule type="containsText" dxfId="7293" priority="174" operator="containsText" text="CMS">
      <formula>NOT(ISERROR(SEARCH("CMS",G28)))</formula>
    </cfRule>
    <cfRule type="cellIs" dxfId="7292" priority="175" operator="equal">
      <formula>0</formula>
    </cfRule>
    <cfRule type="cellIs" dxfId="7291" priority="176" operator="greaterThan">
      <formula>0</formula>
    </cfRule>
  </conditionalFormatting>
  <conditionalFormatting sqref="G28">
    <cfRule type="cellIs" dxfId="7290" priority="165" operator="equal">
      <formula>"PMS"</formula>
    </cfRule>
    <cfRule type="containsText" dxfId="7289" priority="166" operator="containsText" text="CMS">
      <formula>NOT(ISERROR(SEARCH("CMS",G28)))</formula>
    </cfRule>
    <cfRule type="cellIs" dxfId="7288" priority="167" operator="equal">
      <formula>0</formula>
    </cfRule>
    <cfRule type="cellIs" dxfId="7287" priority="168" operator="greaterThan">
      <formula>0</formula>
    </cfRule>
  </conditionalFormatting>
  <conditionalFormatting sqref="K13">
    <cfRule type="cellIs" dxfId="7286" priority="85" operator="equal">
      <formula>"PMS"</formula>
    </cfRule>
    <cfRule type="containsText" dxfId="7285" priority="86" operator="containsText" text="CMS">
      <formula>NOT(ISERROR(SEARCH("CMS",K13)))</formula>
    </cfRule>
    <cfRule type="cellIs" dxfId="7284" priority="87" operator="equal">
      <formula>0</formula>
    </cfRule>
    <cfRule type="cellIs" dxfId="7283" priority="88" operator="greaterThan">
      <formula>0</formula>
    </cfRule>
    <cfRule type="cellIs" dxfId="7282" priority="89" operator="equal">
      <formula>"PMS"</formula>
    </cfRule>
    <cfRule type="containsText" dxfId="7281" priority="90" operator="containsText" text="CMS">
      <formula>NOT(ISERROR(SEARCH("CMS",K13)))</formula>
    </cfRule>
    <cfRule type="cellIs" dxfId="7280" priority="91" operator="equal">
      <formula>0</formula>
    </cfRule>
    <cfRule type="cellIs" dxfId="7279" priority="92" operator="greaterThan">
      <formula>0</formula>
    </cfRule>
  </conditionalFormatting>
  <conditionalFormatting sqref="K13">
    <cfRule type="cellIs" dxfId="7278" priority="81" operator="equal">
      <formula>"PMS"</formula>
    </cfRule>
    <cfRule type="containsText" dxfId="7277" priority="82" operator="containsText" text="CMS">
      <formula>NOT(ISERROR(SEARCH("CMS",K13)))</formula>
    </cfRule>
    <cfRule type="cellIs" dxfId="7276" priority="83" operator="equal">
      <formula>0</formula>
    </cfRule>
    <cfRule type="cellIs" dxfId="7275" priority="84" operator="greaterThan">
      <formula>0</formula>
    </cfRule>
  </conditionalFormatting>
  <conditionalFormatting sqref="F13:F16 F36:F59 F62:F64">
    <cfRule type="cellIs" dxfId="7274" priority="73" operator="equal">
      <formula>"PMS"</formula>
    </cfRule>
    <cfRule type="containsText" dxfId="7273" priority="74" operator="containsText" text="CMS">
      <formula>NOT(ISERROR(SEARCH("CMS",F13)))</formula>
    </cfRule>
    <cfRule type="cellIs" dxfId="7272" priority="75" operator="equal">
      <formula>0</formula>
    </cfRule>
    <cfRule type="cellIs" dxfId="7271" priority="76" operator="greaterThan">
      <formula>0</formula>
    </cfRule>
    <cfRule type="cellIs" dxfId="7270" priority="77" operator="equal">
      <formula>"PMS"</formula>
    </cfRule>
    <cfRule type="containsText" dxfId="7269" priority="78" operator="containsText" text="CMS">
      <formula>NOT(ISERROR(SEARCH("CMS",F13)))</formula>
    </cfRule>
    <cfRule type="cellIs" dxfId="7268" priority="79" operator="equal">
      <formula>0</formula>
    </cfRule>
    <cfRule type="cellIs" dxfId="7267" priority="80" operator="greaterThan">
      <formula>0</formula>
    </cfRule>
  </conditionalFormatting>
  <conditionalFormatting sqref="F13:F16 F36:F59 F62:F64">
    <cfRule type="cellIs" dxfId="7266" priority="69" operator="equal">
      <formula>"PMS"</formula>
    </cfRule>
    <cfRule type="containsText" dxfId="7265" priority="70" operator="containsText" text="CMS">
      <formula>NOT(ISERROR(SEARCH("CMS",F13)))</formula>
    </cfRule>
    <cfRule type="cellIs" dxfId="7264" priority="71" operator="equal">
      <formula>0</formula>
    </cfRule>
    <cfRule type="cellIs" dxfId="7263" priority="72" operator="greaterThan">
      <formula>0</formula>
    </cfRule>
  </conditionalFormatting>
  <conditionalFormatting sqref="F19:F21">
    <cfRule type="cellIs" dxfId="7262" priority="61" operator="equal">
      <formula>"PMS"</formula>
    </cfRule>
    <cfRule type="containsText" dxfId="7261" priority="62" operator="containsText" text="CMS">
      <formula>NOT(ISERROR(SEARCH("CMS",F19)))</formula>
    </cfRule>
    <cfRule type="cellIs" dxfId="7260" priority="63" operator="equal">
      <formula>0</formula>
    </cfRule>
    <cfRule type="cellIs" dxfId="7259" priority="64" operator="greaterThan">
      <formula>0</formula>
    </cfRule>
    <cfRule type="cellIs" dxfId="7258" priority="65" operator="equal">
      <formula>"PMS"</formula>
    </cfRule>
    <cfRule type="containsText" dxfId="7257" priority="66" operator="containsText" text="CMS">
      <formula>NOT(ISERROR(SEARCH("CMS",F19)))</formula>
    </cfRule>
    <cfRule type="cellIs" dxfId="7256" priority="67" operator="equal">
      <formula>0</formula>
    </cfRule>
    <cfRule type="cellIs" dxfId="7255" priority="68" operator="greaterThan">
      <formula>0</formula>
    </cfRule>
  </conditionalFormatting>
  <conditionalFormatting sqref="F19:F21">
    <cfRule type="cellIs" dxfId="7254" priority="57" operator="equal">
      <formula>"PMS"</formula>
    </cfRule>
    <cfRule type="containsText" dxfId="7253" priority="58" operator="containsText" text="CMS">
      <formula>NOT(ISERROR(SEARCH("CMS",F19)))</formula>
    </cfRule>
    <cfRule type="cellIs" dxfId="7252" priority="59" operator="equal">
      <formula>0</formula>
    </cfRule>
    <cfRule type="cellIs" dxfId="7251" priority="60" operator="greaterThan">
      <formula>0</formula>
    </cfRule>
  </conditionalFormatting>
  <conditionalFormatting sqref="F24">
    <cfRule type="cellIs" dxfId="7250" priority="49" operator="equal">
      <formula>"PMS"</formula>
    </cfRule>
    <cfRule type="containsText" dxfId="7249" priority="50" operator="containsText" text="CMS">
      <formula>NOT(ISERROR(SEARCH("CMS",F24)))</formula>
    </cfRule>
    <cfRule type="cellIs" dxfId="7248" priority="51" operator="equal">
      <formula>0</formula>
    </cfRule>
    <cfRule type="cellIs" dxfId="7247" priority="52" operator="greaterThan">
      <formula>0</formula>
    </cfRule>
    <cfRule type="cellIs" dxfId="7246" priority="53" operator="equal">
      <formula>"PMS"</formula>
    </cfRule>
    <cfRule type="containsText" dxfId="7245" priority="54" operator="containsText" text="CMS">
      <formula>NOT(ISERROR(SEARCH("CMS",F24)))</formula>
    </cfRule>
    <cfRule type="cellIs" dxfId="7244" priority="55" operator="equal">
      <formula>0</formula>
    </cfRule>
    <cfRule type="cellIs" dxfId="7243" priority="56" operator="greaterThan">
      <formula>0</formula>
    </cfRule>
  </conditionalFormatting>
  <conditionalFormatting sqref="F24">
    <cfRule type="cellIs" dxfId="7242" priority="45" operator="equal">
      <formula>"PMS"</formula>
    </cfRule>
    <cfRule type="containsText" dxfId="7241" priority="46" operator="containsText" text="CMS">
      <formula>NOT(ISERROR(SEARCH("CMS",F24)))</formula>
    </cfRule>
    <cfRule type="cellIs" dxfId="7240" priority="47" operator="equal">
      <formula>0</formula>
    </cfRule>
    <cfRule type="cellIs" dxfId="7239" priority="48" operator="greaterThan">
      <formula>0</formula>
    </cfRule>
  </conditionalFormatting>
  <conditionalFormatting sqref="F27:F30">
    <cfRule type="cellIs" dxfId="7238" priority="37" operator="equal">
      <formula>"PMS"</formula>
    </cfRule>
    <cfRule type="containsText" dxfId="7237" priority="38" operator="containsText" text="CMS">
      <formula>NOT(ISERROR(SEARCH("CMS",F27)))</formula>
    </cfRule>
    <cfRule type="cellIs" dxfId="7236" priority="39" operator="equal">
      <formula>0</formula>
    </cfRule>
    <cfRule type="cellIs" dxfId="7235" priority="40" operator="greaterThan">
      <formula>0</formula>
    </cfRule>
    <cfRule type="cellIs" dxfId="7234" priority="41" operator="equal">
      <formula>"PMS"</formula>
    </cfRule>
    <cfRule type="containsText" dxfId="7233" priority="42" operator="containsText" text="CMS">
      <formula>NOT(ISERROR(SEARCH("CMS",F27)))</formula>
    </cfRule>
    <cfRule type="cellIs" dxfId="7232" priority="43" operator="equal">
      <formula>0</formula>
    </cfRule>
    <cfRule type="cellIs" dxfId="7231" priority="44" operator="greaterThan">
      <formula>0</formula>
    </cfRule>
  </conditionalFormatting>
  <conditionalFormatting sqref="F27:F30">
    <cfRule type="cellIs" dxfId="7230" priority="33" operator="equal">
      <formula>"PMS"</formula>
    </cfRule>
    <cfRule type="containsText" dxfId="7229" priority="34" operator="containsText" text="CMS">
      <formula>NOT(ISERROR(SEARCH("CMS",F27)))</formula>
    </cfRule>
    <cfRule type="cellIs" dxfId="7228" priority="35" operator="equal">
      <formula>0</formula>
    </cfRule>
    <cfRule type="cellIs" dxfId="7227" priority="36" operator="greaterThan">
      <formula>0</formula>
    </cfRule>
  </conditionalFormatting>
  <conditionalFormatting sqref="F33">
    <cfRule type="cellIs" dxfId="7226" priority="25" operator="equal">
      <formula>"PMS"</formula>
    </cfRule>
    <cfRule type="containsText" dxfId="7225" priority="26" operator="containsText" text="CMS">
      <formula>NOT(ISERROR(SEARCH("CMS",F33)))</formula>
    </cfRule>
    <cfRule type="cellIs" dxfId="7224" priority="27" operator="equal">
      <formula>0</formula>
    </cfRule>
    <cfRule type="cellIs" dxfId="7223" priority="28" operator="greaterThan">
      <formula>0</formula>
    </cfRule>
    <cfRule type="cellIs" dxfId="7222" priority="29" operator="equal">
      <formula>"PMS"</formula>
    </cfRule>
    <cfRule type="containsText" dxfId="7221" priority="30" operator="containsText" text="CMS">
      <formula>NOT(ISERROR(SEARCH("CMS",F33)))</formula>
    </cfRule>
    <cfRule type="cellIs" dxfId="7220" priority="31" operator="equal">
      <formula>0</formula>
    </cfRule>
    <cfRule type="cellIs" dxfId="7219" priority="32" operator="greaterThan">
      <formula>0</formula>
    </cfRule>
  </conditionalFormatting>
  <conditionalFormatting sqref="F33">
    <cfRule type="cellIs" dxfId="7218" priority="21" operator="equal">
      <formula>"PMS"</formula>
    </cfRule>
    <cfRule type="containsText" dxfId="7217" priority="22" operator="containsText" text="CMS">
      <formula>NOT(ISERROR(SEARCH("CMS",F33)))</formula>
    </cfRule>
    <cfRule type="cellIs" dxfId="7216" priority="23" operator="equal">
      <formula>0</formula>
    </cfRule>
    <cfRule type="cellIs" dxfId="7215" priority="24" operator="greaterThan">
      <formula>0</formula>
    </cfRule>
  </conditionalFormatting>
  <conditionalFormatting sqref="F67:F75 F78:F79">
    <cfRule type="cellIs" dxfId="7214" priority="13" operator="equal">
      <formula>"PMS"</formula>
    </cfRule>
    <cfRule type="containsText" dxfId="7213" priority="14" operator="containsText" text="CMS">
      <formula>NOT(ISERROR(SEARCH("CMS",F67)))</formula>
    </cfRule>
    <cfRule type="cellIs" dxfId="7212" priority="15" operator="equal">
      <formula>0</formula>
    </cfRule>
    <cfRule type="cellIs" dxfId="7211" priority="16" operator="greaterThan">
      <formula>0</formula>
    </cfRule>
    <cfRule type="cellIs" dxfId="7210" priority="17" operator="equal">
      <formula>"PMS"</formula>
    </cfRule>
    <cfRule type="containsText" dxfId="7209" priority="18" operator="containsText" text="CMS">
      <formula>NOT(ISERROR(SEARCH("CMS",F67)))</formula>
    </cfRule>
    <cfRule type="cellIs" dxfId="7208" priority="19" operator="equal">
      <formula>0</formula>
    </cfRule>
    <cfRule type="cellIs" dxfId="7207" priority="20" operator="greaterThan">
      <formula>0</formula>
    </cfRule>
  </conditionalFormatting>
  <conditionalFormatting sqref="F67:F75 F78:F79">
    <cfRule type="cellIs" dxfId="7206" priority="9" operator="equal">
      <formula>"PMS"</formula>
    </cfRule>
    <cfRule type="containsText" dxfId="7205" priority="10" operator="containsText" text="CMS">
      <formula>NOT(ISERROR(SEARCH("CMS",F67)))</formula>
    </cfRule>
    <cfRule type="cellIs" dxfId="7204" priority="11" operator="equal">
      <formula>0</formula>
    </cfRule>
    <cfRule type="cellIs" dxfId="7203" priority="12" operator="greaterThan">
      <formula>0</formula>
    </cfRule>
  </conditionalFormatting>
  <conditionalFormatting sqref="G111:K111 G112:AC112">
    <cfRule type="cellIs" dxfId="7202" priority="8" operator="greaterThan">
      <formula>60.3</formula>
    </cfRule>
  </conditionalFormatting>
  <conditionalFormatting sqref="F111">
    <cfRule type="cellIs" dxfId="7201" priority="5" operator="greaterThan">
      <formula>60.3</formula>
    </cfRule>
  </conditionalFormatting>
  <conditionalFormatting sqref="L111">
    <cfRule type="cellIs" dxfId="7200" priority="4" operator="greaterThan">
      <formula>60.3</formula>
    </cfRule>
  </conditionalFormatting>
  <conditionalFormatting sqref="M111">
    <cfRule type="cellIs" dxfId="7199" priority="3" operator="greaterThan">
      <formula>60.3</formula>
    </cfRule>
  </conditionalFormatting>
  <conditionalFormatting sqref="N111:AC111">
    <cfRule type="cellIs" dxfId="7198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222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20E69-E85F-428C-A33A-61C6C5E0BD2E}">
  <sheetPr codeName="Sheet165"/>
  <dimension ref="A2:DT141"/>
  <sheetViews>
    <sheetView zoomScale="70" zoomScaleNormal="70" zoomScaleSheetLayoutView="51" zoomScalePageLayoutView="55" workbookViewId="0">
      <pane xSplit="5" ySplit="11" topLeftCell="L31" activePane="bottomRight" state="frozen"/>
      <selection pane="bottomRight" activeCell="L11" sqref="L11"/>
      <selection pane="bottomLeft" activeCell="AJ44" sqref="AJ44"/>
      <selection pane="topRight" activeCell="AJ44" sqref="AJ4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23"/>
      <c r="N8" s="523"/>
      <c r="O8" s="52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24" t="e" cm="1">
        <f t="array" aca="1" ref="M9" ca="1">TEXT(TODAY(),"mmmm")&amp;" "&amp;MID(CELL("filename",A1),FIND("]",CELL("filename",A1))+1,255)&amp;", "&amp;TEXT(TODAY(),"yyyy")</f>
        <v>#VALUE!</v>
      </c>
      <c r="N9" s="524"/>
      <c r="O9" s="524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4"/>
      <c r="R10" s="344"/>
      <c r="S10" s="344"/>
      <c r="T10" s="344"/>
      <c r="U10" s="344"/>
      <c r="V10" s="344"/>
      <c r="W10" s="344"/>
      <c r="X10" s="344"/>
      <c r="Y10" s="344"/>
      <c r="Z10" s="344"/>
      <c r="AA10" s="344"/>
      <c r="AB10" s="344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17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452.5</v>
      </c>
    </row>
    <row r="13" spans="1:41">
      <c r="A13" s="14" t="s">
        <v>22</v>
      </c>
      <c r="B13" s="15"/>
      <c r="C13" s="15">
        <v>7.2</v>
      </c>
      <c r="D13" s="15"/>
      <c r="E13" s="15"/>
      <c r="F13" s="372">
        <v>6.5</v>
      </c>
      <c r="G13" s="372"/>
      <c r="H13" s="372"/>
      <c r="I13" s="372"/>
      <c r="J13" s="372"/>
      <c r="K13" s="372"/>
      <c r="L13" s="374">
        <v>1.5</v>
      </c>
      <c r="M13" s="372">
        <v>6.2</v>
      </c>
      <c r="N13" s="372">
        <v>6.7</v>
      </c>
      <c r="O13" s="372">
        <v>6.6</v>
      </c>
      <c r="P13" s="372">
        <v>6.7</v>
      </c>
      <c r="Q13" s="372">
        <v>6.8</v>
      </c>
      <c r="R13" s="372">
        <v>6.7</v>
      </c>
      <c r="S13" s="372">
        <v>6.6</v>
      </c>
      <c r="T13" s="372">
        <v>6.8</v>
      </c>
      <c r="U13" s="372">
        <v>6.6</v>
      </c>
      <c r="V13" s="372" t="s">
        <v>9</v>
      </c>
      <c r="W13" s="372" t="s">
        <v>9</v>
      </c>
      <c r="X13" s="372" t="s">
        <v>9</v>
      </c>
      <c r="Y13" s="372">
        <v>6.2</v>
      </c>
      <c r="Z13" s="372">
        <v>6.5</v>
      </c>
      <c r="AA13" s="372">
        <v>6.4</v>
      </c>
      <c r="AB13" s="372">
        <v>6.3</v>
      </c>
      <c r="AC13" s="372">
        <v>6.3</v>
      </c>
      <c r="AD13" s="41"/>
      <c r="AE13" s="41"/>
      <c r="AF13" s="11">
        <f>COUNTIF(F13:AC13,$AJ$8)</f>
        <v>3</v>
      </c>
      <c r="AG13" s="11">
        <f>COUNTIF(F13:AD13,$AJ$7)</f>
        <v>0</v>
      </c>
      <c r="AH13" s="11">
        <f>COUNT(F13:AC13)</f>
        <v>16</v>
      </c>
    </row>
    <row r="14" spans="1:41">
      <c r="A14" s="14" t="s">
        <v>23</v>
      </c>
      <c r="B14" s="15"/>
      <c r="C14" s="15">
        <v>7.2</v>
      </c>
      <c r="D14" s="15"/>
      <c r="E14" s="15"/>
      <c r="F14" s="372">
        <v>6.5</v>
      </c>
      <c r="G14" s="372">
        <v>1.2</v>
      </c>
      <c r="H14" s="374"/>
      <c r="I14" s="372"/>
      <c r="J14" s="372"/>
      <c r="K14" s="372"/>
      <c r="L14" s="372"/>
      <c r="M14" s="372"/>
      <c r="N14" s="372"/>
      <c r="O14" s="372"/>
      <c r="P14" s="372">
        <v>3</v>
      </c>
      <c r="Q14" s="372">
        <v>6.8</v>
      </c>
      <c r="R14" s="372">
        <v>6.7</v>
      </c>
      <c r="S14" s="372">
        <v>6.6</v>
      </c>
      <c r="T14" s="372">
        <v>6.8</v>
      </c>
      <c r="U14" s="372">
        <v>6.6</v>
      </c>
      <c r="V14" s="372">
        <v>6.2</v>
      </c>
      <c r="W14" s="372">
        <v>6.5</v>
      </c>
      <c r="X14" s="372">
        <v>6.8</v>
      </c>
      <c r="Y14" s="372">
        <v>5</v>
      </c>
      <c r="Z14" s="372">
        <v>6.5</v>
      </c>
      <c r="AA14" s="372">
        <v>6.4</v>
      </c>
      <c r="AB14" s="372">
        <v>6.3</v>
      </c>
      <c r="AC14" s="372">
        <v>6.3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16</v>
      </c>
    </row>
    <row r="15" spans="1:41">
      <c r="A15" s="66" t="s">
        <v>24</v>
      </c>
      <c r="B15" s="15"/>
      <c r="C15" s="15">
        <v>7.2</v>
      </c>
      <c r="D15" s="15"/>
      <c r="E15" s="15"/>
      <c r="F15" s="372" t="s">
        <v>9</v>
      </c>
      <c r="G15" s="372" t="s">
        <v>9</v>
      </c>
      <c r="H15" s="374">
        <v>6.4</v>
      </c>
      <c r="I15" s="372">
        <v>6.4</v>
      </c>
      <c r="J15" s="372">
        <v>6.7</v>
      </c>
      <c r="K15" s="374">
        <v>6.7</v>
      </c>
      <c r="L15" s="374">
        <v>6.2</v>
      </c>
      <c r="M15" s="374">
        <v>6</v>
      </c>
      <c r="N15" s="372">
        <v>6.9</v>
      </c>
      <c r="O15" s="372">
        <v>6.7</v>
      </c>
      <c r="P15" s="372">
        <v>6.7</v>
      </c>
      <c r="Q15" s="372">
        <v>6.8</v>
      </c>
      <c r="R15" s="372">
        <v>6.7</v>
      </c>
      <c r="S15" s="372">
        <v>6.6</v>
      </c>
      <c r="T15" s="372">
        <v>6.8</v>
      </c>
      <c r="U15" s="372">
        <v>6.6</v>
      </c>
      <c r="V15" s="372">
        <v>6.2</v>
      </c>
      <c r="W15" s="372">
        <v>6.5</v>
      </c>
      <c r="X15" s="372">
        <v>6.8</v>
      </c>
      <c r="Y15" s="372">
        <v>5</v>
      </c>
      <c r="Z15" s="372"/>
      <c r="AA15" s="372"/>
      <c r="AB15" s="372"/>
      <c r="AC15" s="372"/>
      <c r="AD15" s="41"/>
      <c r="AE15" s="41"/>
      <c r="AF15" s="11">
        <f>COUNTIF(F15:AC15,$AJ$8)</f>
        <v>2</v>
      </c>
      <c r="AG15" s="11">
        <f>COUNTIF(G15:AD15,$AJ$7)</f>
        <v>0</v>
      </c>
      <c r="AH15" s="11">
        <f>COUNT(F15:AC15)</f>
        <v>18</v>
      </c>
    </row>
    <row r="16" spans="1:41">
      <c r="A16" s="14" t="s">
        <v>25</v>
      </c>
      <c r="B16" s="15"/>
      <c r="C16" s="15">
        <v>7.2</v>
      </c>
      <c r="D16" s="15"/>
      <c r="E16" s="15"/>
      <c r="F16" s="372"/>
      <c r="G16" s="372"/>
      <c r="H16" s="374">
        <v>6.4</v>
      </c>
      <c r="I16" s="372">
        <v>6.4</v>
      </c>
      <c r="J16" s="372">
        <v>6.7</v>
      </c>
      <c r="K16" s="374">
        <v>6.7</v>
      </c>
      <c r="L16" s="374">
        <v>6.2</v>
      </c>
      <c r="M16" s="374">
        <v>6.2</v>
      </c>
      <c r="N16" s="372">
        <v>6.8</v>
      </c>
      <c r="O16" s="372">
        <v>6.7</v>
      </c>
      <c r="P16" s="372">
        <v>6.7</v>
      </c>
      <c r="Q16" s="372">
        <v>6.7</v>
      </c>
      <c r="R16" s="372">
        <v>6.7</v>
      </c>
      <c r="S16" s="372">
        <v>6.6</v>
      </c>
      <c r="T16" s="372">
        <v>6.8</v>
      </c>
      <c r="U16" s="372">
        <v>6.6</v>
      </c>
      <c r="V16" s="372">
        <v>6.2</v>
      </c>
      <c r="W16" s="372">
        <v>6.5</v>
      </c>
      <c r="X16" s="372">
        <v>6.8</v>
      </c>
      <c r="Y16" s="372">
        <v>5</v>
      </c>
      <c r="Z16" s="372">
        <v>6.5</v>
      </c>
      <c r="AA16" s="372">
        <v>6.4</v>
      </c>
      <c r="AB16" s="372">
        <v>6.3</v>
      </c>
      <c r="AC16" s="372">
        <v>6.3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22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</v>
      </c>
      <c r="G17" s="19">
        <f t="shared" ref="G17:AC17" si="1">SUM(G13:G16)</f>
        <v>1.2</v>
      </c>
      <c r="H17" s="19">
        <f t="shared" si="1"/>
        <v>12.8</v>
      </c>
      <c r="I17" s="19">
        <f t="shared" si="1"/>
        <v>12.8</v>
      </c>
      <c r="J17" s="19">
        <f t="shared" si="1"/>
        <v>13.4</v>
      </c>
      <c r="K17" s="19">
        <f t="shared" si="1"/>
        <v>13.4</v>
      </c>
      <c r="L17" s="19">
        <f t="shared" si="1"/>
        <v>13.9</v>
      </c>
      <c r="M17" s="19">
        <f t="shared" si="1"/>
        <v>18.399999999999999</v>
      </c>
      <c r="N17" s="19">
        <f t="shared" si="1"/>
        <v>20.400000000000002</v>
      </c>
      <c r="O17" s="19">
        <f t="shared" si="1"/>
        <v>20</v>
      </c>
      <c r="P17" s="19">
        <f t="shared" si="1"/>
        <v>23.099999999999998</v>
      </c>
      <c r="Q17" s="19">
        <f t="shared" si="1"/>
        <v>27.099999999999998</v>
      </c>
      <c r="R17" s="19">
        <f t="shared" si="1"/>
        <v>26.8</v>
      </c>
      <c r="S17" s="19">
        <f t="shared" si="1"/>
        <v>26.4</v>
      </c>
      <c r="T17" s="19">
        <f t="shared" si="1"/>
        <v>27.2</v>
      </c>
      <c r="U17" s="19">
        <f t="shared" si="1"/>
        <v>26.4</v>
      </c>
      <c r="V17" s="19">
        <f t="shared" si="1"/>
        <v>18.600000000000001</v>
      </c>
      <c r="W17" s="19">
        <f t="shared" si="1"/>
        <v>19.5</v>
      </c>
      <c r="X17" s="19">
        <f t="shared" si="1"/>
        <v>20.399999999999999</v>
      </c>
      <c r="Y17" s="19">
        <f t="shared" si="1"/>
        <v>21.2</v>
      </c>
      <c r="Z17" s="19">
        <f t="shared" si="1"/>
        <v>19.5</v>
      </c>
      <c r="AA17" s="19">
        <f t="shared" si="1"/>
        <v>19.200000000000003</v>
      </c>
      <c r="AB17" s="19">
        <f t="shared" si="1"/>
        <v>18.899999999999999</v>
      </c>
      <c r="AC17" s="19">
        <f t="shared" si="1"/>
        <v>18.899999999999999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104.79999999999995</v>
      </c>
    </row>
    <row r="19" spans="1:51">
      <c r="A19" s="14" t="s">
        <v>22</v>
      </c>
      <c r="B19" s="15"/>
      <c r="C19" s="15">
        <v>3</v>
      </c>
      <c r="D19" s="15"/>
      <c r="E19" s="15"/>
      <c r="F19" s="372" t="s">
        <v>9</v>
      </c>
      <c r="G19" s="372" t="s">
        <v>9</v>
      </c>
      <c r="H19" s="372" t="s">
        <v>9</v>
      </c>
      <c r="I19" s="372" t="s">
        <v>9</v>
      </c>
      <c r="J19" s="372" t="s">
        <v>9</v>
      </c>
      <c r="K19" s="374" t="s">
        <v>9</v>
      </c>
      <c r="L19" s="374" t="s">
        <v>9</v>
      </c>
      <c r="M19" s="374" t="s">
        <v>9</v>
      </c>
      <c r="N19" s="374" t="s">
        <v>9</v>
      </c>
      <c r="O19" s="372" t="s">
        <v>9</v>
      </c>
      <c r="P19" s="374" t="s">
        <v>9</v>
      </c>
      <c r="Q19" s="372" t="s">
        <v>9</v>
      </c>
      <c r="R19" s="372" t="s">
        <v>9</v>
      </c>
      <c r="S19" s="372">
        <v>1.5</v>
      </c>
      <c r="T19" s="372"/>
      <c r="U19" s="372"/>
      <c r="V19" s="372"/>
      <c r="W19" s="372">
        <v>2.5</v>
      </c>
      <c r="X19" s="372">
        <v>2.8</v>
      </c>
      <c r="Y19" s="372">
        <v>2.6</v>
      </c>
      <c r="Z19" s="372">
        <v>2.8</v>
      </c>
      <c r="AA19" s="372">
        <v>2.8</v>
      </c>
      <c r="AB19" s="372">
        <v>2.8</v>
      </c>
      <c r="AC19" s="372">
        <v>2</v>
      </c>
      <c r="AD19" s="41"/>
      <c r="AE19" s="41"/>
      <c r="AF19" s="11">
        <f>COUNTIF(F19:AC19,$AJ$8)</f>
        <v>13</v>
      </c>
      <c r="AG19" s="11">
        <f>COUNTIF(G19:AD19,$AJ$7)</f>
        <v>0</v>
      </c>
      <c r="AH19" s="11">
        <f>COUNT(F19:AC19)</f>
        <v>8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372"/>
      <c r="G20" s="372"/>
      <c r="H20" s="372"/>
      <c r="I20" s="372"/>
      <c r="J20" s="372"/>
      <c r="K20" s="374"/>
      <c r="L20" s="374"/>
      <c r="M20" s="374"/>
      <c r="N20" s="372"/>
      <c r="O20" s="372"/>
      <c r="P20" s="372"/>
      <c r="Q20" s="372"/>
      <c r="R20" s="372"/>
      <c r="S20" s="372"/>
      <c r="T20" s="372"/>
      <c r="U20" s="372"/>
      <c r="V20" s="372"/>
      <c r="W20" s="372"/>
      <c r="X20" s="372"/>
      <c r="Y20" s="372"/>
      <c r="Z20" s="372"/>
      <c r="AA20" s="372"/>
      <c r="AB20" s="372"/>
      <c r="AC20" s="372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2">
        <v>3.3</v>
      </c>
      <c r="G21" s="372">
        <v>3.5</v>
      </c>
      <c r="H21" s="372">
        <v>3.8</v>
      </c>
      <c r="I21" s="372">
        <v>3</v>
      </c>
      <c r="J21" s="372">
        <v>3.8</v>
      </c>
      <c r="K21" s="374">
        <v>3.8</v>
      </c>
      <c r="L21" s="374">
        <v>3.8</v>
      </c>
      <c r="M21" s="374">
        <v>3</v>
      </c>
      <c r="N21" s="372">
        <v>3.8</v>
      </c>
      <c r="O21" s="372">
        <v>3.8</v>
      </c>
      <c r="P21" s="372">
        <v>3.8</v>
      </c>
      <c r="Q21" s="372">
        <v>3.8</v>
      </c>
      <c r="R21" s="372">
        <v>3.8</v>
      </c>
      <c r="S21" s="372">
        <v>2.4</v>
      </c>
      <c r="T21" s="372">
        <v>3.8</v>
      </c>
      <c r="U21" s="372">
        <v>3.8</v>
      </c>
      <c r="V21" s="372">
        <v>2.8</v>
      </c>
      <c r="W21" s="372">
        <v>3</v>
      </c>
      <c r="X21" s="372">
        <v>3.8</v>
      </c>
      <c r="Y21" s="372">
        <v>3.6</v>
      </c>
      <c r="Z21" s="372">
        <v>3.6</v>
      </c>
      <c r="AA21" s="372">
        <v>3.8</v>
      </c>
      <c r="AB21" s="372">
        <v>3.8</v>
      </c>
      <c r="AC21" s="372">
        <v>3.6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3.3</v>
      </c>
      <c r="G22" s="19">
        <f t="shared" ref="G22:AC22" si="3">SUM(G19:G21)</f>
        <v>3.5</v>
      </c>
      <c r="H22" s="19">
        <f t="shared" si="3"/>
        <v>3.8</v>
      </c>
      <c r="I22" s="19">
        <f t="shared" si="3"/>
        <v>3</v>
      </c>
      <c r="J22" s="19">
        <f t="shared" si="3"/>
        <v>3.8</v>
      </c>
      <c r="K22" s="19">
        <f t="shared" si="3"/>
        <v>3.8</v>
      </c>
      <c r="L22" s="19">
        <f t="shared" si="3"/>
        <v>3.8</v>
      </c>
      <c r="M22" s="19">
        <f t="shared" si="3"/>
        <v>3</v>
      </c>
      <c r="N22" s="19">
        <f t="shared" si="3"/>
        <v>3.8</v>
      </c>
      <c r="O22" s="19">
        <f t="shared" si="3"/>
        <v>3.8</v>
      </c>
      <c r="P22" s="19">
        <f t="shared" si="3"/>
        <v>3.8</v>
      </c>
      <c r="Q22" s="19">
        <f t="shared" si="3"/>
        <v>3.8</v>
      </c>
      <c r="R22" s="19">
        <f t="shared" si="3"/>
        <v>3.8</v>
      </c>
      <c r="S22" s="19">
        <f>SUM(S19:S21)</f>
        <v>3.9</v>
      </c>
      <c r="T22" s="19">
        <f t="shared" ref="T22" si="4">SUM(T19:T21)</f>
        <v>3.8</v>
      </c>
      <c r="U22" s="19">
        <f t="shared" si="3"/>
        <v>3.8</v>
      </c>
      <c r="V22" s="19">
        <f t="shared" si="3"/>
        <v>2.8</v>
      </c>
      <c r="W22" s="19">
        <f t="shared" si="3"/>
        <v>5.5</v>
      </c>
      <c r="X22" s="19">
        <f t="shared" si="3"/>
        <v>6.6</v>
      </c>
      <c r="Y22" s="19">
        <f t="shared" si="3"/>
        <v>6.2</v>
      </c>
      <c r="Z22" s="19">
        <f t="shared" si="3"/>
        <v>6.4</v>
      </c>
      <c r="AA22" s="19">
        <f t="shared" si="3"/>
        <v>6.6</v>
      </c>
      <c r="AB22" s="19">
        <f>SUM(AB19:AB21)</f>
        <v>6.6</v>
      </c>
      <c r="AC22" s="19">
        <f t="shared" si="3"/>
        <v>5.6</v>
      </c>
      <c r="AD22" s="41"/>
      <c r="AE22" s="41"/>
      <c r="AF22" s="11"/>
      <c r="AG22" s="11"/>
      <c r="AH22" s="11"/>
      <c r="AI22" s="400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409">
        <f>SUM(F24:AC24)</f>
        <v>73.59999999999998</v>
      </c>
    </row>
    <row r="24" spans="1:51">
      <c r="A24" s="14" t="s">
        <v>22</v>
      </c>
      <c r="B24" s="20"/>
      <c r="C24" s="15">
        <v>4.5</v>
      </c>
      <c r="D24" s="15"/>
      <c r="E24" s="15"/>
      <c r="F24" s="372">
        <v>3.8</v>
      </c>
      <c r="G24" s="372">
        <v>3.8</v>
      </c>
      <c r="H24" s="372">
        <v>3</v>
      </c>
      <c r="I24" s="372">
        <v>3</v>
      </c>
      <c r="J24" s="372"/>
      <c r="K24" s="374"/>
      <c r="L24" s="374"/>
      <c r="M24" s="374"/>
      <c r="N24" s="372">
        <v>3</v>
      </c>
      <c r="O24" s="372">
        <v>3.8</v>
      </c>
      <c r="P24" s="372">
        <v>3.8</v>
      </c>
      <c r="Q24" s="374">
        <v>3.8</v>
      </c>
      <c r="R24" s="372">
        <v>3.8</v>
      </c>
      <c r="S24" s="372">
        <v>3.8</v>
      </c>
      <c r="T24" s="372">
        <v>3.8</v>
      </c>
      <c r="U24" s="372">
        <v>3.8</v>
      </c>
      <c r="V24" s="372">
        <v>3.8</v>
      </c>
      <c r="W24" s="372">
        <v>3.8</v>
      </c>
      <c r="X24" s="372">
        <v>3.8</v>
      </c>
      <c r="Y24" s="372">
        <v>3.8</v>
      </c>
      <c r="Z24" s="372">
        <v>3.8</v>
      </c>
      <c r="AA24" s="372">
        <v>3.8</v>
      </c>
      <c r="AB24" s="372">
        <v>3.8</v>
      </c>
      <c r="AC24" s="372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20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3.8</v>
      </c>
      <c r="G25" s="19">
        <f t="shared" ref="G25:AC25" si="6">SUM(G24)</f>
        <v>3.8</v>
      </c>
      <c r="H25" s="19">
        <f t="shared" si="6"/>
        <v>3</v>
      </c>
      <c r="I25" s="19">
        <f t="shared" si="6"/>
        <v>3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3</v>
      </c>
      <c r="O25" s="19">
        <f t="shared" si="6"/>
        <v>3.8</v>
      </c>
      <c r="P25" s="19">
        <f t="shared" si="6"/>
        <v>3.8</v>
      </c>
      <c r="Q25" s="19">
        <f t="shared" si="6"/>
        <v>3.8</v>
      </c>
      <c r="R25" s="19">
        <f t="shared" si="6"/>
        <v>3.8</v>
      </c>
      <c r="S25" s="19">
        <f t="shared" si="6"/>
        <v>3.8</v>
      </c>
      <c r="T25" s="19">
        <f t="shared" si="6"/>
        <v>3.8</v>
      </c>
      <c r="U25" s="19">
        <f t="shared" si="6"/>
        <v>3.8</v>
      </c>
      <c r="V25" s="19">
        <f t="shared" si="6"/>
        <v>3.8</v>
      </c>
      <c r="W25" s="19">
        <f t="shared" si="6"/>
        <v>3.8</v>
      </c>
      <c r="X25" s="19">
        <f t="shared" si="6"/>
        <v>3.8</v>
      </c>
      <c r="Y25" s="19">
        <f t="shared" si="6"/>
        <v>3.8</v>
      </c>
      <c r="Z25" s="19">
        <f t="shared" si="6"/>
        <v>3.8</v>
      </c>
      <c r="AA25" s="19">
        <f t="shared" si="6"/>
        <v>3.8</v>
      </c>
      <c r="AB25" s="19">
        <f t="shared" si="6"/>
        <v>3.8</v>
      </c>
      <c r="AC25" s="19">
        <f t="shared" si="6"/>
        <v>3.8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77.7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2" t="s">
        <v>9</v>
      </c>
      <c r="G27" s="372" t="s">
        <v>9</v>
      </c>
      <c r="H27" s="372" t="s">
        <v>9</v>
      </c>
      <c r="I27" s="372" t="s">
        <v>9</v>
      </c>
      <c r="J27" s="374" t="s">
        <v>9</v>
      </c>
      <c r="K27" s="374" t="s">
        <v>9</v>
      </c>
      <c r="L27" s="374" t="s">
        <v>9</v>
      </c>
      <c r="M27" s="374" t="s">
        <v>9</v>
      </c>
      <c r="N27" s="372" t="s">
        <v>9</v>
      </c>
      <c r="O27" s="372" t="s">
        <v>9</v>
      </c>
      <c r="P27" s="372" t="s">
        <v>9</v>
      </c>
      <c r="Q27" s="372" t="s">
        <v>9</v>
      </c>
      <c r="R27" s="372" t="s">
        <v>9</v>
      </c>
      <c r="S27" s="372" t="s">
        <v>9</v>
      </c>
      <c r="T27" s="372" t="s">
        <v>9</v>
      </c>
      <c r="U27" s="374" t="s">
        <v>9</v>
      </c>
      <c r="V27" s="372" t="s">
        <v>9</v>
      </c>
      <c r="W27" s="372" t="s">
        <v>9</v>
      </c>
      <c r="X27" s="372" t="s">
        <v>9</v>
      </c>
      <c r="Y27" s="372" t="s">
        <v>9</v>
      </c>
      <c r="Z27" s="372" t="s">
        <v>9</v>
      </c>
      <c r="AA27" s="372" t="s">
        <v>9</v>
      </c>
      <c r="AB27" s="372" t="s">
        <v>9</v>
      </c>
      <c r="AC27" s="372" t="s">
        <v>9</v>
      </c>
      <c r="AD27" s="41"/>
      <c r="AE27" s="41"/>
      <c r="AF27" s="11">
        <f>COUNTIF(F27:AC27,$AJ$8)</f>
        <v>24</v>
      </c>
      <c r="AG27" s="11">
        <f>COUNTIF(G27:AD27,$AJ$7)</f>
        <v>0</v>
      </c>
      <c r="AH27" s="11">
        <f>COUNT(F27:AC27)</f>
        <v>0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2">
        <v>4</v>
      </c>
      <c r="G28" s="372">
        <v>3.7</v>
      </c>
      <c r="H28" s="372">
        <v>4.5</v>
      </c>
      <c r="I28" s="372">
        <v>3.5</v>
      </c>
      <c r="J28" s="372">
        <v>4.5</v>
      </c>
      <c r="K28" s="374">
        <v>4.3</v>
      </c>
      <c r="L28" s="374">
        <v>4.0999999999999996</v>
      </c>
      <c r="M28" s="374">
        <v>3</v>
      </c>
      <c r="N28" s="372" t="s">
        <v>9</v>
      </c>
      <c r="O28" s="372" t="s">
        <v>9</v>
      </c>
      <c r="P28" s="372" t="s">
        <v>9</v>
      </c>
      <c r="Q28" s="372" t="s">
        <v>9</v>
      </c>
      <c r="R28" s="372" t="s">
        <v>9</v>
      </c>
      <c r="S28" s="374">
        <v>3.2</v>
      </c>
      <c r="T28" s="372">
        <v>4.2</v>
      </c>
      <c r="U28" s="374">
        <v>4</v>
      </c>
      <c r="V28" s="372">
        <v>3.9</v>
      </c>
      <c r="W28" s="372">
        <v>4</v>
      </c>
      <c r="X28" s="372">
        <v>4.5999999999999996</v>
      </c>
      <c r="Y28" s="372">
        <v>4.5</v>
      </c>
      <c r="Z28" s="372">
        <v>4.5</v>
      </c>
      <c r="AA28" s="372">
        <v>4.5</v>
      </c>
      <c r="AB28" s="372">
        <v>4.4000000000000004</v>
      </c>
      <c r="AC28" s="372">
        <v>4.3</v>
      </c>
      <c r="AD28" s="41"/>
      <c r="AE28" s="41"/>
      <c r="AF28" s="11">
        <f>COUNTIF(F28:AC28,$AJ$8)</f>
        <v>5</v>
      </c>
      <c r="AG28" s="11">
        <f>COUNTIF(G28:AD28,$AJ$7)</f>
        <v>0</v>
      </c>
      <c r="AH28" s="11">
        <f>COUNT(F28:AC28)</f>
        <v>19</v>
      </c>
      <c r="AI28" s="159">
        <f>SUM(F29:AC30)</f>
        <v>90.399999999999991</v>
      </c>
    </row>
    <row r="29" spans="1:51" ht="15" customHeight="1">
      <c r="A29" s="14" t="s">
        <v>30</v>
      </c>
      <c r="B29" s="369"/>
      <c r="C29" s="370">
        <v>8.8000000000000007</v>
      </c>
      <c r="D29" s="371"/>
      <c r="E29" s="371"/>
      <c r="F29" s="372">
        <v>6.1</v>
      </c>
      <c r="G29" s="372">
        <v>6.9</v>
      </c>
      <c r="H29" s="372"/>
      <c r="I29" s="372"/>
      <c r="J29" s="372"/>
      <c r="K29" s="374"/>
      <c r="L29" s="374"/>
      <c r="M29" s="374"/>
      <c r="N29" s="374"/>
      <c r="O29" s="374">
        <v>5</v>
      </c>
      <c r="P29" s="374">
        <v>5.9</v>
      </c>
      <c r="Q29" s="374">
        <v>5.2</v>
      </c>
      <c r="R29" s="374">
        <v>5.0999999999999996</v>
      </c>
      <c r="S29" s="374">
        <v>3.5</v>
      </c>
      <c r="T29" s="374">
        <v>4.5999999999999996</v>
      </c>
      <c r="U29" s="374">
        <v>6</v>
      </c>
      <c r="V29" s="374">
        <v>4.5999999999999996</v>
      </c>
      <c r="W29" s="374">
        <v>6</v>
      </c>
      <c r="X29" s="372">
        <v>6.2</v>
      </c>
      <c r="Y29" s="372">
        <v>7.2</v>
      </c>
      <c r="Z29" s="374">
        <v>7</v>
      </c>
      <c r="AA29" s="372">
        <v>7.1</v>
      </c>
      <c r="AB29" s="372">
        <v>4</v>
      </c>
      <c r="AC29" s="372">
        <v>0</v>
      </c>
    </row>
    <row r="30" spans="1:51" ht="15" customHeight="1">
      <c r="A30" s="14" t="s">
        <v>31</v>
      </c>
      <c r="B30" s="369"/>
      <c r="C30" s="370">
        <v>8.8000000000000007</v>
      </c>
      <c r="D30" s="371"/>
      <c r="E30" s="371"/>
      <c r="F30" s="372"/>
      <c r="G30" s="372"/>
      <c r="H30" s="372"/>
      <c r="I30" s="372"/>
      <c r="J30" s="372"/>
      <c r="K30" s="374"/>
      <c r="L30" s="374"/>
      <c r="M30" s="374"/>
      <c r="N30" s="372"/>
      <c r="O30" s="372"/>
      <c r="P30" s="372"/>
      <c r="Q30" s="372"/>
      <c r="R30" s="372"/>
      <c r="S30" s="372"/>
      <c r="T30" s="372"/>
      <c r="U30" s="372"/>
      <c r="V30" s="372"/>
      <c r="W30" s="372"/>
      <c r="X30" s="372"/>
      <c r="Y30" s="372"/>
      <c r="Z30" s="372"/>
      <c r="AA30" s="372"/>
      <c r="AB30" s="372"/>
      <c r="AC30" s="372"/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SUM(F27:F29)</f>
        <v>10.1</v>
      </c>
      <c r="G31" s="19">
        <f t="shared" ref="G31:AC31" si="8">SUM(G27:G29)</f>
        <v>10.600000000000001</v>
      </c>
      <c r="H31" s="19">
        <f t="shared" si="8"/>
        <v>4.5</v>
      </c>
      <c r="I31" s="19">
        <f t="shared" si="8"/>
        <v>3.5</v>
      </c>
      <c r="J31" s="19">
        <f t="shared" si="8"/>
        <v>4.5</v>
      </c>
      <c r="K31" s="19">
        <f t="shared" si="8"/>
        <v>4.3</v>
      </c>
      <c r="L31" s="19">
        <f t="shared" si="8"/>
        <v>4.0999999999999996</v>
      </c>
      <c r="M31" s="19">
        <f t="shared" si="8"/>
        <v>3</v>
      </c>
      <c r="N31" s="19">
        <f t="shared" si="8"/>
        <v>0</v>
      </c>
      <c r="O31" s="19">
        <f t="shared" si="8"/>
        <v>5</v>
      </c>
      <c r="P31" s="19">
        <f t="shared" si="8"/>
        <v>5.9</v>
      </c>
      <c r="Q31" s="19">
        <f t="shared" si="8"/>
        <v>5.2</v>
      </c>
      <c r="R31" s="19">
        <f t="shared" si="8"/>
        <v>5.0999999999999996</v>
      </c>
      <c r="S31" s="19">
        <f t="shared" si="8"/>
        <v>6.7</v>
      </c>
      <c r="T31" s="19">
        <f>SUM(T27:T29)</f>
        <v>8.8000000000000007</v>
      </c>
      <c r="U31" s="19">
        <f t="shared" si="8"/>
        <v>10</v>
      </c>
      <c r="V31" s="19">
        <f t="shared" si="8"/>
        <v>8.5</v>
      </c>
      <c r="W31" s="19">
        <f t="shared" si="8"/>
        <v>10</v>
      </c>
      <c r="X31" s="19">
        <f t="shared" si="8"/>
        <v>10.8</v>
      </c>
      <c r="Y31" s="19">
        <f t="shared" si="8"/>
        <v>11.7</v>
      </c>
      <c r="Z31" s="19">
        <f t="shared" si="8"/>
        <v>11.5</v>
      </c>
      <c r="AA31" s="19">
        <f t="shared" si="8"/>
        <v>11.6</v>
      </c>
      <c r="AB31" s="19">
        <f t="shared" si="8"/>
        <v>8.4</v>
      </c>
      <c r="AC31" s="19">
        <f t="shared" si="8"/>
        <v>4.3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342.28999999999996</v>
      </c>
    </row>
    <row r="33" spans="1:36">
      <c r="A33" s="14" t="s">
        <v>22</v>
      </c>
      <c r="B33" s="15"/>
      <c r="C33" s="15">
        <v>15</v>
      </c>
      <c r="D33" s="15"/>
      <c r="E33" s="15"/>
      <c r="F33" s="372">
        <v>14.29</v>
      </c>
      <c r="G33" s="372">
        <v>14.28</v>
      </c>
      <c r="H33" s="374">
        <v>13.97</v>
      </c>
      <c r="I33" s="372">
        <v>14.28</v>
      </c>
      <c r="J33" s="372">
        <v>14.29</v>
      </c>
      <c r="K33" s="374">
        <v>14.29</v>
      </c>
      <c r="L33" s="374">
        <v>14.3</v>
      </c>
      <c r="M33" s="374">
        <v>13.78</v>
      </c>
      <c r="N33" s="372">
        <v>14.27</v>
      </c>
      <c r="O33" s="372">
        <v>14.31</v>
      </c>
      <c r="P33" s="372">
        <v>14.29</v>
      </c>
      <c r="Q33" s="372">
        <v>14.32</v>
      </c>
      <c r="R33" s="372">
        <v>14.21</v>
      </c>
      <c r="S33" s="372">
        <v>14.31</v>
      </c>
      <c r="T33" s="372">
        <v>14.33</v>
      </c>
      <c r="U33" s="372">
        <v>14.29</v>
      </c>
      <c r="V33" s="372">
        <v>14.31</v>
      </c>
      <c r="W33" s="374">
        <v>14.32</v>
      </c>
      <c r="X33" s="372">
        <v>14.33</v>
      </c>
      <c r="Y33" s="372">
        <v>14.3</v>
      </c>
      <c r="Z33" s="372">
        <v>14.33</v>
      </c>
      <c r="AA33" s="372">
        <v>14.3</v>
      </c>
      <c r="AB33" s="372">
        <v>14.28</v>
      </c>
      <c r="AC33" s="372">
        <v>14.31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9">SUM(F33)</f>
        <v>14.29</v>
      </c>
      <c r="G34" s="19">
        <f t="shared" ref="G34:AC34" si="10">SUM(G33)</f>
        <v>14.28</v>
      </c>
      <c r="H34" s="19">
        <f t="shared" si="10"/>
        <v>13.97</v>
      </c>
      <c r="I34" s="19">
        <f t="shared" si="10"/>
        <v>14.28</v>
      </c>
      <c r="J34" s="19">
        <f t="shared" si="10"/>
        <v>14.29</v>
      </c>
      <c r="K34" s="19">
        <f t="shared" si="10"/>
        <v>14.29</v>
      </c>
      <c r="L34" s="19">
        <f t="shared" si="10"/>
        <v>14.3</v>
      </c>
      <c r="M34" s="19">
        <f t="shared" si="10"/>
        <v>13.78</v>
      </c>
      <c r="N34" s="19">
        <f t="shared" si="10"/>
        <v>14.27</v>
      </c>
      <c r="O34" s="19">
        <f t="shared" si="10"/>
        <v>14.31</v>
      </c>
      <c r="P34" s="19">
        <f t="shared" si="10"/>
        <v>14.29</v>
      </c>
      <c r="Q34" s="19">
        <f t="shared" si="10"/>
        <v>14.32</v>
      </c>
      <c r="R34" s="19">
        <f t="shared" si="10"/>
        <v>14.21</v>
      </c>
      <c r="S34" s="19">
        <f t="shared" si="10"/>
        <v>14.31</v>
      </c>
      <c r="T34" s="19">
        <f t="shared" si="10"/>
        <v>14.33</v>
      </c>
      <c r="U34" s="19">
        <f t="shared" si="10"/>
        <v>14.29</v>
      </c>
      <c r="V34" s="19">
        <f t="shared" si="10"/>
        <v>14.31</v>
      </c>
      <c r="W34" s="19">
        <f t="shared" si="10"/>
        <v>14.32</v>
      </c>
      <c r="X34" s="19">
        <f t="shared" si="10"/>
        <v>14.33</v>
      </c>
      <c r="Y34" s="19">
        <f t="shared" si="10"/>
        <v>14.3</v>
      </c>
      <c r="Z34" s="19">
        <f t="shared" si="10"/>
        <v>14.33</v>
      </c>
      <c r="AA34" s="19">
        <f t="shared" si="10"/>
        <v>14.3</v>
      </c>
      <c r="AB34" s="19">
        <f t="shared" si="10"/>
        <v>14.28</v>
      </c>
      <c r="AC34" s="19">
        <f t="shared" si="10"/>
        <v>14.31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55"/>
      <c r="G35" s="455"/>
      <c r="H35" s="455"/>
      <c r="I35" s="455"/>
      <c r="J35" s="455"/>
      <c r="K35" s="455"/>
      <c r="L35" s="455"/>
      <c r="M35" s="455"/>
      <c r="N35" s="455"/>
      <c r="O35" s="455"/>
      <c r="P35" s="455"/>
      <c r="Q35" s="455"/>
      <c r="R35" s="455"/>
      <c r="S35" s="455"/>
      <c r="T35" s="455"/>
      <c r="U35" s="455"/>
      <c r="V35" s="455"/>
      <c r="W35" s="456"/>
      <c r="X35" s="455"/>
      <c r="Y35" s="455"/>
      <c r="Z35" s="455"/>
      <c r="AA35" s="455"/>
      <c r="AB35" s="455"/>
      <c r="AC35" s="455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35</v>
      </c>
    </row>
    <row r="36" spans="1:36" hidden="1">
      <c r="A36" s="70" t="s">
        <v>36</v>
      </c>
      <c r="B36" s="15"/>
      <c r="C36" s="15"/>
      <c r="D36" s="15"/>
      <c r="E36" s="15"/>
      <c r="F36" s="372"/>
      <c r="G36" s="372"/>
      <c r="H36" s="372"/>
      <c r="I36" s="372"/>
      <c r="J36" s="372"/>
      <c r="K36" s="374"/>
      <c r="L36" s="374"/>
      <c r="M36" s="374"/>
      <c r="N36" s="372"/>
      <c r="O36" s="372"/>
      <c r="P36" s="372"/>
      <c r="Q36" s="372"/>
      <c r="R36" s="372"/>
      <c r="S36" s="372"/>
      <c r="T36" s="372"/>
      <c r="U36" s="372"/>
      <c r="V36" s="372"/>
      <c r="W36" s="372"/>
      <c r="X36" s="372"/>
      <c r="Y36" s="372"/>
      <c r="Z36" s="372"/>
      <c r="AA36" s="372"/>
      <c r="AB36" s="372"/>
      <c r="AC36" s="372"/>
      <c r="AD36" s="41"/>
      <c r="AE36" s="41"/>
      <c r="AF36" s="11">
        <f t="shared" ref="AF36:AF59" si="11">COUNTIF(F36:AC36,$AJ$8)</f>
        <v>0</v>
      </c>
      <c r="AG36" s="11">
        <f t="shared" ref="AG36:AG59" si="12">COUNTIF(G36:AD36,$AJ$7)</f>
        <v>0</v>
      </c>
      <c r="AH36" s="11">
        <f t="shared" ref="AH36:AH59" si="13">COUNT(F36:AC36)</f>
        <v>0</v>
      </c>
      <c r="AI36" s="159">
        <f>SUM(F36:AC38,F40:AC40,F45:AC59)</f>
        <v>28.989999999999991</v>
      </c>
      <c r="AJ36" t="s">
        <v>37</v>
      </c>
    </row>
    <row r="37" spans="1:36" hidden="1">
      <c r="A37" s="70" t="s">
        <v>38</v>
      </c>
      <c r="B37" s="15"/>
      <c r="C37" s="15"/>
      <c r="D37" s="15"/>
      <c r="E37" s="15"/>
      <c r="F37" s="372"/>
      <c r="G37" s="372"/>
      <c r="H37" s="372"/>
      <c r="I37" s="372"/>
      <c r="J37" s="372"/>
      <c r="K37" s="374"/>
      <c r="L37" s="374"/>
      <c r="M37" s="374"/>
      <c r="N37" s="372"/>
      <c r="O37" s="372"/>
      <c r="P37" s="372"/>
      <c r="Q37" s="372"/>
      <c r="R37" s="372"/>
      <c r="S37" s="372"/>
      <c r="T37" s="372"/>
      <c r="U37" s="372"/>
      <c r="V37" s="372"/>
      <c r="W37" s="372"/>
      <c r="X37" s="372"/>
      <c r="Y37" s="372"/>
      <c r="Z37" s="372"/>
      <c r="AA37" s="372"/>
      <c r="AB37" s="372"/>
      <c r="AC37" s="372"/>
      <c r="AD37" s="41"/>
      <c r="AE37" s="41"/>
      <c r="AF37" s="11">
        <f t="shared" si="11"/>
        <v>0</v>
      </c>
      <c r="AG37" s="11">
        <f t="shared" si="12"/>
        <v>0</v>
      </c>
      <c r="AH37" s="11">
        <f t="shared" si="13"/>
        <v>0</v>
      </c>
    </row>
    <row r="38" spans="1:36" hidden="1">
      <c r="A38" s="70" t="s">
        <v>39</v>
      </c>
      <c r="B38" s="15"/>
      <c r="C38" s="15"/>
      <c r="D38" s="15"/>
      <c r="E38" s="15"/>
      <c r="F38" s="372"/>
      <c r="G38" s="372"/>
      <c r="H38" s="372"/>
      <c r="I38" s="372"/>
      <c r="J38" s="372"/>
      <c r="K38" s="374"/>
      <c r="L38" s="374"/>
      <c r="M38" s="374"/>
      <c r="N38" s="372"/>
      <c r="O38" s="372"/>
      <c r="P38" s="372"/>
      <c r="Q38" s="372"/>
      <c r="R38" s="372"/>
      <c r="S38" s="372"/>
      <c r="T38" s="372"/>
      <c r="U38" s="372"/>
      <c r="V38" s="372"/>
      <c r="W38" s="372"/>
      <c r="X38" s="372"/>
      <c r="Y38" s="372"/>
      <c r="Z38" s="372"/>
      <c r="AA38" s="372"/>
      <c r="AB38" s="372"/>
      <c r="AC38" s="372"/>
      <c r="AD38" s="41"/>
      <c r="AE38" s="41"/>
      <c r="AF38" s="11">
        <f t="shared" si="11"/>
        <v>0</v>
      </c>
      <c r="AG38" s="11">
        <f t="shared" si="12"/>
        <v>0</v>
      </c>
      <c r="AH38" s="11">
        <f t="shared" si="13"/>
        <v>0</v>
      </c>
    </row>
    <row r="39" spans="1:36" hidden="1">
      <c r="A39" s="70">
        <v>34</v>
      </c>
      <c r="B39" s="15"/>
      <c r="C39" s="15"/>
      <c r="D39" s="15"/>
      <c r="E39" s="15"/>
      <c r="F39" s="372"/>
      <c r="G39" s="372"/>
      <c r="H39" s="372"/>
      <c r="I39" s="372"/>
      <c r="J39" s="372"/>
      <c r="K39" s="374"/>
      <c r="L39" s="374"/>
      <c r="M39" s="374"/>
      <c r="N39" s="372"/>
      <c r="O39" s="372"/>
      <c r="P39" s="372"/>
      <c r="Q39" s="372"/>
      <c r="R39" s="372"/>
      <c r="S39" s="372"/>
      <c r="T39" s="372"/>
      <c r="U39" s="372"/>
      <c r="V39" s="372"/>
      <c r="W39" s="372"/>
      <c r="X39" s="372"/>
      <c r="Y39" s="372"/>
      <c r="Z39" s="372"/>
      <c r="AA39" s="372"/>
      <c r="AB39" s="372"/>
      <c r="AC39" s="372"/>
      <c r="AD39" s="41"/>
      <c r="AE39" s="41"/>
      <c r="AF39" s="11">
        <f t="shared" si="11"/>
        <v>0</v>
      </c>
      <c r="AG39" s="11">
        <f t="shared" si="12"/>
        <v>0</v>
      </c>
      <c r="AH39" s="11">
        <f t="shared" si="13"/>
        <v>0</v>
      </c>
    </row>
    <row r="40" spans="1:36">
      <c r="A40" s="70">
        <v>35</v>
      </c>
      <c r="B40" s="15"/>
      <c r="C40" s="15">
        <v>0.85</v>
      </c>
      <c r="D40" s="15"/>
      <c r="E40" s="15"/>
      <c r="F40" s="372"/>
      <c r="G40" s="372"/>
      <c r="H40" s="372"/>
      <c r="I40" s="372"/>
      <c r="J40" s="372"/>
      <c r="K40" s="374"/>
      <c r="L40" s="374"/>
      <c r="M40" s="374"/>
      <c r="N40" s="372"/>
      <c r="O40" s="372"/>
      <c r="P40" s="372"/>
      <c r="Q40" s="372"/>
      <c r="R40" s="372"/>
      <c r="S40" s="372"/>
      <c r="T40" s="372"/>
      <c r="U40" s="372"/>
      <c r="V40" s="372"/>
      <c r="W40" s="372"/>
      <c r="X40" s="372"/>
      <c r="Y40" s="372"/>
      <c r="Z40" s="372"/>
      <c r="AA40" s="372"/>
      <c r="AB40" s="372"/>
      <c r="AC40" s="372"/>
      <c r="AD40" s="41"/>
      <c r="AE40" s="41"/>
      <c r="AF40" s="11">
        <f t="shared" si="11"/>
        <v>0</v>
      </c>
      <c r="AG40" s="11">
        <f t="shared" si="12"/>
        <v>0</v>
      </c>
      <c r="AH40" s="11">
        <f t="shared" si="13"/>
        <v>0</v>
      </c>
    </row>
    <row r="41" spans="1:36" hidden="1">
      <c r="A41" s="70">
        <v>36</v>
      </c>
      <c r="B41" s="15"/>
      <c r="C41" s="15">
        <v>1</v>
      </c>
      <c r="D41" s="15"/>
      <c r="E41" s="15"/>
      <c r="F41" s="372"/>
      <c r="G41" s="372"/>
      <c r="H41" s="372"/>
      <c r="I41" s="372"/>
      <c r="J41" s="372"/>
      <c r="K41" s="374"/>
      <c r="L41" s="374"/>
      <c r="M41" s="374"/>
      <c r="N41" s="372"/>
      <c r="O41" s="372"/>
      <c r="P41" s="372"/>
      <c r="Q41" s="372"/>
      <c r="R41" s="372"/>
      <c r="S41" s="372"/>
      <c r="T41" s="372"/>
      <c r="U41" s="372"/>
      <c r="V41" s="372"/>
      <c r="W41" s="372"/>
      <c r="X41" s="372"/>
      <c r="Y41" s="372"/>
      <c r="Z41" s="372"/>
      <c r="AA41" s="372"/>
      <c r="AB41" s="372"/>
      <c r="AC41" s="372"/>
      <c r="AD41" s="41"/>
      <c r="AE41" s="41"/>
      <c r="AF41" s="11">
        <f t="shared" si="11"/>
        <v>0</v>
      </c>
      <c r="AG41" s="11">
        <f t="shared" si="12"/>
        <v>0</v>
      </c>
      <c r="AH41" s="11">
        <f t="shared" si="13"/>
        <v>0</v>
      </c>
    </row>
    <row r="42" spans="1:36" hidden="1">
      <c r="A42" s="70">
        <v>37</v>
      </c>
      <c r="B42" s="15"/>
      <c r="C42" s="15">
        <v>1</v>
      </c>
      <c r="D42" s="15"/>
      <c r="E42" s="15"/>
      <c r="F42" s="372"/>
      <c r="G42" s="372"/>
      <c r="H42" s="372"/>
      <c r="I42" s="372"/>
      <c r="J42" s="372"/>
      <c r="K42" s="374"/>
      <c r="L42" s="374"/>
      <c r="M42" s="374"/>
      <c r="N42" s="372"/>
      <c r="O42" s="372"/>
      <c r="P42" s="372"/>
      <c r="Q42" s="372"/>
      <c r="R42" s="372"/>
      <c r="S42" s="372"/>
      <c r="T42" s="372"/>
      <c r="U42" s="372"/>
      <c r="V42" s="372"/>
      <c r="W42" s="372"/>
      <c r="X42" s="372"/>
      <c r="Y42" s="372"/>
      <c r="Z42" s="372"/>
      <c r="AA42" s="372"/>
      <c r="AB42" s="372"/>
      <c r="AC42" s="372"/>
      <c r="AD42" s="41"/>
      <c r="AE42" s="41"/>
      <c r="AF42" s="11">
        <f t="shared" si="11"/>
        <v>0</v>
      </c>
      <c r="AG42" s="11">
        <f t="shared" si="12"/>
        <v>0</v>
      </c>
      <c r="AH42" s="11">
        <f t="shared" si="13"/>
        <v>0</v>
      </c>
    </row>
    <row r="43" spans="1:36" hidden="1">
      <c r="A43" s="70">
        <v>38</v>
      </c>
      <c r="B43" s="15"/>
      <c r="C43" s="15"/>
      <c r="D43" s="15"/>
      <c r="E43" s="15"/>
      <c r="F43" s="372" t="s">
        <v>9</v>
      </c>
      <c r="G43" s="372" t="s">
        <v>9</v>
      </c>
      <c r="H43" s="372" t="s">
        <v>9</v>
      </c>
      <c r="I43" s="372" t="s">
        <v>9</v>
      </c>
      <c r="J43" s="372" t="s">
        <v>9</v>
      </c>
      <c r="K43" s="374" t="s">
        <v>9</v>
      </c>
      <c r="L43" s="374" t="s">
        <v>9</v>
      </c>
      <c r="M43" s="374" t="s">
        <v>9</v>
      </c>
      <c r="N43" s="372" t="s">
        <v>9</v>
      </c>
      <c r="O43" s="372" t="s">
        <v>9</v>
      </c>
      <c r="P43" s="372" t="s">
        <v>9</v>
      </c>
      <c r="Q43" s="372" t="s">
        <v>9</v>
      </c>
      <c r="R43" s="372" t="s">
        <v>9</v>
      </c>
      <c r="S43" s="372" t="s">
        <v>9</v>
      </c>
      <c r="T43" s="372" t="s">
        <v>9</v>
      </c>
      <c r="U43" s="372" t="s">
        <v>9</v>
      </c>
      <c r="V43" s="372" t="s">
        <v>9</v>
      </c>
      <c r="W43" s="372" t="s">
        <v>9</v>
      </c>
      <c r="X43" s="372" t="s">
        <v>9</v>
      </c>
      <c r="Y43" s="372" t="s">
        <v>9</v>
      </c>
      <c r="Z43" s="372" t="s">
        <v>9</v>
      </c>
      <c r="AA43" s="372" t="s">
        <v>9</v>
      </c>
      <c r="AB43" s="372" t="s">
        <v>9</v>
      </c>
      <c r="AC43" s="372" t="s">
        <v>9</v>
      </c>
      <c r="AD43" s="41"/>
      <c r="AE43" s="41"/>
      <c r="AF43" s="11">
        <f t="shared" si="11"/>
        <v>24</v>
      </c>
      <c r="AG43" s="11">
        <f t="shared" si="12"/>
        <v>0</v>
      </c>
      <c r="AH43" s="11">
        <f t="shared" si="13"/>
        <v>0</v>
      </c>
    </row>
    <row r="44" spans="1:36" ht="16.5" hidden="1" customHeight="1">
      <c r="A44" s="70">
        <v>39</v>
      </c>
      <c r="B44" s="15"/>
      <c r="C44" s="15">
        <v>1</v>
      </c>
      <c r="D44" s="15"/>
      <c r="E44" s="15"/>
      <c r="F44" s="372"/>
      <c r="G44" s="372"/>
      <c r="H44" s="372"/>
      <c r="I44" s="372"/>
      <c r="J44" s="372"/>
      <c r="K44" s="372"/>
      <c r="L44" s="374"/>
      <c r="M44" s="374"/>
      <c r="N44" s="372"/>
      <c r="O44" s="372"/>
      <c r="P44" s="372"/>
      <c r="Q44" s="372"/>
      <c r="R44" s="372"/>
      <c r="S44" s="372"/>
      <c r="T44" s="372"/>
      <c r="U44" s="372"/>
      <c r="V44" s="372"/>
      <c r="W44" s="372"/>
      <c r="X44" s="372"/>
      <c r="Y44" s="372"/>
      <c r="Z44" s="372"/>
      <c r="AA44" s="372"/>
      <c r="AB44" s="372"/>
      <c r="AC44" s="372"/>
      <c r="AD44" s="41"/>
      <c r="AE44" s="41"/>
      <c r="AF44" s="11">
        <f t="shared" si="11"/>
        <v>0</v>
      </c>
      <c r="AG44" s="11">
        <f t="shared" si="12"/>
        <v>0</v>
      </c>
      <c r="AH44" s="11">
        <f t="shared" si="13"/>
        <v>0</v>
      </c>
    </row>
    <row r="45" spans="1:36" ht="16.5" customHeight="1">
      <c r="A45" s="70" t="s">
        <v>40</v>
      </c>
      <c r="B45" s="15"/>
      <c r="C45" s="15">
        <v>0.85</v>
      </c>
      <c r="D45" s="15"/>
      <c r="E45" s="15"/>
      <c r="F45" s="372" t="s">
        <v>9</v>
      </c>
      <c r="G45" s="372">
        <v>0.7</v>
      </c>
      <c r="H45" s="372"/>
      <c r="I45" s="372"/>
      <c r="J45" s="372"/>
      <c r="K45" s="372"/>
      <c r="L45" s="372"/>
      <c r="M45" s="372"/>
      <c r="N45" s="372"/>
      <c r="O45" s="372"/>
      <c r="P45" s="372"/>
      <c r="Q45" s="372"/>
      <c r="R45" s="372"/>
      <c r="S45" s="372"/>
      <c r="T45" s="372"/>
      <c r="U45" s="372"/>
      <c r="V45" s="372"/>
      <c r="W45" s="372"/>
      <c r="X45" s="372"/>
      <c r="Y45" s="372"/>
      <c r="Z45" s="372"/>
      <c r="AA45" s="372"/>
      <c r="AB45" s="372"/>
      <c r="AC45" s="372"/>
      <c r="AD45" s="41"/>
      <c r="AE45" s="41"/>
      <c r="AF45" s="11">
        <f t="shared" si="11"/>
        <v>1</v>
      </c>
      <c r="AG45" s="11">
        <f t="shared" si="12"/>
        <v>0</v>
      </c>
      <c r="AH45" s="11">
        <f t="shared" si="13"/>
        <v>1</v>
      </c>
      <c r="AI45" s="159"/>
    </row>
    <row r="46" spans="1:36">
      <c r="A46" s="70" t="s">
        <v>41</v>
      </c>
      <c r="B46" s="15"/>
      <c r="C46" s="15">
        <v>0.75</v>
      </c>
      <c r="D46" s="15"/>
      <c r="E46" s="15"/>
      <c r="F46" s="372"/>
      <c r="G46" s="372">
        <v>0.7</v>
      </c>
      <c r="H46" s="372"/>
      <c r="I46" s="372"/>
      <c r="J46" s="372"/>
      <c r="K46" s="372"/>
      <c r="L46" s="372">
        <f>3.34/5</f>
        <v>0.66799999999999993</v>
      </c>
      <c r="M46" s="374"/>
      <c r="N46" s="372"/>
      <c r="O46" s="372">
        <v>0.7</v>
      </c>
      <c r="P46" s="372">
        <v>0.7</v>
      </c>
      <c r="Q46" s="372"/>
      <c r="R46" s="372"/>
      <c r="S46" s="372"/>
      <c r="T46" s="372"/>
      <c r="U46" s="372"/>
      <c r="V46" s="372"/>
      <c r="W46" s="372"/>
      <c r="X46" s="372"/>
      <c r="Y46" s="372">
        <f>4.35/6</f>
        <v>0.72499999999999998</v>
      </c>
      <c r="Z46" s="372">
        <f>2.9/4</f>
        <v>0.72499999999999998</v>
      </c>
      <c r="AA46" s="372"/>
      <c r="AB46" s="372"/>
      <c r="AC46" s="372"/>
      <c r="AD46" s="41"/>
      <c r="AE46" s="41"/>
      <c r="AF46" s="11">
        <f t="shared" si="11"/>
        <v>0</v>
      </c>
      <c r="AG46" s="11">
        <f t="shared" si="12"/>
        <v>0</v>
      </c>
      <c r="AH46" s="11">
        <f t="shared" si="13"/>
        <v>6</v>
      </c>
      <c r="AI46" s="159"/>
    </row>
    <row r="47" spans="1:36">
      <c r="A47" s="70" t="s">
        <v>42</v>
      </c>
      <c r="B47" s="15"/>
      <c r="C47" s="15">
        <v>0.75</v>
      </c>
      <c r="D47" s="15"/>
      <c r="E47" s="15"/>
      <c r="F47" s="372"/>
      <c r="G47" s="372">
        <v>0.7</v>
      </c>
      <c r="H47" s="372"/>
      <c r="I47" s="372"/>
      <c r="J47" s="372"/>
      <c r="K47" s="372"/>
      <c r="L47" s="372">
        <f>3.34/5</f>
        <v>0.66799999999999993</v>
      </c>
      <c r="M47" s="372"/>
      <c r="N47" s="372"/>
      <c r="O47" s="372"/>
      <c r="P47" s="372"/>
      <c r="Q47" s="372">
        <v>0.7</v>
      </c>
      <c r="R47" s="372"/>
      <c r="S47" s="372"/>
      <c r="T47" s="372"/>
      <c r="U47" s="372"/>
      <c r="V47" s="372"/>
      <c r="W47" s="372"/>
      <c r="X47" s="372"/>
      <c r="Y47" s="372">
        <f t="shared" ref="Y47:Y49" si="14">4.35/6</f>
        <v>0.72499999999999998</v>
      </c>
      <c r="Z47" s="372">
        <f>2.9/4</f>
        <v>0.72499999999999998</v>
      </c>
      <c r="AA47" s="372"/>
      <c r="AB47" s="372"/>
      <c r="AC47" s="372"/>
      <c r="AD47" s="41"/>
      <c r="AE47" s="41"/>
      <c r="AF47" s="11">
        <f t="shared" si="11"/>
        <v>0</v>
      </c>
      <c r="AG47" s="11">
        <f t="shared" si="12"/>
        <v>0</v>
      </c>
      <c r="AH47" s="11">
        <f t="shared" si="13"/>
        <v>5</v>
      </c>
    </row>
    <row r="48" spans="1:36">
      <c r="A48" s="70" t="s">
        <v>43</v>
      </c>
      <c r="B48" s="15"/>
      <c r="C48" s="15">
        <v>0.75</v>
      </c>
      <c r="D48" s="15"/>
      <c r="E48" s="15"/>
      <c r="F48" s="372"/>
      <c r="G48" s="372">
        <v>0.7</v>
      </c>
      <c r="H48" s="372"/>
      <c r="I48" s="372"/>
      <c r="J48" s="372"/>
      <c r="K48" s="372"/>
      <c r="L48" s="374"/>
      <c r="M48" s="372"/>
      <c r="N48" s="372"/>
      <c r="O48" s="372"/>
      <c r="P48" s="372"/>
      <c r="Q48" s="372"/>
      <c r="R48" s="372"/>
      <c r="S48" s="372"/>
      <c r="T48" s="372"/>
      <c r="U48" s="372"/>
      <c r="V48" s="372"/>
      <c r="W48" s="372"/>
      <c r="X48" s="372"/>
      <c r="Y48" s="372">
        <f t="shared" si="14"/>
        <v>0.72499999999999998</v>
      </c>
      <c r="Z48" s="372"/>
      <c r="AA48" s="372"/>
      <c r="AB48" s="372"/>
      <c r="AC48" s="372">
        <v>0.7</v>
      </c>
      <c r="AD48" s="41"/>
      <c r="AE48" s="41"/>
      <c r="AF48" s="11">
        <f t="shared" si="11"/>
        <v>0</v>
      </c>
      <c r="AG48" s="11">
        <f t="shared" si="12"/>
        <v>0</v>
      </c>
      <c r="AH48" s="11">
        <f t="shared" si="13"/>
        <v>3</v>
      </c>
    </row>
    <row r="49" spans="1:124" ht="15" customHeight="1">
      <c r="A49" s="70" t="s">
        <v>44</v>
      </c>
      <c r="B49" s="15"/>
      <c r="C49" s="15">
        <v>0.75</v>
      </c>
      <c r="D49" s="15"/>
      <c r="E49" s="15"/>
      <c r="F49" s="372"/>
      <c r="G49" s="372">
        <v>0.7</v>
      </c>
      <c r="H49" s="372"/>
      <c r="I49" s="372"/>
      <c r="J49" s="372"/>
      <c r="K49" s="372"/>
      <c r="L49" s="372">
        <f t="shared" ref="L49:L50" si="15">3.34/5</f>
        <v>0.66799999999999993</v>
      </c>
      <c r="M49" s="374"/>
      <c r="N49" s="372"/>
      <c r="O49" s="372"/>
      <c r="P49" s="372">
        <v>0.7</v>
      </c>
      <c r="Q49" s="372"/>
      <c r="R49" s="372"/>
      <c r="S49" s="372"/>
      <c r="T49" s="372"/>
      <c r="U49" s="372"/>
      <c r="V49" s="372"/>
      <c r="W49" s="372"/>
      <c r="X49" s="372"/>
      <c r="Y49" s="372">
        <f t="shared" si="14"/>
        <v>0.72499999999999998</v>
      </c>
      <c r="Z49" s="372"/>
      <c r="AA49" s="372"/>
      <c r="AB49" s="372"/>
      <c r="AC49" s="372"/>
      <c r="AD49" s="41"/>
      <c r="AE49" s="41"/>
      <c r="AF49" s="11">
        <f t="shared" si="11"/>
        <v>0</v>
      </c>
      <c r="AG49" s="11">
        <f t="shared" si="12"/>
        <v>0</v>
      </c>
      <c r="AH49" s="11">
        <f t="shared" si="13"/>
        <v>4</v>
      </c>
    </row>
    <row r="50" spans="1:124" ht="16.5" customHeight="1">
      <c r="A50" s="70" t="s">
        <v>45</v>
      </c>
      <c r="B50" s="15"/>
      <c r="C50" s="15">
        <v>0.75</v>
      </c>
      <c r="D50" s="15"/>
      <c r="E50" s="15"/>
      <c r="F50" s="372"/>
      <c r="G50" s="372">
        <v>0.7</v>
      </c>
      <c r="H50" s="372"/>
      <c r="I50" s="372"/>
      <c r="J50" s="374"/>
      <c r="K50" s="372"/>
      <c r="L50" s="372">
        <f t="shared" si="15"/>
        <v>0.66799999999999993</v>
      </c>
      <c r="M50" s="374"/>
      <c r="N50" s="372"/>
      <c r="O50" s="372">
        <v>0.7</v>
      </c>
      <c r="P50" s="372"/>
      <c r="Q50" s="372"/>
      <c r="R50" s="372">
        <v>0.7</v>
      </c>
      <c r="S50" s="372"/>
      <c r="T50" s="372"/>
      <c r="U50" s="372"/>
      <c r="V50" s="372"/>
      <c r="W50" s="372"/>
      <c r="X50" s="372"/>
      <c r="Y50" s="372"/>
      <c r="Z50" s="372">
        <f>2.9/4</f>
        <v>0.72499999999999998</v>
      </c>
      <c r="AA50" s="372"/>
      <c r="AB50" s="372"/>
      <c r="AC50" s="372"/>
      <c r="AD50" s="41"/>
      <c r="AE50" s="41"/>
      <c r="AF50" s="11">
        <f t="shared" si="11"/>
        <v>0</v>
      </c>
      <c r="AG50" s="11">
        <f t="shared" si="12"/>
        <v>0</v>
      </c>
      <c r="AH50" s="11">
        <f t="shared" si="13"/>
        <v>5</v>
      </c>
    </row>
    <row r="51" spans="1:124">
      <c r="A51" s="70" t="s">
        <v>46</v>
      </c>
      <c r="B51" s="15"/>
      <c r="C51" s="15">
        <v>0.85</v>
      </c>
      <c r="D51" s="15"/>
      <c r="E51" s="15"/>
      <c r="F51" s="372"/>
      <c r="G51" s="374"/>
      <c r="H51" s="374"/>
      <c r="I51" s="374"/>
      <c r="J51" s="374"/>
      <c r="K51" s="374"/>
      <c r="L51" s="374"/>
      <c r="M51" s="374"/>
      <c r="N51" s="372"/>
      <c r="O51" s="372"/>
      <c r="P51" s="372"/>
      <c r="Q51" s="372"/>
      <c r="R51" s="372"/>
      <c r="S51" s="372"/>
      <c r="T51" s="372"/>
      <c r="U51" s="372"/>
      <c r="V51" s="372"/>
      <c r="W51" s="372"/>
      <c r="X51" s="372"/>
      <c r="Y51" s="372"/>
      <c r="Z51" s="372"/>
      <c r="AA51" s="372"/>
      <c r="AB51" s="372"/>
      <c r="AC51" s="372"/>
      <c r="AD51" s="41"/>
      <c r="AE51" s="41"/>
      <c r="AF51" s="11">
        <f t="shared" si="11"/>
        <v>0</v>
      </c>
      <c r="AG51" s="11">
        <f t="shared" si="12"/>
        <v>0</v>
      </c>
      <c r="AH51" s="11">
        <f t="shared" si="13"/>
        <v>0</v>
      </c>
    </row>
    <row r="52" spans="1:124">
      <c r="A52" s="70" t="s">
        <v>47</v>
      </c>
      <c r="B52" s="15"/>
      <c r="C52" s="15">
        <v>0.85</v>
      </c>
      <c r="D52" s="15"/>
      <c r="E52" s="15"/>
      <c r="F52" s="372" t="s">
        <v>9</v>
      </c>
      <c r="G52" s="374" t="s">
        <v>9</v>
      </c>
      <c r="H52" s="374" t="s">
        <v>9</v>
      </c>
      <c r="I52" s="374" t="s">
        <v>9</v>
      </c>
      <c r="J52" s="374" t="s">
        <v>9</v>
      </c>
      <c r="K52" s="374" t="s">
        <v>9</v>
      </c>
      <c r="L52" s="374" t="s">
        <v>9</v>
      </c>
      <c r="M52" s="374" t="s">
        <v>9</v>
      </c>
      <c r="N52" s="372" t="s">
        <v>9</v>
      </c>
      <c r="O52" s="372" t="s">
        <v>9</v>
      </c>
      <c r="P52" s="372" t="s">
        <v>9</v>
      </c>
      <c r="Q52" s="372" t="s">
        <v>9</v>
      </c>
      <c r="R52" s="372" t="s">
        <v>9</v>
      </c>
      <c r="S52" s="372" t="s">
        <v>9</v>
      </c>
      <c r="T52" s="372" t="s">
        <v>9</v>
      </c>
      <c r="U52" s="372" t="s">
        <v>9</v>
      </c>
      <c r="V52" s="372" t="s">
        <v>9</v>
      </c>
      <c r="W52" s="372" t="s">
        <v>9</v>
      </c>
      <c r="X52" s="372" t="s">
        <v>9</v>
      </c>
      <c r="Y52" s="372" t="s">
        <v>9</v>
      </c>
      <c r="Z52" s="372" t="s">
        <v>9</v>
      </c>
      <c r="AA52" s="372" t="s">
        <v>9</v>
      </c>
      <c r="AB52" s="372" t="s">
        <v>9</v>
      </c>
      <c r="AC52" s="372" t="s">
        <v>9</v>
      </c>
      <c r="AD52" s="41"/>
      <c r="AE52" s="41"/>
      <c r="AF52" s="11">
        <f t="shared" si="11"/>
        <v>24</v>
      </c>
      <c r="AG52" s="11">
        <f t="shared" si="12"/>
        <v>0</v>
      </c>
      <c r="AH52" s="11">
        <f t="shared" si="13"/>
        <v>0</v>
      </c>
    </row>
    <row r="53" spans="1:124">
      <c r="A53" s="70" t="s">
        <v>48</v>
      </c>
      <c r="B53" s="15"/>
      <c r="C53" s="15">
        <v>0.85</v>
      </c>
      <c r="D53" s="15"/>
      <c r="E53" s="15"/>
      <c r="F53" s="372"/>
      <c r="G53" s="372">
        <v>0.7</v>
      </c>
      <c r="H53" s="372"/>
      <c r="I53" s="372"/>
      <c r="J53" s="372"/>
      <c r="K53" s="374"/>
      <c r="L53" s="372"/>
      <c r="M53" s="374"/>
      <c r="N53" s="372"/>
      <c r="O53" s="372"/>
      <c r="P53" s="372"/>
      <c r="Q53" s="372"/>
      <c r="R53" s="372"/>
      <c r="S53" s="372"/>
      <c r="T53" s="372"/>
      <c r="U53" s="372"/>
      <c r="V53" s="372"/>
      <c r="W53" s="372"/>
      <c r="X53" s="372"/>
      <c r="Y53" s="372"/>
      <c r="Z53" s="372"/>
      <c r="AA53" s="372"/>
      <c r="AB53" s="372"/>
      <c r="AC53" s="372"/>
      <c r="AD53" s="41"/>
      <c r="AE53" s="41"/>
      <c r="AF53" s="11">
        <f t="shared" si="11"/>
        <v>0</v>
      </c>
      <c r="AG53" s="11">
        <f t="shared" si="12"/>
        <v>0</v>
      </c>
      <c r="AH53" s="11">
        <f t="shared" si="13"/>
        <v>1</v>
      </c>
    </row>
    <row r="54" spans="1:124" ht="16.5" customHeight="1">
      <c r="A54" s="70" t="s">
        <v>49</v>
      </c>
      <c r="B54" s="15"/>
      <c r="C54" s="15">
        <v>0.85</v>
      </c>
      <c r="D54" s="15"/>
      <c r="E54" s="15"/>
      <c r="F54" s="372"/>
      <c r="G54" s="372">
        <v>0.7</v>
      </c>
      <c r="H54" s="372"/>
      <c r="I54" s="372"/>
      <c r="J54" s="372"/>
      <c r="K54" s="374"/>
      <c r="L54" s="372"/>
      <c r="M54" s="374"/>
      <c r="N54" s="372"/>
      <c r="O54" s="372"/>
      <c r="P54" s="372"/>
      <c r="Q54" s="372"/>
      <c r="R54" s="372"/>
      <c r="S54" s="372"/>
      <c r="T54" s="372"/>
      <c r="U54" s="372"/>
      <c r="V54" s="372"/>
      <c r="W54" s="372"/>
      <c r="X54" s="372"/>
      <c r="Y54" s="372"/>
      <c r="Z54" s="372"/>
      <c r="AA54" s="372"/>
      <c r="AB54" s="372"/>
      <c r="AC54" s="372"/>
      <c r="AD54" s="41"/>
      <c r="AE54" s="41"/>
      <c r="AF54" s="11">
        <f t="shared" si="11"/>
        <v>0</v>
      </c>
      <c r="AG54" s="11">
        <f t="shared" si="12"/>
        <v>0</v>
      </c>
      <c r="AH54" s="11">
        <f t="shared" si="13"/>
        <v>1</v>
      </c>
    </row>
    <row r="55" spans="1:124">
      <c r="A55" s="70" t="s">
        <v>50</v>
      </c>
      <c r="B55" s="15"/>
      <c r="C55" s="15">
        <v>0.85</v>
      </c>
      <c r="D55" s="15"/>
      <c r="E55" s="15"/>
      <c r="F55" s="372"/>
      <c r="G55" s="372">
        <v>0.7</v>
      </c>
      <c r="H55" s="372"/>
      <c r="I55" s="372"/>
      <c r="J55" s="372"/>
      <c r="K55" s="374"/>
      <c r="L55" s="372"/>
      <c r="M55" s="374"/>
      <c r="N55" s="372"/>
      <c r="O55" s="372"/>
      <c r="P55" s="372"/>
      <c r="Q55" s="372"/>
      <c r="R55" s="372"/>
      <c r="S55" s="372"/>
      <c r="T55" s="372"/>
      <c r="U55" s="372"/>
      <c r="V55" s="372"/>
      <c r="W55" s="372"/>
      <c r="X55" s="372"/>
      <c r="Y55" s="372"/>
      <c r="Z55" s="372"/>
      <c r="AA55" s="372"/>
      <c r="AB55" s="372"/>
      <c r="AC55" s="372"/>
      <c r="AD55" s="41"/>
      <c r="AE55" s="41"/>
      <c r="AF55" s="11">
        <f>COUNTIF(F55:AC55,$AJ$8)</f>
        <v>0</v>
      </c>
      <c r="AG55" s="11">
        <f t="shared" si="12"/>
        <v>0</v>
      </c>
      <c r="AH55" s="11">
        <f>COUNT(F55:AC55)</f>
        <v>1</v>
      </c>
    </row>
    <row r="56" spans="1:124">
      <c r="A56" s="70" t="s">
        <v>51</v>
      </c>
      <c r="B56" s="15"/>
      <c r="C56" s="15">
        <v>0.75</v>
      </c>
      <c r="D56" s="15"/>
      <c r="E56" s="15"/>
      <c r="F56" s="372">
        <v>0</v>
      </c>
      <c r="G56" s="372">
        <v>0</v>
      </c>
      <c r="H56" s="372">
        <v>0</v>
      </c>
      <c r="I56" s="372">
        <v>0</v>
      </c>
      <c r="J56" s="372">
        <v>0</v>
      </c>
      <c r="K56" s="372">
        <v>0</v>
      </c>
      <c r="L56" s="374">
        <v>0</v>
      </c>
      <c r="M56" s="374">
        <v>0</v>
      </c>
      <c r="N56" s="372">
        <v>0</v>
      </c>
      <c r="O56" s="372">
        <v>0.8</v>
      </c>
      <c r="P56" s="372">
        <v>0.7</v>
      </c>
      <c r="Q56" s="372"/>
      <c r="R56" s="372"/>
      <c r="S56" s="372"/>
      <c r="T56" s="372"/>
      <c r="U56" s="372"/>
      <c r="V56" s="372"/>
      <c r="W56" s="372"/>
      <c r="X56" s="372">
        <v>0.7</v>
      </c>
      <c r="Y56" s="372">
        <f t="shared" ref="Y56:Y57" si="16">4.35/6</f>
        <v>0.72499999999999998</v>
      </c>
      <c r="Z56" s="372">
        <f>2.9/4</f>
        <v>0.72499999999999998</v>
      </c>
      <c r="AA56" s="372">
        <v>0.7</v>
      </c>
      <c r="AB56" s="372"/>
      <c r="AC56" s="372"/>
      <c r="AD56" s="41"/>
      <c r="AE56" s="41"/>
      <c r="AF56" s="11">
        <f t="shared" si="11"/>
        <v>0</v>
      </c>
      <c r="AG56" s="11">
        <f t="shared" si="12"/>
        <v>0</v>
      </c>
      <c r="AH56" s="11">
        <f t="shared" si="13"/>
        <v>15</v>
      </c>
    </row>
    <row r="57" spans="1:124">
      <c r="A57" s="70" t="s">
        <v>52</v>
      </c>
      <c r="B57" s="15"/>
      <c r="C57" s="15">
        <v>0.75</v>
      </c>
      <c r="D57" s="15"/>
      <c r="E57" s="15"/>
      <c r="F57" s="372"/>
      <c r="G57" s="372">
        <v>0.7</v>
      </c>
      <c r="H57" s="372"/>
      <c r="I57" s="372"/>
      <c r="J57" s="372"/>
      <c r="K57" s="372">
        <v>0.7</v>
      </c>
      <c r="L57" s="372">
        <f t="shared" ref="L57" si="17">3.34/5</f>
        <v>0.66799999999999993</v>
      </c>
      <c r="M57" s="374"/>
      <c r="N57" s="372"/>
      <c r="O57" s="372"/>
      <c r="P57" s="372">
        <v>0.7</v>
      </c>
      <c r="Q57" s="372"/>
      <c r="R57" s="372"/>
      <c r="S57" s="372"/>
      <c r="T57" s="372"/>
      <c r="U57" s="372"/>
      <c r="V57" s="372"/>
      <c r="W57" s="372"/>
      <c r="X57" s="372"/>
      <c r="Y57" s="372">
        <f t="shared" si="16"/>
        <v>0.72499999999999998</v>
      </c>
      <c r="Z57" s="372"/>
      <c r="AA57" s="372"/>
      <c r="AB57" s="372"/>
      <c r="AC57" s="372"/>
      <c r="AD57" s="41"/>
      <c r="AE57" s="41"/>
      <c r="AF57" s="11">
        <f t="shared" si="11"/>
        <v>0</v>
      </c>
      <c r="AG57" s="11">
        <f t="shared" si="12"/>
        <v>0</v>
      </c>
      <c r="AH57" s="11">
        <f t="shared" si="13"/>
        <v>5</v>
      </c>
    </row>
    <row r="58" spans="1:124">
      <c r="A58" s="70" t="s">
        <v>53</v>
      </c>
      <c r="B58" s="15"/>
      <c r="C58" s="15">
        <v>0.85</v>
      </c>
      <c r="D58" s="15"/>
      <c r="E58" s="15"/>
      <c r="F58" s="372"/>
      <c r="G58" s="372">
        <v>0.7</v>
      </c>
      <c r="H58" s="372"/>
      <c r="I58" s="372"/>
      <c r="J58" s="372"/>
      <c r="K58" s="372">
        <v>0.7</v>
      </c>
      <c r="L58" s="372"/>
      <c r="M58" s="374"/>
      <c r="N58" s="372"/>
      <c r="O58" s="372"/>
      <c r="P58" s="372"/>
      <c r="Q58" s="372"/>
      <c r="R58" s="372"/>
      <c r="S58" s="372"/>
      <c r="T58" s="372"/>
      <c r="U58" s="372"/>
      <c r="V58" s="372"/>
      <c r="W58" s="372"/>
      <c r="X58" s="372"/>
      <c r="Y58" s="372"/>
      <c r="Z58" s="372"/>
      <c r="AA58" s="372"/>
      <c r="AB58" s="372"/>
      <c r="AC58" s="372"/>
      <c r="AD58" s="41"/>
      <c r="AE58" s="41"/>
      <c r="AF58" s="11">
        <f t="shared" si="11"/>
        <v>0</v>
      </c>
      <c r="AG58" s="11">
        <f t="shared" si="12"/>
        <v>0</v>
      </c>
      <c r="AH58" s="11">
        <f t="shared" si="13"/>
        <v>2</v>
      </c>
    </row>
    <row r="59" spans="1:124">
      <c r="A59" s="70" t="s">
        <v>54</v>
      </c>
      <c r="B59" s="15"/>
      <c r="C59" s="15">
        <v>0.85</v>
      </c>
      <c r="D59" s="15"/>
      <c r="E59" s="15"/>
      <c r="F59" s="372"/>
      <c r="G59" s="372">
        <v>0.8</v>
      </c>
      <c r="H59" s="372"/>
      <c r="I59" s="372"/>
      <c r="J59" s="372"/>
      <c r="K59" s="374"/>
      <c r="L59" s="374"/>
      <c r="M59" s="374"/>
      <c r="N59" s="372"/>
      <c r="O59" s="372"/>
      <c r="P59" s="372"/>
      <c r="Q59" s="372"/>
      <c r="R59" s="372"/>
      <c r="S59" s="372"/>
      <c r="T59" s="372"/>
      <c r="U59" s="372"/>
      <c r="V59" s="372"/>
      <c r="W59" s="372"/>
      <c r="X59" s="372"/>
      <c r="Y59" s="372"/>
      <c r="Z59" s="372"/>
      <c r="AA59" s="372"/>
      <c r="AB59" s="372"/>
      <c r="AC59" s="372"/>
      <c r="AD59" s="41"/>
      <c r="AE59" s="41"/>
      <c r="AF59" s="11">
        <f t="shared" si="11"/>
        <v>0</v>
      </c>
      <c r="AG59" s="11">
        <f t="shared" si="12"/>
        <v>0</v>
      </c>
      <c r="AH59" s="11">
        <f t="shared" si="13"/>
        <v>1</v>
      </c>
    </row>
    <row r="60" spans="1:124">
      <c r="A60" s="9" t="s">
        <v>26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 t="shared" ref="F60" si="18">SUM(F36:F59)</f>
        <v>0</v>
      </c>
      <c r="G60" s="19">
        <f t="shared" ref="G60:AC60" si="19">SUM(G36:G59)</f>
        <v>8.5000000000000018</v>
      </c>
      <c r="H60" s="19">
        <f t="shared" si="19"/>
        <v>0</v>
      </c>
      <c r="I60" s="19">
        <f t="shared" si="19"/>
        <v>0</v>
      </c>
      <c r="J60" s="19">
        <f t="shared" si="19"/>
        <v>0</v>
      </c>
      <c r="K60" s="19">
        <f t="shared" si="19"/>
        <v>1.4</v>
      </c>
      <c r="L60" s="19">
        <f t="shared" si="19"/>
        <v>3.34</v>
      </c>
      <c r="M60" s="19">
        <f t="shared" si="19"/>
        <v>0</v>
      </c>
      <c r="N60" s="19">
        <f t="shared" si="19"/>
        <v>0</v>
      </c>
      <c r="O60" s="19">
        <f>SUM(O36:O59)</f>
        <v>2.2000000000000002</v>
      </c>
      <c r="P60" s="19">
        <f t="shared" si="19"/>
        <v>2.8</v>
      </c>
      <c r="Q60" s="19">
        <f t="shared" si="19"/>
        <v>0.7</v>
      </c>
      <c r="R60" s="19">
        <f t="shared" si="19"/>
        <v>0.7</v>
      </c>
      <c r="S60" s="19">
        <f t="shared" si="19"/>
        <v>0</v>
      </c>
      <c r="T60" s="19">
        <f>SUM(T36:T59)</f>
        <v>0</v>
      </c>
      <c r="U60" s="19">
        <f t="shared" si="19"/>
        <v>0</v>
      </c>
      <c r="V60" s="19">
        <f t="shared" si="19"/>
        <v>0</v>
      </c>
      <c r="W60" s="19">
        <f t="shared" si="19"/>
        <v>0</v>
      </c>
      <c r="X60" s="19">
        <f t="shared" si="19"/>
        <v>0.7</v>
      </c>
      <c r="Y60" s="19">
        <f t="shared" si="19"/>
        <v>4.3499999999999996</v>
      </c>
      <c r="Z60" s="19">
        <f t="shared" si="19"/>
        <v>2.9</v>
      </c>
      <c r="AA60" s="19">
        <f t="shared" si="19"/>
        <v>0.7</v>
      </c>
      <c r="AB60" s="19">
        <f t="shared" si="19"/>
        <v>0</v>
      </c>
      <c r="AC60" s="19">
        <f t="shared" si="19"/>
        <v>0.7</v>
      </c>
      <c r="AD60" s="34"/>
      <c r="AE60" s="34"/>
      <c r="AF60" s="11"/>
      <c r="AG60" s="11"/>
      <c r="AH60" s="11"/>
    </row>
    <row r="61" spans="1:124">
      <c r="A61" s="12" t="s">
        <v>55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28.030000000000005</v>
      </c>
      <c r="AN61" s="351"/>
    </row>
    <row r="62" spans="1:124">
      <c r="A62" s="14" t="s">
        <v>56</v>
      </c>
      <c r="B62" s="20"/>
      <c r="C62" s="15">
        <v>0.75</v>
      </c>
      <c r="D62" s="15"/>
      <c r="E62" s="15"/>
      <c r="F62" s="372">
        <f>0.96/2</f>
        <v>0.48</v>
      </c>
      <c r="G62" s="372">
        <f>0.89/2</f>
        <v>0.44500000000000001</v>
      </c>
      <c r="H62" s="372">
        <f>0.86/2</f>
        <v>0.43</v>
      </c>
      <c r="I62" s="372">
        <f>0.82/2</f>
        <v>0.41</v>
      </c>
      <c r="J62" s="372">
        <f>0.81/2</f>
        <v>0.40500000000000003</v>
      </c>
      <c r="K62" s="374">
        <f>0.81/2</f>
        <v>0.40500000000000003</v>
      </c>
      <c r="L62" s="372">
        <f>0.87/2</f>
        <v>0.435</v>
      </c>
      <c r="M62" s="372">
        <f>0.97/2</f>
        <v>0.48499999999999999</v>
      </c>
      <c r="N62" s="372">
        <f>1.01/2</f>
        <v>0.505</v>
      </c>
      <c r="O62" s="372">
        <f>1.21/2</f>
        <v>0.60499999999999998</v>
      </c>
      <c r="P62" s="372">
        <f>1.29/2</f>
        <v>0.64500000000000002</v>
      </c>
      <c r="Q62" s="372">
        <f>1.33/2</f>
        <v>0.66500000000000004</v>
      </c>
      <c r="R62" s="372">
        <f>1.35/2</f>
        <v>0.67500000000000004</v>
      </c>
      <c r="S62" s="372"/>
      <c r="T62" s="372"/>
      <c r="U62" s="372"/>
      <c r="V62" s="372"/>
      <c r="W62" s="372"/>
      <c r="X62" s="372"/>
      <c r="Y62" s="372">
        <f>1.57/2</f>
        <v>0.78500000000000003</v>
      </c>
      <c r="Z62" s="372">
        <f>1.61/2</f>
        <v>0.80500000000000005</v>
      </c>
      <c r="AA62" s="372">
        <f>1.51/2</f>
        <v>0.755</v>
      </c>
      <c r="AB62" s="372">
        <f>1.33/2</f>
        <v>0.66500000000000004</v>
      </c>
      <c r="AC62" s="372">
        <f>1.16/2</f>
        <v>0.57999999999999996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57</v>
      </c>
      <c r="B63" s="20"/>
      <c r="C63" s="15">
        <v>0.75</v>
      </c>
      <c r="D63" s="15"/>
      <c r="E63" s="15"/>
      <c r="F63" s="372"/>
      <c r="G63" s="372"/>
      <c r="H63" s="372"/>
      <c r="I63" s="372"/>
      <c r="J63" s="372"/>
      <c r="K63" s="374"/>
      <c r="L63" s="372"/>
      <c r="M63" s="372">
        <f>0.97/2</f>
        <v>0.48499999999999999</v>
      </c>
      <c r="N63" s="372">
        <f>1.01/2</f>
        <v>0.505</v>
      </c>
      <c r="O63" s="372">
        <f>1.21/2</f>
        <v>0.60499999999999998</v>
      </c>
      <c r="P63" s="372">
        <f>1.29/2</f>
        <v>0.64500000000000002</v>
      </c>
      <c r="Q63" s="372">
        <f>1.33/2</f>
        <v>0.66500000000000004</v>
      </c>
      <c r="R63" s="372">
        <f>1.35/2</f>
        <v>0.67500000000000004</v>
      </c>
      <c r="S63" s="372">
        <f>1.34/2</f>
        <v>0.67</v>
      </c>
      <c r="T63" s="372">
        <f>1.17/2</f>
        <v>0.58499999999999996</v>
      </c>
      <c r="U63" s="372">
        <f>1.32/2</f>
        <v>0.66</v>
      </c>
      <c r="V63" s="372">
        <f>1.26/2</f>
        <v>0.63</v>
      </c>
      <c r="W63" s="372">
        <f>1.27/2</f>
        <v>0.63500000000000001</v>
      </c>
      <c r="X63" s="372">
        <f>1.31/2</f>
        <v>0.65500000000000003</v>
      </c>
      <c r="Y63" s="372">
        <v>0</v>
      </c>
      <c r="Z63" s="372">
        <v>0</v>
      </c>
      <c r="AA63" s="372">
        <v>0</v>
      </c>
      <c r="AB63" s="372">
        <v>0</v>
      </c>
      <c r="AC63" s="372">
        <v>0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17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58</v>
      </c>
      <c r="B64" s="20"/>
      <c r="C64" s="15">
        <v>0.75</v>
      </c>
      <c r="D64" s="15"/>
      <c r="E64" s="15"/>
      <c r="F64" s="372">
        <f>0.96/2</f>
        <v>0.48</v>
      </c>
      <c r="G64" s="372">
        <f>0.89/2</f>
        <v>0.44500000000000001</v>
      </c>
      <c r="H64" s="372">
        <f>0.86/2</f>
        <v>0.43</v>
      </c>
      <c r="I64" s="372">
        <f>0.82/2</f>
        <v>0.41</v>
      </c>
      <c r="J64" s="372">
        <f>0.81/2</f>
        <v>0.40500000000000003</v>
      </c>
      <c r="K64" s="374">
        <f>0.81/2</f>
        <v>0.40500000000000003</v>
      </c>
      <c r="L64" s="372">
        <f>0.87/2</f>
        <v>0.435</v>
      </c>
      <c r="M64" s="372"/>
      <c r="N64" s="372"/>
      <c r="O64" s="372"/>
      <c r="P64" s="372"/>
      <c r="Q64" s="372"/>
      <c r="R64" s="372"/>
      <c r="S64" s="372">
        <f>1.34/2</f>
        <v>0.67</v>
      </c>
      <c r="T64" s="372">
        <f>1.17/2</f>
        <v>0.58499999999999996</v>
      </c>
      <c r="U64" s="372">
        <f>1.32/2</f>
        <v>0.66</v>
      </c>
      <c r="V64" s="372">
        <f>1.26/2</f>
        <v>0.63</v>
      </c>
      <c r="W64" s="372">
        <f>1.27/2</f>
        <v>0.63500000000000001</v>
      </c>
      <c r="X64" s="372">
        <f>1.31/2</f>
        <v>0.65500000000000003</v>
      </c>
      <c r="Y64" s="372">
        <f>1.57/2</f>
        <v>0.78500000000000003</v>
      </c>
      <c r="Z64" s="372">
        <f>1.61/2</f>
        <v>0.80500000000000005</v>
      </c>
      <c r="AA64" s="372">
        <f>1.51/2</f>
        <v>0.755</v>
      </c>
      <c r="AB64" s="372">
        <f>1.33/2</f>
        <v>0.66500000000000004</v>
      </c>
      <c r="AC64" s="372">
        <f>1.16/2</f>
        <v>0.57999999999999996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18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0.96</v>
      </c>
      <c r="G65" s="19">
        <f t="shared" ref="G65" si="20">SUM(G62:G64)</f>
        <v>0.89</v>
      </c>
      <c r="H65" s="19">
        <f>SUM(H62:H64)</f>
        <v>0.86</v>
      </c>
      <c r="I65" s="19">
        <f>SUM(I62:I64)</f>
        <v>0.82</v>
      </c>
      <c r="J65" s="19">
        <f t="shared" ref="J65" si="21">SUM(J62:J64)</f>
        <v>0.81</v>
      </c>
      <c r="K65" s="19">
        <f>SUM(K62:K64)</f>
        <v>0.81</v>
      </c>
      <c r="L65" s="19">
        <f>SUM(L62:L64)</f>
        <v>0.87</v>
      </c>
      <c r="M65" s="19">
        <f>SUM(M62:M64)</f>
        <v>0.97</v>
      </c>
      <c r="N65" s="19">
        <f>SUM(N62:N64)</f>
        <v>1.01</v>
      </c>
      <c r="O65" s="19">
        <f t="shared" ref="O65:AB65" si="22">SUM(O62:O64)</f>
        <v>1.21</v>
      </c>
      <c r="P65" s="19">
        <f t="shared" si="22"/>
        <v>1.29</v>
      </c>
      <c r="Q65" s="19">
        <f t="shared" si="22"/>
        <v>1.33</v>
      </c>
      <c r="R65" s="19">
        <f t="shared" si="22"/>
        <v>1.35</v>
      </c>
      <c r="S65" s="19">
        <f t="shared" si="22"/>
        <v>1.34</v>
      </c>
      <c r="T65" s="19">
        <f t="shared" si="22"/>
        <v>1.17</v>
      </c>
      <c r="U65" s="19">
        <f t="shared" si="22"/>
        <v>1.32</v>
      </c>
      <c r="V65" s="19">
        <f t="shared" si="22"/>
        <v>1.26</v>
      </c>
      <c r="W65" s="19">
        <f t="shared" si="22"/>
        <v>1.27</v>
      </c>
      <c r="X65" s="19">
        <f t="shared" si="22"/>
        <v>1.31</v>
      </c>
      <c r="Y65" s="19">
        <f>SUM(Y62:Y64)</f>
        <v>1.57</v>
      </c>
      <c r="Z65" s="19">
        <f t="shared" si="22"/>
        <v>1.61</v>
      </c>
      <c r="AA65" s="19">
        <f t="shared" si="22"/>
        <v>1.51</v>
      </c>
      <c r="AB65" s="19">
        <f t="shared" si="22"/>
        <v>1.33</v>
      </c>
      <c r="AC65" s="19">
        <f>SUM(AC62:AC64)</f>
        <v>1.1599999999999999</v>
      </c>
      <c r="AD65" s="34"/>
      <c r="AE65" s="34"/>
      <c r="AF65" s="11"/>
      <c r="AG65" s="11"/>
      <c r="AH65" s="11"/>
    </row>
    <row r="66" spans="1:124" hidden="1">
      <c r="A66" s="12" t="s">
        <v>59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idden="1">
      <c r="A67" s="14" t="s">
        <v>60</v>
      </c>
      <c r="B67" s="15"/>
      <c r="C67" s="15">
        <v>0.85</v>
      </c>
      <c r="D67" s="15"/>
      <c r="E67" s="15"/>
      <c r="F67" s="372"/>
      <c r="G67" s="372"/>
      <c r="H67" s="372"/>
      <c r="I67" s="372"/>
      <c r="J67" s="372"/>
      <c r="K67" s="374"/>
      <c r="L67" s="374"/>
      <c r="M67" s="374"/>
      <c r="N67" s="372"/>
      <c r="O67" s="372"/>
      <c r="P67" s="372"/>
      <c r="Q67" s="372"/>
      <c r="R67" s="372"/>
      <c r="S67" s="372"/>
      <c r="T67" s="372"/>
      <c r="U67" s="372"/>
      <c r="V67" s="372"/>
      <c r="W67" s="372"/>
      <c r="X67" s="372"/>
      <c r="Y67" s="372"/>
      <c r="Z67" s="372"/>
      <c r="AA67" s="372"/>
      <c r="AB67" s="372"/>
      <c r="AC67" s="372"/>
      <c r="AD67" s="35"/>
      <c r="AE67" s="35"/>
      <c r="AF67" s="11">
        <f t="shared" ref="AF67:AF75" si="23">COUNTIF(F67:AC67,$AF$11)</f>
        <v>0</v>
      </c>
      <c r="AG67" s="11">
        <f t="shared" ref="AG67:AG75" si="24">COUNTIF(G67:AC67,$AG$11)</f>
        <v>0</v>
      </c>
      <c r="AH67" s="11">
        <f t="shared" ref="AH67:AH75" si="25">COUNT(F67:AC67)</f>
        <v>0</v>
      </c>
    </row>
    <row r="68" spans="1:124" hidden="1">
      <c r="A68" s="14" t="s">
        <v>61</v>
      </c>
      <c r="B68" s="15"/>
      <c r="C68" s="15">
        <v>0.85</v>
      </c>
      <c r="D68" s="15"/>
      <c r="E68" s="15"/>
      <c r="F68" s="372"/>
      <c r="G68" s="372"/>
      <c r="H68" s="372"/>
      <c r="I68" s="372"/>
      <c r="J68" s="372"/>
      <c r="K68" s="374"/>
      <c r="L68" s="374"/>
      <c r="M68" s="374"/>
      <c r="N68" s="372"/>
      <c r="O68" s="372"/>
      <c r="P68" s="372"/>
      <c r="Q68" s="372"/>
      <c r="R68" s="372"/>
      <c r="S68" s="372"/>
      <c r="T68" s="372"/>
      <c r="U68" s="372"/>
      <c r="V68" s="372"/>
      <c r="W68" s="372"/>
      <c r="X68" s="372"/>
      <c r="Y68" s="372"/>
      <c r="Z68" s="372"/>
      <c r="AA68" s="372"/>
      <c r="AB68" s="372"/>
      <c r="AC68" s="372"/>
      <c r="AD68" s="35"/>
      <c r="AE68" s="35"/>
      <c r="AF68" s="11">
        <f t="shared" si="23"/>
        <v>0</v>
      </c>
      <c r="AG68" s="11">
        <f t="shared" si="24"/>
        <v>0</v>
      </c>
      <c r="AH68" s="11">
        <f t="shared" si="25"/>
        <v>0</v>
      </c>
    </row>
    <row r="69" spans="1:124" hidden="1">
      <c r="A69" s="14" t="s">
        <v>62</v>
      </c>
      <c r="B69" s="15"/>
      <c r="C69" s="15">
        <v>0.85</v>
      </c>
      <c r="D69" s="15"/>
      <c r="E69" s="15"/>
      <c r="F69" s="372"/>
      <c r="G69" s="372"/>
      <c r="H69" s="372"/>
      <c r="I69" s="372"/>
      <c r="J69" s="372"/>
      <c r="K69" s="374"/>
      <c r="L69" s="374"/>
      <c r="M69" s="374"/>
      <c r="N69" s="372"/>
      <c r="O69" s="372"/>
      <c r="P69" s="372"/>
      <c r="Q69" s="372"/>
      <c r="R69" s="372"/>
      <c r="S69" s="372"/>
      <c r="T69" s="372"/>
      <c r="U69" s="372"/>
      <c r="V69" s="372"/>
      <c r="W69" s="372"/>
      <c r="X69" s="372"/>
      <c r="Y69" s="372"/>
      <c r="Z69" s="372"/>
      <c r="AA69" s="372"/>
      <c r="AB69" s="372"/>
      <c r="AC69" s="372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5"/>
        <v>0</v>
      </c>
    </row>
    <row r="70" spans="1:124" hidden="1">
      <c r="A70" s="14" t="s">
        <v>63</v>
      </c>
      <c r="B70" s="15"/>
      <c r="C70" s="15">
        <v>0.85</v>
      </c>
      <c r="D70" s="15"/>
      <c r="E70" s="15"/>
      <c r="F70" s="372"/>
      <c r="G70" s="372"/>
      <c r="H70" s="372"/>
      <c r="I70" s="372"/>
      <c r="J70" s="372"/>
      <c r="K70" s="374"/>
      <c r="L70" s="374"/>
      <c r="M70" s="374"/>
      <c r="N70" s="372"/>
      <c r="O70" s="372"/>
      <c r="P70" s="372"/>
      <c r="Q70" s="372"/>
      <c r="R70" s="372"/>
      <c r="S70" s="372"/>
      <c r="T70" s="372"/>
      <c r="U70" s="372"/>
      <c r="V70" s="372"/>
      <c r="W70" s="372"/>
      <c r="X70" s="372"/>
      <c r="Y70" s="372"/>
      <c r="Z70" s="372"/>
      <c r="AA70" s="372"/>
      <c r="AB70" s="372"/>
      <c r="AC70" s="372"/>
      <c r="AD70" s="35"/>
      <c r="AE70" s="35"/>
      <c r="AF70" s="11">
        <f t="shared" si="23"/>
        <v>0</v>
      </c>
      <c r="AG70" s="11">
        <f t="shared" si="24"/>
        <v>0</v>
      </c>
      <c r="AH70" s="11">
        <f t="shared" si="25"/>
        <v>0</v>
      </c>
      <c r="AI70" s="5"/>
      <c r="AJ70" s="5"/>
      <c r="AK70" s="5"/>
      <c r="AL70" s="5"/>
    </row>
    <row r="71" spans="1:124" hidden="1">
      <c r="A71" s="14" t="s">
        <v>64</v>
      </c>
      <c r="B71" s="15"/>
      <c r="C71" s="15">
        <v>0.85</v>
      </c>
      <c r="D71" s="15"/>
      <c r="E71" s="15"/>
      <c r="F71" s="372"/>
      <c r="G71" s="372"/>
      <c r="H71" s="372"/>
      <c r="I71" s="372"/>
      <c r="J71" s="372"/>
      <c r="K71" s="374"/>
      <c r="L71" s="374"/>
      <c r="M71" s="374"/>
      <c r="N71" s="372"/>
      <c r="O71" s="372"/>
      <c r="P71" s="372"/>
      <c r="Q71" s="372"/>
      <c r="R71" s="372"/>
      <c r="S71" s="372"/>
      <c r="T71" s="372"/>
      <c r="U71" s="372"/>
      <c r="V71" s="372"/>
      <c r="W71" s="372"/>
      <c r="X71" s="372"/>
      <c r="Y71" s="372"/>
      <c r="Z71" s="372"/>
      <c r="AA71" s="372"/>
      <c r="AB71" s="372"/>
      <c r="AC71" s="372"/>
      <c r="AD71" s="35"/>
      <c r="AE71" s="35"/>
      <c r="AF71" s="11">
        <f t="shared" si="23"/>
        <v>0</v>
      </c>
      <c r="AG71" s="11">
        <f t="shared" si="24"/>
        <v>0</v>
      </c>
      <c r="AH71" s="11">
        <f t="shared" si="25"/>
        <v>0</v>
      </c>
    </row>
    <row r="72" spans="1:124" hidden="1">
      <c r="A72" s="14" t="s">
        <v>65</v>
      </c>
      <c r="B72" s="15"/>
      <c r="C72" s="15">
        <v>0.85</v>
      </c>
      <c r="D72" s="15"/>
      <c r="E72" s="15"/>
      <c r="F72" s="372"/>
      <c r="G72" s="372"/>
      <c r="H72" s="372"/>
      <c r="I72" s="372"/>
      <c r="J72" s="372"/>
      <c r="K72" s="374"/>
      <c r="L72" s="374"/>
      <c r="M72" s="374"/>
      <c r="N72" s="372"/>
      <c r="O72" s="372"/>
      <c r="P72" s="372"/>
      <c r="Q72" s="372"/>
      <c r="R72" s="372"/>
      <c r="S72" s="372"/>
      <c r="T72" s="372"/>
      <c r="U72" s="372"/>
      <c r="V72" s="372"/>
      <c r="W72" s="372"/>
      <c r="X72" s="372"/>
      <c r="Y72" s="372"/>
      <c r="Z72" s="372"/>
      <c r="AA72" s="372"/>
      <c r="AB72" s="372"/>
      <c r="AC72" s="372"/>
      <c r="AD72" s="35"/>
      <c r="AE72" s="35"/>
      <c r="AF72" s="11">
        <f t="shared" si="23"/>
        <v>0</v>
      </c>
      <c r="AG72" s="11">
        <f t="shared" si="24"/>
        <v>0</v>
      </c>
      <c r="AH72" s="11">
        <f t="shared" si="25"/>
        <v>0</v>
      </c>
    </row>
    <row r="73" spans="1:124" hidden="1">
      <c r="A73" s="14" t="s">
        <v>66</v>
      </c>
      <c r="B73" s="15"/>
      <c r="C73" s="15">
        <v>0.85</v>
      </c>
      <c r="D73" s="15"/>
      <c r="E73" s="15"/>
      <c r="F73" s="372"/>
      <c r="G73" s="372"/>
      <c r="H73" s="372"/>
      <c r="I73" s="372"/>
      <c r="J73" s="372"/>
      <c r="K73" s="374"/>
      <c r="L73" s="374"/>
      <c r="M73" s="374"/>
      <c r="N73" s="372"/>
      <c r="O73" s="372"/>
      <c r="P73" s="372"/>
      <c r="Q73" s="372"/>
      <c r="R73" s="372"/>
      <c r="S73" s="372"/>
      <c r="T73" s="372"/>
      <c r="U73" s="372"/>
      <c r="V73" s="372"/>
      <c r="W73" s="372"/>
      <c r="X73" s="372"/>
      <c r="Y73" s="372"/>
      <c r="Z73" s="372"/>
      <c r="AA73" s="372"/>
      <c r="AB73" s="372"/>
      <c r="AC73" s="372"/>
      <c r="AD73" s="35"/>
      <c r="AE73" s="35"/>
      <c r="AF73" s="11">
        <f t="shared" si="23"/>
        <v>0</v>
      </c>
      <c r="AG73" s="11">
        <f t="shared" si="24"/>
        <v>0</v>
      </c>
      <c r="AH73" s="11">
        <f t="shared" si="25"/>
        <v>0</v>
      </c>
    </row>
    <row r="74" spans="1:124" hidden="1">
      <c r="A74" s="14" t="s">
        <v>67</v>
      </c>
      <c r="B74" s="19"/>
      <c r="C74" s="15">
        <v>0.85</v>
      </c>
      <c r="D74" s="15"/>
      <c r="E74" s="15"/>
      <c r="F74" s="372"/>
      <c r="G74" s="372"/>
      <c r="H74" s="372"/>
      <c r="I74" s="372"/>
      <c r="J74" s="372"/>
      <c r="K74" s="374"/>
      <c r="L74" s="374"/>
      <c r="M74" s="374"/>
      <c r="N74" s="372"/>
      <c r="O74" s="372"/>
      <c r="P74" s="372"/>
      <c r="Q74" s="372"/>
      <c r="R74" s="372"/>
      <c r="S74" s="372"/>
      <c r="T74" s="372"/>
      <c r="U74" s="372"/>
      <c r="V74" s="372"/>
      <c r="W74" s="372"/>
      <c r="X74" s="372"/>
      <c r="Y74" s="372"/>
      <c r="Z74" s="372"/>
      <c r="AA74" s="372"/>
      <c r="AB74" s="372"/>
      <c r="AC74" s="372"/>
      <c r="AD74" s="29"/>
      <c r="AE74" s="29"/>
      <c r="AF74" s="11">
        <f t="shared" si="23"/>
        <v>0</v>
      </c>
      <c r="AG74" s="11">
        <f t="shared" si="24"/>
        <v>0</v>
      </c>
      <c r="AH74" s="11">
        <f t="shared" si="25"/>
        <v>0</v>
      </c>
    </row>
    <row r="75" spans="1:124" ht="15.75" hidden="1" customHeight="1">
      <c r="A75" s="14" t="s">
        <v>68</v>
      </c>
      <c r="B75" s="9"/>
      <c r="C75" s="15">
        <v>0.85</v>
      </c>
      <c r="D75" s="15"/>
      <c r="E75" s="15"/>
      <c r="F75" s="372"/>
      <c r="G75" s="372"/>
      <c r="H75" s="372"/>
      <c r="I75" s="372"/>
      <c r="J75" s="372"/>
      <c r="K75" s="374"/>
      <c r="L75" s="374"/>
      <c r="M75" s="374"/>
      <c r="N75" s="372"/>
      <c r="O75" s="372"/>
      <c r="P75" s="372"/>
      <c r="Q75" s="372"/>
      <c r="R75" s="372"/>
      <c r="S75" s="372"/>
      <c r="T75" s="372"/>
      <c r="U75" s="372"/>
      <c r="V75" s="372"/>
      <c r="W75" s="372"/>
      <c r="X75" s="372"/>
      <c r="Y75" s="372"/>
      <c r="Z75" s="372"/>
      <c r="AA75" s="372"/>
      <c r="AB75" s="372"/>
      <c r="AC75" s="372"/>
      <c r="AD75" s="31"/>
      <c r="AE75" s="31"/>
      <c r="AF75" s="11">
        <f t="shared" si="23"/>
        <v>0</v>
      </c>
      <c r="AG75" s="11">
        <f t="shared" si="24"/>
        <v>0</v>
      </c>
      <c r="AH75" s="11">
        <f t="shared" si="25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6">SUM(F67:F75)</f>
        <v>0</v>
      </c>
      <c r="G76" s="19">
        <f t="shared" ref="G76:AC76" si="27">SUM(G67:G75)</f>
        <v>0</v>
      </c>
      <c r="H76" s="19">
        <f t="shared" si="27"/>
        <v>0</v>
      </c>
      <c r="I76" s="19">
        <f t="shared" si="27"/>
        <v>0</v>
      </c>
      <c r="J76" s="19">
        <f t="shared" si="27"/>
        <v>0</v>
      </c>
      <c r="K76" s="19">
        <f t="shared" si="27"/>
        <v>0</v>
      </c>
      <c r="L76" s="19">
        <f>SUM(L67:L75)</f>
        <v>0</v>
      </c>
      <c r="M76" s="19">
        <f t="shared" si="27"/>
        <v>0</v>
      </c>
      <c r="N76" s="19">
        <f t="shared" si="27"/>
        <v>0</v>
      </c>
      <c r="O76" s="19">
        <f t="shared" si="27"/>
        <v>0</v>
      </c>
      <c r="P76" s="19">
        <f t="shared" si="27"/>
        <v>0</v>
      </c>
      <c r="Q76" s="19">
        <f>SUM(Q67:Q75)</f>
        <v>0</v>
      </c>
      <c r="R76" s="19">
        <f t="shared" si="27"/>
        <v>0</v>
      </c>
      <c r="S76" s="19">
        <f t="shared" si="27"/>
        <v>0</v>
      </c>
      <c r="T76" s="19">
        <f t="shared" si="27"/>
        <v>0</v>
      </c>
      <c r="U76" s="19">
        <f t="shared" si="27"/>
        <v>0</v>
      </c>
      <c r="V76" s="19">
        <f t="shared" si="27"/>
        <v>0</v>
      </c>
      <c r="W76" s="19">
        <f t="shared" si="27"/>
        <v>0</v>
      </c>
      <c r="X76" s="19">
        <f t="shared" si="27"/>
        <v>0</v>
      </c>
      <c r="Y76" s="19">
        <f t="shared" si="27"/>
        <v>0</v>
      </c>
      <c r="Z76" s="19">
        <f t="shared" si="27"/>
        <v>0</v>
      </c>
      <c r="AA76" s="19">
        <f t="shared" si="27"/>
        <v>0</v>
      </c>
      <c r="AB76" s="19">
        <f t="shared" si="27"/>
        <v>0</v>
      </c>
      <c r="AC76" s="19">
        <f t="shared" si="27"/>
        <v>0</v>
      </c>
      <c r="AD76" s="34"/>
      <c r="AE76" s="34"/>
      <c r="AF76" s="11"/>
      <c r="AG76" s="11"/>
      <c r="AH76" s="11"/>
    </row>
    <row r="77" spans="1:124">
      <c r="A77" s="12" t="s">
        <v>69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 t="s">
        <v>21</v>
      </c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19.139999999999997</v>
      </c>
    </row>
    <row r="78" spans="1:124">
      <c r="A78" s="14" t="s">
        <v>70</v>
      </c>
      <c r="B78" s="20"/>
      <c r="C78" s="15">
        <v>1</v>
      </c>
      <c r="D78" s="15"/>
      <c r="E78" s="15"/>
      <c r="F78" s="372">
        <v>0</v>
      </c>
      <c r="G78" s="372">
        <v>0.75</v>
      </c>
      <c r="H78" s="372">
        <v>0.79</v>
      </c>
      <c r="I78" s="372">
        <v>0.7</v>
      </c>
      <c r="J78" s="372">
        <v>0.68</v>
      </c>
      <c r="K78" s="374">
        <v>0.7</v>
      </c>
      <c r="L78" s="374">
        <v>0.71</v>
      </c>
      <c r="M78" s="374">
        <v>0.69</v>
      </c>
      <c r="N78" s="372">
        <v>0.7</v>
      </c>
      <c r="O78" s="372">
        <v>0.75</v>
      </c>
      <c r="P78" s="372">
        <v>0.79</v>
      </c>
      <c r="Q78" s="372">
        <v>0.83</v>
      </c>
      <c r="R78" s="372">
        <v>0.83</v>
      </c>
      <c r="S78" s="372">
        <v>0.84</v>
      </c>
      <c r="T78" s="372">
        <v>0.83</v>
      </c>
      <c r="U78" s="372">
        <v>0.83</v>
      </c>
      <c r="V78" s="372">
        <v>0.83</v>
      </c>
      <c r="W78" s="372">
        <v>0.82</v>
      </c>
      <c r="X78" s="372">
        <v>0.8</v>
      </c>
      <c r="Y78" s="372">
        <v>0</v>
      </c>
      <c r="Z78" s="372">
        <v>0</v>
      </c>
      <c r="AA78" s="372">
        <v>0</v>
      </c>
      <c r="AB78" s="372">
        <v>0</v>
      </c>
      <c r="AC78" s="372">
        <v>0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24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71</v>
      </c>
      <c r="B79" s="20"/>
      <c r="C79" s="15">
        <v>1</v>
      </c>
      <c r="D79" s="15"/>
      <c r="E79" s="15"/>
      <c r="F79" s="372">
        <v>0.77</v>
      </c>
      <c r="G79" s="372"/>
      <c r="H79" s="372"/>
      <c r="I79" s="372"/>
      <c r="J79" s="372"/>
      <c r="K79" s="374"/>
      <c r="L79" s="374"/>
      <c r="M79" s="374"/>
      <c r="N79" s="372"/>
      <c r="O79" s="372"/>
      <c r="P79" s="372"/>
      <c r="Q79" s="372"/>
      <c r="R79" s="372"/>
      <c r="S79" s="372"/>
      <c r="T79" s="372"/>
      <c r="U79" s="372"/>
      <c r="V79" s="372"/>
      <c r="W79" s="372"/>
      <c r="X79" s="372"/>
      <c r="Y79" s="372">
        <v>0.95</v>
      </c>
      <c r="Z79" s="372">
        <v>0.94</v>
      </c>
      <c r="AA79" s="372">
        <v>0.9</v>
      </c>
      <c r="AB79" s="372">
        <v>0.88</v>
      </c>
      <c r="AC79" s="372">
        <v>0.83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6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>SUM(F78:F79)</f>
        <v>0.77</v>
      </c>
      <c r="G80" s="19">
        <f t="shared" ref="G80" si="28">SUM(G78:G79)</f>
        <v>0.75</v>
      </c>
      <c r="H80" s="19">
        <f>SUM(H78:H79)</f>
        <v>0.79</v>
      </c>
      <c r="I80" s="19">
        <f>SUM(I78:I79)</f>
        <v>0.7</v>
      </c>
      <c r="J80" s="19">
        <f t="shared" ref="J80:AC80" si="29">SUM(J78:J79)</f>
        <v>0.68</v>
      </c>
      <c r="K80" s="19">
        <f t="shared" si="29"/>
        <v>0.7</v>
      </c>
      <c r="L80" s="19">
        <f>SUM(L78:L79)</f>
        <v>0.71</v>
      </c>
      <c r="M80" s="19">
        <f t="shared" si="29"/>
        <v>0.69</v>
      </c>
      <c r="N80" s="19">
        <f t="shared" si="29"/>
        <v>0.7</v>
      </c>
      <c r="O80" s="19">
        <f>SUM(O78:O79)</f>
        <v>0.75</v>
      </c>
      <c r="P80" s="19">
        <f t="shared" si="29"/>
        <v>0.79</v>
      </c>
      <c r="Q80" s="19">
        <f t="shared" si="29"/>
        <v>0.83</v>
      </c>
      <c r="R80" s="19">
        <f t="shared" si="29"/>
        <v>0.83</v>
      </c>
      <c r="S80" s="19">
        <f t="shared" si="29"/>
        <v>0.84</v>
      </c>
      <c r="T80" s="19">
        <f t="shared" si="29"/>
        <v>0.83</v>
      </c>
      <c r="U80" s="19">
        <f t="shared" si="29"/>
        <v>0.83</v>
      </c>
      <c r="V80" s="19">
        <f t="shared" si="29"/>
        <v>0.83</v>
      </c>
      <c r="W80" s="19">
        <f t="shared" si="29"/>
        <v>0.82</v>
      </c>
      <c r="X80" s="19">
        <f t="shared" si="29"/>
        <v>0.8</v>
      </c>
      <c r="Y80" s="19">
        <f t="shared" si="29"/>
        <v>0.95</v>
      </c>
      <c r="Z80" s="19">
        <f t="shared" si="29"/>
        <v>0.94</v>
      </c>
      <c r="AA80" s="19">
        <f t="shared" si="29"/>
        <v>0.9</v>
      </c>
      <c r="AB80" s="19">
        <f t="shared" si="29"/>
        <v>0.88</v>
      </c>
      <c r="AC80" s="19">
        <f t="shared" si="29"/>
        <v>0.83</v>
      </c>
      <c r="AD80" s="34"/>
      <c r="AE80" s="34"/>
      <c r="AF80" s="11"/>
      <c r="AG80" s="11"/>
      <c r="AH80" s="11"/>
    </row>
    <row r="81" spans="1:40" ht="17.45" hidden="1">
      <c r="A81" s="366" t="s">
        <v>72</v>
      </c>
      <c r="B81" s="365"/>
      <c r="C81" s="367">
        <v>2</v>
      </c>
      <c r="D81" s="363"/>
      <c r="E81" s="363"/>
      <c r="F81" s="364"/>
      <c r="G81" s="364"/>
      <c r="H81" s="364"/>
      <c r="I81" s="364"/>
      <c r="J81" s="364"/>
      <c r="K81" s="364"/>
      <c r="L81" s="364"/>
      <c r="M81" s="364"/>
      <c r="N81" s="364"/>
      <c r="O81" s="364"/>
      <c r="P81" s="364"/>
      <c r="Q81" s="364"/>
      <c r="R81" s="364"/>
      <c r="S81" s="364"/>
      <c r="T81" s="364"/>
      <c r="U81" s="364"/>
      <c r="V81" s="364"/>
      <c r="W81" s="364"/>
      <c r="X81" s="364"/>
      <c r="Y81" s="364"/>
      <c r="Z81" s="364"/>
      <c r="AA81" s="364"/>
      <c r="AB81" s="364"/>
      <c r="AC81" s="364"/>
    </row>
    <row r="82" spans="1:40" ht="17.45" hidden="1">
      <c r="A82" s="368"/>
      <c r="B82" s="369"/>
      <c r="C82" s="370"/>
      <c r="D82" s="371"/>
      <c r="E82" s="371"/>
      <c r="F82" s="372"/>
      <c r="G82" s="372"/>
      <c r="H82" s="372"/>
      <c r="I82" s="372"/>
      <c r="J82" s="372"/>
      <c r="K82" s="374"/>
      <c r="L82" s="374"/>
      <c r="M82" s="374"/>
      <c r="N82" s="372"/>
      <c r="O82" s="372"/>
      <c r="P82" s="372"/>
      <c r="Q82" s="372"/>
      <c r="R82" s="372"/>
      <c r="S82" s="372"/>
      <c r="T82" s="372"/>
      <c r="U82" s="372"/>
      <c r="V82" s="372"/>
      <c r="W82" s="372"/>
      <c r="X82" s="372"/>
      <c r="Y82" s="372"/>
      <c r="Z82" s="372"/>
      <c r="AA82" s="372"/>
      <c r="AB82" s="372"/>
      <c r="AC82" s="372"/>
    </row>
    <row r="83" spans="1:40">
      <c r="A83" s="21" t="s">
        <v>73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:AC83" si="30">SUM(F17,F22,F25,F31,F34,F60,F65,F76,F80,F82)</f>
        <v>46.220000000000006</v>
      </c>
      <c r="G83" s="28">
        <f t="shared" si="30"/>
        <v>43.52</v>
      </c>
      <c r="H83" s="28">
        <f t="shared" si="30"/>
        <v>39.72</v>
      </c>
      <c r="I83" s="28">
        <f t="shared" si="30"/>
        <v>38.1</v>
      </c>
      <c r="J83" s="28">
        <f t="shared" si="30"/>
        <v>37.479999999999997</v>
      </c>
      <c r="K83" s="28">
        <f t="shared" si="30"/>
        <v>38.700000000000003</v>
      </c>
      <c r="L83" s="28">
        <f t="shared" si="30"/>
        <v>41.019999999999996</v>
      </c>
      <c r="M83" s="28">
        <f t="shared" si="30"/>
        <v>39.839999999999996</v>
      </c>
      <c r="N83" s="28">
        <f>SUM(N17,N22,N25,N31,N34,N60,N65,N76,N80,N82)</f>
        <v>43.18</v>
      </c>
      <c r="O83" s="28">
        <f>SUM(O17,O22,O25,O31,O34,O60,O65,O76,O80,O82)</f>
        <v>51.070000000000007</v>
      </c>
      <c r="P83" s="28">
        <f t="shared" si="30"/>
        <v>55.769999999999996</v>
      </c>
      <c r="Q83" s="28">
        <f t="shared" si="30"/>
        <v>57.08</v>
      </c>
      <c r="R83" s="28">
        <f t="shared" si="30"/>
        <v>56.59</v>
      </c>
      <c r="S83" s="28">
        <f t="shared" si="30"/>
        <v>57.290000000000006</v>
      </c>
      <c r="T83" s="28">
        <f t="shared" si="30"/>
        <v>59.929999999999993</v>
      </c>
      <c r="U83" s="28">
        <f>SUM(U17,U22,U25,U31,U34,U60,U65,U76,U80,U82)</f>
        <v>60.44</v>
      </c>
      <c r="V83" s="28">
        <f t="shared" si="30"/>
        <v>50.1</v>
      </c>
      <c r="W83" s="28">
        <f t="shared" si="30"/>
        <v>55.21</v>
      </c>
      <c r="X83" s="28">
        <f t="shared" si="30"/>
        <v>58.74</v>
      </c>
      <c r="Y83" s="28">
        <f t="shared" si="30"/>
        <v>64.070000000000007</v>
      </c>
      <c r="Z83" s="28">
        <f t="shared" si="30"/>
        <v>60.98</v>
      </c>
      <c r="AA83" s="28">
        <f t="shared" si="30"/>
        <v>58.61</v>
      </c>
      <c r="AB83" s="28">
        <f t="shared" si="30"/>
        <v>54.190000000000005</v>
      </c>
      <c r="AC83" s="28">
        <f t="shared" si="30"/>
        <v>49.6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25" t="s">
        <v>74</v>
      </c>
      <c r="B85" s="525"/>
      <c r="C85" s="525"/>
      <c r="D85" s="525"/>
      <c r="E85" s="525"/>
      <c r="F85" s="525"/>
      <c r="G85" s="525"/>
      <c r="H85" s="525"/>
      <c r="I85" s="525"/>
      <c r="J85" s="525"/>
      <c r="K85" s="525"/>
      <c r="L85" s="525"/>
      <c r="M85" s="525"/>
      <c r="N85" s="525"/>
      <c r="O85" s="525"/>
      <c r="P85" s="525"/>
      <c r="Q85" s="525"/>
      <c r="R85" s="525"/>
      <c r="S85" s="525"/>
      <c r="T85" s="525"/>
      <c r="U85" s="525"/>
      <c r="V85" s="525"/>
      <c r="W85" s="525"/>
      <c r="X85" s="525"/>
      <c r="Y85" s="525"/>
      <c r="Z85" s="525"/>
      <c r="AA85" s="525"/>
      <c r="AB85" s="525"/>
      <c r="AC85" s="525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</row>
    <row r="87" spans="1:40" ht="17.45">
      <c r="A87" s="500" t="s">
        <v>75</v>
      </c>
      <c r="B87" s="501"/>
      <c r="C87" s="502"/>
      <c r="D87" s="49"/>
      <c r="E87" s="49"/>
      <c r="F87" s="506" t="s">
        <v>76</v>
      </c>
      <c r="G87" s="506"/>
      <c r="H87" s="506"/>
      <c r="I87" s="506"/>
      <c r="J87" s="506"/>
      <c r="K87" s="506"/>
      <c r="L87" s="506"/>
      <c r="M87" s="506"/>
      <c r="N87" s="506"/>
      <c r="O87" s="506"/>
      <c r="P87" s="506"/>
      <c r="Q87" s="506"/>
      <c r="R87" s="506"/>
      <c r="S87" s="506"/>
      <c r="T87" s="506"/>
      <c r="U87" s="506"/>
      <c r="V87" s="506"/>
      <c r="W87" s="506"/>
      <c r="X87" s="506"/>
      <c r="Y87" s="506"/>
      <c r="Z87" s="506"/>
      <c r="AA87" s="506"/>
      <c r="AB87" s="506"/>
      <c r="AC87" s="506"/>
      <c r="AD87" s="5"/>
      <c r="AE87" s="5"/>
      <c r="AF87" s="5"/>
      <c r="AG87" s="5"/>
      <c r="AH87" s="5"/>
    </row>
    <row r="88" spans="1:40" ht="15.6" customHeight="1">
      <c r="A88" s="503"/>
      <c r="B88" s="504"/>
      <c r="C88" s="505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07" t="s">
        <v>27</v>
      </c>
      <c r="B89" s="508"/>
      <c r="C89" s="509"/>
      <c r="D89" s="45"/>
      <c r="E89" s="45"/>
      <c r="F89" s="64">
        <f t="shared" ref="F89:AC89" si="31">SUM(F22,F25)</f>
        <v>7.1</v>
      </c>
      <c r="G89" s="64">
        <f t="shared" si="31"/>
        <v>7.3</v>
      </c>
      <c r="H89" s="64">
        <f t="shared" si="31"/>
        <v>6.8</v>
      </c>
      <c r="I89" s="64">
        <f t="shared" si="31"/>
        <v>6</v>
      </c>
      <c r="J89" s="64">
        <f t="shared" si="31"/>
        <v>3.8</v>
      </c>
      <c r="K89" s="64">
        <f t="shared" si="31"/>
        <v>3.8</v>
      </c>
      <c r="L89" s="64">
        <f t="shared" si="31"/>
        <v>3.8</v>
      </c>
      <c r="M89" s="64">
        <f t="shared" si="31"/>
        <v>3</v>
      </c>
      <c r="N89" s="64">
        <f t="shared" si="31"/>
        <v>6.8</v>
      </c>
      <c r="O89" s="64">
        <f t="shared" si="31"/>
        <v>7.6</v>
      </c>
      <c r="P89" s="64">
        <f t="shared" si="31"/>
        <v>7.6</v>
      </c>
      <c r="Q89" s="64">
        <f t="shared" si="31"/>
        <v>7.6</v>
      </c>
      <c r="R89" s="64">
        <f t="shared" si="31"/>
        <v>7.6</v>
      </c>
      <c r="S89" s="64">
        <f t="shared" si="31"/>
        <v>7.6999999999999993</v>
      </c>
      <c r="T89" s="64">
        <f t="shared" si="31"/>
        <v>7.6</v>
      </c>
      <c r="U89" s="64">
        <f t="shared" si="31"/>
        <v>7.6</v>
      </c>
      <c r="V89" s="64">
        <f t="shared" si="31"/>
        <v>6.6</v>
      </c>
      <c r="W89" s="64">
        <f t="shared" si="31"/>
        <v>9.3000000000000007</v>
      </c>
      <c r="X89" s="64">
        <f t="shared" si="31"/>
        <v>10.399999999999999</v>
      </c>
      <c r="Y89" s="64">
        <f t="shared" si="31"/>
        <v>10</v>
      </c>
      <c r="Z89" s="64">
        <f t="shared" si="31"/>
        <v>10.199999999999999</v>
      </c>
      <c r="AA89" s="64">
        <f t="shared" si="31"/>
        <v>10.399999999999999</v>
      </c>
      <c r="AB89" s="64">
        <f t="shared" si="31"/>
        <v>10.399999999999999</v>
      </c>
      <c r="AC89" s="64">
        <f t="shared" si="31"/>
        <v>9.3999999999999986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521" t="s">
        <v>77</v>
      </c>
      <c r="B90" s="521"/>
      <c r="C90" s="522"/>
      <c r="D90" s="45"/>
      <c r="E90" s="45"/>
      <c r="F90" s="68">
        <v>0.216</v>
      </c>
      <c r="G90" s="68">
        <v>0.16800000000000001</v>
      </c>
      <c r="H90" s="68">
        <v>0.17</v>
      </c>
      <c r="I90" s="68">
        <v>0.16600000000000001</v>
      </c>
      <c r="J90" s="68" t="s">
        <v>1</v>
      </c>
      <c r="K90" s="68" t="s">
        <v>1</v>
      </c>
      <c r="L90" s="68" t="s">
        <v>1</v>
      </c>
      <c r="M90" s="68" t="s">
        <v>1</v>
      </c>
      <c r="N90" s="68">
        <v>0.23</v>
      </c>
      <c r="O90" s="68">
        <v>0.23499999999999999</v>
      </c>
      <c r="P90" s="68">
        <v>0.23200000000000001</v>
      </c>
      <c r="Q90" s="68">
        <v>0.22500000000000001</v>
      </c>
      <c r="R90" s="68">
        <v>0.20300000000000001</v>
      </c>
      <c r="S90" s="68">
        <v>0.23799999999999999</v>
      </c>
      <c r="T90" s="68">
        <v>0.24199999999999999</v>
      </c>
      <c r="U90" s="68">
        <v>0.25</v>
      </c>
      <c r="V90" s="68">
        <v>0.26400000000000001</v>
      </c>
      <c r="W90" s="68">
        <v>0.20699999999999999</v>
      </c>
      <c r="X90" s="68">
        <v>0.21099999999999999</v>
      </c>
      <c r="Y90" s="68">
        <v>0.245</v>
      </c>
      <c r="Z90" s="68">
        <v>0.252</v>
      </c>
      <c r="AA90" s="68">
        <v>0.22500000000000001</v>
      </c>
      <c r="AB90" s="68">
        <v>0.25</v>
      </c>
      <c r="AC90" s="68">
        <v>0.21299999999999999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07" t="s">
        <v>78</v>
      </c>
      <c r="B91" s="508"/>
      <c r="C91" s="509"/>
      <c r="D91" s="45"/>
      <c r="E91" s="45"/>
      <c r="F91" s="64">
        <f t="shared" ref="F91:AC91" si="32">F17</f>
        <v>13</v>
      </c>
      <c r="G91" s="64">
        <f t="shared" si="32"/>
        <v>1.2</v>
      </c>
      <c r="H91" s="64">
        <f t="shared" si="32"/>
        <v>12.8</v>
      </c>
      <c r="I91" s="64">
        <f t="shared" si="32"/>
        <v>12.8</v>
      </c>
      <c r="J91" s="64">
        <f t="shared" si="32"/>
        <v>13.4</v>
      </c>
      <c r="K91" s="64">
        <f t="shared" si="32"/>
        <v>13.4</v>
      </c>
      <c r="L91" s="64">
        <f t="shared" si="32"/>
        <v>13.9</v>
      </c>
      <c r="M91" s="64">
        <f t="shared" si="32"/>
        <v>18.399999999999999</v>
      </c>
      <c r="N91" s="64">
        <f t="shared" si="32"/>
        <v>20.400000000000002</v>
      </c>
      <c r="O91" s="64">
        <f t="shared" si="32"/>
        <v>20</v>
      </c>
      <c r="P91" s="64">
        <f t="shared" si="32"/>
        <v>23.099999999999998</v>
      </c>
      <c r="Q91" s="64">
        <f t="shared" si="32"/>
        <v>27.099999999999998</v>
      </c>
      <c r="R91" s="64">
        <f t="shared" si="32"/>
        <v>26.8</v>
      </c>
      <c r="S91" s="64">
        <f t="shared" si="32"/>
        <v>26.4</v>
      </c>
      <c r="T91" s="64">
        <f t="shared" si="32"/>
        <v>27.2</v>
      </c>
      <c r="U91" s="64">
        <f t="shared" si="32"/>
        <v>26.4</v>
      </c>
      <c r="V91" s="64">
        <f t="shared" si="32"/>
        <v>18.600000000000001</v>
      </c>
      <c r="W91" s="64">
        <f t="shared" si="32"/>
        <v>19.5</v>
      </c>
      <c r="X91" s="64">
        <f t="shared" si="32"/>
        <v>20.399999999999999</v>
      </c>
      <c r="Y91" s="64">
        <f t="shared" si="32"/>
        <v>21.2</v>
      </c>
      <c r="Z91" s="64">
        <f t="shared" si="32"/>
        <v>19.5</v>
      </c>
      <c r="AA91" s="64">
        <f t="shared" si="32"/>
        <v>19.200000000000003</v>
      </c>
      <c r="AB91" s="64">
        <f t="shared" si="32"/>
        <v>18.899999999999999</v>
      </c>
      <c r="AC91" s="64">
        <f t="shared" si="32"/>
        <v>18.899999999999999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21" t="s">
        <v>79</v>
      </c>
      <c r="B92" s="521"/>
      <c r="C92" s="522"/>
      <c r="D92" s="45"/>
      <c r="E92" s="45"/>
      <c r="F92" s="68">
        <v>0.54700000000000004</v>
      </c>
      <c r="G92" s="68">
        <v>0.60299999999999998</v>
      </c>
      <c r="H92" s="68">
        <v>0.69099999999999995</v>
      </c>
      <c r="I92" s="68">
        <v>0.81100000000000005</v>
      </c>
      <c r="J92" s="68">
        <v>0.65800000000000003</v>
      </c>
      <c r="K92" s="68">
        <v>0.51</v>
      </c>
      <c r="L92" s="68">
        <v>0.8</v>
      </c>
      <c r="M92" s="68">
        <v>0.8</v>
      </c>
      <c r="N92" s="68">
        <v>0.63700000000000001</v>
      </c>
      <c r="O92" s="68">
        <v>0.80800000000000005</v>
      </c>
      <c r="P92" s="68">
        <v>0.97299999999999998</v>
      </c>
      <c r="Q92" s="68">
        <v>0.73699999999999999</v>
      </c>
      <c r="R92" s="68">
        <v>0.71399999999999997</v>
      </c>
      <c r="S92" s="68">
        <v>0.85</v>
      </c>
      <c r="T92" s="68">
        <v>0.89600000000000002</v>
      </c>
      <c r="U92" s="68">
        <v>0.86299999999999999</v>
      </c>
      <c r="V92" s="68">
        <v>0.60299999999999998</v>
      </c>
      <c r="W92" s="68">
        <v>0.60899999999999999</v>
      </c>
      <c r="X92" s="68">
        <v>0.752</v>
      </c>
      <c r="Y92" s="68">
        <v>0.96699999999999997</v>
      </c>
      <c r="Z92" s="68">
        <v>0.63100000000000001</v>
      </c>
      <c r="AA92" s="68">
        <v>0.85899999999999999</v>
      </c>
      <c r="AB92" s="68">
        <v>0.81499999999999995</v>
      </c>
      <c r="AC92" s="68">
        <v>0.65500000000000003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07" t="s">
        <v>29</v>
      </c>
      <c r="B93" s="508"/>
      <c r="C93" s="509"/>
      <c r="D93" s="45"/>
      <c r="E93" s="45"/>
      <c r="F93" s="65">
        <f t="shared" ref="F93:AC93" si="33">F31</f>
        <v>10.1</v>
      </c>
      <c r="G93" s="65">
        <f t="shared" si="33"/>
        <v>10.600000000000001</v>
      </c>
      <c r="H93" s="65">
        <f t="shared" si="33"/>
        <v>4.5</v>
      </c>
      <c r="I93" s="65">
        <f t="shared" si="33"/>
        <v>3.5</v>
      </c>
      <c r="J93" s="65">
        <f t="shared" si="33"/>
        <v>4.5</v>
      </c>
      <c r="K93" s="65">
        <f t="shared" si="33"/>
        <v>4.3</v>
      </c>
      <c r="L93" s="65">
        <f t="shared" si="33"/>
        <v>4.0999999999999996</v>
      </c>
      <c r="M93" s="65">
        <f t="shared" si="33"/>
        <v>3</v>
      </c>
      <c r="N93" s="65">
        <f t="shared" si="33"/>
        <v>0</v>
      </c>
      <c r="O93" s="65">
        <f t="shared" si="33"/>
        <v>5</v>
      </c>
      <c r="P93" s="65">
        <f t="shared" si="33"/>
        <v>5.9</v>
      </c>
      <c r="Q93" s="65">
        <f t="shared" si="33"/>
        <v>5.2</v>
      </c>
      <c r="R93" s="65">
        <f t="shared" si="33"/>
        <v>5.0999999999999996</v>
      </c>
      <c r="S93" s="65">
        <f t="shared" si="33"/>
        <v>6.7</v>
      </c>
      <c r="T93" s="65">
        <f>T31</f>
        <v>8.8000000000000007</v>
      </c>
      <c r="U93" s="65">
        <f t="shared" si="33"/>
        <v>10</v>
      </c>
      <c r="V93" s="65">
        <f t="shared" si="33"/>
        <v>8.5</v>
      </c>
      <c r="W93" s="65">
        <f t="shared" si="33"/>
        <v>10</v>
      </c>
      <c r="X93" s="65">
        <f t="shared" si="33"/>
        <v>10.8</v>
      </c>
      <c r="Y93" s="65">
        <f t="shared" si="33"/>
        <v>11.7</v>
      </c>
      <c r="Z93" s="65">
        <f t="shared" si="33"/>
        <v>11.5</v>
      </c>
      <c r="AA93" s="65">
        <f t="shared" si="33"/>
        <v>11.6</v>
      </c>
      <c r="AB93" s="65">
        <f t="shared" si="33"/>
        <v>8.4</v>
      </c>
      <c r="AC93" s="65">
        <f t="shared" si="33"/>
        <v>4.3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21" t="s">
        <v>102</v>
      </c>
      <c r="B94" s="521"/>
      <c r="C94" s="522"/>
      <c r="D94" s="45"/>
      <c r="E94" s="45"/>
      <c r="F94" s="68">
        <v>0.17899999999999999</v>
      </c>
      <c r="G94" s="68">
        <v>0.17499999999999999</v>
      </c>
      <c r="H94" s="68">
        <v>0.17899999999999999</v>
      </c>
      <c r="I94" s="68">
        <v>0.16500000000000001</v>
      </c>
      <c r="J94" s="68">
        <v>0.17799999999999999</v>
      </c>
      <c r="K94" s="68">
        <v>0.17699999999999999</v>
      </c>
      <c r="L94" s="68">
        <v>0.18</v>
      </c>
      <c r="M94" s="68">
        <v>0.19800000000000001</v>
      </c>
      <c r="N94" s="68">
        <v>8.8999999999999996E-2</v>
      </c>
      <c r="O94" s="68">
        <v>0.152</v>
      </c>
      <c r="P94" s="68">
        <v>0.159</v>
      </c>
      <c r="Q94" s="68">
        <v>0.20100000000000001</v>
      </c>
      <c r="R94" s="68">
        <v>0.20399999999999999</v>
      </c>
      <c r="S94" s="68">
        <v>0.185</v>
      </c>
      <c r="T94" s="68">
        <v>0.19800000000000001</v>
      </c>
      <c r="U94" s="68">
        <v>0.182</v>
      </c>
      <c r="V94" s="68">
        <v>0.20399999999999999</v>
      </c>
      <c r="W94" s="68">
        <v>0.2</v>
      </c>
      <c r="X94" s="68">
        <v>0.184</v>
      </c>
      <c r="Y94" s="68">
        <v>0.20100000000000001</v>
      </c>
      <c r="Z94" s="68">
        <v>0.19500000000000001</v>
      </c>
      <c r="AA94" s="68">
        <v>0.185</v>
      </c>
      <c r="AB94" s="68">
        <v>0.19800000000000001</v>
      </c>
      <c r="AC94" s="68">
        <v>0.20100000000000001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21" t="s">
        <v>103</v>
      </c>
      <c r="B95" s="521"/>
      <c r="C95" s="522"/>
      <c r="D95" s="45"/>
      <c r="E95" s="45"/>
      <c r="F95" s="68"/>
      <c r="G95" s="68"/>
      <c r="H95" s="68"/>
      <c r="I95" s="68"/>
      <c r="J95" s="68"/>
      <c r="K95" s="68"/>
      <c r="L95" s="68"/>
      <c r="M95" s="68"/>
      <c r="N95" s="68"/>
      <c r="O95" s="68">
        <v>0.214</v>
      </c>
      <c r="P95" s="68">
        <v>0.22</v>
      </c>
      <c r="Q95" s="68">
        <v>0.21199999999999999</v>
      </c>
      <c r="R95" s="68">
        <v>0.222</v>
      </c>
      <c r="S95" s="68">
        <v>0.216</v>
      </c>
      <c r="T95" s="68">
        <v>0.22500000000000001</v>
      </c>
      <c r="U95" s="68">
        <v>0.218</v>
      </c>
      <c r="V95" s="68">
        <v>0.23</v>
      </c>
      <c r="W95" s="68">
        <v>0.20799999999999999</v>
      </c>
      <c r="X95" s="68">
        <v>0.215</v>
      </c>
      <c r="Y95" s="68">
        <v>0.21099999999999999</v>
      </c>
      <c r="Z95" s="68">
        <v>0.20100000000000001</v>
      </c>
      <c r="AA95" s="68">
        <v>0.221</v>
      </c>
      <c r="AB95" s="68">
        <v>0.20100000000000001</v>
      </c>
      <c r="AC95" s="68" t="s">
        <v>1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07" t="s">
        <v>32</v>
      </c>
      <c r="B96" s="508"/>
      <c r="C96" s="509"/>
      <c r="D96" s="45"/>
      <c r="E96" s="45"/>
      <c r="F96" s="65">
        <f t="shared" ref="F96:AC96" si="34">F34</f>
        <v>14.29</v>
      </c>
      <c r="G96" s="65">
        <f t="shared" si="34"/>
        <v>14.28</v>
      </c>
      <c r="H96" s="65">
        <f t="shared" si="34"/>
        <v>13.97</v>
      </c>
      <c r="I96" s="65">
        <f t="shared" si="34"/>
        <v>14.28</v>
      </c>
      <c r="J96" s="65">
        <f t="shared" si="34"/>
        <v>14.29</v>
      </c>
      <c r="K96" s="65">
        <f t="shared" si="34"/>
        <v>14.29</v>
      </c>
      <c r="L96" s="65">
        <f t="shared" si="34"/>
        <v>14.3</v>
      </c>
      <c r="M96" s="65">
        <f t="shared" si="34"/>
        <v>13.78</v>
      </c>
      <c r="N96" s="65">
        <f t="shared" si="34"/>
        <v>14.27</v>
      </c>
      <c r="O96" s="65">
        <f t="shared" si="34"/>
        <v>14.31</v>
      </c>
      <c r="P96" s="65">
        <f t="shared" si="34"/>
        <v>14.29</v>
      </c>
      <c r="Q96" s="65">
        <f t="shared" si="34"/>
        <v>14.32</v>
      </c>
      <c r="R96" s="65">
        <f t="shared" si="34"/>
        <v>14.21</v>
      </c>
      <c r="S96" s="65">
        <f t="shared" si="34"/>
        <v>14.31</v>
      </c>
      <c r="T96" s="65">
        <f t="shared" si="34"/>
        <v>14.33</v>
      </c>
      <c r="U96" s="65">
        <f t="shared" si="34"/>
        <v>14.29</v>
      </c>
      <c r="V96" s="65">
        <f t="shared" si="34"/>
        <v>14.31</v>
      </c>
      <c r="W96" s="65">
        <f t="shared" si="34"/>
        <v>14.32</v>
      </c>
      <c r="X96" s="65">
        <f t="shared" si="34"/>
        <v>14.33</v>
      </c>
      <c r="Y96" s="65">
        <f t="shared" si="34"/>
        <v>14.3</v>
      </c>
      <c r="Z96" s="65">
        <f t="shared" si="34"/>
        <v>14.33</v>
      </c>
      <c r="AA96" s="65">
        <f t="shared" si="34"/>
        <v>14.3</v>
      </c>
      <c r="AB96" s="65">
        <f t="shared" si="34"/>
        <v>14.28</v>
      </c>
      <c r="AC96" s="65">
        <f t="shared" si="34"/>
        <v>14.31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21" t="s">
        <v>81</v>
      </c>
      <c r="B97" s="521"/>
      <c r="C97" s="522"/>
      <c r="D97" s="68"/>
      <c r="E97" s="68"/>
      <c r="F97" s="68">
        <v>0.71</v>
      </c>
      <c r="G97" s="68">
        <v>0.72</v>
      </c>
      <c r="H97" s="68">
        <v>0.71</v>
      </c>
      <c r="I97" s="68">
        <v>0.72</v>
      </c>
      <c r="J97" s="68">
        <v>0.71</v>
      </c>
      <c r="K97" s="68">
        <v>0.71</v>
      </c>
      <c r="L97" s="68">
        <v>0.7</v>
      </c>
      <c r="M97" s="68">
        <v>0.72</v>
      </c>
      <c r="N97" s="68">
        <v>0.73</v>
      </c>
      <c r="O97" s="68">
        <v>0.69</v>
      </c>
      <c r="P97" s="68">
        <v>0.71</v>
      </c>
      <c r="Q97" s="68">
        <v>0.68</v>
      </c>
      <c r="R97" s="68">
        <v>0.71</v>
      </c>
      <c r="S97" s="68">
        <v>0.69</v>
      </c>
      <c r="T97" s="68">
        <v>0.67</v>
      </c>
      <c r="U97" s="68">
        <v>0.71</v>
      </c>
      <c r="V97" s="68">
        <v>0.69</v>
      </c>
      <c r="W97" s="68">
        <v>0.68</v>
      </c>
      <c r="X97" s="68">
        <v>0.67</v>
      </c>
      <c r="Y97" s="68">
        <v>0.7</v>
      </c>
      <c r="Z97" s="68">
        <v>0.67</v>
      </c>
      <c r="AA97" s="68">
        <v>0.7</v>
      </c>
      <c r="AB97" s="68">
        <v>0.72</v>
      </c>
      <c r="AC97" s="68">
        <v>0.69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07" t="s">
        <v>33</v>
      </c>
      <c r="B98" s="508"/>
      <c r="C98" s="509"/>
      <c r="D98" s="45"/>
      <c r="E98" s="45"/>
      <c r="F98" s="64">
        <f t="shared" ref="F98:AC98" si="35">F60</f>
        <v>0</v>
      </c>
      <c r="G98" s="64">
        <f t="shared" si="35"/>
        <v>8.5000000000000018</v>
      </c>
      <c r="H98" s="64">
        <f t="shared" si="35"/>
        <v>0</v>
      </c>
      <c r="I98" s="64">
        <f t="shared" si="35"/>
        <v>0</v>
      </c>
      <c r="J98" s="64">
        <f t="shared" si="35"/>
        <v>0</v>
      </c>
      <c r="K98" s="64">
        <f t="shared" si="35"/>
        <v>1.4</v>
      </c>
      <c r="L98" s="64">
        <f t="shared" si="35"/>
        <v>3.34</v>
      </c>
      <c r="M98" s="64">
        <f t="shared" si="35"/>
        <v>0</v>
      </c>
      <c r="N98" s="64">
        <f t="shared" si="35"/>
        <v>0</v>
      </c>
      <c r="O98" s="64">
        <f t="shared" si="35"/>
        <v>2.2000000000000002</v>
      </c>
      <c r="P98" s="64">
        <f t="shared" si="35"/>
        <v>2.8</v>
      </c>
      <c r="Q98" s="64">
        <f t="shared" si="35"/>
        <v>0.7</v>
      </c>
      <c r="R98" s="64">
        <f t="shared" si="35"/>
        <v>0.7</v>
      </c>
      <c r="S98" s="64">
        <f t="shared" si="35"/>
        <v>0</v>
      </c>
      <c r="T98" s="64">
        <f t="shared" si="35"/>
        <v>0</v>
      </c>
      <c r="U98" s="64">
        <f t="shared" si="35"/>
        <v>0</v>
      </c>
      <c r="V98" s="64">
        <f t="shared" si="35"/>
        <v>0</v>
      </c>
      <c r="W98" s="64">
        <f t="shared" si="35"/>
        <v>0</v>
      </c>
      <c r="X98" s="64">
        <f t="shared" si="35"/>
        <v>0.7</v>
      </c>
      <c r="Y98" s="64">
        <f t="shared" si="35"/>
        <v>4.3499999999999996</v>
      </c>
      <c r="Z98" s="64">
        <f t="shared" si="35"/>
        <v>2.9</v>
      </c>
      <c r="AA98" s="64">
        <f t="shared" si="35"/>
        <v>0.7</v>
      </c>
      <c r="AB98" s="64">
        <f t="shared" si="35"/>
        <v>0</v>
      </c>
      <c r="AC98" s="64">
        <f t="shared" si="35"/>
        <v>0.7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07" t="s">
        <v>55</v>
      </c>
      <c r="B99" s="508"/>
      <c r="C99" s="509"/>
      <c r="D99" s="45"/>
      <c r="E99" s="45"/>
      <c r="F99" s="64">
        <f t="shared" ref="F99:AC99" si="36">F65</f>
        <v>0.96</v>
      </c>
      <c r="G99" s="64">
        <f t="shared" si="36"/>
        <v>0.89</v>
      </c>
      <c r="H99" s="64">
        <f t="shared" si="36"/>
        <v>0.86</v>
      </c>
      <c r="I99" s="64">
        <f t="shared" si="36"/>
        <v>0.82</v>
      </c>
      <c r="J99" s="64">
        <f t="shared" si="36"/>
        <v>0.81</v>
      </c>
      <c r="K99" s="64">
        <f t="shared" si="36"/>
        <v>0.81</v>
      </c>
      <c r="L99" s="64">
        <f t="shared" si="36"/>
        <v>0.87</v>
      </c>
      <c r="M99" s="64">
        <f t="shared" si="36"/>
        <v>0.97</v>
      </c>
      <c r="N99" s="64">
        <f t="shared" si="36"/>
        <v>1.01</v>
      </c>
      <c r="O99" s="64">
        <f t="shared" si="36"/>
        <v>1.21</v>
      </c>
      <c r="P99" s="64">
        <f t="shared" si="36"/>
        <v>1.29</v>
      </c>
      <c r="Q99" s="64">
        <f t="shared" si="36"/>
        <v>1.33</v>
      </c>
      <c r="R99" s="64">
        <f t="shared" si="36"/>
        <v>1.35</v>
      </c>
      <c r="S99" s="64">
        <f t="shared" si="36"/>
        <v>1.34</v>
      </c>
      <c r="T99" s="64">
        <f t="shared" si="36"/>
        <v>1.17</v>
      </c>
      <c r="U99" s="64">
        <f t="shared" si="36"/>
        <v>1.32</v>
      </c>
      <c r="V99" s="64">
        <f t="shared" si="36"/>
        <v>1.26</v>
      </c>
      <c r="W99" s="64">
        <f t="shared" si="36"/>
        <v>1.27</v>
      </c>
      <c r="X99" s="64">
        <f t="shared" si="36"/>
        <v>1.31</v>
      </c>
      <c r="Y99" s="64">
        <f t="shared" si="36"/>
        <v>1.57</v>
      </c>
      <c r="Z99" s="64">
        <f t="shared" si="36"/>
        <v>1.61</v>
      </c>
      <c r="AA99" s="64">
        <f t="shared" si="36"/>
        <v>1.51</v>
      </c>
      <c r="AB99" s="64">
        <f t="shared" si="36"/>
        <v>1.33</v>
      </c>
      <c r="AC99" s="64">
        <f t="shared" si="36"/>
        <v>1.1599999999999999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07" t="s">
        <v>59</v>
      </c>
      <c r="B100" s="508"/>
      <c r="C100" s="509"/>
      <c r="D100" s="45"/>
      <c r="E100" s="45"/>
      <c r="F100" s="64">
        <f t="shared" ref="F100:AC100" si="37">F76</f>
        <v>0</v>
      </c>
      <c r="G100" s="64">
        <f t="shared" si="37"/>
        <v>0</v>
      </c>
      <c r="H100" s="64">
        <f t="shared" si="37"/>
        <v>0</v>
      </c>
      <c r="I100" s="64">
        <f t="shared" si="37"/>
        <v>0</v>
      </c>
      <c r="J100" s="64">
        <f t="shared" si="37"/>
        <v>0</v>
      </c>
      <c r="K100" s="64">
        <f t="shared" si="37"/>
        <v>0</v>
      </c>
      <c r="L100" s="64">
        <f t="shared" si="37"/>
        <v>0</v>
      </c>
      <c r="M100" s="64">
        <f t="shared" si="37"/>
        <v>0</v>
      </c>
      <c r="N100" s="64">
        <f t="shared" si="37"/>
        <v>0</v>
      </c>
      <c r="O100" s="64">
        <f t="shared" si="37"/>
        <v>0</v>
      </c>
      <c r="P100" s="64">
        <f t="shared" si="37"/>
        <v>0</v>
      </c>
      <c r="Q100" s="64">
        <f t="shared" si="37"/>
        <v>0</v>
      </c>
      <c r="R100" s="64">
        <f t="shared" si="37"/>
        <v>0</v>
      </c>
      <c r="S100" s="64">
        <f t="shared" si="37"/>
        <v>0</v>
      </c>
      <c r="T100" s="64">
        <f t="shared" si="37"/>
        <v>0</v>
      </c>
      <c r="U100" s="64">
        <f t="shared" si="37"/>
        <v>0</v>
      </c>
      <c r="V100" s="64">
        <f t="shared" si="37"/>
        <v>0</v>
      </c>
      <c r="W100" s="64">
        <f t="shared" si="37"/>
        <v>0</v>
      </c>
      <c r="X100" s="64">
        <f t="shared" si="37"/>
        <v>0</v>
      </c>
      <c r="Y100" s="64">
        <f t="shared" si="37"/>
        <v>0</v>
      </c>
      <c r="Z100" s="64">
        <f t="shared" si="37"/>
        <v>0</v>
      </c>
      <c r="AA100" s="64">
        <f t="shared" si="37"/>
        <v>0</v>
      </c>
      <c r="AB100" s="64">
        <f t="shared" si="37"/>
        <v>0</v>
      </c>
      <c r="AC100" s="64">
        <f t="shared" si="37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07" t="s">
        <v>69</v>
      </c>
      <c r="B101" s="508"/>
      <c r="C101" s="509"/>
      <c r="D101" s="45"/>
      <c r="E101" s="45"/>
      <c r="F101" s="64">
        <f t="shared" ref="F101:AC101" si="38">F80</f>
        <v>0.77</v>
      </c>
      <c r="G101" s="64">
        <f t="shared" si="38"/>
        <v>0.75</v>
      </c>
      <c r="H101" s="64">
        <f t="shared" si="38"/>
        <v>0.79</v>
      </c>
      <c r="I101" s="64">
        <f t="shared" si="38"/>
        <v>0.7</v>
      </c>
      <c r="J101" s="64">
        <f t="shared" si="38"/>
        <v>0.68</v>
      </c>
      <c r="K101" s="64">
        <f t="shared" si="38"/>
        <v>0.7</v>
      </c>
      <c r="L101" s="64">
        <f t="shared" si="38"/>
        <v>0.71</v>
      </c>
      <c r="M101" s="64">
        <f t="shared" si="38"/>
        <v>0.69</v>
      </c>
      <c r="N101" s="64">
        <f t="shared" si="38"/>
        <v>0.7</v>
      </c>
      <c r="O101" s="64">
        <f t="shared" si="38"/>
        <v>0.75</v>
      </c>
      <c r="P101" s="64">
        <f t="shared" si="38"/>
        <v>0.79</v>
      </c>
      <c r="Q101" s="64">
        <f t="shared" si="38"/>
        <v>0.83</v>
      </c>
      <c r="R101" s="64">
        <f t="shared" si="38"/>
        <v>0.83</v>
      </c>
      <c r="S101" s="64">
        <f t="shared" si="38"/>
        <v>0.84</v>
      </c>
      <c r="T101" s="64">
        <f t="shared" si="38"/>
        <v>0.83</v>
      </c>
      <c r="U101" s="64">
        <f t="shared" si="38"/>
        <v>0.83</v>
      </c>
      <c r="V101" s="64">
        <f t="shared" si="38"/>
        <v>0.83</v>
      </c>
      <c r="W101" s="64">
        <f t="shared" si="38"/>
        <v>0.82</v>
      </c>
      <c r="X101" s="64">
        <f t="shared" si="38"/>
        <v>0.8</v>
      </c>
      <c r="Y101" s="64">
        <f t="shared" si="38"/>
        <v>0.95</v>
      </c>
      <c r="Z101" s="64">
        <f t="shared" si="38"/>
        <v>0.94</v>
      </c>
      <c r="AA101" s="64">
        <f t="shared" si="38"/>
        <v>0.9</v>
      </c>
      <c r="AB101" s="64">
        <f t="shared" si="38"/>
        <v>0.88</v>
      </c>
      <c r="AC101" s="64">
        <f t="shared" si="38"/>
        <v>0.83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07" t="s">
        <v>72</v>
      </c>
      <c r="B102" s="508"/>
      <c r="C102" s="509"/>
      <c r="D102" s="45"/>
      <c r="E102" s="45"/>
      <c r="F102" s="64">
        <f t="shared" ref="F102:AC102" si="39">F82</f>
        <v>0</v>
      </c>
      <c r="G102" s="64">
        <f t="shared" si="39"/>
        <v>0</v>
      </c>
      <c r="H102" s="64">
        <f t="shared" si="39"/>
        <v>0</v>
      </c>
      <c r="I102" s="64">
        <f t="shared" si="39"/>
        <v>0</v>
      </c>
      <c r="J102" s="64">
        <f t="shared" si="39"/>
        <v>0</v>
      </c>
      <c r="K102" s="64">
        <f t="shared" si="39"/>
        <v>0</v>
      </c>
      <c r="L102" s="64">
        <f t="shared" si="39"/>
        <v>0</v>
      </c>
      <c r="M102" s="64">
        <f t="shared" si="39"/>
        <v>0</v>
      </c>
      <c r="N102" s="64">
        <f t="shared" si="39"/>
        <v>0</v>
      </c>
      <c r="O102" s="64">
        <f t="shared" si="39"/>
        <v>0</v>
      </c>
      <c r="P102" s="64">
        <f t="shared" si="39"/>
        <v>0</v>
      </c>
      <c r="Q102" s="64">
        <f t="shared" si="39"/>
        <v>0</v>
      </c>
      <c r="R102" s="64">
        <f t="shared" si="39"/>
        <v>0</v>
      </c>
      <c r="S102" s="64">
        <f t="shared" si="39"/>
        <v>0</v>
      </c>
      <c r="T102" s="64">
        <f t="shared" si="39"/>
        <v>0</v>
      </c>
      <c r="U102" s="64">
        <f t="shared" si="39"/>
        <v>0</v>
      </c>
      <c r="V102" s="64">
        <f t="shared" si="39"/>
        <v>0</v>
      </c>
      <c r="W102" s="64">
        <f t="shared" si="39"/>
        <v>0</v>
      </c>
      <c r="X102" s="64">
        <f t="shared" si="39"/>
        <v>0</v>
      </c>
      <c r="Y102" s="64">
        <f t="shared" si="39"/>
        <v>0</v>
      </c>
      <c r="Z102" s="64">
        <f t="shared" si="39"/>
        <v>0</v>
      </c>
      <c r="AA102" s="64">
        <f t="shared" si="39"/>
        <v>0</v>
      </c>
      <c r="AB102" s="64">
        <f t="shared" si="39"/>
        <v>0</v>
      </c>
      <c r="AC102" s="64">
        <f t="shared" si="39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11" t="s">
        <v>82</v>
      </c>
      <c r="B103" s="511"/>
      <c r="C103" s="511"/>
      <c r="D103" s="47"/>
      <c r="E103" s="47"/>
      <c r="F103" s="61">
        <f t="shared" ref="F103:AC103" si="40">SUM(F89,F91,F93,F96,F98:F102,F81)</f>
        <v>46.220000000000006</v>
      </c>
      <c r="G103" s="61">
        <f t="shared" si="40"/>
        <v>43.52</v>
      </c>
      <c r="H103" s="61">
        <f t="shared" si="40"/>
        <v>39.72</v>
      </c>
      <c r="I103" s="61">
        <f t="shared" si="40"/>
        <v>38.1</v>
      </c>
      <c r="J103" s="61">
        <f t="shared" si="40"/>
        <v>37.479999999999997</v>
      </c>
      <c r="K103" s="61">
        <f t="shared" si="40"/>
        <v>38.700000000000003</v>
      </c>
      <c r="L103" s="61">
        <f t="shared" si="40"/>
        <v>41.019999999999996</v>
      </c>
      <c r="M103" s="61">
        <f t="shared" si="40"/>
        <v>39.839999999999996</v>
      </c>
      <c r="N103" s="61">
        <f t="shared" si="40"/>
        <v>43.18</v>
      </c>
      <c r="O103" s="61">
        <f t="shared" si="40"/>
        <v>51.070000000000007</v>
      </c>
      <c r="P103" s="61">
        <f t="shared" si="40"/>
        <v>55.769999999999989</v>
      </c>
      <c r="Q103" s="61">
        <f t="shared" si="40"/>
        <v>57.08</v>
      </c>
      <c r="R103" s="61">
        <f t="shared" si="40"/>
        <v>56.59</v>
      </c>
      <c r="S103" s="61">
        <f t="shared" si="40"/>
        <v>57.290000000000006</v>
      </c>
      <c r="T103" s="61">
        <f t="shared" si="40"/>
        <v>59.929999999999993</v>
      </c>
      <c r="U103" s="61">
        <f t="shared" si="40"/>
        <v>60.44</v>
      </c>
      <c r="V103" s="61">
        <f t="shared" si="40"/>
        <v>50.1</v>
      </c>
      <c r="W103" s="61">
        <f t="shared" si="40"/>
        <v>55.21</v>
      </c>
      <c r="X103" s="61">
        <f t="shared" si="40"/>
        <v>58.739999999999995</v>
      </c>
      <c r="Y103" s="61">
        <f t="shared" si="40"/>
        <v>64.070000000000007</v>
      </c>
      <c r="Z103" s="61">
        <f t="shared" si="40"/>
        <v>60.98</v>
      </c>
      <c r="AA103" s="61">
        <f t="shared" si="40"/>
        <v>58.61</v>
      </c>
      <c r="AB103" s="61">
        <f t="shared" si="40"/>
        <v>54.19</v>
      </c>
      <c r="AC103" s="61">
        <f t="shared" si="40"/>
        <v>49.599999999999994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12" t="s">
        <v>83</v>
      </c>
      <c r="B104" s="512"/>
      <c r="C104" s="512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12" t="s">
        <v>84</v>
      </c>
      <c r="B105" s="512"/>
      <c r="C105" s="512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12" t="s">
        <v>85</v>
      </c>
      <c r="B106" s="512"/>
      <c r="C106" s="512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>
        <v>11.28</v>
      </c>
      <c r="W106" s="76">
        <v>2.2759999999999998</v>
      </c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11" t="s">
        <v>86</v>
      </c>
      <c r="B107" s="511"/>
      <c r="C107" s="511"/>
      <c r="D107" s="47"/>
      <c r="E107" s="47"/>
      <c r="F107" s="61">
        <f t="shared" ref="F107:AC107" si="41">SUM(F104:F106)</f>
        <v>0</v>
      </c>
      <c r="G107" s="61">
        <f t="shared" si="41"/>
        <v>0</v>
      </c>
      <c r="H107" s="61">
        <f t="shared" si="41"/>
        <v>0</v>
      </c>
      <c r="I107" s="61">
        <f t="shared" si="41"/>
        <v>0</v>
      </c>
      <c r="J107" s="61">
        <f t="shared" si="41"/>
        <v>0</v>
      </c>
      <c r="K107" s="61">
        <f t="shared" si="41"/>
        <v>0</v>
      </c>
      <c r="L107" s="61">
        <f t="shared" si="41"/>
        <v>0</v>
      </c>
      <c r="M107" s="61">
        <f t="shared" si="41"/>
        <v>0</v>
      </c>
      <c r="N107" s="61">
        <f t="shared" si="41"/>
        <v>0</v>
      </c>
      <c r="O107" s="61">
        <f t="shared" si="41"/>
        <v>0</v>
      </c>
      <c r="P107" s="61">
        <f t="shared" si="41"/>
        <v>0</v>
      </c>
      <c r="Q107" s="61">
        <f t="shared" si="41"/>
        <v>0</v>
      </c>
      <c r="R107" s="61">
        <f t="shared" si="41"/>
        <v>0</v>
      </c>
      <c r="S107" s="61">
        <f t="shared" si="41"/>
        <v>0</v>
      </c>
      <c r="T107" s="61">
        <f t="shared" si="41"/>
        <v>0</v>
      </c>
      <c r="U107" s="61">
        <f t="shared" si="41"/>
        <v>0</v>
      </c>
      <c r="V107" s="61">
        <f t="shared" si="41"/>
        <v>11.28</v>
      </c>
      <c r="W107" s="61">
        <f t="shared" si="41"/>
        <v>2.2759999999999998</v>
      </c>
      <c r="X107" s="61">
        <f t="shared" si="41"/>
        <v>0</v>
      </c>
      <c r="Y107" s="61">
        <f t="shared" si="41"/>
        <v>0</v>
      </c>
      <c r="Z107" s="61">
        <f t="shared" si="41"/>
        <v>0</v>
      </c>
      <c r="AA107" s="61">
        <f t="shared" si="41"/>
        <v>0</v>
      </c>
      <c r="AB107" s="61">
        <f t="shared" si="41"/>
        <v>0</v>
      </c>
      <c r="AC107" s="61">
        <f t="shared" si="41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13" t="s">
        <v>87</v>
      </c>
      <c r="B108" s="513"/>
      <c r="C108" s="513"/>
      <c r="D108" s="48"/>
      <c r="E108" s="48"/>
      <c r="F108" s="62">
        <f t="shared" ref="F108:AC108" si="42">F103+F107</f>
        <v>46.220000000000006</v>
      </c>
      <c r="G108" s="62">
        <f t="shared" si="42"/>
        <v>43.52</v>
      </c>
      <c r="H108" s="62">
        <f t="shared" si="42"/>
        <v>39.72</v>
      </c>
      <c r="I108" s="62">
        <f t="shared" si="42"/>
        <v>38.1</v>
      </c>
      <c r="J108" s="62">
        <f t="shared" si="42"/>
        <v>37.479999999999997</v>
      </c>
      <c r="K108" s="62">
        <f t="shared" si="42"/>
        <v>38.700000000000003</v>
      </c>
      <c r="L108" s="62">
        <f t="shared" si="42"/>
        <v>41.019999999999996</v>
      </c>
      <c r="M108" s="62">
        <f t="shared" si="42"/>
        <v>39.839999999999996</v>
      </c>
      <c r="N108" s="62">
        <f t="shared" si="42"/>
        <v>43.18</v>
      </c>
      <c r="O108" s="62">
        <f t="shared" si="42"/>
        <v>51.070000000000007</v>
      </c>
      <c r="P108" s="62">
        <f t="shared" si="42"/>
        <v>55.769999999999989</v>
      </c>
      <c r="Q108" s="62">
        <f t="shared" si="42"/>
        <v>57.08</v>
      </c>
      <c r="R108" s="62">
        <f t="shared" si="42"/>
        <v>56.59</v>
      </c>
      <c r="S108" s="62">
        <f t="shared" si="42"/>
        <v>57.290000000000006</v>
      </c>
      <c r="T108" s="62">
        <f>T103+T107</f>
        <v>59.929999999999993</v>
      </c>
      <c r="U108" s="62">
        <f t="shared" si="42"/>
        <v>60.44</v>
      </c>
      <c r="V108" s="62">
        <f t="shared" si="42"/>
        <v>61.38</v>
      </c>
      <c r="W108" s="62">
        <f>W103+W107</f>
        <v>57.486000000000004</v>
      </c>
      <c r="X108" s="62">
        <f t="shared" si="42"/>
        <v>58.739999999999995</v>
      </c>
      <c r="Y108" s="62">
        <f t="shared" si="42"/>
        <v>64.070000000000007</v>
      </c>
      <c r="Z108" s="62">
        <f t="shared" si="42"/>
        <v>60.98</v>
      </c>
      <c r="AA108" s="62">
        <f t="shared" si="42"/>
        <v>58.61</v>
      </c>
      <c r="AB108" s="62">
        <f t="shared" si="42"/>
        <v>54.19</v>
      </c>
      <c r="AC108" s="62">
        <f t="shared" si="42"/>
        <v>49.599999999999994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14" t="s">
        <v>88</v>
      </c>
      <c r="B109" s="514"/>
      <c r="C109" s="514"/>
      <c r="D109" s="52"/>
      <c r="E109" s="52"/>
      <c r="F109" s="63">
        <f t="shared" ref="F109:AC109" si="43">(COUNT(F13:F16))*7.2+(COUNT(F27:F28)*4.9)+(COUNT(F19:F21)*4.5)-F91-F93</f>
        <v>0.70000000000000107</v>
      </c>
      <c r="G109" s="63">
        <f t="shared" si="43"/>
        <v>4.8000000000000007</v>
      </c>
      <c r="H109" s="63">
        <f t="shared" si="43"/>
        <v>6.5</v>
      </c>
      <c r="I109" s="63">
        <f t="shared" si="43"/>
        <v>7.5</v>
      </c>
      <c r="J109" s="63">
        <f t="shared" si="43"/>
        <v>5.9</v>
      </c>
      <c r="K109" s="63">
        <f t="shared" si="43"/>
        <v>6.1000000000000005</v>
      </c>
      <c r="L109" s="63">
        <f t="shared" si="43"/>
        <v>13.000000000000002</v>
      </c>
      <c r="M109" s="63">
        <f t="shared" si="43"/>
        <v>9.6000000000000014</v>
      </c>
      <c r="N109" s="63">
        <f t="shared" si="43"/>
        <v>5.6999999999999993</v>
      </c>
      <c r="O109" s="63">
        <f t="shared" si="43"/>
        <v>1.1000000000000014</v>
      </c>
      <c r="P109" s="63">
        <f t="shared" si="43"/>
        <v>4.2999999999999989</v>
      </c>
      <c r="Q109" s="63">
        <f t="shared" si="43"/>
        <v>0.99999999999999911</v>
      </c>
      <c r="R109" s="63">
        <f t="shared" si="43"/>
        <v>1.3999999999999968</v>
      </c>
      <c r="S109" s="63">
        <f t="shared" si="43"/>
        <v>9.600000000000005</v>
      </c>
      <c r="T109" s="63">
        <f t="shared" si="43"/>
        <v>2.2000000000000028</v>
      </c>
      <c r="U109" s="63">
        <f t="shared" si="43"/>
        <v>1.8000000000000043</v>
      </c>
      <c r="V109" s="63">
        <f t="shared" si="43"/>
        <v>3.8999999999999986</v>
      </c>
      <c r="W109" s="63">
        <f t="shared" si="43"/>
        <v>6</v>
      </c>
      <c r="X109" s="63">
        <f t="shared" si="43"/>
        <v>4.3000000000000007</v>
      </c>
      <c r="Y109" s="63">
        <f t="shared" si="43"/>
        <v>9.8000000000000043</v>
      </c>
      <c r="Z109" s="63">
        <f t="shared" si="43"/>
        <v>4.5</v>
      </c>
      <c r="AA109" s="63">
        <f t="shared" si="43"/>
        <v>4.6999999999999975</v>
      </c>
      <c r="AB109" s="63">
        <f t="shared" si="43"/>
        <v>8.2000000000000011</v>
      </c>
      <c r="AC109" s="63">
        <f t="shared" si="43"/>
        <v>12.3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15" t="s">
        <v>89</v>
      </c>
      <c r="B110" s="516"/>
      <c r="C110" s="517"/>
      <c r="D110" s="204"/>
      <c r="E110" s="204"/>
      <c r="F110" s="205">
        <f t="shared" ref="F110:P110" si="44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-3.2999999999999989</v>
      </c>
      <c r="G110" s="205">
        <f t="shared" si="44"/>
        <v>0.59999999999999876</v>
      </c>
      <c r="H110" s="205">
        <f t="shared" si="44"/>
        <v>2.8</v>
      </c>
      <c r="I110" s="205">
        <f t="shared" si="44"/>
        <v>4.5999999999999996</v>
      </c>
      <c r="J110" s="205">
        <f t="shared" si="44"/>
        <v>0.70000000000000018</v>
      </c>
      <c r="K110" s="205">
        <f t="shared" si="44"/>
        <v>0.90000000000000036</v>
      </c>
      <c r="L110" s="205">
        <f t="shared" si="44"/>
        <v>7.8000000000000016</v>
      </c>
      <c r="M110" s="205">
        <f t="shared" si="44"/>
        <v>5.2000000000000028</v>
      </c>
      <c r="N110" s="205">
        <f t="shared" si="44"/>
        <v>3.3999999999999995</v>
      </c>
      <c r="O110" s="205">
        <f t="shared" si="44"/>
        <v>-1.9999999999999982</v>
      </c>
      <c r="P110" s="205">
        <f t="shared" si="44"/>
        <v>1.2000000000000028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-2.099999999999997</v>
      </c>
      <c r="R110" s="205">
        <f t="shared" ref="R110:AC110" si="45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-1.6999999999999993</v>
      </c>
      <c r="S110" s="205">
        <f t="shared" si="45"/>
        <v>5.0000000000000018</v>
      </c>
      <c r="T110" s="205">
        <f t="shared" si="45"/>
        <v>-1.2999999999999989</v>
      </c>
      <c r="U110" s="205">
        <f t="shared" si="45"/>
        <v>-1.6999999999999975</v>
      </c>
      <c r="V110" s="205">
        <f t="shared" si="45"/>
        <v>1.4000000000000004</v>
      </c>
      <c r="W110" s="205">
        <f t="shared" si="45"/>
        <v>-0.1999999999999984</v>
      </c>
      <c r="X110" s="205">
        <f t="shared" si="45"/>
        <v>-2.9999999999999973</v>
      </c>
      <c r="Y110" s="205">
        <f t="shared" si="45"/>
        <v>2.9000000000000012</v>
      </c>
      <c r="Z110" s="205">
        <f t="shared" si="45"/>
        <v>-2.5999999999999988</v>
      </c>
      <c r="AA110" s="205">
        <f t="shared" si="45"/>
        <v>-2.6000000000000005</v>
      </c>
      <c r="AB110" s="205">
        <f t="shared" si="45"/>
        <v>0.90000000000000302</v>
      </c>
      <c r="AC110" s="205">
        <f t="shared" si="45"/>
        <v>6.0000000000000036</v>
      </c>
      <c r="AD110" s="26"/>
      <c r="AE110" s="26"/>
      <c r="AF110" s="466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10" t="s">
        <v>91</v>
      </c>
      <c r="B111" s="510"/>
      <c r="C111" s="510"/>
      <c r="D111" s="60"/>
      <c r="E111" s="72"/>
      <c r="F111" s="74">
        <v>60.16</v>
      </c>
      <c r="G111" s="74">
        <v>60.53</v>
      </c>
      <c r="H111" s="74">
        <v>60.07</v>
      </c>
      <c r="I111" s="74">
        <v>60.21</v>
      </c>
      <c r="J111" s="74">
        <v>60.09</v>
      </c>
      <c r="K111" s="74">
        <v>60.13</v>
      </c>
      <c r="L111" s="74">
        <v>60.23</v>
      </c>
      <c r="M111" s="74">
        <v>60.25</v>
      </c>
      <c r="N111" s="74">
        <v>60.08</v>
      </c>
      <c r="O111" s="74">
        <v>60.15</v>
      </c>
      <c r="P111" s="83">
        <v>60.14</v>
      </c>
      <c r="Q111" s="83">
        <v>60.11</v>
      </c>
      <c r="R111" s="83">
        <v>60.12</v>
      </c>
      <c r="S111" s="83">
        <v>60.23</v>
      </c>
      <c r="T111" s="83">
        <v>60.09</v>
      </c>
      <c r="U111" s="74">
        <v>60.26</v>
      </c>
      <c r="V111" s="74">
        <v>60.54</v>
      </c>
      <c r="W111" s="74">
        <v>60.28</v>
      </c>
      <c r="X111" s="74">
        <v>60.08</v>
      </c>
      <c r="Y111" s="74">
        <v>60.16</v>
      </c>
      <c r="Z111" s="74">
        <v>60.22</v>
      </c>
      <c r="AA111" s="74">
        <v>60.09</v>
      </c>
      <c r="AB111" s="74">
        <v>60.09</v>
      </c>
      <c r="AC111" s="74">
        <v>60.27</v>
      </c>
      <c r="AD111" s="26"/>
      <c r="AE111" s="26"/>
      <c r="AF111" s="467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18" t="s">
        <v>93</v>
      </c>
      <c r="B112" s="519"/>
      <c r="C112" s="520"/>
      <c r="D112" s="60"/>
      <c r="E112" s="72"/>
      <c r="F112" s="468">
        <f>25-(F28+F96)-(4.7-F28)</f>
        <v>6.0100000000000007</v>
      </c>
      <c r="G112" s="468">
        <f>25-(G28+G96)-(4.7-G28)</f>
        <v>6.02</v>
      </c>
      <c r="H112" s="465">
        <f t="shared" ref="H112:M112" si="46">H89-(4.7-H93)</f>
        <v>6.6</v>
      </c>
      <c r="I112" s="465">
        <f t="shared" si="46"/>
        <v>4.8</v>
      </c>
      <c r="J112" s="465">
        <f t="shared" si="46"/>
        <v>3.5999999999999996</v>
      </c>
      <c r="K112" s="465">
        <f t="shared" si="46"/>
        <v>3.3999999999999995</v>
      </c>
      <c r="L112" s="465">
        <f t="shared" si="46"/>
        <v>3.1999999999999993</v>
      </c>
      <c r="M112" s="465">
        <f t="shared" si="46"/>
        <v>1.2999999999999998</v>
      </c>
      <c r="N112" s="468">
        <f>25-(N93+N96)</f>
        <v>10.73</v>
      </c>
      <c r="O112" s="468">
        <f>25-(O93+O96)+O29</f>
        <v>10.689999999999998</v>
      </c>
      <c r="P112" s="468">
        <f>25-(P93+P96)+P29</f>
        <v>10.710000000000003</v>
      </c>
      <c r="Q112" s="468">
        <f>25-(Q93+Q96)+Q29</f>
        <v>10.68</v>
      </c>
      <c r="R112" s="468">
        <f>25-(R93+R96)+R29</f>
        <v>10.789999999999997</v>
      </c>
      <c r="S112" s="468">
        <f t="shared" ref="S112:AC112" si="47">25-(S93+S96)+S29</f>
        <v>7.4899999999999984</v>
      </c>
      <c r="T112" s="468">
        <f t="shared" si="47"/>
        <v>6.4699999999999971</v>
      </c>
      <c r="U112" s="468">
        <f t="shared" si="47"/>
        <v>6.7100000000000009</v>
      </c>
      <c r="V112" s="468">
        <f t="shared" si="47"/>
        <v>6.7899999999999974</v>
      </c>
      <c r="W112" s="468">
        <f t="shared" si="47"/>
        <v>6.68</v>
      </c>
      <c r="X112" s="468">
        <f t="shared" si="47"/>
        <v>6.0699999999999976</v>
      </c>
      <c r="Y112" s="468">
        <f t="shared" si="47"/>
        <v>6.2</v>
      </c>
      <c r="Z112" s="468">
        <f t="shared" si="47"/>
        <v>6.1700000000000017</v>
      </c>
      <c r="AA112" s="468">
        <f t="shared" si="47"/>
        <v>6.2000000000000011</v>
      </c>
      <c r="AB112" s="468">
        <f t="shared" si="47"/>
        <v>6.32</v>
      </c>
      <c r="AC112" s="468">
        <f t="shared" si="47"/>
        <v>6.3900000000000006</v>
      </c>
      <c r="AD112" s="26"/>
      <c r="AE112" s="26"/>
      <c r="AF112" s="469"/>
      <c r="AG112" s="472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18" t="s">
        <v>95</v>
      </c>
      <c r="B113" s="519"/>
      <c r="C113" s="520"/>
      <c r="D113" s="60"/>
      <c r="E113" s="72"/>
      <c r="G113" s="74"/>
      <c r="H113" s="74"/>
      <c r="I113" s="74"/>
      <c r="J113" s="74"/>
      <c r="K113" s="74"/>
      <c r="L113" s="74"/>
      <c r="M113" s="74">
        <v>3</v>
      </c>
      <c r="N113" s="74">
        <v>3</v>
      </c>
      <c r="O113" s="74">
        <v>3</v>
      </c>
      <c r="P113" s="74">
        <v>3</v>
      </c>
      <c r="Q113" s="74">
        <v>3</v>
      </c>
      <c r="R113" s="74">
        <v>3</v>
      </c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10" t="s">
        <v>96</v>
      </c>
      <c r="B114" s="510"/>
      <c r="C114" s="510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 t="s">
        <v>101</v>
      </c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10" t="s">
        <v>97</v>
      </c>
      <c r="B115" s="510"/>
      <c r="C115" s="510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499" t="s">
        <v>98</v>
      </c>
      <c r="B117" s="499"/>
      <c r="C117" s="499"/>
      <c r="D117" s="499"/>
      <c r="E117" s="499"/>
      <c r="F117" s="499"/>
      <c r="G117" s="499"/>
      <c r="H117" s="499"/>
      <c r="I117" s="499"/>
      <c r="J117" s="499"/>
      <c r="K117" s="499"/>
      <c r="L117" s="499"/>
      <c r="M117" s="499"/>
      <c r="N117" s="499"/>
      <c r="O117" s="499"/>
      <c r="P117" s="499"/>
      <c r="Q117" s="499"/>
      <c r="R117" s="499"/>
      <c r="S117" s="499"/>
      <c r="T117" s="499"/>
      <c r="U117" s="499"/>
      <c r="V117" s="499"/>
      <c r="W117" s="499"/>
      <c r="X117" s="499"/>
      <c r="Y117" s="499"/>
      <c r="Z117" s="499"/>
      <c r="AA117" s="499"/>
      <c r="AB117" s="499"/>
      <c r="AC117" s="499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00" t="s">
        <v>75</v>
      </c>
      <c r="B119" s="501"/>
      <c r="C119" s="502"/>
      <c r="D119" s="49"/>
      <c r="E119" s="49"/>
      <c r="F119" s="506" t="s">
        <v>76</v>
      </c>
      <c r="G119" s="506"/>
      <c r="H119" s="506"/>
      <c r="I119" s="506"/>
      <c r="J119" s="506"/>
      <c r="K119" s="506"/>
      <c r="L119" s="506"/>
      <c r="M119" s="506"/>
      <c r="N119" s="506"/>
      <c r="O119" s="506"/>
      <c r="P119" s="506"/>
      <c r="Q119" s="506"/>
      <c r="R119" s="506"/>
      <c r="S119" s="506"/>
      <c r="T119" s="506"/>
      <c r="U119" s="506"/>
      <c r="V119" s="506"/>
      <c r="W119" s="506"/>
      <c r="X119" s="506"/>
      <c r="Y119" s="506"/>
      <c r="Z119" s="506"/>
      <c r="AA119" s="506"/>
      <c r="AB119" s="506"/>
      <c r="AC119" s="506"/>
      <c r="AD119" s="5"/>
      <c r="AE119" s="5"/>
      <c r="AF119" s="5"/>
      <c r="AG119" s="5"/>
      <c r="AH119" s="5"/>
    </row>
    <row r="120" spans="1:124" ht="15.6" hidden="1" customHeight="1">
      <c r="A120" s="503"/>
      <c r="B120" s="504"/>
      <c r="C120" s="505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07" t="s">
        <v>27</v>
      </c>
      <c r="B121" s="508"/>
      <c r="C121" s="509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07" t="s">
        <v>78</v>
      </c>
      <c r="B122" s="508"/>
      <c r="C122" s="509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07" t="s">
        <v>29</v>
      </c>
      <c r="B123" s="508"/>
      <c r="C123" s="509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07" t="s">
        <v>32</v>
      </c>
      <c r="B124" s="508"/>
      <c r="C124" s="509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07" t="s">
        <v>33</v>
      </c>
      <c r="B125" s="508"/>
      <c r="C125" s="509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07" t="s">
        <v>55</v>
      </c>
      <c r="B126" s="508"/>
      <c r="C126" s="509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07" t="s">
        <v>59</v>
      </c>
      <c r="B127" s="508"/>
      <c r="C127" s="509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07" t="s">
        <v>69</v>
      </c>
      <c r="B128" s="508"/>
      <c r="C128" s="509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496" t="s">
        <v>99</v>
      </c>
      <c r="B129" s="497"/>
      <c r="C129" s="498"/>
      <c r="D129" s="51"/>
      <c r="E129" s="51"/>
      <c r="F129" s="44">
        <f>SUM(F121:F128)</f>
        <v>0</v>
      </c>
      <c r="G129" s="44">
        <f t="shared" ref="G129:AB129" si="48">SUM(G121:G128)</f>
        <v>0</v>
      </c>
      <c r="H129" s="44">
        <f t="shared" si="48"/>
        <v>0</v>
      </c>
      <c r="I129" s="44">
        <f t="shared" si="48"/>
        <v>0</v>
      </c>
      <c r="J129" s="44">
        <f t="shared" si="48"/>
        <v>0</v>
      </c>
      <c r="K129" s="44">
        <f t="shared" si="48"/>
        <v>0</v>
      </c>
      <c r="L129" s="44">
        <f t="shared" si="48"/>
        <v>0</v>
      </c>
      <c r="M129" s="44">
        <f t="shared" si="48"/>
        <v>0</v>
      </c>
      <c r="N129" s="44">
        <f t="shared" si="48"/>
        <v>0</v>
      </c>
      <c r="O129" s="44">
        <f t="shared" si="48"/>
        <v>0</v>
      </c>
      <c r="P129" s="44">
        <f t="shared" si="48"/>
        <v>0</v>
      </c>
      <c r="Q129" s="44">
        <f t="shared" si="48"/>
        <v>0</v>
      </c>
      <c r="R129" s="44">
        <f t="shared" si="48"/>
        <v>0</v>
      </c>
      <c r="S129" s="44">
        <f t="shared" si="48"/>
        <v>0</v>
      </c>
      <c r="T129" s="44">
        <f t="shared" si="48"/>
        <v>0</v>
      </c>
      <c r="U129" s="44">
        <f t="shared" si="48"/>
        <v>0</v>
      </c>
      <c r="V129" s="44">
        <f t="shared" si="48"/>
        <v>0</v>
      </c>
      <c r="W129" s="44">
        <f t="shared" si="48"/>
        <v>0</v>
      </c>
      <c r="X129" s="44">
        <f t="shared" si="48"/>
        <v>0</v>
      </c>
      <c r="Y129" s="44">
        <f t="shared" si="48"/>
        <v>0</v>
      </c>
      <c r="Z129" s="44">
        <f t="shared" si="48"/>
        <v>0</v>
      </c>
      <c r="AA129" s="44">
        <f t="shared" si="48"/>
        <v>0</v>
      </c>
      <c r="AB129" s="44">
        <f t="shared" si="48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89:C89"/>
    <mergeCell ref="A112:C112"/>
    <mergeCell ref="A113:C113"/>
    <mergeCell ref="M8:O8"/>
    <mergeCell ref="M9:O9"/>
    <mergeCell ref="A85:AC85"/>
    <mergeCell ref="A87:C88"/>
    <mergeCell ref="F87:AC87"/>
    <mergeCell ref="A102:C102"/>
    <mergeCell ref="A90:C90"/>
    <mergeCell ref="A91:C91"/>
    <mergeCell ref="A92:C92"/>
    <mergeCell ref="A93:C93"/>
    <mergeCell ref="A94:C94"/>
    <mergeCell ref="A96:C96"/>
    <mergeCell ref="A97:C97"/>
    <mergeCell ref="A101:C101"/>
    <mergeCell ref="A115:C115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4:C114"/>
    <mergeCell ref="A95:C95"/>
    <mergeCell ref="A129:C129"/>
    <mergeCell ref="A117:AC117"/>
    <mergeCell ref="A119:C120"/>
    <mergeCell ref="F119:AC119"/>
    <mergeCell ref="A121:C121"/>
    <mergeCell ref="A122:C122"/>
    <mergeCell ref="A123:C123"/>
    <mergeCell ref="A124:C124"/>
    <mergeCell ref="A125:C125"/>
    <mergeCell ref="A126:C126"/>
    <mergeCell ref="A127:C127"/>
    <mergeCell ref="A128:C128"/>
    <mergeCell ref="A98:C98"/>
    <mergeCell ref="A99:C99"/>
    <mergeCell ref="A100:C100"/>
  </mergeCells>
  <conditionalFormatting sqref="G111:AC111">
    <cfRule type="cellIs" dxfId="7197" priority="418" operator="greaterThan">
      <formula>60.3</formula>
    </cfRule>
  </conditionalFormatting>
  <conditionalFormatting sqref="F111">
    <cfRule type="cellIs" dxfId="7196" priority="417" operator="greaterThan">
      <formula>60.3</formula>
    </cfRule>
  </conditionalFormatting>
  <conditionalFormatting sqref="H13:J13 H15:M16 P15:P16 N13:S13 L13 Q14:S16 T13:AC16 G36:AC59 G62:AC64">
    <cfRule type="cellIs" dxfId="7195" priority="409" operator="equal">
      <formula>"PMS"</formula>
    </cfRule>
    <cfRule type="containsText" dxfId="7194" priority="410" operator="containsText" text="CMS">
      <formula>NOT(ISERROR(SEARCH("CMS",G13)))</formula>
    </cfRule>
    <cfRule type="cellIs" dxfId="7193" priority="411" operator="equal">
      <formula>0</formula>
    </cfRule>
    <cfRule type="cellIs" dxfId="7192" priority="412" operator="greaterThan">
      <formula>0</formula>
    </cfRule>
    <cfRule type="cellIs" dxfId="7191" priority="413" operator="equal">
      <formula>"PMS"</formula>
    </cfRule>
    <cfRule type="containsText" dxfId="7190" priority="414" operator="containsText" text="CMS">
      <formula>NOT(ISERROR(SEARCH("CMS",G13)))</formula>
    </cfRule>
    <cfRule type="cellIs" dxfId="7189" priority="415" operator="equal">
      <formula>0</formula>
    </cfRule>
    <cfRule type="cellIs" dxfId="7188" priority="416" operator="greaterThan">
      <formula>0</formula>
    </cfRule>
  </conditionalFormatting>
  <conditionalFormatting sqref="H13:J13 H15:M16 P15:P16 N13:S13 L13 Q14:S16 T13:AC16 G36:AC59 G62:AC64">
    <cfRule type="cellIs" dxfId="7187" priority="405" operator="equal">
      <formula>"PMS"</formula>
    </cfRule>
    <cfRule type="containsText" dxfId="7186" priority="406" operator="containsText" text="CMS">
      <formula>NOT(ISERROR(SEARCH("CMS",G13)))</formula>
    </cfRule>
    <cfRule type="cellIs" dxfId="7185" priority="407" operator="equal">
      <formula>0</formula>
    </cfRule>
    <cfRule type="cellIs" dxfId="7184" priority="408" operator="greaterThan">
      <formula>0</formula>
    </cfRule>
  </conditionalFormatting>
  <conditionalFormatting sqref="G20:S20 G21:N21 P21:S21 U19:AC21 T20:T21 G19:Q19">
    <cfRule type="cellIs" dxfId="7183" priority="397" operator="equal">
      <formula>"PMS"</formula>
    </cfRule>
    <cfRule type="containsText" dxfId="7182" priority="398" operator="containsText" text="CMS">
      <formula>NOT(ISERROR(SEARCH("CMS",G19)))</formula>
    </cfRule>
    <cfRule type="cellIs" dxfId="7181" priority="399" operator="equal">
      <formula>0</formula>
    </cfRule>
    <cfRule type="cellIs" dxfId="7180" priority="400" operator="greaterThan">
      <formula>0</formula>
    </cfRule>
    <cfRule type="cellIs" dxfId="7179" priority="401" operator="equal">
      <formula>"PMS"</formula>
    </cfRule>
    <cfRule type="containsText" dxfId="7178" priority="402" operator="containsText" text="CMS">
      <formula>NOT(ISERROR(SEARCH("CMS",G19)))</formula>
    </cfRule>
    <cfRule type="cellIs" dxfId="7177" priority="403" operator="equal">
      <formula>0</formula>
    </cfRule>
    <cfRule type="cellIs" dxfId="7176" priority="404" operator="greaterThan">
      <formula>0</formula>
    </cfRule>
  </conditionalFormatting>
  <conditionalFormatting sqref="G20:S20 G21:N21 P21:S21 U19:AC21 T20:T21 G19:Q19">
    <cfRule type="cellIs" dxfId="7175" priority="393" operator="equal">
      <formula>"PMS"</formula>
    </cfRule>
    <cfRule type="containsText" dxfId="7174" priority="394" operator="containsText" text="CMS">
      <formula>NOT(ISERROR(SEARCH("CMS",G19)))</formula>
    </cfRule>
    <cfRule type="cellIs" dxfId="7173" priority="395" operator="equal">
      <formula>0</formula>
    </cfRule>
    <cfRule type="cellIs" dxfId="7172" priority="396" operator="greaterThan">
      <formula>0</formula>
    </cfRule>
  </conditionalFormatting>
  <conditionalFormatting sqref="V24:AC24 G24:M24 O24:T24">
    <cfRule type="cellIs" dxfId="7171" priority="385" operator="equal">
      <formula>"PMS"</formula>
    </cfRule>
    <cfRule type="containsText" dxfId="7170" priority="386" operator="containsText" text="CMS">
      <formula>NOT(ISERROR(SEARCH("CMS",G24)))</formula>
    </cfRule>
    <cfRule type="cellIs" dxfId="7169" priority="387" operator="equal">
      <formula>0</formula>
    </cfRule>
    <cfRule type="cellIs" dxfId="7168" priority="388" operator="greaterThan">
      <formula>0</formula>
    </cfRule>
    <cfRule type="cellIs" dxfId="7167" priority="389" operator="equal">
      <formula>"PMS"</formula>
    </cfRule>
    <cfRule type="containsText" dxfId="7166" priority="390" operator="containsText" text="CMS">
      <formula>NOT(ISERROR(SEARCH("CMS",G24)))</formula>
    </cfRule>
    <cfRule type="cellIs" dxfId="7165" priority="391" operator="equal">
      <formula>0</formula>
    </cfRule>
    <cfRule type="cellIs" dxfId="7164" priority="392" operator="greaterThan">
      <formula>0</formula>
    </cfRule>
  </conditionalFormatting>
  <conditionalFormatting sqref="V24:AC24 G24:M24 O24:T24">
    <cfRule type="cellIs" dxfId="7163" priority="381" operator="equal">
      <formula>"PMS"</formula>
    </cfRule>
    <cfRule type="containsText" dxfId="7162" priority="382" operator="containsText" text="CMS">
      <formula>NOT(ISERROR(SEARCH("CMS",G24)))</formula>
    </cfRule>
    <cfRule type="cellIs" dxfId="7161" priority="383" operator="equal">
      <formula>0</formula>
    </cfRule>
    <cfRule type="cellIs" dxfId="7160" priority="384" operator="greaterThan">
      <formula>0</formula>
    </cfRule>
  </conditionalFormatting>
  <conditionalFormatting sqref="G27:AC27 G29:AC30 H28:AC28">
    <cfRule type="cellIs" dxfId="7159" priority="373" operator="equal">
      <formula>"PMS"</formula>
    </cfRule>
    <cfRule type="containsText" dxfId="7158" priority="374" operator="containsText" text="CMS">
      <formula>NOT(ISERROR(SEARCH("CMS",G27)))</formula>
    </cfRule>
    <cfRule type="cellIs" dxfId="7157" priority="375" operator="equal">
      <formula>0</formula>
    </cfRule>
    <cfRule type="cellIs" dxfId="7156" priority="376" operator="greaterThan">
      <formula>0</formula>
    </cfRule>
    <cfRule type="cellIs" dxfId="7155" priority="377" operator="equal">
      <formula>"PMS"</formula>
    </cfRule>
    <cfRule type="containsText" dxfId="7154" priority="378" operator="containsText" text="CMS">
      <formula>NOT(ISERROR(SEARCH("CMS",G27)))</formula>
    </cfRule>
    <cfRule type="cellIs" dxfId="7153" priority="379" operator="equal">
      <formula>0</formula>
    </cfRule>
    <cfRule type="cellIs" dxfId="7152" priority="380" operator="greaterThan">
      <formula>0</formula>
    </cfRule>
  </conditionalFormatting>
  <conditionalFormatting sqref="G27:AC27 G29:AC30 H28:AC28">
    <cfRule type="cellIs" dxfId="7151" priority="369" operator="equal">
      <formula>"PMS"</formula>
    </cfRule>
    <cfRule type="containsText" dxfId="7150" priority="370" operator="containsText" text="CMS">
      <formula>NOT(ISERROR(SEARCH("CMS",G27)))</formula>
    </cfRule>
    <cfRule type="cellIs" dxfId="7149" priority="371" operator="equal">
      <formula>0</formula>
    </cfRule>
    <cfRule type="cellIs" dxfId="7148" priority="372" operator="greaterThan">
      <formula>0</formula>
    </cfRule>
  </conditionalFormatting>
  <conditionalFormatting sqref="G33:AC33">
    <cfRule type="cellIs" dxfId="7147" priority="361" operator="equal">
      <formula>"PMS"</formula>
    </cfRule>
    <cfRule type="containsText" dxfId="7146" priority="362" operator="containsText" text="CMS">
      <formula>NOT(ISERROR(SEARCH("CMS",G33)))</formula>
    </cfRule>
    <cfRule type="cellIs" dxfId="7145" priority="363" operator="equal">
      <formula>0</formula>
    </cfRule>
    <cfRule type="cellIs" dxfId="7144" priority="364" operator="greaterThan">
      <formula>0</formula>
    </cfRule>
    <cfRule type="cellIs" dxfId="7143" priority="365" operator="equal">
      <formula>"PMS"</formula>
    </cfRule>
    <cfRule type="containsText" dxfId="7142" priority="366" operator="containsText" text="CMS">
      <formula>NOT(ISERROR(SEARCH("CMS",G33)))</formula>
    </cfRule>
    <cfRule type="cellIs" dxfId="7141" priority="367" operator="equal">
      <formula>0</formula>
    </cfRule>
    <cfRule type="cellIs" dxfId="7140" priority="368" operator="greaterThan">
      <formula>0</formula>
    </cfRule>
  </conditionalFormatting>
  <conditionalFormatting sqref="G33:AC33">
    <cfRule type="cellIs" dxfId="7139" priority="357" operator="equal">
      <formula>"PMS"</formula>
    </cfRule>
    <cfRule type="containsText" dxfId="7138" priority="358" operator="containsText" text="CMS">
      <formula>NOT(ISERROR(SEARCH("CMS",G33)))</formula>
    </cfRule>
    <cfRule type="cellIs" dxfId="7137" priority="359" operator="equal">
      <formula>0</formula>
    </cfRule>
    <cfRule type="cellIs" dxfId="7136" priority="360" operator="greaterThan">
      <formula>0</formula>
    </cfRule>
  </conditionalFormatting>
  <conditionalFormatting sqref="G67:AC75 S78:AC79 G78:Q79">
    <cfRule type="cellIs" dxfId="7135" priority="349" operator="equal">
      <formula>"PMS"</formula>
    </cfRule>
    <cfRule type="containsText" dxfId="7134" priority="350" operator="containsText" text="CMS">
      <formula>NOT(ISERROR(SEARCH("CMS",G67)))</formula>
    </cfRule>
    <cfRule type="cellIs" dxfId="7133" priority="351" operator="equal">
      <formula>0</formula>
    </cfRule>
    <cfRule type="cellIs" dxfId="7132" priority="352" operator="greaterThan">
      <formula>0</formula>
    </cfRule>
    <cfRule type="cellIs" dxfId="7131" priority="353" operator="equal">
      <formula>"PMS"</formula>
    </cfRule>
    <cfRule type="containsText" dxfId="7130" priority="354" operator="containsText" text="CMS">
      <formula>NOT(ISERROR(SEARCH("CMS",G67)))</formula>
    </cfRule>
    <cfRule type="cellIs" dxfId="7129" priority="355" operator="equal">
      <formula>0</formula>
    </cfRule>
    <cfRule type="cellIs" dxfId="7128" priority="356" operator="greaterThan">
      <formula>0</formula>
    </cfRule>
  </conditionalFormatting>
  <conditionalFormatting sqref="G67:AC75 S78:AC79 G78:Q79">
    <cfRule type="cellIs" dxfId="7127" priority="345" operator="equal">
      <formula>"PMS"</formula>
    </cfRule>
    <cfRule type="containsText" dxfId="7126" priority="346" operator="containsText" text="CMS">
      <formula>NOT(ISERROR(SEARCH("CMS",G67)))</formula>
    </cfRule>
    <cfRule type="cellIs" dxfId="7125" priority="347" operator="equal">
      <formula>0</formula>
    </cfRule>
    <cfRule type="cellIs" dxfId="7124" priority="348" operator="greaterThan">
      <formula>0</formula>
    </cfRule>
  </conditionalFormatting>
  <conditionalFormatting sqref="G82:AC82">
    <cfRule type="cellIs" dxfId="7123" priority="337" operator="equal">
      <formula>"PMS"</formula>
    </cfRule>
    <cfRule type="containsText" dxfId="7122" priority="338" operator="containsText" text="CMS">
      <formula>NOT(ISERROR(SEARCH("CMS",G82)))</formula>
    </cfRule>
    <cfRule type="cellIs" dxfId="7121" priority="339" operator="equal">
      <formula>0</formula>
    </cfRule>
    <cfRule type="cellIs" dxfId="7120" priority="340" operator="greaterThan">
      <formula>0</formula>
    </cfRule>
    <cfRule type="cellIs" dxfId="7119" priority="341" operator="equal">
      <formula>"PMS"</formula>
    </cfRule>
    <cfRule type="containsText" dxfId="7118" priority="342" operator="containsText" text="CMS">
      <formula>NOT(ISERROR(SEARCH("CMS",G82)))</formula>
    </cfRule>
    <cfRule type="cellIs" dxfId="7117" priority="343" operator="equal">
      <formula>0</formula>
    </cfRule>
    <cfRule type="cellIs" dxfId="7116" priority="344" operator="greaterThan">
      <formula>0</formula>
    </cfRule>
  </conditionalFormatting>
  <conditionalFormatting sqref="G82:AC82">
    <cfRule type="cellIs" dxfId="7115" priority="333" operator="equal">
      <formula>"PMS"</formula>
    </cfRule>
    <cfRule type="containsText" dxfId="7114" priority="334" operator="containsText" text="CMS">
      <formula>NOT(ISERROR(SEARCH("CMS",G82)))</formula>
    </cfRule>
    <cfRule type="cellIs" dxfId="7113" priority="335" operator="equal">
      <formula>0</formula>
    </cfRule>
    <cfRule type="cellIs" dxfId="7112" priority="336" operator="greaterThan">
      <formula>0</formula>
    </cfRule>
  </conditionalFormatting>
  <conditionalFormatting sqref="N24">
    <cfRule type="cellIs" dxfId="7111" priority="325" operator="equal">
      <formula>"PMS"</formula>
    </cfRule>
    <cfRule type="containsText" dxfId="7110" priority="326" operator="containsText" text="CMS">
      <formula>NOT(ISERROR(SEARCH("CMS",N24)))</formula>
    </cfRule>
    <cfRule type="cellIs" dxfId="7109" priority="327" operator="equal">
      <formula>0</formula>
    </cfRule>
    <cfRule type="cellIs" dxfId="7108" priority="328" operator="greaterThan">
      <formula>0</formula>
    </cfRule>
    <cfRule type="cellIs" dxfId="7107" priority="329" operator="equal">
      <formula>"PMS"</formula>
    </cfRule>
    <cfRule type="containsText" dxfId="7106" priority="330" operator="containsText" text="CMS">
      <formula>NOT(ISERROR(SEARCH("CMS",N24)))</formula>
    </cfRule>
    <cfRule type="cellIs" dxfId="7105" priority="331" operator="equal">
      <formula>0</formula>
    </cfRule>
    <cfRule type="cellIs" dxfId="7104" priority="332" operator="greaterThan">
      <formula>0</formula>
    </cfRule>
  </conditionalFormatting>
  <conditionalFormatting sqref="N24">
    <cfRule type="cellIs" dxfId="7103" priority="321" operator="equal">
      <formula>"PMS"</formula>
    </cfRule>
    <cfRule type="containsText" dxfId="7102" priority="322" operator="containsText" text="CMS">
      <formula>NOT(ISERROR(SEARCH("CMS",N24)))</formula>
    </cfRule>
    <cfRule type="cellIs" dxfId="7101" priority="323" operator="equal">
      <formula>0</formula>
    </cfRule>
    <cfRule type="cellIs" dxfId="7100" priority="324" operator="greaterThan">
      <formula>0</formula>
    </cfRule>
  </conditionalFormatting>
  <conditionalFormatting sqref="U24">
    <cfRule type="cellIs" dxfId="7099" priority="313" operator="equal">
      <formula>"PMS"</formula>
    </cfRule>
    <cfRule type="containsText" dxfId="7098" priority="314" operator="containsText" text="CMS">
      <formula>NOT(ISERROR(SEARCH("CMS",U24)))</formula>
    </cfRule>
    <cfRule type="cellIs" dxfId="7097" priority="315" operator="equal">
      <formula>0</formula>
    </cfRule>
    <cfRule type="cellIs" dxfId="7096" priority="316" operator="greaterThan">
      <formula>0</formula>
    </cfRule>
    <cfRule type="cellIs" dxfId="7095" priority="317" operator="equal">
      <formula>"PMS"</formula>
    </cfRule>
    <cfRule type="containsText" dxfId="7094" priority="318" operator="containsText" text="CMS">
      <formula>NOT(ISERROR(SEARCH("CMS",U24)))</formula>
    </cfRule>
    <cfRule type="cellIs" dxfId="7093" priority="319" operator="equal">
      <formula>0</formula>
    </cfRule>
    <cfRule type="cellIs" dxfId="7092" priority="320" operator="greaterThan">
      <formula>0</formula>
    </cfRule>
  </conditionalFormatting>
  <conditionalFormatting sqref="U24">
    <cfRule type="cellIs" dxfId="7091" priority="309" operator="equal">
      <formula>"PMS"</formula>
    </cfRule>
    <cfRule type="containsText" dxfId="7090" priority="310" operator="containsText" text="CMS">
      <formula>NOT(ISERROR(SEARCH("CMS",U24)))</formula>
    </cfRule>
    <cfRule type="cellIs" dxfId="7089" priority="311" operator="equal">
      <formula>0</formula>
    </cfRule>
    <cfRule type="cellIs" dxfId="7088" priority="312" operator="greaterThan">
      <formula>0</formula>
    </cfRule>
  </conditionalFormatting>
  <conditionalFormatting sqref="H14:P14">
    <cfRule type="cellIs" dxfId="7087" priority="301" operator="equal">
      <formula>"PMS"</formula>
    </cfRule>
    <cfRule type="containsText" dxfId="7086" priority="302" operator="containsText" text="CMS">
      <formula>NOT(ISERROR(SEARCH("CMS",H14)))</formula>
    </cfRule>
    <cfRule type="cellIs" dxfId="7085" priority="303" operator="equal">
      <formula>0</formula>
    </cfRule>
    <cfRule type="cellIs" dxfId="7084" priority="304" operator="greaterThan">
      <formula>0</formula>
    </cfRule>
    <cfRule type="cellIs" dxfId="7083" priority="305" operator="equal">
      <formula>"PMS"</formula>
    </cfRule>
    <cfRule type="containsText" dxfId="7082" priority="306" operator="containsText" text="CMS">
      <formula>NOT(ISERROR(SEARCH("CMS",H14)))</formula>
    </cfRule>
    <cfRule type="cellIs" dxfId="7081" priority="307" operator="equal">
      <formula>0</formula>
    </cfRule>
    <cfRule type="cellIs" dxfId="7080" priority="308" operator="greaterThan">
      <formula>0</formula>
    </cfRule>
  </conditionalFormatting>
  <conditionalFormatting sqref="H14:P14">
    <cfRule type="cellIs" dxfId="7079" priority="297" operator="equal">
      <formula>"PMS"</formula>
    </cfRule>
    <cfRule type="containsText" dxfId="7078" priority="298" operator="containsText" text="CMS">
      <formula>NOT(ISERROR(SEARCH("CMS",H14)))</formula>
    </cfRule>
    <cfRule type="cellIs" dxfId="7077" priority="299" operator="equal">
      <formula>0</formula>
    </cfRule>
    <cfRule type="cellIs" dxfId="7076" priority="300" operator="greaterThan">
      <formula>0</formula>
    </cfRule>
  </conditionalFormatting>
  <conditionalFormatting sqref="F82">
    <cfRule type="cellIs" dxfId="7075" priority="289" operator="equal">
      <formula>"PMS"</formula>
    </cfRule>
    <cfRule type="containsText" dxfId="7074" priority="290" operator="containsText" text="CMS">
      <formula>NOT(ISERROR(SEARCH("CMS",F82)))</formula>
    </cfRule>
    <cfRule type="cellIs" dxfId="7073" priority="291" operator="equal">
      <formula>0</formula>
    </cfRule>
    <cfRule type="cellIs" dxfId="7072" priority="292" operator="greaterThan">
      <formula>0</formula>
    </cfRule>
    <cfRule type="cellIs" dxfId="7071" priority="293" operator="equal">
      <formula>"PMS"</formula>
    </cfRule>
    <cfRule type="containsText" dxfId="7070" priority="294" operator="containsText" text="CMS">
      <formula>NOT(ISERROR(SEARCH("CMS",F82)))</formula>
    </cfRule>
    <cfRule type="cellIs" dxfId="7069" priority="295" operator="equal">
      <formula>0</formula>
    </cfRule>
    <cfRule type="cellIs" dxfId="7068" priority="296" operator="greaterThan">
      <formula>0</formula>
    </cfRule>
  </conditionalFormatting>
  <conditionalFormatting sqref="F82">
    <cfRule type="cellIs" dxfId="7067" priority="285" operator="equal">
      <formula>"PMS"</formula>
    </cfRule>
    <cfRule type="containsText" dxfId="7066" priority="286" operator="containsText" text="CMS">
      <formula>NOT(ISERROR(SEARCH("CMS",F82)))</formula>
    </cfRule>
    <cfRule type="cellIs" dxfId="7065" priority="287" operator="equal">
      <formula>0</formula>
    </cfRule>
    <cfRule type="cellIs" dxfId="7064" priority="288" operator="greaterThan">
      <formula>0</formula>
    </cfRule>
  </conditionalFormatting>
  <conditionalFormatting sqref="R19:T19">
    <cfRule type="cellIs" dxfId="7063" priority="277" operator="equal">
      <formula>"PMS"</formula>
    </cfRule>
    <cfRule type="containsText" dxfId="7062" priority="278" operator="containsText" text="CMS">
      <formula>NOT(ISERROR(SEARCH("CMS",R19)))</formula>
    </cfRule>
    <cfRule type="cellIs" dxfId="7061" priority="279" operator="equal">
      <formula>0</formula>
    </cfRule>
    <cfRule type="cellIs" dxfId="7060" priority="280" operator="greaterThan">
      <formula>0</formula>
    </cfRule>
    <cfRule type="cellIs" dxfId="7059" priority="281" operator="equal">
      <formula>"PMS"</formula>
    </cfRule>
    <cfRule type="containsText" dxfId="7058" priority="282" operator="containsText" text="CMS">
      <formula>NOT(ISERROR(SEARCH("CMS",R19)))</formula>
    </cfRule>
    <cfRule type="cellIs" dxfId="7057" priority="283" operator="equal">
      <formula>0</formula>
    </cfRule>
    <cfRule type="cellIs" dxfId="7056" priority="284" operator="greaterThan">
      <formula>0</formula>
    </cfRule>
  </conditionalFormatting>
  <conditionalFormatting sqref="R19:T19">
    <cfRule type="cellIs" dxfId="7055" priority="273" operator="equal">
      <formula>"PMS"</formula>
    </cfRule>
    <cfRule type="containsText" dxfId="7054" priority="274" operator="containsText" text="CMS">
      <formula>NOT(ISERROR(SEARCH("CMS",R19)))</formula>
    </cfRule>
    <cfRule type="cellIs" dxfId="7053" priority="275" operator="equal">
      <formula>0</formula>
    </cfRule>
    <cfRule type="cellIs" dxfId="7052" priority="276" operator="greaterThan">
      <formula>0</formula>
    </cfRule>
  </conditionalFormatting>
  <conditionalFormatting sqref="G13:G16">
    <cfRule type="cellIs" dxfId="7051" priority="265" operator="equal">
      <formula>"PMS"</formula>
    </cfRule>
    <cfRule type="containsText" dxfId="7050" priority="266" operator="containsText" text="CMS">
      <formula>NOT(ISERROR(SEARCH("CMS",G13)))</formula>
    </cfRule>
    <cfRule type="cellIs" dxfId="7049" priority="267" operator="equal">
      <formula>0</formula>
    </cfRule>
    <cfRule type="cellIs" dxfId="7048" priority="268" operator="greaterThan">
      <formula>0</formula>
    </cfRule>
    <cfRule type="cellIs" dxfId="7047" priority="269" operator="equal">
      <formula>"PMS"</formula>
    </cfRule>
    <cfRule type="containsText" dxfId="7046" priority="270" operator="containsText" text="CMS">
      <formula>NOT(ISERROR(SEARCH("CMS",G13)))</formula>
    </cfRule>
    <cfRule type="cellIs" dxfId="7045" priority="271" operator="equal">
      <formula>0</formula>
    </cfRule>
    <cfRule type="cellIs" dxfId="7044" priority="272" operator="greaterThan">
      <formula>0</formula>
    </cfRule>
  </conditionalFormatting>
  <conditionalFormatting sqref="G13:G16">
    <cfRule type="cellIs" dxfId="7043" priority="261" operator="equal">
      <formula>"PMS"</formula>
    </cfRule>
    <cfRule type="containsText" dxfId="7042" priority="262" operator="containsText" text="CMS">
      <formula>NOT(ISERROR(SEARCH("CMS",G13)))</formula>
    </cfRule>
    <cfRule type="cellIs" dxfId="7041" priority="263" operator="equal">
      <formula>0</formula>
    </cfRule>
    <cfRule type="cellIs" dxfId="7040" priority="264" operator="greaterThan">
      <formula>0</formula>
    </cfRule>
  </conditionalFormatting>
  <conditionalFormatting sqref="M13">
    <cfRule type="cellIs" dxfId="7039" priority="253" operator="equal">
      <formula>"PMS"</formula>
    </cfRule>
    <cfRule type="containsText" dxfId="7038" priority="254" operator="containsText" text="CMS">
      <formula>NOT(ISERROR(SEARCH("CMS",M13)))</formula>
    </cfRule>
    <cfRule type="cellIs" dxfId="7037" priority="255" operator="equal">
      <formula>0</formula>
    </cfRule>
    <cfRule type="cellIs" dxfId="7036" priority="256" operator="greaterThan">
      <formula>0</formula>
    </cfRule>
    <cfRule type="cellIs" dxfId="7035" priority="257" operator="equal">
      <formula>"PMS"</formula>
    </cfRule>
    <cfRule type="containsText" dxfId="7034" priority="258" operator="containsText" text="CMS">
      <formula>NOT(ISERROR(SEARCH("CMS",M13)))</formula>
    </cfRule>
    <cfRule type="cellIs" dxfId="7033" priority="259" operator="equal">
      <formula>0</formula>
    </cfRule>
    <cfRule type="cellIs" dxfId="7032" priority="260" operator="greaterThan">
      <formula>0</formula>
    </cfRule>
  </conditionalFormatting>
  <conditionalFormatting sqref="M13">
    <cfRule type="cellIs" dxfId="7031" priority="249" operator="equal">
      <formula>"PMS"</formula>
    </cfRule>
    <cfRule type="containsText" dxfId="7030" priority="250" operator="containsText" text="CMS">
      <formula>NOT(ISERROR(SEARCH("CMS",M13)))</formula>
    </cfRule>
    <cfRule type="cellIs" dxfId="7029" priority="251" operator="equal">
      <formula>0</formula>
    </cfRule>
    <cfRule type="cellIs" dxfId="7028" priority="252" operator="greaterThan">
      <formula>0</formula>
    </cfRule>
  </conditionalFormatting>
  <conditionalFormatting sqref="R78:R79">
    <cfRule type="cellIs" dxfId="7027" priority="241" operator="equal">
      <formula>"PMS"</formula>
    </cfRule>
    <cfRule type="containsText" dxfId="7026" priority="242" operator="containsText" text="CMS">
      <formula>NOT(ISERROR(SEARCH("CMS",R78)))</formula>
    </cfRule>
    <cfRule type="cellIs" dxfId="7025" priority="243" operator="equal">
      <formula>0</formula>
    </cfRule>
    <cfRule type="cellIs" dxfId="7024" priority="244" operator="greaterThan">
      <formula>0</formula>
    </cfRule>
    <cfRule type="cellIs" dxfId="7023" priority="245" operator="equal">
      <formula>"PMS"</formula>
    </cfRule>
    <cfRule type="containsText" dxfId="7022" priority="246" operator="containsText" text="CMS">
      <formula>NOT(ISERROR(SEARCH("CMS",R78)))</formula>
    </cfRule>
    <cfRule type="cellIs" dxfId="7021" priority="247" operator="equal">
      <formula>0</formula>
    </cfRule>
    <cfRule type="cellIs" dxfId="7020" priority="248" operator="greaterThan">
      <formula>0</formula>
    </cfRule>
  </conditionalFormatting>
  <conditionalFormatting sqref="R78:R79">
    <cfRule type="cellIs" dxfId="7019" priority="237" operator="equal">
      <formula>"PMS"</formula>
    </cfRule>
    <cfRule type="containsText" dxfId="7018" priority="238" operator="containsText" text="CMS">
      <formula>NOT(ISERROR(SEARCH("CMS",R78)))</formula>
    </cfRule>
    <cfRule type="cellIs" dxfId="7017" priority="239" operator="equal">
      <formula>0</formula>
    </cfRule>
    <cfRule type="cellIs" dxfId="7016" priority="240" operator="greaterThan">
      <formula>0</formula>
    </cfRule>
  </conditionalFormatting>
  <conditionalFormatting sqref="O15">
    <cfRule type="cellIs" dxfId="7015" priority="229" operator="equal">
      <formula>"PMS"</formula>
    </cfRule>
    <cfRule type="containsText" dxfId="7014" priority="230" operator="containsText" text="CMS">
      <formula>NOT(ISERROR(SEARCH("CMS",O15)))</formula>
    </cfRule>
    <cfRule type="cellIs" dxfId="7013" priority="231" operator="equal">
      <formula>0</formula>
    </cfRule>
    <cfRule type="cellIs" dxfId="7012" priority="232" operator="greaterThan">
      <formula>0</formula>
    </cfRule>
    <cfRule type="cellIs" dxfId="7011" priority="233" operator="equal">
      <formula>"PMS"</formula>
    </cfRule>
    <cfRule type="containsText" dxfId="7010" priority="234" operator="containsText" text="CMS">
      <formula>NOT(ISERROR(SEARCH("CMS",O15)))</formula>
    </cfRule>
    <cfRule type="cellIs" dxfId="7009" priority="235" operator="equal">
      <formula>0</formula>
    </cfRule>
    <cfRule type="cellIs" dxfId="7008" priority="236" operator="greaterThan">
      <formula>0</formula>
    </cfRule>
  </conditionalFormatting>
  <conditionalFormatting sqref="O15">
    <cfRule type="cellIs" dxfId="7007" priority="225" operator="equal">
      <formula>"PMS"</formula>
    </cfRule>
    <cfRule type="containsText" dxfId="7006" priority="226" operator="containsText" text="CMS">
      <formula>NOT(ISERROR(SEARCH("CMS",O15)))</formula>
    </cfRule>
    <cfRule type="cellIs" dxfId="7005" priority="227" operator="equal">
      <formula>0</formula>
    </cfRule>
    <cfRule type="cellIs" dxfId="7004" priority="228" operator="greaterThan">
      <formula>0</formula>
    </cfRule>
  </conditionalFormatting>
  <conditionalFormatting sqref="O16">
    <cfRule type="cellIs" dxfId="7003" priority="217" operator="equal">
      <formula>"PMS"</formula>
    </cfRule>
    <cfRule type="containsText" dxfId="7002" priority="218" operator="containsText" text="CMS">
      <formula>NOT(ISERROR(SEARCH("CMS",O16)))</formula>
    </cfRule>
    <cfRule type="cellIs" dxfId="7001" priority="219" operator="equal">
      <formula>0</formula>
    </cfRule>
    <cfRule type="cellIs" dxfId="7000" priority="220" operator="greaterThan">
      <formula>0</formula>
    </cfRule>
    <cfRule type="cellIs" dxfId="6999" priority="221" operator="equal">
      <formula>"PMS"</formula>
    </cfRule>
    <cfRule type="containsText" dxfId="6998" priority="222" operator="containsText" text="CMS">
      <formula>NOT(ISERROR(SEARCH("CMS",O16)))</formula>
    </cfRule>
    <cfRule type="cellIs" dxfId="6997" priority="223" operator="equal">
      <formula>0</formula>
    </cfRule>
    <cfRule type="cellIs" dxfId="6996" priority="224" operator="greaterThan">
      <formula>0</formula>
    </cfRule>
  </conditionalFormatting>
  <conditionalFormatting sqref="O16">
    <cfRule type="cellIs" dxfId="6995" priority="213" operator="equal">
      <formula>"PMS"</formula>
    </cfRule>
    <cfRule type="containsText" dxfId="6994" priority="214" operator="containsText" text="CMS">
      <formula>NOT(ISERROR(SEARCH("CMS",O16)))</formula>
    </cfRule>
    <cfRule type="cellIs" dxfId="6993" priority="215" operator="equal">
      <formula>0</formula>
    </cfRule>
    <cfRule type="cellIs" dxfId="6992" priority="216" operator="greaterThan">
      <formula>0</formula>
    </cfRule>
  </conditionalFormatting>
  <conditionalFormatting sqref="N15">
    <cfRule type="cellIs" dxfId="6991" priority="205" operator="equal">
      <formula>"PMS"</formula>
    </cfRule>
    <cfRule type="containsText" dxfId="6990" priority="206" operator="containsText" text="CMS">
      <formula>NOT(ISERROR(SEARCH("CMS",N15)))</formula>
    </cfRule>
    <cfRule type="cellIs" dxfId="6989" priority="207" operator="equal">
      <formula>0</formula>
    </cfRule>
    <cfRule type="cellIs" dxfId="6988" priority="208" operator="greaterThan">
      <formula>0</formula>
    </cfRule>
    <cfRule type="cellIs" dxfId="6987" priority="209" operator="equal">
      <formula>"PMS"</formula>
    </cfRule>
    <cfRule type="containsText" dxfId="6986" priority="210" operator="containsText" text="CMS">
      <formula>NOT(ISERROR(SEARCH("CMS",N15)))</formula>
    </cfRule>
    <cfRule type="cellIs" dxfId="6985" priority="211" operator="equal">
      <formula>0</formula>
    </cfRule>
    <cfRule type="cellIs" dxfId="6984" priority="212" operator="greaterThan">
      <formula>0</formula>
    </cfRule>
  </conditionalFormatting>
  <conditionalFormatting sqref="N15">
    <cfRule type="cellIs" dxfId="6983" priority="201" operator="equal">
      <formula>"PMS"</formula>
    </cfRule>
    <cfRule type="containsText" dxfId="6982" priority="202" operator="containsText" text="CMS">
      <formula>NOT(ISERROR(SEARCH("CMS",N15)))</formula>
    </cfRule>
    <cfRule type="cellIs" dxfId="6981" priority="203" operator="equal">
      <formula>0</formula>
    </cfRule>
    <cfRule type="cellIs" dxfId="6980" priority="204" operator="greaterThan">
      <formula>0</formula>
    </cfRule>
  </conditionalFormatting>
  <conditionalFormatting sqref="N16">
    <cfRule type="cellIs" dxfId="6979" priority="193" operator="equal">
      <formula>"PMS"</formula>
    </cfRule>
    <cfRule type="containsText" dxfId="6978" priority="194" operator="containsText" text="CMS">
      <formula>NOT(ISERROR(SEARCH("CMS",N16)))</formula>
    </cfRule>
    <cfRule type="cellIs" dxfId="6977" priority="195" operator="equal">
      <formula>0</formula>
    </cfRule>
    <cfRule type="cellIs" dxfId="6976" priority="196" operator="greaterThan">
      <formula>0</formula>
    </cfRule>
    <cfRule type="cellIs" dxfId="6975" priority="197" operator="equal">
      <formula>"PMS"</formula>
    </cfRule>
    <cfRule type="containsText" dxfId="6974" priority="198" operator="containsText" text="CMS">
      <formula>NOT(ISERROR(SEARCH("CMS",N16)))</formula>
    </cfRule>
    <cfRule type="cellIs" dxfId="6973" priority="199" operator="equal">
      <formula>0</formula>
    </cfRule>
    <cfRule type="cellIs" dxfId="6972" priority="200" operator="greaterThan">
      <formula>0</formula>
    </cfRule>
  </conditionalFormatting>
  <conditionalFormatting sqref="N16">
    <cfRule type="cellIs" dxfId="6971" priority="189" operator="equal">
      <formula>"PMS"</formula>
    </cfRule>
    <cfRule type="containsText" dxfId="6970" priority="190" operator="containsText" text="CMS">
      <formula>NOT(ISERROR(SEARCH("CMS",N16)))</formula>
    </cfRule>
    <cfRule type="cellIs" dxfId="6969" priority="191" operator="equal">
      <formula>0</formula>
    </cfRule>
    <cfRule type="cellIs" dxfId="6968" priority="192" operator="greaterThan">
      <formula>0</formula>
    </cfRule>
  </conditionalFormatting>
  <conditionalFormatting sqref="O21">
    <cfRule type="cellIs" dxfId="6967" priority="181" operator="equal">
      <formula>"PMS"</formula>
    </cfRule>
    <cfRule type="containsText" dxfId="6966" priority="182" operator="containsText" text="CMS">
      <formula>NOT(ISERROR(SEARCH("CMS",O21)))</formula>
    </cfRule>
    <cfRule type="cellIs" dxfId="6965" priority="183" operator="equal">
      <formula>0</formula>
    </cfRule>
    <cfRule type="cellIs" dxfId="6964" priority="184" operator="greaterThan">
      <formula>0</formula>
    </cfRule>
    <cfRule type="cellIs" dxfId="6963" priority="185" operator="equal">
      <formula>"PMS"</formula>
    </cfRule>
    <cfRule type="containsText" dxfId="6962" priority="186" operator="containsText" text="CMS">
      <formula>NOT(ISERROR(SEARCH("CMS",O21)))</formula>
    </cfRule>
    <cfRule type="cellIs" dxfId="6961" priority="187" operator="equal">
      <formula>0</formula>
    </cfRule>
    <cfRule type="cellIs" dxfId="6960" priority="188" operator="greaterThan">
      <formula>0</formula>
    </cfRule>
  </conditionalFormatting>
  <conditionalFormatting sqref="O21">
    <cfRule type="cellIs" dxfId="6959" priority="177" operator="equal">
      <formula>"PMS"</formula>
    </cfRule>
    <cfRule type="containsText" dxfId="6958" priority="178" operator="containsText" text="CMS">
      <formula>NOT(ISERROR(SEARCH("CMS",O21)))</formula>
    </cfRule>
    <cfRule type="cellIs" dxfId="6957" priority="179" operator="equal">
      <formula>0</formula>
    </cfRule>
    <cfRule type="cellIs" dxfId="6956" priority="180" operator="greaterThan">
      <formula>0</formula>
    </cfRule>
  </conditionalFormatting>
  <conditionalFormatting sqref="G28">
    <cfRule type="cellIs" dxfId="6955" priority="169" operator="equal">
      <formula>"PMS"</formula>
    </cfRule>
    <cfRule type="containsText" dxfId="6954" priority="170" operator="containsText" text="CMS">
      <formula>NOT(ISERROR(SEARCH("CMS",G28)))</formula>
    </cfRule>
    <cfRule type="cellIs" dxfId="6953" priority="171" operator="equal">
      <formula>0</formula>
    </cfRule>
    <cfRule type="cellIs" dxfId="6952" priority="172" operator="greaterThan">
      <formula>0</formula>
    </cfRule>
    <cfRule type="cellIs" dxfId="6951" priority="173" operator="equal">
      <formula>"PMS"</formula>
    </cfRule>
    <cfRule type="containsText" dxfId="6950" priority="174" operator="containsText" text="CMS">
      <formula>NOT(ISERROR(SEARCH("CMS",G28)))</formula>
    </cfRule>
    <cfRule type="cellIs" dxfId="6949" priority="175" operator="equal">
      <formula>0</formula>
    </cfRule>
    <cfRule type="cellIs" dxfId="6948" priority="176" operator="greaterThan">
      <formula>0</formula>
    </cfRule>
  </conditionalFormatting>
  <conditionalFormatting sqref="G28">
    <cfRule type="cellIs" dxfId="6947" priority="165" operator="equal">
      <formula>"PMS"</formula>
    </cfRule>
    <cfRule type="containsText" dxfId="6946" priority="166" operator="containsText" text="CMS">
      <formula>NOT(ISERROR(SEARCH("CMS",G28)))</formula>
    </cfRule>
    <cfRule type="cellIs" dxfId="6945" priority="167" operator="equal">
      <formula>0</formula>
    </cfRule>
    <cfRule type="cellIs" dxfId="6944" priority="168" operator="greaterThan">
      <formula>0</formula>
    </cfRule>
  </conditionalFormatting>
  <conditionalFormatting sqref="K13">
    <cfRule type="cellIs" dxfId="6943" priority="157" operator="equal">
      <formula>"PMS"</formula>
    </cfRule>
    <cfRule type="containsText" dxfId="6942" priority="158" operator="containsText" text="CMS">
      <formula>NOT(ISERROR(SEARCH("CMS",K13)))</formula>
    </cfRule>
    <cfRule type="cellIs" dxfId="6941" priority="159" operator="equal">
      <formula>0</formula>
    </cfRule>
    <cfRule type="cellIs" dxfId="6940" priority="160" operator="greaterThan">
      <formula>0</formula>
    </cfRule>
    <cfRule type="cellIs" dxfId="6939" priority="161" operator="equal">
      <formula>"PMS"</formula>
    </cfRule>
    <cfRule type="containsText" dxfId="6938" priority="162" operator="containsText" text="CMS">
      <formula>NOT(ISERROR(SEARCH("CMS",K13)))</formula>
    </cfRule>
    <cfRule type="cellIs" dxfId="6937" priority="163" operator="equal">
      <formula>0</formula>
    </cfRule>
    <cfRule type="cellIs" dxfId="6936" priority="164" operator="greaterThan">
      <formula>0</formula>
    </cfRule>
  </conditionalFormatting>
  <conditionalFormatting sqref="K13">
    <cfRule type="cellIs" dxfId="6935" priority="153" operator="equal">
      <formula>"PMS"</formula>
    </cfRule>
    <cfRule type="containsText" dxfId="6934" priority="154" operator="containsText" text="CMS">
      <formula>NOT(ISERROR(SEARCH("CMS",K13)))</formula>
    </cfRule>
    <cfRule type="cellIs" dxfId="6933" priority="155" operator="equal">
      <formula>0</formula>
    </cfRule>
    <cfRule type="cellIs" dxfId="6932" priority="156" operator="greaterThan">
      <formula>0</formula>
    </cfRule>
  </conditionalFormatting>
  <conditionalFormatting sqref="F13:F16 F36:F59 F62:F64">
    <cfRule type="cellIs" dxfId="6931" priority="73" operator="equal">
      <formula>"PMS"</formula>
    </cfRule>
    <cfRule type="containsText" dxfId="6930" priority="74" operator="containsText" text="CMS">
      <formula>NOT(ISERROR(SEARCH("CMS",F13)))</formula>
    </cfRule>
    <cfRule type="cellIs" dxfId="6929" priority="75" operator="equal">
      <formula>0</formula>
    </cfRule>
    <cfRule type="cellIs" dxfId="6928" priority="76" operator="greaterThan">
      <formula>0</formula>
    </cfRule>
    <cfRule type="cellIs" dxfId="6927" priority="77" operator="equal">
      <formula>"PMS"</formula>
    </cfRule>
    <cfRule type="containsText" dxfId="6926" priority="78" operator="containsText" text="CMS">
      <formula>NOT(ISERROR(SEARCH("CMS",F13)))</formula>
    </cfRule>
    <cfRule type="cellIs" dxfId="6925" priority="79" operator="equal">
      <formula>0</formula>
    </cfRule>
    <cfRule type="cellIs" dxfId="6924" priority="80" operator="greaterThan">
      <formula>0</formula>
    </cfRule>
  </conditionalFormatting>
  <conditionalFormatting sqref="F13:F16 F36:F59 F62:F64">
    <cfRule type="cellIs" dxfId="6923" priority="69" operator="equal">
      <formula>"PMS"</formula>
    </cfRule>
    <cfRule type="containsText" dxfId="6922" priority="70" operator="containsText" text="CMS">
      <formula>NOT(ISERROR(SEARCH("CMS",F13)))</formula>
    </cfRule>
    <cfRule type="cellIs" dxfId="6921" priority="71" operator="equal">
      <formula>0</formula>
    </cfRule>
    <cfRule type="cellIs" dxfId="6920" priority="72" operator="greaterThan">
      <formula>0</formula>
    </cfRule>
  </conditionalFormatting>
  <conditionalFormatting sqref="F19:F21">
    <cfRule type="cellIs" dxfId="6919" priority="61" operator="equal">
      <formula>"PMS"</formula>
    </cfRule>
    <cfRule type="containsText" dxfId="6918" priority="62" operator="containsText" text="CMS">
      <formula>NOT(ISERROR(SEARCH("CMS",F19)))</formula>
    </cfRule>
    <cfRule type="cellIs" dxfId="6917" priority="63" operator="equal">
      <formula>0</formula>
    </cfRule>
    <cfRule type="cellIs" dxfId="6916" priority="64" operator="greaterThan">
      <formula>0</formula>
    </cfRule>
    <cfRule type="cellIs" dxfId="6915" priority="65" operator="equal">
      <formula>"PMS"</formula>
    </cfRule>
    <cfRule type="containsText" dxfId="6914" priority="66" operator="containsText" text="CMS">
      <formula>NOT(ISERROR(SEARCH("CMS",F19)))</formula>
    </cfRule>
    <cfRule type="cellIs" dxfId="6913" priority="67" operator="equal">
      <formula>0</formula>
    </cfRule>
    <cfRule type="cellIs" dxfId="6912" priority="68" operator="greaterThan">
      <formula>0</formula>
    </cfRule>
  </conditionalFormatting>
  <conditionalFormatting sqref="F19:F21">
    <cfRule type="cellIs" dxfId="6911" priority="57" operator="equal">
      <formula>"PMS"</formula>
    </cfRule>
    <cfRule type="containsText" dxfId="6910" priority="58" operator="containsText" text="CMS">
      <formula>NOT(ISERROR(SEARCH("CMS",F19)))</formula>
    </cfRule>
    <cfRule type="cellIs" dxfId="6909" priority="59" operator="equal">
      <formula>0</formula>
    </cfRule>
    <cfRule type="cellIs" dxfId="6908" priority="60" operator="greaterThan">
      <formula>0</formula>
    </cfRule>
  </conditionalFormatting>
  <conditionalFormatting sqref="F24">
    <cfRule type="cellIs" dxfId="6907" priority="49" operator="equal">
      <formula>"PMS"</formula>
    </cfRule>
    <cfRule type="containsText" dxfId="6906" priority="50" operator="containsText" text="CMS">
      <formula>NOT(ISERROR(SEARCH("CMS",F24)))</formula>
    </cfRule>
    <cfRule type="cellIs" dxfId="6905" priority="51" operator="equal">
      <formula>0</formula>
    </cfRule>
    <cfRule type="cellIs" dxfId="6904" priority="52" operator="greaterThan">
      <formula>0</formula>
    </cfRule>
    <cfRule type="cellIs" dxfId="6903" priority="53" operator="equal">
      <formula>"PMS"</formula>
    </cfRule>
    <cfRule type="containsText" dxfId="6902" priority="54" operator="containsText" text="CMS">
      <formula>NOT(ISERROR(SEARCH("CMS",F24)))</formula>
    </cfRule>
    <cfRule type="cellIs" dxfId="6901" priority="55" operator="equal">
      <formula>0</formula>
    </cfRule>
    <cfRule type="cellIs" dxfId="6900" priority="56" operator="greaterThan">
      <formula>0</formula>
    </cfRule>
  </conditionalFormatting>
  <conditionalFormatting sqref="F24">
    <cfRule type="cellIs" dxfId="6899" priority="45" operator="equal">
      <formula>"PMS"</formula>
    </cfRule>
    <cfRule type="containsText" dxfId="6898" priority="46" operator="containsText" text="CMS">
      <formula>NOT(ISERROR(SEARCH("CMS",F24)))</formula>
    </cfRule>
    <cfRule type="cellIs" dxfId="6897" priority="47" operator="equal">
      <formula>0</formula>
    </cfRule>
    <cfRule type="cellIs" dxfId="6896" priority="48" operator="greaterThan">
      <formula>0</formula>
    </cfRule>
  </conditionalFormatting>
  <conditionalFormatting sqref="F27:F30">
    <cfRule type="cellIs" dxfId="6895" priority="37" operator="equal">
      <formula>"PMS"</formula>
    </cfRule>
    <cfRule type="containsText" dxfId="6894" priority="38" operator="containsText" text="CMS">
      <formula>NOT(ISERROR(SEARCH("CMS",F27)))</formula>
    </cfRule>
    <cfRule type="cellIs" dxfId="6893" priority="39" operator="equal">
      <formula>0</formula>
    </cfRule>
    <cfRule type="cellIs" dxfId="6892" priority="40" operator="greaterThan">
      <formula>0</formula>
    </cfRule>
    <cfRule type="cellIs" dxfId="6891" priority="41" operator="equal">
      <formula>"PMS"</formula>
    </cfRule>
    <cfRule type="containsText" dxfId="6890" priority="42" operator="containsText" text="CMS">
      <formula>NOT(ISERROR(SEARCH("CMS",F27)))</formula>
    </cfRule>
    <cfRule type="cellIs" dxfId="6889" priority="43" operator="equal">
      <formula>0</formula>
    </cfRule>
    <cfRule type="cellIs" dxfId="6888" priority="44" operator="greaterThan">
      <formula>0</formula>
    </cfRule>
  </conditionalFormatting>
  <conditionalFormatting sqref="F27:F30">
    <cfRule type="cellIs" dxfId="6887" priority="33" operator="equal">
      <formula>"PMS"</formula>
    </cfRule>
    <cfRule type="containsText" dxfId="6886" priority="34" operator="containsText" text="CMS">
      <formula>NOT(ISERROR(SEARCH("CMS",F27)))</formula>
    </cfRule>
    <cfRule type="cellIs" dxfId="6885" priority="35" operator="equal">
      <formula>0</formula>
    </cfRule>
    <cfRule type="cellIs" dxfId="6884" priority="36" operator="greaterThan">
      <formula>0</formula>
    </cfRule>
  </conditionalFormatting>
  <conditionalFormatting sqref="F33">
    <cfRule type="cellIs" dxfId="6883" priority="25" operator="equal">
      <formula>"PMS"</formula>
    </cfRule>
    <cfRule type="containsText" dxfId="6882" priority="26" operator="containsText" text="CMS">
      <formula>NOT(ISERROR(SEARCH("CMS",F33)))</formula>
    </cfRule>
    <cfRule type="cellIs" dxfId="6881" priority="27" operator="equal">
      <formula>0</formula>
    </cfRule>
    <cfRule type="cellIs" dxfId="6880" priority="28" operator="greaterThan">
      <formula>0</formula>
    </cfRule>
    <cfRule type="cellIs" dxfId="6879" priority="29" operator="equal">
      <formula>"PMS"</formula>
    </cfRule>
    <cfRule type="containsText" dxfId="6878" priority="30" operator="containsText" text="CMS">
      <formula>NOT(ISERROR(SEARCH("CMS",F33)))</formula>
    </cfRule>
    <cfRule type="cellIs" dxfId="6877" priority="31" operator="equal">
      <formula>0</formula>
    </cfRule>
    <cfRule type="cellIs" dxfId="6876" priority="32" operator="greaterThan">
      <formula>0</formula>
    </cfRule>
  </conditionalFormatting>
  <conditionalFormatting sqref="F33">
    <cfRule type="cellIs" dxfId="6875" priority="21" operator="equal">
      <formula>"PMS"</formula>
    </cfRule>
    <cfRule type="containsText" dxfId="6874" priority="22" operator="containsText" text="CMS">
      <formula>NOT(ISERROR(SEARCH("CMS",F33)))</formula>
    </cfRule>
    <cfRule type="cellIs" dxfId="6873" priority="23" operator="equal">
      <formula>0</formula>
    </cfRule>
    <cfRule type="cellIs" dxfId="6872" priority="24" operator="greaterThan">
      <formula>0</formula>
    </cfRule>
  </conditionalFormatting>
  <conditionalFormatting sqref="F67:F75 F78:F79">
    <cfRule type="cellIs" dxfId="6871" priority="13" operator="equal">
      <formula>"PMS"</formula>
    </cfRule>
    <cfRule type="containsText" dxfId="6870" priority="14" operator="containsText" text="CMS">
      <formula>NOT(ISERROR(SEARCH("CMS",F67)))</formula>
    </cfRule>
    <cfRule type="cellIs" dxfId="6869" priority="15" operator="equal">
      <formula>0</formula>
    </cfRule>
    <cfRule type="cellIs" dxfId="6868" priority="16" operator="greaterThan">
      <formula>0</formula>
    </cfRule>
    <cfRule type="cellIs" dxfId="6867" priority="17" operator="equal">
      <formula>"PMS"</formula>
    </cfRule>
    <cfRule type="containsText" dxfId="6866" priority="18" operator="containsText" text="CMS">
      <formula>NOT(ISERROR(SEARCH("CMS",F67)))</formula>
    </cfRule>
    <cfRule type="cellIs" dxfId="6865" priority="19" operator="equal">
      <formula>0</formula>
    </cfRule>
    <cfRule type="cellIs" dxfId="6864" priority="20" operator="greaterThan">
      <formula>0</formula>
    </cfRule>
  </conditionalFormatting>
  <conditionalFormatting sqref="F67:F75 F78:F79">
    <cfRule type="cellIs" dxfId="6863" priority="9" operator="equal">
      <formula>"PMS"</formula>
    </cfRule>
    <cfRule type="containsText" dxfId="6862" priority="10" operator="containsText" text="CMS">
      <formula>NOT(ISERROR(SEARCH("CMS",F67)))</formula>
    </cfRule>
    <cfRule type="cellIs" dxfId="6861" priority="11" operator="equal">
      <formula>0</formula>
    </cfRule>
    <cfRule type="cellIs" dxfId="6860" priority="12" operator="greaterThan">
      <formula>0</formula>
    </cfRule>
  </conditionalFormatting>
  <conditionalFormatting sqref="G113:AC113">
    <cfRule type="cellIs" dxfId="6859" priority="8" operator="greaterThan">
      <formula>60.3</formula>
    </cfRule>
  </conditionalFormatting>
  <conditionalFormatting sqref="H112:M112">
    <cfRule type="cellIs" dxfId="6858" priority="4" operator="greaterThan">
      <formula>60.3</formula>
    </cfRule>
  </conditionalFormatting>
  <conditionalFormatting sqref="F112:G112">
    <cfRule type="cellIs" dxfId="6857" priority="2" operator="greaterThan">
      <formula>60.3</formula>
    </cfRule>
  </conditionalFormatting>
  <conditionalFormatting sqref="N112:AC112">
    <cfRule type="cellIs" dxfId="6856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963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712309-77DC-46F6-B18A-A70787C59CBB}">
  <sheetPr codeName="Sheet166"/>
  <dimension ref="A2:DT141"/>
  <sheetViews>
    <sheetView zoomScale="70" zoomScaleNormal="70" zoomScaleSheetLayoutView="51" zoomScalePageLayoutView="55" workbookViewId="0">
      <pane xSplit="5" ySplit="11" topLeftCell="F12" activePane="bottomRight" state="frozen"/>
      <selection pane="bottomRight" activeCell="M9" sqref="M9:O9"/>
      <selection pane="bottomLeft" activeCell="AJ44" sqref="AJ44"/>
      <selection pane="topRight" activeCell="AJ44" sqref="AJ4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23"/>
      <c r="N8" s="523"/>
      <c r="O8" s="52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24" t="e" cm="1">
        <f t="array" aca="1" ref="M9" ca="1">TEXT(TODAY(),"mmmm")&amp;" "&amp;MID(CELL("filename",A1),FIND("]",CELL("filename",A1))+1,255)&amp;", "&amp;TEXT(TODAY(),"yyyy")</f>
        <v>#VALUE!</v>
      </c>
      <c r="N9" s="524"/>
      <c r="O9" s="524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4"/>
      <c r="R10" s="344"/>
      <c r="S10" s="344"/>
      <c r="T10" s="344"/>
      <c r="U10" s="344"/>
      <c r="V10" s="344"/>
      <c r="W10" s="344"/>
      <c r="X10" s="344"/>
      <c r="Y10" s="344"/>
      <c r="Z10" s="344"/>
      <c r="AA10" s="344"/>
      <c r="AB10" s="344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17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554.19999999999993</v>
      </c>
    </row>
    <row r="13" spans="1:41">
      <c r="A13" s="14" t="s">
        <v>22</v>
      </c>
      <c r="B13" s="15"/>
      <c r="C13" s="15">
        <v>7.2</v>
      </c>
      <c r="D13" s="15"/>
      <c r="E13" s="15"/>
      <c r="F13" s="372">
        <v>6.5</v>
      </c>
      <c r="G13" s="372">
        <v>6.7</v>
      </c>
      <c r="H13" s="372">
        <v>6.7</v>
      </c>
      <c r="I13" s="372">
        <v>6.7</v>
      </c>
      <c r="J13" s="372">
        <v>6.4</v>
      </c>
      <c r="K13" s="372">
        <v>6.6</v>
      </c>
      <c r="L13" s="374">
        <v>6.6</v>
      </c>
      <c r="M13" s="372">
        <v>6.6</v>
      </c>
      <c r="N13" s="372">
        <v>6.7</v>
      </c>
      <c r="O13" s="372">
        <v>6.8</v>
      </c>
      <c r="P13" s="372">
        <v>6.4</v>
      </c>
      <c r="Q13" s="372">
        <v>6.7</v>
      </c>
      <c r="R13" s="372">
        <v>6.6</v>
      </c>
      <c r="S13" s="372">
        <v>6.7</v>
      </c>
      <c r="T13" s="372">
        <v>6.7</v>
      </c>
      <c r="U13" s="372">
        <v>6.6</v>
      </c>
      <c r="V13" s="372">
        <v>6.7</v>
      </c>
      <c r="W13" s="372">
        <v>6.4</v>
      </c>
      <c r="X13" s="372">
        <v>6.6</v>
      </c>
      <c r="Y13" s="372">
        <v>6.8</v>
      </c>
      <c r="Z13" s="372">
        <v>6.9</v>
      </c>
      <c r="AA13" s="372">
        <v>6.9</v>
      </c>
      <c r="AB13" s="372">
        <v>0</v>
      </c>
      <c r="AC13" s="372">
        <v>0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1">
      <c r="A14" s="14" t="s">
        <v>23</v>
      </c>
      <c r="B14" s="15"/>
      <c r="C14" s="15">
        <v>7.2</v>
      </c>
      <c r="D14" s="15"/>
      <c r="E14" s="15"/>
      <c r="F14" s="372">
        <v>6.5</v>
      </c>
      <c r="G14" s="372">
        <v>6.7</v>
      </c>
      <c r="H14" s="374">
        <v>6.7</v>
      </c>
      <c r="I14" s="372">
        <v>6.7</v>
      </c>
      <c r="J14" s="372"/>
      <c r="K14" s="372"/>
      <c r="L14" s="372"/>
      <c r="M14" s="372"/>
      <c r="N14" s="372"/>
      <c r="O14" s="372"/>
      <c r="P14" s="372">
        <v>6.4</v>
      </c>
      <c r="Q14" s="372">
        <v>6.7</v>
      </c>
      <c r="R14" s="372">
        <v>6.6</v>
      </c>
      <c r="S14" s="372">
        <v>6.7</v>
      </c>
      <c r="T14" s="372">
        <v>6.7</v>
      </c>
      <c r="U14" s="372">
        <v>6.7</v>
      </c>
      <c r="V14" s="372">
        <v>6.7</v>
      </c>
      <c r="W14" s="372">
        <v>6.4</v>
      </c>
      <c r="X14" s="372">
        <v>6.6</v>
      </c>
      <c r="Y14" s="372">
        <v>6.8</v>
      </c>
      <c r="Z14" s="372">
        <v>6.3</v>
      </c>
      <c r="AA14" s="372">
        <v>6</v>
      </c>
      <c r="AB14" s="372">
        <v>6.5</v>
      </c>
      <c r="AC14" s="372">
        <v>6.7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18</v>
      </c>
    </row>
    <row r="15" spans="1:41">
      <c r="A15" s="66" t="s">
        <v>24</v>
      </c>
      <c r="B15" s="15"/>
      <c r="C15" s="15">
        <v>7.2</v>
      </c>
      <c r="D15" s="15"/>
      <c r="E15" s="15"/>
      <c r="F15" s="372"/>
      <c r="G15" s="372">
        <v>2.7</v>
      </c>
      <c r="H15" s="374">
        <v>6.7</v>
      </c>
      <c r="I15" s="372">
        <v>6.7</v>
      </c>
      <c r="J15" s="372">
        <v>6.4</v>
      </c>
      <c r="K15" s="374">
        <v>6.6</v>
      </c>
      <c r="L15" s="374">
        <v>6.6</v>
      </c>
      <c r="M15" s="374">
        <v>6.6</v>
      </c>
      <c r="N15" s="372">
        <v>6.7</v>
      </c>
      <c r="O15" s="372">
        <v>6.8</v>
      </c>
      <c r="P15" s="372">
        <v>6.4</v>
      </c>
      <c r="Q15" s="372">
        <v>6.7</v>
      </c>
      <c r="R15" s="372">
        <v>6.6</v>
      </c>
      <c r="S15" s="372">
        <v>6.7</v>
      </c>
      <c r="T15" s="372">
        <v>6.7</v>
      </c>
      <c r="U15" s="372">
        <v>6.7</v>
      </c>
      <c r="V15" s="372">
        <v>6.7</v>
      </c>
      <c r="W15" s="372">
        <v>6.4</v>
      </c>
      <c r="X15" s="372">
        <v>6.6</v>
      </c>
      <c r="Y15" s="372">
        <v>6.8</v>
      </c>
      <c r="Z15" s="372">
        <v>6.3</v>
      </c>
      <c r="AA15" s="372">
        <v>6</v>
      </c>
      <c r="AB15" s="372">
        <v>6.5</v>
      </c>
      <c r="AC15" s="372">
        <v>6.7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23</v>
      </c>
    </row>
    <row r="16" spans="1:41">
      <c r="A16" s="14" t="s">
        <v>25</v>
      </c>
      <c r="B16" s="15"/>
      <c r="C16" s="15">
        <v>7.2</v>
      </c>
      <c r="D16" s="15"/>
      <c r="E16" s="15"/>
      <c r="F16" s="372">
        <v>6.5</v>
      </c>
      <c r="G16" s="372">
        <v>4</v>
      </c>
      <c r="H16" s="374"/>
      <c r="I16" s="372"/>
      <c r="J16" s="372">
        <v>6.4</v>
      </c>
      <c r="K16" s="374">
        <v>6.6</v>
      </c>
      <c r="L16" s="374">
        <v>6.6</v>
      </c>
      <c r="M16" s="374">
        <v>6.6</v>
      </c>
      <c r="N16" s="372">
        <v>6.7</v>
      </c>
      <c r="O16" s="372">
        <v>6.8</v>
      </c>
      <c r="P16" s="372">
        <v>6.4</v>
      </c>
      <c r="Q16" s="372">
        <v>6.7</v>
      </c>
      <c r="R16" s="372">
        <v>6.6</v>
      </c>
      <c r="S16" s="372">
        <v>6.7</v>
      </c>
      <c r="T16" s="372">
        <v>6.7</v>
      </c>
      <c r="U16" s="372">
        <v>6.6</v>
      </c>
      <c r="V16" s="372">
        <v>6.7</v>
      </c>
      <c r="W16" s="372">
        <v>6.4</v>
      </c>
      <c r="X16" s="372">
        <v>6.6</v>
      </c>
      <c r="Y16" s="372">
        <v>6.8</v>
      </c>
      <c r="Z16" s="372">
        <v>6.3</v>
      </c>
      <c r="AA16" s="372">
        <v>6</v>
      </c>
      <c r="AB16" s="372">
        <v>6.5</v>
      </c>
      <c r="AC16" s="372">
        <v>6.7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22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19.5</v>
      </c>
      <c r="G17" s="19">
        <f t="shared" si="0"/>
        <v>20.100000000000001</v>
      </c>
      <c r="H17" s="19">
        <f t="shared" si="0"/>
        <v>20.100000000000001</v>
      </c>
      <c r="I17" s="19">
        <f t="shared" si="0"/>
        <v>20.100000000000001</v>
      </c>
      <c r="J17" s="19">
        <f t="shared" si="0"/>
        <v>19.200000000000003</v>
      </c>
      <c r="K17" s="19">
        <f t="shared" si="0"/>
        <v>19.799999999999997</v>
      </c>
      <c r="L17" s="19">
        <f t="shared" si="0"/>
        <v>19.799999999999997</v>
      </c>
      <c r="M17" s="19">
        <f t="shared" si="0"/>
        <v>19.799999999999997</v>
      </c>
      <c r="N17" s="19">
        <f t="shared" si="0"/>
        <v>20.100000000000001</v>
      </c>
      <c r="O17" s="19">
        <f t="shared" si="0"/>
        <v>20.399999999999999</v>
      </c>
      <c r="P17" s="19">
        <f t="shared" si="0"/>
        <v>25.6</v>
      </c>
      <c r="Q17" s="19">
        <f t="shared" si="0"/>
        <v>26.8</v>
      </c>
      <c r="R17" s="19">
        <f t="shared" si="0"/>
        <v>26.4</v>
      </c>
      <c r="S17" s="19">
        <f t="shared" si="0"/>
        <v>26.8</v>
      </c>
      <c r="T17" s="19">
        <f t="shared" si="0"/>
        <v>26.8</v>
      </c>
      <c r="U17" s="19">
        <f t="shared" si="0"/>
        <v>26.6</v>
      </c>
      <c r="V17" s="19">
        <f t="shared" si="0"/>
        <v>26.8</v>
      </c>
      <c r="W17" s="19">
        <f t="shared" si="0"/>
        <v>25.6</v>
      </c>
      <c r="X17" s="19">
        <f t="shared" si="0"/>
        <v>26.4</v>
      </c>
      <c r="Y17" s="19">
        <f t="shared" si="0"/>
        <v>27.2</v>
      </c>
      <c r="Z17" s="19">
        <f t="shared" si="0"/>
        <v>25.8</v>
      </c>
      <c r="AA17" s="19">
        <f t="shared" si="0"/>
        <v>24.9</v>
      </c>
      <c r="AB17" s="19">
        <f t="shared" si="0"/>
        <v>19.5</v>
      </c>
      <c r="AC17" s="19">
        <f t="shared" si="0"/>
        <v>20.100000000000001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69.999999999999986</v>
      </c>
    </row>
    <row r="19" spans="1:51">
      <c r="A19" s="14" t="s">
        <v>22</v>
      </c>
      <c r="B19" s="15"/>
      <c r="C19" s="15">
        <v>3</v>
      </c>
      <c r="D19" s="15"/>
      <c r="E19" s="15"/>
      <c r="F19" s="372"/>
      <c r="G19" s="372"/>
      <c r="H19" s="372"/>
      <c r="I19" s="372"/>
      <c r="J19" s="372"/>
      <c r="K19" s="374"/>
      <c r="L19" s="374"/>
      <c r="M19" s="374"/>
      <c r="N19" s="374"/>
      <c r="O19" s="372">
        <v>2.8</v>
      </c>
      <c r="P19" s="374">
        <v>2.8</v>
      </c>
      <c r="Q19" s="372">
        <v>2.8</v>
      </c>
      <c r="R19" s="372">
        <v>2.8</v>
      </c>
      <c r="S19" s="372">
        <v>2.8</v>
      </c>
      <c r="T19" s="372">
        <v>2.8</v>
      </c>
      <c r="U19" s="372">
        <v>2.8</v>
      </c>
      <c r="V19" s="372">
        <v>2.8</v>
      </c>
      <c r="W19" s="372">
        <v>2.8</v>
      </c>
      <c r="X19" s="372">
        <v>2.8</v>
      </c>
      <c r="Y19" s="372">
        <v>2.8</v>
      </c>
      <c r="Z19" s="372">
        <v>2.8</v>
      </c>
      <c r="AA19" s="372">
        <v>2.8</v>
      </c>
      <c r="AB19" s="372">
        <v>2.8</v>
      </c>
      <c r="AC19" s="372">
        <v>2.8</v>
      </c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15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372"/>
      <c r="G20" s="372"/>
      <c r="H20" s="372"/>
      <c r="I20" s="372"/>
      <c r="J20" s="372"/>
      <c r="K20" s="374"/>
      <c r="L20" s="374"/>
      <c r="M20" s="374"/>
      <c r="N20" s="372"/>
      <c r="O20" s="372"/>
      <c r="P20" s="372"/>
      <c r="Q20" s="372"/>
      <c r="R20" s="372"/>
      <c r="S20" s="372"/>
      <c r="T20" s="372"/>
      <c r="U20" s="372"/>
      <c r="V20" s="372"/>
      <c r="W20" s="372"/>
      <c r="X20" s="372"/>
      <c r="Y20" s="372"/>
      <c r="Z20" s="372"/>
      <c r="AA20" s="372"/>
      <c r="AB20" s="372"/>
      <c r="AC20" s="372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2">
        <v>3</v>
      </c>
      <c r="G21" s="372">
        <v>3</v>
      </c>
      <c r="H21" s="372"/>
      <c r="I21" s="372"/>
      <c r="J21" s="372"/>
      <c r="K21" s="374"/>
      <c r="L21" s="374"/>
      <c r="M21" s="374">
        <v>3</v>
      </c>
      <c r="N21" s="372">
        <v>3.8</v>
      </c>
      <c r="O21" s="372">
        <v>3.8</v>
      </c>
      <c r="P21" s="372">
        <v>3.8</v>
      </c>
      <c r="Q21" s="372">
        <v>3.8</v>
      </c>
      <c r="R21" s="372">
        <v>3.8</v>
      </c>
      <c r="S21" s="372" t="s">
        <v>9</v>
      </c>
      <c r="T21" s="372" t="s">
        <v>9</v>
      </c>
      <c r="U21" s="372" t="s">
        <v>9</v>
      </c>
      <c r="V21" s="372" t="s">
        <v>9</v>
      </c>
      <c r="W21" s="372" t="s">
        <v>9</v>
      </c>
      <c r="X21" s="372" t="s">
        <v>9</v>
      </c>
      <c r="Y21" s="372" t="s">
        <v>9</v>
      </c>
      <c r="Z21" s="372" t="s">
        <v>9</v>
      </c>
      <c r="AA21" s="372" t="s">
        <v>9</v>
      </c>
      <c r="AB21" s="372">
        <v>0</v>
      </c>
      <c r="AC21" s="372">
        <v>0</v>
      </c>
      <c r="AD21" s="41"/>
      <c r="AE21" s="41"/>
      <c r="AF21" s="11">
        <f>COUNTIF(F21:AC21,$AJ$8)</f>
        <v>9</v>
      </c>
      <c r="AG21" s="11">
        <f>COUNTIF(G21:AD21,$AJ$7)</f>
        <v>0</v>
      </c>
      <c r="AH21" s="11">
        <f>COUNT(F21:AC21)</f>
        <v>10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3</v>
      </c>
      <c r="G22" s="19">
        <f t="shared" si="1"/>
        <v>3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3</v>
      </c>
      <c r="N22" s="19">
        <f t="shared" si="1"/>
        <v>3.8</v>
      </c>
      <c r="O22" s="19">
        <f t="shared" si="1"/>
        <v>6.6</v>
      </c>
      <c r="P22" s="19">
        <f t="shared" si="1"/>
        <v>6.6</v>
      </c>
      <c r="Q22" s="19">
        <f t="shared" si="1"/>
        <v>6.6</v>
      </c>
      <c r="R22" s="19">
        <f t="shared" si="1"/>
        <v>6.6</v>
      </c>
      <c r="S22" s="19">
        <f>SUM(S19:S21)</f>
        <v>2.8</v>
      </c>
      <c r="T22" s="19">
        <f t="shared" ref="T22" si="2">SUM(T19:T21)</f>
        <v>2.8</v>
      </c>
      <c r="U22" s="19">
        <f t="shared" si="1"/>
        <v>2.8</v>
      </c>
      <c r="V22" s="19">
        <f t="shared" si="1"/>
        <v>2.8</v>
      </c>
      <c r="W22" s="19">
        <f t="shared" si="1"/>
        <v>2.8</v>
      </c>
      <c r="X22" s="19">
        <f t="shared" si="1"/>
        <v>2.8</v>
      </c>
      <c r="Y22" s="19">
        <f t="shared" si="1"/>
        <v>2.8</v>
      </c>
      <c r="Z22" s="19">
        <f t="shared" si="1"/>
        <v>2.8</v>
      </c>
      <c r="AA22" s="19">
        <f t="shared" si="1"/>
        <v>2.8</v>
      </c>
      <c r="AB22" s="19">
        <f>SUM(AB19:AB21)</f>
        <v>2.8</v>
      </c>
      <c r="AC22" s="19">
        <f t="shared" si="1"/>
        <v>2.8</v>
      </c>
      <c r="AD22" s="41"/>
      <c r="AE22" s="41"/>
      <c r="AF22" s="11"/>
      <c r="AG22" s="11"/>
      <c r="AH22" s="11"/>
      <c r="AI22" s="400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409">
        <f>SUM(F24:AC24)</f>
        <v>62.499999999999979</v>
      </c>
    </row>
    <row r="24" spans="1:51">
      <c r="A24" s="14" t="s">
        <v>22</v>
      </c>
      <c r="B24" s="20"/>
      <c r="C24" s="15">
        <v>4.5</v>
      </c>
      <c r="D24" s="15"/>
      <c r="E24" s="15"/>
      <c r="F24" s="372">
        <v>2.5</v>
      </c>
      <c r="G24" s="372"/>
      <c r="H24" s="372"/>
      <c r="I24" s="372"/>
      <c r="J24" s="372"/>
      <c r="K24" s="374"/>
      <c r="L24" s="374"/>
      <c r="M24" s="374"/>
      <c r="N24" s="372">
        <v>3.8</v>
      </c>
      <c r="O24" s="372">
        <v>3.8</v>
      </c>
      <c r="P24" s="372">
        <v>3.8</v>
      </c>
      <c r="Q24" s="374">
        <v>3.8</v>
      </c>
      <c r="R24" s="372">
        <v>3.8</v>
      </c>
      <c r="S24" s="372">
        <v>3.8</v>
      </c>
      <c r="T24" s="372">
        <v>3.8</v>
      </c>
      <c r="U24" s="372">
        <v>3.8</v>
      </c>
      <c r="V24" s="372">
        <v>3.8</v>
      </c>
      <c r="W24" s="372">
        <v>3.8</v>
      </c>
      <c r="X24" s="372">
        <v>3</v>
      </c>
      <c r="Y24" s="372">
        <v>3.8</v>
      </c>
      <c r="Z24" s="372">
        <v>3.8</v>
      </c>
      <c r="AA24" s="372">
        <v>3.8</v>
      </c>
      <c r="AB24" s="372">
        <v>3.8</v>
      </c>
      <c r="AC24" s="372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17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3">SUM(F24)</f>
        <v>2.5</v>
      </c>
      <c r="G25" s="19">
        <f t="shared" ref="G25:AC25" si="4">SUM(G24)</f>
        <v>0</v>
      </c>
      <c r="H25" s="19">
        <f t="shared" si="4"/>
        <v>0</v>
      </c>
      <c r="I25" s="19">
        <f t="shared" si="4"/>
        <v>0</v>
      </c>
      <c r="J25" s="19">
        <f t="shared" si="4"/>
        <v>0</v>
      </c>
      <c r="K25" s="19">
        <f t="shared" si="4"/>
        <v>0</v>
      </c>
      <c r="L25" s="19">
        <f t="shared" si="4"/>
        <v>0</v>
      </c>
      <c r="M25" s="19">
        <f t="shared" si="4"/>
        <v>0</v>
      </c>
      <c r="N25" s="19">
        <f t="shared" si="4"/>
        <v>3.8</v>
      </c>
      <c r="O25" s="19">
        <f t="shared" si="4"/>
        <v>3.8</v>
      </c>
      <c r="P25" s="19">
        <f t="shared" si="4"/>
        <v>3.8</v>
      </c>
      <c r="Q25" s="19">
        <f t="shared" si="4"/>
        <v>3.8</v>
      </c>
      <c r="R25" s="19">
        <f t="shared" si="4"/>
        <v>3.8</v>
      </c>
      <c r="S25" s="19">
        <f t="shared" si="4"/>
        <v>3.8</v>
      </c>
      <c r="T25" s="19">
        <f t="shared" si="4"/>
        <v>3.8</v>
      </c>
      <c r="U25" s="19">
        <f t="shared" si="4"/>
        <v>3.8</v>
      </c>
      <c r="V25" s="19">
        <f t="shared" si="4"/>
        <v>3.8</v>
      </c>
      <c r="W25" s="19">
        <f t="shared" si="4"/>
        <v>3.8</v>
      </c>
      <c r="X25" s="19">
        <f t="shared" si="4"/>
        <v>3</v>
      </c>
      <c r="Y25" s="19">
        <f t="shared" si="4"/>
        <v>3.8</v>
      </c>
      <c r="Z25" s="19">
        <f t="shared" si="4"/>
        <v>3.8</v>
      </c>
      <c r="AA25" s="19">
        <f t="shared" si="4"/>
        <v>3.8</v>
      </c>
      <c r="AB25" s="19">
        <f t="shared" si="4"/>
        <v>3.8</v>
      </c>
      <c r="AC25" s="19">
        <f t="shared" si="4"/>
        <v>3.8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97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2" t="s">
        <v>9</v>
      </c>
      <c r="G27" s="372" t="s">
        <v>9</v>
      </c>
      <c r="H27" s="372" t="s">
        <v>9</v>
      </c>
      <c r="I27" s="372" t="s">
        <v>9</v>
      </c>
      <c r="J27" s="374" t="s">
        <v>9</v>
      </c>
      <c r="K27" s="374" t="s">
        <v>9</v>
      </c>
      <c r="L27" s="374" t="s">
        <v>9</v>
      </c>
      <c r="M27" s="374" t="s">
        <v>9</v>
      </c>
      <c r="N27" s="372" t="s">
        <v>9</v>
      </c>
      <c r="O27" s="372" t="s">
        <v>9</v>
      </c>
      <c r="P27" s="372" t="s">
        <v>9</v>
      </c>
      <c r="Q27" s="372" t="s">
        <v>9</v>
      </c>
      <c r="R27" s="372" t="s">
        <v>9</v>
      </c>
      <c r="S27" s="372" t="s">
        <v>9</v>
      </c>
      <c r="T27" s="372" t="s">
        <v>9</v>
      </c>
      <c r="U27" s="374" t="s">
        <v>9</v>
      </c>
      <c r="V27" s="372" t="s">
        <v>9</v>
      </c>
      <c r="W27" s="372" t="s">
        <v>9</v>
      </c>
      <c r="X27" s="372" t="s">
        <v>9</v>
      </c>
      <c r="Y27" s="372" t="s">
        <v>9</v>
      </c>
      <c r="Z27" s="372" t="s">
        <v>9</v>
      </c>
      <c r="AA27" s="372" t="s">
        <v>9</v>
      </c>
      <c r="AB27" s="372" t="s">
        <v>9</v>
      </c>
      <c r="AC27" s="372" t="s">
        <v>9</v>
      </c>
      <c r="AD27" s="41"/>
      <c r="AE27" s="41"/>
      <c r="AF27" s="11">
        <f>COUNTIF(F27:AC27,$AJ$8)</f>
        <v>24</v>
      </c>
      <c r="AG27" s="11">
        <f>COUNTIF(G27:AD27,$AJ$7)</f>
        <v>0</v>
      </c>
      <c r="AH27" s="11">
        <f>COUNT(F27:AC27)</f>
        <v>0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2">
        <v>3.1</v>
      </c>
      <c r="G28" s="372">
        <v>3.5</v>
      </c>
      <c r="H28" s="372">
        <v>4</v>
      </c>
      <c r="I28" s="372">
        <v>4</v>
      </c>
      <c r="J28" s="372">
        <v>4</v>
      </c>
      <c r="K28" s="374">
        <v>4</v>
      </c>
      <c r="L28" s="374">
        <v>4</v>
      </c>
      <c r="M28" s="374">
        <v>3.2</v>
      </c>
      <c r="N28" s="372">
        <v>4</v>
      </c>
      <c r="O28" s="372">
        <v>4.3</v>
      </c>
      <c r="P28" s="372">
        <v>4.3</v>
      </c>
      <c r="Q28" s="372">
        <v>4.3</v>
      </c>
      <c r="R28" s="372">
        <v>4.2</v>
      </c>
      <c r="S28" s="374">
        <v>3.8</v>
      </c>
      <c r="T28" s="372">
        <v>3.8</v>
      </c>
      <c r="U28" s="374">
        <v>4.2</v>
      </c>
      <c r="V28" s="372">
        <v>4.2</v>
      </c>
      <c r="W28" s="372">
        <v>3.8</v>
      </c>
      <c r="X28" s="372">
        <v>4.2</v>
      </c>
      <c r="Y28" s="372">
        <v>4.5</v>
      </c>
      <c r="Z28" s="372">
        <v>4.5</v>
      </c>
      <c r="AA28" s="372">
        <v>4.2</v>
      </c>
      <c r="AB28" s="372">
        <v>4.4000000000000004</v>
      </c>
      <c r="AC28" s="372">
        <v>4.5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85.3</v>
      </c>
    </row>
    <row r="29" spans="1:51" ht="15" customHeight="1">
      <c r="A29" s="14" t="s">
        <v>30</v>
      </c>
      <c r="B29" s="369"/>
      <c r="C29" s="370">
        <v>8.8000000000000007</v>
      </c>
      <c r="D29" s="371"/>
      <c r="E29" s="371"/>
      <c r="F29" s="372">
        <v>0</v>
      </c>
      <c r="G29" s="372">
        <v>0</v>
      </c>
      <c r="H29" s="372">
        <v>0</v>
      </c>
      <c r="I29" s="372">
        <v>0</v>
      </c>
      <c r="J29" s="372">
        <v>0</v>
      </c>
      <c r="K29" s="374">
        <v>0</v>
      </c>
      <c r="L29" s="374">
        <v>0</v>
      </c>
      <c r="M29" s="374">
        <v>0</v>
      </c>
      <c r="N29" s="374">
        <v>0</v>
      </c>
      <c r="O29" s="374">
        <v>5.2</v>
      </c>
      <c r="P29" s="374">
        <v>4.5</v>
      </c>
      <c r="Q29" s="374">
        <v>6.5</v>
      </c>
      <c r="R29" s="374">
        <v>7</v>
      </c>
      <c r="S29" s="374">
        <v>7.1</v>
      </c>
      <c r="T29" s="374">
        <v>7.2</v>
      </c>
      <c r="U29" s="374">
        <v>7</v>
      </c>
      <c r="V29" s="374">
        <v>7</v>
      </c>
      <c r="W29" s="374">
        <v>6.6</v>
      </c>
      <c r="X29" s="372">
        <v>4.9000000000000004</v>
      </c>
      <c r="Y29" s="372">
        <v>7</v>
      </c>
      <c r="Z29" s="374">
        <v>5</v>
      </c>
      <c r="AA29" s="372">
        <v>4.8</v>
      </c>
      <c r="AB29" s="372">
        <v>5.5</v>
      </c>
      <c r="AC29" s="372"/>
    </row>
    <row r="30" spans="1:51" ht="15" customHeight="1">
      <c r="A30" s="14" t="s">
        <v>31</v>
      </c>
      <c r="B30" s="369"/>
      <c r="C30" s="370">
        <v>8.8000000000000007</v>
      </c>
      <c r="D30" s="371"/>
      <c r="E30" s="371"/>
      <c r="F30" s="372"/>
      <c r="G30" s="372"/>
      <c r="H30" s="372"/>
      <c r="I30" s="372"/>
      <c r="J30" s="372"/>
      <c r="K30" s="374"/>
      <c r="L30" s="374"/>
      <c r="M30" s="374"/>
      <c r="N30" s="372"/>
      <c r="O30" s="372"/>
      <c r="P30" s="372"/>
      <c r="Q30" s="372"/>
      <c r="R30" s="372"/>
      <c r="S30" s="372"/>
      <c r="T30" s="372"/>
      <c r="U30" s="372"/>
      <c r="V30" s="372"/>
      <c r="W30" s="372"/>
      <c r="X30" s="372"/>
      <c r="Y30" s="372"/>
      <c r="Z30" s="372"/>
      <c r="AA30" s="372"/>
      <c r="AB30" s="372"/>
      <c r="AC30" s="372"/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:AC31" si="5">SUM(F27:F29)</f>
        <v>3.1</v>
      </c>
      <c r="G31" s="19">
        <f t="shared" si="5"/>
        <v>3.5</v>
      </c>
      <c r="H31" s="19">
        <f t="shared" si="5"/>
        <v>4</v>
      </c>
      <c r="I31" s="19">
        <f t="shared" si="5"/>
        <v>4</v>
      </c>
      <c r="J31" s="19">
        <f t="shared" si="5"/>
        <v>4</v>
      </c>
      <c r="K31" s="19">
        <f t="shared" si="5"/>
        <v>4</v>
      </c>
      <c r="L31" s="19">
        <f t="shared" si="5"/>
        <v>4</v>
      </c>
      <c r="M31" s="19">
        <f t="shared" si="5"/>
        <v>3.2</v>
      </c>
      <c r="N31" s="19">
        <f t="shared" si="5"/>
        <v>4</v>
      </c>
      <c r="O31" s="19">
        <f t="shared" si="5"/>
        <v>9.5</v>
      </c>
      <c r="P31" s="19">
        <f t="shared" si="5"/>
        <v>8.8000000000000007</v>
      </c>
      <c r="Q31" s="19">
        <f t="shared" si="5"/>
        <v>10.8</v>
      </c>
      <c r="R31" s="19">
        <f t="shared" si="5"/>
        <v>11.2</v>
      </c>
      <c r="S31" s="19">
        <f t="shared" si="5"/>
        <v>10.899999999999999</v>
      </c>
      <c r="T31" s="19">
        <f>SUM(T27:T29)</f>
        <v>11</v>
      </c>
      <c r="U31" s="19">
        <f t="shared" si="5"/>
        <v>11.2</v>
      </c>
      <c r="V31" s="19">
        <f t="shared" si="5"/>
        <v>11.2</v>
      </c>
      <c r="W31" s="19">
        <f t="shared" si="5"/>
        <v>10.399999999999999</v>
      </c>
      <c r="X31" s="19">
        <f t="shared" si="5"/>
        <v>9.1000000000000014</v>
      </c>
      <c r="Y31" s="19">
        <f t="shared" si="5"/>
        <v>11.5</v>
      </c>
      <c r="Z31" s="19">
        <f t="shared" si="5"/>
        <v>9.5</v>
      </c>
      <c r="AA31" s="19">
        <f t="shared" si="5"/>
        <v>9</v>
      </c>
      <c r="AB31" s="19">
        <f t="shared" si="5"/>
        <v>9.9</v>
      </c>
      <c r="AC31" s="19">
        <f t="shared" si="5"/>
        <v>4.5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342.88999999999993</v>
      </c>
    </row>
    <row r="33" spans="1:36">
      <c r="A33" s="14" t="s">
        <v>22</v>
      </c>
      <c r="B33" s="15"/>
      <c r="C33" s="15">
        <v>15</v>
      </c>
      <c r="D33" s="15"/>
      <c r="E33" s="15"/>
      <c r="F33" s="372">
        <v>14.27</v>
      </c>
      <c r="G33" s="372">
        <v>14.28</v>
      </c>
      <c r="H33" s="374">
        <v>14.29</v>
      </c>
      <c r="I33" s="372">
        <v>14.28</v>
      </c>
      <c r="J33" s="372">
        <v>14.29</v>
      </c>
      <c r="K33" s="374">
        <v>14.3</v>
      </c>
      <c r="L33" s="374">
        <v>14.29</v>
      </c>
      <c r="M33" s="374">
        <v>14.27</v>
      </c>
      <c r="N33" s="372">
        <v>14.25</v>
      </c>
      <c r="O33" s="372">
        <v>14.31</v>
      </c>
      <c r="P33" s="372">
        <v>14.29</v>
      </c>
      <c r="Q33" s="372">
        <v>14.33</v>
      </c>
      <c r="R33" s="372">
        <v>14.31</v>
      </c>
      <c r="S33" s="372">
        <v>14.3</v>
      </c>
      <c r="T33" s="372">
        <v>14.28</v>
      </c>
      <c r="U33" s="372">
        <v>14.32</v>
      </c>
      <c r="V33" s="372">
        <v>14.29</v>
      </c>
      <c r="W33" s="374">
        <v>14.32</v>
      </c>
      <c r="X33" s="372">
        <v>14.31</v>
      </c>
      <c r="Y33" s="372">
        <v>14.28</v>
      </c>
      <c r="Z33" s="372">
        <v>14.31</v>
      </c>
      <c r="AA33" s="372">
        <v>14.28</v>
      </c>
      <c r="AB33" s="372">
        <v>14.3</v>
      </c>
      <c r="AC33" s="372">
        <v>14.14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6">SUM(F33)</f>
        <v>14.27</v>
      </c>
      <c r="G34" s="19">
        <f t="shared" ref="G34:AC34" si="7">SUM(G33)</f>
        <v>14.28</v>
      </c>
      <c r="H34" s="19">
        <f t="shared" si="7"/>
        <v>14.29</v>
      </c>
      <c r="I34" s="19">
        <f t="shared" si="7"/>
        <v>14.28</v>
      </c>
      <c r="J34" s="19">
        <f t="shared" si="7"/>
        <v>14.29</v>
      </c>
      <c r="K34" s="19">
        <f t="shared" si="7"/>
        <v>14.3</v>
      </c>
      <c r="L34" s="19">
        <f t="shared" si="7"/>
        <v>14.29</v>
      </c>
      <c r="M34" s="19">
        <f t="shared" si="7"/>
        <v>14.27</v>
      </c>
      <c r="N34" s="19">
        <f t="shared" si="7"/>
        <v>14.25</v>
      </c>
      <c r="O34" s="19">
        <f t="shared" si="7"/>
        <v>14.31</v>
      </c>
      <c r="P34" s="19">
        <f t="shared" si="7"/>
        <v>14.29</v>
      </c>
      <c r="Q34" s="19">
        <f t="shared" si="7"/>
        <v>14.33</v>
      </c>
      <c r="R34" s="19">
        <f t="shared" si="7"/>
        <v>14.31</v>
      </c>
      <c r="S34" s="19">
        <f t="shared" si="7"/>
        <v>14.3</v>
      </c>
      <c r="T34" s="19">
        <f t="shared" si="7"/>
        <v>14.28</v>
      </c>
      <c r="U34" s="19">
        <f t="shared" si="7"/>
        <v>14.32</v>
      </c>
      <c r="V34" s="19">
        <f t="shared" si="7"/>
        <v>14.29</v>
      </c>
      <c r="W34" s="19">
        <f t="shared" si="7"/>
        <v>14.32</v>
      </c>
      <c r="X34" s="19">
        <f t="shared" si="7"/>
        <v>14.31</v>
      </c>
      <c r="Y34" s="19">
        <f t="shared" si="7"/>
        <v>14.28</v>
      </c>
      <c r="Z34" s="19">
        <f t="shared" si="7"/>
        <v>14.31</v>
      </c>
      <c r="AA34" s="19">
        <f t="shared" si="7"/>
        <v>14.28</v>
      </c>
      <c r="AB34" s="19">
        <f t="shared" si="7"/>
        <v>14.3</v>
      </c>
      <c r="AC34" s="19">
        <f t="shared" si="7"/>
        <v>14.14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55"/>
      <c r="G35" s="455"/>
      <c r="H35" s="455"/>
      <c r="I35" s="455"/>
      <c r="J35" s="455"/>
      <c r="K35" s="455"/>
      <c r="L35" s="455"/>
      <c r="M35" s="455"/>
      <c r="N35" s="455"/>
      <c r="O35" s="455"/>
      <c r="P35" s="455"/>
      <c r="Q35" s="455"/>
      <c r="R35" s="455"/>
      <c r="S35" s="455"/>
      <c r="T35" s="455"/>
      <c r="U35" s="455"/>
      <c r="V35" s="455"/>
      <c r="W35" s="456"/>
      <c r="X35" s="455"/>
      <c r="Y35" s="455"/>
      <c r="Z35" s="455"/>
      <c r="AA35" s="455"/>
      <c r="AB35" s="455"/>
      <c r="AC35" s="455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27.800000000000022</v>
      </c>
      <c r="AJ35" t="s">
        <v>35</v>
      </c>
    </row>
    <row r="36" spans="1:36">
      <c r="A36" s="70" t="s">
        <v>36</v>
      </c>
      <c r="B36" s="15"/>
      <c r="C36" s="15"/>
      <c r="D36" s="15"/>
      <c r="E36" s="15"/>
      <c r="F36" s="372"/>
      <c r="G36" s="372"/>
      <c r="H36" s="372"/>
      <c r="I36" s="372"/>
      <c r="J36" s="372"/>
      <c r="K36" s="374"/>
      <c r="L36" s="374"/>
      <c r="M36" s="374"/>
      <c r="N36" s="372"/>
      <c r="O36" s="372"/>
      <c r="P36" s="372"/>
      <c r="Q36" s="372"/>
      <c r="R36" s="372"/>
      <c r="S36" s="372"/>
      <c r="T36" s="372"/>
      <c r="U36" s="372"/>
      <c r="V36" s="372"/>
      <c r="W36" s="372"/>
      <c r="X36" s="372"/>
      <c r="Y36" s="372"/>
      <c r="Z36" s="372"/>
      <c r="AA36" s="372"/>
      <c r="AB36" s="372"/>
      <c r="AC36" s="372"/>
      <c r="AD36" s="41"/>
      <c r="AE36" s="41"/>
      <c r="AF36" s="11">
        <f t="shared" ref="AF36:AF59" si="8">COUNTIF(F36:AC36,$AJ$8)</f>
        <v>0</v>
      </c>
      <c r="AG36" s="11">
        <f t="shared" ref="AG36:AG59" si="9">COUNTIF(G36:AD36,$AJ$7)</f>
        <v>0</v>
      </c>
      <c r="AH36" s="11">
        <f t="shared" ref="AH36:AH59" si="10">COUNT(F36:AC36)</f>
        <v>0</v>
      </c>
      <c r="AI36" s="159">
        <f>SUM(F36:AC38,F40:AC40,F45:AC59)</f>
        <v>24.45999999999999</v>
      </c>
      <c r="AJ36" t="s">
        <v>37</v>
      </c>
    </row>
    <row r="37" spans="1:36">
      <c r="A37" s="70" t="s">
        <v>38</v>
      </c>
      <c r="B37" s="15"/>
      <c r="C37" s="15"/>
      <c r="D37" s="15"/>
      <c r="E37" s="15"/>
      <c r="F37" s="372"/>
      <c r="G37" s="372"/>
      <c r="H37" s="372"/>
      <c r="I37" s="372"/>
      <c r="J37" s="372"/>
      <c r="K37" s="374"/>
      <c r="L37" s="374"/>
      <c r="M37" s="374"/>
      <c r="N37" s="372"/>
      <c r="O37" s="372"/>
      <c r="P37" s="372"/>
      <c r="Q37" s="372"/>
      <c r="R37" s="372"/>
      <c r="S37" s="372"/>
      <c r="T37" s="372"/>
      <c r="U37" s="372"/>
      <c r="V37" s="372"/>
      <c r="W37" s="372"/>
      <c r="X37" s="372"/>
      <c r="Y37" s="372"/>
      <c r="Z37" s="372"/>
      <c r="AA37" s="372"/>
      <c r="AB37" s="372"/>
      <c r="AC37" s="372"/>
      <c r="AD37" s="41"/>
      <c r="AE37" s="41"/>
      <c r="AF37" s="11">
        <f t="shared" si="8"/>
        <v>0</v>
      </c>
      <c r="AG37" s="11">
        <f t="shared" si="9"/>
        <v>0</v>
      </c>
      <c r="AH37" s="11">
        <f t="shared" si="10"/>
        <v>0</v>
      </c>
    </row>
    <row r="38" spans="1:36">
      <c r="A38" s="70" t="s">
        <v>39</v>
      </c>
      <c r="B38" s="15"/>
      <c r="C38" s="15"/>
      <c r="D38" s="15"/>
      <c r="E38" s="15"/>
      <c r="F38" s="372"/>
      <c r="G38" s="372"/>
      <c r="H38" s="372"/>
      <c r="I38" s="372"/>
      <c r="J38" s="372"/>
      <c r="K38" s="374"/>
      <c r="L38" s="374"/>
      <c r="M38" s="374"/>
      <c r="N38" s="372"/>
      <c r="O38" s="372"/>
      <c r="P38" s="372"/>
      <c r="Q38" s="372"/>
      <c r="R38" s="372"/>
      <c r="S38" s="372"/>
      <c r="T38" s="372"/>
      <c r="U38" s="372"/>
      <c r="V38" s="372"/>
      <c r="W38" s="372"/>
      <c r="X38" s="372"/>
      <c r="Y38" s="372"/>
      <c r="Z38" s="372"/>
      <c r="AA38" s="372"/>
      <c r="AB38" s="372"/>
      <c r="AC38" s="372"/>
      <c r="AD38" s="41"/>
      <c r="AE38" s="41"/>
      <c r="AF38" s="11">
        <f t="shared" si="8"/>
        <v>0</v>
      </c>
      <c r="AG38" s="11">
        <f t="shared" si="9"/>
        <v>0</v>
      </c>
      <c r="AH38" s="11">
        <f t="shared" si="10"/>
        <v>0</v>
      </c>
    </row>
    <row r="39" spans="1:36">
      <c r="A39" s="70">
        <v>34</v>
      </c>
      <c r="B39" s="15"/>
      <c r="C39" s="15"/>
      <c r="D39" s="15"/>
      <c r="E39" s="15"/>
      <c r="F39" s="372"/>
      <c r="G39" s="372"/>
      <c r="H39" s="372"/>
      <c r="I39" s="372"/>
      <c r="J39" s="372"/>
      <c r="K39" s="374"/>
      <c r="L39" s="374"/>
      <c r="M39" s="374"/>
      <c r="N39" s="372"/>
      <c r="O39" s="372"/>
      <c r="P39" s="372"/>
      <c r="Q39" s="372"/>
      <c r="R39" s="372"/>
      <c r="S39" s="372"/>
      <c r="T39" s="372">
        <v>0.8</v>
      </c>
      <c r="U39" s="372">
        <v>0.7</v>
      </c>
      <c r="V39" s="372">
        <v>0.7</v>
      </c>
      <c r="W39" s="372">
        <v>0.6</v>
      </c>
      <c r="X39" s="372">
        <v>0.6</v>
      </c>
      <c r="Y39" s="372">
        <v>0.6</v>
      </c>
      <c r="Z39" s="372">
        <v>0.6</v>
      </c>
      <c r="AA39" s="372">
        <v>0.6</v>
      </c>
      <c r="AB39" s="372">
        <v>0.6</v>
      </c>
      <c r="AC39" s="372">
        <v>0.6</v>
      </c>
      <c r="AD39" s="41"/>
      <c r="AE39" s="41"/>
      <c r="AF39" s="11">
        <f t="shared" si="8"/>
        <v>0</v>
      </c>
      <c r="AG39" s="11">
        <f t="shared" si="9"/>
        <v>0</v>
      </c>
      <c r="AH39" s="11">
        <f t="shared" si="10"/>
        <v>10</v>
      </c>
    </row>
    <row r="40" spans="1:36">
      <c r="A40" s="70">
        <v>35</v>
      </c>
      <c r="B40" s="15"/>
      <c r="C40" s="15">
        <v>0.85</v>
      </c>
      <c r="D40" s="15"/>
      <c r="E40" s="15"/>
      <c r="F40" s="372"/>
      <c r="G40" s="372"/>
      <c r="H40" s="372"/>
      <c r="I40" s="372"/>
      <c r="J40" s="372"/>
      <c r="K40" s="374"/>
      <c r="L40" s="374"/>
      <c r="M40" s="374"/>
      <c r="N40" s="372"/>
      <c r="O40" s="372"/>
      <c r="P40" s="372"/>
      <c r="Q40" s="372"/>
      <c r="R40" s="372"/>
      <c r="S40" s="372"/>
      <c r="T40" s="372"/>
      <c r="U40" s="372"/>
      <c r="V40" s="372"/>
      <c r="W40" s="372"/>
      <c r="X40" s="372"/>
      <c r="Y40" s="372"/>
      <c r="Z40" s="372"/>
      <c r="AA40" s="372"/>
      <c r="AB40" s="372"/>
      <c r="AC40" s="372"/>
      <c r="AD40" s="41"/>
      <c r="AE40" s="41"/>
      <c r="AF40" s="11">
        <f t="shared" si="8"/>
        <v>0</v>
      </c>
      <c r="AG40" s="11">
        <f t="shared" si="9"/>
        <v>0</v>
      </c>
      <c r="AH40" s="11">
        <f t="shared" si="10"/>
        <v>0</v>
      </c>
    </row>
    <row r="41" spans="1:36">
      <c r="A41" s="70">
        <v>36</v>
      </c>
      <c r="B41" s="15"/>
      <c r="C41" s="15">
        <v>1</v>
      </c>
      <c r="D41" s="15"/>
      <c r="E41" s="15"/>
      <c r="F41" s="372"/>
      <c r="G41" s="372"/>
      <c r="H41" s="372"/>
      <c r="I41" s="372"/>
      <c r="J41" s="372"/>
      <c r="K41" s="374"/>
      <c r="L41" s="374"/>
      <c r="M41" s="374"/>
      <c r="N41" s="372"/>
      <c r="O41" s="372"/>
      <c r="P41" s="372"/>
      <c r="Q41" s="372"/>
      <c r="R41" s="372"/>
      <c r="S41" s="372"/>
      <c r="T41" s="372">
        <v>0.8</v>
      </c>
      <c r="U41" s="372">
        <f t="shared" ref="U41:AC42" si="11">2.2/3</f>
        <v>0.73333333333333339</v>
      </c>
      <c r="V41" s="372">
        <f t="shared" si="11"/>
        <v>0.73333333333333339</v>
      </c>
      <c r="W41" s="372">
        <f t="shared" si="11"/>
        <v>0.73333333333333339</v>
      </c>
      <c r="X41" s="372">
        <f t="shared" si="11"/>
        <v>0.73333333333333339</v>
      </c>
      <c r="Y41" s="372">
        <f t="shared" si="11"/>
        <v>0.73333333333333339</v>
      </c>
      <c r="Z41" s="372">
        <f t="shared" si="11"/>
        <v>0.73333333333333339</v>
      </c>
      <c r="AA41" s="372">
        <f t="shared" si="11"/>
        <v>0.73333333333333339</v>
      </c>
      <c r="AB41" s="372">
        <f t="shared" si="11"/>
        <v>0.73333333333333339</v>
      </c>
      <c r="AC41" s="372">
        <f t="shared" si="11"/>
        <v>0.73333333333333339</v>
      </c>
      <c r="AD41" s="41"/>
      <c r="AE41" s="41"/>
      <c r="AF41" s="11">
        <f t="shared" si="8"/>
        <v>0</v>
      </c>
      <c r="AG41" s="11">
        <f t="shared" si="9"/>
        <v>0</v>
      </c>
      <c r="AH41" s="11">
        <f t="shared" si="10"/>
        <v>10</v>
      </c>
    </row>
    <row r="42" spans="1:36">
      <c r="A42" s="70">
        <v>37</v>
      </c>
      <c r="B42" s="15"/>
      <c r="C42" s="15">
        <v>1</v>
      </c>
      <c r="D42" s="15"/>
      <c r="E42" s="15"/>
      <c r="F42" s="372"/>
      <c r="G42" s="372"/>
      <c r="H42" s="372"/>
      <c r="I42" s="372"/>
      <c r="J42" s="372"/>
      <c r="K42" s="374"/>
      <c r="L42" s="374"/>
      <c r="M42" s="374"/>
      <c r="N42" s="372"/>
      <c r="O42" s="372"/>
      <c r="P42" s="372"/>
      <c r="Q42" s="372"/>
      <c r="R42" s="372"/>
      <c r="S42" s="372"/>
      <c r="T42" s="372"/>
      <c r="U42" s="372">
        <f t="shared" si="11"/>
        <v>0.73333333333333339</v>
      </c>
      <c r="V42" s="372">
        <f t="shared" si="11"/>
        <v>0.73333333333333339</v>
      </c>
      <c r="W42" s="372">
        <f t="shared" si="11"/>
        <v>0.73333333333333339</v>
      </c>
      <c r="X42" s="372">
        <f t="shared" si="11"/>
        <v>0.73333333333333339</v>
      </c>
      <c r="Y42" s="372">
        <f t="shared" si="11"/>
        <v>0.73333333333333339</v>
      </c>
      <c r="Z42" s="372">
        <f t="shared" si="11"/>
        <v>0.73333333333333339</v>
      </c>
      <c r="AA42" s="372">
        <f t="shared" si="11"/>
        <v>0.73333333333333339</v>
      </c>
      <c r="AB42" s="372">
        <f t="shared" si="11"/>
        <v>0.73333333333333339</v>
      </c>
      <c r="AC42" s="372">
        <f t="shared" si="11"/>
        <v>0.73333333333333339</v>
      </c>
      <c r="AD42" s="41"/>
      <c r="AE42" s="41"/>
      <c r="AF42" s="11">
        <f t="shared" si="8"/>
        <v>0</v>
      </c>
      <c r="AG42" s="11">
        <f t="shared" si="9"/>
        <v>0</v>
      </c>
      <c r="AH42" s="11">
        <f t="shared" si="10"/>
        <v>9</v>
      </c>
    </row>
    <row r="43" spans="1:36">
      <c r="A43" s="70">
        <v>38</v>
      </c>
      <c r="B43" s="15"/>
      <c r="C43" s="15"/>
      <c r="D43" s="15"/>
      <c r="E43" s="15"/>
      <c r="F43" s="372" t="s">
        <v>9</v>
      </c>
      <c r="G43" s="372" t="s">
        <v>9</v>
      </c>
      <c r="H43" s="372" t="s">
        <v>9</v>
      </c>
      <c r="I43" s="372" t="s">
        <v>9</v>
      </c>
      <c r="J43" s="372" t="s">
        <v>9</v>
      </c>
      <c r="K43" s="374" t="s">
        <v>9</v>
      </c>
      <c r="L43" s="374" t="s">
        <v>9</v>
      </c>
      <c r="M43" s="374" t="s">
        <v>9</v>
      </c>
      <c r="N43" s="372" t="s">
        <v>9</v>
      </c>
      <c r="O43" s="372" t="s">
        <v>9</v>
      </c>
      <c r="P43" s="372" t="s">
        <v>9</v>
      </c>
      <c r="Q43" s="372" t="s">
        <v>9</v>
      </c>
      <c r="R43" s="372" t="s">
        <v>9</v>
      </c>
      <c r="S43" s="372" t="s">
        <v>9</v>
      </c>
      <c r="T43" s="372" t="s">
        <v>9</v>
      </c>
      <c r="U43" s="372" t="s">
        <v>9</v>
      </c>
      <c r="V43" s="372" t="s">
        <v>9</v>
      </c>
      <c r="W43" s="372" t="s">
        <v>9</v>
      </c>
      <c r="X43" s="372" t="s">
        <v>9</v>
      </c>
      <c r="Y43" s="372" t="s">
        <v>9</v>
      </c>
      <c r="Z43" s="372" t="s">
        <v>9</v>
      </c>
      <c r="AA43" s="372" t="s">
        <v>9</v>
      </c>
      <c r="AB43" s="372" t="s">
        <v>9</v>
      </c>
      <c r="AC43" s="372" t="s">
        <v>9</v>
      </c>
      <c r="AD43" s="41"/>
      <c r="AE43" s="41"/>
      <c r="AF43" s="11">
        <f t="shared" si="8"/>
        <v>24</v>
      </c>
      <c r="AG43" s="11">
        <f t="shared" si="9"/>
        <v>0</v>
      </c>
      <c r="AH43" s="11">
        <f t="shared" si="10"/>
        <v>0</v>
      </c>
    </row>
    <row r="44" spans="1:36" ht="16.5" customHeight="1">
      <c r="A44" s="70">
        <v>39</v>
      </c>
      <c r="B44" s="15"/>
      <c r="C44" s="15">
        <v>1</v>
      </c>
      <c r="D44" s="15"/>
      <c r="E44" s="15"/>
      <c r="F44" s="372"/>
      <c r="G44" s="372"/>
      <c r="H44" s="372"/>
      <c r="I44" s="372"/>
      <c r="J44" s="372"/>
      <c r="K44" s="372"/>
      <c r="L44" s="374"/>
      <c r="M44" s="374"/>
      <c r="N44" s="372"/>
      <c r="O44" s="372"/>
      <c r="P44" s="372"/>
      <c r="Q44" s="372"/>
      <c r="R44" s="372"/>
      <c r="S44" s="372"/>
      <c r="T44" s="372">
        <v>0.8</v>
      </c>
      <c r="U44" s="372">
        <f t="shared" ref="U44:AC44" si="12">2.2/3</f>
        <v>0.73333333333333339</v>
      </c>
      <c r="V44" s="372">
        <f t="shared" si="12"/>
        <v>0.73333333333333339</v>
      </c>
      <c r="W44" s="372">
        <f t="shared" si="12"/>
        <v>0.73333333333333339</v>
      </c>
      <c r="X44" s="372">
        <f t="shared" si="12"/>
        <v>0.73333333333333339</v>
      </c>
      <c r="Y44" s="372">
        <f t="shared" si="12"/>
        <v>0.73333333333333339</v>
      </c>
      <c r="Z44" s="372">
        <f t="shared" si="12"/>
        <v>0.73333333333333339</v>
      </c>
      <c r="AA44" s="372">
        <f t="shared" si="12"/>
        <v>0.73333333333333339</v>
      </c>
      <c r="AB44" s="372">
        <f t="shared" si="12"/>
        <v>0.73333333333333339</v>
      </c>
      <c r="AC44" s="372">
        <f t="shared" si="12"/>
        <v>0.73333333333333339</v>
      </c>
      <c r="AD44" s="41"/>
      <c r="AE44" s="41"/>
      <c r="AF44" s="11">
        <f t="shared" si="8"/>
        <v>0</v>
      </c>
      <c r="AG44" s="11">
        <f t="shared" si="9"/>
        <v>0</v>
      </c>
      <c r="AH44" s="11">
        <f t="shared" si="10"/>
        <v>10</v>
      </c>
    </row>
    <row r="45" spans="1:36" ht="16.5" customHeight="1">
      <c r="A45" s="70" t="s">
        <v>40</v>
      </c>
      <c r="B45" s="15"/>
      <c r="C45" s="15">
        <v>0.85</v>
      </c>
      <c r="D45" s="15"/>
      <c r="E45" s="15"/>
      <c r="F45" s="372"/>
      <c r="G45" s="372"/>
      <c r="H45" s="372"/>
      <c r="I45" s="372"/>
      <c r="J45" s="372"/>
      <c r="K45" s="372"/>
      <c r="L45" s="372"/>
      <c r="M45" s="372"/>
      <c r="N45" s="372"/>
      <c r="O45" s="372"/>
      <c r="P45" s="372"/>
      <c r="Q45" s="372"/>
      <c r="R45" s="372"/>
      <c r="S45" s="372"/>
      <c r="T45" s="372"/>
      <c r="U45" s="372"/>
      <c r="V45" s="372"/>
      <c r="W45" s="372"/>
      <c r="X45" s="372"/>
      <c r="Y45" s="372"/>
      <c r="Z45" s="372"/>
      <c r="AA45" s="372"/>
      <c r="AB45" s="372"/>
      <c r="AC45" s="372"/>
      <c r="AD45" s="41"/>
      <c r="AE45" s="41"/>
      <c r="AF45" s="11">
        <f t="shared" si="8"/>
        <v>0</v>
      </c>
      <c r="AG45" s="11">
        <f t="shared" si="9"/>
        <v>0</v>
      </c>
      <c r="AH45" s="11">
        <f t="shared" si="10"/>
        <v>0</v>
      </c>
      <c r="AI45" s="159"/>
    </row>
    <row r="46" spans="1:36">
      <c r="A46" s="70" t="s">
        <v>41</v>
      </c>
      <c r="B46" s="15"/>
      <c r="C46" s="15">
        <v>0.75</v>
      </c>
      <c r="D46" s="15"/>
      <c r="E46" s="15"/>
      <c r="F46" s="372"/>
      <c r="G46" s="372"/>
      <c r="H46" s="372"/>
      <c r="I46" s="372"/>
      <c r="J46" s="372"/>
      <c r="K46" s="372"/>
      <c r="L46" s="372">
        <v>0.7</v>
      </c>
      <c r="M46" s="374"/>
      <c r="N46" s="372"/>
      <c r="O46" s="372"/>
      <c r="P46" s="372"/>
      <c r="Q46" s="372"/>
      <c r="R46" s="372"/>
      <c r="S46" s="372">
        <v>0.7</v>
      </c>
      <c r="T46" s="372">
        <v>0.7</v>
      </c>
      <c r="U46" s="372">
        <v>0.7</v>
      </c>
      <c r="V46" s="372"/>
      <c r="W46" s="372"/>
      <c r="X46" s="372"/>
      <c r="Y46" s="372"/>
      <c r="Z46" s="372"/>
      <c r="AA46" s="372"/>
      <c r="AB46" s="372">
        <v>0</v>
      </c>
      <c r="AC46" s="372">
        <v>0</v>
      </c>
      <c r="AD46" s="41"/>
      <c r="AE46" s="41"/>
      <c r="AF46" s="11">
        <f t="shared" si="8"/>
        <v>0</v>
      </c>
      <c r="AG46" s="11">
        <f t="shared" si="9"/>
        <v>0</v>
      </c>
      <c r="AH46" s="11">
        <f t="shared" si="10"/>
        <v>6</v>
      </c>
      <c r="AI46" s="159"/>
    </row>
    <row r="47" spans="1:36">
      <c r="A47" s="70" t="s">
        <v>42</v>
      </c>
      <c r="B47" s="15"/>
      <c r="C47" s="15">
        <v>0.75</v>
      </c>
      <c r="D47" s="15"/>
      <c r="E47" s="15"/>
      <c r="F47" s="372"/>
      <c r="G47" s="372"/>
      <c r="H47" s="372"/>
      <c r="I47" s="372"/>
      <c r="J47" s="372"/>
      <c r="K47" s="372"/>
      <c r="L47" s="372">
        <v>0.7</v>
      </c>
      <c r="M47" s="372"/>
      <c r="N47" s="372"/>
      <c r="O47" s="372"/>
      <c r="P47" s="372"/>
      <c r="Q47" s="372"/>
      <c r="R47" s="372"/>
      <c r="S47" s="372">
        <v>0.7</v>
      </c>
      <c r="T47" s="372">
        <v>0.7</v>
      </c>
      <c r="U47" s="372">
        <v>0.7</v>
      </c>
      <c r="V47" s="372">
        <v>0.7</v>
      </c>
      <c r="W47" s="372"/>
      <c r="X47" s="372"/>
      <c r="Y47" s="372"/>
      <c r="Z47" s="372"/>
      <c r="AA47" s="372"/>
      <c r="AB47" s="372"/>
      <c r="AC47" s="372">
        <v>0.7</v>
      </c>
      <c r="AD47" s="41"/>
      <c r="AE47" s="41"/>
      <c r="AF47" s="11">
        <f t="shared" si="8"/>
        <v>0</v>
      </c>
      <c r="AG47" s="11">
        <f t="shared" si="9"/>
        <v>0</v>
      </c>
      <c r="AH47" s="11">
        <f t="shared" si="10"/>
        <v>6</v>
      </c>
    </row>
    <row r="48" spans="1:36">
      <c r="A48" s="70" t="s">
        <v>43</v>
      </c>
      <c r="B48" s="15"/>
      <c r="C48" s="15">
        <v>0.75</v>
      </c>
      <c r="D48" s="15"/>
      <c r="E48" s="15"/>
      <c r="F48" s="372"/>
      <c r="G48" s="372"/>
      <c r="H48" s="372"/>
      <c r="I48" s="372"/>
      <c r="J48" s="372"/>
      <c r="K48" s="372"/>
      <c r="L48" s="374"/>
      <c r="M48" s="372"/>
      <c r="N48" s="372"/>
      <c r="O48" s="372"/>
      <c r="P48" s="372"/>
      <c r="Q48" s="372"/>
      <c r="R48" s="372"/>
      <c r="S48" s="372">
        <v>0.7</v>
      </c>
      <c r="T48" s="372">
        <v>0.7</v>
      </c>
      <c r="U48" s="372">
        <v>0.7</v>
      </c>
      <c r="V48" s="372">
        <v>0.7</v>
      </c>
      <c r="W48" s="372"/>
      <c r="X48" s="372"/>
      <c r="Y48" s="372"/>
      <c r="Z48" s="372"/>
      <c r="AA48" s="372"/>
      <c r="AB48" s="372"/>
      <c r="AC48" s="372"/>
      <c r="AD48" s="41"/>
      <c r="AE48" s="41"/>
      <c r="AF48" s="11">
        <f t="shared" si="8"/>
        <v>0</v>
      </c>
      <c r="AG48" s="11">
        <f t="shared" si="9"/>
        <v>0</v>
      </c>
      <c r="AH48" s="11">
        <f t="shared" si="10"/>
        <v>4</v>
      </c>
    </row>
    <row r="49" spans="1:124" ht="15" customHeight="1">
      <c r="A49" s="70" t="s">
        <v>44</v>
      </c>
      <c r="B49" s="15"/>
      <c r="C49" s="15">
        <v>0.75</v>
      </c>
      <c r="D49" s="15"/>
      <c r="E49" s="15"/>
      <c r="F49" s="372"/>
      <c r="G49" s="372"/>
      <c r="H49" s="372"/>
      <c r="I49" s="372"/>
      <c r="J49" s="372"/>
      <c r="K49" s="372"/>
      <c r="L49" s="372">
        <v>0.7</v>
      </c>
      <c r="M49" s="374"/>
      <c r="N49" s="372"/>
      <c r="O49" s="372">
        <v>0.7</v>
      </c>
      <c r="P49" s="372"/>
      <c r="Q49" s="372"/>
      <c r="R49" s="372"/>
      <c r="S49" s="372">
        <v>0.7</v>
      </c>
      <c r="T49" s="372">
        <v>0.7</v>
      </c>
      <c r="U49" s="372">
        <v>0.7</v>
      </c>
      <c r="V49" s="372"/>
      <c r="W49" s="372"/>
      <c r="X49" s="372"/>
      <c r="Y49" s="372"/>
      <c r="Z49" s="372"/>
      <c r="AA49" s="372"/>
      <c r="AB49" s="372">
        <v>0</v>
      </c>
      <c r="AC49" s="372">
        <v>0</v>
      </c>
      <c r="AD49" s="41"/>
      <c r="AE49" s="41"/>
      <c r="AF49" s="11">
        <f t="shared" si="8"/>
        <v>0</v>
      </c>
      <c r="AG49" s="11">
        <f t="shared" si="9"/>
        <v>0</v>
      </c>
      <c r="AH49" s="11">
        <f t="shared" si="10"/>
        <v>7</v>
      </c>
    </row>
    <row r="50" spans="1:124" ht="16.5" customHeight="1">
      <c r="A50" s="70" t="s">
        <v>45</v>
      </c>
      <c r="B50" s="15"/>
      <c r="C50" s="15">
        <v>0.75</v>
      </c>
      <c r="D50" s="15"/>
      <c r="E50" s="15"/>
      <c r="F50" s="372"/>
      <c r="G50" s="372"/>
      <c r="H50" s="372"/>
      <c r="I50" s="372"/>
      <c r="J50" s="374"/>
      <c r="K50" s="372"/>
      <c r="L50" s="372">
        <v>0.66</v>
      </c>
      <c r="M50" s="374"/>
      <c r="N50" s="372"/>
      <c r="O50" s="372"/>
      <c r="P50" s="372"/>
      <c r="Q50" s="372"/>
      <c r="R50" s="372"/>
      <c r="S50" s="372">
        <v>0.7</v>
      </c>
      <c r="T50" s="372">
        <v>0.7</v>
      </c>
      <c r="U50" s="372">
        <v>0.7</v>
      </c>
      <c r="V50" s="372">
        <v>0.7</v>
      </c>
      <c r="W50" s="372"/>
      <c r="X50" s="372"/>
      <c r="Y50" s="372"/>
      <c r="Z50" s="372"/>
      <c r="AA50" s="372"/>
      <c r="AB50" s="372"/>
      <c r="AC50" s="372">
        <v>0.7</v>
      </c>
      <c r="AD50" s="41"/>
      <c r="AE50" s="41"/>
      <c r="AF50" s="11">
        <f t="shared" si="8"/>
        <v>0</v>
      </c>
      <c r="AG50" s="11">
        <f t="shared" si="9"/>
        <v>0</v>
      </c>
      <c r="AH50" s="11">
        <f t="shared" si="10"/>
        <v>6</v>
      </c>
    </row>
    <row r="51" spans="1:124">
      <c r="A51" s="70" t="s">
        <v>46</v>
      </c>
      <c r="B51" s="15"/>
      <c r="C51" s="15">
        <v>0.85</v>
      </c>
      <c r="D51" s="15"/>
      <c r="E51" s="15"/>
      <c r="F51" s="372"/>
      <c r="G51" s="374"/>
      <c r="H51" s="374"/>
      <c r="I51" s="374"/>
      <c r="J51" s="374"/>
      <c r="K51" s="374"/>
      <c r="L51" s="374"/>
      <c r="M51" s="374"/>
      <c r="N51" s="372"/>
      <c r="O51" s="372"/>
      <c r="P51" s="372"/>
      <c r="Q51" s="372"/>
      <c r="R51" s="372"/>
      <c r="S51" s="372"/>
      <c r="T51" s="372"/>
      <c r="U51" s="372"/>
      <c r="V51" s="372"/>
      <c r="W51" s="372"/>
      <c r="X51" s="372"/>
      <c r="Y51" s="372"/>
      <c r="Z51" s="372"/>
      <c r="AA51" s="372"/>
      <c r="AB51" s="372"/>
      <c r="AC51" s="372"/>
      <c r="AD51" s="41"/>
      <c r="AE51" s="41"/>
      <c r="AF51" s="11">
        <f t="shared" si="8"/>
        <v>0</v>
      </c>
      <c r="AG51" s="11">
        <f t="shared" si="9"/>
        <v>0</v>
      </c>
      <c r="AH51" s="11">
        <f t="shared" si="10"/>
        <v>0</v>
      </c>
    </row>
    <row r="52" spans="1:124">
      <c r="A52" s="70" t="s">
        <v>47</v>
      </c>
      <c r="B52" s="15"/>
      <c r="C52" s="15">
        <v>0.85</v>
      </c>
      <c r="D52" s="15"/>
      <c r="E52" s="15"/>
      <c r="F52" s="372" t="s">
        <v>9</v>
      </c>
      <c r="G52" s="374" t="s">
        <v>9</v>
      </c>
      <c r="H52" s="374" t="s">
        <v>9</v>
      </c>
      <c r="I52" s="374" t="s">
        <v>9</v>
      </c>
      <c r="J52" s="374" t="s">
        <v>9</v>
      </c>
      <c r="K52" s="374" t="s">
        <v>9</v>
      </c>
      <c r="L52" s="374" t="s">
        <v>9</v>
      </c>
      <c r="M52" s="374" t="s">
        <v>9</v>
      </c>
      <c r="N52" s="372" t="s">
        <v>9</v>
      </c>
      <c r="O52" s="372" t="s">
        <v>9</v>
      </c>
      <c r="P52" s="372" t="s">
        <v>9</v>
      </c>
      <c r="Q52" s="372" t="s">
        <v>9</v>
      </c>
      <c r="R52" s="372" t="s">
        <v>9</v>
      </c>
      <c r="S52" s="372" t="s">
        <v>9</v>
      </c>
      <c r="T52" s="372" t="s">
        <v>9</v>
      </c>
      <c r="U52" s="372" t="s">
        <v>9</v>
      </c>
      <c r="V52" s="372" t="s">
        <v>9</v>
      </c>
      <c r="W52" s="372" t="s">
        <v>9</v>
      </c>
      <c r="X52" s="372" t="s">
        <v>9</v>
      </c>
      <c r="Y52" s="372" t="s">
        <v>9</v>
      </c>
      <c r="Z52" s="372" t="s">
        <v>9</v>
      </c>
      <c r="AA52" s="372" t="s">
        <v>9</v>
      </c>
      <c r="AB52" s="372" t="s">
        <v>9</v>
      </c>
      <c r="AC52" s="372" t="s">
        <v>9</v>
      </c>
      <c r="AD52" s="41"/>
      <c r="AE52" s="41"/>
      <c r="AF52" s="11">
        <f t="shared" si="8"/>
        <v>24</v>
      </c>
      <c r="AG52" s="11">
        <f t="shared" si="9"/>
        <v>0</v>
      </c>
      <c r="AH52" s="11">
        <f t="shared" si="10"/>
        <v>0</v>
      </c>
    </row>
    <row r="53" spans="1:124">
      <c r="A53" s="70" t="s">
        <v>48</v>
      </c>
      <c r="B53" s="15"/>
      <c r="C53" s="15">
        <v>0.85</v>
      </c>
      <c r="D53" s="15"/>
      <c r="E53" s="15"/>
      <c r="F53" s="372"/>
      <c r="G53" s="372"/>
      <c r="H53" s="372"/>
      <c r="I53" s="372"/>
      <c r="J53" s="372"/>
      <c r="K53" s="374"/>
      <c r="L53" s="372"/>
      <c r="M53" s="374"/>
      <c r="N53" s="372"/>
      <c r="O53" s="372"/>
      <c r="P53" s="372"/>
      <c r="Q53" s="372"/>
      <c r="R53" s="372"/>
      <c r="S53" s="372"/>
      <c r="T53" s="372"/>
      <c r="U53" s="372"/>
      <c r="V53" s="372"/>
      <c r="W53" s="372"/>
      <c r="X53" s="372"/>
      <c r="Y53" s="372"/>
      <c r="Z53" s="372"/>
      <c r="AA53" s="372"/>
      <c r="AB53" s="372"/>
      <c r="AC53" s="372"/>
      <c r="AD53" s="41"/>
      <c r="AE53" s="41"/>
      <c r="AF53" s="11">
        <f t="shared" si="8"/>
        <v>0</v>
      </c>
      <c r="AG53" s="11">
        <f t="shared" si="9"/>
        <v>0</v>
      </c>
      <c r="AH53" s="11">
        <f t="shared" si="10"/>
        <v>0</v>
      </c>
    </row>
    <row r="54" spans="1:124" ht="16.5" customHeight="1">
      <c r="A54" s="70" t="s">
        <v>49</v>
      </c>
      <c r="B54" s="15"/>
      <c r="C54" s="15">
        <v>0.85</v>
      </c>
      <c r="D54" s="15"/>
      <c r="E54" s="15"/>
      <c r="F54" s="372"/>
      <c r="G54" s="372"/>
      <c r="H54" s="372"/>
      <c r="I54" s="372"/>
      <c r="J54" s="372"/>
      <c r="K54" s="374"/>
      <c r="L54" s="372"/>
      <c r="M54" s="374"/>
      <c r="N54" s="372"/>
      <c r="O54" s="372"/>
      <c r="P54" s="372"/>
      <c r="Q54" s="372"/>
      <c r="R54" s="372"/>
      <c r="S54" s="372"/>
      <c r="T54" s="372"/>
      <c r="U54" s="372"/>
      <c r="V54" s="372"/>
      <c r="W54" s="372"/>
      <c r="X54" s="372"/>
      <c r="Y54" s="372"/>
      <c r="Z54" s="372"/>
      <c r="AA54" s="372"/>
      <c r="AB54" s="372"/>
      <c r="AC54" s="372"/>
      <c r="AD54" s="41"/>
      <c r="AE54" s="41"/>
      <c r="AF54" s="11">
        <f t="shared" si="8"/>
        <v>0</v>
      </c>
      <c r="AG54" s="11">
        <f t="shared" si="9"/>
        <v>0</v>
      </c>
      <c r="AH54" s="11">
        <f t="shared" si="10"/>
        <v>0</v>
      </c>
    </row>
    <row r="55" spans="1:124">
      <c r="A55" s="70" t="s">
        <v>50</v>
      </c>
      <c r="B55" s="15"/>
      <c r="C55" s="15">
        <v>0.85</v>
      </c>
      <c r="D55" s="15"/>
      <c r="E55" s="15"/>
      <c r="F55" s="372"/>
      <c r="G55" s="372"/>
      <c r="H55" s="372"/>
      <c r="I55" s="372"/>
      <c r="J55" s="372"/>
      <c r="K55" s="374"/>
      <c r="L55" s="372"/>
      <c r="M55" s="374"/>
      <c r="N55" s="372"/>
      <c r="O55" s="372"/>
      <c r="P55" s="372"/>
      <c r="Q55" s="372"/>
      <c r="R55" s="372"/>
      <c r="S55" s="372"/>
      <c r="T55" s="372"/>
      <c r="U55" s="372"/>
      <c r="V55" s="372"/>
      <c r="W55" s="372"/>
      <c r="X55" s="372"/>
      <c r="Y55" s="372"/>
      <c r="Z55" s="372"/>
      <c r="AA55" s="372"/>
      <c r="AB55" s="372"/>
      <c r="AC55" s="372"/>
      <c r="AD55" s="41"/>
      <c r="AE55" s="41"/>
      <c r="AF55" s="11">
        <f>COUNTIF(F55:AC55,$AJ$8)</f>
        <v>0</v>
      </c>
      <c r="AG55" s="11">
        <f t="shared" si="9"/>
        <v>0</v>
      </c>
      <c r="AH55" s="11">
        <f>COUNT(F55:AC55)</f>
        <v>0</v>
      </c>
    </row>
    <row r="56" spans="1:124">
      <c r="A56" s="70" t="s">
        <v>51</v>
      </c>
      <c r="B56" s="15"/>
      <c r="C56" s="15">
        <v>0.75</v>
      </c>
      <c r="D56" s="15"/>
      <c r="E56" s="15"/>
      <c r="F56" s="372"/>
      <c r="G56" s="372"/>
      <c r="H56" s="372"/>
      <c r="I56" s="372"/>
      <c r="J56" s="372"/>
      <c r="K56" s="372"/>
      <c r="L56" s="374"/>
      <c r="M56" s="374"/>
      <c r="N56" s="372">
        <v>0.7</v>
      </c>
      <c r="O56" s="372"/>
      <c r="P56" s="372"/>
      <c r="Q56" s="372"/>
      <c r="R56" s="372"/>
      <c r="S56" s="372">
        <v>0.7</v>
      </c>
      <c r="T56" s="372">
        <v>0.7</v>
      </c>
      <c r="U56" s="372">
        <v>0.7</v>
      </c>
      <c r="V56" s="372">
        <v>0.7</v>
      </c>
      <c r="W56" s="372"/>
      <c r="X56" s="372"/>
      <c r="Y56" s="372"/>
      <c r="Z56" s="372"/>
      <c r="AA56" s="372"/>
      <c r="AB56" s="372"/>
      <c r="AC56" s="372"/>
      <c r="AD56" s="41"/>
      <c r="AE56" s="41"/>
      <c r="AF56" s="11">
        <f t="shared" si="8"/>
        <v>0</v>
      </c>
      <c r="AG56" s="11">
        <f t="shared" si="9"/>
        <v>0</v>
      </c>
      <c r="AH56" s="11">
        <f t="shared" si="10"/>
        <v>5</v>
      </c>
    </row>
    <row r="57" spans="1:124">
      <c r="A57" s="70" t="s">
        <v>52</v>
      </c>
      <c r="B57" s="15"/>
      <c r="C57" s="15">
        <v>0.75</v>
      </c>
      <c r="D57" s="15"/>
      <c r="E57" s="15"/>
      <c r="F57" s="372"/>
      <c r="G57" s="372"/>
      <c r="H57" s="372">
        <v>0.7</v>
      </c>
      <c r="I57" s="372"/>
      <c r="J57" s="372"/>
      <c r="K57" s="372"/>
      <c r="L57" s="372"/>
      <c r="M57" s="374"/>
      <c r="N57" s="372"/>
      <c r="O57" s="372">
        <v>0.7</v>
      </c>
      <c r="P57" s="372"/>
      <c r="Q57" s="372"/>
      <c r="R57" s="372">
        <v>0.7</v>
      </c>
      <c r="S57" s="372">
        <v>0.8</v>
      </c>
      <c r="T57" s="372">
        <v>0.6</v>
      </c>
      <c r="U57" s="372"/>
      <c r="V57" s="372"/>
      <c r="W57" s="372"/>
      <c r="X57" s="372"/>
      <c r="Y57" s="372"/>
      <c r="Z57" s="372"/>
      <c r="AA57" s="372"/>
      <c r="AB57" s="372">
        <v>0</v>
      </c>
      <c r="AC57" s="372">
        <v>0</v>
      </c>
      <c r="AD57" s="41"/>
      <c r="AE57" s="41"/>
      <c r="AF57" s="11">
        <f t="shared" si="8"/>
        <v>0</v>
      </c>
      <c r="AG57" s="11">
        <f t="shared" si="9"/>
        <v>0</v>
      </c>
      <c r="AH57" s="11">
        <f t="shared" si="10"/>
        <v>7</v>
      </c>
    </row>
    <row r="58" spans="1:124">
      <c r="A58" s="70" t="s">
        <v>53</v>
      </c>
      <c r="B58" s="15"/>
      <c r="C58" s="15">
        <v>0.85</v>
      </c>
      <c r="D58" s="15"/>
      <c r="E58" s="15"/>
      <c r="F58" s="372"/>
      <c r="G58" s="372"/>
      <c r="H58" s="372"/>
      <c r="I58" s="372"/>
      <c r="J58" s="372"/>
      <c r="K58" s="372"/>
      <c r="L58" s="372"/>
      <c r="M58" s="374"/>
      <c r="N58" s="372"/>
      <c r="O58" s="372"/>
      <c r="P58" s="372"/>
      <c r="Q58" s="372"/>
      <c r="R58" s="372"/>
      <c r="S58" s="372"/>
      <c r="T58" s="372"/>
      <c r="U58" s="372"/>
      <c r="V58" s="372"/>
      <c r="W58" s="372"/>
      <c r="X58" s="372"/>
      <c r="Y58" s="372"/>
      <c r="Z58" s="372"/>
      <c r="AA58" s="372"/>
      <c r="AB58" s="372"/>
      <c r="AC58" s="372"/>
      <c r="AD58" s="41"/>
      <c r="AE58" s="41"/>
      <c r="AF58" s="11">
        <f t="shared" si="8"/>
        <v>0</v>
      </c>
      <c r="AG58" s="11">
        <f t="shared" si="9"/>
        <v>0</v>
      </c>
      <c r="AH58" s="11">
        <f t="shared" si="10"/>
        <v>0</v>
      </c>
    </row>
    <row r="59" spans="1:124">
      <c r="A59" s="70" t="s">
        <v>54</v>
      </c>
      <c r="B59" s="15"/>
      <c r="C59" s="15">
        <v>0.85</v>
      </c>
      <c r="D59" s="15"/>
      <c r="E59" s="15"/>
      <c r="F59" s="372"/>
      <c r="G59" s="372"/>
      <c r="H59" s="372"/>
      <c r="I59" s="372"/>
      <c r="J59" s="372"/>
      <c r="K59" s="374"/>
      <c r="L59" s="374"/>
      <c r="M59" s="374"/>
      <c r="N59" s="372"/>
      <c r="O59" s="372"/>
      <c r="P59" s="372"/>
      <c r="Q59" s="372"/>
      <c r="R59" s="372"/>
      <c r="S59" s="372"/>
      <c r="T59" s="372"/>
      <c r="U59" s="372"/>
      <c r="V59" s="372"/>
      <c r="W59" s="372"/>
      <c r="X59" s="372"/>
      <c r="Y59" s="372"/>
      <c r="Z59" s="372"/>
      <c r="AA59" s="372"/>
      <c r="AB59" s="372"/>
      <c r="AC59" s="372"/>
      <c r="AD59" s="41"/>
      <c r="AE59" s="41"/>
      <c r="AF59" s="11">
        <f t="shared" si="8"/>
        <v>0</v>
      </c>
      <c r="AG59" s="11">
        <f t="shared" si="9"/>
        <v>0</v>
      </c>
      <c r="AH59" s="11">
        <f t="shared" si="10"/>
        <v>0</v>
      </c>
    </row>
    <row r="60" spans="1:124">
      <c r="A60" s="9" t="s">
        <v>26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 t="shared" ref="F60:AC60" si="13">SUM(F36:F59)</f>
        <v>0</v>
      </c>
      <c r="G60" s="19">
        <f t="shared" si="13"/>
        <v>0</v>
      </c>
      <c r="H60" s="19">
        <f t="shared" si="13"/>
        <v>0.7</v>
      </c>
      <c r="I60" s="19">
        <f t="shared" si="13"/>
        <v>0</v>
      </c>
      <c r="J60" s="19">
        <f t="shared" si="13"/>
        <v>0</v>
      </c>
      <c r="K60" s="19">
        <f t="shared" si="13"/>
        <v>0</v>
      </c>
      <c r="L60" s="19">
        <f t="shared" si="13"/>
        <v>2.76</v>
      </c>
      <c r="M60" s="19">
        <f t="shared" si="13"/>
        <v>0</v>
      </c>
      <c r="N60" s="19">
        <f t="shared" si="13"/>
        <v>0.7</v>
      </c>
      <c r="O60" s="19">
        <f>SUM(O36:O59)</f>
        <v>1.4</v>
      </c>
      <c r="P60" s="19">
        <f t="shared" si="13"/>
        <v>0</v>
      </c>
      <c r="Q60" s="19">
        <f t="shared" si="13"/>
        <v>0</v>
      </c>
      <c r="R60" s="19">
        <f t="shared" si="13"/>
        <v>0.7</v>
      </c>
      <c r="S60" s="19">
        <f t="shared" si="13"/>
        <v>5</v>
      </c>
      <c r="T60" s="19">
        <f>SUM(T36:T59)</f>
        <v>7.2000000000000011</v>
      </c>
      <c r="U60" s="19">
        <f t="shared" si="13"/>
        <v>7.1000000000000014</v>
      </c>
      <c r="V60" s="19">
        <f t="shared" si="13"/>
        <v>5.7000000000000011</v>
      </c>
      <c r="W60" s="19">
        <f t="shared" si="13"/>
        <v>2.8000000000000003</v>
      </c>
      <c r="X60" s="19">
        <f t="shared" si="13"/>
        <v>2.8000000000000003</v>
      </c>
      <c r="Y60" s="19">
        <f t="shared" si="13"/>
        <v>2.8000000000000003</v>
      </c>
      <c r="Z60" s="19">
        <f t="shared" si="13"/>
        <v>2.8000000000000003</v>
      </c>
      <c r="AA60" s="19">
        <f t="shared" si="13"/>
        <v>2.8000000000000003</v>
      </c>
      <c r="AB60" s="19">
        <f t="shared" si="13"/>
        <v>2.8000000000000003</v>
      </c>
      <c r="AC60" s="19">
        <f t="shared" si="13"/>
        <v>4.2</v>
      </c>
      <c r="AD60" s="34"/>
      <c r="AE60" s="34"/>
      <c r="AF60" s="11"/>
      <c r="AG60" s="11"/>
      <c r="AH60" s="11"/>
    </row>
    <row r="61" spans="1:124">
      <c r="A61" s="12" t="s">
        <v>55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35.109999999999992</v>
      </c>
      <c r="AN61" s="351"/>
    </row>
    <row r="62" spans="1:124">
      <c r="A62" s="14" t="s">
        <v>56</v>
      </c>
      <c r="B62" s="20"/>
      <c r="C62" s="15">
        <v>0.75</v>
      </c>
      <c r="D62" s="15"/>
      <c r="E62" s="15"/>
      <c r="F62" s="372">
        <f>1.06/2</f>
        <v>0.53</v>
      </c>
      <c r="G62" s="372">
        <f>0.99/2</f>
        <v>0.495</v>
      </c>
      <c r="H62" s="372">
        <f>0.92/2</f>
        <v>0.46</v>
      </c>
      <c r="I62" s="372">
        <v>0.44</v>
      </c>
      <c r="J62" s="372">
        <v>0.42499999999999999</v>
      </c>
      <c r="K62" s="374">
        <v>0.45</v>
      </c>
      <c r="L62" s="372">
        <v>0.5</v>
      </c>
      <c r="M62" s="372"/>
      <c r="N62" s="372"/>
      <c r="O62" s="372"/>
      <c r="P62" s="372"/>
      <c r="Q62" s="372"/>
      <c r="R62" s="372"/>
      <c r="S62" s="372">
        <f>1.51/2</f>
        <v>0.755</v>
      </c>
      <c r="T62" s="372">
        <f>1.51/2</f>
        <v>0.755</v>
      </c>
      <c r="U62" s="372">
        <f>1.51/2</f>
        <v>0.755</v>
      </c>
      <c r="V62" s="372">
        <v>0.7</v>
      </c>
      <c r="W62" s="372">
        <f>1.36/2</f>
        <v>0.68</v>
      </c>
      <c r="X62" s="372"/>
      <c r="Y62" s="372">
        <f>1.65/2</f>
        <v>0.82499999999999996</v>
      </c>
      <c r="Z62" s="372">
        <f>1.33/2</f>
        <v>0.66500000000000004</v>
      </c>
      <c r="AA62" s="372">
        <f>1.21/2</f>
        <v>0.60499999999999998</v>
      </c>
      <c r="AB62" s="372">
        <f>1.33/2</f>
        <v>0.66500000000000004</v>
      </c>
      <c r="AC62" s="372">
        <v>0.61499999999999999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17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57</v>
      </c>
      <c r="B63" s="20"/>
      <c r="C63" s="15">
        <v>0.75</v>
      </c>
      <c r="D63" s="15"/>
      <c r="E63" s="15"/>
      <c r="F63" s="372">
        <v>0</v>
      </c>
      <c r="G63" s="372">
        <f>0.99/2</f>
        <v>0.495</v>
      </c>
      <c r="H63" s="372">
        <f>0.92/2</f>
        <v>0.46</v>
      </c>
      <c r="I63" s="372">
        <v>0.44</v>
      </c>
      <c r="J63" s="372">
        <v>0.42499999999999999</v>
      </c>
      <c r="K63" s="374">
        <v>0.45</v>
      </c>
      <c r="L63" s="372">
        <v>0.5</v>
      </c>
      <c r="M63" s="372">
        <f>1.06/2</f>
        <v>0.53</v>
      </c>
      <c r="N63" s="372">
        <f>1.12/2</f>
        <v>0.56000000000000005</v>
      </c>
      <c r="O63" s="372">
        <f>1.35/2</f>
        <v>0.67500000000000004</v>
      </c>
      <c r="P63" s="372">
        <f>1.41/2</f>
        <v>0.70499999999999996</v>
      </c>
      <c r="Q63" s="372">
        <f>1.53/2</f>
        <v>0.76500000000000001</v>
      </c>
      <c r="R63" s="372">
        <f>1.5/2</f>
        <v>0.75</v>
      </c>
      <c r="S63" s="372"/>
      <c r="T63" s="372"/>
      <c r="U63" s="372"/>
      <c r="V63" s="372"/>
      <c r="W63" s="372"/>
      <c r="X63" s="372"/>
      <c r="Y63" s="372">
        <f>1.65/2</f>
        <v>0.82499999999999996</v>
      </c>
      <c r="Z63" s="372">
        <f>1.33/2</f>
        <v>0.66500000000000004</v>
      </c>
      <c r="AA63" s="372">
        <f>1.21/2</f>
        <v>0.60499999999999998</v>
      </c>
      <c r="AB63" s="372">
        <f>1.33/2</f>
        <v>0.66500000000000004</v>
      </c>
      <c r="AC63" s="372">
        <v>0.61499999999999999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18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58</v>
      </c>
      <c r="B64" s="20"/>
      <c r="C64" s="15">
        <v>0.75</v>
      </c>
      <c r="D64" s="15"/>
      <c r="E64" s="15"/>
      <c r="F64" s="372">
        <f>1.06/2</f>
        <v>0.53</v>
      </c>
      <c r="G64" s="372"/>
      <c r="H64" s="372"/>
      <c r="I64" s="372"/>
      <c r="J64" s="372"/>
      <c r="K64" s="374"/>
      <c r="L64" s="372"/>
      <c r="M64" s="372">
        <f>1.06/2</f>
        <v>0.53</v>
      </c>
      <c r="N64" s="372">
        <f>1.12/2</f>
        <v>0.56000000000000005</v>
      </c>
      <c r="O64" s="372">
        <f>1.35/2</f>
        <v>0.67500000000000004</v>
      </c>
      <c r="P64" s="372">
        <f>1.41/2</f>
        <v>0.70499999999999996</v>
      </c>
      <c r="Q64" s="372">
        <f>1.53/2</f>
        <v>0.76500000000000001</v>
      </c>
      <c r="R64" s="372">
        <f>1.5/2</f>
        <v>0.75</v>
      </c>
      <c r="S64" s="372">
        <f>1.51/2</f>
        <v>0.755</v>
      </c>
      <c r="T64" s="372">
        <f>1.51/2</f>
        <v>0.755</v>
      </c>
      <c r="U64" s="372">
        <f>1.51/2</f>
        <v>0.755</v>
      </c>
      <c r="V64" s="372">
        <v>0.7</v>
      </c>
      <c r="W64" s="372">
        <f>1.36/2</f>
        <v>0.68</v>
      </c>
      <c r="X64" s="372">
        <v>6.5</v>
      </c>
      <c r="Y64" s="372" t="s">
        <v>9</v>
      </c>
      <c r="Z64" s="372" t="s">
        <v>9</v>
      </c>
      <c r="AA64" s="372" t="s">
        <v>9</v>
      </c>
      <c r="AB64" s="372" t="s">
        <v>9</v>
      </c>
      <c r="AC64" s="372" t="s">
        <v>9</v>
      </c>
      <c r="AD64" s="32"/>
      <c r="AE64" s="32"/>
      <c r="AF64" s="11">
        <f>COUNTIF(F64:AC64,$AF$11)</f>
        <v>5</v>
      </c>
      <c r="AG64" s="11">
        <f>COUNTIF(G64:AC64,$AG$11)</f>
        <v>0</v>
      </c>
      <c r="AH64" s="11">
        <f>COUNT(F64:AC64)</f>
        <v>13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1.06</v>
      </c>
      <c r="G65" s="19">
        <f t="shared" ref="G65" si="14">SUM(G62:G64)</f>
        <v>0.99</v>
      </c>
      <c r="H65" s="19">
        <f>SUM(H62:H64)</f>
        <v>0.92</v>
      </c>
      <c r="I65" s="19">
        <f>SUM(I62:I64)</f>
        <v>0.88</v>
      </c>
      <c r="J65" s="19">
        <f t="shared" ref="J65" si="15">SUM(J62:J64)</f>
        <v>0.85</v>
      </c>
      <c r="K65" s="19">
        <f>SUM(K62:K64)</f>
        <v>0.9</v>
      </c>
      <c r="L65" s="19">
        <f>SUM(L62:L64)</f>
        <v>1</v>
      </c>
      <c r="M65" s="19">
        <f>SUM(M62:M64)</f>
        <v>1.06</v>
      </c>
      <c r="N65" s="19">
        <f>SUM(N62:N64)</f>
        <v>1.1200000000000001</v>
      </c>
      <c r="O65" s="19">
        <f t="shared" ref="O65:AB65" si="16">SUM(O62:O64)</f>
        <v>1.35</v>
      </c>
      <c r="P65" s="19">
        <f t="shared" si="16"/>
        <v>1.41</v>
      </c>
      <c r="Q65" s="19">
        <f t="shared" si="16"/>
        <v>1.53</v>
      </c>
      <c r="R65" s="19">
        <f t="shared" si="16"/>
        <v>1.5</v>
      </c>
      <c r="S65" s="19">
        <f t="shared" si="16"/>
        <v>1.51</v>
      </c>
      <c r="T65" s="19">
        <f t="shared" si="16"/>
        <v>1.51</v>
      </c>
      <c r="U65" s="19">
        <f t="shared" si="16"/>
        <v>1.51</v>
      </c>
      <c r="V65" s="19">
        <f t="shared" si="16"/>
        <v>1.4</v>
      </c>
      <c r="W65" s="19">
        <f t="shared" si="16"/>
        <v>1.36</v>
      </c>
      <c r="X65" s="19">
        <f t="shared" si="16"/>
        <v>6.5</v>
      </c>
      <c r="Y65" s="19">
        <f>SUM(Y62:Y64)</f>
        <v>1.65</v>
      </c>
      <c r="Z65" s="19">
        <f t="shared" si="16"/>
        <v>1.33</v>
      </c>
      <c r="AA65" s="19">
        <f t="shared" si="16"/>
        <v>1.21</v>
      </c>
      <c r="AB65" s="19">
        <f t="shared" si="16"/>
        <v>1.33</v>
      </c>
      <c r="AC65" s="19">
        <f>SUM(AC62:AC64)</f>
        <v>1.23</v>
      </c>
      <c r="AD65" s="34"/>
      <c r="AE65" s="34"/>
      <c r="AF65" s="11"/>
      <c r="AG65" s="11"/>
      <c r="AH65" s="11"/>
    </row>
    <row r="66" spans="1:124" hidden="1">
      <c r="A66" s="12" t="s">
        <v>59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idden="1">
      <c r="A67" s="14" t="s">
        <v>60</v>
      </c>
      <c r="B67" s="15"/>
      <c r="C67" s="15">
        <v>0.85</v>
      </c>
      <c r="D67" s="15"/>
      <c r="E67" s="15"/>
      <c r="F67" s="372"/>
      <c r="G67" s="372"/>
      <c r="H67" s="372"/>
      <c r="I67" s="372"/>
      <c r="J67" s="372"/>
      <c r="K67" s="374"/>
      <c r="L67" s="374"/>
      <c r="M67" s="374"/>
      <c r="N67" s="372"/>
      <c r="O67" s="372"/>
      <c r="P67" s="372"/>
      <c r="Q67" s="372"/>
      <c r="R67" s="372"/>
      <c r="S67" s="372"/>
      <c r="T67" s="372"/>
      <c r="U67" s="372"/>
      <c r="V67" s="372"/>
      <c r="W67" s="372"/>
      <c r="X67" s="372"/>
      <c r="Y67" s="372"/>
      <c r="Z67" s="372"/>
      <c r="AA67" s="372"/>
      <c r="AB67" s="372"/>
      <c r="AC67" s="372"/>
      <c r="AD67" s="35"/>
      <c r="AE67" s="35"/>
      <c r="AF67" s="11">
        <f t="shared" ref="AF67:AF75" si="17">COUNTIF(F67:AC67,$AF$11)</f>
        <v>0</v>
      </c>
      <c r="AG67" s="11">
        <f t="shared" ref="AG67:AG75" si="18">COUNTIF(G67:AC67,$AG$11)</f>
        <v>0</v>
      </c>
      <c r="AH67" s="11">
        <f t="shared" ref="AH67:AH75" si="19">COUNT(F67:AC67)</f>
        <v>0</v>
      </c>
    </row>
    <row r="68" spans="1:124" hidden="1">
      <c r="A68" s="14" t="s">
        <v>61</v>
      </c>
      <c r="B68" s="15"/>
      <c r="C68" s="15">
        <v>0.85</v>
      </c>
      <c r="D68" s="15"/>
      <c r="E68" s="15"/>
      <c r="F68" s="372"/>
      <c r="G68" s="372"/>
      <c r="H68" s="372"/>
      <c r="I68" s="372"/>
      <c r="J68" s="372"/>
      <c r="K68" s="374"/>
      <c r="L68" s="374"/>
      <c r="M68" s="374"/>
      <c r="N68" s="372"/>
      <c r="O68" s="372"/>
      <c r="P68" s="372"/>
      <c r="Q68" s="372"/>
      <c r="R68" s="372"/>
      <c r="S68" s="372"/>
      <c r="T68" s="372"/>
      <c r="U68" s="372"/>
      <c r="V68" s="372"/>
      <c r="W68" s="372"/>
      <c r="X68" s="372"/>
      <c r="Y68" s="372"/>
      <c r="Z68" s="372"/>
      <c r="AA68" s="372"/>
      <c r="AB68" s="372"/>
      <c r="AC68" s="372"/>
      <c r="AD68" s="35"/>
      <c r="AE68" s="35"/>
      <c r="AF68" s="11">
        <f t="shared" si="17"/>
        <v>0</v>
      </c>
      <c r="AG68" s="11">
        <f t="shared" si="18"/>
        <v>0</v>
      </c>
      <c r="AH68" s="11">
        <f t="shared" si="19"/>
        <v>0</v>
      </c>
    </row>
    <row r="69" spans="1:124" hidden="1">
      <c r="A69" s="14" t="s">
        <v>62</v>
      </c>
      <c r="B69" s="15"/>
      <c r="C69" s="15">
        <v>0.85</v>
      </c>
      <c r="D69" s="15"/>
      <c r="E69" s="15"/>
      <c r="F69" s="372"/>
      <c r="G69" s="372"/>
      <c r="H69" s="372"/>
      <c r="I69" s="372"/>
      <c r="J69" s="372"/>
      <c r="K69" s="374"/>
      <c r="L69" s="374"/>
      <c r="M69" s="374"/>
      <c r="N69" s="372"/>
      <c r="O69" s="372"/>
      <c r="P69" s="372"/>
      <c r="Q69" s="372"/>
      <c r="R69" s="372"/>
      <c r="S69" s="372"/>
      <c r="T69" s="372"/>
      <c r="U69" s="372"/>
      <c r="V69" s="372"/>
      <c r="W69" s="372"/>
      <c r="X69" s="372"/>
      <c r="Y69" s="372"/>
      <c r="Z69" s="372"/>
      <c r="AA69" s="372"/>
      <c r="AB69" s="372"/>
      <c r="AC69" s="372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9"/>
        <v>0</v>
      </c>
    </row>
    <row r="70" spans="1:124" hidden="1">
      <c r="A70" s="14" t="s">
        <v>63</v>
      </c>
      <c r="B70" s="15"/>
      <c r="C70" s="15">
        <v>0.85</v>
      </c>
      <c r="D70" s="15"/>
      <c r="E70" s="15"/>
      <c r="F70" s="372"/>
      <c r="G70" s="372"/>
      <c r="H70" s="372"/>
      <c r="I70" s="372"/>
      <c r="J70" s="372"/>
      <c r="K70" s="374"/>
      <c r="L70" s="374"/>
      <c r="M70" s="374"/>
      <c r="N70" s="372"/>
      <c r="O70" s="372"/>
      <c r="P70" s="372"/>
      <c r="Q70" s="372"/>
      <c r="R70" s="372"/>
      <c r="S70" s="372"/>
      <c r="T70" s="372"/>
      <c r="U70" s="372"/>
      <c r="V70" s="372"/>
      <c r="W70" s="372"/>
      <c r="X70" s="372"/>
      <c r="Y70" s="372"/>
      <c r="Z70" s="372"/>
      <c r="AA70" s="372"/>
      <c r="AB70" s="372"/>
      <c r="AC70" s="372"/>
      <c r="AD70" s="35"/>
      <c r="AE70" s="35"/>
      <c r="AF70" s="11">
        <f t="shared" si="17"/>
        <v>0</v>
      </c>
      <c r="AG70" s="11">
        <f t="shared" si="18"/>
        <v>0</v>
      </c>
      <c r="AH70" s="11">
        <f t="shared" si="19"/>
        <v>0</v>
      </c>
      <c r="AI70" s="5"/>
      <c r="AJ70" s="5"/>
      <c r="AK70" s="5"/>
      <c r="AL70" s="5"/>
    </row>
    <row r="71" spans="1:124" hidden="1">
      <c r="A71" s="14" t="s">
        <v>64</v>
      </c>
      <c r="B71" s="15"/>
      <c r="C71" s="15">
        <v>0.85</v>
      </c>
      <c r="D71" s="15"/>
      <c r="E71" s="15"/>
      <c r="F71" s="372"/>
      <c r="G71" s="372"/>
      <c r="H71" s="372"/>
      <c r="I71" s="372"/>
      <c r="J71" s="372"/>
      <c r="K71" s="374"/>
      <c r="L71" s="374"/>
      <c r="M71" s="374"/>
      <c r="N71" s="372"/>
      <c r="O71" s="372"/>
      <c r="P71" s="372"/>
      <c r="Q71" s="372"/>
      <c r="R71" s="372"/>
      <c r="S71" s="372"/>
      <c r="T71" s="372"/>
      <c r="U71" s="372"/>
      <c r="V71" s="372"/>
      <c r="W71" s="372"/>
      <c r="X71" s="372"/>
      <c r="Y71" s="372"/>
      <c r="Z71" s="372"/>
      <c r="AA71" s="372"/>
      <c r="AB71" s="372"/>
      <c r="AC71" s="372"/>
      <c r="AD71" s="35"/>
      <c r="AE71" s="35"/>
      <c r="AF71" s="11">
        <f t="shared" si="17"/>
        <v>0</v>
      </c>
      <c r="AG71" s="11">
        <f t="shared" si="18"/>
        <v>0</v>
      </c>
      <c r="AH71" s="11">
        <f t="shared" si="19"/>
        <v>0</v>
      </c>
    </row>
    <row r="72" spans="1:124" hidden="1">
      <c r="A72" s="14" t="s">
        <v>65</v>
      </c>
      <c r="B72" s="15"/>
      <c r="C72" s="15">
        <v>0.85</v>
      </c>
      <c r="D72" s="15"/>
      <c r="E72" s="15"/>
      <c r="F72" s="372"/>
      <c r="G72" s="372"/>
      <c r="H72" s="372"/>
      <c r="I72" s="372"/>
      <c r="J72" s="372"/>
      <c r="K72" s="374"/>
      <c r="L72" s="374"/>
      <c r="M72" s="374"/>
      <c r="N72" s="372"/>
      <c r="O72" s="372"/>
      <c r="P72" s="372"/>
      <c r="Q72" s="372"/>
      <c r="R72" s="372"/>
      <c r="S72" s="372"/>
      <c r="T72" s="372"/>
      <c r="U72" s="372"/>
      <c r="V72" s="372"/>
      <c r="W72" s="372"/>
      <c r="X72" s="372"/>
      <c r="Y72" s="372"/>
      <c r="Z72" s="372"/>
      <c r="AA72" s="372"/>
      <c r="AB72" s="372"/>
      <c r="AC72" s="372"/>
      <c r="AD72" s="35"/>
      <c r="AE72" s="35"/>
      <c r="AF72" s="11">
        <f t="shared" si="17"/>
        <v>0</v>
      </c>
      <c r="AG72" s="11">
        <f t="shared" si="18"/>
        <v>0</v>
      </c>
      <c r="AH72" s="11">
        <f t="shared" si="19"/>
        <v>0</v>
      </c>
    </row>
    <row r="73" spans="1:124" hidden="1">
      <c r="A73" s="14" t="s">
        <v>66</v>
      </c>
      <c r="B73" s="15"/>
      <c r="C73" s="15">
        <v>0.85</v>
      </c>
      <c r="D73" s="15"/>
      <c r="E73" s="15"/>
      <c r="F73" s="372"/>
      <c r="G73" s="372"/>
      <c r="H73" s="372"/>
      <c r="I73" s="372"/>
      <c r="J73" s="372"/>
      <c r="K73" s="374"/>
      <c r="L73" s="374"/>
      <c r="M73" s="374"/>
      <c r="N73" s="372"/>
      <c r="O73" s="372"/>
      <c r="P73" s="372"/>
      <c r="Q73" s="372"/>
      <c r="R73" s="372"/>
      <c r="S73" s="372"/>
      <c r="T73" s="372"/>
      <c r="U73" s="372"/>
      <c r="V73" s="372"/>
      <c r="W73" s="372"/>
      <c r="X73" s="372"/>
      <c r="Y73" s="372"/>
      <c r="Z73" s="372"/>
      <c r="AA73" s="372"/>
      <c r="AB73" s="372"/>
      <c r="AC73" s="372"/>
      <c r="AD73" s="35"/>
      <c r="AE73" s="35"/>
      <c r="AF73" s="11">
        <f t="shared" si="17"/>
        <v>0</v>
      </c>
      <c r="AG73" s="11">
        <f t="shared" si="18"/>
        <v>0</v>
      </c>
      <c r="AH73" s="11">
        <f t="shared" si="19"/>
        <v>0</v>
      </c>
    </row>
    <row r="74" spans="1:124" hidden="1">
      <c r="A74" s="14" t="s">
        <v>67</v>
      </c>
      <c r="B74" s="19"/>
      <c r="C74" s="15">
        <v>0.85</v>
      </c>
      <c r="D74" s="15"/>
      <c r="E74" s="15"/>
      <c r="F74" s="372"/>
      <c r="G74" s="372"/>
      <c r="H74" s="372"/>
      <c r="I74" s="372"/>
      <c r="J74" s="372"/>
      <c r="K74" s="374"/>
      <c r="L74" s="374"/>
      <c r="M74" s="374"/>
      <c r="N74" s="372"/>
      <c r="O74" s="372"/>
      <c r="P74" s="372"/>
      <c r="Q74" s="372"/>
      <c r="R74" s="372"/>
      <c r="S74" s="372"/>
      <c r="T74" s="372"/>
      <c r="U74" s="372"/>
      <c r="V74" s="372"/>
      <c r="W74" s="372"/>
      <c r="X74" s="372"/>
      <c r="Y74" s="372"/>
      <c r="Z74" s="372"/>
      <c r="AA74" s="372"/>
      <c r="AB74" s="372"/>
      <c r="AC74" s="372"/>
      <c r="AD74" s="29"/>
      <c r="AE74" s="29"/>
      <c r="AF74" s="11">
        <f t="shared" si="17"/>
        <v>0</v>
      </c>
      <c r="AG74" s="11">
        <f t="shared" si="18"/>
        <v>0</v>
      </c>
      <c r="AH74" s="11">
        <f t="shared" si="19"/>
        <v>0</v>
      </c>
    </row>
    <row r="75" spans="1:124" ht="15.75" hidden="1" customHeight="1">
      <c r="A75" s="14" t="s">
        <v>68</v>
      </c>
      <c r="B75" s="9"/>
      <c r="C75" s="15">
        <v>0.85</v>
      </c>
      <c r="D75" s="15"/>
      <c r="E75" s="15"/>
      <c r="F75" s="372"/>
      <c r="G75" s="372"/>
      <c r="H75" s="372"/>
      <c r="I75" s="372"/>
      <c r="J75" s="372"/>
      <c r="K75" s="374"/>
      <c r="L75" s="374"/>
      <c r="M75" s="374"/>
      <c r="N75" s="372"/>
      <c r="O75" s="372"/>
      <c r="P75" s="372"/>
      <c r="Q75" s="372"/>
      <c r="R75" s="372"/>
      <c r="S75" s="372"/>
      <c r="T75" s="372"/>
      <c r="U75" s="372"/>
      <c r="V75" s="372"/>
      <c r="W75" s="372"/>
      <c r="X75" s="372"/>
      <c r="Y75" s="372"/>
      <c r="Z75" s="372"/>
      <c r="AA75" s="372"/>
      <c r="AB75" s="372"/>
      <c r="AC75" s="372"/>
      <c r="AD75" s="31"/>
      <c r="AE75" s="31"/>
      <c r="AF75" s="11">
        <f t="shared" si="17"/>
        <v>0</v>
      </c>
      <c r="AG75" s="11">
        <f t="shared" si="18"/>
        <v>0</v>
      </c>
      <c r="AH75" s="11">
        <f t="shared" si="19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20">SUM(F67:F75)</f>
        <v>0</v>
      </c>
      <c r="G76" s="19">
        <f t="shared" si="20"/>
        <v>0</v>
      </c>
      <c r="H76" s="19">
        <f t="shared" si="20"/>
        <v>0</v>
      </c>
      <c r="I76" s="19">
        <f t="shared" si="20"/>
        <v>0</v>
      </c>
      <c r="J76" s="19">
        <f t="shared" si="20"/>
        <v>0</v>
      </c>
      <c r="K76" s="19">
        <f t="shared" si="20"/>
        <v>0</v>
      </c>
      <c r="L76" s="19">
        <f>SUM(L67:L75)</f>
        <v>0</v>
      </c>
      <c r="M76" s="19">
        <f t="shared" si="20"/>
        <v>0</v>
      </c>
      <c r="N76" s="19">
        <f t="shared" si="20"/>
        <v>0</v>
      </c>
      <c r="O76" s="19">
        <f t="shared" si="20"/>
        <v>0</v>
      </c>
      <c r="P76" s="19">
        <f t="shared" si="20"/>
        <v>0</v>
      </c>
      <c r="Q76" s="19">
        <f>SUM(Q67:Q75)</f>
        <v>0</v>
      </c>
      <c r="R76" s="19">
        <f t="shared" si="20"/>
        <v>0</v>
      </c>
      <c r="S76" s="19">
        <f t="shared" si="20"/>
        <v>0</v>
      </c>
      <c r="T76" s="19">
        <f t="shared" si="20"/>
        <v>0</v>
      </c>
      <c r="U76" s="19">
        <f t="shared" si="20"/>
        <v>0</v>
      </c>
      <c r="V76" s="19">
        <f t="shared" si="20"/>
        <v>0</v>
      </c>
      <c r="W76" s="19">
        <f t="shared" si="20"/>
        <v>0</v>
      </c>
      <c r="X76" s="19">
        <f t="shared" si="20"/>
        <v>0</v>
      </c>
      <c r="Y76" s="19">
        <f t="shared" si="20"/>
        <v>0</v>
      </c>
      <c r="Z76" s="19">
        <f t="shared" si="20"/>
        <v>0</v>
      </c>
      <c r="AA76" s="19">
        <f t="shared" si="20"/>
        <v>0</v>
      </c>
      <c r="AB76" s="19">
        <f t="shared" si="20"/>
        <v>0</v>
      </c>
      <c r="AC76" s="19">
        <f t="shared" si="20"/>
        <v>0</v>
      </c>
      <c r="AD76" s="34"/>
      <c r="AE76" s="34"/>
      <c r="AF76" s="11"/>
      <c r="AG76" s="11"/>
      <c r="AH76" s="11"/>
    </row>
    <row r="77" spans="1:124">
      <c r="A77" s="12" t="s">
        <v>69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 t="s">
        <v>21</v>
      </c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19.349999999999998</v>
      </c>
    </row>
    <row r="78" spans="1:124">
      <c r="A78" s="14" t="s">
        <v>70</v>
      </c>
      <c r="B78" s="20"/>
      <c r="C78" s="15">
        <v>1</v>
      </c>
      <c r="D78" s="15"/>
      <c r="E78" s="15"/>
      <c r="F78" s="372"/>
      <c r="G78" s="372"/>
      <c r="H78" s="372"/>
      <c r="I78" s="372"/>
      <c r="J78" s="372"/>
      <c r="K78" s="374"/>
      <c r="L78" s="374"/>
      <c r="M78" s="374">
        <v>0.73</v>
      </c>
      <c r="N78" s="372">
        <v>0.67</v>
      </c>
      <c r="O78" s="372">
        <v>0.71</v>
      </c>
      <c r="P78" s="372">
        <v>0.79</v>
      </c>
      <c r="Q78" s="372">
        <v>0.84</v>
      </c>
      <c r="R78" s="372">
        <v>0.85</v>
      </c>
      <c r="S78" s="372">
        <v>0.86</v>
      </c>
      <c r="T78" s="372">
        <v>0.86</v>
      </c>
      <c r="U78" s="372">
        <v>0.88</v>
      </c>
      <c r="V78" s="372">
        <v>0.88</v>
      </c>
      <c r="W78" s="372">
        <v>0.87</v>
      </c>
      <c r="X78" s="372">
        <v>0.82</v>
      </c>
      <c r="Y78" s="372"/>
      <c r="Z78" s="372"/>
      <c r="AA78" s="372"/>
      <c r="AB78" s="372"/>
      <c r="AC78" s="372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71</v>
      </c>
      <c r="B79" s="20"/>
      <c r="C79" s="15">
        <v>1</v>
      </c>
      <c r="D79" s="15"/>
      <c r="E79" s="15"/>
      <c r="F79" s="372">
        <v>0.79</v>
      </c>
      <c r="G79" s="372">
        <v>0.78</v>
      </c>
      <c r="H79" s="372">
        <v>0.73</v>
      </c>
      <c r="I79" s="372">
        <v>0.71</v>
      </c>
      <c r="J79" s="372">
        <v>0.71</v>
      </c>
      <c r="K79" s="374">
        <v>0.7</v>
      </c>
      <c r="L79" s="374">
        <v>0.73</v>
      </c>
      <c r="M79" s="374"/>
      <c r="N79" s="372"/>
      <c r="O79" s="372"/>
      <c r="P79" s="372"/>
      <c r="Q79" s="372"/>
      <c r="R79" s="372"/>
      <c r="S79" s="372"/>
      <c r="T79" s="372"/>
      <c r="U79" s="372"/>
      <c r="V79" s="372"/>
      <c r="W79" s="372"/>
      <c r="X79" s="372"/>
      <c r="Y79" s="372">
        <v>0.93</v>
      </c>
      <c r="Z79" s="372">
        <v>0.93</v>
      </c>
      <c r="AA79" s="372">
        <v>0.91</v>
      </c>
      <c r="AB79" s="372">
        <v>0.86</v>
      </c>
      <c r="AC79" s="372">
        <v>0.81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>SUM(F78:F79)</f>
        <v>0.79</v>
      </c>
      <c r="G80" s="19">
        <f t="shared" ref="G80" si="21">SUM(G78:G79)</f>
        <v>0.78</v>
      </c>
      <c r="H80" s="19">
        <f>SUM(H78:H79)</f>
        <v>0.73</v>
      </c>
      <c r="I80" s="19">
        <f>SUM(I78:I79)</f>
        <v>0.71</v>
      </c>
      <c r="J80" s="19">
        <f t="shared" ref="J80:AC80" si="22">SUM(J78:J79)</f>
        <v>0.71</v>
      </c>
      <c r="K80" s="19">
        <f t="shared" si="22"/>
        <v>0.7</v>
      </c>
      <c r="L80" s="19">
        <f>SUM(L78:L79)</f>
        <v>0.73</v>
      </c>
      <c r="M80" s="19">
        <f t="shared" si="22"/>
        <v>0.73</v>
      </c>
      <c r="N80" s="19">
        <f t="shared" si="22"/>
        <v>0.67</v>
      </c>
      <c r="O80" s="19">
        <f>SUM(O78:O79)</f>
        <v>0.71</v>
      </c>
      <c r="P80" s="19">
        <f t="shared" si="22"/>
        <v>0.79</v>
      </c>
      <c r="Q80" s="19">
        <f t="shared" si="22"/>
        <v>0.84</v>
      </c>
      <c r="R80" s="19">
        <f t="shared" si="22"/>
        <v>0.85</v>
      </c>
      <c r="S80" s="19">
        <f t="shared" si="22"/>
        <v>0.86</v>
      </c>
      <c r="T80" s="19">
        <f t="shared" si="22"/>
        <v>0.86</v>
      </c>
      <c r="U80" s="19">
        <f t="shared" si="22"/>
        <v>0.88</v>
      </c>
      <c r="V80" s="19">
        <f t="shared" si="22"/>
        <v>0.88</v>
      </c>
      <c r="W80" s="19">
        <f t="shared" si="22"/>
        <v>0.87</v>
      </c>
      <c r="X80" s="19">
        <f t="shared" si="22"/>
        <v>0.82</v>
      </c>
      <c r="Y80" s="19">
        <f t="shared" si="22"/>
        <v>0.93</v>
      </c>
      <c r="Z80" s="19">
        <f t="shared" si="22"/>
        <v>0.93</v>
      </c>
      <c r="AA80" s="19">
        <f t="shared" si="22"/>
        <v>0.91</v>
      </c>
      <c r="AB80" s="19">
        <f t="shared" si="22"/>
        <v>0.86</v>
      </c>
      <c r="AC80" s="19">
        <f t="shared" si="22"/>
        <v>0.81</v>
      </c>
      <c r="AD80" s="34"/>
      <c r="AE80" s="34"/>
      <c r="AF80" s="11"/>
      <c r="AG80" s="11"/>
      <c r="AH80" s="11"/>
    </row>
    <row r="81" spans="1:40" ht="17.45" hidden="1">
      <c r="A81" s="366" t="s">
        <v>72</v>
      </c>
      <c r="B81" s="365"/>
      <c r="C81" s="367">
        <v>2</v>
      </c>
      <c r="D81" s="363"/>
      <c r="E81" s="363"/>
      <c r="F81" s="364"/>
      <c r="G81" s="364"/>
      <c r="H81" s="364"/>
      <c r="I81" s="364"/>
      <c r="J81" s="364"/>
      <c r="K81" s="364"/>
      <c r="L81" s="364"/>
      <c r="M81" s="364"/>
      <c r="N81" s="364"/>
      <c r="O81" s="364"/>
      <c r="P81" s="364"/>
      <c r="Q81" s="364"/>
      <c r="R81" s="364"/>
      <c r="S81" s="364"/>
      <c r="T81" s="364"/>
      <c r="U81" s="364"/>
      <c r="V81" s="364"/>
      <c r="W81" s="364"/>
      <c r="X81" s="364"/>
      <c r="Y81" s="364"/>
      <c r="Z81" s="364"/>
      <c r="AA81" s="364"/>
      <c r="AB81" s="364"/>
      <c r="AC81" s="364"/>
    </row>
    <row r="82" spans="1:40" ht="17.45" hidden="1">
      <c r="A82" s="368"/>
      <c r="B82" s="369"/>
      <c r="C82" s="370"/>
      <c r="D82" s="371"/>
      <c r="E82" s="371"/>
      <c r="F82" s="372"/>
      <c r="G82" s="372"/>
      <c r="H82" s="372"/>
      <c r="I82" s="372"/>
      <c r="J82" s="372"/>
      <c r="K82" s="374"/>
      <c r="L82" s="374"/>
      <c r="M82" s="374"/>
      <c r="N82" s="372"/>
      <c r="O82" s="372"/>
      <c r="P82" s="372"/>
      <c r="Q82" s="372"/>
      <c r="R82" s="372"/>
      <c r="S82" s="372"/>
      <c r="T82" s="372"/>
      <c r="U82" s="372"/>
      <c r="V82" s="372"/>
      <c r="W82" s="372"/>
      <c r="X82" s="372"/>
      <c r="Y82" s="372"/>
      <c r="Z82" s="372"/>
      <c r="AA82" s="372"/>
      <c r="AB82" s="372"/>
      <c r="AC82" s="372"/>
    </row>
    <row r="83" spans="1:40">
      <c r="A83" s="21" t="s">
        <v>73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:AC83" si="23">SUM(F17,F22,F25,F31,F34,F60,F65,F76,F80,F82)</f>
        <v>44.220000000000006</v>
      </c>
      <c r="G83" s="28">
        <f t="shared" si="23"/>
        <v>42.650000000000006</v>
      </c>
      <c r="H83" s="28">
        <f t="shared" si="23"/>
        <v>40.74</v>
      </c>
      <c r="I83" s="28">
        <f t="shared" si="23"/>
        <v>39.970000000000006</v>
      </c>
      <c r="J83" s="28">
        <f t="shared" si="23"/>
        <v>39.050000000000004</v>
      </c>
      <c r="K83" s="28">
        <f t="shared" si="23"/>
        <v>39.699999999999996</v>
      </c>
      <c r="L83" s="28">
        <f t="shared" si="23"/>
        <v>42.579999999999991</v>
      </c>
      <c r="M83" s="28">
        <f t="shared" si="23"/>
        <v>42.059999999999995</v>
      </c>
      <c r="N83" s="28">
        <f>SUM(N17,N22,N25,N31,N34,N60,N65,N76,N80,N82)</f>
        <v>48.440000000000005</v>
      </c>
      <c r="O83" s="28">
        <f>SUM(O17,O22,O25,O31,O34,O60,O65,O76,O80,O82)</f>
        <v>58.07</v>
      </c>
      <c r="P83" s="28">
        <f t="shared" si="23"/>
        <v>61.289999999999992</v>
      </c>
      <c r="Q83" s="28">
        <f t="shared" si="23"/>
        <v>64.7</v>
      </c>
      <c r="R83" s="28">
        <f t="shared" si="23"/>
        <v>65.36</v>
      </c>
      <c r="S83" s="28">
        <f t="shared" si="23"/>
        <v>65.97</v>
      </c>
      <c r="T83" s="28">
        <f t="shared" si="23"/>
        <v>68.25</v>
      </c>
      <c r="U83" s="28">
        <f>SUM(U17,U22,U25,U31,U34,U60,U65,U76,U80,U82)</f>
        <v>68.210000000000008</v>
      </c>
      <c r="V83" s="28">
        <f t="shared" si="23"/>
        <v>66.86999999999999</v>
      </c>
      <c r="W83" s="28">
        <f t="shared" si="23"/>
        <v>61.949999999999996</v>
      </c>
      <c r="X83" s="28">
        <f t="shared" si="23"/>
        <v>65.72999999999999</v>
      </c>
      <c r="Y83" s="28">
        <f t="shared" si="23"/>
        <v>64.960000000000008</v>
      </c>
      <c r="Z83" s="28">
        <f t="shared" si="23"/>
        <v>61.269999999999996</v>
      </c>
      <c r="AA83" s="28">
        <f t="shared" si="23"/>
        <v>59.699999999999996</v>
      </c>
      <c r="AB83" s="28">
        <f t="shared" si="23"/>
        <v>55.289999999999992</v>
      </c>
      <c r="AC83" s="28">
        <f t="shared" si="23"/>
        <v>51.580000000000005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25" t="s">
        <v>74</v>
      </c>
      <c r="B85" s="525"/>
      <c r="C85" s="525"/>
      <c r="D85" s="525"/>
      <c r="E85" s="525"/>
      <c r="F85" s="525"/>
      <c r="G85" s="525"/>
      <c r="H85" s="525"/>
      <c r="I85" s="525"/>
      <c r="J85" s="525"/>
      <c r="K85" s="525"/>
      <c r="L85" s="525"/>
      <c r="M85" s="525"/>
      <c r="N85" s="525"/>
      <c r="O85" s="525"/>
      <c r="P85" s="525"/>
      <c r="Q85" s="525"/>
      <c r="R85" s="525"/>
      <c r="S85" s="525"/>
      <c r="T85" s="525"/>
      <c r="U85" s="525"/>
      <c r="V85" s="525"/>
      <c r="W85" s="525"/>
      <c r="X85" s="525"/>
      <c r="Y85" s="525"/>
      <c r="Z85" s="525"/>
      <c r="AA85" s="525"/>
      <c r="AB85" s="525"/>
      <c r="AC85" s="525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</row>
    <row r="87" spans="1:40" ht="17.45">
      <c r="A87" s="500" t="s">
        <v>75</v>
      </c>
      <c r="B87" s="501"/>
      <c r="C87" s="502"/>
      <c r="D87" s="49"/>
      <c r="E87" s="49"/>
      <c r="F87" s="506" t="s">
        <v>76</v>
      </c>
      <c r="G87" s="506"/>
      <c r="H87" s="506"/>
      <c r="I87" s="506"/>
      <c r="J87" s="506"/>
      <c r="K87" s="506"/>
      <c r="L87" s="506"/>
      <c r="M87" s="506"/>
      <c r="N87" s="506"/>
      <c r="O87" s="506"/>
      <c r="P87" s="506"/>
      <c r="Q87" s="506"/>
      <c r="R87" s="506"/>
      <c r="S87" s="506"/>
      <c r="T87" s="506"/>
      <c r="U87" s="506"/>
      <c r="V87" s="506"/>
      <c r="W87" s="506"/>
      <c r="X87" s="506"/>
      <c r="Y87" s="506"/>
      <c r="Z87" s="506"/>
      <c r="AA87" s="506"/>
      <c r="AB87" s="506"/>
      <c r="AC87" s="506"/>
      <c r="AD87" s="5"/>
      <c r="AE87" s="5"/>
      <c r="AF87" s="5"/>
      <c r="AG87" s="5"/>
      <c r="AH87" s="5"/>
    </row>
    <row r="88" spans="1:40" ht="15.6" customHeight="1">
      <c r="A88" s="503"/>
      <c r="B88" s="504"/>
      <c r="C88" s="505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07" t="s">
        <v>27</v>
      </c>
      <c r="B89" s="508"/>
      <c r="C89" s="509"/>
      <c r="D89" s="45"/>
      <c r="E89" s="45"/>
      <c r="F89" s="64">
        <f t="shared" ref="F89:AC89" si="24">SUM(F22,F25)</f>
        <v>5.5</v>
      </c>
      <c r="G89" s="64">
        <f t="shared" si="24"/>
        <v>3</v>
      </c>
      <c r="H89" s="64">
        <f t="shared" si="24"/>
        <v>0</v>
      </c>
      <c r="I89" s="64">
        <f t="shared" si="24"/>
        <v>0</v>
      </c>
      <c r="J89" s="64">
        <f t="shared" si="24"/>
        <v>0</v>
      </c>
      <c r="K89" s="64">
        <f t="shared" si="24"/>
        <v>0</v>
      </c>
      <c r="L89" s="64">
        <f t="shared" si="24"/>
        <v>0</v>
      </c>
      <c r="M89" s="64">
        <f t="shared" si="24"/>
        <v>3</v>
      </c>
      <c r="N89" s="64">
        <f t="shared" si="24"/>
        <v>7.6</v>
      </c>
      <c r="O89" s="64">
        <f t="shared" si="24"/>
        <v>10.399999999999999</v>
      </c>
      <c r="P89" s="64">
        <f t="shared" si="24"/>
        <v>10.399999999999999</v>
      </c>
      <c r="Q89" s="64">
        <f t="shared" si="24"/>
        <v>10.399999999999999</v>
      </c>
      <c r="R89" s="64">
        <f t="shared" si="24"/>
        <v>10.399999999999999</v>
      </c>
      <c r="S89" s="64">
        <f t="shared" si="24"/>
        <v>6.6</v>
      </c>
      <c r="T89" s="64">
        <f t="shared" si="24"/>
        <v>6.6</v>
      </c>
      <c r="U89" s="64">
        <f t="shared" si="24"/>
        <v>6.6</v>
      </c>
      <c r="V89" s="64">
        <f t="shared" si="24"/>
        <v>6.6</v>
      </c>
      <c r="W89" s="64">
        <f t="shared" si="24"/>
        <v>6.6</v>
      </c>
      <c r="X89" s="64">
        <f t="shared" si="24"/>
        <v>5.8</v>
      </c>
      <c r="Y89" s="64">
        <f t="shared" si="24"/>
        <v>6.6</v>
      </c>
      <c r="Z89" s="64">
        <f t="shared" si="24"/>
        <v>6.6</v>
      </c>
      <c r="AA89" s="64">
        <f t="shared" si="24"/>
        <v>6.6</v>
      </c>
      <c r="AB89" s="64">
        <f t="shared" si="24"/>
        <v>6.6</v>
      </c>
      <c r="AC89" s="64">
        <f t="shared" si="24"/>
        <v>6.6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521" t="s">
        <v>77</v>
      </c>
      <c r="B90" s="521"/>
      <c r="C90" s="522"/>
      <c r="D90" s="45"/>
      <c r="E90" s="45"/>
      <c r="F90" s="68">
        <v>0.224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>
        <v>0.19600000000000001</v>
      </c>
      <c r="P90" s="68">
        <v>0.23499999999999999</v>
      </c>
      <c r="Q90" s="68">
        <v>0.23100000000000001</v>
      </c>
      <c r="R90" s="68">
        <v>0.20300000000000001</v>
      </c>
      <c r="S90" s="68">
        <v>0.246</v>
      </c>
      <c r="T90" s="68">
        <v>0.246</v>
      </c>
      <c r="U90" s="68">
        <v>0.217</v>
      </c>
      <c r="V90" s="68">
        <v>0.23699999999999999</v>
      </c>
      <c r="W90" s="68">
        <v>0.191</v>
      </c>
      <c r="X90" s="68">
        <v>0.218</v>
      </c>
      <c r="Y90" s="68">
        <v>0.27500000000000002</v>
      </c>
      <c r="Z90" s="68">
        <v>0.251</v>
      </c>
      <c r="AA90" s="68">
        <v>0.214</v>
      </c>
      <c r="AB90" s="68">
        <v>0.24299999999999999</v>
      </c>
      <c r="AC90" s="68">
        <v>0.254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07" t="s">
        <v>78</v>
      </c>
      <c r="B91" s="508"/>
      <c r="C91" s="509"/>
      <c r="D91" s="45"/>
      <c r="E91" s="45"/>
      <c r="F91" s="64">
        <f t="shared" ref="F91:AC91" si="25">F17</f>
        <v>19.5</v>
      </c>
      <c r="G91" s="64">
        <f t="shared" si="25"/>
        <v>20.100000000000001</v>
      </c>
      <c r="H91" s="64">
        <f t="shared" si="25"/>
        <v>20.100000000000001</v>
      </c>
      <c r="I91" s="64">
        <f t="shared" si="25"/>
        <v>20.100000000000001</v>
      </c>
      <c r="J91" s="64">
        <f t="shared" si="25"/>
        <v>19.200000000000003</v>
      </c>
      <c r="K91" s="64">
        <f t="shared" si="25"/>
        <v>19.799999999999997</v>
      </c>
      <c r="L91" s="64">
        <f t="shared" si="25"/>
        <v>19.799999999999997</v>
      </c>
      <c r="M91" s="64">
        <f t="shared" si="25"/>
        <v>19.799999999999997</v>
      </c>
      <c r="N91" s="64">
        <f t="shared" si="25"/>
        <v>20.100000000000001</v>
      </c>
      <c r="O91" s="64">
        <f t="shared" si="25"/>
        <v>20.399999999999999</v>
      </c>
      <c r="P91" s="64">
        <f t="shared" si="25"/>
        <v>25.6</v>
      </c>
      <c r="Q91" s="64">
        <f t="shared" si="25"/>
        <v>26.8</v>
      </c>
      <c r="R91" s="64">
        <f t="shared" si="25"/>
        <v>26.4</v>
      </c>
      <c r="S91" s="64">
        <f t="shared" si="25"/>
        <v>26.8</v>
      </c>
      <c r="T91" s="64">
        <f t="shared" si="25"/>
        <v>26.8</v>
      </c>
      <c r="U91" s="64">
        <f t="shared" si="25"/>
        <v>26.6</v>
      </c>
      <c r="V91" s="64">
        <f t="shared" si="25"/>
        <v>26.8</v>
      </c>
      <c r="W91" s="64">
        <f t="shared" si="25"/>
        <v>25.6</v>
      </c>
      <c r="X91" s="64">
        <f t="shared" si="25"/>
        <v>26.4</v>
      </c>
      <c r="Y91" s="64">
        <f t="shared" si="25"/>
        <v>27.2</v>
      </c>
      <c r="Z91" s="64">
        <f t="shared" si="25"/>
        <v>25.8</v>
      </c>
      <c r="AA91" s="64">
        <f t="shared" si="25"/>
        <v>24.9</v>
      </c>
      <c r="AB91" s="64">
        <f t="shared" si="25"/>
        <v>19.5</v>
      </c>
      <c r="AC91" s="64">
        <f t="shared" si="25"/>
        <v>20.100000000000001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21" t="s">
        <v>79</v>
      </c>
      <c r="B92" s="521"/>
      <c r="C92" s="522"/>
      <c r="D92" s="45"/>
      <c r="E92" s="45"/>
      <c r="F92" s="68">
        <v>0.67800000000000005</v>
      </c>
      <c r="G92" s="68">
        <v>0.75800000000000001</v>
      </c>
      <c r="H92" s="68">
        <v>0.74</v>
      </c>
      <c r="I92" s="68">
        <v>0.94699999999999995</v>
      </c>
      <c r="J92" s="68">
        <v>0.85</v>
      </c>
      <c r="K92" s="68">
        <v>0.83599999999999997</v>
      </c>
      <c r="L92" s="68">
        <v>0.74</v>
      </c>
      <c r="M92" s="68">
        <v>0.63300000000000001</v>
      </c>
      <c r="N92" s="68">
        <v>0.64800000000000002</v>
      </c>
      <c r="O92" s="68">
        <v>0.66300000000000003</v>
      </c>
      <c r="P92" s="68">
        <v>0.94099999999999995</v>
      </c>
      <c r="Q92" s="68">
        <v>0.99099999999999999</v>
      </c>
      <c r="R92" s="68">
        <v>0.97299999999999998</v>
      </c>
      <c r="S92" s="68">
        <v>0.75600000000000001</v>
      </c>
      <c r="T92" s="68">
        <v>0.749</v>
      </c>
      <c r="U92" s="68">
        <v>0.98699999999999999</v>
      </c>
      <c r="V92" s="68">
        <v>0.89700000000000002</v>
      </c>
      <c r="W92" s="68">
        <v>0.99</v>
      </c>
      <c r="X92" s="68">
        <v>0.81299999999999994</v>
      </c>
      <c r="Y92" s="68">
        <v>0.84099999999999997</v>
      </c>
      <c r="Z92" s="68">
        <v>0.94199999999999995</v>
      </c>
      <c r="AA92" s="68">
        <v>0.94</v>
      </c>
      <c r="AB92" s="68">
        <v>0.88800000000000001</v>
      </c>
      <c r="AC92" s="68">
        <v>0.65600000000000003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07" t="s">
        <v>29</v>
      </c>
      <c r="B93" s="508"/>
      <c r="C93" s="509"/>
      <c r="D93" s="45"/>
      <c r="E93" s="45"/>
      <c r="F93" s="65">
        <f t="shared" ref="F93:AC93" si="26">F31</f>
        <v>3.1</v>
      </c>
      <c r="G93" s="65">
        <f t="shared" si="26"/>
        <v>3.5</v>
      </c>
      <c r="H93" s="65">
        <f t="shared" si="26"/>
        <v>4</v>
      </c>
      <c r="I93" s="65">
        <f t="shared" si="26"/>
        <v>4</v>
      </c>
      <c r="J93" s="65">
        <f t="shared" si="26"/>
        <v>4</v>
      </c>
      <c r="K93" s="65">
        <f t="shared" si="26"/>
        <v>4</v>
      </c>
      <c r="L93" s="65">
        <f t="shared" si="26"/>
        <v>4</v>
      </c>
      <c r="M93" s="65">
        <f t="shared" si="26"/>
        <v>3.2</v>
      </c>
      <c r="N93" s="65">
        <f t="shared" si="26"/>
        <v>4</v>
      </c>
      <c r="O93" s="65">
        <f t="shared" si="26"/>
        <v>9.5</v>
      </c>
      <c r="P93" s="65">
        <f t="shared" si="26"/>
        <v>8.8000000000000007</v>
      </c>
      <c r="Q93" s="65">
        <f t="shared" si="26"/>
        <v>10.8</v>
      </c>
      <c r="R93" s="65">
        <f t="shared" si="26"/>
        <v>11.2</v>
      </c>
      <c r="S93" s="65">
        <f t="shared" si="26"/>
        <v>10.899999999999999</v>
      </c>
      <c r="T93" s="65">
        <f>T31</f>
        <v>11</v>
      </c>
      <c r="U93" s="65">
        <f t="shared" si="26"/>
        <v>11.2</v>
      </c>
      <c r="V93" s="65">
        <f t="shared" si="26"/>
        <v>11.2</v>
      </c>
      <c r="W93" s="65">
        <f t="shared" si="26"/>
        <v>10.399999999999999</v>
      </c>
      <c r="X93" s="65">
        <f t="shared" si="26"/>
        <v>9.1000000000000014</v>
      </c>
      <c r="Y93" s="65">
        <f t="shared" si="26"/>
        <v>11.5</v>
      </c>
      <c r="Z93" s="65">
        <f t="shared" si="26"/>
        <v>9.5</v>
      </c>
      <c r="AA93" s="65">
        <f t="shared" si="26"/>
        <v>9</v>
      </c>
      <c r="AB93" s="65">
        <f t="shared" si="26"/>
        <v>9.9</v>
      </c>
      <c r="AC93" s="65">
        <f t="shared" si="26"/>
        <v>4.5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21" t="s">
        <v>102</v>
      </c>
      <c r="B94" s="521"/>
      <c r="C94" s="522"/>
      <c r="D94" s="45"/>
      <c r="E94" s="45"/>
      <c r="F94" s="68">
        <v>0.2</v>
      </c>
      <c r="G94" s="68">
        <v>0.17699999999999999</v>
      </c>
      <c r="H94" s="68">
        <v>0.13800000000000001</v>
      </c>
      <c r="I94" s="68">
        <v>0.14799999999999999</v>
      </c>
      <c r="J94" s="68">
        <v>0.154</v>
      </c>
      <c r="K94" s="68">
        <v>0.14000000000000001</v>
      </c>
      <c r="L94" s="68">
        <v>0.156</v>
      </c>
      <c r="M94" s="68">
        <v>0.17100000000000001</v>
      </c>
      <c r="N94" s="68">
        <v>0.16900000000000001</v>
      </c>
      <c r="O94" s="68">
        <v>0.17699999999999999</v>
      </c>
      <c r="P94" s="68">
        <v>0.188</v>
      </c>
      <c r="Q94" s="68">
        <v>0.191</v>
      </c>
      <c r="R94" s="68">
        <v>0.182</v>
      </c>
      <c r="S94" s="68">
        <v>0.19500000000000001</v>
      </c>
      <c r="T94" s="68">
        <v>0.20499999999999999</v>
      </c>
      <c r="U94" s="68">
        <v>0.19800000000000001</v>
      </c>
      <c r="V94" s="68">
        <v>0.19600000000000001</v>
      </c>
      <c r="W94" s="68">
        <v>0.20699999999999999</v>
      </c>
      <c r="X94" s="68">
        <v>0.223</v>
      </c>
      <c r="Y94" s="68">
        <v>0.23</v>
      </c>
      <c r="Z94" s="68">
        <v>0.20399999999999999</v>
      </c>
      <c r="AA94" s="68">
        <v>0.193</v>
      </c>
      <c r="AB94" s="68">
        <v>0.19500000000000001</v>
      </c>
      <c r="AC94" s="68">
        <v>0.20499999999999999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21" t="s">
        <v>103</v>
      </c>
      <c r="B95" s="521"/>
      <c r="C95" s="522"/>
      <c r="D95" s="45"/>
      <c r="E95" s="45"/>
      <c r="F95" s="68" t="s">
        <v>1</v>
      </c>
      <c r="G95" s="68" t="s">
        <v>1</v>
      </c>
      <c r="H95" s="68" t="s">
        <v>1</v>
      </c>
      <c r="I95" s="68" t="s">
        <v>1</v>
      </c>
      <c r="J95" s="68" t="s">
        <v>1</v>
      </c>
      <c r="K95" s="68" t="s">
        <v>1</v>
      </c>
      <c r="L95" s="68" t="s">
        <v>1</v>
      </c>
      <c r="M95" s="68" t="s">
        <v>1</v>
      </c>
      <c r="N95" s="68" t="s">
        <v>1</v>
      </c>
      <c r="O95" s="68">
        <v>0.1928</v>
      </c>
      <c r="P95" s="68">
        <v>0.1951</v>
      </c>
      <c r="Q95" s="68">
        <v>0.19400000000000001</v>
      </c>
      <c r="R95" s="68">
        <v>0.19689999999999999</v>
      </c>
      <c r="S95" s="68">
        <v>0.20150000000000001</v>
      </c>
      <c r="T95" s="68">
        <v>0.19869999999999999</v>
      </c>
      <c r="U95" s="68">
        <v>0.20100000000000001</v>
      </c>
      <c r="V95" s="68">
        <v>0.19800000000000001</v>
      </c>
      <c r="W95" s="68">
        <v>0.20200000000000001</v>
      </c>
      <c r="X95" s="68">
        <v>0.2</v>
      </c>
      <c r="Y95" s="68">
        <v>0.20300000000000001</v>
      </c>
      <c r="Z95" s="68">
        <v>0.20100000000000001</v>
      </c>
      <c r="AA95" s="68">
        <v>0.20499999999999999</v>
      </c>
      <c r="AB95" s="68">
        <v>0.19900000000000001</v>
      </c>
      <c r="AC95" s="68" t="s">
        <v>1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07" t="s">
        <v>32</v>
      </c>
      <c r="B96" s="508"/>
      <c r="C96" s="509"/>
      <c r="D96" s="45"/>
      <c r="E96" s="45"/>
      <c r="F96" s="65">
        <f t="shared" ref="F96:AC96" si="27">F34</f>
        <v>14.27</v>
      </c>
      <c r="G96" s="65">
        <f t="shared" si="27"/>
        <v>14.28</v>
      </c>
      <c r="H96" s="65">
        <f t="shared" si="27"/>
        <v>14.29</v>
      </c>
      <c r="I96" s="65">
        <f t="shared" si="27"/>
        <v>14.28</v>
      </c>
      <c r="J96" s="65">
        <f t="shared" si="27"/>
        <v>14.29</v>
      </c>
      <c r="K96" s="65">
        <f t="shared" si="27"/>
        <v>14.3</v>
      </c>
      <c r="L96" s="65">
        <f t="shared" si="27"/>
        <v>14.29</v>
      </c>
      <c r="M96" s="65">
        <f t="shared" si="27"/>
        <v>14.27</v>
      </c>
      <c r="N96" s="65">
        <f t="shared" si="27"/>
        <v>14.25</v>
      </c>
      <c r="O96" s="65">
        <f t="shared" si="27"/>
        <v>14.31</v>
      </c>
      <c r="P96" s="65">
        <f t="shared" si="27"/>
        <v>14.29</v>
      </c>
      <c r="Q96" s="65">
        <f t="shared" si="27"/>
        <v>14.33</v>
      </c>
      <c r="R96" s="65">
        <f t="shared" si="27"/>
        <v>14.31</v>
      </c>
      <c r="S96" s="65">
        <f t="shared" si="27"/>
        <v>14.3</v>
      </c>
      <c r="T96" s="65">
        <f t="shared" si="27"/>
        <v>14.28</v>
      </c>
      <c r="U96" s="65">
        <f t="shared" si="27"/>
        <v>14.32</v>
      </c>
      <c r="V96" s="65">
        <f t="shared" si="27"/>
        <v>14.29</v>
      </c>
      <c r="W96" s="65">
        <f t="shared" si="27"/>
        <v>14.32</v>
      </c>
      <c r="X96" s="65">
        <f t="shared" si="27"/>
        <v>14.31</v>
      </c>
      <c r="Y96" s="65">
        <f t="shared" si="27"/>
        <v>14.28</v>
      </c>
      <c r="Z96" s="65">
        <f t="shared" si="27"/>
        <v>14.31</v>
      </c>
      <c r="AA96" s="65">
        <f t="shared" si="27"/>
        <v>14.28</v>
      </c>
      <c r="AB96" s="65">
        <f t="shared" si="27"/>
        <v>14.3</v>
      </c>
      <c r="AC96" s="65">
        <f t="shared" si="27"/>
        <v>14.14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21" t="s">
        <v>81</v>
      </c>
      <c r="B97" s="521"/>
      <c r="C97" s="522"/>
      <c r="D97" s="68"/>
      <c r="E97" s="68"/>
      <c r="F97" s="68">
        <v>0.73</v>
      </c>
      <c r="G97" s="68">
        <v>0.72</v>
      </c>
      <c r="H97" s="68">
        <v>0.71</v>
      </c>
      <c r="I97" s="68">
        <v>0.72</v>
      </c>
      <c r="J97" s="68">
        <v>0.71</v>
      </c>
      <c r="K97" s="68">
        <v>0.7</v>
      </c>
      <c r="L97" s="68">
        <v>0.71</v>
      </c>
      <c r="M97" s="68">
        <v>0.73</v>
      </c>
      <c r="N97" s="68">
        <v>0.75</v>
      </c>
      <c r="O97" s="68">
        <v>0.69</v>
      </c>
      <c r="P97" s="68">
        <v>0.71</v>
      </c>
      <c r="Q97" s="68">
        <v>0.67</v>
      </c>
      <c r="R97" s="68">
        <v>0.69</v>
      </c>
      <c r="S97" s="68">
        <v>0.7</v>
      </c>
      <c r="T97" s="68">
        <v>0.72</v>
      </c>
      <c r="U97" s="68">
        <v>0.68</v>
      </c>
      <c r="V97" s="68">
        <v>0.71</v>
      </c>
      <c r="W97" s="68">
        <v>0.68</v>
      </c>
      <c r="X97" s="68">
        <v>0.69</v>
      </c>
      <c r="Y97" s="68">
        <v>0.72</v>
      </c>
      <c r="Z97" s="68">
        <v>0.69</v>
      </c>
      <c r="AA97" s="68">
        <v>0.72</v>
      </c>
      <c r="AB97" s="68">
        <v>0.7</v>
      </c>
      <c r="AC97" s="68">
        <v>0.86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07" t="s">
        <v>33</v>
      </c>
      <c r="B98" s="508"/>
      <c r="C98" s="509"/>
      <c r="D98" s="45"/>
      <c r="E98" s="45"/>
      <c r="F98" s="64">
        <f t="shared" ref="F98:AC98" si="28">F60</f>
        <v>0</v>
      </c>
      <c r="G98" s="64">
        <f t="shared" si="28"/>
        <v>0</v>
      </c>
      <c r="H98" s="64">
        <f t="shared" si="28"/>
        <v>0.7</v>
      </c>
      <c r="I98" s="64">
        <f t="shared" si="28"/>
        <v>0</v>
      </c>
      <c r="J98" s="64">
        <f t="shared" si="28"/>
        <v>0</v>
      </c>
      <c r="K98" s="64">
        <f t="shared" si="28"/>
        <v>0</v>
      </c>
      <c r="L98" s="64">
        <f t="shared" si="28"/>
        <v>2.76</v>
      </c>
      <c r="M98" s="64">
        <f t="shared" si="28"/>
        <v>0</v>
      </c>
      <c r="N98" s="64">
        <f t="shared" si="28"/>
        <v>0.7</v>
      </c>
      <c r="O98" s="64">
        <f t="shared" si="28"/>
        <v>1.4</v>
      </c>
      <c r="P98" s="64">
        <f t="shared" si="28"/>
        <v>0</v>
      </c>
      <c r="Q98" s="64">
        <f t="shared" si="28"/>
        <v>0</v>
      </c>
      <c r="R98" s="64">
        <f t="shared" si="28"/>
        <v>0.7</v>
      </c>
      <c r="S98" s="64">
        <f t="shared" si="28"/>
        <v>5</v>
      </c>
      <c r="T98" s="64">
        <f t="shared" si="28"/>
        <v>7.2000000000000011</v>
      </c>
      <c r="U98" s="64">
        <f t="shared" si="28"/>
        <v>7.1000000000000014</v>
      </c>
      <c r="V98" s="64">
        <f t="shared" si="28"/>
        <v>5.7000000000000011</v>
      </c>
      <c r="W98" s="64">
        <f t="shared" si="28"/>
        <v>2.8000000000000003</v>
      </c>
      <c r="X98" s="64">
        <f t="shared" si="28"/>
        <v>2.8000000000000003</v>
      </c>
      <c r="Y98" s="64">
        <f t="shared" si="28"/>
        <v>2.8000000000000003</v>
      </c>
      <c r="Z98" s="64">
        <f t="shared" si="28"/>
        <v>2.8000000000000003</v>
      </c>
      <c r="AA98" s="64">
        <f t="shared" si="28"/>
        <v>2.8000000000000003</v>
      </c>
      <c r="AB98" s="64">
        <f t="shared" si="28"/>
        <v>2.8000000000000003</v>
      </c>
      <c r="AC98" s="64">
        <f t="shared" si="28"/>
        <v>4.2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07" t="s">
        <v>55</v>
      </c>
      <c r="B99" s="508"/>
      <c r="C99" s="509"/>
      <c r="D99" s="45"/>
      <c r="E99" s="45"/>
      <c r="F99" s="64">
        <f t="shared" ref="F99:AC99" si="29">F65</f>
        <v>1.06</v>
      </c>
      <c r="G99" s="64">
        <f t="shared" si="29"/>
        <v>0.99</v>
      </c>
      <c r="H99" s="64">
        <f t="shared" si="29"/>
        <v>0.92</v>
      </c>
      <c r="I99" s="64">
        <f t="shared" si="29"/>
        <v>0.88</v>
      </c>
      <c r="J99" s="64">
        <f t="shared" si="29"/>
        <v>0.85</v>
      </c>
      <c r="K99" s="64">
        <f t="shared" si="29"/>
        <v>0.9</v>
      </c>
      <c r="L99" s="64">
        <f t="shared" si="29"/>
        <v>1</v>
      </c>
      <c r="M99" s="64">
        <f t="shared" si="29"/>
        <v>1.06</v>
      </c>
      <c r="N99" s="64">
        <f t="shared" si="29"/>
        <v>1.1200000000000001</v>
      </c>
      <c r="O99" s="64">
        <f t="shared" si="29"/>
        <v>1.35</v>
      </c>
      <c r="P99" s="64">
        <f t="shared" si="29"/>
        <v>1.41</v>
      </c>
      <c r="Q99" s="64">
        <f t="shared" si="29"/>
        <v>1.53</v>
      </c>
      <c r="R99" s="64">
        <f t="shared" si="29"/>
        <v>1.5</v>
      </c>
      <c r="S99" s="64">
        <f t="shared" si="29"/>
        <v>1.51</v>
      </c>
      <c r="T99" s="64">
        <f t="shared" si="29"/>
        <v>1.51</v>
      </c>
      <c r="U99" s="64">
        <f t="shared" si="29"/>
        <v>1.51</v>
      </c>
      <c r="V99" s="64">
        <f t="shared" si="29"/>
        <v>1.4</v>
      </c>
      <c r="W99" s="64">
        <f t="shared" si="29"/>
        <v>1.36</v>
      </c>
      <c r="X99" s="64">
        <f t="shared" si="29"/>
        <v>6.5</v>
      </c>
      <c r="Y99" s="64">
        <f t="shared" si="29"/>
        <v>1.65</v>
      </c>
      <c r="Z99" s="64">
        <f t="shared" si="29"/>
        <v>1.33</v>
      </c>
      <c r="AA99" s="64">
        <f t="shared" si="29"/>
        <v>1.21</v>
      </c>
      <c r="AB99" s="64">
        <f t="shared" si="29"/>
        <v>1.33</v>
      </c>
      <c r="AC99" s="64">
        <f t="shared" si="29"/>
        <v>1.23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07" t="s">
        <v>59</v>
      </c>
      <c r="B100" s="508"/>
      <c r="C100" s="509"/>
      <c r="D100" s="45"/>
      <c r="E100" s="45"/>
      <c r="F100" s="64">
        <f t="shared" ref="F100:AC100" si="30">F76</f>
        <v>0</v>
      </c>
      <c r="G100" s="64">
        <f t="shared" si="30"/>
        <v>0</v>
      </c>
      <c r="H100" s="64">
        <f t="shared" si="30"/>
        <v>0</v>
      </c>
      <c r="I100" s="64">
        <f t="shared" si="30"/>
        <v>0</v>
      </c>
      <c r="J100" s="64">
        <f t="shared" si="30"/>
        <v>0</v>
      </c>
      <c r="K100" s="64">
        <f t="shared" si="30"/>
        <v>0</v>
      </c>
      <c r="L100" s="64">
        <f t="shared" si="30"/>
        <v>0</v>
      </c>
      <c r="M100" s="64">
        <f t="shared" si="30"/>
        <v>0</v>
      </c>
      <c r="N100" s="64">
        <f t="shared" si="30"/>
        <v>0</v>
      </c>
      <c r="O100" s="64">
        <f t="shared" si="30"/>
        <v>0</v>
      </c>
      <c r="P100" s="64">
        <f t="shared" si="30"/>
        <v>0</v>
      </c>
      <c r="Q100" s="64">
        <f t="shared" si="30"/>
        <v>0</v>
      </c>
      <c r="R100" s="64">
        <f t="shared" si="30"/>
        <v>0</v>
      </c>
      <c r="S100" s="64">
        <f t="shared" si="30"/>
        <v>0</v>
      </c>
      <c r="T100" s="64">
        <f t="shared" si="30"/>
        <v>0</v>
      </c>
      <c r="U100" s="64">
        <f t="shared" si="30"/>
        <v>0</v>
      </c>
      <c r="V100" s="64">
        <f t="shared" si="30"/>
        <v>0</v>
      </c>
      <c r="W100" s="64">
        <f t="shared" si="30"/>
        <v>0</v>
      </c>
      <c r="X100" s="64">
        <f t="shared" si="30"/>
        <v>0</v>
      </c>
      <c r="Y100" s="64">
        <f t="shared" si="30"/>
        <v>0</v>
      </c>
      <c r="Z100" s="64">
        <f t="shared" si="30"/>
        <v>0</v>
      </c>
      <c r="AA100" s="64">
        <f t="shared" si="30"/>
        <v>0</v>
      </c>
      <c r="AB100" s="64">
        <f t="shared" si="30"/>
        <v>0</v>
      </c>
      <c r="AC100" s="64">
        <f t="shared" si="30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07" t="s">
        <v>69</v>
      </c>
      <c r="B101" s="508"/>
      <c r="C101" s="509"/>
      <c r="D101" s="45"/>
      <c r="E101" s="45"/>
      <c r="F101" s="64">
        <f t="shared" ref="F101:AC101" si="31">F80</f>
        <v>0.79</v>
      </c>
      <c r="G101" s="64">
        <f t="shared" si="31"/>
        <v>0.78</v>
      </c>
      <c r="H101" s="64">
        <f t="shared" si="31"/>
        <v>0.73</v>
      </c>
      <c r="I101" s="64">
        <f t="shared" si="31"/>
        <v>0.71</v>
      </c>
      <c r="J101" s="64">
        <f t="shared" si="31"/>
        <v>0.71</v>
      </c>
      <c r="K101" s="64">
        <f t="shared" si="31"/>
        <v>0.7</v>
      </c>
      <c r="L101" s="64">
        <f t="shared" si="31"/>
        <v>0.73</v>
      </c>
      <c r="M101" s="64">
        <f t="shared" si="31"/>
        <v>0.73</v>
      </c>
      <c r="N101" s="64">
        <f t="shared" si="31"/>
        <v>0.67</v>
      </c>
      <c r="O101" s="64">
        <f t="shared" si="31"/>
        <v>0.71</v>
      </c>
      <c r="P101" s="64">
        <f t="shared" si="31"/>
        <v>0.79</v>
      </c>
      <c r="Q101" s="64">
        <f t="shared" si="31"/>
        <v>0.84</v>
      </c>
      <c r="R101" s="64">
        <f t="shared" si="31"/>
        <v>0.85</v>
      </c>
      <c r="S101" s="64">
        <f t="shared" si="31"/>
        <v>0.86</v>
      </c>
      <c r="T101" s="64">
        <f t="shared" si="31"/>
        <v>0.86</v>
      </c>
      <c r="U101" s="64">
        <f t="shared" si="31"/>
        <v>0.88</v>
      </c>
      <c r="V101" s="64">
        <f t="shared" si="31"/>
        <v>0.88</v>
      </c>
      <c r="W101" s="64">
        <f t="shared" si="31"/>
        <v>0.87</v>
      </c>
      <c r="X101" s="64">
        <f t="shared" si="31"/>
        <v>0.82</v>
      </c>
      <c r="Y101" s="64">
        <f t="shared" si="31"/>
        <v>0.93</v>
      </c>
      <c r="Z101" s="64">
        <f t="shared" si="31"/>
        <v>0.93</v>
      </c>
      <c r="AA101" s="64">
        <f t="shared" si="31"/>
        <v>0.91</v>
      </c>
      <c r="AB101" s="64">
        <f t="shared" si="31"/>
        <v>0.86</v>
      </c>
      <c r="AC101" s="64">
        <f t="shared" si="31"/>
        <v>0.81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07" t="s">
        <v>72</v>
      </c>
      <c r="B102" s="508"/>
      <c r="C102" s="509"/>
      <c r="D102" s="45"/>
      <c r="E102" s="45"/>
      <c r="F102" s="64">
        <f t="shared" ref="F102:AC102" si="32">F82</f>
        <v>0</v>
      </c>
      <c r="G102" s="64">
        <f t="shared" si="32"/>
        <v>0</v>
      </c>
      <c r="H102" s="64">
        <f t="shared" si="32"/>
        <v>0</v>
      </c>
      <c r="I102" s="64">
        <f t="shared" si="32"/>
        <v>0</v>
      </c>
      <c r="J102" s="64">
        <f t="shared" si="32"/>
        <v>0</v>
      </c>
      <c r="K102" s="64">
        <f t="shared" si="32"/>
        <v>0</v>
      </c>
      <c r="L102" s="64">
        <f t="shared" si="32"/>
        <v>0</v>
      </c>
      <c r="M102" s="64">
        <f t="shared" si="32"/>
        <v>0</v>
      </c>
      <c r="N102" s="64">
        <f t="shared" si="32"/>
        <v>0</v>
      </c>
      <c r="O102" s="64">
        <f t="shared" si="32"/>
        <v>0</v>
      </c>
      <c r="P102" s="64">
        <f t="shared" si="32"/>
        <v>0</v>
      </c>
      <c r="Q102" s="64">
        <f t="shared" si="32"/>
        <v>0</v>
      </c>
      <c r="R102" s="64">
        <f t="shared" si="32"/>
        <v>0</v>
      </c>
      <c r="S102" s="64">
        <f t="shared" si="32"/>
        <v>0</v>
      </c>
      <c r="T102" s="64">
        <f t="shared" si="32"/>
        <v>0</v>
      </c>
      <c r="U102" s="64">
        <f t="shared" si="32"/>
        <v>0</v>
      </c>
      <c r="V102" s="64">
        <f t="shared" si="32"/>
        <v>0</v>
      </c>
      <c r="W102" s="64">
        <f t="shared" si="32"/>
        <v>0</v>
      </c>
      <c r="X102" s="64">
        <f t="shared" si="32"/>
        <v>0</v>
      </c>
      <c r="Y102" s="64">
        <f t="shared" si="32"/>
        <v>0</v>
      </c>
      <c r="Z102" s="64">
        <f t="shared" si="32"/>
        <v>0</v>
      </c>
      <c r="AA102" s="64">
        <f t="shared" si="32"/>
        <v>0</v>
      </c>
      <c r="AB102" s="64">
        <f t="shared" si="32"/>
        <v>0</v>
      </c>
      <c r="AC102" s="64">
        <f t="shared" si="32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11" t="s">
        <v>82</v>
      </c>
      <c r="B103" s="511"/>
      <c r="C103" s="511"/>
      <c r="D103" s="47"/>
      <c r="E103" s="47"/>
      <c r="F103" s="61">
        <f t="shared" ref="F103:AC103" si="33">SUM(F89,F91,F93,F96,F98:F102,F81)</f>
        <v>44.220000000000006</v>
      </c>
      <c r="G103" s="61">
        <f t="shared" si="33"/>
        <v>42.650000000000006</v>
      </c>
      <c r="H103" s="61">
        <f t="shared" si="33"/>
        <v>40.74</v>
      </c>
      <c r="I103" s="61">
        <f t="shared" si="33"/>
        <v>39.970000000000006</v>
      </c>
      <c r="J103" s="61">
        <f t="shared" si="33"/>
        <v>39.050000000000004</v>
      </c>
      <c r="K103" s="61">
        <f t="shared" si="33"/>
        <v>39.699999999999996</v>
      </c>
      <c r="L103" s="61">
        <f t="shared" si="33"/>
        <v>42.579999999999991</v>
      </c>
      <c r="M103" s="61">
        <f t="shared" si="33"/>
        <v>42.059999999999995</v>
      </c>
      <c r="N103" s="61">
        <f t="shared" si="33"/>
        <v>48.440000000000005</v>
      </c>
      <c r="O103" s="61">
        <f t="shared" si="33"/>
        <v>58.07</v>
      </c>
      <c r="P103" s="61">
        <f t="shared" si="33"/>
        <v>61.289999999999992</v>
      </c>
      <c r="Q103" s="61">
        <f t="shared" si="33"/>
        <v>64.7</v>
      </c>
      <c r="R103" s="61">
        <f t="shared" si="33"/>
        <v>65.36</v>
      </c>
      <c r="S103" s="61">
        <f t="shared" si="33"/>
        <v>65.97</v>
      </c>
      <c r="T103" s="61">
        <f t="shared" si="33"/>
        <v>68.25</v>
      </c>
      <c r="U103" s="61">
        <f t="shared" si="33"/>
        <v>68.210000000000008</v>
      </c>
      <c r="V103" s="61">
        <f t="shared" si="33"/>
        <v>66.86999999999999</v>
      </c>
      <c r="W103" s="61">
        <f t="shared" si="33"/>
        <v>61.949999999999996</v>
      </c>
      <c r="X103" s="61">
        <f t="shared" si="33"/>
        <v>65.72999999999999</v>
      </c>
      <c r="Y103" s="61">
        <f t="shared" si="33"/>
        <v>64.960000000000008</v>
      </c>
      <c r="Z103" s="61">
        <f t="shared" si="33"/>
        <v>61.269999999999996</v>
      </c>
      <c r="AA103" s="61">
        <f t="shared" si="33"/>
        <v>59.699999999999996</v>
      </c>
      <c r="AB103" s="61">
        <f t="shared" si="33"/>
        <v>55.289999999999992</v>
      </c>
      <c r="AC103" s="61">
        <f t="shared" si="33"/>
        <v>51.580000000000005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12" t="s">
        <v>83</v>
      </c>
      <c r="B104" s="512"/>
      <c r="C104" s="512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12" t="s">
        <v>84</v>
      </c>
      <c r="B105" s="512"/>
      <c r="C105" s="512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12" t="s">
        <v>85</v>
      </c>
      <c r="B106" s="512"/>
      <c r="C106" s="512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11" t="s">
        <v>86</v>
      </c>
      <c r="B107" s="511"/>
      <c r="C107" s="511"/>
      <c r="D107" s="47"/>
      <c r="E107" s="47"/>
      <c r="F107" s="61">
        <f t="shared" ref="F107:AC107" si="34">SUM(F104:F106)</f>
        <v>0</v>
      </c>
      <c r="G107" s="61">
        <f t="shared" si="34"/>
        <v>0</v>
      </c>
      <c r="H107" s="61">
        <f t="shared" si="34"/>
        <v>0</v>
      </c>
      <c r="I107" s="61">
        <f t="shared" si="34"/>
        <v>0</v>
      </c>
      <c r="J107" s="61">
        <f t="shared" si="34"/>
        <v>0</v>
      </c>
      <c r="K107" s="61">
        <f t="shared" si="34"/>
        <v>0</v>
      </c>
      <c r="L107" s="61">
        <f t="shared" si="34"/>
        <v>0</v>
      </c>
      <c r="M107" s="61">
        <f t="shared" si="34"/>
        <v>0</v>
      </c>
      <c r="N107" s="61">
        <f t="shared" si="34"/>
        <v>0</v>
      </c>
      <c r="O107" s="61">
        <f t="shared" si="34"/>
        <v>0</v>
      </c>
      <c r="P107" s="61">
        <f t="shared" si="34"/>
        <v>0</v>
      </c>
      <c r="Q107" s="61">
        <f t="shared" si="34"/>
        <v>0</v>
      </c>
      <c r="R107" s="61">
        <f t="shared" si="34"/>
        <v>0</v>
      </c>
      <c r="S107" s="61">
        <f t="shared" si="34"/>
        <v>0</v>
      </c>
      <c r="T107" s="61">
        <f t="shared" si="34"/>
        <v>0</v>
      </c>
      <c r="U107" s="61">
        <f t="shared" si="34"/>
        <v>0</v>
      </c>
      <c r="V107" s="61">
        <f t="shared" si="34"/>
        <v>0</v>
      </c>
      <c r="W107" s="61">
        <f t="shared" si="34"/>
        <v>0</v>
      </c>
      <c r="X107" s="61">
        <f t="shared" si="34"/>
        <v>0</v>
      </c>
      <c r="Y107" s="61">
        <f t="shared" si="34"/>
        <v>0</v>
      </c>
      <c r="Z107" s="61">
        <f t="shared" si="34"/>
        <v>0</v>
      </c>
      <c r="AA107" s="61">
        <f t="shared" si="34"/>
        <v>0</v>
      </c>
      <c r="AB107" s="61">
        <f t="shared" si="34"/>
        <v>0</v>
      </c>
      <c r="AC107" s="61">
        <f t="shared" si="34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13" t="s">
        <v>87</v>
      </c>
      <c r="B108" s="513"/>
      <c r="C108" s="513"/>
      <c r="D108" s="48"/>
      <c r="E108" s="48"/>
      <c r="F108" s="62">
        <f t="shared" ref="F108:AC108" si="35">F103+F107</f>
        <v>44.220000000000006</v>
      </c>
      <c r="G108" s="62">
        <f t="shared" si="35"/>
        <v>42.650000000000006</v>
      </c>
      <c r="H108" s="62">
        <f t="shared" si="35"/>
        <v>40.74</v>
      </c>
      <c r="I108" s="62">
        <f t="shared" si="35"/>
        <v>39.970000000000006</v>
      </c>
      <c r="J108" s="62">
        <f t="shared" si="35"/>
        <v>39.050000000000004</v>
      </c>
      <c r="K108" s="62">
        <f t="shared" si="35"/>
        <v>39.699999999999996</v>
      </c>
      <c r="L108" s="62">
        <f t="shared" si="35"/>
        <v>42.579999999999991</v>
      </c>
      <c r="M108" s="62">
        <f t="shared" si="35"/>
        <v>42.059999999999995</v>
      </c>
      <c r="N108" s="62">
        <f t="shared" si="35"/>
        <v>48.440000000000005</v>
      </c>
      <c r="O108" s="62">
        <f t="shared" si="35"/>
        <v>58.07</v>
      </c>
      <c r="P108" s="62">
        <f t="shared" si="35"/>
        <v>61.289999999999992</v>
      </c>
      <c r="Q108" s="62">
        <f t="shared" si="35"/>
        <v>64.7</v>
      </c>
      <c r="R108" s="62">
        <f t="shared" si="35"/>
        <v>65.36</v>
      </c>
      <c r="S108" s="62">
        <f t="shared" si="35"/>
        <v>65.97</v>
      </c>
      <c r="T108" s="62">
        <f>T103+T107</f>
        <v>68.25</v>
      </c>
      <c r="U108" s="62">
        <f t="shared" si="35"/>
        <v>68.210000000000008</v>
      </c>
      <c r="V108" s="62">
        <f t="shared" si="35"/>
        <v>66.86999999999999</v>
      </c>
      <c r="W108" s="62">
        <f>W103+W107</f>
        <v>61.949999999999996</v>
      </c>
      <c r="X108" s="62">
        <f t="shared" si="35"/>
        <v>65.72999999999999</v>
      </c>
      <c r="Y108" s="62">
        <f t="shared" si="35"/>
        <v>64.960000000000008</v>
      </c>
      <c r="Z108" s="62">
        <f t="shared" si="35"/>
        <v>61.269999999999996</v>
      </c>
      <c r="AA108" s="62">
        <f t="shared" si="35"/>
        <v>59.699999999999996</v>
      </c>
      <c r="AB108" s="62">
        <f t="shared" si="35"/>
        <v>55.289999999999992</v>
      </c>
      <c r="AC108" s="62">
        <f t="shared" si="35"/>
        <v>51.580000000000005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14" t="s">
        <v>88</v>
      </c>
      <c r="B109" s="514"/>
      <c r="C109" s="514"/>
      <c r="D109" s="52"/>
      <c r="E109" s="52"/>
      <c r="F109" s="63">
        <f t="shared" ref="F109:AC109" si="36">(COUNT(F13:F16))*7.2+(COUNT(F27:F28)*4.9)+(COUNT(F19:F21)*4.5)-F91-F93</f>
        <v>8.4</v>
      </c>
      <c r="G109" s="63">
        <f t="shared" si="36"/>
        <v>14.600000000000001</v>
      </c>
      <c r="H109" s="63">
        <f t="shared" si="36"/>
        <v>2.3999999999999986</v>
      </c>
      <c r="I109" s="63">
        <f t="shared" si="36"/>
        <v>2.3999999999999986</v>
      </c>
      <c r="J109" s="63">
        <f t="shared" si="36"/>
        <v>3.2999999999999972</v>
      </c>
      <c r="K109" s="63">
        <f t="shared" si="36"/>
        <v>2.7000000000000028</v>
      </c>
      <c r="L109" s="63">
        <f t="shared" si="36"/>
        <v>2.7000000000000028</v>
      </c>
      <c r="M109" s="63">
        <f t="shared" si="36"/>
        <v>8.0000000000000036</v>
      </c>
      <c r="N109" s="63">
        <f t="shared" si="36"/>
        <v>6.8999999999999986</v>
      </c>
      <c r="O109" s="63">
        <f t="shared" si="36"/>
        <v>5.6000000000000014</v>
      </c>
      <c r="P109" s="63">
        <f t="shared" si="36"/>
        <v>8.3000000000000007</v>
      </c>
      <c r="Q109" s="63">
        <f t="shared" si="36"/>
        <v>5.1000000000000014</v>
      </c>
      <c r="R109" s="63">
        <f t="shared" si="36"/>
        <v>5.100000000000005</v>
      </c>
      <c r="S109" s="63">
        <f t="shared" si="36"/>
        <v>0.50000000000000355</v>
      </c>
      <c r="T109" s="63">
        <f t="shared" si="36"/>
        <v>0.40000000000000213</v>
      </c>
      <c r="U109" s="63">
        <f t="shared" si="36"/>
        <v>0.40000000000000213</v>
      </c>
      <c r="V109" s="63">
        <f t="shared" si="36"/>
        <v>0.20000000000000284</v>
      </c>
      <c r="W109" s="63">
        <f t="shared" si="36"/>
        <v>2.2000000000000028</v>
      </c>
      <c r="X109" s="63">
        <f t="shared" si="36"/>
        <v>2.7000000000000028</v>
      </c>
      <c r="Y109" s="63">
        <f t="shared" si="36"/>
        <v>-0.49999999999999645</v>
      </c>
      <c r="Z109" s="63">
        <f t="shared" si="36"/>
        <v>2.9000000000000021</v>
      </c>
      <c r="AA109" s="63">
        <f t="shared" si="36"/>
        <v>4.3000000000000043</v>
      </c>
      <c r="AB109" s="63">
        <f t="shared" si="36"/>
        <v>13.300000000000002</v>
      </c>
      <c r="AC109" s="63">
        <f t="shared" si="36"/>
        <v>18.100000000000001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15" t="s">
        <v>89</v>
      </c>
      <c r="B110" s="516"/>
      <c r="C110" s="517"/>
      <c r="D110" s="204"/>
      <c r="E110" s="204"/>
      <c r="F110" s="205">
        <f t="shared" ref="F110:P110" si="37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6.0000000000000018</v>
      </c>
      <c r="G110" s="205">
        <f t="shared" si="37"/>
        <v>10.199999999999999</v>
      </c>
      <c r="H110" s="205">
        <f t="shared" si="37"/>
        <v>1</v>
      </c>
      <c r="I110" s="205">
        <f t="shared" si="37"/>
        <v>1</v>
      </c>
      <c r="J110" s="205">
        <f t="shared" si="37"/>
        <v>1.8999999999999986</v>
      </c>
      <c r="K110" s="205">
        <f t="shared" si="37"/>
        <v>1.3000000000000043</v>
      </c>
      <c r="L110" s="205">
        <f t="shared" si="37"/>
        <v>1.3000000000000043</v>
      </c>
      <c r="M110" s="205">
        <f t="shared" si="37"/>
        <v>3.6000000000000041</v>
      </c>
      <c r="N110" s="205">
        <f t="shared" si="37"/>
        <v>2.4000000000000004</v>
      </c>
      <c r="O110" s="205">
        <f t="shared" si="37"/>
        <v>-2.6999999999999966</v>
      </c>
      <c r="P110" s="205">
        <f t="shared" si="37"/>
        <v>0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-1.7999999999999998</v>
      </c>
      <c r="R110" s="205">
        <f t="shared" ref="R110:AC110" si="38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-2.1999999999999966</v>
      </c>
      <c r="S110" s="205">
        <f t="shared" si="38"/>
        <v>-2.9999999999999982</v>
      </c>
      <c r="T110" s="205">
        <f t="shared" si="38"/>
        <v>-3.0999999999999996</v>
      </c>
      <c r="U110" s="205">
        <f t="shared" si="38"/>
        <v>-3.0999999999999996</v>
      </c>
      <c r="V110" s="205">
        <f t="shared" si="38"/>
        <v>-3.2999999999999989</v>
      </c>
      <c r="W110" s="205">
        <f t="shared" si="38"/>
        <v>-1.2999999999999989</v>
      </c>
      <c r="X110" s="205">
        <f t="shared" si="38"/>
        <v>0</v>
      </c>
      <c r="Y110" s="205">
        <f t="shared" si="38"/>
        <v>-3.9999999999999982</v>
      </c>
      <c r="Z110" s="205">
        <f t="shared" si="38"/>
        <v>-0.59999999999999964</v>
      </c>
      <c r="AA110" s="205">
        <f t="shared" si="38"/>
        <v>0.80000000000000249</v>
      </c>
      <c r="AB110" s="205">
        <f t="shared" si="38"/>
        <v>-1.8999999999999986</v>
      </c>
      <c r="AC110" s="205">
        <f t="shared" si="38"/>
        <v>2.9000000000000004</v>
      </c>
      <c r="AD110" s="26"/>
      <c r="AE110" s="26"/>
      <c r="AF110" s="466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10" t="s">
        <v>91</v>
      </c>
      <c r="B111" s="510"/>
      <c r="C111" s="510"/>
      <c r="D111" s="60"/>
      <c r="E111" s="72"/>
      <c r="F111" s="74">
        <v>60.2</v>
      </c>
      <c r="G111" s="74">
        <v>60.12</v>
      </c>
      <c r="H111" s="74">
        <v>60.11</v>
      </c>
      <c r="I111" s="74">
        <v>60.12</v>
      </c>
      <c r="J111" s="74">
        <v>60.25</v>
      </c>
      <c r="K111" s="74">
        <v>60.12</v>
      </c>
      <c r="L111" s="74">
        <v>60.02</v>
      </c>
      <c r="M111" s="74">
        <v>60.11</v>
      </c>
      <c r="N111" s="74">
        <v>60.12</v>
      </c>
      <c r="O111" s="74">
        <v>60.06</v>
      </c>
      <c r="P111" s="83">
        <v>60.15</v>
      </c>
      <c r="Q111" s="83">
        <v>60.13</v>
      </c>
      <c r="R111" s="83">
        <v>60.19</v>
      </c>
      <c r="S111" s="83">
        <v>60.13</v>
      </c>
      <c r="T111" s="83">
        <v>60.15</v>
      </c>
      <c r="U111" s="74">
        <v>60.15</v>
      </c>
      <c r="V111" s="74">
        <v>60.14</v>
      </c>
      <c r="W111" s="74">
        <v>60.19</v>
      </c>
      <c r="X111" s="74">
        <v>60.13</v>
      </c>
      <c r="Y111" s="74">
        <v>60.12</v>
      </c>
      <c r="Z111" s="74">
        <v>60.11</v>
      </c>
      <c r="AA111" s="74">
        <v>60.26</v>
      </c>
      <c r="AB111" s="74">
        <v>60.21</v>
      </c>
      <c r="AC111" s="74">
        <v>60.13</v>
      </c>
      <c r="AD111" s="26"/>
      <c r="AE111" s="26"/>
      <c r="AF111" s="467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18" t="s">
        <v>93</v>
      </c>
      <c r="B112" s="519"/>
      <c r="C112" s="520"/>
      <c r="D112" s="60"/>
      <c r="E112" s="72"/>
      <c r="F112" s="74"/>
      <c r="G112" s="74"/>
      <c r="H112" s="74"/>
      <c r="I112" s="74"/>
      <c r="J112" s="74"/>
      <c r="K112" s="74"/>
      <c r="L112" s="74"/>
      <c r="M112" s="74"/>
      <c r="N112" s="74"/>
      <c r="O112" s="468">
        <f t="shared" ref="O112:AC112" si="39">25-(O28+O96)-(4.7-O28)</f>
        <v>5.99</v>
      </c>
      <c r="P112" s="468">
        <f t="shared" si="39"/>
        <v>6.01</v>
      </c>
      <c r="Q112" s="468">
        <f t="shared" si="39"/>
        <v>5.9700000000000006</v>
      </c>
      <c r="R112" s="468">
        <f t="shared" si="39"/>
        <v>5.9899999999999984</v>
      </c>
      <c r="S112" s="468">
        <f t="shared" si="39"/>
        <v>5.9999999999999982</v>
      </c>
      <c r="T112" s="468">
        <f t="shared" si="39"/>
        <v>6.0200000000000014</v>
      </c>
      <c r="U112" s="468">
        <f t="shared" si="39"/>
        <v>5.98</v>
      </c>
      <c r="V112" s="468">
        <f t="shared" si="39"/>
        <v>6.0100000000000016</v>
      </c>
      <c r="W112" s="468">
        <f t="shared" si="39"/>
        <v>5.9799999999999986</v>
      </c>
      <c r="X112" s="468">
        <f t="shared" si="39"/>
        <v>5.9899999999999984</v>
      </c>
      <c r="Y112" s="468">
        <f t="shared" si="39"/>
        <v>6.0199999999999987</v>
      </c>
      <c r="Z112" s="468">
        <f t="shared" si="39"/>
        <v>5.9899999999999975</v>
      </c>
      <c r="AA112" s="468">
        <f t="shared" si="39"/>
        <v>6.02</v>
      </c>
      <c r="AB112" s="468">
        <f t="shared" si="39"/>
        <v>5.9999999999999973</v>
      </c>
      <c r="AC112" s="468">
        <f t="shared" si="39"/>
        <v>6.1599999999999993</v>
      </c>
      <c r="AD112" s="26"/>
      <c r="AE112" s="26"/>
      <c r="AF112" s="469"/>
      <c r="AG112" s="472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18" t="s">
        <v>95</v>
      </c>
      <c r="B113" s="519"/>
      <c r="C113" s="520"/>
      <c r="D113" s="60"/>
      <c r="E113" s="74"/>
      <c r="F113" s="74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>
        <v>4.5</v>
      </c>
      <c r="T113" s="83">
        <v>4.5</v>
      </c>
      <c r="U113" s="83">
        <v>4.5</v>
      </c>
      <c r="V113" s="83">
        <v>4.5</v>
      </c>
      <c r="W113" s="83">
        <v>4.5</v>
      </c>
      <c r="X113" s="83">
        <v>4.5</v>
      </c>
      <c r="Y113" s="83">
        <v>4.5</v>
      </c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10" t="s">
        <v>96</v>
      </c>
      <c r="B114" s="510"/>
      <c r="C114" s="510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 t="s">
        <v>101</v>
      </c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10" t="s">
        <v>97</v>
      </c>
      <c r="B115" s="510"/>
      <c r="C115" s="510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499" t="s">
        <v>98</v>
      </c>
      <c r="B117" s="499"/>
      <c r="C117" s="499"/>
      <c r="D117" s="499"/>
      <c r="E117" s="499"/>
      <c r="F117" s="499"/>
      <c r="G117" s="499"/>
      <c r="H117" s="499"/>
      <c r="I117" s="499"/>
      <c r="J117" s="499"/>
      <c r="K117" s="499"/>
      <c r="L117" s="499"/>
      <c r="M117" s="499"/>
      <c r="N117" s="499"/>
      <c r="O117" s="499"/>
      <c r="P117" s="499"/>
      <c r="Q117" s="499"/>
      <c r="R117" s="499"/>
      <c r="S117" s="499"/>
      <c r="T117" s="499"/>
      <c r="U117" s="499"/>
      <c r="V117" s="499"/>
      <c r="W117" s="499"/>
      <c r="X117" s="499"/>
      <c r="Y117" s="499"/>
      <c r="Z117" s="499"/>
      <c r="AA117" s="499"/>
      <c r="AB117" s="499"/>
      <c r="AC117" s="499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00" t="s">
        <v>75</v>
      </c>
      <c r="B119" s="501"/>
      <c r="C119" s="502"/>
      <c r="D119" s="49"/>
      <c r="E119" s="49"/>
      <c r="F119" s="506" t="s">
        <v>76</v>
      </c>
      <c r="G119" s="506"/>
      <c r="H119" s="506"/>
      <c r="I119" s="506"/>
      <c r="J119" s="506"/>
      <c r="K119" s="506"/>
      <c r="L119" s="506"/>
      <c r="M119" s="506"/>
      <c r="N119" s="506"/>
      <c r="O119" s="506"/>
      <c r="P119" s="506"/>
      <c r="Q119" s="506"/>
      <c r="R119" s="506"/>
      <c r="S119" s="506"/>
      <c r="T119" s="506"/>
      <c r="U119" s="506"/>
      <c r="V119" s="506"/>
      <c r="W119" s="506"/>
      <c r="X119" s="506"/>
      <c r="Y119" s="506"/>
      <c r="Z119" s="506"/>
      <c r="AA119" s="506"/>
      <c r="AB119" s="506"/>
      <c r="AC119" s="506"/>
      <c r="AD119" s="5"/>
      <c r="AE119" s="5"/>
      <c r="AF119" s="5"/>
      <c r="AG119" s="5"/>
      <c r="AH119" s="5"/>
    </row>
    <row r="120" spans="1:124" ht="15.6" hidden="1" customHeight="1">
      <c r="A120" s="503"/>
      <c r="B120" s="504"/>
      <c r="C120" s="505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07" t="s">
        <v>27</v>
      </c>
      <c r="B121" s="508"/>
      <c r="C121" s="509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07" t="s">
        <v>78</v>
      </c>
      <c r="B122" s="508"/>
      <c r="C122" s="509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07" t="s">
        <v>29</v>
      </c>
      <c r="B123" s="508"/>
      <c r="C123" s="509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07" t="s">
        <v>32</v>
      </c>
      <c r="B124" s="508"/>
      <c r="C124" s="509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07" t="s">
        <v>33</v>
      </c>
      <c r="B125" s="508"/>
      <c r="C125" s="509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07" t="s">
        <v>55</v>
      </c>
      <c r="B126" s="508"/>
      <c r="C126" s="509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07" t="s">
        <v>59</v>
      </c>
      <c r="B127" s="508"/>
      <c r="C127" s="509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07" t="s">
        <v>69</v>
      </c>
      <c r="B128" s="508"/>
      <c r="C128" s="509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496" t="s">
        <v>99</v>
      </c>
      <c r="B129" s="497"/>
      <c r="C129" s="498"/>
      <c r="D129" s="51"/>
      <c r="E129" s="51"/>
      <c r="F129" s="44">
        <f>SUM(F121:F128)</f>
        <v>0</v>
      </c>
      <c r="G129" s="44">
        <f t="shared" ref="G129:AB129" si="40">SUM(G121:G128)</f>
        <v>0</v>
      </c>
      <c r="H129" s="44">
        <f t="shared" si="40"/>
        <v>0</v>
      </c>
      <c r="I129" s="44">
        <f t="shared" si="40"/>
        <v>0</v>
      </c>
      <c r="J129" s="44">
        <f t="shared" si="40"/>
        <v>0</v>
      </c>
      <c r="K129" s="44">
        <f t="shared" si="40"/>
        <v>0</v>
      </c>
      <c r="L129" s="44">
        <f t="shared" si="40"/>
        <v>0</v>
      </c>
      <c r="M129" s="44">
        <f t="shared" si="40"/>
        <v>0</v>
      </c>
      <c r="N129" s="44">
        <f t="shared" si="40"/>
        <v>0</v>
      </c>
      <c r="O129" s="44">
        <f t="shared" si="40"/>
        <v>0</v>
      </c>
      <c r="P129" s="44">
        <f t="shared" si="40"/>
        <v>0</v>
      </c>
      <c r="Q129" s="44">
        <f t="shared" si="40"/>
        <v>0</v>
      </c>
      <c r="R129" s="44">
        <f t="shared" si="40"/>
        <v>0</v>
      </c>
      <c r="S129" s="44">
        <f t="shared" si="40"/>
        <v>0</v>
      </c>
      <c r="T129" s="44">
        <f t="shared" si="40"/>
        <v>0</v>
      </c>
      <c r="U129" s="44">
        <f t="shared" si="40"/>
        <v>0</v>
      </c>
      <c r="V129" s="44">
        <f t="shared" si="40"/>
        <v>0</v>
      </c>
      <c r="W129" s="44">
        <f t="shared" si="40"/>
        <v>0</v>
      </c>
      <c r="X129" s="44">
        <f t="shared" si="40"/>
        <v>0</v>
      </c>
      <c r="Y129" s="44">
        <f t="shared" si="40"/>
        <v>0</v>
      </c>
      <c r="Z129" s="44">
        <f t="shared" si="40"/>
        <v>0</v>
      </c>
      <c r="AA129" s="44">
        <f t="shared" si="40"/>
        <v>0</v>
      </c>
      <c r="AB129" s="44">
        <f t="shared" si="40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6855" priority="439" operator="greaterThan">
      <formula>60.3</formula>
    </cfRule>
  </conditionalFormatting>
  <conditionalFormatting sqref="F111">
    <cfRule type="cellIs" dxfId="6854" priority="438" operator="greaterThan">
      <formula>60.3</formula>
    </cfRule>
  </conditionalFormatting>
  <conditionalFormatting sqref="H13:J13 H15:M16 P15:P16 N13:S13 L13 Q14:S16 G36:AC59 T13:AC16 G62:AC64">
    <cfRule type="cellIs" dxfId="6853" priority="430" operator="equal">
      <formula>"PMS"</formula>
    </cfRule>
    <cfRule type="containsText" dxfId="6852" priority="431" operator="containsText" text="CMS">
      <formula>NOT(ISERROR(SEARCH("CMS",G13)))</formula>
    </cfRule>
    <cfRule type="cellIs" dxfId="6851" priority="432" operator="equal">
      <formula>0</formula>
    </cfRule>
    <cfRule type="cellIs" dxfId="6850" priority="433" operator="greaterThan">
      <formula>0</formula>
    </cfRule>
    <cfRule type="cellIs" dxfId="6849" priority="434" operator="equal">
      <formula>"PMS"</formula>
    </cfRule>
    <cfRule type="containsText" dxfId="6848" priority="435" operator="containsText" text="CMS">
      <formula>NOT(ISERROR(SEARCH("CMS",G13)))</formula>
    </cfRule>
    <cfRule type="cellIs" dxfId="6847" priority="436" operator="equal">
      <formula>0</formula>
    </cfRule>
    <cfRule type="cellIs" dxfId="6846" priority="437" operator="greaterThan">
      <formula>0</formula>
    </cfRule>
  </conditionalFormatting>
  <conditionalFormatting sqref="H13:J13 H15:M16 P15:P16 N13:S13 L13 Q14:S16 G36:AC59 T13:AC16 G62:AC64">
    <cfRule type="cellIs" dxfId="6845" priority="426" operator="equal">
      <formula>"PMS"</formula>
    </cfRule>
    <cfRule type="containsText" dxfId="6844" priority="427" operator="containsText" text="CMS">
      <formula>NOT(ISERROR(SEARCH("CMS",G13)))</formula>
    </cfRule>
    <cfRule type="cellIs" dxfId="6843" priority="428" operator="equal">
      <formula>0</formula>
    </cfRule>
    <cfRule type="cellIs" dxfId="6842" priority="429" operator="greaterThan">
      <formula>0</formula>
    </cfRule>
  </conditionalFormatting>
  <conditionalFormatting sqref="G20:S20 G21:N21 P21:S21 U19:AC21 T20:T21 G19:Q19">
    <cfRule type="cellIs" dxfId="6841" priority="418" operator="equal">
      <formula>"PMS"</formula>
    </cfRule>
    <cfRule type="containsText" dxfId="6840" priority="419" operator="containsText" text="CMS">
      <formula>NOT(ISERROR(SEARCH("CMS",G19)))</formula>
    </cfRule>
    <cfRule type="cellIs" dxfId="6839" priority="420" operator="equal">
      <formula>0</formula>
    </cfRule>
    <cfRule type="cellIs" dxfId="6838" priority="421" operator="greaterThan">
      <formula>0</formula>
    </cfRule>
    <cfRule type="cellIs" dxfId="6837" priority="422" operator="equal">
      <formula>"PMS"</formula>
    </cfRule>
    <cfRule type="containsText" dxfId="6836" priority="423" operator="containsText" text="CMS">
      <formula>NOT(ISERROR(SEARCH("CMS",G19)))</formula>
    </cfRule>
    <cfRule type="cellIs" dxfId="6835" priority="424" operator="equal">
      <formula>0</formula>
    </cfRule>
    <cfRule type="cellIs" dxfId="6834" priority="425" operator="greaterThan">
      <formula>0</formula>
    </cfRule>
  </conditionalFormatting>
  <conditionalFormatting sqref="G20:S20 G21:N21 P21:S21 U19:AC21 T20:T21 G19:Q19">
    <cfRule type="cellIs" dxfId="6833" priority="414" operator="equal">
      <formula>"PMS"</formula>
    </cfRule>
    <cfRule type="containsText" dxfId="6832" priority="415" operator="containsText" text="CMS">
      <formula>NOT(ISERROR(SEARCH("CMS",G19)))</formula>
    </cfRule>
    <cfRule type="cellIs" dxfId="6831" priority="416" operator="equal">
      <formula>0</formula>
    </cfRule>
    <cfRule type="cellIs" dxfId="6830" priority="417" operator="greaterThan">
      <formula>0</formula>
    </cfRule>
  </conditionalFormatting>
  <conditionalFormatting sqref="V24:AC24 G24:M24 O24:T24">
    <cfRule type="cellIs" dxfId="6829" priority="406" operator="equal">
      <formula>"PMS"</formula>
    </cfRule>
    <cfRule type="containsText" dxfId="6828" priority="407" operator="containsText" text="CMS">
      <formula>NOT(ISERROR(SEARCH("CMS",G24)))</formula>
    </cfRule>
    <cfRule type="cellIs" dxfId="6827" priority="408" operator="equal">
      <formula>0</formula>
    </cfRule>
    <cfRule type="cellIs" dxfId="6826" priority="409" operator="greaterThan">
      <formula>0</formula>
    </cfRule>
    <cfRule type="cellIs" dxfId="6825" priority="410" operator="equal">
      <formula>"PMS"</formula>
    </cfRule>
    <cfRule type="containsText" dxfId="6824" priority="411" operator="containsText" text="CMS">
      <formula>NOT(ISERROR(SEARCH("CMS",G24)))</formula>
    </cfRule>
    <cfRule type="cellIs" dxfId="6823" priority="412" operator="equal">
      <formula>0</formula>
    </cfRule>
    <cfRule type="cellIs" dxfId="6822" priority="413" operator="greaterThan">
      <formula>0</formula>
    </cfRule>
  </conditionalFormatting>
  <conditionalFormatting sqref="V24:AC24 G24:M24 O24:T24">
    <cfRule type="cellIs" dxfId="6821" priority="402" operator="equal">
      <formula>"PMS"</formula>
    </cfRule>
    <cfRule type="containsText" dxfId="6820" priority="403" operator="containsText" text="CMS">
      <formula>NOT(ISERROR(SEARCH("CMS",G24)))</formula>
    </cfRule>
    <cfRule type="cellIs" dxfId="6819" priority="404" operator="equal">
      <formula>0</formula>
    </cfRule>
    <cfRule type="cellIs" dxfId="6818" priority="405" operator="greaterThan">
      <formula>0</formula>
    </cfRule>
  </conditionalFormatting>
  <conditionalFormatting sqref="G27:AC27 G29:AC30 H28:AC28">
    <cfRule type="cellIs" dxfId="6817" priority="394" operator="equal">
      <formula>"PMS"</formula>
    </cfRule>
    <cfRule type="containsText" dxfId="6816" priority="395" operator="containsText" text="CMS">
      <formula>NOT(ISERROR(SEARCH("CMS",G27)))</formula>
    </cfRule>
    <cfRule type="cellIs" dxfId="6815" priority="396" operator="equal">
      <formula>0</formula>
    </cfRule>
    <cfRule type="cellIs" dxfId="6814" priority="397" operator="greaterThan">
      <formula>0</formula>
    </cfRule>
    <cfRule type="cellIs" dxfId="6813" priority="398" operator="equal">
      <formula>"PMS"</formula>
    </cfRule>
    <cfRule type="containsText" dxfId="6812" priority="399" operator="containsText" text="CMS">
      <formula>NOT(ISERROR(SEARCH("CMS",G27)))</formula>
    </cfRule>
    <cfRule type="cellIs" dxfId="6811" priority="400" operator="equal">
      <formula>0</formula>
    </cfRule>
    <cfRule type="cellIs" dxfId="6810" priority="401" operator="greaterThan">
      <formula>0</formula>
    </cfRule>
  </conditionalFormatting>
  <conditionalFormatting sqref="G27:AC27 G29:AC30 H28:AC28">
    <cfRule type="cellIs" dxfId="6809" priority="390" operator="equal">
      <formula>"PMS"</formula>
    </cfRule>
    <cfRule type="containsText" dxfId="6808" priority="391" operator="containsText" text="CMS">
      <formula>NOT(ISERROR(SEARCH("CMS",G27)))</formula>
    </cfRule>
    <cfRule type="cellIs" dxfId="6807" priority="392" operator="equal">
      <formula>0</formula>
    </cfRule>
    <cfRule type="cellIs" dxfId="6806" priority="393" operator="greaterThan">
      <formula>0</formula>
    </cfRule>
  </conditionalFormatting>
  <conditionalFormatting sqref="G33:AC33">
    <cfRule type="cellIs" dxfId="6805" priority="382" operator="equal">
      <formula>"PMS"</formula>
    </cfRule>
    <cfRule type="containsText" dxfId="6804" priority="383" operator="containsText" text="CMS">
      <formula>NOT(ISERROR(SEARCH("CMS",G33)))</formula>
    </cfRule>
    <cfRule type="cellIs" dxfId="6803" priority="384" operator="equal">
      <formula>0</formula>
    </cfRule>
    <cfRule type="cellIs" dxfId="6802" priority="385" operator="greaterThan">
      <formula>0</formula>
    </cfRule>
    <cfRule type="cellIs" dxfId="6801" priority="386" operator="equal">
      <formula>"PMS"</formula>
    </cfRule>
    <cfRule type="containsText" dxfId="6800" priority="387" operator="containsText" text="CMS">
      <formula>NOT(ISERROR(SEARCH("CMS",G33)))</formula>
    </cfRule>
    <cfRule type="cellIs" dxfId="6799" priority="388" operator="equal">
      <formula>0</formula>
    </cfRule>
    <cfRule type="cellIs" dxfId="6798" priority="389" operator="greaterThan">
      <formula>0</formula>
    </cfRule>
  </conditionalFormatting>
  <conditionalFormatting sqref="G33:AC33">
    <cfRule type="cellIs" dxfId="6797" priority="378" operator="equal">
      <formula>"PMS"</formula>
    </cfRule>
    <cfRule type="containsText" dxfId="6796" priority="379" operator="containsText" text="CMS">
      <formula>NOT(ISERROR(SEARCH("CMS",G33)))</formula>
    </cfRule>
    <cfRule type="cellIs" dxfId="6795" priority="380" operator="equal">
      <formula>0</formula>
    </cfRule>
    <cfRule type="cellIs" dxfId="6794" priority="381" operator="greaterThan">
      <formula>0</formula>
    </cfRule>
  </conditionalFormatting>
  <conditionalFormatting sqref="G67:AC75 G78:Q79 S78:AC79">
    <cfRule type="cellIs" dxfId="6793" priority="370" operator="equal">
      <formula>"PMS"</formula>
    </cfRule>
    <cfRule type="containsText" dxfId="6792" priority="371" operator="containsText" text="CMS">
      <formula>NOT(ISERROR(SEARCH("CMS",G67)))</formula>
    </cfRule>
    <cfRule type="cellIs" dxfId="6791" priority="372" operator="equal">
      <formula>0</formula>
    </cfRule>
    <cfRule type="cellIs" dxfId="6790" priority="373" operator="greaterThan">
      <formula>0</formula>
    </cfRule>
    <cfRule type="cellIs" dxfId="6789" priority="374" operator="equal">
      <formula>"PMS"</formula>
    </cfRule>
    <cfRule type="containsText" dxfId="6788" priority="375" operator="containsText" text="CMS">
      <formula>NOT(ISERROR(SEARCH("CMS",G67)))</formula>
    </cfRule>
    <cfRule type="cellIs" dxfId="6787" priority="376" operator="equal">
      <formula>0</formula>
    </cfRule>
    <cfRule type="cellIs" dxfId="6786" priority="377" operator="greaterThan">
      <formula>0</formula>
    </cfRule>
  </conditionalFormatting>
  <conditionalFormatting sqref="G67:AC75 G78:Q79 S78:AC79">
    <cfRule type="cellIs" dxfId="6785" priority="366" operator="equal">
      <formula>"PMS"</formula>
    </cfRule>
    <cfRule type="containsText" dxfId="6784" priority="367" operator="containsText" text="CMS">
      <formula>NOT(ISERROR(SEARCH("CMS",G67)))</formula>
    </cfRule>
    <cfRule type="cellIs" dxfId="6783" priority="368" operator="equal">
      <formula>0</formula>
    </cfRule>
    <cfRule type="cellIs" dxfId="6782" priority="369" operator="greaterThan">
      <formula>0</formula>
    </cfRule>
  </conditionalFormatting>
  <conditionalFormatting sqref="G82:AC82">
    <cfRule type="cellIs" dxfId="6781" priority="358" operator="equal">
      <formula>"PMS"</formula>
    </cfRule>
    <cfRule type="containsText" dxfId="6780" priority="359" operator="containsText" text="CMS">
      <formula>NOT(ISERROR(SEARCH("CMS",G82)))</formula>
    </cfRule>
    <cfRule type="cellIs" dxfId="6779" priority="360" operator="equal">
      <formula>0</formula>
    </cfRule>
    <cfRule type="cellIs" dxfId="6778" priority="361" operator="greaterThan">
      <formula>0</formula>
    </cfRule>
    <cfRule type="cellIs" dxfId="6777" priority="362" operator="equal">
      <formula>"PMS"</formula>
    </cfRule>
    <cfRule type="containsText" dxfId="6776" priority="363" operator="containsText" text="CMS">
      <formula>NOT(ISERROR(SEARCH("CMS",G82)))</formula>
    </cfRule>
    <cfRule type="cellIs" dxfId="6775" priority="364" operator="equal">
      <formula>0</formula>
    </cfRule>
    <cfRule type="cellIs" dxfId="6774" priority="365" operator="greaterThan">
      <formula>0</formula>
    </cfRule>
  </conditionalFormatting>
  <conditionalFormatting sqref="G82:AC82">
    <cfRule type="cellIs" dxfId="6773" priority="354" operator="equal">
      <formula>"PMS"</formula>
    </cfRule>
    <cfRule type="containsText" dxfId="6772" priority="355" operator="containsText" text="CMS">
      <formula>NOT(ISERROR(SEARCH("CMS",G82)))</formula>
    </cfRule>
    <cfRule type="cellIs" dxfId="6771" priority="356" operator="equal">
      <formula>0</formula>
    </cfRule>
    <cfRule type="cellIs" dxfId="6770" priority="357" operator="greaterThan">
      <formula>0</formula>
    </cfRule>
  </conditionalFormatting>
  <conditionalFormatting sqref="N24">
    <cfRule type="cellIs" dxfId="6769" priority="346" operator="equal">
      <formula>"PMS"</formula>
    </cfRule>
    <cfRule type="containsText" dxfId="6768" priority="347" operator="containsText" text="CMS">
      <formula>NOT(ISERROR(SEARCH("CMS",N24)))</formula>
    </cfRule>
    <cfRule type="cellIs" dxfId="6767" priority="348" operator="equal">
      <formula>0</formula>
    </cfRule>
    <cfRule type="cellIs" dxfId="6766" priority="349" operator="greaterThan">
      <formula>0</formula>
    </cfRule>
    <cfRule type="cellIs" dxfId="6765" priority="350" operator="equal">
      <formula>"PMS"</formula>
    </cfRule>
    <cfRule type="containsText" dxfId="6764" priority="351" operator="containsText" text="CMS">
      <formula>NOT(ISERROR(SEARCH("CMS",N24)))</formula>
    </cfRule>
    <cfRule type="cellIs" dxfId="6763" priority="352" operator="equal">
      <formula>0</formula>
    </cfRule>
    <cfRule type="cellIs" dxfId="6762" priority="353" operator="greaterThan">
      <formula>0</formula>
    </cfRule>
  </conditionalFormatting>
  <conditionalFormatting sqref="N24">
    <cfRule type="cellIs" dxfId="6761" priority="342" operator="equal">
      <formula>"PMS"</formula>
    </cfRule>
    <cfRule type="containsText" dxfId="6760" priority="343" operator="containsText" text="CMS">
      <formula>NOT(ISERROR(SEARCH("CMS",N24)))</formula>
    </cfRule>
    <cfRule type="cellIs" dxfId="6759" priority="344" operator="equal">
      <formula>0</formula>
    </cfRule>
    <cfRule type="cellIs" dxfId="6758" priority="345" operator="greaterThan">
      <formula>0</formula>
    </cfRule>
  </conditionalFormatting>
  <conditionalFormatting sqref="U24">
    <cfRule type="cellIs" dxfId="6757" priority="334" operator="equal">
      <formula>"PMS"</formula>
    </cfRule>
    <cfRule type="containsText" dxfId="6756" priority="335" operator="containsText" text="CMS">
      <formula>NOT(ISERROR(SEARCH("CMS",U24)))</formula>
    </cfRule>
    <cfRule type="cellIs" dxfId="6755" priority="336" operator="equal">
      <formula>0</formula>
    </cfRule>
    <cfRule type="cellIs" dxfId="6754" priority="337" operator="greaterThan">
      <formula>0</formula>
    </cfRule>
    <cfRule type="cellIs" dxfId="6753" priority="338" operator="equal">
      <formula>"PMS"</formula>
    </cfRule>
    <cfRule type="containsText" dxfId="6752" priority="339" operator="containsText" text="CMS">
      <formula>NOT(ISERROR(SEARCH("CMS",U24)))</formula>
    </cfRule>
    <cfRule type="cellIs" dxfId="6751" priority="340" operator="equal">
      <formula>0</formula>
    </cfRule>
    <cfRule type="cellIs" dxfId="6750" priority="341" operator="greaterThan">
      <formula>0</formula>
    </cfRule>
  </conditionalFormatting>
  <conditionalFormatting sqref="U24">
    <cfRule type="cellIs" dxfId="6749" priority="330" operator="equal">
      <formula>"PMS"</formula>
    </cfRule>
    <cfRule type="containsText" dxfId="6748" priority="331" operator="containsText" text="CMS">
      <formula>NOT(ISERROR(SEARCH("CMS",U24)))</formula>
    </cfRule>
    <cfRule type="cellIs" dxfId="6747" priority="332" operator="equal">
      <formula>0</formula>
    </cfRule>
    <cfRule type="cellIs" dxfId="6746" priority="333" operator="greaterThan">
      <formula>0</formula>
    </cfRule>
  </conditionalFormatting>
  <conditionalFormatting sqref="H14:P14">
    <cfRule type="cellIs" dxfId="6745" priority="322" operator="equal">
      <formula>"PMS"</formula>
    </cfRule>
    <cfRule type="containsText" dxfId="6744" priority="323" operator="containsText" text="CMS">
      <formula>NOT(ISERROR(SEARCH("CMS",H14)))</formula>
    </cfRule>
    <cfRule type="cellIs" dxfId="6743" priority="324" operator="equal">
      <formula>0</formula>
    </cfRule>
    <cfRule type="cellIs" dxfId="6742" priority="325" operator="greaterThan">
      <formula>0</formula>
    </cfRule>
    <cfRule type="cellIs" dxfId="6741" priority="326" operator="equal">
      <formula>"PMS"</formula>
    </cfRule>
    <cfRule type="containsText" dxfId="6740" priority="327" operator="containsText" text="CMS">
      <formula>NOT(ISERROR(SEARCH("CMS",H14)))</formula>
    </cfRule>
    <cfRule type="cellIs" dxfId="6739" priority="328" operator="equal">
      <formula>0</formula>
    </cfRule>
    <cfRule type="cellIs" dxfId="6738" priority="329" operator="greaterThan">
      <formula>0</formula>
    </cfRule>
  </conditionalFormatting>
  <conditionalFormatting sqref="H14:P14">
    <cfRule type="cellIs" dxfId="6737" priority="318" operator="equal">
      <formula>"PMS"</formula>
    </cfRule>
    <cfRule type="containsText" dxfId="6736" priority="319" operator="containsText" text="CMS">
      <formula>NOT(ISERROR(SEARCH("CMS",H14)))</formula>
    </cfRule>
    <cfRule type="cellIs" dxfId="6735" priority="320" operator="equal">
      <formula>0</formula>
    </cfRule>
    <cfRule type="cellIs" dxfId="6734" priority="321" operator="greaterThan">
      <formula>0</formula>
    </cfRule>
  </conditionalFormatting>
  <conditionalFormatting sqref="F82">
    <cfRule type="cellIs" dxfId="6733" priority="310" operator="equal">
      <formula>"PMS"</formula>
    </cfRule>
    <cfRule type="containsText" dxfId="6732" priority="311" operator="containsText" text="CMS">
      <formula>NOT(ISERROR(SEARCH("CMS",F82)))</formula>
    </cfRule>
    <cfRule type="cellIs" dxfId="6731" priority="312" operator="equal">
      <formula>0</formula>
    </cfRule>
    <cfRule type="cellIs" dxfId="6730" priority="313" operator="greaterThan">
      <formula>0</formula>
    </cfRule>
    <cfRule type="cellIs" dxfId="6729" priority="314" operator="equal">
      <formula>"PMS"</formula>
    </cfRule>
    <cfRule type="containsText" dxfId="6728" priority="315" operator="containsText" text="CMS">
      <formula>NOT(ISERROR(SEARCH("CMS",F82)))</formula>
    </cfRule>
    <cfRule type="cellIs" dxfId="6727" priority="316" operator="equal">
      <formula>0</formula>
    </cfRule>
    <cfRule type="cellIs" dxfId="6726" priority="317" operator="greaterThan">
      <formula>0</formula>
    </cfRule>
  </conditionalFormatting>
  <conditionalFormatting sqref="F82">
    <cfRule type="cellIs" dxfId="6725" priority="306" operator="equal">
      <formula>"PMS"</formula>
    </cfRule>
    <cfRule type="containsText" dxfId="6724" priority="307" operator="containsText" text="CMS">
      <formula>NOT(ISERROR(SEARCH("CMS",F82)))</formula>
    </cfRule>
    <cfRule type="cellIs" dxfId="6723" priority="308" operator="equal">
      <formula>0</formula>
    </cfRule>
    <cfRule type="cellIs" dxfId="6722" priority="309" operator="greaterThan">
      <formula>0</formula>
    </cfRule>
  </conditionalFormatting>
  <conditionalFormatting sqref="R19:T19">
    <cfRule type="cellIs" dxfId="6721" priority="298" operator="equal">
      <formula>"PMS"</formula>
    </cfRule>
    <cfRule type="containsText" dxfId="6720" priority="299" operator="containsText" text="CMS">
      <formula>NOT(ISERROR(SEARCH("CMS",R19)))</formula>
    </cfRule>
    <cfRule type="cellIs" dxfId="6719" priority="300" operator="equal">
      <formula>0</formula>
    </cfRule>
    <cfRule type="cellIs" dxfId="6718" priority="301" operator="greaterThan">
      <formula>0</formula>
    </cfRule>
    <cfRule type="cellIs" dxfId="6717" priority="302" operator="equal">
      <formula>"PMS"</formula>
    </cfRule>
    <cfRule type="containsText" dxfId="6716" priority="303" operator="containsText" text="CMS">
      <formula>NOT(ISERROR(SEARCH("CMS",R19)))</formula>
    </cfRule>
    <cfRule type="cellIs" dxfId="6715" priority="304" operator="equal">
      <formula>0</formula>
    </cfRule>
    <cfRule type="cellIs" dxfId="6714" priority="305" operator="greaterThan">
      <formula>0</formula>
    </cfRule>
  </conditionalFormatting>
  <conditionalFormatting sqref="R19:T19">
    <cfRule type="cellIs" dxfId="6713" priority="294" operator="equal">
      <formula>"PMS"</formula>
    </cfRule>
    <cfRule type="containsText" dxfId="6712" priority="295" operator="containsText" text="CMS">
      <formula>NOT(ISERROR(SEARCH("CMS",R19)))</formula>
    </cfRule>
    <cfRule type="cellIs" dxfId="6711" priority="296" operator="equal">
      <formula>0</formula>
    </cfRule>
    <cfRule type="cellIs" dxfId="6710" priority="297" operator="greaterThan">
      <formula>0</formula>
    </cfRule>
  </conditionalFormatting>
  <conditionalFormatting sqref="G13:G16">
    <cfRule type="cellIs" dxfId="6709" priority="286" operator="equal">
      <formula>"PMS"</formula>
    </cfRule>
    <cfRule type="containsText" dxfId="6708" priority="287" operator="containsText" text="CMS">
      <formula>NOT(ISERROR(SEARCH("CMS",G13)))</formula>
    </cfRule>
    <cfRule type="cellIs" dxfId="6707" priority="288" operator="equal">
      <formula>0</formula>
    </cfRule>
    <cfRule type="cellIs" dxfId="6706" priority="289" operator="greaterThan">
      <formula>0</formula>
    </cfRule>
    <cfRule type="cellIs" dxfId="6705" priority="290" operator="equal">
      <formula>"PMS"</formula>
    </cfRule>
    <cfRule type="containsText" dxfId="6704" priority="291" operator="containsText" text="CMS">
      <formula>NOT(ISERROR(SEARCH("CMS",G13)))</formula>
    </cfRule>
    <cfRule type="cellIs" dxfId="6703" priority="292" operator="equal">
      <formula>0</formula>
    </cfRule>
    <cfRule type="cellIs" dxfId="6702" priority="293" operator="greaterThan">
      <formula>0</formula>
    </cfRule>
  </conditionalFormatting>
  <conditionalFormatting sqref="G13:G16">
    <cfRule type="cellIs" dxfId="6701" priority="282" operator="equal">
      <formula>"PMS"</formula>
    </cfRule>
    <cfRule type="containsText" dxfId="6700" priority="283" operator="containsText" text="CMS">
      <formula>NOT(ISERROR(SEARCH("CMS",G13)))</formula>
    </cfRule>
    <cfRule type="cellIs" dxfId="6699" priority="284" operator="equal">
      <formula>0</formula>
    </cfRule>
    <cfRule type="cellIs" dxfId="6698" priority="285" operator="greaterThan">
      <formula>0</formula>
    </cfRule>
  </conditionalFormatting>
  <conditionalFormatting sqref="M13">
    <cfRule type="cellIs" dxfId="6697" priority="274" operator="equal">
      <formula>"PMS"</formula>
    </cfRule>
    <cfRule type="containsText" dxfId="6696" priority="275" operator="containsText" text="CMS">
      <formula>NOT(ISERROR(SEARCH("CMS",M13)))</formula>
    </cfRule>
    <cfRule type="cellIs" dxfId="6695" priority="276" operator="equal">
      <formula>0</formula>
    </cfRule>
    <cfRule type="cellIs" dxfId="6694" priority="277" operator="greaterThan">
      <formula>0</formula>
    </cfRule>
    <cfRule type="cellIs" dxfId="6693" priority="278" operator="equal">
      <formula>"PMS"</formula>
    </cfRule>
    <cfRule type="containsText" dxfId="6692" priority="279" operator="containsText" text="CMS">
      <formula>NOT(ISERROR(SEARCH("CMS",M13)))</formula>
    </cfRule>
    <cfRule type="cellIs" dxfId="6691" priority="280" operator="equal">
      <formula>0</formula>
    </cfRule>
    <cfRule type="cellIs" dxfId="6690" priority="281" operator="greaterThan">
      <formula>0</formula>
    </cfRule>
  </conditionalFormatting>
  <conditionalFormatting sqref="M13">
    <cfRule type="cellIs" dxfId="6689" priority="270" operator="equal">
      <formula>"PMS"</formula>
    </cfRule>
    <cfRule type="containsText" dxfId="6688" priority="271" operator="containsText" text="CMS">
      <formula>NOT(ISERROR(SEARCH("CMS",M13)))</formula>
    </cfRule>
    <cfRule type="cellIs" dxfId="6687" priority="272" operator="equal">
      <formula>0</formula>
    </cfRule>
    <cfRule type="cellIs" dxfId="6686" priority="273" operator="greaterThan">
      <formula>0</formula>
    </cfRule>
  </conditionalFormatting>
  <conditionalFormatting sqref="R78:R79">
    <cfRule type="cellIs" dxfId="6685" priority="262" operator="equal">
      <formula>"PMS"</formula>
    </cfRule>
    <cfRule type="containsText" dxfId="6684" priority="263" operator="containsText" text="CMS">
      <formula>NOT(ISERROR(SEARCH("CMS",R78)))</formula>
    </cfRule>
    <cfRule type="cellIs" dxfId="6683" priority="264" operator="equal">
      <formula>0</formula>
    </cfRule>
    <cfRule type="cellIs" dxfId="6682" priority="265" operator="greaterThan">
      <formula>0</formula>
    </cfRule>
    <cfRule type="cellIs" dxfId="6681" priority="266" operator="equal">
      <formula>"PMS"</formula>
    </cfRule>
    <cfRule type="containsText" dxfId="6680" priority="267" operator="containsText" text="CMS">
      <formula>NOT(ISERROR(SEARCH("CMS",R78)))</formula>
    </cfRule>
    <cfRule type="cellIs" dxfId="6679" priority="268" operator="equal">
      <formula>0</formula>
    </cfRule>
    <cfRule type="cellIs" dxfId="6678" priority="269" operator="greaterThan">
      <formula>0</formula>
    </cfRule>
  </conditionalFormatting>
  <conditionalFormatting sqref="R78:R79">
    <cfRule type="cellIs" dxfId="6677" priority="258" operator="equal">
      <formula>"PMS"</formula>
    </cfRule>
    <cfRule type="containsText" dxfId="6676" priority="259" operator="containsText" text="CMS">
      <formula>NOT(ISERROR(SEARCH("CMS",R78)))</formula>
    </cfRule>
    <cfRule type="cellIs" dxfId="6675" priority="260" operator="equal">
      <formula>0</formula>
    </cfRule>
    <cfRule type="cellIs" dxfId="6674" priority="261" operator="greaterThan">
      <formula>0</formula>
    </cfRule>
  </conditionalFormatting>
  <conditionalFormatting sqref="O15">
    <cfRule type="cellIs" dxfId="6673" priority="250" operator="equal">
      <formula>"PMS"</formula>
    </cfRule>
    <cfRule type="containsText" dxfId="6672" priority="251" operator="containsText" text="CMS">
      <formula>NOT(ISERROR(SEARCH("CMS",O15)))</formula>
    </cfRule>
    <cfRule type="cellIs" dxfId="6671" priority="252" operator="equal">
      <formula>0</formula>
    </cfRule>
    <cfRule type="cellIs" dxfId="6670" priority="253" operator="greaterThan">
      <formula>0</formula>
    </cfRule>
    <cfRule type="cellIs" dxfId="6669" priority="254" operator="equal">
      <formula>"PMS"</formula>
    </cfRule>
    <cfRule type="containsText" dxfId="6668" priority="255" operator="containsText" text="CMS">
      <formula>NOT(ISERROR(SEARCH("CMS",O15)))</formula>
    </cfRule>
    <cfRule type="cellIs" dxfId="6667" priority="256" operator="equal">
      <formula>0</formula>
    </cfRule>
    <cfRule type="cellIs" dxfId="6666" priority="257" operator="greaterThan">
      <formula>0</formula>
    </cfRule>
  </conditionalFormatting>
  <conditionalFormatting sqref="O15">
    <cfRule type="cellIs" dxfId="6665" priority="246" operator="equal">
      <formula>"PMS"</formula>
    </cfRule>
    <cfRule type="containsText" dxfId="6664" priority="247" operator="containsText" text="CMS">
      <formula>NOT(ISERROR(SEARCH("CMS",O15)))</formula>
    </cfRule>
    <cfRule type="cellIs" dxfId="6663" priority="248" operator="equal">
      <formula>0</formula>
    </cfRule>
    <cfRule type="cellIs" dxfId="6662" priority="249" operator="greaterThan">
      <formula>0</formula>
    </cfRule>
  </conditionalFormatting>
  <conditionalFormatting sqref="O16">
    <cfRule type="cellIs" dxfId="6661" priority="238" operator="equal">
      <formula>"PMS"</formula>
    </cfRule>
    <cfRule type="containsText" dxfId="6660" priority="239" operator="containsText" text="CMS">
      <formula>NOT(ISERROR(SEARCH("CMS",O16)))</formula>
    </cfRule>
    <cfRule type="cellIs" dxfId="6659" priority="240" operator="equal">
      <formula>0</formula>
    </cfRule>
    <cfRule type="cellIs" dxfId="6658" priority="241" operator="greaterThan">
      <formula>0</formula>
    </cfRule>
    <cfRule type="cellIs" dxfId="6657" priority="242" operator="equal">
      <formula>"PMS"</formula>
    </cfRule>
    <cfRule type="containsText" dxfId="6656" priority="243" operator="containsText" text="CMS">
      <formula>NOT(ISERROR(SEARCH("CMS",O16)))</formula>
    </cfRule>
    <cfRule type="cellIs" dxfId="6655" priority="244" operator="equal">
      <formula>0</formula>
    </cfRule>
    <cfRule type="cellIs" dxfId="6654" priority="245" operator="greaterThan">
      <formula>0</formula>
    </cfRule>
  </conditionalFormatting>
  <conditionalFormatting sqref="O16">
    <cfRule type="cellIs" dxfId="6653" priority="234" operator="equal">
      <formula>"PMS"</formula>
    </cfRule>
    <cfRule type="containsText" dxfId="6652" priority="235" operator="containsText" text="CMS">
      <formula>NOT(ISERROR(SEARCH("CMS",O16)))</formula>
    </cfRule>
    <cfRule type="cellIs" dxfId="6651" priority="236" operator="equal">
      <formula>0</formula>
    </cfRule>
    <cfRule type="cellIs" dxfId="6650" priority="237" operator="greaterThan">
      <formula>0</formula>
    </cfRule>
  </conditionalFormatting>
  <conditionalFormatting sqref="N15">
    <cfRule type="cellIs" dxfId="6649" priority="226" operator="equal">
      <formula>"PMS"</formula>
    </cfRule>
    <cfRule type="containsText" dxfId="6648" priority="227" operator="containsText" text="CMS">
      <formula>NOT(ISERROR(SEARCH("CMS",N15)))</formula>
    </cfRule>
    <cfRule type="cellIs" dxfId="6647" priority="228" operator="equal">
      <formula>0</formula>
    </cfRule>
    <cfRule type="cellIs" dxfId="6646" priority="229" operator="greaterThan">
      <formula>0</formula>
    </cfRule>
    <cfRule type="cellIs" dxfId="6645" priority="230" operator="equal">
      <formula>"PMS"</formula>
    </cfRule>
    <cfRule type="containsText" dxfId="6644" priority="231" operator="containsText" text="CMS">
      <formula>NOT(ISERROR(SEARCH("CMS",N15)))</formula>
    </cfRule>
    <cfRule type="cellIs" dxfId="6643" priority="232" operator="equal">
      <formula>0</formula>
    </cfRule>
    <cfRule type="cellIs" dxfId="6642" priority="233" operator="greaterThan">
      <formula>0</formula>
    </cfRule>
  </conditionalFormatting>
  <conditionalFormatting sqref="N15">
    <cfRule type="cellIs" dxfId="6641" priority="222" operator="equal">
      <formula>"PMS"</formula>
    </cfRule>
    <cfRule type="containsText" dxfId="6640" priority="223" operator="containsText" text="CMS">
      <formula>NOT(ISERROR(SEARCH("CMS",N15)))</formula>
    </cfRule>
    <cfRule type="cellIs" dxfId="6639" priority="224" operator="equal">
      <formula>0</formula>
    </cfRule>
    <cfRule type="cellIs" dxfId="6638" priority="225" operator="greaterThan">
      <formula>0</formula>
    </cfRule>
  </conditionalFormatting>
  <conditionalFormatting sqref="N16">
    <cfRule type="cellIs" dxfId="6637" priority="214" operator="equal">
      <formula>"PMS"</formula>
    </cfRule>
    <cfRule type="containsText" dxfId="6636" priority="215" operator="containsText" text="CMS">
      <formula>NOT(ISERROR(SEARCH("CMS",N16)))</formula>
    </cfRule>
    <cfRule type="cellIs" dxfId="6635" priority="216" operator="equal">
      <formula>0</formula>
    </cfRule>
    <cfRule type="cellIs" dxfId="6634" priority="217" operator="greaterThan">
      <formula>0</formula>
    </cfRule>
    <cfRule type="cellIs" dxfId="6633" priority="218" operator="equal">
      <formula>"PMS"</formula>
    </cfRule>
    <cfRule type="containsText" dxfId="6632" priority="219" operator="containsText" text="CMS">
      <formula>NOT(ISERROR(SEARCH("CMS",N16)))</formula>
    </cfRule>
    <cfRule type="cellIs" dxfId="6631" priority="220" operator="equal">
      <formula>0</formula>
    </cfRule>
    <cfRule type="cellIs" dxfId="6630" priority="221" operator="greaterThan">
      <formula>0</formula>
    </cfRule>
  </conditionalFormatting>
  <conditionalFormatting sqref="N16">
    <cfRule type="cellIs" dxfId="6629" priority="210" operator="equal">
      <formula>"PMS"</formula>
    </cfRule>
    <cfRule type="containsText" dxfId="6628" priority="211" operator="containsText" text="CMS">
      <formula>NOT(ISERROR(SEARCH("CMS",N16)))</formula>
    </cfRule>
    <cfRule type="cellIs" dxfId="6627" priority="212" operator="equal">
      <formula>0</formula>
    </cfRule>
    <cfRule type="cellIs" dxfId="6626" priority="213" operator="greaterThan">
      <formula>0</formula>
    </cfRule>
  </conditionalFormatting>
  <conditionalFormatting sqref="O21">
    <cfRule type="cellIs" dxfId="6625" priority="202" operator="equal">
      <formula>"PMS"</formula>
    </cfRule>
    <cfRule type="containsText" dxfId="6624" priority="203" operator="containsText" text="CMS">
      <formula>NOT(ISERROR(SEARCH("CMS",O21)))</formula>
    </cfRule>
    <cfRule type="cellIs" dxfId="6623" priority="204" operator="equal">
      <formula>0</formula>
    </cfRule>
    <cfRule type="cellIs" dxfId="6622" priority="205" operator="greaterThan">
      <formula>0</formula>
    </cfRule>
    <cfRule type="cellIs" dxfId="6621" priority="206" operator="equal">
      <formula>"PMS"</formula>
    </cfRule>
    <cfRule type="containsText" dxfId="6620" priority="207" operator="containsText" text="CMS">
      <formula>NOT(ISERROR(SEARCH("CMS",O21)))</formula>
    </cfRule>
    <cfRule type="cellIs" dxfId="6619" priority="208" operator="equal">
      <formula>0</formula>
    </cfRule>
    <cfRule type="cellIs" dxfId="6618" priority="209" operator="greaterThan">
      <formula>0</formula>
    </cfRule>
  </conditionalFormatting>
  <conditionalFormatting sqref="O21">
    <cfRule type="cellIs" dxfId="6617" priority="198" operator="equal">
      <formula>"PMS"</formula>
    </cfRule>
    <cfRule type="containsText" dxfId="6616" priority="199" operator="containsText" text="CMS">
      <formula>NOT(ISERROR(SEARCH("CMS",O21)))</formula>
    </cfRule>
    <cfRule type="cellIs" dxfId="6615" priority="200" operator="equal">
      <formula>0</formula>
    </cfRule>
    <cfRule type="cellIs" dxfId="6614" priority="201" operator="greaterThan">
      <formula>0</formula>
    </cfRule>
  </conditionalFormatting>
  <conditionalFormatting sqref="G28">
    <cfRule type="cellIs" dxfId="6613" priority="190" operator="equal">
      <formula>"PMS"</formula>
    </cfRule>
    <cfRule type="containsText" dxfId="6612" priority="191" operator="containsText" text="CMS">
      <formula>NOT(ISERROR(SEARCH("CMS",G28)))</formula>
    </cfRule>
    <cfRule type="cellIs" dxfId="6611" priority="192" operator="equal">
      <formula>0</formula>
    </cfRule>
    <cfRule type="cellIs" dxfId="6610" priority="193" operator="greaterThan">
      <formula>0</formula>
    </cfRule>
    <cfRule type="cellIs" dxfId="6609" priority="194" operator="equal">
      <formula>"PMS"</formula>
    </cfRule>
    <cfRule type="containsText" dxfId="6608" priority="195" operator="containsText" text="CMS">
      <formula>NOT(ISERROR(SEARCH("CMS",G28)))</formula>
    </cfRule>
    <cfRule type="cellIs" dxfId="6607" priority="196" operator="equal">
      <formula>0</formula>
    </cfRule>
    <cfRule type="cellIs" dxfId="6606" priority="197" operator="greaterThan">
      <formula>0</formula>
    </cfRule>
  </conditionalFormatting>
  <conditionalFormatting sqref="G28">
    <cfRule type="cellIs" dxfId="6605" priority="186" operator="equal">
      <formula>"PMS"</formula>
    </cfRule>
    <cfRule type="containsText" dxfId="6604" priority="187" operator="containsText" text="CMS">
      <formula>NOT(ISERROR(SEARCH("CMS",G28)))</formula>
    </cfRule>
    <cfRule type="cellIs" dxfId="6603" priority="188" operator="equal">
      <formula>0</formula>
    </cfRule>
    <cfRule type="cellIs" dxfId="6602" priority="189" operator="greaterThan">
      <formula>0</formula>
    </cfRule>
  </conditionalFormatting>
  <conditionalFormatting sqref="K13">
    <cfRule type="cellIs" dxfId="6601" priority="178" operator="equal">
      <formula>"PMS"</formula>
    </cfRule>
    <cfRule type="containsText" dxfId="6600" priority="179" operator="containsText" text="CMS">
      <formula>NOT(ISERROR(SEARCH("CMS",K13)))</formula>
    </cfRule>
    <cfRule type="cellIs" dxfId="6599" priority="180" operator="equal">
      <formula>0</formula>
    </cfRule>
    <cfRule type="cellIs" dxfId="6598" priority="181" operator="greaterThan">
      <formula>0</formula>
    </cfRule>
    <cfRule type="cellIs" dxfId="6597" priority="182" operator="equal">
      <formula>"PMS"</formula>
    </cfRule>
    <cfRule type="containsText" dxfId="6596" priority="183" operator="containsText" text="CMS">
      <formula>NOT(ISERROR(SEARCH("CMS",K13)))</formula>
    </cfRule>
    <cfRule type="cellIs" dxfId="6595" priority="184" operator="equal">
      <formula>0</formula>
    </cfRule>
    <cfRule type="cellIs" dxfId="6594" priority="185" operator="greaterThan">
      <formula>0</formula>
    </cfRule>
  </conditionalFormatting>
  <conditionalFormatting sqref="K13">
    <cfRule type="cellIs" dxfId="6593" priority="174" operator="equal">
      <formula>"PMS"</formula>
    </cfRule>
    <cfRule type="containsText" dxfId="6592" priority="175" operator="containsText" text="CMS">
      <formula>NOT(ISERROR(SEARCH("CMS",K13)))</formula>
    </cfRule>
    <cfRule type="cellIs" dxfId="6591" priority="176" operator="equal">
      <formula>0</formula>
    </cfRule>
    <cfRule type="cellIs" dxfId="6590" priority="177" operator="greaterThan">
      <formula>0</formula>
    </cfRule>
  </conditionalFormatting>
  <conditionalFormatting sqref="F36:F39">
    <cfRule type="cellIs" dxfId="6589" priority="166" operator="equal">
      <formula>"PMS"</formula>
    </cfRule>
    <cfRule type="containsText" dxfId="6588" priority="167" operator="containsText" text="CMS">
      <formula>NOT(ISERROR(SEARCH("CMS",F36)))</formula>
    </cfRule>
    <cfRule type="cellIs" dxfId="6587" priority="168" operator="equal">
      <formula>0</formula>
    </cfRule>
    <cfRule type="cellIs" dxfId="6586" priority="169" operator="greaterThan">
      <formula>0</formula>
    </cfRule>
    <cfRule type="cellIs" dxfId="6585" priority="170" operator="equal">
      <formula>"PMS"</formula>
    </cfRule>
    <cfRule type="containsText" dxfId="6584" priority="171" operator="containsText" text="CMS">
      <formula>NOT(ISERROR(SEARCH("CMS",F36)))</formula>
    </cfRule>
    <cfRule type="cellIs" dxfId="6583" priority="172" operator="equal">
      <formula>0</formula>
    </cfRule>
    <cfRule type="cellIs" dxfId="6582" priority="173" operator="greaterThan">
      <formula>0</formula>
    </cfRule>
  </conditionalFormatting>
  <conditionalFormatting sqref="F36:F39">
    <cfRule type="cellIs" dxfId="6581" priority="162" operator="equal">
      <formula>"PMS"</formula>
    </cfRule>
    <cfRule type="containsText" dxfId="6580" priority="163" operator="containsText" text="CMS">
      <formula>NOT(ISERROR(SEARCH("CMS",F36)))</formula>
    </cfRule>
    <cfRule type="cellIs" dxfId="6579" priority="164" operator="equal">
      <formula>0</formula>
    </cfRule>
    <cfRule type="cellIs" dxfId="6578" priority="165" operator="greaterThan">
      <formula>0</formula>
    </cfRule>
  </conditionalFormatting>
  <conditionalFormatting sqref="F67:F75 F78">
    <cfRule type="cellIs" dxfId="6577" priority="106" operator="equal">
      <formula>"PMS"</formula>
    </cfRule>
    <cfRule type="containsText" dxfId="6576" priority="107" operator="containsText" text="CMS">
      <formula>NOT(ISERROR(SEARCH("CMS",F67)))</formula>
    </cfRule>
    <cfRule type="cellIs" dxfId="6575" priority="108" operator="equal">
      <formula>0</formula>
    </cfRule>
    <cfRule type="cellIs" dxfId="6574" priority="109" operator="greaterThan">
      <formula>0</formula>
    </cfRule>
    <cfRule type="cellIs" dxfId="6573" priority="110" operator="equal">
      <formula>"PMS"</formula>
    </cfRule>
    <cfRule type="containsText" dxfId="6572" priority="111" operator="containsText" text="CMS">
      <formula>NOT(ISERROR(SEARCH("CMS",F67)))</formula>
    </cfRule>
    <cfRule type="cellIs" dxfId="6571" priority="112" operator="equal">
      <formula>0</formula>
    </cfRule>
    <cfRule type="cellIs" dxfId="6570" priority="113" operator="greaterThan">
      <formula>0</formula>
    </cfRule>
  </conditionalFormatting>
  <conditionalFormatting sqref="F67:F75 F78">
    <cfRule type="cellIs" dxfId="6569" priority="102" operator="equal">
      <formula>"PMS"</formula>
    </cfRule>
    <cfRule type="containsText" dxfId="6568" priority="103" operator="containsText" text="CMS">
      <formula>NOT(ISERROR(SEARCH("CMS",F67)))</formula>
    </cfRule>
    <cfRule type="cellIs" dxfId="6567" priority="104" operator="equal">
      <formula>0</formula>
    </cfRule>
    <cfRule type="cellIs" dxfId="6566" priority="105" operator="greaterThan">
      <formula>0</formula>
    </cfRule>
  </conditionalFormatting>
  <conditionalFormatting sqref="F112:N112 E113:AC113">
    <cfRule type="cellIs" dxfId="6565" priority="101" operator="greaterThan">
      <formula>60.3</formula>
    </cfRule>
  </conditionalFormatting>
  <conditionalFormatting sqref="F13:F16">
    <cfRule type="cellIs" dxfId="6564" priority="90" operator="equal">
      <formula>"PMS"</formula>
    </cfRule>
    <cfRule type="containsText" dxfId="6563" priority="91" operator="containsText" text="CMS">
      <formula>NOT(ISERROR(SEARCH("CMS",F13)))</formula>
    </cfRule>
    <cfRule type="cellIs" dxfId="6562" priority="92" operator="equal">
      <formula>0</formula>
    </cfRule>
    <cfRule type="cellIs" dxfId="6561" priority="93" operator="greaterThan">
      <formula>0</formula>
    </cfRule>
    <cfRule type="cellIs" dxfId="6560" priority="94" operator="equal">
      <formula>"PMS"</formula>
    </cfRule>
    <cfRule type="containsText" dxfId="6559" priority="95" operator="containsText" text="CMS">
      <formula>NOT(ISERROR(SEARCH("CMS",F13)))</formula>
    </cfRule>
    <cfRule type="cellIs" dxfId="6558" priority="96" operator="equal">
      <formula>0</formula>
    </cfRule>
    <cfRule type="cellIs" dxfId="6557" priority="97" operator="greaterThan">
      <formula>0</formula>
    </cfRule>
  </conditionalFormatting>
  <conditionalFormatting sqref="F13:F16">
    <cfRule type="cellIs" dxfId="6556" priority="86" operator="equal">
      <formula>"PMS"</formula>
    </cfRule>
    <cfRule type="containsText" dxfId="6555" priority="87" operator="containsText" text="CMS">
      <formula>NOT(ISERROR(SEARCH("CMS",F13)))</formula>
    </cfRule>
    <cfRule type="cellIs" dxfId="6554" priority="88" operator="equal">
      <formula>0</formula>
    </cfRule>
    <cfRule type="cellIs" dxfId="6553" priority="89" operator="greaterThan">
      <formula>0</formula>
    </cfRule>
  </conditionalFormatting>
  <conditionalFormatting sqref="F19:F21">
    <cfRule type="cellIs" dxfId="6552" priority="78" operator="equal">
      <formula>"PMS"</formula>
    </cfRule>
    <cfRule type="containsText" dxfId="6551" priority="79" operator="containsText" text="CMS">
      <formula>NOT(ISERROR(SEARCH("CMS",F19)))</formula>
    </cfRule>
    <cfRule type="cellIs" dxfId="6550" priority="80" operator="equal">
      <formula>0</formula>
    </cfRule>
    <cfRule type="cellIs" dxfId="6549" priority="81" operator="greaterThan">
      <formula>0</formula>
    </cfRule>
    <cfRule type="cellIs" dxfId="6548" priority="82" operator="equal">
      <formula>"PMS"</formula>
    </cfRule>
    <cfRule type="containsText" dxfId="6547" priority="83" operator="containsText" text="CMS">
      <formula>NOT(ISERROR(SEARCH("CMS",F19)))</formula>
    </cfRule>
    <cfRule type="cellIs" dxfId="6546" priority="84" operator="equal">
      <formula>0</formula>
    </cfRule>
    <cfRule type="cellIs" dxfId="6545" priority="85" operator="greaterThan">
      <formula>0</formula>
    </cfRule>
  </conditionalFormatting>
  <conditionalFormatting sqref="F19:F21">
    <cfRule type="cellIs" dxfId="6544" priority="74" operator="equal">
      <formula>"PMS"</formula>
    </cfRule>
    <cfRule type="containsText" dxfId="6543" priority="75" operator="containsText" text="CMS">
      <formula>NOT(ISERROR(SEARCH("CMS",F19)))</formula>
    </cfRule>
    <cfRule type="cellIs" dxfId="6542" priority="76" operator="equal">
      <formula>0</formula>
    </cfRule>
    <cfRule type="cellIs" dxfId="6541" priority="77" operator="greaterThan">
      <formula>0</formula>
    </cfRule>
  </conditionalFormatting>
  <conditionalFormatting sqref="F24">
    <cfRule type="cellIs" dxfId="6540" priority="66" operator="equal">
      <formula>"PMS"</formula>
    </cfRule>
    <cfRule type="containsText" dxfId="6539" priority="67" operator="containsText" text="CMS">
      <formula>NOT(ISERROR(SEARCH("CMS",F24)))</formula>
    </cfRule>
    <cfRule type="cellIs" dxfId="6538" priority="68" operator="equal">
      <formula>0</formula>
    </cfRule>
    <cfRule type="cellIs" dxfId="6537" priority="69" operator="greaterThan">
      <formula>0</formula>
    </cfRule>
    <cfRule type="cellIs" dxfId="6536" priority="70" operator="equal">
      <formula>"PMS"</formula>
    </cfRule>
    <cfRule type="containsText" dxfId="6535" priority="71" operator="containsText" text="CMS">
      <formula>NOT(ISERROR(SEARCH("CMS",F24)))</formula>
    </cfRule>
    <cfRule type="cellIs" dxfId="6534" priority="72" operator="equal">
      <formula>0</formula>
    </cfRule>
    <cfRule type="cellIs" dxfId="6533" priority="73" operator="greaterThan">
      <formula>0</formula>
    </cfRule>
  </conditionalFormatting>
  <conditionalFormatting sqref="F24">
    <cfRule type="cellIs" dxfId="6532" priority="62" operator="equal">
      <formula>"PMS"</formula>
    </cfRule>
    <cfRule type="containsText" dxfId="6531" priority="63" operator="containsText" text="CMS">
      <formula>NOT(ISERROR(SEARCH("CMS",F24)))</formula>
    </cfRule>
    <cfRule type="cellIs" dxfId="6530" priority="64" operator="equal">
      <formula>0</formula>
    </cfRule>
    <cfRule type="cellIs" dxfId="6529" priority="65" operator="greaterThan">
      <formula>0</formula>
    </cfRule>
  </conditionalFormatting>
  <conditionalFormatting sqref="F27:F30">
    <cfRule type="cellIs" dxfId="6528" priority="54" operator="equal">
      <formula>"PMS"</formula>
    </cfRule>
    <cfRule type="containsText" dxfId="6527" priority="55" operator="containsText" text="CMS">
      <formula>NOT(ISERROR(SEARCH("CMS",F27)))</formula>
    </cfRule>
    <cfRule type="cellIs" dxfId="6526" priority="56" operator="equal">
      <formula>0</formula>
    </cfRule>
    <cfRule type="cellIs" dxfId="6525" priority="57" operator="greaterThan">
      <formula>0</formula>
    </cfRule>
    <cfRule type="cellIs" dxfId="6524" priority="58" operator="equal">
      <formula>"PMS"</formula>
    </cfRule>
    <cfRule type="containsText" dxfId="6523" priority="59" operator="containsText" text="CMS">
      <formula>NOT(ISERROR(SEARCH("CMS",F27)))</formula>
    </cfRule>
    <cfRule type="cellIs" dxfId="6522" priority="60" operator="equal">
      <formula>0</formula>
    </cfRule>
    <cfRule type="cellIs" dxfId="6521" priority="61" operator="greaterThan">
      <formula>0</formula>
    </cfRule>
  </conditionalFormatting>
  <conditionalFormatting sqref="F27:F30">
    <cfRule type="cellIs" dxfId="6520" priority="50" operator="equal">
      <formula>"PMS"</formula>
    </cfRule>
    <cfRule type="containsText" dxfId="6519" priority="51" operator="containsText" text="CMS">
      <formula>NOT(ISERROR(SEARCH("CMS",F27)))</formula>
    </cfRule>
    <cfRule type="cellIs" dxfId="6518" priority="52" operator="equal">
      <formula>0</formula>
    </cfRule>
    <cfRule type="cellIs" dxfId="6517" priority="53" operator="greaterThan">
      <formula>0</formula>
    </cfRule>
  </conditionalFormatting>
  <conditionalFormatting sqref="F33">
    <cfRule type="cellIs" dxfId="6516" priority="42" operator="equal">
      <formula>"PMS"</formula>
    </cfRule>
    <cfRule type="containsText" dxfId="6515" priority="43" operator="containsText" text="CMS">
      <formula>NOT(ISERROR(SEARCH("CMS",F33)))</formula>
    </cfRule>
    <cfRule type="cellIs" dxfId="6514" priority="44" operator="equal">
      <formula>0</formula>
    </cfRule>
    <cfRule type="cellIs" dxfId="6513" priority="45" operator="greaterThan">
      <formula>0</formula>
    </cfRule>
    <cfRule type="cellIs" dxfId="6512" priority="46" operator="equal">
      <formula>"PMS"</formula>
    </cfRule>
    <cfRule type="containsText" dxfId="6511" priority="47" operator="containsText" text="CMS">
      <formula>NOT(ISERROR(SEARCH("CMS",F33)))</formula>
    </cfRule>
    <cfRule type="cellIs" dxfId="6510" priority="48" operator="equal">
      <formula>0</formula>
    </cfRule>
    <cfRule type="cellIs" dxfId="6509" priority="49" operator="greaterThan">
      <formula>0</formula>
    </cfRule>
  </conditionalFormatting>
  <conditionalFormatting sqref="F33">
    <cfRule type="cellIs" dxfId="6508" priority="38" operator="equal">
      <formula>"PMS"</formula>
    </cfRule>
    <cfRule type="containsText" dxfId="6507" priority="39" operator="containsText" text="CMS">
      <formula>NOT(ISERROR(SEARCH("CMS",F33)))</formula>
    </cfRule>
    <cfRule type="cellIs" dxfId="6506" priority="40" operator="equal">
      <formula>0</formula>
    </cfRule>
    <cfRule type="cellIs" dxfId="6505" priority="41" operator="greaterThan">
      <formula>0</formula>
    </cfRule>
  </conditionalFormatting>
  <conditionalFormatting sqref="F40:F59">
    <cfRule type="cellIs" dxfId="6504" priority="30" operator="equal">
      <formula>"PMS"</formula>
    </cfRule>
    <cfRule type="containsText" dxfId="6503" priority="31" operator="containsText" text="CMS">
      <formula>NOT(ISERROR(SEARCH("CMS",F40)))</formula>
    </cfRule>
    <cfRule type="cellIs" dxfId="6502" priority="32" operator="equal">
      <formula>0</formula>
    </cfRule>
    <cfRule type="cellIs" dxfId="6501" priority="33" operator="greaterThan">
      <formula>0</formula>
    </cfRule>
    <cfRule type="cellIs" dxfId="6500" priority="34" operator="equal">
      <formula>"PMS"</formula>
    </cfRule>
    <cfRule type="containsText" dxfId="6499" priority="35" operator="containsText" text="CMS">
      <formula>NOT(ISERROR(SEARCH("CMS",F40)))</formula>
    </cfRule>
    <cfRule type="cellIs" dxfId="6498" priority="36" operator="equal">
      <formula>0</formula>
    </cfRule>
    <cfRule type="cellIs" dxfId="6497" priority="37" operator="greaterThan">
      <formula>0</formula>
    </cfRule>
  </conditionalFormatting>
  <conditionalFormatting sqref="F40:F59">
    <cfRule type="cellIs" dxfId="6496" priority="26" operator="equal">
      <formula>"PMS"</formula>
    </cfRule>
    <cfRule type="containsText" dxfId="6495" priority="27" operator="containsText" text="CMS">
      <formula>NOT(ISERROR(SEARCH("CMS",F40)))</formula>
    </cfRule>
    <cfRule type="cellIs" dxfId="6494" priority="28" operator="equal">
      <formula>0</formula>
    </cfRule>
    <cfRule type="cellIs" dxfId="6493" priority="29" operator="greaterThan">
      <formula>0</formula>
    </cfRule>
  </conditionalFormatting>
  <conditionalFormatting sqref="F62:F64">
    <cfRule type="cellIs" dxfId="6492" priority="18" operator="equal">
      <formula>"PMS"</formula>
    </cfRule>
    <cfRule type="containsText" dxfId="6491" priority="19" operator="containsText" text="CMS">
      <formula>NOT(ISERROR(SEARCH("CMS",F62)))</formula>
    </cfRule>
    <cfRule type="cellIs" dxfId="6490" priority="20" operator="equal">
      <formula>0</formula>
    </cfRule>
    <cfRule type="cellIs" dxfId="6489" priority="21" operator="greaterThan">
      <formula>0</formula>
    </cfRule>
    <cfRule type="cellIs" dxfId="6488" priority="22" operator="equal">
      <formula>"PMS"</formula>
    </cfRule>
    <cfRule type="containsText" dxfId="6487" priority="23" operator="containsText" text="CMS">
      <formula>NOT(ISERROR(SEARCH("CMS",F62)))</formula>
    </cfRule>
    <cfRule type="cellIs" dxfId="6486" priority="24" operator="equal">
      <formula>0</formula>
    </cfRule>
    <cfRule type="cellIs" dxfId="6485" priority="25" operator="greaterThan">
      <formula>0</formula>
    </cfRule>
  </conditionalFormatting>
  <conditionalFormatting sqref="F62:F64">
    <cfRule type="cellIs" dxfId="6484" priority="14" operator="equal">
      <formula>"PMS"</formula>
    </cfRule>
    <cfRule type="containsText" dxfId="6483" priority="15" operator="containsText" text="CMS">
      <formula>NOT(ISERROR(SEARCH("CMS",F62)))</formula>
    </cfRule>
    <cfRule type="cellIs" dxfId="6482" priority="16" operator="equal">
      <formula>0</formula>
    </cfRule>
    <cfRule type="cellIs" dxfId="6481" priority="17" operator="greaterThan">
      <formula>0</formula>
    </cfRule>
  </conditionalFormatting>
  <conditionalFormatting sqref="F79">
    <cfRule type="cellIs" dxfId="6480" priority="6" operator="equal">
      <formula>"PMS"</formula>
    </cfRule>
    <cfRule type="containsText" dxfId="6479" priority="7" operator="containsText" text="CMS">
      <formula>NOT(ISERROR(SEARCH("CMS",F79)))</formula>
    </cfRule>
    <cfRule type="cellIs" dxfId="6478" priority="8" operator="equal">
      <formula>0</formula>
    </cfRule>
    <cfRule type="cellIs" dxfId="6477" priority="9" operator="greaterThan">
      <formula>0</formula>
    </cfRule>
    <cfRule type="cellIs" dxfId="6476" priority="10" operator="equal">
      <formula>"PMS"</formula>
    </cfRule>
    <cfRule type="containsText" dxfId="6475" priority="11" operator="containsText" text="CMS">
      <formula>NOT(ISERROR(SEARCH("CMS",F79)))</formula>
    </cfRule>
    <cfRule type="cellIs" dxfId="6474" priority="12" operator="equal">
      <formula>0</formula>
    </cfRule>
    <cfRule type="cellIs" dxfId="6473" priority="13" operator="greaterThan">
      <formula>0</formula>
    </cfRule>
  </conditionalFormatting>
  <conditionalFormatting sqref="F79">
    <cfRule type="cellIs" dxfId="6472" priority="2" operator="equal">
      <formula>"PMS"</formula>
    </cfRule>
    <cfRule type="containsText" dxfId="6471" priority="3" operator="containsText" text="CMS">
      <formula>NOT(ISERROR(SEARCH("CMS",F79)))</formula>
    </cfRule>
    <cfRule type="cellIs" dxfId="6470" priority="4" operator="equal">
      <formula>0</formula>
    </cfRule>
    <cfRule type="cellIs" dxfId="6469" priority="5" operator="greaterThan">
      <formula>0</formula>
    </cfRule>
  </conditionalFormatting>
  <conditionalFormatting sqref="O112:AC112">
    <cfRule type="cellIs" dxfId="6468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6704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5B4EC-7E33-48F4-9E2D-3E8C41A9CD0D}">
  <sheetPr codeName="Sheet167"/>
  <dimension ref="A2:DT141"/>
  <sheetViews>
    <sheetView zoomScale="70" zoomScaleNormal="70" zoomScaleSheetLayoutView="51" zoomScalePageLayoutView="55" workbookViewId="0">
      <pane xSplit="5" ySplit="11" topLeftCell="F32" activePane="bottomRight" state="frozen"/>
      <selection pane="bottomRight" activeCell="Y106" sqref="Y106"/>
      <selection pane="bottomLeft" activeCell="AJ44" sqref="AJ44"/>
      <selection pane="topRight" activeCell="AJ44" sqref="AJ4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23"/>
      <c r="N8" s="523"/>
      <c r="O8" s="52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24" t="e" cm="1">
        <f t="array" aca="1" ref="M9" ca="1">TEXT(TODAY(),"mmmm")&amp;" "&amp;MID(CELL("filename",A1),FIND("]",CELL("filename",A1))+1,255)&amp;", "&amp;TEXT(TODAY(),"yyyy")</f>
        <v>#VALUE!</v>
      </c>
      <c r="N9" s="524"/>
      <c r="O9" s="524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4"/>
      <c r="R10" s="344"/>
      <c r="S10" s="344"/>
      <c r="T10" s="344"/>
      <c r="U10" s="344"/>
      <c r="V10" s="344"/>
      <c r="W10" s="344"/>
      <c r="X10" s="344"/>
      <c r="Y10" s="344"/>
      <c r="Z10" s="344"/>
      <c r="AA10" s="344"/>
      <c r="AB10" s="344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17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521.50000000000011</v>
      </c>
    </row>
    <row r="13" spans="1:41">
      <c r="A13" s="14" t="s">
        <v>22</v>
      </c>
      <c r="B13" s="15"/>
      <c r="C13" s="15">
        <v>7.2</v>
      </c>
      <c r="D13" s="15"/>
      <c r="E13" s="15"/>
      <c r="F13" s="372">
        <v>0</v>
      </c>
      <c r="G13" s="372">
        <v>1.5</v>
      </c>
      <c r="H13" s="372">
        <v>6.4</v>
      </c>
      <c r="I13" s="372">
        <v>6.7</v>
      </c>
      <c r="J13" s="372">
        <v>6.4</v>
      </c>
      <c r="K13" s="372">
        <v>6.5</v>
      </c>
      <c r="L13" s="374">
        <v>6.7</v>
      </c>
      <c r="M13" s="372">
        <v>6.6</v>
      </c>
      <c r="N13" s="372">
        <v>6.7</v>
      </c>
      <c r="O13" s="372">
        <v>6.9</v>
      </c>
      <c r="P13" s="372">
        <v>7.1</v>
      </c>
      <c r="Q13" s="372">
        <v>6.5</v>
      </c>
      <c r="R13" s="372">
        <v>6.5</v>
      </c>
      <c r="S13" s="372">
        <v>6.5</v>
      </c>
      <c r="T13" s="372">
        <v>6.5</v>
      </c>
      <c r="U13" s="372">
        <v>6.6</v>
      </c>
      <c r="V13" s="372">
        <v>6.7</v>
      </c>
      <c r="W13" s="372">
        <v>6.4</v>
      </c>
      <c r="X13" s="372">
        <v>7</v>
      </c>
      <c r="Y13" s="372">
        <v>5.7</v>
      </c>
      <c r="Z13" s="372">
        <v>6.6</v>
      </c>
      <c r="AA13" s="372">
        <v>6.8</v>
      </c>
      <c r="AB13" s="372">
        <v>6.9</v>
      </c>
      <c r="AC13" s="372">
        <v>6.6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1">
      <c r="A14" s="14" t="s">
        <v>23</v>
      </c>
      <c r="B14" s="15"/>
      <c r="C14" s="15">
        <v>7.2</v>
      </c>
      <c r="D14" s="15"/>
      <c r="E14" s="15"/>
      <c r="F14" s="372">
        <v>6.6</v>
      </c>
      <c r="G14" s="372">
        <v>6.1</v>
      </c>
      <c r="H14" s="374">
        <v>6.4</v>
      </c>
      <c r="I14" s="372">
        <v>6.7</v>
      </c>
      <c r="J14" s="372">
        <v>6.4</v>
      </c>
      <c r="K14" s="372">
        <v>6.5</v>
      </c>
      <c r="L14" s="372">
        <v>6.7</v>
      </c>
      <c r="M14" s="372">
        <v>6.6</v>
      </c>
      <c r="N14" s="372">
        <v>6.8</v>
      </c>
      <c r="O14" s="372">
        <v>6.8</v>
      </c>
      <c r="P14" s="372">
        <v>7.1</v>
      </c>
      <c r="Q14" s="372">
        <v>6.6</v>
      </c>
      <c r="R14" s="372">
        <v>6.6</v>
      </c>
      <c r="S14" s="372">
        <v>6.7</v>
      </c>
      <c r="T14" s="372">
        <v>6.5</v>
      </c>
      <c r="U14" s="372">
        <v>6.7</v>
      </c>
      <c r="V14" s="372">
        <v>6.7</v>
      </c>
      <c r="W14" s="372">
        <v>6.3</v>
      </c>
      <c r="X14" s="372"/>
      <c r="Y14" s="372"/>
      <c r="Z14" s="372"/>
      <c r="AA14" s="372"/>
      <c r="AB14" s="372"/>
      <c r="AC14" s="372"/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18</v>
      </c>
    </row>
    <row r="15" spans="1:41">
      <c r="A15" s="66" t="s">
        <v>24</v>
      </c>
      <c r="B15" s="15"/>
      <c r="C15" s="15">
        <v>7.2</v>
      </c>
      <c r="D15" s="15"/>
      <c r="E15" s="15"/>
      <c r="F15" s="372">
        <v>6.6</v>
      </c>
      <c r="G15" s="372">
        <v>6.1</v>
      </c>
      <c r="H15" s="374"/>
      <c r="I15" s="372"/>
      <c r="J15" s="372"/>
      <c r="K15" s="374"/>
      <c r="L15" s="374"/>
      <c r="M15" s="374"/>
      <c r="N15" s="372"/>
      <c r="O15" s="372"/>
      <c r="P15" s="372"/>
      <c r="Q15" s="372">
        <v>5.9</v>
      </c>
      <c r="R15" s="372">
        <v>6.5</v>
      </c>
      <c r="S15" s="372">
        <v>6.6</v>
      </c>
      <c r="T15" s="372">
        <v>6.5</v>
      </c>
      <c r="U15" s="372">
        <v>6.5</v>
      </c>
      <c r="V15" s="372">
        <v>6.6</v>
      </c>
      <c r="W15" s="372">
        <v>6.3</v>
      </c>
      <c r="X15" s="372">
        <v>7.1</v>
      </c>
      <c r="Y15" s="372">
        <v>5.7</v>
      </c>
      <c r="Z15" s="372">
        <v>6.6</v>
      </c>
      <c r="AA15" s="372">
        <v>6.8</v>
      </c>
      <c r="AB15" s="372">
        <v>6.9</v>
      </c>
      <c r="AC15" s="372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15</v>
      </c>
    </row>
    <row r="16" spans="1:41">
      <c r="A16" s="14" t="s">
        <v>25</v>
      </c>
      <c r="B16" s="15"/>
      <c r="C16" s="15">
        <v>7.2</v>
      </c>
      <c r="D16" s="15"/>
      <c r="E16" s="15"/>
      <c r="F16" s="372">
        <v>6.6</v>
      </c>
      <c r="G16" s="372">
        <v>6.1</v>
      </c>
      <c r="H16" s="374">
        <v>6.4</v>
      </c>
      <c r="I16" s="372">
        <v>6.7</v>
      </c>
      <c r="J16" s="372">
        <v>6.4</v>
      </c>
      <c r="K16" s="374">
        <v>6.5</v>
      </c>
      <c r="L16" s="374">
        <v>6.7</v>
      </c>
      <c r="M16" s="374">
        <v>6.6</v>
      </c>
      <c r="N16" s="372">
        <v>6.7</v>
      </c>
      <c r="O16" s="372">
        <v>6.9</v>
      </c>
      <c r="P16" s="372">
        <v>7</v>
      </c>
      <c r="Q16" s="372">
        <v>6.7</v>
      </c>
      <c r="R16" s="372">
        <v>6.6</v>
      </c>
      <c r="S16" s="372">
        <v>6.6</v>
      </c>
      <c r="T16" s="372">
        <v>6.5</v>
      </c>
      <c r="U16" s="372">
        <v>6.7</v>
      </c>
      <c r="V16" s="372">
        <v>6.7</v>
      </c>
      <c r="W16" s="372">
        <v>6.5</v>
      </c>
      <c r="X16" s="372">
        <v>7.1</v>
      </c>
      <c r="Y16" s="372">
        <v>5.7</v>
      </c>
      <c r="Z16" s="372">
        <v>6.6</v>
      </c>
      <c r="AA16" s="372">
        <v>6.8</v>
      </c>
      <c r="AB16" s="372">
        <v>6.9</v>
      </c>
      <c r="AC16" s="372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19.799999999999997</v>
      </c>
      <c r="G17" s="19">
        <f t="shared" si="0"/>
        <v>19.799999999999997</v>
      </c>
      <c r="H17" s="19">
        <f t="shared" si="0"/>
        <v>19.200000000000003</v>
      </c>
      <c r="I17" s="19">
        <f t="shared" si="0"/>
        <v>20.100000000000001</v>
      </c>
      <c r="J17" s="19">
        <f t="shared" si="0"/>
        <v>19.200000000000003</v>
      </c>
      <c r="K17" s="19">
        <f t="shared" si="0"/>
        <v>19.5</v>
      </c>
      <c r="L17" s="19">
        <f t="shared" si="0"/>
        <v>20.100000000000001</v>
      </c>
      <c r="M17" s="19">
        <f t="shared" si="0"/>
        <v>19.799999999999997</v>
      </c>
      <c r="N17" s="19">
        <f t="shared" si="0"/>
        <v>20.2</v>
      </c>
      <c r="O17" s="19">
        <f t="shared" si="0"/>
        <v>20.6</v>
      </c>
      <c r="P17" s="19">
        <f t="shared" si="0"/>
        <v>21.2</v>
      </c>
      <c r="Q17" s="19">
        <f t="shared" si="0"/>
        <v>25.7</v>
      </c>
      <c r="R17" s="19">
        <f t="shared" si="0"/>
        <v>26.200000000000003</v>
      </c>
      <c r="S17" s="19">
        <f t="shared" si="0"/>
        <v>26.4</v>
      </c>
      <c r="T17" s="19">
        <f t="shared" si="0"/>
        <v>26</v>
      </c>
      <c r="U17" s="19">
        <f t="shared" si="0"/>
        <v>26.5</v>
      </c>
      <c r="V17" s="19">
        <f t="shared" si="0"/>
        <v>26.7</v>
      </c>
      <c r="W17" s="19">
        <f t="shared" si="0"/>
        <v>25.5</v>
      </c>
      <c r="X17" s="19">
        <f t="shared" si="0"/>
        <v>21.2</v>
      </c>
      <c r="Y17" s="19">
        <f t="shared" si="0"/>
        <v>17.100000000000001</v>
      </c>
      <c r="Z17" s="19">
        <f t="shared" si="0"/>
        <v>19.799999999999997</v>
      </c>
      <c r="AA17" s="19">
        <f t="shared" si="0"/>
        <v>20.399999999999999</v>
      </c>
      <c r="AB17" s="19">
        <f t="shared" si="0"/>
        <v>20.700000000000003</v>
      </c>
      <c r="AC17" s="19">
        <f t="shared" si="0"/>
        <v>19.799999999999997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99.899999999999963</v>
      </c>
    </row>
    <row r="19" spans="1:51">
      <c r="A19" s="14" t="s">
        <v>22</v>
      </c>
      <c r="B19" s="15"/>
      <c r="C19" s="15">
        <v>3</v>
      </c>
      <c r="D19" s="15"/>
      <c r="E19" s="15"/>
      <c r="F19" s="372"/>
      <c r="G19" s="372"/>
      <c r="H19" s="372"/>
      <c r="I19" s="372"/>
      <c r="J19" s="372"/>
      <c r="K19" s="374"/>
      <c r="L19" s="374"/>
      <c r="M19" s="374"/>
      <c r="N19" s="374"/>
      <c r="O19" s="372">
        <v>2.8</v>
      </c>
      <c r="P19" s="374">
        <v>2.9</v>
      </c>
      <c r="Q19" s="372">
        <v>2.8</v>
      </c>
      <c r="R19" s="372">
        <v>2.8</v>
      </c>
      <c r="S19" s="372">
        <v>2.8</v>
      </c>
      <c r="T19" s="372">
        <v>2.8</v>
      </c>
      <c r="U19" s="372">
        <v>2.8</v>
      </c>
      <c r="V19" s="372">
        <v>2.8</v>
      </c>
      <c r="W19" s="372">
        <v>2.8</v>
      </c>
      <c r="X19" s="372">
        <v>2.8</v>
      </c>
      <c r="Y19" s="372">
        <v>2</v>
      </c>
      <c r="Z19" s="372">
        <v>2.8</v>
      </c>
      <c r="AA19" s="372">
        <v>2.8</v>
      </c>
      <c r="AB19" s="372">
        <v>2.8</v>
      </c>
      <c r="AC19" s="372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14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372"/>
      <c r="G20" s="372"/>
      <c r="H20" s="372"/>
      <c r="I20" s="372"/>
      <c r="J20" s="372"/>
      <c r="K20" s="374"/>
      <c r="L20" s="374"/>
      <c r="M20" s="374"/>
      <c r="N20" s="372"/>
      <c r="O20" s="372"/>
      <c r="P20" s="372"/>
      <c r="Q20" s="372"/>
      <c r="R20" s="372"/>
      <c r="S20" s="372"/>
      <c r="T20" s="372"/>
      <c r="U20" s="372"/>
      <c r="V20" s="372"/>
      <c r="W20" s="372"/>
      <c r="X20" s="372"/>
      <c r="Y20" s="372"/>
      <c r="Z20" s="372"/>
      <c r="AA20" s="372"/>
      <c r="AB20" s="372"/>
      <c r="AC20" s="372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2">
        <v>0</v>
      </c>
      <c r="G21" s="372">
        <v>0</v>
      </c>
      <c r="H21" s="372">
        <v>0</v>
      </c>
      <c r="I21" s="372">
        <v>0</v>
      </c>
      <c r="J21" s="372">
        <v>0</v>
      </c>
      <c r="K21" s="374">
        <v>0</v>
      </c>
      <c r="L21" s="374">
        <v>0</v>
      </c>
      <c r="M21" s="374">
        <v>1.5</v>
      </c>
      <c r="N21" s="372">
        <v>3.8</v>
      </c>
      <c r="O21" s="372">
        <v>3.8</v>
      </c>
      <c r="P21" s="372">
        <v>4</v>
      </c>
      <c r="Q21" s="372">
        <v>3.8</v>
      </c>
      <c r="R21" s="372">
        <v>3.8</v>
      </c>
      <c r="S21" s="372">
        <v>3.8</v>
      </c>
      <c r="T21" s="372">
        <v>3.8</v>
      </c>
      <c r="U21" s="372">
        <v>3.8</v>
      </c>
      <c r="V21" s="372">
        <v>3.8</v>
      </c>
      <c r="W21" s="372">
        <v>3.8</v>
      </c>
      <c r="X21" s="372">
        <v>3.8</v>
      </c>
      <c r="Y21" s="372">
        <v>3</v>
      </c>
      <c r="Z21" s="372">
        <v>3.8</v>
      </c>
      <c r="AA21" s="372">
        <v>3.8</v>
      </c>
      <c r="AB21" s="372">
        <v>3.8</v>
      </c>
      <c r="AC21" s="372">
        <v>3.5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1.5</v>
      </c>
      <c r="N22" s="19">
        <f t="shared" si="1"/>
        <v>3.8</v>
      </c>
      <c r="O22" s="19">
        <f t="shared" si="1"/>
        <v>6.6</v>
      </c>
      <c r="P22" s="19">
        <f t="shared" si="1"/>
        <v>6.9</v>
      </c>
      <c r="Q22" s="19">
        <f t="shared" si="1"/>
        <v>6.6</v>
      </c>
      <c r="R22" s="19">
        <f t="shared" si="1"/>
        <v>6.6</v>
      </c>
      <c r="S22" s="19">
        <f>SUM(S19:S21)</f>
        <v>6.6</v>
      </c>
      <c r="T22" s="19">
        <f t="shared" ref="T22" si="2">SUM(T19:T21)</f>
        <v>6.6</v>
      </c>
      <c r="U22" s="19">
        <f t="shared" si="1"/>
        <v>6.6</v>
      </c>
      <c r="V22" s="19">
        <f t="shared" si="1"/>
        <v>6.6</v>
      </c>
      <c r="W22" s="19">
        <f t="shared" si="1"/>
        <v>6.6</v>
      </c>
      <c r="X22" s="19">
        <f t="shared" si="1"/>
        <v>6.6</v>
      </c>
      <c r="Y22" s="19">
        <f t="shared" si="1"/>
        <v>5</v>
      </c>
      <c r="Z22" s="19">
        <f t="shared" si="1"/>
        <v>6.6</v>
      </c>
      <c r="AA22" s="19">
        <f t="shared" si="1"/>
        <v>6.6</v>
      </c>
      <c r="AB22" s="19">
        <f>SUM(AB19:AB21)</f>
        <v>6.6</v>
      </c>
      <c r="AC22" s="19">
        <f t="shared" si="1"/>
        <v>3.5</v>
      </c>
      <c r="AD22" s="41"/>
      <c r="AE22" s="41"/>
      <c r="AF22" s="11"/>
      <c r="AG22" s="11"/>
      <c r="AH22" s="11"/>
      <c r="AI22" s="400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409">
        <f>SUM(F24:AC24)</f>
        <v>61.399999999999984</v>
      </c>
    </row>
    <row r="24" spans="1:51">
      <c r="A24" s="14" t="s">
        <v>22</v>
      </c>
      <c r="B24" s="20"/>
      <c r="C24" s="15">
        <v>4.5</v>
      </c>
      <c r="D24" s="15"/>
      <c r="E24" s="15"/>
      <c r="F24" s="372">
        <v>3.8</v>
      </c>
      <c r="G24" s="372"/>
      <c r="H24" s="372"/>
      <c r="I24" s="372"/>
      <c r="J24" s="372"/>
      <c r="K24" s="374"/>
      <c r="L24" s="374"/>
      <c r="M24" s="374"/>
      <c r="N24" s="372">
        <v>2</v>
      </c>
      <c r="O24" s="372">
        <v>3.8</v>
      </c>
      <c r="P24" s="372">
        <v>3.8</v>
      </c>
      <c r="Q24" s="374">
        <v>3.8</v>
      </c>
      <c r="R24" s="372">
        <v>3.8</v>
      </c>
      <c r="S24" s="372">
        <v>3.8</v>
      </c>
      <c r="T24" s="372">
        <v>3.8</v>
      </c>
      <c r="U24" s="372">
        <v>3.8</v>
      </c>
      <c r="V24" s="372">
        <v>3.8</v>
      </c>
      <c r="W24" s="372">
        <v>3.8</v>
      </c>
      <c r="X24" s="372">
        <v>3.8</v>
      </c>
      <c r="Y24" s="372">
        <v>3.2</v>
      </c>
      <c r="Z24" s="372">
        <v>3.8</v>
      </c>
      <c r="AA24" s="372">
        <v>3.8</v>
      </c>
      <c r="AB24" s="372">
        <v>3.8</v>
      </c>
      <c r="AC24" s="372">
        <v>3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17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3">SUM(F24)</f>
        <v>3.8</v>
      </c>
      <c r="G25" s="19">
        <f t="shared" ref="G25:AC25" si="4">SUM(G24)</f>
        <v>0</v>
      </c>
      <c r="H25" s="19">
        <f t="shared" si="4"/>
        <v>0</v>
      </c>
      <c r="I25" s="19">
        <f t="shared" si="4"/>
        <v>0</v>
      </c>
      <c r="J25" s="19">
        <f t="shared" si="4"/>
        <v>0</v>
      </c>
      <c r="K25" s="19">
        <f t="shared" si="4"/>
        <v>0</v>
      </c>
      <c r="L25" s="19">
        <f t="shared" si="4"/>
        <v>0</v>
      </c>
      <c r="M25" s="19">
        <f t="shared" si="4"/>
        <v>0</v>
      </c>
      <c r="N25" s="19">
        <f t="shared" si="4"/>
        <v>2</v>
      </c>
      <c r="O25" s="19">
        <f t="shared" si="4"/>
        <v>3.8</v>
      </c>
      <c r="P25" s="19">
        <f t="shared" si="4"/>
        <v>3.8</v>
      </c>
      <c r="Q25" s="19">
        <f t="shared" si="4"/>
        <v>3.8</v>
      </c>
      <c r="R25" s="19">
        <f t="shared" si="4"/>
        <v>3.8</v>
      </c>
      <c r="S25" s="19">
        <f t="shared" si="4"/>
        <v>3.8</v>
      </c>
      <c r="T25" s="19">
        <f t="shared" si="4"/>
        <v>3.8</v>
      </c>
      <c r="U25" s="19">
        <f t="shared" si="4"/>
        <v>3.8</v>
      </c>
      <c r="V25" s="19">
        <f t="shared" si="4"/>
        <v>3.8</v>
      </c>
      <c r="W25" s="19">
        <f t="shared" si="4"/>
        <v>3.8</v>
      </c>
      <c r="X25" s="19">
        <f t="shared" si="4"/>
        <v>3.8</v>
      </c>
      <c r="Y25" s="19">
        <f t="shared" si="4"/>
        <v>3.2</v>
      </c>
      <c r="Z25" s="19">
        <f t="shared" si="4"/>
        <v>3.8</v>
      </c>
      <c r="AA25" s="19">
        <f t="shared" si="4"/>
        <v>3.8</v>
      </c>
      <c r="AB25" s="19">
        <f t="shared" si="4"/>
        <v>3.8</v>
      </c>
      <c r="AC25" s="19">
        <f t="shared" si="4"/>
        <v>3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114.49999999999999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2" t="s">
        <v>9</v>
      </c>
      <c r="G27" s="372" t="s">
        <v>9</v>
      </c>
      <c r="H27" s="372" t="s">
        <v>9</v>
      </c>
      <c r="I27" s="372" t="s">
        <v>9</v>
      </c>
      <c r="J27" s="374" t="s">
        <v>9</v>
      </c>
      <c r="K27" s="374" t="s">
        <v>9</v>
      </c>
      <c r="L27" s="374" t="s">
        <v>9</v>
      </c>
      <c r="M27" s="374" t="s">
        <v>9</v>
      </c>
      <c r="N27" s="372" t="s">
        <v>9</v>
      </c>
      <c r="O27" s="372" t="s">
        <v>9</v>
      </c>
      <c r="P27" s="372" t="s">
        <v>9</v>
      </c>
      <c r="Q27" s="372" t="s">
        <v>9</v>
      </c>
      <c r="R27" s="372" t="s">
        <v>9</v>
      </c>
      <c r="S27" s="372" t="s">
        <v>9</v>
      </c>
      <c r="T27" s="372" t="s">
        <v>9</v>
      </c>
      <c r="U27" s="374" t="s">
        <v>9</v>
      </c>
      <c r="V27" s="372" t="s">
        <v>9</v>
      </c>
      <c r="W27" s="372">
        <v>1.8</v>
      </c>
      <c r="X27" s="372">
        <v>2.7</v>
      </c>
      <c r="Y27" s="372">
        <v>2.2000000000000002</v>
      </c>
      <c r="Z27" s="372">
        <v>3.8</v>
      </c>
      <c r="AA27" s="372">
        <v>4</v>
      </c>
      <c r="AB27" s="372">
        <v>4.0999999999999996</v>
      </c>
      <c r="AC27" s="372">
        <v>4</v>
      </c>
      <c r="AD27" s="41"/>
      <c r="AE27" s="41"/>
      <c r="AF27" s="11">
        <f>COUNTIF(F27:AC27,$AJ$8)</f>
        <v>17</v>
      </c>
      <c r="AG27" s="11">
        <f>COUNTIF(G27:AD27,$AJ$7)</f>
        <v>0</v>
      </c>
      <c r="AH27" s="11">
        <f>COUNT(F27:AC27)</f>
        <v>7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2">
        <v>4.4000000000000004</v>
      </c>
      <c r="G28" s="372">
        <v>4.2</v>
      </c>
      <c r="H28" s="372">
        <v>4.0999999999999996</v>
      </c>
      <c r="I28" s="372">
        <v>4.3</v>
      </c>
      <c r="J28" s="372">
        <v>3.8</v>
      </c>
      <c r="K28" s="374">
        <v>3.9</v>
      </c>
      <c r="L28" s="374">
        <v>3.9</v>
      </c>
      <c r="M28" s="374">
        <v>3.9</v>
      </c>
      <c r="N28" s="372">
        <v>4</v>
      </c>
      <c r="O28" s="372">
        <v>4.2</v>
      </c>
      <c r="P28" s="372">
        <v>4.2</v>
      </c>
      <c r="Q28" s="372">
        <v>4.5</v>
      </c>
      <c r="R28" s="372">
        <v>4.5</v>
      </c>
      <c r="S28" s="374">
        <v>4.5</v>
      </c>
      <c r="T28" s="372">
        <v>4.5</v>
      </c>
      <c r="U28" s="374">
        <v>4.5</v>
      </c>
      <c r="V28" s="372">
        <v>4.5</v>
      </c>
      <c r="W28" s="372">
        <v>2.8</v>
      </c>
      <c r="X28" s="372">
        <v>2.2000000000000002</v>
      </c>
      <c r="Y28" s="372">
        <v>1.2</v>
      </c>
      <c r="Z28" s="372">
        <v>2.6</v>
      </c>
      <c r="AA28" s="372">
        <v>3</v>
      </c>
      <c r="AB28" s="372">
        <v>4.2</v>
      </c>
      <c r="AC28" s="372">
        <v>4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54.199999999999996</v>
      </c>
    </row>
    <row r="29" spans="1:51" ht="15" customHeight="1">
      <c r="A29" s="14" t="s">
        <v>30</v>
      </c>
      <c r="B29" s="369"/>
      <c r="C29" s="370">
        <v>8.8000000000000007</v>
      </c>
      <c r="D29" s="371"/>
      <c r="E29" s="371"/>
      <c r="F29" s="372"/>
      <c r="G29" s="372"/>
      <c r="H29" s="372"/>
      <c r="I29" s="372"/>
      <c r="J29" s="372"/>
      <c r="K29" s="374"/>
      <c r="L29" s="374"/>
      <c r="M29" s="374"/>
      <c r="N29" s="374"/>
      <c r="O29" s="374"/>
      <c r="P29" s="374">
        <v>7.2</v>
      </c>
      <c r="Q29" s="374">
        <v>6</v>
      </c>
      <c r="R29" s="374">
        <v>5.5</v>
      </c>
      <c r="S29" s="374">
        <v>5.6</v>
      </c>
      <c r="T29" s="374">
        <v>6.6</v>
      </c>
      <c r="U29" s="374">
        <v>6.8</v>
      </c>
      <c r="V29" s="374">
        <v>6.8</v>
      </c>
      <c r="W29" s="372">
        <v>3.2</v>
      </c>
      <c r="X29" s="372">
        <v>6.5</v>
      </c>
      <c r="Y29" s="372" t="s">
        <v>9</v>
      </c>
      <c r="Z29" s="372" t="s">
        <v>9</v>
      </c>
      <c r="AA29" s="372"/>
      <c r="AB29" s="372"/>
      <c r="AC29" s="372"/>
    </row>
    <row r="30" spans="1:51" ht="15" customHeight="1">
      <c r="A30" s="14" t="s">
        <v>31</v>
      </c>
      <c r="B30" s="369"/>
      <c r="C30" s="370">
        <v>8.8000000000000007</v>
      </c>
      <c r="D30" s="371"/>
      <c r="E30" s="371"/>
      <c r="F30" s="372"/>
      <c r="G30" s="372"/>
      <c r="H30" s="372"/>
      <c r="I30" s="372"/>
      <c r="J30" s="372"/>
      <c r="K30" s="374"/>
      <c r="L30" s="374"/>
      <c r="M30" s="374"/>
      <c r="N30" s="372"/>
      <c r="O30" s="372"/>
      <c r="P30" s="372"/>
      <c r="Q30" s="372"/>
      <c r="R30" s="372"/>
      <c r="S30" s="372"/>
      <c r="T30" s="372"/>
      <c r="U30" s="372"/>
      <c r="V30" s="372"/>
      <c r="W30" s="372"/>
      <c r="X30" s="372"/>
      <c r="Y30" s="372"/>
      <c r="Z30" s="372"/>
      <c r="AA30" s="372"/>
      <c r="AB30" s="372"/>
      <c r="AC30" s="372"/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:AC31" si="5">SUM(F27:F29)</f>
        <v>4.4000000000000004</v>
      </c>
      <c r="G31" s="19">
        <f t="shared" si="5"/>
        <v>4.2</v>
      </c>
      <c r="H31" s="19">
        <f t="shared" si="5"/>
        <v>4.0999999999999996</v>
      </c>
      <c r="I31" s="19">
        <f t="shared" si="5"/>
        <v>4.3</v>
      </c>
      <c r="J31" s="19">
        <f t="shared" si="5"/>
        <v>3.8</v>
      </c>
      <c r="K31" s="19">
        <f t="shared" si="5"/>
        <v>3.9</v>
      </c>
      <c r="L31" s="19">
        <f t="shared" si="5"/>
        <v>3.9</v>
      </c>
      <c r="M31" s="19">
        <f t="shared" si="5"/>
        <v>3.9</v>
      </c>
      <c r="N31" s="19">
        <f t="shared" si="5"/>
        <v>4</v>
      </c>
      <c r="O31" s="19">
        <f t="shared" si="5"/>
        <v>4.2</v>
      </c>
      <c r="P31" s="19">
        <f t="shared" si="5"/>
        <v>11.4</v>
      </c>
      <c r="Q31" s="19">
        <f t="shared" si="5"/>
        <v>10.5</v>
      </c>
      <c r="R31" s="19">
        <f t="shared" si="5"/>
        <v>10</v>
      </c>
      <c r="S31" s="19">
        <f t="shared" si="5"/>
        <v>10.1</v>
      </c>
      <c r="T31" s="19">
        <f>SUM(T27:T29)</f>
        <v>11.1</v>
      </c>
      <c r="U31" s="19">
        <f t="shared" si="5"/>
        <v>11.3</v>
      </c>
      <c r="V31" s="19">
        <f t="shared" si="5"/>
        <v>11.3</v>
      </c>
      <c r="W31" s="19">
        <f t="shared" si="5"/>
        <v>7.8</v>
      </c>
      <c r="X31" s="19">
        <f t="shared" si="5"/>
        <v>11.4</v>
      </c>
      <c r="Y31" s="19">
        <f t="shared" si="5"/>
        <v>3.4000000000000004</v>
      </c>
      <c r="Z31" s="19">
        <f t="shared" si="5"/>
        <v>6.4</v>
      </c>
      <c r="AA31" s="19">
        <f t="shared" si="5"/>
        <v>7</v>
      </c>
      <c r="AB31" s="19">
        <f t="shared" si="5"/>
        <v>8.3000000000000007</v>
      </c>
      <c r="AC31" s="19">
        <f t="shared" si="5"/>
        <v>8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339.39</v>
      </c>
    </row>
    <row r="33" spans="1:36">
      <c r="A33" s="14" t="s">
        <v>22</v>
      </c>
      <c r="B33" s="15"/>
      <c r="C33" s="15">
        <v>15</v>
      </c>
      <c r="D33" s="15"/>
      <c r="E33" s="15"/>
      <c r="F33" s="372">
        <v>14.27</v>
      </c>
      <c r="G33" s="372">
        <v>14.23</v>
      </c>
      <c r="H33" s="374">
        <v>13.34</v>
      </c>
      <c r="I33" s="372">
        <v>13.37</v>
      </c>
      <c r="J33" s="372">
        <v>13.34</v>
      </c>
      <c r="K33" s="374">
        <v>13.37</v>
      </c>
      <c r="L33" s="374">
        <v>14.18</v>
      </c>
      <c r="M33" s="374">
        <v>14.33</v>
      </c>
      <c r="N33" s="372">
        <v>14.29</v>
      </c>
      <c r="O33" s="372">
        <v>14.31</v>
      </c>
      <c r="P33" s="372">
        <v>14.28</v>
      </c>
      <c r="Q33" s="372">
        <v>14.43</v>
      </c>
      <c r="R33" s="372">
        <v>14.31</v>
      </c>
      <c r="S33" s="372">
        <v>14.27</v>
      </c>
      <c r="T33" s="372">
        <v>14.29</v>
      </c>
      <c r="U33" s="372">
        <v>14.32</v>
      </c>
      <c r="V33" s="372">
        <v>14.33</v>
      </c>
      <c r="W33" s="374">
        <v>14.28</v>
      </c>
      <c r="X33" s="372">
        <v>14.31</v>
      </c>
      <c r="Y33" s="372">
        <v>14.31</v>
      </c>
      <c r="Z33" s="372">
        <v>14.32</v>
      </c>
      <c r="AA33" s="372">
        <v>14.28</v>
      </c>
      <c r="AB33" s="372">
        <v>14.31</v>
      </c>
      <c r="AC33" s="372">
        <v>14.32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6">SUM(F33)</f>
        <v>14.27</v>
      </c>
      <c r="G34" s="19">
        <f t="shared" ref="G34:AC34" si="7">SUM(G33)</f>
        <v>14.23</v>
      </c>
      <c r="H34" s="19">
        <f t="shared" si="7"/>
        <v>13.34</v>
      </c>
      <c r="I34" s="19">
        <f t="shared" si="7"/>
        <v>13.37</v>
      </c>
      <c r="J34" s="19">
        <f t="shared" si="7"/>
        <v>13.34</v>
      </c>
      <c r="K34" s="19">
        <f t="shared" si="7"/>
        <v>13.37</v>
      </c>
      <c r="L34" s="19">
        <f t="shared" si="7"/>
        <v>14.18</v>
      </c>
      <c r="M34" s="19">
        <f t="shared" si="7"/>
        <v>14.33</v>
      </c>
      <c r="N34" s="19">
        <f t="shared" si="7"/>
        <v>14.29</v>
      </c>
      <c r="O34" s="19">
        <f t="shared" si="7"/>
        <v>14.31</v>
      </c>
      <c r="P34" s="19">
        <f t="shared" si="7"/>
        <v>14.28</v>
      </c>
      <c r="Q34" s="19">
        <f t="shared" si="7"/>
        <v>14.43</v>
      </c>
      <c r="R34" s="19">
        <f t="shared" si="7"/>
        <v>14.31</v>
      </c>
      <c r="S34" s="19">
        <f t="shared" si="7"/>
        <v>14.27</v>
      </c>
      <c r="T34" s="19">
        <f t="shared" si="7"/>
        <v>14.29</v>
      </c>
      <c r="U34" s="19">
        <f t="shared" si="7"/>
        <v>14.32</v>
      </c>
      <c r="V34" s="19">
        <f t="shared" si="7"/>
        <v>14.33</v>
      </c>
      <c r="W34" s="19">
        <f t="shared" si="7"/>
        <v>14.28</v>
      </c>
      <c r="X34" s="19">
        <f t="shared" si="7"/>
        <v>14.31</v>
      </c>
      <c r="Y34" s="19">
        <f t="shared" si="7"/>
        <v>14.31</v>
      </c>
      <c r="Z34" s="19">
        <f t="shared" si="7"/>
        <v>14.32</v>
      </c>
      <c r="AA34" s="19">
        <f t="shared" si="7"/>
        <v>14.28</v>
      </c>
      <c r="AB34" s="19">
        <f t="shared" si="7"/>
        <v>14.31</v>
      </c>
      <c r="AC34" s="19">
        <f t="shared" si="7"/>
        <v>14.32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55"/>
      <c r="G35" s="455"/>
      <c r="H35" s="455"/>
      <c r="I35" s="455"/>
      <c r="J35" s="455"/>
      <c r="K35" s="455"/>
      <c r="L35" s="455"/>
      <c r="M35" s="455"/>
      <c r="N35" s="455"/>
      <c r="O35" s="455"/>
      <c r="P35" s="455"/>
      <c r="Q35" s="455"/>
      <c r="R35" s="455"/>
      <c r="S35" s="455"/>
      <c r="T35" s="455"/>
      <c r="U35" s="455"/>
      <c r="V35" s="455"/>
      <c r="W35" s="456"/>
      <c r="X35" s="455"/>
      <c r="Y35" s="455"/>
      <c r="Z35" s="455"/>
      <c r="AA35" s="455"/>
      <c r="AB35" s="455"/>
      <c r="AC35" s="455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36.100000000000016</v>
      </c>
      <c r="AJ35" t="s">
        <v>35</v>
      </c>
    </row>
    <row r="36" spans="1:36">
      <c r="A36" s="70" t="s">
        <v>36</v>
      </c>
      <c r="B36" s="15"/>
      <c r="C36" s="15"/>
      <c r="D36" s="15"/>
      <c r="E36" s="15"/>
      <c r="F36" s="372"/>
      <c r="G36" s="372"/>
      <c r="H36" s="372"/>
      <c r="I36" s="372"/>
      <c r="J36" s="372"/>
      <c r="K36" s="374"/>
      <c r="L36" s="374"/>
      <c r="M36" s="374"/>
      <c r="N36" s="372"/>
      <c r="O36" s="372"/>
      <c r="P36" s="372"/>
      <c r="Q36" s="372"/>
      <c r="R36" s="372"/>
      <c r="S36" s="372"/>
      <c r="T36" s="372"/>
      <c r="U36" s="372"/>
      <c r="V36" s="372"/>
      <c r="W36" s="372"/>
      <c r="X36" s="372"/>
      <c r="Y36" s="372"/>
      <c r="Z36" s="372"/>
      <c r="AA36" s="372"/>
      <c r="AB36" s="372"/>
      <c r="AC36" s="372"/>
      <c r="AD36" s="41"/>
      <c r="AE36" s="41"/>
      <c r="AF36" s="11">
        <f t="shared" ref="AF36:AF59" si="8">COUNTIF(F36:AC36,$AJ$8)</f>
        <v>0</v>
      </c>
      <c r="AG36" s="11">
        <f t="shared" ref="AG36:AG59" si="9">COUNTIF(G36:AD36,$AJ$7)</f>
        <v>0</v>
      </c>
      <c r="AH36" s="11">
        <f t="shared" ref="AH36:AH59" si="10">COUNT(F36:AC36)</f>
        <v>0</v>
      </c>
      <c r="AI36" s="159">
        <f>SUM(F36:AC38,F40:AC40,F45:AC59)</f>
        <v>23.099999999999987</v>
      </c>
      <c r="AJ36" t="s">
        <v>37</v>
      </c>
    </row>
    <row r="37" spans="1:36">
      <c r="A37" s="70" t="s">
        <v>38</v>
      </c>
      <c r="B37" s="15"/>
      <c r="C37" s="15"/>
      <c r="D37" s="15"/>
      <c r="E37" s="15"/>
      <c r="F37" s="372"/>
      <c r="G37" s="372"/>
      <c r="H37" s="372"/>
      <c r="I37" s="372"/>
      <c r="J37" s="372"/>
      <c r="K37" s="374"/>
      <c r="L37" s="374"/>
      <c r="M37" s="374"/>
      <c r="N37" s="372"/>
      <c r="O37" s="372"/>
      <c r="P37" s="372"/>
      <c r="Q37" s="372"/>
      <c r="R37" s="372"/>
      <c r="S37" s="372"/>
      <c r="T37" s="372"/>
      <c r="U37" s="372"/>
      <c r="V37" s="372"/>
      <c r="W37" s="372"/>
      <c r="X37" s="372"/>
      <c r="Y37" s="372"/>
      <c r="Z37" s="372"/>
      <c r="AA37" s="372"/>
      <c r="AB37" s="372"/>
      <c r="AC37" s="372"/>
      <c r="AD37" s="41"/>
      <c r="AE37" s="41"/>
      <c r="AF37" s="11">
        <f t="shared" si="8"/>
        <v>0</v>
      </c>
      <c r="AG37" s="11">
        <f t="shared" si="9"/>
        <v>0</v>
      </c>
      <c r="AH37" s="11">
        <f t="shared" si="10"/>
        <v>0</v>
      </c>
    </row>
    <row r="38" spans="1:36">
      <c r="A38" s="70" t="s">
        <v>39</v>
      </c>
      <c r="B38" s="15"/>
      <c r="C38" s="15"/>
      <c r="D38" s="15"/>
      <c r="E38" s="15"/>
      <c r="F38" s="372"/>
      <c r="G38" s="372"/>
      <c r="H38" s="372"/>
      <c r="I38" s="372"/>
      <c r="J38" s="372"/>
      <c r="K38" s="374"/>
      <c r="L38" s="374"/>
      <c r="M38" s="374"/>
      <c r="N38" s="372"/>
      <c r="O38" s="372"/>
      <c r="P38" s="372"/>
      <c r="Q38" s="372"/>
      <c r="R38" s="372"/>
      <c r="S38" s="372"/>
      <c r="T38" s="372"/>
      <c r="U38" s="372"/>
      <c r="V38" s="372"/>
      <c r="W38" s="372"/>
      <c r="X38" s="372"/>
      <c r="Y38" s="372"/>
      <c r="Z38" s="372"/>
      <c r="AA38" s="372"/>
      <c r="AB38" s="372"/>
      <c r="AC38" s="372"/>
      <c r="AD38" s="41"/>
      <c r="AE38" s="41"/>
      <c r="AF38" s="11">
        <f t="shared" si="8"/>
        <v>0</v>
      </c>
      <c r="AG38" s="11">
        <f t="shared" si="9"/>
        <v>0</v>
      </c>
      <c r="AH38" s="11">
        <f t="shared" si="10"/>
        <v>0</v>
      </c>
    </row>
    <row r="39" spans="1:36">
      <c r="A39" s="70">
        <v>34</v>
      </c>
      <c r="B39" s="15"/>
      <c r="C39" s="15"/>
      <c r="D39" s="15"/>
      <c r="E39" s="15"/>
      <c r="F39" s="372">
        <v>0.6</v>
      </c>
      <c r="G39" s="372">
        <v>0.6</v>
      </c>
      <c r="H39" s="372">
        <v>0.6</v>
      </c>
      <c r="I39" s="372"/>
      <c r="J39" s="372"/>
      <c r="K39" s="374"/>
      <c r="L39" s="374"/>
      <c r="M39" s="374"/>
      <c r="N39" s="372">
        <v>0.7</v>
      </c>
      <c r="O39" s="372" t="s">
        <v>9</v>
      </c>
      <c r="P39" s="372" t="s">
        <v>9</v>
      </c>
      <c r="Q39" s="372" t="s">
        <v>9</v>
      </c>
      <c r="R39" s="372" t="s">
        <v>9</v>
      </c>
      <c r="S39" s="372" t="s">
        <v>9</v>
      </c>
      <c r="T39" s="372" t="s">
        <v>9</v>
      </c>
      <c r="U39" s="372" t="s">
        <v>9</v>
      </c>
      <c r="V39" s="372" t="s">
        <v>9</v>
      </c>
      <c r="W39" s="372" t="s">
        <v>9</v>
      </c>
      <c r="X39" s="372" t="s">
        <v>9</v>
      </c>
      <c r="Y39" s="372" t="s">
        <v>9</v>
      </c>
      <c r="Z39" s="372" t="s">
        <v>9</v>
      </c>
      <c r="AA39" s="372" t="s">
        <v>9</v>
      </c>
      <c r="AB39" s="372" t="s">
        <v>9</v>
      </c>
      <c r="AC39" s="372" t="s">
        <v>9</v>
      </c>
      <c r="AD39" s="41"/>
      <c r="AE39" s="41"/>
      <c r="AF39" s="11">
        <f t="shared" si="8"/>
        <v>15</v>
      </c>
      <c r="AG39" s="11">
        <f t="shared" si="9"/>
        <v>0</v>
      </c>
      <c r="AH39" s="11">
        <f t="shared" si="10"/>
        <v>4</v>
      </c>
    </row>
    <row r="40" spans="1:36">
      <c r="A40" s="70">
        <v>35</v>
      </c>
      <c r="B40" s="15"/>
      <c r="C40" s="15">
        <v>0.85</v>
      </c>
      <c r="D40" s="15"/>
      <c r="E40" s="15"/>
      <c r="F40" s="372"/>
      <c r="G40" s="372"/>
      <c r="H40" s="372"/>
      <c r="I40" s="372"/>
      <c r="J40" s="372"/>
      <c r="K40" s="374"/>
      <c r="L40" s="374"/>
      <c r="M40" s="374"/>
      <c r="N40" s="372"/>
      <c r="O40" s="372"/>
      <c r="P40" s="372"/>
      <c r="Q40" s="372"/>
      <c r="R40" s="372"/>
      <c r="S40" s="372"/>
      <c r="T40" s="372"/>
      <c r="U40" s="372"/>
      <c r="V40" s="372"/>
      <c r="W40" s="372"/>
      <c r="X40" s="372"/>
      <c r="Y40" s="372"/>
      <c r="Z40" s="372"/>
      <c r="AA40" s="372"/>
      <c r="AB40" s="372"/>
      <c r="AC40" s="372"/>
      <c r="AD40" s="41"/>
      <c r="AE40" s="41"/>
      <c r="AF40" s="11">
        <f t="shared" si="8"/>
        <v>0</v>
      </c>
      <c r="AG40" s="11">
        <f t="shared" si="9"/>
        <v>0</v>
      </c>
      <c r="AH40" s="11">
        <f t="shared" si="10"/>
        <v>0</v>
      </c>
    </row>
    <row r="41" spans="1:36">
      <c r="A41" s="70">
        <v>36</v>
      </c>
      <c r="B41" s="15"/>
      <c r="C41" s="15">
        <v>1</v>
      </c>
      <c r="D41" s="15"/>
      <c r="E41" s="15"/>
      <c r="F41" s="372">
        <f t="shared" ref="F41:H42" si="11">2.2/3</f>
        <v>0.73333333333333339</v>
      </c>
      <c r="G41" s="372">
        <f t="shared" si="11"/>
        <v>0.73333333333333339</v>
      </c>
      <c r="H41" s="372">
        <f t="shared" si="11"/>
        <v>0.73333333333333339</v>
      </c>
      <c r="I41" s="372"/>
      <c r="J41" s="372"/>
      <c r="K41" s="374"/>
      <c r="L41" s="374"/>
      <c r="M41" s="374"/>
      <c r="N41" s="372"/>
      <c r="O41" s="372">
        <v>0.8</v>
      </c>
      <c r="P41" s="372">
        <v>0.8</v>
      </c>
      <c r="Q41" s="372">
        <f>1.4/2</f>
        <v>0.7</v>
      </c>
      <c r="R41" s="372">
        <v>0.7</v>
      </c>
      <c r="S41" s="372">
        <v>0.7</v>
      </c>
      <c r="T41" s="372">
        <v>0.7</v>
      </c>
      <c r="U41" s="372">
        <f>2.2/3</f>
        <v>0.73333333333333339</v>
      </c>
      <c r="V41" s="372">
        <f>2.2/3</f>
        <v>0.73333333333333339</v>
      </c>
      <c r="W41" s="372">
        <v>0.7</v>
      </c>
      <c r="X41" s="372">
        <v>0.7</v>
      </c>
      <c r="Y41" s="372">
        <v>0.7</v>
      </c>
      <c r="Z41" s="372">
        <v>0.75</v>
      </c>
      <c r="AA41" s="372">
        <v>0.75</v>
      </c>
      <c r="AB41" s="372"/>
      <c r="AC41" s="372"/>
      <c r="AD41" s="41"/>
      <c r="AE41" s="41"/>
      <c r="AF41" s="11">
        <f t="shared" si="8"/>
        <v>0</v>
      </c>
      <c r="AG41" s="11">
        <f t="shared" si="9"/>
        <v>0</v>
      </c>
      <c r="AH41" s="11">
        <f t="shared" si="10"/>
        <v>16</v>
      </c>
    </row>
    <row r="42" spans="1:36">
      <c r="A42" s="70">
        <v>37</v>
      </c>
      <c r="B42" s="15"/>
      <c r="C42" s="15">
        <v>1</v>
      </c>
      <c r="D42" s="15"/>
      <c r="E42" s="15"/>
      <c r="F42" s="372">
        <f t="shared" si="11"/>
        <v>0.73333333333333339</v>
      </c>
      <c r="G42" s="372">
        <f t="shared" si="11"/>
        <v>0.73333333333333339</v>
      </c>
      <c r="H42" s="372">
        <f t="shared" si="11"/>
        <v>0.73333333333333339</v>
      </c>
      <c r="I42" s="372">
        <v>0.7</v>
      </c>
      <c r="J42" s="372">
        <v>0.7</v>
      </c>
      <c r="K42" s="374">
        <v>0.7</v>
      </c>
      <c r="L42" s="374">
        <v>0.7</v>
      </c>
      <c r="M42" s="374">
        <v>0.7</v>
      </c>
      <c r="N42" s="372">
        <v>0.7</v>
      </c>
      <c r="O42" s="372">
        <v>0.8</v>
      </c>
      <c r="P42" s="372" t="s">
        <v>9</v>
      </c>
      <c r="Q42" s="372" t="s">
        <v>9</v>
      </c>
      <c r="R42" s="372" t="s">
        <v>9</v>
      </c>
      <c r="S42" s="372" t="s">
        <v>9</v>
      </c>
      <c r="T42" s="372">
        <v>0.7</v>
      </c>
      <c r="U42" s="372">
        <f>2.2/3</f>
        <v>0.73333333333333339</v>
      </c>
      <c r="V42" s="372">
        <f>2.2/3</f>
        <v>0.73333333333333339</v>
      </c>
      <c r="W42" s="372">
        <v>0.7</v>
      </c>
      <c r="X42" s="372">
        <v>0.7</v>
      </c>
      <c r="Y42" s="372">
        <v>0.7</v>
      </c>
      <c r="Z42" s="372">
        <v>0.75</v>
      </c>
      <c r="AA42" s="372">
        <v>0.75</v>
      </c>
      <c r="AB42" s="372"/>
      <c r="AC42" s="372"/>
      <c r="AD42" s="41"/>
      <c r="AE42" s="41"/>
      <c r="AF42" s="11">
        <f t="shared" si="8"/>
        <v>4</v>
      </c>
      <c r="AG42" s="11">
        <f t="shared" si="9"/>
        <v>0</v>
      </c>
      <c r="AH42" s="11">
        <f t="shared" si="10"/>
        <v>18</v>
      </c>
    </row>
    <row r="43" spans="1:36">
      <c r="A43" s="70">
        <v>38</v>
      </c>
      <c r="B43" s="15"/>
      <c r="C43" s="15"/>
      <c r="D43" s="15"/>
      <c r="E43" s="15"/>
      <c r="F43" s="372" t="s">
        <v>9</v>
      </c>
      <c r="G43" s="372" t="s">
        <v>9</v>
      </c>
      <c r="H43" s="372" t="s">
        <v>9</v>
      </c>
      <c r="I43" s="372" t="s">
        <v>9</v>
      </c>
      <c r="J43" s="372" t="s">
        <v>9</v>
      </c>
      <c r="K43" s="374" t="s">
        <v>9</v>
      </c>
      <c r="L43" s="374" t="s">
        <v>9</v>
      </c>
      <c r="M43" s="374" t="s">
        <v>9</v>
      </c>
      <c r="N43" s="372" t="s">
        <v>9</v>
      </c>
      <c r="O43" s="372" t="s">
        <v>9</v>
      </c>
      <c r="P43" s="372" t="s">
        <v>9</v>
      </c>
      <c r="Q43" s="372" t="s">
        <v>9</v>
      </c>
      <c r="R43" s="372" t="s">
        <v>9</v>
      </c>
      <c r="S43" s="372" t="s">
        <v>9</v>
      </c>
      <c r="T43" s="372" t="s">
        <v>9</v>
      </c>
      <c r="U43" s="372" t="s">
        <v>9</v>
      </c>
      <c r="V43" s="372" t="s">
        <v>9</v>
      </c>
      <c r="W43" s="372" t="s">
        <v>9</v>
      </c>
      <c r="X43" s="372" t="s">
        <v>9</v>
      </c>
      <c r="Y43" s="372" t="s">
        <v>9</v>
      </c>
      <c r="Z43" s="372" t="s">
        <v>9</v>
      </c>
      <c r="AA43" s="372" t="s">
        <v>9</v>
      </c>
      <c r="AB43" s="372" t="s">
        <v>9</v>
      </c>
      <c r="AC43" s="372" t="s">
        <v>9</v>
      </c>
      <c r="AD43" s="41"/>
      <c r="AE43" s="41"/>
      <c r="AF43" s="11">
        <f t="shared" si="8"/>
        <v>24</v>
      </c>
      <c r="AG43" s="11">
        <f t="shared" si="9"/>
        <v>0</v>
      </c>
      <c r="AH43" s="11">
        <f t="shared" si="10"/>
        <v>0</v>
      </c>
    </row>
    <row r="44" spans="1:36" ht="16.5" customHeight="1">
      <c r="A44" s="70">
        <v>39</v>
      </c>
      <c r="B44" s="15"/>
      <c r="C44" s="15">
        <v>1</v>
      </c>
      <c r="D44" s="15"/>
      <c r="E44" s="15"/>
      <c r="F44" s="372">
        <f>2.2/3</f>
        <v>0.73333333333333339</v>
      </c>
      <c r="G44" s="372">
        <f>2.2/3</f>
        <v>0.73333333333333339</v>
      </c>
      <c r="H44" s="372">
        <f>2.2/3</f>
        <v>0.73333333333333339</v>
      </c>
      <c r="I44" s="372"/>
      <c r="J44" s="372"/>
      <c r="K44" s="372"/>
      <c r="L44" s="374"/>
      <c r="M44" s="374"/>
      <c r="N44" s="372">
        <v>0.6</v>
      </c>
      <c r="O44" s="372">
        <v>0.6</v>
      </c>
      <c r="P44" s="372">
        <v>0.6</v>
      </c>
      <c r="Q44" s="372">
        <f>1.4/2</f>
        <v>0.7</v>
      </c>
      <c r="R44" s="372">
        <v>0.7</v>
      </c>
      <c r="S44" s="372">
        <v>0.7</v>
      </c>
      <c r="T44" s="372">
        <v>0.7</v>
      </c>
      <c r="U44" s="372">
        <f>2.2/3</f>
        <v>0.73333333333333339</v>
      </c>
      <c r="V44" s="372">
        <f>2.2/3</f>
        <v>0.73333333333333339</v>
      </c>
      <c r="W44" s="372">
        <v>0.7</v>
      </c>
      <c r="X44" s="372"/>
      <c r="Y44" s="372" t="s">
        <v>9</v>
      </c>
      <c r="Z44" s="372" t="s">
        <v>9</v>
      </c>
      <c r="AA44" s="372" t="s">
        <v>9</v>
      </c>
      <c r="AB44" s="372" t="s">
        <v>9</v>
      </c>
      <c r="AC44" s="372" t="s">
        <v>9</v>
      </c>
      <c r="AD44" s="41"/>
      <c r="AE44" s="41"/>
      <c r="AF44" s="11">
        <f t="shared" si="8"/>
        <v>5</v>
      </c>
      <c r="AG44" s="11">
        <f t="shared" si="9"/>
        <v>0</v>
      </c>
      <c r="AH44" s="11">
        <f t="shared" si="10"/>
        <v>13</v>
      </c>
    </row>
    <row r="45" spans="1:36" ht="16.5" customHeight="1">
      <c r="A45" s="70" t="s">
        <v>40</v>
      </c>
      <c r="B45" s="15"/>
      <c r="C45" s="15">
        <v>0.85</v>
      </c>
      <c r="D45" s="15"/>
      <c r="E45" s="15"/>
      <c r="F45" s="372"/>
      <c r="G45" s="372"/>
      <c r="H45" s="372"/>
      <c r="I45" s="372"/>
      <c r="J45" s="372"/>
      <c r="K45" s="372"/>
      <c r="L45" s="372"/>
      <c r="M45" s="372"/>
      <c r="N45" s="372"/>
      <c r="O45" s="372"/>
      <c r="P45" s="372"/>
      <c r="Q45" s="372"/>
      <c r="R45" s="372"/>
      <c r="S45" s="372"/>
      <c r="T45" s="372"/>
      <c r="U45" s="372"/>
      <c r="V45" s="372"/>
      <c r="W45" s="372"/>
      <c r="X45" s="372"/>
      <c r="Y45" s="372"/>
      <c r="Z45" s="372"/>
      <c r="AA45" s="372"/>
      <c r="AB45" s="372"/>
      <c r="AC45" s="372"/>
      <c r="AD45" s="41"/>
      <c r="AE45" s="41"/>
      <c r="AF45" s="11">
        <f t="shared" si="8"/>
        <v>0</v>
      </c>
      <c r="AG45" s="11">
        <f t="shared" si="9"/>
        <v>0</v>
      </c>
      <c r="AH45" s="11">
        <f t="shared" si="10"/>
        <v>0</v>
      </c>
      <c r="AI45" s="159"/>
    </row>
    <row r="46" spans="1:36">
      <c r="A46" s="70" t="s">
        <v>41</v>
      </c>
      <c r="B46" s="15"/>
      <c r="C46" s="15">
        <v>0.75</v>
      </c>
      <c r="D46" s="15"/>
      <c r="E46" s="15"/>
      <c r="F46" s="372">
        <v>0</v>
      </c>
      <c r="G46" s="372">
        <v>0</v>
      </c>
      <c r="H46" s="372">
        <v>0</v>
      </c>
      <c r="I46" s="372">
        <v>0</v>
      </c>
      <c r="J46" s="372">
        <v>0</v>
      </c>
      <c r="K46" s="372">
        <v>0</v>
      </c>
      <c r="L46" s="374">
        <v>0.7</v>
      </c>
      <c r="M46" s="374"/>
      <c r="N46" s="372"/>
      <c r="O46" s="372"/>
      <c r="P46" s="372"/>
      <c r="Q46" s="372">
        <v>0</v>
      </c>
      <c r="R46" s="372">
        <v>0</v>
      </c>
      <c r="S46" s="372">
        <v>0</v>
      </c>
      <c r="T46" s="372">
        <v>0</v>
      </c>
      <c r="U46" s="372">
        <v>0</v>
      </c>
      <c r="V46" s="372">
        <v>0</v>
      </c>
      <c r="W46" s="372">
        <v>0</v>
      </c>
      <c r="X46" s="372">
        <v>0</v>
      </c>
      <c r="Y46" s="372">
        <v>0.7</v>
      </c>
      <c r="Z46" s="372">
        <v>0.7</v>
      </c>
      <c r="AA46" s="372">
        <v>0.7</v>
      </c>
      <c r="AB46" s="372"/>
      <c r="AC46" s="372"/>
      <c r="AD46" s="41"/>
      <c r="AE46" s="41"/>
      <c r="AF46" s="11">
        <f t="shared" si="8"/>
        <v>0</v>
      </c>
      <c r="AG46" s="11">
        <f t="shared" si="9"/>
        <v>0</v>
      </c>
      <c r="AH46" s="11">
        <f t="shared" si="10"/>
        <v>18</v>
      </c>
      <c r="AI46" s="159"/>
    </row>
    <row r="47" spans="1:36">
      <c r="A47" s="70" t="s">
        <v>42</v>
      </c>
      <c r="B47" s="15"/>
      <c r="C47" s="15">
        <v>0.75</v>
      </c>
      <c r="D47" s="15"/>
      <c r="E47" s="15"/>
      <c r="F47" s="372"/>
      <c r="G47" s="372"/>
      <c r="H47" s="372"/>
      <c r="I47" s="372"/>
      <c r="J47" s="372"/>
      <c r="K47" s="372"/>
      <c r="L47" s="372"/>
      <c r="M47" s="372"/>
      <c r="N47" s="372"/>
      <c r="O47" s="372"/>
      <c r="P47" s="372"/>
      <c r="Q47" s="372">
        <v>0</v>
      </c>
      <c r="R47" s="372">
        <v>0</v>
      </c>
      <c r="S47" s="372">
        <v>0</v>
      </c>
      <c r="T47" s="372">
        <v>0</v>
      </c>
      <c r="U47" s="372">
        <v>0</v>
      </c>
      <c r="V47" s="372">
        <v>0</v>
      </c>
      <c r="W47" s="372">
        <v>0</v>
      </c>
      <c r="X47" s="372">
        <v>0</v>
      </c>
      <c r="Y47" s="372">
        <v>0.7</v>
      </c>
      <c r="Z47" s="372">
        <v>0.7</v>
      </c>
      <c r="AA47" s="372">
        <v>0.7</v>
      </c>
      <c r="AB47" s="372"/>
      <c r="AC47" s="372"/>
      <c r="AD47" s="41"/>
      <c r="AE47" s="41"/>
      <c r="AF47" s="11">
        <f t="shared" si="8"/>
        <v>0</v>
      </c>
      <c r="AG47" s="11">
        <f t="shared" si="9"/>
        <v>0</v>
      </c>
      <c r="AH47" s="11">
        <f t="shared" si="10"/>
        <v>11</v>
      </c>
    </row>
    <row r="48" spans="1:36">
      <c r="A48" s="70" t="s">
        <v>43</v>
      </c>
      <c r="B48" s="15"/>
      <c r="C48" s="15">
        <v>0.75</v>
      </c>
      <c r="D48" s="15"/>
      <c r="E48" s="15"/>
      <c r="F48" s="372"/>
      <c r="G48" s="372">
        <v>0.7</v>
      </c>
      <c r="H48" s="372"/>
      <c r="I48" s="372"/>
      <c r="J48" s="372"/>
      <c r="K48" s="372"/>
      <c r="L48" s="374"/>
      <c r="M48" s="372"/>
      <c r="N48" s="372"/>
      <c r="O48" s="372">
        <v>0.7</v>
      </c>
      <c r="P48" s="372"/>
      <c r="Q48" s="372"/>
      <c r="R48" s="372"/>
      <c r="S48" s="372"/>
      <c r="T48" s="372"/>
      <c r="U48" s="372"/>
      <c r="V48" s="372"/>
      <c r="W48" s="372"/>
      <c r="X48" s="372"/>
      <c r="Y48" s="372">
        <v>0.7</v>
      </c>
      <c r="Z48" s="372">
        <v>0.7</v>
      </c>
      <c r="AA48" s="372">
        <v>0.7</v>
      </c>
      <c r="AB48" s="372"/>
      <c r="AC48" s="372"/>
      <c r="AD48" s="41"/>
      <c r="AE48" s="41"/>
      <c r="AF48" s="11">
        <f t="shared" si="8"/>
        <v>0</v>
      </c>
      <c r="AG48" s="11">
        <f t="shared" si="9"/>
        <v>0</v>
      </c>
      <c r="AH48" s="11">
        <f t="shared" si="10"/>
        <v>5</v>
      </c>
    </row>
    <row r="49" spans="1:124" ht="15" customHeight="1">
      <c r="A49" s="70" t="s">
        <v>44</v>
      </c>
      <c r="B49" s="15"/>
      <c r="C49" s="15">
        <v>0.75</v>
      </c>
      <c r="D49" s="15"/>
      <c r="E49" s="15"/>
      <c r="F49" s="372">
        <v>0</v>
      </c>
      <c r="G49" s="372">
        <v>0</v>
      </c>
      <c r="H49" s="372">
        <v>0</v>
      </c>
      <c r="I49" s="372">
        <v>0</v>
      </c>
      <c r="J49" s="372">
        <v>0</v>
      </c>
      <c r="K49" s="372">
        <v>0</v>
      </c>
      <c r="L49" s="374">
        <v>0.7</v>
      </c>
      <c r="M49" s="374"/>
      <c r="N49" s="372"/>
      <c r="O49" s="372">
        <v>0.7</v>
      </c>
      <c r="P49" s="372">
        <v>0.7</v>
      </c>
      <c r="Q49" s="372">
        <v>0</v>
      </c>
      <c r="R49" s="372">
        <v>0</v>
      </c>
      <c r="S49" s="372">
        <v>0</v>
      </c>
      <c r="T49" s="372">
        <v>0</v>
      </c>
      <c r="U49" s="372">
        <v>0</v>
      </c>
      <c r="V49" s="372">
        <v>0</v>
      </c>
      <c r="W49" s="372">
        <v>0</v>
      </c>
      <c r="X49" s="372">
        <v>0</v>
      </c>
      <c r="Y49" s="372">
        <v>0.7</v>
      </c>
      <c r="Z49" s="372">
        <v>0.7</v>
      </c>
      <c r="AA49" s="372">
        <v>0.7</v>
      </c>
      <c r="AB49" s="372"/>
      <c r="AC49" s="372"/>
      <c r="AD49" s="41"/>
      <c r="AE49" s="41"/>
      <c r="AF49" s="11">
        <f t="shared" si="8"/>
        <v>0</v>
      </c>
      <c r="AG49" s="11">
        <f t="shared" si="9"/>
        <v>0</v>
      </c>
      <c r="AH49" s="11">
        <f t="shared" si="10"/>
        <v>20</v>
      </c>
    </row>
    <row r="50" spans="1:124" ht="16.5" customHeight="1">
      <c r="A50" s="70" t="s">
        <v>45</v>
      </c>
      <c r="B50" s="15"/>
      <c r="C50" s="15">
        <v>0.75</v>
      </c>
      <c r="D50" s="15"/>
      <c r="E50" s="15"/>
      <c r="F50" s="372"/>
      <c r="G50" s="372"/>
      <c r="H50" s="372"/>
      <c r="I50" s="372"/>
      <c r="J50" s="374"/>
      <c r="K50" s="372"/>
      <c r="L50" s="372"/>
      <c r="M50" s="374"/>
      <c r="N50" s="372"/>
      <c r="O50" s="372">
        <v>0.7</v>
      </c>
      <c r="P50" s="372"/>
      <c r="Q50" s="372"/>
      <c r="R50" s="372"/>
      <c r="S50" s="372"/>
      <c r="T50" s="372"/>
      <c r="U50" s="372">
        <v>0.7</v>
      </c>
      <c r="V50" s="372">
        <v>0.7</v>
      </c>
      <c r="W50" s="372"/>
      <c r="X50" s="372"/>
      <c r="Y50" s="372"/>
      <c r="Z50" s="372">
        <v>0.7</v>
      </c>
      <c r="AA50" s="372"/>
      <c r="AB50" s="372"/>
      <c r="AC50" s="372"/>
      <c r="AD50" s="41"/>
      <c r="AE50" s="41"/>
      <c r="AF50" s="11">
        <f t="shared" si="8"/>
        <v>0</v>
      </c>
      <c r="AG50" s="11">
        <f t="shared" si="9"/>
        <v>0</v>
      </c>
      <c r="AH50" s="11">
        <f t="shared" si="10"/>
        <v>4</v>
      </c>
    </row>
    <row r="51" spans="1:124">
      <c r="A51" s="70" t="s">
        <v>46</v>
      </c>
      <c r="B51" s="15"/>
      <c r="C51" s="15">
        <v>0.85</v>
      </c>
      <c r="D51" s="15"/>
      <c r="E51" s="15"/>
      <c r="F51" s="372"/>
      <c r="G51" s="374"/>
      <c r="H51" s="374"/>
      <c r="I51" s="374"/>
      <c r="J51" s="374"/>
      <c r="K51" s="374"/>
      <c r="L51" s="374"/>
      <c r="M51" s="374"/>
      <c r="N51" s="372"/>
      <c r="O51" s="372"/>
      <c r="P51" s="372"/>
      <c r="Q51" s="372"/>
      <c r="R51" s="372"/>
      <c r="S51" s="372"/>
      <c r="T51" s="372"/>
      <c r="U51" s="372"/>
      <c r="V51" s="372"/>
      <c r="W51" s="372"/>
      <c r="X51" s="372"/>
      <c r="Y51" s="372"/>
      <c r="Z51" s="372"/>
      <c r="AA51" s="372"/>
      <c r="AB51" s="372"/>
      <c r="AC51" s="372"/>
      <c r="AD51" s="41"/>
      <c r="AE51" s="41"/>
      <c r="AF51" s="11">
        <f t="shared" si="8"/>
        <v>0</v>
      </c>
      <c r="AG51" s="11">
        <f t="shared" si="9"/>
        <v>0</v>
      </c>
      <c r="AH51" s="11">
        <f t="shared" si="10"/>
        <v>0</v>
      </c>
    </row>
    <row r="52" spans="1:124">
      <c r="A52" s="70" t="s">
        <v>47</v>
      </c>
      <c r="B52" s="15"/>
      <c r="C52" s="15">
        <v>0.85</v>
      </c>
      <c r="D52" s="15"/>
      <c r="E52" s="15"/>
      <c r="F52" s="372" t="s">
        <v>9</v>
      </c>
      <c r="G52" s="374" t="s">
        <v>9</v>
      </c>
      <c r="H52" s="374" t="s">
        <v>9</v>
      </c>
      <c r="I52" s="374" t="s">
        <v>9</v>
      </c>
      <c r="J52" s="374" t="s">
        <v>9</v>
      </c>
      <c r="K52" s="374" t="s">
        <v>9</v>
      </c>
      <c r="L52" s="374" t="s">
        <v>9</v>
      </c>
      <c r="M52" s="374" t="s">
        <v>9</v>
      </c>
      <c r="N52" s="372" t="s">
        <v>9</v>
      </c>
      <c r="O52" s="372" t="s">
        <v>9</v>
      </c>
      <c r="P52" s="372" t="s">
        <v>9</v>
      </c>
      <c r="Q52" s="372" t="s">
        <v>9</v>
      </c>
      <c r="R52" s="372" t="s">
        <v>9</v>
      </c>
      <c r="S52" s="372" t="s">
        <v>9</v>
      </c>
      <c r="T52" s="372" t="s">
        <v>9</v>
      </c>
      <c r="U52" s="372" t="s">
        <v>9</v>
      </c>
      <c r="V52" s="372" t="s">
        <v>9</v>
      </c>
      <c r="W52" s="372" t="s">
        <v>9</v>
      </c>
      <c r="X52" s="372" t="s">
        <v>9</v>
      </c>
      <c r="Y52" s="372" t="s">
        <v>9</v>
      </c>
      <c r="Z52" s="372" t="s">
        <v>9</v>
      </c>
      <c r="AA52" s="372" t="s">
        <v>9</v>
      </c>
      <c r="AB52" s="372" t="s">
        <v>9</v>
      </c>
      <c r="AC52" s="372" t="s">
        <v>9</v>
      </c>
      <c r="AD52" s="41"/>
      <c r="AE52" s="41"/>
      <c r="AF52" s="11">
        <f t="shared" si="8"/>
        <v>24</v>
      </c>
      <c r="AG52" s="11">
        <f t="shared" si="9"/>
        <v>0</v>
      </c>
      <c r="AH52" s="11">
        <f t="shared" si="10"/>
        <v>0</v>
      </c>
    </row>
    <row r="53" spans="1:124">
      <c r="A53" s="70" t="s">
        <v>48</v>
      </c>
      <c r="B53" s="15"/>
      <c r="C53" s="15">
        <v>0.85</v>
      </c>
      <c r="D53" s="15"/>
      <c r="E53" s="15"/>
      <c r="F53" s="372"/>
      <c r="G53" s="372"/>
      <c r="H53" s="372"/>
      <c r="I53" s="372"/>
      <c r="J53" s="372"/>
      <c r="K53" s="374"/>
      <c r="L53" s="372"/>
      <c r="M53" s="374"/>
      <c r="N53" s="372"/>
      <c r="O53" s="372"/>
      <c r="P53" s="372"/>
      <c r="Q53" s="372"/>
      <c r="R53" s="372"/>
      <c r="S53" s="372"/>
      <c r="T53" s="372"/>
      <c r="U53" s="372"/>
      <c r="V53" s="372"/>
      <c r="W53" s="372"/>
      <c r="X53" s="372"/>
      <c r="Y53" s="372"/>
      <c r="Z53" s="372"/>
      <c r="AA53" s="372"/>
      <c r="AB53" s="372"/>
      <c r="AC53" s="372"/>
      <c r="AD53" s="41"/>
      <c r="AE53" s="41"/>
      <c r="AF53" s="11">
        <f t="shared" si="8"/>
        <v>0</v>
      </c>
      <c r="AG53" s="11">
        <f t="shared" si="9"/>
        <v>0</v>
      </c>
      <c r="AH53" s="11">
        <f t="shared" si="10"/>
        <v>0</v>
      </c>
    </row>
    <row r="54" spans="1:124" ht="16.5" customHeight="1">
      <c r="A54" s="70" t="s">
        <v>49</v>
      </c>
      <c r="B54" s="15"/>
      <c r="C54" s="15">
        <v>0.85</v>
      </c>
      <c r="D54" s="15"/>
      <c r="E54" s="15"/>
      <c r="F54" s="372"/>
      <c r="G54" s="372"/>
      <c r="H54" s="372"/>
      <c r="I54" s="372"/>
      <c r="J54" s="372"/>
      <c r="K54" s="374"/>
      <c r="L54" s="372"/>
      <c r="M54" s="374"/>
      <c r="N54" s="372"/>
      <c r="O54" s="372"/>
      <c r="P54" s="372"/>
      <c r="Q54" s="372"/>
      <c r="R54" s="372"/>
      <c r="S54" s="372"/>
      <c r="T54" s="372"/>
      <c r="U54" s="372"/>
      <c r="V54" s="372"/>
      <c r="W54" s="372"/>
      <c r="X54" s="372"/>
      <c r="Y54" s="372"/>
      <c r="Z54" s="372"/>
      <c r="AA54" s="372">
        <v>0.7</v>
      </c>
      <c r="AB54" s="372"/>
      <c r="AC54" s="372"/>
      <c r="AD54" s="41"/>
      <c r="AE54" s="41"/>
      <c r="AF54" s="11">
        <f t="shared" si="8"/>
        <v>0</v>
      </c>
      <c r="AG54" s="11">
        <f t="shared" si="9"/>
        <v>0</v>
      </c>
      <c r="AH54" s="11">
        <f t="shared" si="10"/>
        <v>1</v>
      </c>
    </row>
    <row r="55" spans="1:124">
      <c r="A55" s="70" t="s">
        <v>50</v>
      </c>
      <c r="B55" s="15"/>
      <c r="C55" s="15">
        <v>0.85</v>
      </c>
      <c r="D55" s="15"/>
      <c r="E55" s="15"/>
      <c r="F55" s="372"/>
      <c r="G55" s="372"/>
      <c r="H55" s="372"/>
      <c r="I55" s="372"/>
      <c r="J55" s="372"/>
      <c r="K55" s="374"/>
      <c r="L55" s="372"/>
      <c r="M55" s="374"/>
      <c r="N55" s="372"/>
      <c r="O55" s="372"/>
      <c r="P55" s="372"/>
      <c r="Q55" s="372"/>
      <c r="R55" s="372"/>
      <c r="S55" s="372"/>
      <c r="T55" s="372"/>
      <c r="U55" s="372"/>
      <c r="V55" s="372"/>
      <c r="W55" s="372"/>
      <c r="X55" s="372"/>
      <c r="Y55" s="372"/>
      <c r="Z55" s="372"/>
      <c r="AA55" s="372"/>
      <c r="AB55" s="372"/>
      <c r="AC55" s="372"/>
      <c r="AD55" s="41"/>
      <c r="AE55" s="41"/>
      <c r="AF55" s="11">
        <f>COUNTIF(F55:AC55,$AJ$8)</f>
        <v>0</v>
      </c>
      <c r="AG55" s="11">
        <f t="shared" si="9"/>
        <v>0</v>
      </c>
      <c r="AH55" s="11">
        <f>COUNT(F55:AC55)</f>
        <v>0</v>
      </c>
    </row>
    <row r="56" spans="1:124">
      <c r="A56" s="70" t="s">
        <v>51</v>
      </c>
      <c r="B56" s="15"/>
      <c r="C56" s="15">
        <v>0.75</v>
      </c>
      <c r="D56" s="15"/>
      <c r="E56" s="15"/>
      <c r="F56" s="372"/>
      <c r="G56" s="372"/>
      <c r="H56" s="372"/>
      <c r="I56" s="372"/>
      <c r="J56" s="372"/>
      <c r="K56" s="372"/>
      <c r="L56" s="374"/>
      <c r="M56" s="374"/>
      <c r="N56" s="372"/>
      <c r="O56" s="372">
        <v>0.7</v>
      </c>
      <c r="P56" s="372"/>
      <c r="Q56" s="372"/>
      <c r="R56" s="372"/>
      <c r="S56" s="372"/>
      <c r="T56" s="372"/>
      <c r="U56" s="372"/>
      <c r="V56" s="372"/>
      <c r="W56" s="372"/>
      <c r="X56" s="372"/>
      <c r="Y56" s="372">
        <v>0.7</v>
      </c>
      <c r="Z56" s="372">
        <v>0.7</v>
      </c>
      <c r="AA56" s="372">
        <v>0.7</v>
      </c>
      <c r="AB56" s="372"/>
      <c r="AC56" s="372"/>
      <c r="AD56" s="41"/>
      <c r="AE56" s="41"/>
      <c r="AF56" s="11">
        <f t="shared" si="8"/>
        <v>0</v>
      </c>
      <c r="AG56" s="11">
        <f t="shared" si="9"/>
        <v>0</v>
      </c>
      <c r="AH56" s="11">
        <f t="shared" si="10"/>
        <v>4</v>
      </c>
    </row>
    <row r="57" spans="1:124">
      <c r="A57" s="70" t="s">
        <v>52</v>
      </c>
      <c r="B57" s="15"/>
      <c r="C57" s="15">
        <v>0.75</v>
      </c>
      <c r="D57" s="15"/>
      <c r="E57" s="15"/>
      <c r="F57" s="372">
        <v>0</v>
      </c>
      <c r="G57" s="372">
        <v>0</v>
      </c>
      <c r="H57" s="372">
        <v>0</v>
      </c>
      <c r="I57" s="372">
        <v>0</v>
      </c>
      <c r="J57" s="372">
        <v>0</v>
      </c>
      <c r="K57" s="372">
        <v>0</v>
      </c>
      <c r="L57" s="374">
        <v>0.7</v>
      </c>
      <c r="M57" s="374"/>
      <c r="N57" s="372"/>
      <c r="O57" s="372">
        <v>0.7</v>
      </c>
      <c r="P57" s="372">
        <v>0.7</v>
      </c>
      <c r="Q57" s="372"/>
      <c r="R57" s="372"/>
      <c r="S57" s="372"/>
      <c r="T57" s="372"/>
      <c r="U57" s="372"/>
      <c r="V57" s="372"/>
      <c r="W57" s="372"/>
      <c r="X57" s="372"/>
      <c r="Y57" s="372">
        <v>0.7</v>
      </c>
      <c r="Z57" s="372">
        <v>0.7</v>
      </c>
      <c r="AA57" s="372">
        <v>0.7</v>
      </c>
      <c r="AB57" s="372"/>
      <c r="AC57" s="372"/>
      <c r="AD57" s="41"/>
      <c r="AE57" s="41"/>
      <c r="AF57" s="11">
        <f t="shared" si="8"/>
        <v>0</v>
      </c>
      <c r="AG57" s="11">
        <f t="shared" si="9"/>
        <v>0</v>
      </c>
      <c r="AH57" s="11">
        <f t="shared" si="10"/>
        <v>12</v>
      </c>
    </row>
    <row r="58" spans="1:124">
      <c r="A58" s="70" t="s">
        <v>53</v>
      </c>
      <c r="B58" s="15"/>
      <c r="C58" s="15">
        <v>0.85</v>
      </c>
      <c r="D58" s="15"/>
      <c r="E58" s="15"/>
      <c r="F58" s="372"/>
      <c r="G58" s="372"/>
      <c r="H58" s="372"/>
      <c r="I58" s="372"/>
      <c r="J58" s="372"/>
      <c r="K58" s="372"/>
      <c r="L58" s="372"/>
      <c r="M58" s="374"/>
      <c r="N58" s="372"/>
      <c r="O58" s="372"/>
      <c r="P58" s="372"/>
      <c r="Q58" s="372"/>
      <c r="R58" s="372"/>
      <c r="S58" s="372"/>
      <c r="T58" s="372"/>
      <c r="U58" s="372"/>
      <c r="V58" s="372"/>
      <c r="W58" s="372"/>
      <c r="X58" s="372"/>
      <c r="Y58" s="372"/>
      <c r="Z58" s="372"/>
      <c r="AA58" s="372"/>
      <c r="AB58" s="372"/>
      <c r="AC58" s="372"/>
      <c r="AD58" s="41"/>
      <c r="AE58" s="41"/>
      <c r="AF58" s="11">
        <f t="shared" si="8"/>
        <v>0</v>
      </c>
      <c r="AG58" s="11">
        <f t="shared" si="9"/>
        <v>0</v>
      </c>
      <c r="AH58" s="11">
        <f t="shared" si="10"/>
        <v>0</v>
      </c>
    </row>
    <row r="59" spans="1:124">
      <c r="A59" s="70" t="s">
        <v>54</v>
      </c>
      <c r="B59" s="15"/>
      <c r="C59" s="15">
        <v>0.85</v>
      </c>
      <c r="D59" s="15"/>
      <c r="E59" s="15"/>
      <c r="F59" s="372"/>
      <c r="G59" s="372"/>
      <c r="H59" s="372"/>
      <c r="I59" s="372"/>
      <c r="J59" s="372"/>
      <c r="K59" s="374"/>
      <c r="L59" s="374"/>
      <c r="M59" s="374"/>
      <c r="N59" s="372"/>
      <c r="O59" s="372"/>
      <c r="P59" s="372"/>
      <c r="Q59" s="372"/>
      <c r="R59" s="372"/>
      <c r="S59" s="372"/>
      <c r="T59" s="372"/>
      <c r="U59" s="372"/>
      <c r="V59" s="372"/>
      <c r="W59" s="372"/>
      <c r="X59" s="372"/>
      <c r="Y59" s="372"/>
      <c r="Z59" s="372"/>
      <c r="AA59" s="372"/>
      <c r="AB59" s="372"/>
      <c r="AC59" s="372"/>
      <c r="AD59" s="41"/>
      <c r="AE59" s="41"/>
      <c r="AF59" s="11">
        <f t="shared" si="8"/>
        <v>0</v>
      </c>
      <c r="AG59" s="11">
        <f t="shared" si="9"/>
        <v>0</v>
      </c>
      <c r="AH59" s="11">
        <f t="shared" si="10"/>
        <v>0</v>
      </c>
    </row>
    <row r="60" spans="1:124">
      <c r="A60" s="9" t="s">
        <v>26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 t="shared" ref="F60:AC60" si="12">SUM(F36:F59)</f>
        <v>2.8000000000000003</v>
      </c>
      <c r="G60" s="19">
        <f t="shared" si="12"/>
        <v>3.5</v>
      </c>
      <c r="H60" s="19">
        <f t="shared" si="12"/>
        <v>2.8000000000000003</v>
      </c>
      <c r="I60" s="19">
        <f t="shared" si="12"/>
        <v>0.7</v>
      </c>
      <c r="J60" s="19">
        <f t="shared" si="12"/>
        <v>0.7</v>
      </c>
      <c r="K60" s="19">
        <f t="shared" si="12"/>
        <v>0.7</v>
      </c>
      <c r="L60" s="19">
        <f t="shared" si="12"/>
        <v>2.8</v>
      </c>
      <c r="M60" s="19">
        <f t="shared" si="12"/>
        <v>0.7</v>
      </c>
      <c r="N60" s="19">
        <f t="shared" si="12"/>
        <v>2</v>
      </c>
      <c r="O60" s="19">
        <f>SUM(O36:O59)</f>
        <v>5.7000000000000011</v>
      </c>
      <c r="P60" s="19">
        <f t="shared" si="12"/>
        <v>2.8</v>
      </c>
      <c r="Q60" s="19">
        <f t="shared" si="12"/>
        <v>1.4</v>
      </c>
      <c r="R60" s="19">
        <f t="shared" si="12"/>
        <v>1.4</v>
      </c>
      <c r="S60" s="19">
        <f t="shared" si="12"/>
        <v>1.4</v>
      </c>
      <c r="T60" s="19">
        <f>SUM(T36:T59)</f>
        <v>2.0999999999999996</v>
      </c>
      <c r="U60" s="19">
        <f t="shared" si="12"/>
        <v>2.9000000000000004</v>
      </c>
      <c r="V60" s="19">
        <f t="shared" si="12"/>
        <v>2.9000000000000004</v>
      </c>
      <c r="W60" s="19">
        <f t="shared" si="12"/>
        <v>2.0999999999999996</v>
      </c>
      <c r="X60" s="19">
        <f t="shared" si="12"/>
        <v>1.4</v>
      </c>
      <c r="Y60" s="19">
        <f t="shared" si="12"/>
        <v>5.6000000000000005</v>
      </c>
      <c r="Z60" s="19">
        <f t="shared" si="12"/>
        <v>6.4000000000000012</v>
      </c>
      <c r="AA60" s="19">
        <f t="shared" si="12"/>
        <v>6.4000000000000012</v>
      </c>
      <c r="AB60" s="19">
        <f t="shared" si="12"/>
        <v>0</v>
      </c>
      <c r="AC60" s="19">
        <f t="shared" si="12"/>
        <v>0</v>
      </c>
      <c r="AD60" s="34"/>
      <c r="AE60" s="34"/>
      <c r="AF60" s="11"/>
      <c r="AG60" s="11"/>
      <c r="AH60" s="11"/>
    </row>
    <row r="61" spans="1:124">
      <c r="A61" s="12" t="s">
        <v>55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20.36</v>
      </c>
      <c r="AN61" s="351"/>
    </row>
    <row r="62" spans="1:124">
      <c r="A62" s="14" t="s">
        <v>56</v>
      </c>
      <c r="B62" s="20"/>
      <c r="C62" s="15">
        <v>0.75</v>
      </c>
      <c r="D62" s="15"/>
      <c r="E62" s="15"/>
      <c r="F62" s="372">
        <v>0.5</v>
      </c>
      <c r="G62" s="372">
        <v>0.46500000000000002</v>
      </c>
      <c r="H62" s="372">
        <v>0.43</v>
      </c>
      <c r="I62" s="372">
        <f>0.84/2</f>
        <v>0.42</v>
      </c>
      <c r="J62" s="372">
        <f>0.82/2</f>
        <v>0.41</v>
      </c>
      <c r="K62" s="374">
        <f>0.84/2</f>
        <v>0.42</v>
      </c>
      <c r="L62" s="372">
        <f>0.98/2</f>
        <v>0.49</v>
      </c>
      <c r="M62" s="372"/>
      <c r="N62" s="372">
        <f>1.16/2</f>
        <v>0.57999999999999996</v>
      </c>
      <c r="O62" s="372">
        <f>1.33/2</f>
        <v>0.66500000000000004</v>
      </c>
      <c r="P62" s="372">
        <f>1.45/2</f>
        <v>0.72499999999999998</v>
      </c>
      <c r="Q62" s="372">
        <f>1.55/2</f>
        <v>0.77500000000000002</v>
      </c>
      <c r="R62" s="372">
        <f>1.52/2</f>
        <v>0.76</v>
      </c>
      <c r="S62" s="372" t="s">
        <v>9</v>
      </c>
      <c r="T62" s="372" t="s">
        <v>9</v>
      </c>
      <c r="U62" s="372" t="s">
        <v>9</v>
      </c>
      <c r="V62" s="372" t="s">
        <v>9</v>
      </c>
      <c r="W62" s="372" t="s">
        <v>9</v>
      </c>
      <c r="X62" s="372" t="s">
        <v>9</v>
      </c>
      <c r="Y62" s="372" t="s">
        <v>9</v>
      </c>
      <c r="Z62" s="372" t="s">
        <v>9</v>
      </c>
      <c r="AA62" s="372" t="s">
        <v>9</v>
      </c>
      <c r="AB62" s="372">
        <v>0.2</v>
      </c>
      <c r="AC62" s="372">
        <v>0.65</v>
      </c>
      <c r="AD62" s="32"/>
      <c r="AE62" s="32"/>
      <c r="AF62" s="11">
        <f>COUNTIF(F62:AC62,$AF$11)</f>
        <v>9</v>
      </c>
      <c r="AG62" s="11">
        <f>COUNTIF(G62:AC62,$AG$11)</f>
        <v>0</v>
      </c>
      <c r="AH62" s="11">
        <f>COUNT(F62:AC62)</f>
        <v>14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57</v>
      </c>
      <c r="B63" s="20"/>
      <c r="C63" s="15">
        <v>0.75</v>
      </c>
      <c r="D63" s="15"/>
      <c r="E63" s="15"/>
      <c r="F63" s="372">
        <v>0.5</v>
      </c>
      <c r="G63" s="372">
        <v>0.46500000000000002</v>
      </c>
      <c r="H63" s="372">
        <v>0.43</v>
      </c>
      <c r="I63" s="372">
        <f>0.84/2</f>
        <v>0.42</v>
      </c>
      <c r="J63" s="372">
        <f>0.82/2</f>
        <v>0.41</v>
      </c>
      <c r="K63" s="374">
        <f>0.84/2</f>
        <v>0.42</v>
      </c>
      <c r="L63" s="372">
        <f>0.98/2</f>
        <v>0.49</v>
      </c>
      <c r="M63" s="372"/>
      <c r="N63" s="372">
        <f>1.16/2</f>
        <v>0.57999999999999996</v>
      </c>
      <c r="O63" s="372">
        <f>1.33/2</f>
        <v>0.66500000000000004</v>
      </c>
      <c r="P63" s="372">
        <f>1.45/2</f>
        <v>0.72499999999999998</v>
      </c>
      <c r="Q63" s="372">
        <f>1.55/2</f>
        <v>0.77500000000000002</v>
      </c>
      <c r="R63" s="372">
        <f>1.52/2</f>
        <v>0.76</v>
      </c>
      <c r="S63" s="372" t="s">
        <v>9</v>
      </c>
      <c r="T63" s="372">
        <v>0.84</v>
      </c>
      <c r="U63" s="372">
        <v>0.63</v>
      </c>
      <c r="V63" s="372">
        <v>0.63</v>
      </c>
      <c r="W63" s="372">
        <v>0.62</v>
      </c>
      <c r="X63" s="372">
        <v>0.49</v>
      </c>
      <c r="Y63" s="372">
        <v>0.54</v>
      </c>
      <c r="Z63" s="372">
        <v>0.72</v>
      </c>
      <c r="AA63" s="372">
        <v>0.67</v>
      </c>
      <c r="AB63" s="372">
        <v>0.44</v>
      </c>
      <c r="AC63" s="372">
        <v>0.65</v>
      </c>
      <c r="AD63" s="32"/>
      <c r="AE63" s="32"/>
      <c r="AF63" s="11">
        <f>COUNTIF(F63:AC63,$AF$11)</f>
        <v>1</v>
      </c>
      <c r="AG63" s="11">
        <f>COUNTIF(G63:AC63,$AG$11)</f>
        <v>0</v>
      </c>
      <c r="AH63" s="11">
        <f>COUNT(F63:AC63)</f>
        <v>22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58</v>
      </c>
      <c r="B64" s="20"/>
      <c r="C64" s="15">
        <v>0.75</v>
      </c>
      <c r="D64" s="15"/>
      <c r="E64" s="15"/>
      <c r="F64" s="372" t="s">
        <v>9</v>
      </c>
      <c r="G64" s="372" t="s">
        <v>9</v>
      </c>
      <c r="H64" s="372" t="s">
        <v>9</v>
      </c>
      <c r="I64" s="372" t="s">
        <v>9</v>
      </c>
      <c r="J64" s="372" t="s">
        <v>9</v>
      </c>
      <c r="K64" s="374" t="s">
        <v>9</v>
      </c>
      <c r="L64" s="372" t="s">
        <v>9</v>
      </c>
      <c r="M64" s="372" t="s">
        <v>9</v>
      </c>
      <c r="N64" s="372" t="s">
        <v>9</v>
      </c>
      <c r="O64" s="372" t="s">
        <v>9</v>
      </c>
      <c r="P64" s="372" t="s">
        <v>9</v>
      </c>
      <c r="Q64" s="372" t="s">
        <v>9</v>
      </c>
      <c r="R64" s="372" t="s">
        <v>9</v>
      </c>
      <c r="S64" s="372" t="s">
        <v>9</v>
      </c>
      <c r="T64" s="372" t="s">
        <v>9</v>
      </c>
      <c r="U64" s="372" t="s">
        <v>9</v>
      </c>
      <c r="V64" s="372" t="s">
        <v>9</v>
      </c>
      <c r="W64" s="372" t="s">
        <v>9</v>
      </c>
      <c r="X64" s="372" t="s">
        <v>9</v>
      </c>
      <c r="Y64" s="372" t="s">
        <v>9</v>
      </c>
      <c r="Z64" s="372" t="s">
        <v>9</v>
      </c>
      <c r="AA64" s="372" t="s">
        <v>9</v>
      </c>
      <c r="AB64" s="372" t="s">
        <v>9</v>
      </c>
      <c r="AC64" s="372" t="s">
        <v>9</v>
      </c>
      <c r="AD64" s="32"/>
      <c r="AE64" s="32"/>
      <c r="AF64" s="11">
        <f>COUNTIF(F64:AC64,$AF$11)</f>
        <v>24</v>
      </c>
      <c r="AG64" s="11">
        <f>COUNTIF(G64:AC64,$AG$11)</f>
        <v>0</v>
      </c>
      <c r="AH64" s="11">
        <f>COUNT(F64:AC64)</f>
        <v>0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1</v>
      </c>
      <c r="G65" s="19">
        <f t="shared" ref="G65" si="13">SUM(G62:G64)</f>
        <v>0.93</v>
      </c>
      <c r="H65" s="19">
        <f>SUM(H62:H64)</f>
        <v>0.86</v>
      </c>
      <c r="I65" s="19">
        <f>SUM(I62:I64)</f>
        <v>0.84</v>
      </c>
      <c r="J65" s="19">
        <f t="shared" ref="J65" si="14">SUM(J62:J64)</f>
        <v>0.82</v>
      </c>
      <c r="K65" s="19">
        <f>SUM(K62:K64)</f>
        <v>0.84</v>
      </c>
      <c r="L65" s="19">
        <f>SUM(L62:L64)</f>
        <v>0.98</v>
      </c>
      <c r="M65" s="19">
        <f>SUM(M62:M64)</f>
        <v>0</v>
      </c>
      <c r="N65" s="19">
        <f>SUM(N62:N64)</f>
        <v>1.1599999999999999</v>
      </c>
      <c r="O65" s="19">
        <f t="shared" ref="O65:AB65" si="15">SUM(O62:O64)</f>
        <v>1.33</v>
      </c>
      <c r="P65" s="19">
        <f t="shared" si="15"/>
        <v>1.45</v>
      </c>
      <c r="Q65" s="19">
        <f t="shared" si="15"/>
        <v>1.55</v>
      </c>
      <c r="R65" s="19">
        <f t="shared" si="15"/>
        <v>1.52</v>
      </c>
      <c r="S65" s="19">
        <f t="shared" si="15"/>
        <v>0</v>
      </c>
      <c r="T65" s="19">
        <f t="shared" si="15"/>
        <v>0.84</v>
      </c>
      <c r="U65" s="19">
        <f t="shared" si="15"/>
        <v>0.63</v>
      </c>
      <c r="V65" s="19">
        <f t="shared" si="15"/>
        <v>0.63</v>
      </c>
      <c r="W65" s="19">
        <f t="shared" si="15"/>
        <v>0.62</v>
      </c>
      <c r="X65" s="19">
        <f t="shared" si="15"/>
        <v>0.49</v>
      </c>
      <c r="Y65" s="19">
        <f>SUM(Y62:Y64)</f>
        <v>0.54</v>
      </c>
      <c r="Z65" s="19">
        <f t="shared" si="15"/>
        <v>0.72</v>
      </c>
      <c r="AA65" s="19">
        <f t="shared" si="15"/>
        <v>0.67</v>
      </c>
      <c r="AB65" s="19">
        <f t="shared" si="15"/>
        <v>0.64</v>
      </c>
      <c r="AC65" s="19">
        <f>SUM(AC62:AC64)</f>
        <v>1.3</v>
      </c>
      <c r="AD65" s="34"/>
      <c r="AE65" s="34"/>
      <c r="AF65" s="11"/>
      <c r="AG65" s="11"/>
      <c r="AH65" s="11"/>
    </row>
    <row r="66" spans="1:124" hidden="1">
      <c r="A66" s="12" t="s">
        <v>59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idden="1">
      <c r="A67" s="14" t="s">
        <v>60</v>
      </c>
      <c r="B67" s="15"/>
      <c r="C67" s="15">
        <v>0.85</v>
      </c>
      <c r="D67" s="15"/>
      <c r="E67" s="15"/>
      <c r="F67" s="372"/>
      <c r="G67" s="372"/>
      <c r="H67" s="372"/>
      <c r="I67" s="372"/>
      <c r="J67" s="372"/>
      <c r="K67" s="374"/>
      <c r="L67" s="374"/>
      <c r="M67" s="374"/>
      <c r="N67" s="372"/>
      <c r="O67" s="372"/>
      <c r="P67" s="372"/>
      <c r="Q67" s="372"/>
      <c r="R67" s="372"/>
      <c r="S67" s="372"/>
      <c r="T67" s="372"/>
      <c r="U67" s="372"/>
      <c r="V67" s="372"/>
      <c r="W67" s="372"/>
      <c r="X67" s="372"/>
      <c r="Y67" s="372"/>
      <c r="Z67" s="372"/>
      <c r="AA67" s="372"/>
      <c r="AB67" s="372"/>
      <c r="AC67" s="372"/>
      <c r="AD67" s="35"/>
      <c r="AE67" s="35"/>
      <c r="AF67" s="11">
        <f t="shared" ref="AF67:AF75" si="16">COUNTIF(F67:AC67,$AF$11)</f>
        <v>0</v>
      </c>
      <c r="AG67" s="11">
        <f t="shared" ref="AG67:AG75" si="17">COUNTIF(G67:AC67,$AG$11)</f>
        <v>0</v>
      </c>
      <c r="AH67" s="11">
        <f t="shared" ref="AH67:AH75" si="18">COUNT(F67:AC67)</f>
        <v>0</v>
      </c>
    </row>
    <row r="68" spans="1:124" hidden="1">
      <c r="A68" s="14" t="s">
        <v>61</v>
      </c>
      <c r="B68" s="15"/>
      <c r="C68" s="15">
        <v>0.85</v>
      </c>
      <c r="D68" s="15"/>
      <c r="E68" s="15"/>
      <c r="F68" s="372"/>
      <c r="G68" s="372"/>
      <c r="H68" s="372"/>
      <c r="I68" s="372"/>
      <c r="J68" s="372"/>
      <c r="K68" s="374"/>
      <c r="L68" s="374"/>
      <c r="M68" s="374"/>
      <c r="N68" s="372"/>
      <c r="O68" s="372"/>
      <c r="P68" s="372"/>
      <c r="Q68" s="372"/>
      <c r="R68" s="372"/>
      <c r="S68" s="372"/>
      <c r="T68" s="372"/>
      <c r="U68" s="372"/>
      <c r="V68" s="372"/>
      <c r="W68" s="372"/>
      <c r="X68" s="372"/>
      <c r="Y68" s="372"/>
      <c r="Z68" s="372"/>
      <c r="AA68" s="372"/>
      <c r="AB68" s="372"/>
      <c r="AC68" s="372"/>
      <c r="AD68" s="35"/>
      <c r="AE68" s="35"/>
      <c r="AF68" s="11">
        <f t="shared" si="16"/>
        <v>0</v>
      </c>
      <c r="AG68" s="11">
        <f t="shared" si="17"/>
        <v>0</v>
      </c>
      <c r="AH68" s="11">
        <f t="shared" si="18"/>
        <v>0</v>
      </c>
    </row>
    <row r="69" spans="1:124" hidden="1">
      <c r="A69" s="14" t="s">
        <v>62</v>
      </c>
      <c r="B69" s="15"/>
      <c r="C69" s="15">
        <v>0.85</v>
      </c>
      <c r="D69" s="15"/>
      <c r="E69" s="15"/>
      <c r="F69" s="372"/>
      <c r="G69" s="372"/>
      <c r="H69" s="372"/>
      <c r="I69" s="372"/>
      <c r="J69" s="372"/>
      <c r="K69" s="374"/>
      <c r="L69" s="374"/>
      <c r="M69" s="374"/>
      <c r="N69" s="372"/>
      <c r="O69" s="372"/>
      <c r="P69" s="372"/>
      <c r="Q69" s="372"/>
      <c r="R69" s="372"/>
      <c r="S69" s="372"/>
      <c r="T69" s="372"/>
      <c r="U69" s="372"/>
      <c r="V69" s="372"/>
      <c r="W69" s="372"/>
      <c r="X69" s="372"/>
      <c r="Y69" s="372"/>
      <c r="Z69" s="372"/>
      <c r="AA69" s="372"/>
      <c r="AB69" s="372"/>
      <c r="AC69" s="372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8"/>
        <v>0</v>
      </c>
    </row>
    <row r="70" spans="1:124" hidden="1">
      <c r="A70" s="14" t="s">
        <v>63</v>
      </c>
      <c r="B70" s="15"/>
      <c r="C70" s="15">
        <v>0.85</v>
      </c>
      <c r="D70" s="15"/>
      <c r="E70" s="15"/>
      <c r="F70" s="372"/>
      <c r="G70" s="372"/>
      <c r="H70" s="372"/>
      <c r="I70" s="372"/>
      <c r="J70" s="372"/>
      <c r="K70" s="374"/>
      <c r="L70" s="374"/>
      <c r="M70" s="374"/>
      <c r="N70" s="372"/>
      <c r="O70" s="372"/>
      <c r="P70" s="372"/>
      <c r="Q70" s="372"/>
      <c r="R70" s="372"/>
      <c r="S70" s="372"/>
      <c r="T70" s="372"/>
      <c r="U70" s="372"/>
      <c r="V70" s="372"/>
      <c r="W70" s="372"/>
      <c r="X70" s="372"/>
      <c r="Y70" s="372"/>
      <c r="Z70" s="372"/>
      <c r="AA70" s="372"/>
      <c r="AB70" s="372"/>
      <c r="AC70" s="372"/>
      <c r="AD70" s="35"/>
      <c r="AE70" s="35"/>
      <c r="AF70" s="11">
        <f t="shared" si="16"/>
        <v>0</v>
      </c>
      <c r="AG70" s="11">
        <f t="shared" si="17"/>
        <v>0</v>
      </c>
      <c r="AH70" s="11">
        <f t="shared" si="18"/>
        <v>0</v>
      </c>
      <c r="AI70" s="5"/>
      <c r="AJ70" s="5"/>
      <c r="AK70" s="5"/>
      <c r="AL70" s="5"/>
    </row>
    <row r="71" spans="1:124" hidden="1">
      <c r="A71" s="14" t="s">
        <v>64</v>
      </c>
      <c r="B71" s="15"/>
      <c r="C71" s="15">
        <v>0.85</v>
      </c>
      <c r="D71" s="15"/>
      <c r="E71" s="15"/>
      <c r="F71" s="372"/>
      <c r="G71" s="372"/>
      <c r="H71" s="372"/>
      <c r="I71" s="372"/>
      <c r="J71" s="372"/>
      <c r="K71" s="374"/>
      <c r="L71" s="374"/>
      <c r="M71" s="374"/>
      <c r="N71" s="372"/>
      <c r="O71" s="372"/>
      <c r="P71" s="372"/>
      <c r="Q71" s="372"/>
      <c r="R71" s="372"/>
      <c r="S71" s="372"/>
      <c r="T71" s="372"/>
      <c r="U71" s="372"/>
      <c r="V71" s="372"/>
      <c r="W71" s="372"/>
      <c r="X71" s="372"/>
      <c r="Y71" s="372"/>
      <c r="Z71" s="372"/>
      <c r="AA71" s="372"/>
      <c r="AB71" s="372"/>
      <c r="AC71" s="372"/>
      <c r="AD71" s="35"/>
      <c r="AE71" s="35"/>
      <c r="AF71" s="11">
        <f t="shared" si="16"/>
        <v>0</v>
      </c>
      <c r="AG71" s="11">
        <f t="shared" si="17"/>
        <v>0</v>
      </c>
      <c r="AH71" s="11">
        <f t="shared" si="18"/>
        <v>0</v>
      </c>
    </row>
    <row r="72" spans="1:124" hidden="1">
      <c r="A72" s="14" t="s">
        <v>65</v>
      </c>
      <c r="B72" s="15"/>
      <c r="C72" s="15">
        <v>0.85</v>
      </c>
      <c r="D72" s="15"/>
      <c r="E72" s="15"/>
      <c r="F72" s="372"/>
      <c r="G72" s="372"/>
      <c r="H72" s="372"/>
      <c r="I72" s="372"/>
      <c r="J72" s="372"/>
      <c r="K72" s="374"/>
      <c r="L72" s="374"/>
      <c r="M72" s="374"/>
      <c r="N72" s="372"/>
      <c r="O72" s="372"/>
      <c r="P72" s="372"/>
      <c r="Q72" s="372"/>
      <c r="R72" s="372"/>
      <c r="S72" s="372"/>
      <c r="T72" s="372"/>
      <c r="U72" s="372"/>
      <c r="V72" s="372"/>
      <c r="W72" s="372"/>
      <c r="X72" s="372"/>
      <c r="Y72" s="372"/>
      <c r="Z72" s="372"/>
      <c r="AA72" s="372"/>
      <c r="AB72" s="372"/>
      <c r="AC72" s="372"/>
      <c r="AD72" s="35"/>
      <c r="AE72" s="35"/>
      <c r="AF72" s="11">
        <f t="shared" si="16"/>
        <v>0</v>
      </c>
      <c r="AG72" s="11">
        <f t="shared" si="17"/>
        <v>0</v>
      </c>
      <c r="AH72" s="11">
        <f t="shared" si="18"/>
        <v>0</v>
      </c>
    </row>
    <row r="73" spans="1:124" hidden="1">
      <c r="A73" s="14" t="s">
        <v>66</v>
      </c>
      <c r="B73" s="15"/>
      <c r="C73" s="15">
        <v>0.85</v>
      </c>
      <c r="D73" s="15"/>
      <c r="E73" s="15"/>
      <c r="F73" s="372"/>
      <c r="G73" s="372"/>
      <c r="H73" s="372"/>
      <c r="I73" s="372"/>
      <c r="J73" s="372"/>
      <c r="K73" s="374"/>
      <c r="L73" s="374"/>
      <c r="M73" s="374"/>
      <c r="N73" s="372"/>
      <c r="O73" s="372"/>
      <c r="P73" s="372"/>
      <c r="Q73" s="372"/>
      <c r="R73" s="372"/>
      <c r="S73" s="372"/>
      <c r="T73" s="372"/>
      <c r="U73" s="372"/>
      <c r="V73" s="372"/>
      <c r="W73" s="372"/>
      <c r="X73" s="372"/>
      <c r="Y73" s="372"/>
      <c r="Z73" s="372"/>
      <c r="AA73" s="372"/>
      <c r="AB73" s="372"/>
      <c r="AC73" s="372"/>
      <c r="AD73" s="35"/>
      <c r="AE73" s="35"/>
      <c r="AF73" s="11">
        <f t="shared" si="16"/>
        <v>0</v>
      </c>
      <c r="AG73" s="11">
        <f t="shared" si="17"/>
        <v>0</v>
      </c>
      <c r="AH73" s="11">
        <f t="shared" si="18"/>
        <v>0</v>
      </c>
    </row>
    <row r="74" spans="1:124" hidden="1">
      <c r="A74" s="14" t="s">
        <v>67</v>
      </c>
      <c r="B74" s="19"/>
      <c r="C74" s="15">
        <v>0.85</v>
      </c>
      <c r="D74" s="15"/>
      <c r="E74" s="15"/>
      <c r="F74" s="372"/>
      <c r="G74" s="372"/>
      <c r="H74" s="372"/>
      <c r="I74" s="372"/>
      <c r="J74" s="372"/>
      <c r="K74" s="374"/>
      <c r="L74" s="374"/>
      <c r="M74" s="374"/>
      <c r="N74" s="372"/>
      <c r="O74" s="372"/>
      <c r="P74" s="372"/>
      <c r="Q74" s="372"/>
      <c r="R74" s="372"/>
      <c r="S74" s="372"/>
      <c r="T74" s="372"/>
      <c r="U74" s="372"/>
      <c r="V74" s="372"/>
      <c r="W74" s="372"/>
      <c r="X74" s="372"/>
      <c r="Y74" s="372"/>
      <c r="Z74" s="372"/>
      <c r="AA74" s="372"/>
      <c r="AB74" s="372"/>
      <c r="AC74" s="372"/>
      <c r="AD74" s="29"/>
      <c r="AE74" s="29"/>
      <c r="AF74" s="11">
        <f t="shared" si="16"/>
        <v>0</v>
      </c>
      <c r="AG74" s="11">
        <f t="shared" si="17"/>
        <v>0</v>
      </c>
      <c r="AH74" s="11">
        <f t="shared" si="18"/>
        <v>0</v>
      </c>
    </row>
    <row r="75" spans="1:124" ht="15.75" hidden="1" customHeight="1">
      <c r="A75" s="14" t="s">
        <v>68</v>
      </c>
      <c r="B75" s="9"/>
      <c r="C75" s="15">
        <v>0.85</v>
      </c>
      <c r="D75" s="15"/>
      <c r="E75" s="15"/>
      <c r="F75" s="372"/>
      <c r="G75" s="372"/>
      <c r="H75" s="372"/>
      <c r="I75" s="372"/>
      <c r="J75" s="372"/>
      <c r="K75" s="374"/>
      <c r="L75" s="374"/>
      <c r="M75" s="374"/>
      <c r="N75" s="372"/>
      <c r="O75" s="372"/>
      <c r="P75" s="372"/>
      <c r="Q75" s="372"/>
      <c r="R75" s="372"/>
      <c r="S75" s="372"/>
      <c r="T75" s="372"/>
      <c r="U75" s="372"/>
      <c r="V75" s="372"/>
      <c r="W75" s="372"/>
      <c r="X75" s="372"/>
      <c r="Y75" s="372"/>
      <c r="Z75" s="372"/>
      <c r="AA75" s="372"/>
      <c r="AB75" s="372"/>
      <c r="AC75" s="372"/>
      <c r="AD75" s="31"/>
      <c r="AE75" s="31"/>
      <c r="AF75" s="11">
        <f t="shared" si="16"/>
        <v>0</v>
      </c>
      <c r="AG75" s="11">
        <f t="shared" si="17"/>
        <v>0</v>
      </c>
      <c r="AH75" s="11">
        <f t="shared" si="18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19">SUM(F67:F75)</f>
        <v>0</v>
      </c>
      <c r="G76" s="19">
        <f t="shared" si="19"/>
        <v>0</v>
      </c>
      <c r="H76" s="19">
        <f t="shared" si="19"/>
        <v>0</v>
      </c>
      <c r="I76" s="19">
        <f t="shared" si="19"/>
        <v>0</v>
      </c>
      <c r="J76" s="19">
        <f t="shared" si="19"/>
        <v>0</v>
      </c>
      <c r="K76" s="19">
        <f t="shared" si="19"/>
        <v>0</v>
      </c>
      <c r="L76" s="19">
        <f>SUM(L67:L75)</f>
        <v>0</v>
      </c>
      <c r="M76" s="19">
        <f t="shared" si="19"/>
        <v>0</v>
      </c>
      <c r="N76" s="19">
        <f t="shared" si="19"/>
        <v>0</v>
      </c>
      <c r="O76" s="19">
        <f t="shared" si="19"/>
        <v>0</v>
      </c>
      <c r="P76" s="19">
        <f t="shared" si="19"/>
        <v>0</v>
      </c>
      <c r="Q76" s="19">
        <f>SUM(Q67:Q75)</f>
        <v>0</v>
      </c>
      <c r="R76" s="19">
        <f t="shared" si="19"/>
        <v>0</v>
      </c>
      <c r="S76" s="19">
        <f t="shared" si="19"/>
        <v>0</v>
      </c>
      <c r="T76" s="19">
        <f t="shared" si="19"/>
        <v>0</v>
      </c>
      <c r="U76" s="19">
        <f t="shared" si="19"/>
        <v>0</v>
      </c>
      <c r="V76" s="19">
        <f t="shared" si="19"/>
        <v>0</v>
      </c>
      <c r="W76" s="19">
        <f t="shared" si="19"/>
        <v>0</v>
      </c>
      <c r="X76" s="19">
        <f t="shared" si="19"/>
        <v>0</v>
      </c>
      <c r="Y76" s="19">
        <f t="shared" si="19"/>
        <v>0</v>
      </c>
      <c r="Z76" s="19">
        <f t="shared" si="19"/>
        <v>0</v>
      </c>
      <c r="AA76" s="19">
        <f t="shared" si="19"/>
        <v>0</v>
      </c>
      <c r="AB76" s="19">
        <f t="shared" si="19"/>
        <v>0</v>
      </c>
      <c r="AC76" s="19">
        <f t="shared" si="19"/>
        <v>0</v>
      </c>
      <c r="AD76" s="34"/>
      <c r="AE76" s="34"/>
      <c r="AF76" s="11"/>
      <c r="AG76" s="11"/>
      <c r="AH76" s="11"/>
    </row>
    <row r="77" spans="1:124">
      <c r="A77" s="12" t="s">
        <v>69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 t="s">
        <v>21</v>
      </c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19.989999999999998</v>
      </c>
    </row>
    <row r="78" spans="1:124">
      <c r="A78" s="14" t="s">
        <v>70</v>
      </c>
      <c r="B78" s="20"/>
      <c r="C78" s="15">
        <v>1</v>
      </c>
      <c r="D78" s="15"/>
      <c r="E78" s="15"/>
      <c r="F78" s="372"/>
      <c r="G78" s="372"/>
      <c r="H78" s="372"/>
      <c r="I78" s="372"/>
      <c r="J78" s="372"/>
      <c r="K78" s="374"/>
      <c r="L78" s="374"/>
      <c r="M78" s="374"/>
      <c r="N78" s="372">
        <v>0.71</v>
      </c>
      <c r="O78" s="372">
        <v>0.73</v>
      </c>
      <c r="P78" s="372">
        <v>0.76</v>
      </c>
      <c r="Q78" s="372">
        <v>0.83</v>
      </c>
      <c r="R78" s="372">
        <v>0.84</v>
      </c>
      <c r="S78" s="372">
        <v>0.94</v>
      </c>
      <c r="T78" s="372">
        <v>0.95</v>
      </c>
      <c r="U78" s="372">
        <v>0.94</v>
      </c>
      <c r="V78" s="372">
        <v>0.93</v>
      </c>
      <c r="W78" s="372">
        <v>0.92</v>
      </c>
      <c r="X78" s="372">
        <v>0.89</v>
      </c>
      <c r="Y78" s="372"/>
      <c r="Z78" s="372"/>
      <c r="AA78" s="372"/>
      <c r="AB78" s="372"/>
      <c r="AC78" s="372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11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71</v>
      </c>
      <c r="B79" s="20"/>
      <c r="C79" s="15">
        <v>1</v>
      </c>
      <c r="D79" s="15"/>
      <c r="E79" s="15"/>
      <c r="F79" s="372">
        <v>0.77</v>
      </c>
      <c r="G79" s="372">
        <v>0.73</v>
      </c>
      <c r="H79" s="372">
        <v>0.71</v>
      </c>
      <c r="I79" s="372">
        <v>0.68</v>
      </c>
      <c r="J79" s="372">
        <v>0.67</v>
      </c>
      <c r="K79" s="374">
        <v>0.68</v>
      </c>
      <c r="L79" s="374">
        <v>0.75</v>
      </c>
      <c r="M79" s="374">
        <v>0.71</v>
      </c>
      <c r="N79" s="372"/>
      <c r="O79" s="372"/>
      <c r="P79" s="372"/>
      <c r="Q79" s="372"/>
      <c r="R79" s="372"/>
      <c r="S79" s="372"/>
      <c r="T79" s="372"/>
      <c r="U79" s="372"/>
      <c r="V79" s="372"/>
      <c r="W79" s="372"/>
      <c r="X79" s="372"/>
      <c r="Y79" s="372">
        <v>0.99</v>
      </c>
      <c r="Z79" s="372">
        <v>1</v>
      </c>
      <c r="AA79" s="372">
        <v>1</v>
      </c>
      <c r="AB79" s="372">
        <v>0.96</v>
      </c>
      <c r="AC79" s="372">
        <v>0.9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13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>SUM(F78:F79)</f>
        <v>0.77</v>
      </c>
      <c r="G80" s="19">
        <f t="shared" ref="G80" si="20">SUM(G78:G79)</f>
        <v>0.73</v>
      </c>
      <c r="H80" s="19">
        <f>SUM(H78:H79)</f>
        <v>0.71</v>
      </c>
      <c r="I80" s="19">
        <f>SUM(I78:I79)</f>
        <v>0.68</v>
      </c>
      <c r="J80" s="19">
        <f t="shared" ref="J80:AC80" si="21">SUM(J78:J79)</f>
        <v>0.67</v>
      </c>
      <c r="K80" s="19">
        <f t="shared" si="21"/>
        <v>0.68</v>
      </c>
      <c r="L80" s="19">
        <f>SUM(L78:L79)</f>
        <v>0.75</v>
      </c>
      <c r="M80" s="19">
        <f t="shared" si="21"/>
        <v>0.71</v>
      </c>
      <c r="N80" s="19">
        <f t="shared" si="21"/>
        <v>0.71</v>
      </c>
      <c r="O80" s="19">
        <f>SUM(O78:O79)</f>
        <v>0.73</v>
      </c>
      <c r="P80" s="19">
        <f t="shared" si="21"/>
        <v>0.76</v>
      </c>
      <c r="Q80" s="19">
        <f t="shared" si="21"/>
        <v>0.83</v>
      </c>
      <c r="R80" s="19">
        <f t="shared" si="21"/>
        <v>0.84</v>
      </c>
      <c r="S80" s="19">
        <f t="shared" si="21"/>
        <v>0.94</v>
      </c>
      <c r="T80" s="19">
        <f t="shared" si="21"/>
        <v>0.95</v>
      </c>
      <c r="U80" s="19">
        <f t="shared" si="21"/>
        <v>0.94</v>
      </c>
      <c r="V80" s="19">
        <f t="shared" si="21"/>
        <v>0.93</v>
      </c>
      <c r="W80" s="19">
        <f t="shared" si="21"/>
        <v>0.92</v>
      </c>
      <c r="X80" s="19">
        <f t="shared" si="21"/>
        <v>0.89</v>
      </c>
      <c r="Y80" s="19">
        <f t="shared" si="21"/>
        <v>0.99</v>
      </c>
      <c r="Z80" s="19">
        <f t="shared" si="21"/>
        <v>1</v>
      </c>
      <c r="AA80" s="19">
        <f t="shared" si="21"/>
        <v>1</v>
      </c>
      <c r="AB80" s="19">
        <f t="shared" si="21"/>
        <v>0.96</v>
      </c>
      <c r="AC80" s="19">
        <f t="shared" si="21"/>
        <v>0.9</v>
      </c>
      <c r="AD80" s="34"/>
      <c r="AE80" s="34"/>
      <c r="AF80" s="11"/>
      <c r="AG80" s="11"/>
      <c r="AH80" s="11"/>
    </row>
    <row r="81" spans="1:40" ht="17.45" hidden="1">
      <c r="A81" s="366" t="s">
        <v>72</v>
      </c>
      <c r="B81" s="365"/>
      <c r="C81" s="367">
        <v>2</v>
      </c>
      <c r="D81" s="363"/>
      <c r="E81" s="363"/>
      <c r="F81" s="364"/>
      <c r="G81" s="364"/>
      <c r="H81" s="364"/>
      <c r="I81" s="364"/>
      <c r="J81" s="364"/>
      <c r="K81" s="364"/>
      <c r="L81" s="364"/>
      <c r="M81" s="364"/>
      <c r="N81" s="364"/>
      <c r="O81" s="364"/>
      <c r="P81" s="364"/>
      <c r="Q81" s="364"/>
      <c r="R81" s="364"/>
      <c r="S81" s="364"/>
      <c r="T81" s="364"/>
      <c r="U81" s="364"/>
      <c r="V81" s="364"/>
      <c r="W81" s="364"/>
      <c r="X81" s="364"/>
      <c r="Y81" s="364"/>
      <c r="Z81" s="364"/>
      <c r="AA81" s="364"/>
      <c r="AB81" s="364"/>
      <c r="AC81" s="364"/>
    </row>
    <row r="82" spans="1:40" ht="17.45" hidden="1">
      <c r="A82" s="368"/>
      <c r="B82" s="369"/>
      <c r="C82" s="370"/>
      <c r="D82" s="371"/>
      <c r="E82" s="371"/>
      <c r="F82" s="372"/>
      <c r="G82" s="372"/>
      <c r="H82" s="372"/>
      <c r="I82" s="372"/>
      <c r="J82" s="372"/>
      <c r="K82" s="374"/>
      <c r="L82" s="374"/>
      <c r="M82" s="374"/>
      <c r="N82" s="372"/>
      <c r="O82" s="372"/>
      <c r="P82" s="372"/>
      <c r="Q82" s="372"/>
      <c r="R82" s="372"/>
      <c r="S82" s="372"/>
      <c r="T82" s="372"/>
      <c r="U82" s="372"/>
      <c r="V82" s="372"/>
      <c r="W82" s="372"/>
      <c r="X82" s="372"/>
      <c r="Y82" s="372"/>
      <c r="Z82" s="372"/>
      <c r="AA82" s="372"/>
      <c r="AB82" s="372"/>
      <c r="AC82" s="372"/>
    </row>
    <row r="83" spans="1:40">
      <c r="A83" s="21" t="s">
        <v>73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:AC83" si="22">SUM(F17,F22,F25,F31,F34,F60,F65,F76,F80,F82)</f>
        <v>46.839999999999996</v>
      </c>
      <c r="G83" s="28">
        <f t="shared" si="22"/>
        <v>43.389999999999993</v>
      </c>
      <c r="H83" s="28">
        <f t="shared" si="22"/>
        <v>41.01</v>
      </c>
      <c r="I83" s="28">
        <f t="shared" si="22"/>
        <v>39.990000000000009</v>
      </c>
      <c r="J83" s="28">
        <f t="shared" si="22"/>
        <v>38.530000000000008</v>
      </c>
      <c r="K83" s="28">
        <f t="shared" si="22"/>
        <v>38.99</v>
      </c>
      <c r="L83" s="28">
        <f t="shared" si="22"/>
        <v>42.709999999999994</v>
      </c>
      <c r="M83" s="28">
        <f t="shared" si="22"/>
        <v>40.94</v>
      </c>
      <c r="N83" s="28">
        <f>SUM(N17,N22,N25,N31,N34,N60,N65,N76,N80,N82)</f>
        <v>48.16</v>
      </c>
      <c r="O83" s="28">
        <f>SUM(O17,O22,O25,O31,O34,O60,O65,O76,O80,O82)</f>
        <v>57.27</v>
      </c>
      <c r="P83" s="28">
        <f t="shared" si="22"/>
        <v>62.59</v>
      </c>
      <c r="Q83" s="28">
        <f t="shared" si="22"/>
        <v>64.809999999999988</v>
      </c>
      <c r="R83" s="28">
        <f t="shared" si="22"/>
        <v>64.67</v>
      </c>
      <c r="S83" s="28">
        <f t="shared" si="22"/>
        <v>63.51</v>
      </c>
      <c r="T83" s="28">
        <f t="shared" si="22"/>
        <v>65.680000000000007</v>
      </c>
      <c r="U83" s="28">
        <f>SUM(U17,U22,U25,U31,U34,U60,U65,U76,U80,U82)</f>
        <v>66.989999999999995</v>
      </c>
      <c r="V83" s="28">
        <f t="shared" si="22"/>
        <v>67.19</v>
      </c>
      <c r="W83" s="28">
        <f t="shared" si="22"/>
        <v>61.62</v>
      </c>
      <c r="X83" s="28">
        <f t="shared" si="22"/>
        <v>60.09</v>
      </c>
      <c r="Y83" s="28">
        <f t="shared" si="22"/>
        <v>50.140000000000008</v>
      </c>
      <c r="Z83" s="28">
        <f t="shared" si="22"/>
        <v>59.04</v>
      </c>
      <c r="AA83" s="28">
        <f t="shared" si="22"/>
        <v>60.15</v>
      </c>
      <c r="AB83" s="28">
        <f t="shared" si="22"/>
        <v>55.310000000000009</v>
      </c>
      <c r="AC83" s="28">
        <f t="shared" si="22"/>
        <v>50.819999999999993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25" t="s">
        <v>74</v>
      </c>
      <c r="B85" s="525"/>
      <c r="C85" s="525"/>
      <c r="D85" s="525"/>
      <c r="E85" s="525"/>
      <c r="F85" s="525"/>
      <c r="G85" s="525"/>
      <c r="H85" s="525"/>
      <c r="I85" s="525"/>
      <c r="J85" s="525"/>
      <c r="K85" s="525"/>
      <c r="L85" s="525"/>
      <c r="M85" s="525"/>
      <c r="N85" s="525"/>
      <c r="O85" s="525"/>
      <c r="P85" s="525"/>
      <c r="Q85" s="525"/>
      <c r="R85" s="525"/>
      <c r="S85" s="525"/>
      <c r="T85" s="525"/>
      <c r="U85" s="525"/>
      <c r="V85" s="525"/>
      <c r="W85" s="525"/>
      <c r="X85" s="525"/>
      <c r="Y85" s="525"/>
      <c r="Z85" s="525"/>
      <c r="AA85" s="525"/>
      <c r="AB85" s="525"/>
      <c r="AC85" s="525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</row>
    <row r="87" spans="1:40" ht="17.45">
      <c r="A87" s="500" t="s">
        <v>75</v>
      </c>
      <c r="B87" s="501"/>
      <c r="C87" s="502"/>
      <c r="D87" s="49"/>
      <c r="E87" s="49"/>
      <c r="F87" s="506" t="s">
        <v>76</v>
      </c>
      <c r="G87" s="506"/>
      <c r="H87" s="506"/>
      <c r="I87" s="506"/>
      <c r="J87" s="506"/>
      <c r="K87" s="506"/>
      <c r="L87" s="506"/>
      <c r="M87" s="506"/>
      <c r="N87" s="506"/>
      <c r="O87" s="506"/>
      <c r="P87" s="506"/>
      <c r="Q87" s="506"/>
      <c r="R87" s="506"/>
      <c r="S87" s="506"/>
      <c r="T87" s="506"/>
      <c r="U87" s="506"/>
      <c r="V87" s="506"/>
      <c r="W87" s="506"/>
      <c r="X87" s="506"/>
      <c r="Y87" s="506"/>
      <c r="Z87" s="506"/>
      <c r="AA87" s="506"/>
      <c r="AB87" s="506"/>
      <c r="AC87" s="506"/>
      <c r="AD87" s="5"/>
      <c r="AE87" s="5"/>
      <c r="AF87" s="5"/>
      <c r="AG87" s="5"/>
      <c r="AH87" s="5"/>
    </row>
    <row r="88" spans="1:40" ht="15.6" customHeight="1">
      <c r="A88" s="503"/>
      <c r="B88" s="504"/>
      <c r="C88" s="505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07" t="s">
        <v>27</v>
      </c>
      <c r="B89" s="508"/>
      <c r="C89" s="509"/>
      <c r="D89" s="45"/>
      <c r="E89" s="45"/>
      <c r="F89" s="64">
        <f t="shared" ref="F89:AC89" si="23">SUM(F22,F25)</f>
        <v>3.8</v>
      </c>
      <c r="G89" s="64">
        <f t="shared" si="23"/>
        <v>0</v>
      </c>
      <c r="H89" s="64">
        <f t="shared" si="23"/>
        <v>0</v>
      </c>
      <c r="I89" s="64">
        <f t="shared" si="23"/>
        <v>0</v>
      </c>
      <c r="J89" s="64">
        <f t="shared" si="23"/>
        <v>0</v>
      </c>
      <c r="K89" s="64">
        <f t="shared" si="23"/>
        <v>0</v>
      </c>
      <c r="L89" s="64">
        <f t="shared" si="23"/>
        <v>0</v>
      </c>
      <c r="M89" s="64">
        <f t="shared" si="23"/>
        <v>1.5</v>
      </c>
      <c r="N89" s="64">
        <f t="shared" si="23"/>
        <v>5.8</v>
      </c>
      <c r="O89" s="64">
        <f t="shared" si="23"/>
        <v>10.399999999999999</v>
      </c>
      <c r="P89" s="64">
        <f t="shared" si="23"/>
        <v>10.7</v>
      </c>
      <c r="Q89" s="64">
        <f t="shared" si="23"/>
        <v>10.399999999999999</v>
      </c>
      <c r="R89" s="64">
        <f t="shared" si="23"/>
        <v>10.399999999999999</v>
      </c>
      <c r="S89" s="64">
        <f t="shared" si="23"/>
        <v>10.399999999999999</v>
      </c>
      <c r="T89" s="64">
        <f t="shared" si="23"/>
        <v>10.399999999999999</v>
      </c>
      <c r="U89" s="64">
        <f t="shared" si="23"/>
        <v>10.399999999999999</v>
      </c>
      <c r="V89" s="64">
        <f t="shared" si="23"/>
        <v>10.399999999999999</v>
      </c>
      <c r="W89" s="64">
        <f t="shared" si="23"/>
        <v>10.399999999999999</v>
      </c>
      <c r="X89" s="64">
        <f t="shared" si="23"/>
        <v>10.399999999999999</v>
      </c>
      <c r="Y89" s="64">
        <f t="shared" si="23"/>
        <v>8.1999999999999993</v>
      </c>
      <c r="Z89" s="64">
        <f t="shared" si="23"/>
        <v>10.399999999999999</v>
      </c>
      <c r="AA89" s="64">
        <f t="shared" si="23"/>
        <v>10.399999999999999</v>
      </c>
      <c r="AB89" s="64">
        <f t="shared" si="23"/>
        <v>10.399999999999999</v>
      </c>
      <c r="AC89" s="64">
        <f t="shared" si="23"/>
        <v>6.5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521" t="s">
        <v>77</v>
      </c>
      <c r="B90" s="521"/>
      <c r="C90" s="522"/>
      <c r="D90" s="45"/>
      <c r="E90" s="45"/>
      <c r="F90" s="68">
        <v>0.254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>
        <v>0.193</v>
      </c>
      <c r="O90" s="68">
        <v>0.23599999999999999</v>
      </c>
      <c r="P90" s="68">
        <v>0.27300000000000002</v>
      </c>
      <c r="Q90" s="68">
        <v>0.26500000000000001</v>
      </c>
      <c r="R90" s="68">
        <v>0.26600000000000001</v>
      </c>
      <c r="S90" s="68">
        <v>0.24299999999999999</v>
      </c>
      <c r="T90" s="68">
        <v>0.22600000000000001</v>
      </c>
      <c r="U90" s="68">
        <v>0.217</v>
      </c>
      <c r="V90" s="68">
        <v>0.216</v>
      </c>
      <c r="W90" s="68">
        <v>0.223</v>
      </c>
      <c r="X90" s="68">
        <v>0.21299999999999999</v>
      </c>
      <c r="Y90" s="68">
        <v>0.24299999999999999</v>
      </c>
      <c r="Z90" s="68">
        <v>0.25</v>
      </c>
      <c r="AA90" s="68">
        <v>0.16800000000000001</v>
      </c>
      <c r="AB90" s="68">
        <v>0.253</v>
      </c>
      <c r="AC90" s="68">
        <v>0.191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07" t="s">
        <v>78</v>
      </c>
      <c r="B91" s="508"/>
      <c r="C91" s="509"/>
      <c r="D91" s="45"/>
      <c r="E91" s="45"/>
      <c r="F91" s="64">
        <f t="shared" ref="F91:AC91" si="24">F17</f>
        <v>19.799999999999997</v>
      </c>
      <c r="G91" s="64">
        <f t="shared" si="24"/>
        <v>19.799999999999997</v>
      </c>
      <c r="H91" s="64">
        <f t="shared" si="24"/>
        <v>19.200000000000003</v>
      </c>
      <c r="I91" s="64">
        <f t="shared" si="24"/>
        <v>20.100000000000001</v>
      </c>
      <c r="J91" s="64">
        <f t="shared" si="24"/>
        <v>19.200000000000003</v>
      </c>
      <c r="K91" s="64">
        <f t="shared" si="24"/>
        <v>19.5</v>
      </c>
      <c r="L91" s="64">
        <f t="shared" si="24"/>
        <v>20.100000000000001</v>
      </c>
      <c r="M91" s="64">
        <f t="shared" si="24"/>
        <v>19.799999999999997</v>
      </c>
      <c r="N91" s="64">
        <f t="shared" si="24"/>
        <v>20.2</v>
      </c>
      <c r="O91" s="64">
        <f t="shared" si="24"/>
        <v>20.6</v>
      </c>
      <c r="P91" s="64">
        <f t="shared" si="24"/>
        <v>21.2</v>
      </c>
      <c r="Q91" s="64">
        <f t="shared" si="24"/>
        <v>25.7</v>
      </c>
      <c r="R91" s="64">
        <f t="shared" si="24"/>
        <v>26.200000000000003</v>
      </c>
      <c r="S91" s="64">
        <f t="shared" si="24"/>
        <v>26.4</v>
      </c>
      <c r="T91" s="64">
        <f t="shared" si="24"/>
        <v>26</v>
      </c>
      <c r="U91" s="64">
        <f t="shared" si="24"/>
        <v>26.5</v>
      </c>
      <c r="V91" s="64">
        <f t="shared" si="24"/>
        <v>26.7</v>
      </c>
      <c r="W91" s="64">
        <f t="shared" si="24"/>
        <v>25.5</v>
      </c>
      <c r="X91" s="64">
        <f t="shared" si="24"/>
        <v>21.2</v>
      </c>
      <c r="Y91" s="64">
        <f t="shared" si="24"/>
        <v>17.100000000000001</v>
      </c>
      <c r="Z91" s="64">
        <f t="shared" si="24"/>
        <v>19.799999999999997</v>
      </c>
      <c r="AA91" s="64">
        <f t="shared" si="24"/>
        <v>20.399999999999999</v>
      </c>
      <c r="AB91" s="64">
        <f t="shared" si="24"/>
        <v>20.700000000000003</v>
      </c>
      <c r="AC91" s="64">
        <f t="shared" si="24"/>
        <v>19.799999999999997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21" t="s">
        <v>79</v>
      </c>
      <c r="B92" s="521"/>
      <c r="C92" s="522"/>
      <c r="D92" s="45"/>
      <c r="E92" s="45"/>
      <c r="F92" s="68">
        <v>0.66</v>
      </c>
      <c r="G92" s="68">
        <v>0.67800000000000005</v>
      </c>
      <c r="H92" s="68">
        <v>0.629</v>
      </c>
      <c r="I92" s="68">
        <v>0.81200000000000006</v>
      </c>
      <c r="J92" s="68">
        <v>0.88500000000000001</v>
      </c>
      <c r="K92" s="68">
        <v>0.88500000000000001</v>
      </c>
      <c r="L92" s="68">
        <v>0.88</v>
      </c>
      <c r="M92" s="68">
        <v>0.85499999999999998</v>
      </c>
      <c r="N92" s="68">
        <v>0.82</v>
      </c>
      <c r="O92" s="68">
        <v>0.69699999999999995</v>
      </c>
      <c r="P92" s="68">
        <v>0.70199999999999996</v>
      </c>
      <c r="Q92" s="68">
        <v>0.92500000000000004</v>
      </c>
      <c r="R92" s="68">
        <v>1</v>
      </c>
      <c r="S92" s="68">
        <v>1</v>
      </c>
      <c r="T92" s="68">
        <v>0.78100000000000003</v>
      </c>
      <c r="U92" s="68">
        <v>0.84</v>
      </c>
      <c r="V92" s="68">
        <v>0.99</v>
      </c>
      <c r="W92" s="68">
        <v>0.97399999999999998</v>
      </c>
      <c r="X92" s="68">
        <v>0.94599999999999995</v>
      </c>
      <c r="Y92" s="68">
        <v>0.94799999999999995</v>
      </c>
      <c r="Z92" s="68">
        <v>0.64300000000000002</v>
      </c>
      <c r="AA92" s="68">
        <v>0.57799999999999996</v>
      </c>
      <c r="AB92" s="68">
        <v>0.82399999999999995</v>
      </c>
      <c r="AC92" s="68">
        <v>0.67400000000000004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07" t="s">
        <v>29</v>
      </c>
      <c r="B93" s="508"/>
      <c r="C93" s="509"/>
      <c r="D93" s="45"/>
      <c r="E93" s="45"/>
      <c r="F93" s="65">
        <f t="shared" ref="F93:AC93" si="25">F31</f>
        <v>4.4000000000000004</v>
      </c>
      <c r="G93" s="65">
        <f t="shared" si="25"/>
        <v>4.2</v>
      </c>
      <c r="H93" s="65">
        <f t="shared" si="25"/>
        <v>4.0999999999999996</v>
      </c>
      <c r="I93" s="65">
        <f t="shared" si="25"/>
        <v>4.3</v>
      </c>
      <c r="J93" s="65">
        <f t="shared" si="25"/>
        <v>3.8</v>
      </c>
      <c r="K93" s="65">
        <f t="shared" si="25"/>
        <v>3.9</v>
      </c>
      <c r="L93" s="65">
        <f t="shared" si="25"/>
        <v>3.9</v>
      </c>
      <c r="M93" s="65">
        <f t="shared" si="25"/>
        <v>3.9</v>
      </c>
      <c r="N93" s="65">
        <f t="shared" si="25"/>
        <v>4</v>
      </c>
      <c r="O93" s="65">
        <f t="shared" si="25"/>
        <v>4.2</v>
      </c>
      <c r="P93" s="65">
        <f t="shared" si="25"/>
        <v>11.4</v>
      </c>
      <c r="Q93" s="65">
        <f t="shared" si="25"/>
        <v>10.5</v>
      </c>
      <c r="R93" s="65">
        <f t="shared" si="25"/>
        <v>10</v>
      </c>
      <c r="S93" s="65">
        <f t="shared" si="25"/>
        <v>10.1</v>
      </c>
      <c r="T93" s="65">
        <f>T31</f>
        <v>11.1</v>
      </c>
      <c r="U93" s="65">
        <f t="shared" si="25"/>
        <v>11.3</v>
      </c>
      <c r="V93" s="65">
        <f t="shared" si="25"/>
        <v>11.3</v>
      </c>
      <c r="W93" s="65">
        <f t="shared" si="25"/>
        <v>7.8</v>
      </c>
      <c r="X93" s="65">
        <f t="shared" si="25"/>
        <v>11.4</v>
      </c>
      <c r="Y93" s="65">
        <f t="shared" si="25"/>
        <v>3.4000000000000004</v>
      </c>
      <c r="Z93" s="65">
        <f t="shared" si="25"/>
        <v>6.4</v>
      </c>
      <c r="AA93" s="65">
        <f t="shared" si="25"/>
        <v>7</v>
      </c>
      <c r="AB93" s="65">
        <f t="shared" si="25"/>
        <v>8.3000000000000007</v>
      </c>
      <c r="AC93" s="65">
        <f t="shared" si="25"/>
        <v>8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21" t="s">
        <v>102</v>
      </c>
      <c r="B94" s="521"/>
      <c r="C94" s="522"/>
      <c r="D94" s="45"/>
      <c r="E94" s="45"/>
      <c r="F94" s="68">
        <v>0.182</v>
      </c>
      <c r="G94" s="68">
        <v>0.18099999999999999</v>
      </c>
      <c r="H94" s="68">
        <v>0.17</v>
      </c>
      <c r="I94" s="68">
        <v>0.16300000000000001</v>
      </c>
      <c r="J94" s="68">
        <v>0.14699999999999999</v>
      </c>
      <c r="K94" s="68">
        <v>0.14299999999999999</v>
      </c>
      <c r="L94" s="68">
        <v>0.151</v>
      </c>
      <c r="M94" s="68">
        <v>0.17499999999999999</v>
      </c>
      <c r="N94" s="68">
        <v>0.183</v>
      </c>
      <c r="O94" s="68">
        <v>0.19500000000000001</v>
      </c>
      <c r="P94" s="68">
        <v>0.19500000000000001</v>
      </c>
      <c r="Q94" s="68">
        <v>0.19500000000000001</v>
      </c>
      <c r="R94" s="68">
        <v>0.19500000000000001</v>
      </c>
      <c r="S94" s="68">
        <v>0.222</v>
      </c>
      <c r="T94" s="68">
        <v>0.25900000000000001</v>
      </c>
      <c r="U94" s="68">
        <v>0.25900000000000001</v>
      </c>
      <c r="V94" s="68">
        <v>0.29399999999999998</v>
      </c>
      <c r="W94" s="68">
        <v>0.27100000000000002</v>
      </c>
      <c r="X94" s="68">
        <v>0.26500000000000001</v>
      </c>
      <c r="Y94" s="68">
        <v>0.29399999999999998</v>
      </c>
      <c r="Z94" s="68">
        <v>0.26800000000000002</v>
      </c>
      <c r="AA94" s="68">
        <v>0.25700000000000001</v>
      </c>
      <c r="AB94" s="68">
        <v>0.27200000000000002</v>
      </c>
      <c r="AC94" s="68">
        <v>0.26600000000000001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21" t="s">
        <v>103</v>
      </c>
      <c r="B95" s="521"/>
      <c r="C95" s="522"/>
      <c r="D95" s="45"/>
      <c r="E95" s="45"/>
      <c r="F95" s="68" t="s">
        <v>1</v>
      </c>
      <c r="G95" s="68" t="s">
        <v>1</v>
      </c>
      <c r="H95" s="68" t="s">
        <v>1</v>
      </c>
      <c r="I95" s="68" t="s">
        <v>1</v>
      </c>
      <c r="J95" s="68" t="s">
        <v>1</v>
      </c>
      <c r="K95" s="68" t="s">
        <v>1</v>
      </c>
      <c r="L95" s="68" t="s">
        <v>1</v>
      </c>
      <c r="M95" s="68" t="s">
        <v>1</v>
      </c>
      <c r="N95" s="68" t="s">
        <v>1</v>
      </c>
      <c r="O95" s="68" t="s">
        <v>1</v>
      </c>
      <c r="P95" s="68">
        <v>0.2051</v>
      </c>
      <c r="Q95" s="68">
        <v>0.2</v>
      </c>
      <c r="R95" s="68">
        <v>0.24299999999999999</v>
      </c>
      <c r="S95" s="68">
        <v>0.23599999999999999</v>
      </c>
      <c r="T95" s="68">
        <v>0.23799999999999999</v>
      </c>
      <c r="U95" s="68">
        <v>0.22559999999999999</v>
      </c>
      <c r="V95" s="68">
        <v>0.215</v>
      </c>
      <c r="W95" s="68">
        <v>0.20499999999999999</v>
      </c>
      <c r="X95" s="68">
        <v>0.21199999999999999</v>
      </c>
      <c r="Y95" s="68" t="s">
        <v>1</v>
      </c>
      <c r="Z95" s="68" t="s">
        <v>1</v>
      </c>
      <c r="AA95" s="68" t="s">
        <v>1</v>
      </c>
      <c r="AB95" s="68" t="s">
        <v>1</v>
      </c>
      <c r="AC95" s="68" t="s">
        <v>1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07" t="s">
        <v>32</v>
      </c>
      <c r="B96" s="508"/>
      <c r="C96" s="509"/>
      <c r="D96" s="45"/>
      <c r="E96" s="45"/>
      <c r="F96" s="65">
        <f t="shared" ref="F96:AC96" si="26">F34</f>
        <v>14.27</v>
      </c>
      <c r="G96" s="65">
        <f t="shared" si="26"/>
        <v>14.23</v>
      </c>
      <c r="H96" s="65">
        <f t="shared" si="26"/>
        <v>13.34</v>
      </c>
      <c r="I96" s="65">
        <f t="shared" si="26"/>
        <v>13.37</v>
      </c>
      <c r="J96" s="65">
        <f t="shared" si="26"/>
        <v>13.34</v>
      </c>
      <c r="K96" s="65">
        <f t="shared" si="26"/>
        <v>13.37</v>
      </c>
      <c r="L96" s="65">
        <f t="shared" si="26"/>
        <v>14.18</v>
      </c>
      <c r="M96" s="65">
        <f t="shared" si="26"/>
        <v>14.33</v>
      </c>
      <c r="N96" s="65">
        <f t="shared" si="26"/>
        <v>14.29</v>
      </c>
      <c r="O96" s="65">
        <f t="shared" si="26"/>
        <v>14.31</v>
      </c>
      <c r="P96" s="65">
        <f t="shared" si="26"/>
        <v>14.28</v>
      </c>
      <c r="Q96" s="65">
        <f t="shared" si="26"/>
        <v>14.43</v>
      </c>
      <c r="R96" s="65">
        <f t="shared" si="26"/>
        <v>14.31</v>
      </c>
      <c r="S96" s="65">
        <f t="shared" si="26"/>
        <v>14.27</v>
      </c>
      <c r="T96" s="65">
        <f t="shared" si="26"/>
        <v>14.29</v>
      </c>
      <c r="U96" s="65">
        <f t="shared" si="26"/>
        <v>14.32</v>
      </c>
      <c r="V96" s="65">
        <f t="shared" si="26"/>
        <v>14.33</v>
      </c>
      <c r="W96" s="65">
        <f t="shared" si="26"/>
        <v>14.28</v>
      </c>
      <c r="X96" s="65">
        <f t="shared" si="26"/>
        <v>14.31</v>
      </c>
      <c r="Y96" s="65">
        <f t="shared" si="26"/>
        <v>14.31</v>
      </c>
      <c r="Z96" s="65">
        <f t="shared" si="26"/>
        <v>14.32</v>
      </c>
      <c r="AA96" s="65">
        <f t="shared" si="26"/>
        <v>14.28</v>
      </c>
      <c r="AB96" s="65">
        <f t="shared" si="26"/>
        <v>14.31</v>
      </c>
      <c r="AC96" s="65">
        <f t="shared" si="26"/>
        <v>14.32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21" t="s">
        <v>81</v>
      </c>
      <c r="B97" s="521"/>
      <c r="C97" s="522"/>
      <c r="D97" s="68"/>
      <c r="E97" s="68"/>
      <c r="F97" s="68">
        <v>0.73</v>
      </c>
      <c r="G97" s="68">
        <v>0.77</v>
      </c>
      <c r="H97" s="68">
        <v>0.66</v>
      </c>
      <c r="I97" s="68">
        <v>0.63</v>
      </c>
      <c r="J97" s="68">
        <v>0.66</v>
      </c>
      <c r="K97" s="68">
        <v>0.63</v>
      </c>
      <c r="L97" s="68">
        <v>0.82</v>
      </c>
      <c r="M97" s="68">
        <v>0.67</v>
      </c>
      <c r="N97" s="68">
        <v>0.71</v>
      </c>
      <c r="O97" s="68">
        <v>0.69</v>
      </c>
      <c r="P97" s="68">
        <v>0.72</v>
      </c>
      <c r="Q97" s="68">
        <v>0.68</v>
      </c>
      <c r="R97" s="68">
        <v>0.69</v>
      </c>
      <c r="S97" s="68">
        <v>0.73</v>
      </c>
      <c r="T97" s="68">
        <v>0.71</v>
      </c>
      <c r="U97" s="68">
        <v>0.68</v>
      </c>
      <c r="V97" s="68">
        <v>0.67</v>
      </c>
      <c r="W97" s="68">
        <v>0.72</v>
      </c>
      <c r="X97" s="68">
        <v>0.69</v>
      </c>
      <c r="Y97" s="68">
        <v>0.67</v>
      </c>
      <c r="Z97" s="68">
        <v>0.68</v>
      </c>
      <c r="AA97" s="68">
        <v>0.72</v>
      </c>
      <c r="AB97" s="68">
        <v>0.69</v>
      </c>
      <c r="AC97" s="68">
        <v>0.68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07" t="s">
        <v>33</v>
      </c>
      <c r="B98" s="508"/>
      <c r="C98" s="509"/>
      <c r="D98" s="45"/>
      <c r="E98" s="45"/>
      <c r="F98" s="64">
        <f t="shared" ref="F98:AC98" si="27">F60</f>
        <v>2.8000000000000003</v>
      </c>
      <c r="G98" s="64">
        <f t="shared" si="27"/>
        <v>3.5</v>
      </c>
      <c r="H98" s="64">
        <f t="shared" si="27"/>
        <v>2.8000000000000003</v>
      </c>
      <c r="I98" s="64">
        <f t="shared" si="27"/>
        <v>0.7</v>
      </c>
      <c r="J98" s="64">
        <f t="shared" si="27"/>
        <v>0.7</v>
      </c>
      <c r="K98" s="64">
        <f t="shared" si="27"/>
        <v>0.7</v>
      </c>
      <c r="L98" s="64">
        <f t="shared" si="27"/>
        <v>2.8</v>
      </c>
      <c r="M98" s="64">
        <f t="shared" si="27"/>
        <v>0.7</v>
      </c>
      <c r="N98" s="64">
        <f t="shared" si="27"/>
        <v>2</v>
      </c>
      <c r="O98" s="64">
        <f t="shared" si="27"/>
        <v>5.7000000000000011</v>
      </c>
      <c r="P98" s="64">
        <f t="shared" si="27"/>
        <v>2.8</v>
      </c>
      <c r="Q98" s="64">
        <f t="shared" si="27"/>
        <v>1.4</v>
      </c>
      <c r="R98" s="64">
        <f t="shared" si="27"/>
        <v>1.4</v>
      </c>
      <c r="S98" s="64">
        <f t="shared" si="27"/>
        <v>1.4</v>
      </c>
      <c r="T98" s="64">
        <f t="shared" si="27"/>
        <v>2.0999999999999996</v>
      </c>
      <c r="U98" s="64">
        <f t="shared" si="27"/>
        <v>2.9000000000000004</v>
      </c>
      <c r="V98" s="64">
        <f t="shared" si="27"/>
        <v>2.9000000000000004</v>
      </c>
      <c r="W98" s="64">
        <f t="shared" si="27"/>
        <v>2.0999999999999996</v>
      </c>
      <c r="X98" s="64">
        <f t="shared" si="27"/>
        <v>1.4</v>
      </c>
      <c r="Y98" s="64">
        <f t="shared" si="27"/>
        <v>5.6000000000000005</v>
      </c>
      <c r="Z98" s="64">
        <f t="shared" si="27"/>
        <v>6.4000000000000012</v>
      </c>
      <c r="AA98" s="64">
        <f t="shared" si="27"/>
        <v>6.4000000000000012</v>
      </c>
      <c r="AB98" s="64">
        <f t="shared" si="27"/>
        <v>0</v>
      </c>
      <c r="AC98" s="64">
        <f t="shared" si="27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07" t="s">
        <v>55</v>
      </c>
      <c r="B99" s="508"/>
      <c r="C99" s="509"/>
      <c r="D99" s="45"/>
      <c r="E99" s="45"/>
      <c r="F99" s="64">
        <f t="shared" ref="F99:AC99" si="28">F65</f>
        <v>1</v>
      </c>
      <c r="G99" s="64">
        <f t="shared" si="28"/>
        <v>0.93</v>
      </c>
      <c r="H99" s="64">
        <f t="shared" si="28"/>
        <v>0.86</v>
      </c>
      <c r="I99" s="64">
        <f t="shared" si="28"/>
        <v>0.84</v>
      </c>
      <c r="J99" s="64">
        <f t="shared" si="28"/>
        <v>0.82</v>
      </c>
      <c r="K99" s="64">
        <f t="shared" si="28"/>
        <v>0.84</v>
      </c>
      <c r="L99" s="64">
        <f t="shared" si="28"/>
        <v>0.98</v>
      </c>
      <c r="M99" s="64">
        <f t="shared" si="28"/>
        <v>0</v>
      </c>
      <c r="N99" s="64">
        <f t="shared" si="28"/>
        <v>1.1599999999999999</v>
      </c>
      <c r="O99" s="64">
        <f t="shared" si="28"/>
        <v>1.33</v>
      </c>
      <c r="P99" s="64">
        <f t="shared" si="28"/>
        <v>1.45</v>
      </c>
      <c r="Q99" s="64">
        <f t="shared" si="28"/>
        <v>1.55</v>
      </c>
      <c r="R99" s="64">
        <f t="shared" si="28"/>
        <v>1.52</v>
      </c>
      <c r="S99" s="64">
        <f t="shared" si="28"/>
        <v>0</v>
      </c>
      <c r="T99" s="64">
        <f t="shared" si="28"/>
        <v>0.84</v>
      </c>
      <c r="U99" s="64">
        <f t="shared" si="28"/>
        <v>0.63</v>
      </c>
      <c r="V99" s="64">
        <f t="shared" si="28"/>
        <v>0.63</v>
      </c>
      <c r="W99" s="64">
        <f t="shared" si="28"/>
        <v>0.62</v>
      </c>
      <c r="X99" s="64">
        <f t="shared" si="28"/>
        <v>0.49</v>
      </c>
      <c r="Y99" s="64">
        <f t="shared" si="28"/>
        <v>0.54</v>
      </c>
      <c r="Z99" s="64">
        <f t="shared" si="28"/>
        <v>0.72</v>
      </c>
      <c r="AA99" s="64">
        <f t="shared" si="28"/>
        <v>0.67</v>
      </c>
      <c r="AB99" s="64">
        <f t="shared" si="28"/>
        <v>0.64</v>
      </c>
      <c r="AC99" s="64">
        <f t="shared" si="28"/>
        <v>1.3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07" t="s">
        <v>59</v>
      </c>
      <c r="B100" s="508"/>
      <c r="C100" s="509"/>
      <c r="D100" s="45"/>
      <c r="E100" s="45"/>
      <c r="F100" s="64">
        <f t="shared" ref="F100:AC100" si="29">F76</f>
        <v>0</v>
      </c>
      <c r="G100" s="64">
        <f t="shared" si="29"/>
        <v>0</v>
      </c>
      <c r="H100" s="64">
        <f t="shared" si="29"/>
        <v>0</v>
      </c>
      <c r="I100" s="64">
        <f t="shared" si="29"/>
        <v>0</v>
      </c>
      <c r="J100" s="64">
        <f t="shared" si="29"/>
        <v>0</v>
      </c>
      <c r="K100" s="64">
        <f t="shared" si="29"/>
        <v>0</v>
      </c>
      <c r="L100" s="64">
        <f t="shared" si="29"/>
        <v>0</v>
      </c>
      <c r="M100" s="64">
        <f t="shared" si="29"/>
        <v>0</v>
      </c>
      <c r="N100" s="64">
        <f t="shared" si="29"/>
        <v>0</v>
      </c>
      <c r="O100" s="64">
        <f t="shared" si="29"/>
        <v>0</v>
      </c>
      <c r="P100" s="64">
        <f t="shared" si="29"/>
        <v>0</v>
      </c>
      <c r="Q100" s="64">
        <f t="shared" si="29"/>
        <v>0</v>
      </c>
      <c r="R100" s="64">
        <f t="shared" si="29"/>
        <v>0</v>
      </c>
      <c r="S100" s="64">
        <f t="shared" si="29"/>
        <v>0</v>
      </c>
      <c r="T100" s="64">
        <f t="shared" si="29"/>
        <v>0</v>
      </c>
      <c r="U100" s="64">
        <f t="shared" si="29"/>
        <v>0</v>
      </c>
      <c r="V100" s="64">
        <f t="shared" si="29"/>
        <v>0</v>
      </c>
      <c r="W100" s="64">
        <f t="shared" si="29"/>
        <v>0</v>
      </c>
      <c r="X100" s="64">
        <f t="shared" si="29"/>
        <v>0</v>
      </c>
      <c r="Y100" s="64">
        <f t="shared" si="29"/>
        <v>0</v>
      </c>
      <c r="Z100" s="64">
        <f t="shared" si="29"/>
        <v>0</v>
      </c>
      <c r="AA100" s="64">
        <f t="shared" si="29"/>
        <v>0</v>
      </c>
      <c r="AB100" s="64">
        <f t="shared" si="29"/>
        <v>0</v>
      </c>
      <c r="AC100" s="64">
        <f t="shared" si="29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07" t="s">
        <v>69</v>
      </c>
      <c r="B101" s="508"/>
      <c r="C101" s="509"/>
      <c r="D101" s="45"/>
      <c r="E101" s="45"/>
      <c r="F101" s="64">
        <f t="shared" ref="F101:AC101" si="30">F80</f>
        <v>0.77</v>
      </c>
      <c r="G101" s="64">
        <f t="shared" si="30"/>
        <v>0.73</v>
      </c>
      <c r="H101" s="64">
        <f t="shared" si="30"/>
        <v>0.71</v>
      </c>
      <c r="I101" s="64">
        <f t="shared" si="30"/>
        <v>0.68</v>
      </c>
      <c r="J101" s="64">
        <f t="shared" si="30"/>
        <v>0.67</v>
      </c>
      <c r="K101" s="64">
        <f t="shared" si="30"/>
        <v>0.68</v>
      </c>
      <c r="L101" s="64">
        <f t="shared" si="30"/>
        <v>0.75</v>
      </c>
      <c r="M101" s="64">
        <f t="shared" si="30"/>
        <v>0.71</v>
      </c>
      <c r="N101" s="64">
        <f t="shared" si="30"/>
        <v>0.71</v>
      </c>
      <c r="O101" s="64">
        <f t="shared" si="30"/>
        <v>0.73</v>
      </c>
      <c r="P101" s="64">
        <f t="shared" si="30"/>
        <v>0.76</v>
      </c>
      <c r="Q101" s="64">
        <f t="shared" si="30"/>
        <v>0.83</v>
      </c>
      <c r="R101" s="64">
        <f t="shared" si="30"/>
        <v>0.84</v>
      </c>
      <c r="S101" s="64">
        <f t="shared" si="30"/>
        <v>0.94</v>
      </c>
      <c r="T101" s="64">
        <f t="shared" si="30"/>
        <v>0.95</v>
      </c>
      <c r="U101" s="64">
        <f t="shared" si="30"/>
        <v>0.94</v>
      </c>
      <c r="V101" s="64">
        <f t="shared" si="30"/>
        <v>0.93</v>
      </c>
      <c r="W101" s="64">
        <f t="shared" si="30"/>
        <v>0.92</v>
      </c>
      <c r="X101" s="64">
        <f t="shared" si="30"/>
        <v>0.89</v>
      </c>
      <c r="Y101" s="64">
        <f t="shared" si="30"/>
        <v>0.99</v>
      </c>
      <c r="Z101" s="64">
        <f t="shared" si="30"/>
        <v>1</v>
      </c>
      <c r="AA101" s="64">
        <f t="shared" si="30"/>
        <v>1</v>
      </c>
      <c r="AB101" s="64">
        <f t="shared" si="30"/>
        <v>0.96</v>
      </c>
      <c r="AC101" s="64">
        <f t="shared" si="30"/>
        <v>0.9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07" t="s">
        <v>72</v>
      </c>
      <c r="B102" s="508"/>
      <c r="C102" s="509"/>
      <c r="D102" s="45"/>
      <c r="E102" s="45"/>
      <c r="F102" s="64">
        <f t="shared" ref="F102:AC102" si="31">F82</f>
        <v>0</v>
      </c>
      <c r="G102" s="64">
        <f t="shared" si="31"/>
        <v>0</v>
      </c>
      <c r="H102" s="64">
        <f t="shared" si="31"/>
        <v>0</v>
      </c>
      <c r="I102" s="64">
        <f t="shared" si="31"/>
        <v>0</v>
      </c>
      <c r="J102" s="64">
        <f t="shared" si="31"/>
        <v>0</v>
      </c>
      <c r="K102" s="64">
        <f t="shared" si="31"/>
        <v>0</v>
      </c>
      <c r="L102" s="64">
        <f t="shared" si="31"/>
        <v>0</v>
      </c>
      <c r="M102" s="64">
        <f t="shared" si="31"/>
        <v>0</v>
      </c>
      <c r="N102" s="64">
        <f t="shared" si="31"/>
        <v>0</v>
      </c>
      <c r="O102" s="64">
        <f t="shared" si="31"/>
        <v>0</v>
      </c>
      <c r="P102" s="64">
        <f t="shared" si="31"/>
        <v>0</v>
      </c>
      <c r="Q102" s="64">
        <f t="shared" si="31"/>
        <v>0</v>
      </c>
      <c r="R102" s="64">
        <f t="shared" si="31"/>
        <v>0</v>
      </c>
      <c r="S102" s="64">
        <f t="shared" si="31"/>
        <v>0</v>
      </c>
      <c r="T102" s="64">
        <f t="shared" si="31"/>
        <v>0</v>
      </c>
      <c r="U102" s="64">
        <f t="shared" si="31"/>
        <v>0</v>
      </c>
      <c r="V102" s="64">
        <f t="shared" si="31"/>
        <v>0</v>
      </c>
      <c r="W102" s="64">
        <f t="shared" si="31"/>
        <v>0</v>
      </c>
      <c r="X102" s="64">
        <f t="shared" si="31"/>
        <v>0</v>
      </c>
      <c r="Y102" s="64">
        <f t="shared" si="31"/>
        <v>0</v>
      </c>
      <c r="Z102" s="64">
        <f t="shared" si="31"/>
        <v>0</v>
      </c>
      <c r="AA102" s="64">
        <f t="shared" si="31"/>
        <v>0</v>
      </c>
      <c r="AB102" s="64">
        <f t="shared" si="31"/>
        <v>0</v>
      </c>
      <c r="AC102" s="64">
        <f t="shared" si="31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11" t="s">
        <v>82</v>
      </c>
      <c r="B103" s="511"/>
      <c r="C103" s="511"/>
      <c r="D103" s="47"/>
      <c r="E103" s="47"/>
      <c r="F103" s="61">
        <f t="shared" ref="F103:AC103" si="32">SUM(F89,F91,F93,F96,F98:F102,F81)</f>
        <v>46.839999999999996</v>
      </c>
      <c r="G103" s="61">
        <f t="shared" si="32"/>
        <v>43.389999999999993</v>
      </c>
      <c r="H103" s="61">
        <f t="shared" si="32"/>
        <v>41.01</v>
      </c>
      <c r="I103" s="61">
        <f t="shared" si="32"/>
        <v>39.990000000000009</v>
      </c>
      <c r="J103" s="61">
        <f t="shared" si="32"/>
        <v>38.530000000000008</v>
      </c>
      <c r="K103" s="61">
        <f t="shared" si="32"/>
        <v>38.99</v>
      </c>
      <c r="L103" s="61">
        <f t="shared" si="32"/>
        <v>42.709999999999994</v>
      </c>
      <c r="M103" s="61">
        <f t="shared" si="32"/>
        <v>40.94</v>
      </c>
      <c r="N103" s="61">
        <f t="shared" si="32"/>
        <v>48.16</v>
      </c>
      <c r="O103" s="61">
        <f t="shared" si="32"/>
        <v>57.27</v>
      </c>
      <c r="P103" s="61">
        <f t="shared" si="32"/>
        <v>62.589999999999996</v>
      </c>
      <c r="Q103" s="61">
        <f t="shared" si="32"/>
        <v>64.809999999999988</v>
      </c>
      <c r="R103" s="61">
        <f t="shared" si="32"/>
        <v>64.67</v>
      </c>
      <c r="S103" s="61">
        <f t="shared" si="32"/>
        <v>63.51</v>
      </c>
      <c r="T103" s="61">
        <f t="shared" si="32"/>
        <v>65.680000000000007</v>
      </c>
      <c r="U103" s="61">
        <f t="shared" si="32"/>
        <v>66.989999999999995</v>
      </c>
      <c r="V103" s="61">
        <f t="shared" si="32"/>
        <v>67.19</v>
      </c>
      <c r="W103" s="61">
        <f t="shared" si="32"/>
        <v>61.62</v>
      </c>
      <c r="X103" s="61">
        <f t="shared" si="32"/>
        <v>60.09</v>
      </c>
      <c r="Y103" s="61">
        <f t="shared" si="32"/>
        <v>50.140000000000008</v>
      </c>
      <c r="Z103" s="61">
        <f t="shared" si="32"/>
        <v>59.039999999999992</v>
      </c>
      <c r="AA103" s="61">
        <f t="shared" si="32"/>
        <v>60.15</v>
      </c>
      <c r="AB103" s="61">
        <f t="shared" si="32"/>
        <v>55.310000000000009</v>
      </c>
      <c r="AC103" s="61">
        <f t="shared" si="32"/>
        <v>50.819999999999993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12" t="s">
        <v>83</v>
      </c>
      <c r="B104" s="512"/>
      <c r="C104" s="512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>
        <f>1.52-S99</f>
        <v>1.52</v>
      </c>
      <c r="T104" s="76">
        <f t="shared" ref="T104:Z104" si="33">1.52-T99</f>
        <v>0.68</v>
      </c>
      <c r="U104" s="76">
        <f t="shared" si="33"/>
        <v>0.89</v>
      </c>
      <c r="V104" s="76">
        <f t="shared" si="33"/>
        <v>0.89</v>
      </c>
      <c r="W104" s="76">
        <f t="shared" si="33"/>
        <v>0.9</v>
      </c>
      <c r="X104" s="76">
        <f t="shared" si="33"/>
        <v>1.03</v>
      </c>
      <c r="Y104" s="76">
        <f>(1.52-Y63)</f>
        <v>0.98</v>
      </c>
      <c r="Z104" s="76">
        <f t="shared" si="33"/>
        <v>0.8</v>
      </c>
      <c r="AA104" s="76">
        <f>1.52-AA65</f>
        <v>0.85</v>
      </c>
      <c r="AB104" s="76">
        <f>1.52-AB65</f>
        <v>0.88</v>
      </c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12" t="s">
        <v>84</v>
      </c>
      <c r="B105" s="512"/>
      <c r="C105" s="512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12" t="s">
        <v>85</v>
      </c>
      <c r="B106" s="512"/>
      <c r="C106" s="512"/>
      <c r="D106" s="46"/>
      <c r="E106" s="46"/>
      <c r="F106" s="76"/>
      <c r="G106" s="76"/>
      <c r="H106" s="76"/>
      <c r="I106" s="76"/>
      <c r="J106" s="76"/>
      <c r="K106" s="76"/>
      <c r="L106" s="76"/>
      <c r="M106" s="76">
        <v>0.98</v>
      </c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>
        <f>4.89+7.24</f>
        <v>12.129999999999999</v>
      </c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11" t="s">
        <v>86</v>
      </c>
      <c r="B107" s="511"/>
      <c r="C107" s="511"/>
      <c r="D107" s="47"/>
      <c r="E107" s="47"/>
      <c r="F107" s="61">
        <f t="shared" ref="F107:AC107" si="34">SUM(F104:F106)</f>
        <v>0</v>
      </c>
      <c r="G107" s="61">
        <f t="shared" si="34"/>
        <v>0</v>
      </c>
      <c r="H107" s="61">
        <f t="shared" si="34"/>
        <v>0</v>
      </c>
      <c r="I107" s="61">
        <f t="shared" si="34"/>
        <v>0</v>
      </c>
      <c r="J107" s="61">
        <f t="shared" si="34"/>
        <v>0</v>
      </c>
      <c r="K107" s="61">
        <f t="shared" si="34"/>
        <v>0</v>
      </c>
      <c r="L107" s="61">
        <f t="shared" si="34"/>
        <v>0</v>
      </c>
      <c r="M107" s="61">
        <f t="shared" si="34"/>
        <v>0.98</v>
      </c>
      <c r="N107" s="61">
        <f t="shared" si="34"/>
        <v>0</v>
      </c>
      <c r="O107" s="61">
        <f t="shared" si="34"/>
        <v>0</v>
      </c>
      <c r="P107" s="61">
        <f t="shared" si="34"/>
        <v>0</v>
      </c>
      <c r="Q107" s="61">
        <f t="shared" si="34"/>
        <v>0</v>
      </c>
      <c r="R107" s="61">
        <f t="shared" si="34"/>
        <v>0</v>
      </c>
      <c r="S107" s="61">
        <f t="shared" si="34"/>
        <v>1.52</v>
      </c>
      <c r="T107" s="61">
        <f t="shared" si="34"/>
        <v>0.68</v>
      </c>
      <c r="U107" s="61">
        <f t="shared" si="34"/>
        <v>0.89</v>
      </c>
      <c r="V107" s="61">
        <f t="shared" si="34"/>
        <v>0.89</v>
      </c>
      <c r="W107" s="61">
        <f t="shared" si="34"/>
        <v>0.9</v>
      </c>
      <c r="X107" s="61">
        <f t="shared" si="34"/>
        <v>1.03</v>
      </c>
      <c r="Y107" s="61">
        <f t="shared" si="34"/>
        <v>13.11</v>
      </c>
      <c r="Z107" s="61">
        <f t="shared" si="34"/>
        <v>0.8</v>
      </c>
      <c r="AA107" s="61">
        <f t="shared" si="34"/>
        <v>0.85</v>
      </c>
      <c r="AB107" s="61">
        <f t="shared" si="34"/>
        <v>0.88</v>
      </c>
      <c r="AC107" s="61">
        <f t="shared" si="34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13" t="s">
        <v>87</v>
      </c>
      <c r="B108" s="513"/>
      <c r="C108" s="513"/>
      <c r="D108" s="48"/>
      <c r="E108" s="48"/>
      <c r="F108" s="62">
        <f t="shared" ref="F108:AC108" si="35">F103+F107</f>
        <v>46.839999999999996</v>
      </c>
      <c r="G108" s="62">
        <f t="shared" si="35"/>
        <v>43.389999999999993</v>
      </c>
      <c r="H108" s="62">
        <f t="shared" si="35"/>
        <v>41.01</v>
      </c>
      <c r="I108" s="62">
        <f t="shared" si="35"/>
        <v>39.990000000000009</v>
      </c>
      <c r="J108" s="62">
        <f t="shared" si="35"/>
        <v>38.530000000000008</v>
      </c>
      <c r="K108" s="62">
        <f t="shared" si="35"/>
        <v>38.99</v>
      </c>
      <c r="L108" s="62">
        <f t="shared" si="35"/>
        <v>42.709999999999994</v>
      </c>
      <c r="M108" s="62">
        <f t="shared" si="35"/>
        <v>41.919999999999995</v>
      </c>
      <c r="N108" s="62">
        <f t="shared" si="35"/>
        <v>48.16</v>
      </c>
      <c r="O108" s="62">
        <f t="shared" si="35"/>
        <v>57.27</v>
      </c>
      <c r="P108" s="62">
        <f t="shared" si="35"/>
        <v>62.589999999999996</v>
      </c>
      <c r="Q108" s="62">
        <f t="shared" si="35"/>
        <v>64.809999999999988</v>
      </c>
      <c r="R108" s="62">
        <f t="shared" si="35"/>
        <v>64.67</v>
      </c>
      <c r="S108" s="62">
        <f t="shared" si="35"/>
        <v>65.03</v>
      </c>
      <c r="T108" s="62">
        <f>T103+T107</f>
        <v>66.360000000000014</v>
      </c>
      <c r="U108" s="62">
        <f t="shared" si="35"/>
        <v>67.88</v>
      </c>
      <c r="V108" s="62">
        <f t="shared" si="35"/>
        <v>68.08</v>
      </c>
      <c r="W108" s="62">
        <f>W103+W107</f>
        <v>62.519999999999996</v>
      </c>
      <c r="X108" s="62">
        <f t="shared" si="35"/>
        <v>61.120000000000005</v>
      </c>
      <c r="Y108" s="62">
        <f t="shared" si="35"/>
        <v>63.250000000000007</v>
      </c>
      <c r="Z108" s="62">
        <f t="shared" si="35"/>
        <v>59.839999999999989</v>
      </c>
      <c r="AA108" s="62">
        <f t="shared" si="35"/>
        <v>61</v>
      </c>
      <c r="AB108" s="62">
        <f t="shared" si="35"/>
        <v>56.190000000000012</v>
      </c>
      <c r="AC108" s="62">
        <f t="shared" si="35"/>
        <v>50.819999999999993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14" t="s">
        <v>88</v>
      </c>
      <c r="B109" s="514"/>
      <c r="C109" s="514"/>
      <c r="D109" s="52"/>
      <c r="E109" s="52"/>
      <c r="F109" s="63">
        <f t="shared" ref="F109:AC109" si="36">(COUNT(F13:F16))*7.2+(COUNT(F27:F28)*4.9)+(COUNT(F19:F21)*4.5)-F91-F93</f>
        <v>14.000000000000005</v>
      </c>
      <c r="G109" s="63">
        <f t="shared" si="36"/>
        <v>14.200000000000006</v>
      </c>
      <c r="H109" s="63">
        <f t="shared" si="36"/>
        <v>7.6999999999999975</v>
      </c>
      <c r="I109" s="63">
        <f t="shared" si="36"/>
        <v>6.5999999999999988</v>
      </c>
      <c r="J109" s="63">
        <f t="shared" si="36"/>
        <v>7.9999999999999973</v>
      </c>
      <c r="K109" s="63">
        <f t="shared" si="36"/>
        <v>7.6</v>
      </c>
      <c r="L109" s="63">
        <f t="shared" si="36"/>
        <v>6.9999999999999982</v>
      </c>
      <c r="M109" s="63">
        <f t="shared" si="36"/>
        <v>7.3000000000000025</v>
      </c>
      <c r="N109" s="63">
        <f t="shared" si="36"/>
        <v>6.8000000000000007</v>
      </c>
      <c r="O109" s="63">
        <f t="shared" si="36"/>
        <v>10.7</v>
      </c>
      <c r="P109" s="63">
        <f t="shared" si="36"/>
        <v>2.9000000000000004</v>
      </c>
      <c r="Q109" s="63">
        <f t="shared" si="36"/>
        <v>6.5000000000000036</v>
      </c>
      <c r="R109" s="63">
        <f t="shared" si="36"/>
        <v>6.5</v>
      </c>
      <c r="S109" s="63">
        <f t="shared" si="36"/>
        <v>6.2000000000000046</v>
      </c>
      <c r="T109" s="63">
        <f t="shared" si="36"/>
        <v>5.6000000000000032</v>
      </c>
      <c r="U109" s="63">
        <f t="shared" si="36"/>
        <v>4.9000000000000021</v>
      </c>
      <c r="V109" s="63">
        <f t="shared" si="36"/>
        <v>4.7000000000000028</v>
      </c>
      <c r="W109" s="63">
        <f t="shared" si="36"/>
        <v>14.3</v>
      </c>
      <c r="X109" s="63">
        <f t="shared" si="36"/>
        <v>7.800000000000006</v>
      </c>
      <c r="Y109" s="63">
        <f t="shared" si="36"/>
        <v>19.900000000000006</v>
      </c>
      <c r="Z109" s="63">
        <f t="shared" si="36"/>
        <v>14.200000000000008</v>
      </c>
      <c r="AA109" s="63">
        <f t="shared" si="36"/>
        <v>13.000000000000007</v>
      </c>
      <c r="AB109" s="63">
        <f t="shared" si="36"/>
        <v>11.400000000000002</v>
      </c>
      <c r="AC109" s="63">
        <f t="shared" si="36"/>
        <v>8.1000000000000085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15" t="s">
        <v>89</v>
      </c>
      <c r="B110" s="516"/>
      <c r="C110" s="517"/>
      <c r="D110" s="204"/>
      <c r="E110" s="204"/>
      <c r="F110" s="205">
        <f t="shared" ref="F110:P110" si="37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1.6000000000000041</v>
      </c>
      <c r="G110" s="205">
        <f t="shared" si="37"/>
        <v>8.3000000000000043</v>
      </c>
      <c r="H110" s="205">
        <f t="shared" si="37"/>
        <v>1.7999999999999989</v>
      </c>
      <c r="I110" s="205">
        <f t="shared" si="37"/>
        <v>0.70000000000000018</v>
      </c>
      <c r="J110" s="205">
        <f t="shared" si="37"/>
        <v>2.0999999999999988</v>
      </c>
      <c r="K110" s="205">
        <f t="shared" si="37"/>
        <v>1.7000000000000015</v>
      </c>
      <c r="L110" s="205">
        <f t="shared" si="37"/>
        <v>1.1000000000000001</v>
      </c>
      <c r="M110" s="205">
        <f t="shared" si="37"/>
        <v>4.4000000000000039</v>
      </c>
      <c r="N110" s="205">
        <f t="shared" si="37"/>
        <v>4.1000000000000023</v>
      </c>
      <c r="O110" s="205">
        <f t="shared" si="37"/>
        <v>2.4000000000000004</v>
      </c>
      <c r="P110" s="205">
        <f t="shared" si="37"/>
        <v>-5.6999999999999984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-0.39999999999999769</v>
      </c>
      <c r="R110" s="205">
        <f t="shared" ref="R110:AC110" si="38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-0.8000000000000016</v>
      </c>
      <c r="S110" s="205">
        <f t="shared" si="38"/>
        <v>-1.099999999999997</v>
      </c>
      <c r="T110" s="205">
        <f t="shared" si="38"/>
        <v>-1.6999999999999984</v>
      </c>
      <c r="U110" s="205">
        <f t="shared" si="38"/>
        <v>-2.3999999999999995</v>
      </c>
      <c r="V110" s="205">
        <f t="shared" si="38"/>
        <v>-2.5999999999999988</v>
      </c>
      <c r="W110" s="205">
        <f t="shared" si="38"/>
        <v>6.6</v>
      </c>
      <c r="X110" s="205">
        <f t="shared" si="38"/>
        <v>0.10000000000000231</v>
      </c>
      <c r="Y110" s="205">
        <f t="shared" si="38"/>
        <v>14.399999999999999</v>
      </c>
      <c r="Z110" s="205">
        <f t="shared" si="38"/>
        <v>6.5000000000000053</v>
      </c>
      <c r="AA110" s="205">
        <f t="shared" si="38"/>
        <v>5.3000000000000025</v>
      </c>
      <c r="AB110" s="205">
        <f t="shared" si="38"/>
        <v>3.6999999999999975</v>
      </c>
      <c r="AC110" s="205">
        <f t="shared" si="38"/>
        <v>5.3000000000000043</v>
      </c>
      <c r="AD110" s="26"/>
      <c r="AE110" s="26"/>
      <c r="AF110" s="466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10" t="s">
        <v>91</v>
      </c>
      <c r="B111" s="510"/>
      <c r="C111" s="510"/>
      <c r="D111" s="60"/>
      <c r="E111" s="72"/>
      <c r="F111" s="74">
        <v>60.11</v>
      </c>
      <c r="G111" s="74">
        <v>60.16</v>
      </c>
      <c r="H111" s="74">
        <v>60.16</v>
      </c>
      <c r="I111" s="74">
        <v>60.07</v>
      </c>
      <c r="J111" s="74">
        <v>60.19</v>
      </c>
      <c r="K111" s="74">
        <v>60.13</v>
      </c>
      <c r="L111" s="74">
        <v>60.14</v>
      </c>
      <c r="M111" s="74">
        <v>60.22</v>
      </c>
      <c r="N111" s="74">
        <v>60.23</v>
      </c>
      <c r="O111" s="74">
        <v>60.25</v>
      </c>
      <c r="P111" s="83">
        <v>60.07</v>
      </c>
      <c r="Q111" s="83">
        <v>60.12</v>
      </c>
      <c r="R111" s="83">
        <v>60.15</v>
      </c>
      <c r="S111" s="83">
        <v>60.12</v>
      </c>
      <c r="T111" s="83">
        <v>60.16</v>
      </c>
      <c r="U111" s="74">
        <v>60.23</v>
      </c>
      <c r="V111" s="74">
        <v>60.13</v>
      </c>
      <c r="W111" s="74">
        <v>60.37</v>
      </c>
      <c r="X111" s="74">
        <v>60.06</v>
      </c>
      <c r="Y111" s="74">
        <v>60.58</v>
      </c>
      <c r="Z111" s="74">
        <v>60.3</v>
      </c>
      <c r="AA111" s="74">
        <v>60.23</v>
      </c>
      <c r="AB111" s="74">
        <v>60.01</v>
      </c>
      <c r="AC111" s="74">
        <v>60.2</v>
      </c>
      <c r="AD111" s="26"/>
      <c r="AE111" s="26"/>
      <c r="AF111" s="467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18" t="s">
        <v>93</v>
      </c>
      <c r="B112" s="519"/>
      <c r="C112" s="520"/>
      <c r="D112" s="60"/>
      <c r="E112" s="72"/>
      <c r="F112" s="74"/>
      <c r="G112" s="74"/>
      <c r="H112" s="74"/>
      <c r="I112" s="74"/>
      <c r="J112" s="74"/>
      <c r="K112" s="74"/>
      <c r="L112" s="74"/>
      <c r="M112" s="74"/>
      <c r="N112" s="74"/>
      <c r="O112" s="74"/>
      <c r="P112" s="74"/>
      <c r="Q112" s="74"/>
      <c r="R112" s="74"/>
      <c r="S112" s="74"/>
      <c r="T112" s="74"/>
      <c r="U112" s="74"/>
      <c r="V112" s="74"/>
      <c r="W112" s="74"/>
      <c r="X112" s="74"/>
      <c r="Y112" s="74"/>
      <c r="Z112" s="74"/>
      <c r="AA112" s="74"/>
      <c r="AB112" s="74"/>
      <c r="AC112" s="74"/>
      <c r="AD112" s="26"/>
      <c r="AE112" s="26"/>
      <c r="AF112" s="469"/>
      <c r="AG112" s="472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18" t="s">
        <v>95</v>
      </c>
      <c r="B113" s="519"/>
      <c r="C113" s="520"/>
      <c r="D113" s="60"/>
      <c r="E113" s="74"/>
      <c r="F113" s="74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10" t="s">
        <v>96</v>
      </c>
      <c r="B114" s="510"/>
      <c r="C114" s="510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 t="s">
        <v>101</v>
      </c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10" t="s">
        <v>97</v>
      </c>
      <c r="B115" s="510"/>
      <c r="C115" s="510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499" t="s">
        <v>98</v>
      </c>
      <c r="B117" s="499"/>
      <c r="C117" s="499"/>
      <c r="D117" s="499"/>
      <c r="E117" s="499"/>
      <c r="F117" s="499"/>
      <c r="G117" s="499"/>
      <c r="H117" s="499"/>
      <c r="I117" s="499"/>
      <c r="J117" s="499"/>
      <c r="K117" s="499"/>
      <c r="L117" s="499"/>
      <c r="M117" s="499"/>
      <c r="N117" s="499"/>
      <c r="O117" s="499"/>
      <c r="P117" s="499"/>
      <c r="Q117" s="499"/>
      <c r="R117" s="499"/>
      <c r="S117" s="499"/>
      <c r="T117" s="499"/>
      <c r="U117" s="499"/>
      <c r="V117" s="499"/>
      <c r="W117" s="499"/>
      <c r="X117" s="499"/>
      <c r="Y117" s="499"/>
      <c r="Z117" s="499"/>
      <c r="AA117" s="499"/>
      <c r="AB117" s="499"/>
      <c r="AC117" s="499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00" t="s">
        <v>75</v>
      </c>
      <c r="B119" s="501"/>
      <c r="C119" s="502"/>
      <c r="D119" s="49"/>
      <c r="E119" s="49"/>
      <c r="F119" s="506" t="s">
        <v>76</v>
      </c>
      <c r="G119" s="506"/>
      <c r="H119" s="506"/>
      <c r="I119" s="506"/>
      <c r="J119" s="506"/>
      <c r="K119" s="506"/>
      <c r="L119" s="506"/>
      <c r="M119" s="506"/>
      <c r="N119" s="506"/>
      <c r="O119" s="506"/>
      <c r="P119" s="506"/>
      <c r="Q119" s="506"/>
      <c r="R119" s="506"/>
      <c r="S119" s="506"/>
      <c r="T119" s="506"/>
      <c r="U119" s="506"/>
      <c r="V119" s="506"/>
      <c r="W119" s="506"/>
      <c r="X119" s="506"/>
      <c r="Y119" s="506"/>
      <c r="Z119" s="506"/>
      <c r="AA119" s="506"/>
      <c r="AB119" s="506"/>
      <c r="AC119" s="506"/>
      <c r="AD119" s="5"/>
      <c r="AE119" s="5"/>
      <c r="AF119" s="5"/>
      <c r="AG119" s="5"/>
      <c r="AH119" s="5"/>
    </row>
    <row r="120" spans="1:124" ht="15.6" hidden="1" customHeight="1">
      <c r="A120" s="503"/>
      <c r="B120" s="504"/>
      <c r="C120" s="505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07" t="s">
        <v>27</v>
      </c>
      <c r="B121" s="508"/>
      <c r="C121" s="509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07" t="s">
        <v>78</v>
      </c>
      <c r="B122" s="508"/>
      <c r="C122" s="509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07" t="s">
        <v>29</v>
      </c>
      <c r="B123" s="508"/>
      <c r="C123" s="509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07" t="s">
        <v>32</v>
      </c>
      <c r="B124" s="508"/>
      <c r="C124" s="509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07" t="s">
        <v>33</v>
      </c>
      <c r="B125" s="508"/>
      <c r="C125" s="509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07" t="s">
        <v>55</v>
      </c>
      <c r="B126" s="508"/>
      <c r="C126" s="509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07" t="s">
        <v>59</v>
      </c>
      <c r="B127" s="508"/>
      <c r="C127" s="509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07" t="s">
        <v>69</v>
      </c>
      <c r="B128" s="508"/>
      <c r="C128" s="509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496" t="s">
        <v>99</v>
      </c>
      <c r="B129" s="497"/>
      <c r="C129" s="498"/>
      <c r="D129" s="51"/>
      <c r="E129" s="51"/>
      <c r="F129" s="44">
        <f>SUM(F121:F128)</f>
        <v>0</v>
      </c>
      <c r="G129" s="44">
        <f t="shared" ref="G129:AB129" si="39">SUM(G121:G128)</f>
        <v>0</v>
      </c>
      <c r="H129" s="44">
        <f t="shared" si="39"/>
        <v>0</v>
      </c>
      <c r="I129" s="44">
        <f t="shared" si="39"/>
        <v>0</v>
      </c>
      <c r="J129" s="44">
        <f t="shared" si="39"/>
        <v>0</v>
      </c>
      <c r="K129" s="44">
        <f t="shared" si="39"/>
        <v>0</v>
      </c>
      <c r="L129" s="44">
        <f t="shared" si="39"/>
        <v>0</v>
      </c>
      <c r="M129" s="44">
        <f t="shared" si="39"/>
        <v>0</v>
      </c>
      <c r="N129" s="44">
        <f t="shared" si="39"/>
        <v>0</v>
      </c>
      <c r="O129" s="44">
        <f t="shared" si="39"/>
        <v>0</v>
      </c>
      <c r="P129" s="44">
        <f t="shared" si="39"/>
        <v>0</v>
      </c>
      <c r="Q129" s="44">
        <f t="shared" si="39"/>
        <v>0</v>
      </c>
      <c r="R129" s="44">
        <f t="shared" si="39"/>
        <v>0</v>
      </c>
      <c r="S129" s="44">
        <f t="shared" si="39"/>
        <v>0</v>
      </c>
      <c r="T129" s="44">
        <f t="shared" si="39"/>
        <v>0</v>
      </c>
      <c r="U129" s="44">
        <f t="shared" si="39"/>
        <v>0</v>
      </c>
      <c r="V129" s="44">
        <f t="shared" si="39"/>
        <v>0</v>
      </c>
      <c r="W129" s="44">
        <f t="shared" si="39"/>
        <v>0</v>
      </c>
      <c r="X129" s="44">
        <f t="shared" si="39"/>
        <v>0</v>
      </c>
      <c r="Y129" s="44">
        <f t="shared" si="39"/>
        <v>0</v>
      </c>
      <c r="Z129" s="44">
        <f t="shared" si="39"/>
        <v>0</v>
      </c>
      <c r="AA129" s="44">
        <f t="shared" si="39"/>
        <v>0</v>
      </c>
      <c r="AB129" s="44">
        <f t="shared" si="39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6467" priority="484" operator="greaterThan">
      <formula>60.3</formula>
    </cfRule>
  </conditionalFormatting>
  <conditionalFormatting sqref="F111">
    <cfRule type="cellIs" dxfId="6466" priority="483" operator="greaterThan">
      <formula>60.3</formula>
    </cfRule>
  </conditionalFormatting>
  <conditionalFormatting sqref="H13:J13 H15:M16 P15:P16 N13:S13 L13 Q14:S16 T13:AC16 G62:AC64 G36:AC59">
    <cfRule type="cellIs" dxfId="6465" priority="475" operator="equal">
      <formula>"PMS"</formula>
    </cfRule>
    <cfRule type="containsText" dxfId="6464" priority="476" operator="containsText" text="CMS">
      <formula>NOT(ISERROR(SEARCH("CMS",G13)))</formula>
    </cfRule>
    <cfRule type="cellIs" dxfId="6463" priority="477" operator="equal">
      <formula>0</formula>
    </cfRule>
    <cfRule type="cellIs" dxfId="6462" priority="478" operator="greaterThan">
      <formula>0</formula>
    </cfRule>
    <cfRule type="cellIs" dxfId="6461" priority="479" operator="equal">
      <formula>"PMS"</formula>
    </cfRule>
    <cfRule type="containsText" dxfId="6460" priority="480" operator="containsText" text="CMS">
      <formula>NOT(ISERROR(SEARCH("CMS",G13)))</formula>
    </cfRule>
    <cfRule type="cellIs" dxfId="6459" priority="481" operator="equal">
      <formula>0</formula>
    </cfRule>
    <cfRule type="cellIs" dxfId="6458" priority="482" operator="greaterThan">
      <formula>0</formula>
    </cfRule>
  </conditionalFormatting>
  <conditionalFormatting sqref="H13:J13 H15:M16 P15:P16 N13:S13 L13 Q14:S16 T13:AC16 G62:AC64 G36:AC59">
    <cfRule type="cellIs" dxfId="6457" priority="471" operator="equal">
      <formula>"PMS"</formula>
    </cfRule>
    <cfRule type="containsText" dxfId="6456" priority="472" operator="containsText" text="CMS">
      <formula>NOT(ISERROR(SEARCH("CMS",G13)))</formula>
    </cfRule>
    <cfRule type="cellIs" dxfId="6455" priority="473" operator="equal">
      <formula>0</formula>
    </cfRule>
    <cfRule type="cellIs" dxfId="6454" priority="474" operator="greaterThan">
      <formula>0</formula>
    </cfRule>
  </conditionalFormatting>
  <conditionalFormatting sqref="G20:S20 G21:N21 P21:S21 U19:AC21 T20:T21 G19:Q19">
    <cfRule type="cellIs" dxfId="6453" priority="463" operator="equal">
      <formula>"PMS"</formula>
    </cfRule>
    <cfRule type="containsText" dxfId="6452" priority="464" operator="containsText" text="CMS">
      <formula>NOT(ISERROR(SEARCH("CMS",G19)))</formula>
    </cfRule>
    <cfRule type="cellIs" dxfId="6451" priority="465" operator="equal">
      <formula>0</formula>
    </cfRule>
    <cfRule type="cellIs" dxfId="6450" priority="466" operator="greaterThan">
      <formula>0</formula>
    </cfRule>
    <cfRule type="cellIs" dxfId="6449" priority="467" operator="equal">
      <formula>"PMS"</formula>
    </cfRule>
    <cfRule type="containsText" dxfId="6448" priority="468" operator="containsText" text="CMS">
      <formula>NOT(ISERROR(SEARCH("CMS",G19)))</formula>
    </cfRule>
    <cfRule type="cellIs" dxfId="6447" priority="469" operator="equal">
      <formula>0</formula>
    </cfRule>
    <cfRule type="cellIs" dxfId="6446" priority="470" operator="greaterThan">
      <formula>0</formula>
    </cfRule>
  </conditionalFormatting>
  <conditionalFormatting sqref="G20:S20 G21:N21 P21:S21 U19:AC21 T20:T21 G19:Q19">
    <cfRule type="cellIs" dxfId="6445" priority="459" operator="equal">
      <formula>"PMS"</formula>
    </cfRule>
    <cfRule type="containsText" dxfId="6444" priority="460" operator="containsText" text="CMS">
      <formula>NOT(ISERROR(SEARCH("CMS",G19)))</formula>
    </cfRule>
    <cfRule type="cellIs" dxfId="6443" priority="461" operator="equal">
      <formula>0</formula>
    </cfRule>
    <cfRule type="cellIs" dxfId="6442" priority="462" operator="greaterThan">
      <formula>0</formula>
    </cfRule>
  </conditionalFormatting>
  <conditionalFormatting sqref="V24:AC24 G24:M24 O24:T24">
    <cfRule type="cellIs" dxfId="6441" priority="451" operator="equal">
      <formula>"PMS"</formula>
    </cfRule>
    <cfRule type="containsText" dxfId="6440" priority="452" operator="containsText" text="CMS">
      <formula>NOT(ISERROR(SEARCH("CMS",G24)))</formula>
    </cfRule>
    <cfRule type="cellIs" dxfId="6439" priority="453" operator="equal">
      <formula>0</formula>
    </cfRule>
    <cfRule type="cellIs" dxfId="6438" priority="454" operator="greaterThan">
      <formula>0</formula>
    </cfRule>
    <cfRule type="cellIs" dxfId="6437" priority="455" operator="equal">
      <formula>"PMS"</formula>
    </cfRule>
    <cfRule type="containsText" dxfId="6436" priority="456" operator="containsText" text="CMS">
      <formula>NOT(ISERROR(SEARCH("CMS",G24)))</formula>
    </cfRule>
    <cfRule type="cellIs" dxfId="6435" priority="457" operator="equal">
      <formula>0</formula>
    </cfRule>
    <cfRule type="cellIs" dxfId="6434" priority="458" operator="greaterThan">
      <formula>0</formula>
    </cfRule>
  </conditionalFormatting>
  <conditionalFormatting sqref="V24:AC24 G24:M24 O24:T24">
    <cfRule type="cellIs" dxfId="6433" priority="447" operator="equal">
      <formula>"PMS"</formula>
    </cfRule>
    <cfRule type="containsText" dxfId="6432" priority="448" operator="containsText" text="CMS">
      <formula>NOT(ISERROR(SEARCH("CMS",G24)))</formula>
    </cfRule>
    <cfRule type="cellIs" dxfId="6431" priority="449" operator="equal">
      <formula>0</formula>
    </cfRule>
    <cfRule type="cellIs" dxfId="6430" priority="450" operator="greaterThan">
      <formula>0</formula>
    </cfRule>
  </conditionalFormatting>
  <conditionalFormatting sqref="G27:AC27 H28:AC28 G29:AC30">
    <cfRule type="cellIs" dxfId="6429" priority="439" operator="equal">
      <formula>"PMS"</formula>
    </cfRule>
    <cfRule type="containsText" dxfId="6428" priority="440" operator="containsText" text="CMS">
      <formula>NOT(ISERROR(SEARCH("CMS",G27)))</formula>
    </cfRule>
    <cfRule type="cellIs" dxfId="6427" priority="441" operator="equal">
      <formula>0</formula>
    </cfRule>
    <cfRule type="cellIs" dxfId="6426" priority="442" operator="greaterThan">
      <formula>0</formula>
    </cfRule>
    <cfRule type="cellIs" dxfId="6425" priority="443" operator="equal">
      <formula>"PMS"</formula>
    </cfRule>
    <cfRule type="containsText" dxfId="6424" priority="444" operator="containsText" text="CMS">
      <formula>NOT(ISERROR(SEARCH("CMS",G27)))</formula>
    </cfRule>
    <cfRule type="cellIs" dxfId="6423" priority="445" operator="equal">
      <formula>0</formula>
    </cfRule>
    <cfRule type="cellIs" dxfId="6422" priority="446" operator="greaterThan">
      <formula>0</formula>
    </cfRule>
  </conditionalFormatting>
  <conditionalFormatting sqref="G27:AC27 H28:AC28 G29:AC30">
    <cfRule type="cellIs" dxfId="6421" priority="435" operator="equal">
      <formula>"PMS"</formula>
    </cfRule>
    <cfRule type="containsText" dxfId="6420" priority="436" operator="containsText" text="CMS">
      <formula>NOT(ISERROR(SEARCH("CMS",G27)))</formula>
    </cfRule>
    <cfRule type="cellIs" dxfId="6419" priority="437" operator="equal">
      <formula>0</formula>
    </cfRule>
    <cfRule type="cellIs" dxfId="6418" priority="438" operator="greaterThan">
      <formula>0</formula>
    </cfRule>
  </conditionalFormatting>
  <conditionalFormatting sqref="G33:AC33">
    <cfRule type="cellIs" dxfId="6417" priority="427" operator="equal">
      <formula>"PMS"</formula>
    </cfRule>
    <cfRule type="containsText" dxfId="6416" priority="428" operator="containsText" text="CMS">
      <formula>NOT(ISERROR(SEARCH("CMS",G33)))</formula>
    </cfRule>
    <cfRule type="cellIs" dxfId="6415" priority="429" operator="equal">
      <formula>0</formula>
    </cfRule>
    <cfRule type="cellIs" dxfId="6414" priority="430" operator="greaterThan">
      <formula>0</formula>
    </cfRule>
    <cfRule type="cellIs" dxfId="6413" priority="431" operator="equal">
      <formula>"PMS"</formula>
    </cfRule>
    <cfRule type="containsText" dxfId="6412" priority="432" operator="containsText" text="CMS">
      <formula>NOT(ISERROR(SEARCH("CMS",G33)))</formula>
    </cfRule>
    <cfRule type="cellIs" dxfId="6411" priority="433" operator="equal">
      <formula>0</formula>
    </cfRule>
    <cfRule type="cellIs" dxfId="6410" priority="434" operator="greaterThan">
      <formula>0</formula>
    </cfRule>
  </conditionalFormatting>
  <conditionalFormatting sqref="G33:AC33">
    <cfRule type="cellIs" dxfId="6409" priority="423" operator="equal">
      <formula>"PMS"</formula>
    </cfRule>
    <cfRule type="containsText" dxfId="6408" priority="424" operator="containsText" text="CMS">
      <formula>NOT(ISERROR(SEARCH("CMS",G33)))</formula>
    </cfRule>
    <cfRule type="cellIs" dxfId="6407" priority="425" operator="equal">
      <formula>0</formula>
    </cfRule>
    <cfRule type="cellIs" dxfId="6406" priority="426" operator="greaterThan">
      <formula>0</formula>
    </cfRule>
  </conditionalFormatting>
  <conditionalFormatting sqref="G67:AC75 G78:Q79 S78:AC79">
    <cfRule type="cellIs" dxfId="6405" priority="415" operator="equal">
      <formula>"PMS"</formula>
    </cfRule>
    <cfRule type="containsText" dxfId="6404" priority="416" operator="containsText" text="CMS">
      <formula>NOT(ISERROR(SEARCH("CMS",G67)))</formula>
    </cfRule>
    <cfRule type="cellIs" dxfId="6403" priority="417" operator="equal">
      <formula>0</formula>
    </cfRule>
    <cfRule type="cellIs" dxfId="6402" priority="418" operator="greaterThan">
      <formula>0</formula>
    </cfRule>
    <cfRule type="cellIs" dxfId="6401" priority="419" operator="equal">
      <formula>"PMS"</formula>
    </cfRule>
    <cfRule type="containsText" dxfId="6400" priority="420" operator="containsText" text="CMS">
      <formula>NOT(ISERROR(SEARCH("CMS",G67)))</formula>
    </cfRule>
    <cfRule type="cellIs" dxfId="6399" priority="421" operator="equal">
      <formula>0</formula>
    </cfRule>
    <cfRule type="cellIs" dxfId="6398" priority="422" operator="greaterThan">
      <formula>0</formula>
    </cfRule>
  </conditionalFormatting>
  <conditionalFormatting sqref="G67:AC75 G78:Q79 S78:AC79">
    <cfRule type="cellIs" dxfId="6397" priority="411" operator="equal">
      <formula>"PMS"</formula>
    </cfRule>
    <cfRule type="containsText" dxfId="6396" priority="412" operator="containsText" text="CMS">
      <formula>NOT(ISERROR(SEARCH("CMS",G67)))</formula>
    </cfRule>
    <cfRule type="cellIs" dxfId="6395" priority="413" operator="equal">
      <formula>0</formula>
    </cfRule>
    <cfRule type="cellIs" dxfId="6394" priority="414" operator="greaterThan">
      <formula>0</formula>
    </cfRule>
  </conditionalFormatting>
  <conditionalFormatting sqref="G82:AC82">
    <cfRule type="cellIs" dxfId="6393" priority="403" operator="equal">
      <formula>"PMS"</formula>
    </cfRule>
    <cfRule type="containsText" dxfId="6392" priority="404" operator="containsText" text="CMS">
      <formula>NOT(ISERROR(SEARCH("CMS",G82)))</formula>
    </cfRule>
    <cfRule type="cellIs" dxfId="6391" priority="405" operator="equal">
      <formula>0</formula>
    </cfRule>
    <cfRule type="cellIs" dxfId="6390" priority="406" operator="greaterThan">
      <formula>0</formula>
    </cfRule>
    <cfRule type="cellIs" dxfId="6389" priority="407" operator="equal">
      <formula>"PMS"</formula>
    </cfRule>
    <cfRule type="containsText" dxfId="6388" priority="408" operator="containsText" text="CMS">
      <formula>NOT(ISERROR(SEARCH("CMS",G82)))</formula>
    </cfRule>
    <cfRule type="cellIs" dxfId="6387" priority="409" operator="equal">
      <formula>0</formula>
    </cfRule>
    <cfRule type="cellIs" dxfId="6386" priority="410" operator="greaterThan">
      <formula>0</formula>
    </cfRule>
  </conditionalFormatting>
  <conditionalFormatting sqref="G82:AC82">
    <cfRule type="cellIs" dxfId="6385" priority="399" operator="equal">
      <formula>"PMS"</formula>
    </cfRule>
    <cfRule type="containsText" dxfId="6384" priority="400" operator="containsText" text="CMS">
      <formula>NOT(ISERROR(SEARCH("CMS",G82)))</formula>
    </cfRule>
    <cfRule type="cellIs" dxfId="6383" priority="401" operator="equal">
      <formula>0</formula>
    </cfRule>
    <cfRule type="cellIs" dxfId="6382" priority="402" operator="greaterThan">
      <formula>0</formula>
    </cfRule>
  </conditionalFormatting>
  <conditionalFormatting sqref="N24">
    <cfRule type="cellIs" dxfId="6381" priority="391" operator="equal">
      <formula>"PMS"</formula>
    </cfRule>
    <cfRule type="containsText" dxfId="6380" priority="392" operator="containsText" text="CMS">
      <formula>NOT(ISERROR(SEARCH("CMS",N24)))</formula>
    </cfRule>
    <cfRule type="cellIs" dxfId="6379" priority="393" operator="equal">
      <formula>0</formula>
    </cfRule>
    <cfRule type="cellIs" dxfId="6378" priority="394" operator="greaterThan">
      <formula>0</formula>
    </cfRule>
    <cfRule type="cellIs" dxfId="6377" priority="395" operator="equal">
      <formula>"PMS"</formula>
    </cfRule>
    <cfRule type="containsText" dxfId="6376" priority="396" operator="containsText" text="CMS">
      <formula>NOT(ISERROR(SEARCH("CMS",N24)))</formula>
    </cfRule>
    <cfRule type="cellIs" dxfId="6375" priority="397" operator="equal">
      <formula>0</formula>
    </cfRule>
    <cfRule type="cellIs" dxfId="6374" priority="398" operator="greaterThan">
      <formula>0</formula>
    </cfRule>
  </conditionalFormatting>
  <conditionalFormatting sqref="N24">
    <cfRule type="cellIs" dxfId="6373" priority="387" operator="equal">
      <formula>"PMS"</formula>
    </cfRule>
    <cfRule type="containsText" dxfId="6372" priority="388" operator="containsText" text="CMS">
      <formula>NOT(ISERROR(SEARCH("CMS",N24)))</formula>
    </cfRule>
    <cfRule type="cellIs" dxfId="6371" priority="389" operator="equal">
      <formula>0</formula>
    </cfRule>
    <cfRule type="cellIs" dxfId="6370" priority="390" operator="greaterThan">
      <formula>0</formula>
    </cfRule>
  </conditionalFormatting>
  <conditionalFormatting sqref="U24">
    <cfRule type="cellIs" dxfId="6369" priority="379" operator="equal">
      <formula>"PMS"</formula>
    </cfRule>
    <cfRule type="containsText" dxfId="6368" priority="380" operator="containsText" text="CMS">
      <formula>NOT(ISERROR(SEARCH("CMS",U24)))</formula>
    </cfRule>
    <cfRule type="cellIs" dxfId="6367" priority="381" operator="equal">
      <formula>0</formula>
    </cfRule>
    <cfRule type="cellIs" dxfId="6366" priority="382" operator="greaterThan">
      <formula>0</formula>
    </cfRule>
    <cfRule type="cellIs" dxfId="6365" priority="383" operator="equal">
      <formula>"PMS"</formula>
    </cfRule>
    <cfRule type="containsText" dxfId="6364" priority="384" operator="containsText" text="CMS">
      <formula>NOT(ISERROR(SEARCH("CMS",U24)))</formula>
    </cfRule>
    <cfRule type="cellIs" dxfId="6363" priority="385" operator="equal">
      <formula>0</formula>
    </cfRule>
    <cfRule type="cellIs" dxfId="6362" priority="386" operator="greaterThan">
      <formula>0</formula>
    </cfRule>
  </conditionalFormatting>
  <conditionalFormatting sqref="U24">
    <cfRule type="cellIs" dxfId="6361" priority="375" operator="equal">
      <formula>"PMS"</formula>
    </cfRule>
    <cfRule type="containsText" dxfId="6360" priority="376" operator="containsText" text="CMS">
      <formula>NOT(ISERROR(SEARCH("CMS",U24)))</formula>
    </cfRule>
    <cfRule type="cellIs" dxfId="6359" priority="377" operator="equal">
      <formula>0</formula>
    </cfRule>
    <cfRule type="cellIs" dxfId="6358" priority="378" operator="greaterThan">
      <formula>0</formula>
    </cfRule>
  </conditionalFormatting>
  <conditionalFormatting sqref="H14:P14">
    <cfRule type="cellIs" dxfId="6357" priority="367" operator="equal">
      <formula>"PMS"</formula>
    </cfRule>
    <cfRule type="containsText" dxfId="6356" priority="368" operator="containsText" text="CMS">
      <formula>NOT(ISERROR(SEARCH("CMS",H14)))</formula>
    </cfRule>
    <cfRule type="cellIs" dxfId="6355" priority="369" operator="equal">
      <formula>0</formula>
    </cfRule>
    <cfRule type="cellIs" dxfId="6354" priority="370" operator="greaterThan">
      <formula>0</formula>
    </cfRule>
    <cfRule type="cellIs" dxfId="6353" priority="371" operator="equal">
      <formula>"PMS"</formula>
    </cfRule>
    <cfRule type="containsText" dxfId="6352" priority="372" operator="containsText" text="CMS">
      <formula>NOT(ISERROR(SEARCH("CMS",H14)))</formula>
    </cfRule>
    <cfRule type="cellIs" dxfId="6351" priority="373" operator="equal">
      <formula>0</formula>
    </cfRule>
    <cfRule type="cellIs" dxfId="6350" priority="374" operator="greaterThan">
      <formula>0</formula>
    </cfRule>
  </conditionalFormatting>
  <conditionalFormatting sqref="H14:P14">
    <cfRule type="cellIs" dxfId="6349" priority="363" operator="equal">
      <formula>"PMS"</formula>
    </cfRule>
    <cfRule type="containsText" dxfId="6348" priority="364" operator="containsText" text="CMS">
      <formula>NOT(ISERROR(SEARCH("CMS",H14)))</formula>
    </cfRule>
    <cfRule type="cellIs" dxfId="6347" priority="365" operator="equal">
      <formula>0</formula>
    </cfRule>
    <cfRule type="cellIs" dxfId="6346" priority="366" operator="greaterThan">
      <formula>0</formula>
    </cfRule>
  </conditionalFormatting>
  <conditionalFormatting sqref="F82">
    <cfRule type="cellIs" dxfId="6345" priority="355" operator="equal">
      <formula>"PMS"</formula>
    </cfRule>
    <cfRule type="containsText" dxfId="6344" priority="356" operator="containsText" text="CMS">
      <formula>NOT(ISERROR(SEARCH("CMS",F82)))</formula>
    </cfRule>
    <cfRule type="cellIs" dxfId="6343" priority="357" operator="equal">
      <formula>0</formula>
    </cfRule>
    <cfRule type="cellIs" dxfId="6342" priority="358" operator="greaterThan">
      <formula>0</formula>
    </cfRule>
    <cfRule type="cellIs" dxfId="6341" priority="359" operator="equal">
      <formula>"PMS"</formula>
    </cfRule>
    <cfRule type="containsText" dxfId="6340" priority="360" operator="containsText" text="CMS">
      <formula>NOT(ISERROR(SEARCH("CMS",F82)))</formula>
    </cfRule>
    <cfRule type="cellIs" dxfId="6339" priority="361" operator="equal">
      <formula>0</formula>
    </cfRule>
    <cfRule type="cellIs" dxfId="6338" priority="362" operator="greaterThan">
      <formula>0</formula>
    </cfRule>
  </conditionalFormatting>
  <conditionalFormatting sqref="F82">
    <cfRule type="cellIs" dxfId="6337" priority="351" operator="equal">
      <formula>"PMS"</formula>
    </cfRule>
    <cfRule type="containsText" dxfId="6336" priority="352" operator="containsText" text="CMS">
      <formula>NOT(ISERROR(SEARCH("CMS",F82)))</formula>
    </cfRule>
    <cfRule type="cellIs" dxfId="6335" priority="353" operator="equal">
      <formula>0</formula>
    </cfRule>
    <cfRule type="cellIs" dxfId="6334" priority="354" operator="greaterThan">
      <formula>0</formula>
    </cfRule>
  </conditionalFormatting>
  <conditionalFormatting sqref="R19:T19">
    <cfRule type="cellIs" dxfId="6333" priority="343" operator="equal">
      <formula>"PMS"</formula>
    </cfRule>
    <cfRule type="containsText" dxfId="6332" priority="344" operator="containsText" text="CMS">
      <formula>NOT(ISERROR(SEARCH("CMS",R19)))</formula>
    </cfRule>
    <cfRule type="cellIs" dxfId="6331" priority="345" operator="equal">
      <formula>0</formula>
    </cfRule>
    <cfRule type="cellIs" dxfId="6330" priority="346" operator="greaterThan">
      <formula>0</formula>
    </cfRule>
    <cfRule type="cellIs" dxfId="6329" priority="347" operator="equal">
      <formula>"PMS"</formula>
    </cfRule>
    <cfRule type="containsText" dxfId="6328" priority="348" operator="containsText" text="CMS">
      <formula>NOT(ISERROR(SEARCH("CMS",R19)))</formula>
    </cfRule>
    <cfRule type="cellIs" dxfId="6327" priority="349" operator="equal">
      <formula>0</formula>
    </cfRule>
    <cfRule type="cellIs" dxfId="6326" priority="350" operator="greaterThan">
      <formula>0</formula>
    </cfRule>
  </conditionalFormatting>
  <conditionalFormatting sqref="R19:T19">
    <cfRule type="cellIs" dxfId="6325" priority="339" operator="equal">
      <formula>"PMS"</formula>
    </cfRule>
    <cfRule type="containsText" dxfId="6324" priority="340" operator="containsText" text="CMS">
      <formula>NOT(ISERROR(SEARCH("CMS",R19)))</formula>
    </cfRule>
    <cfRule type="cellIs" dxfId="6323" priority="341" operator="equal">
      <formula>0</formula>
    </cfRule>
    <cfRule type="cellIs" dxfId="6322" priority="342" operator="greaterThan">
      <formula>0</formula>
    </cfRule>
  </conditionalFormatting>
  <conditionalFormatting sqref="G13:G16">
    <cfRule type="cellIs" dxfId="6321" priority="331" operator="equal">
      <formula>"PMS"</formula>
    </cfRule>
    <cfRule type="containsText" dxfId="6320" priority="332" operator="containsText" text="CMS">
      <formula>NOT(ISERROR(SEARCH("CMS",G13)))</formula>
    </cfRule>
    <cfRule type="cellIs" dxfId="6319" priority="333" operator="equal">
      <formula>0</formula>
    </cfRule>
    <cfRule type="cellIs" dxfId="6318" priority="334" operator="greaterThan">
      <formula>0</formula>
    </cfRule>
    <cfRule type="cellIs" dxfId="6317" priority="335" operator="equal">
      <formula>"PMS"</formula>
    </cfRule>
    <cfRule type="containsText" dxfId="6316" priority="336" operator="containsText" text="CMS">
      <formula>NOT(ISERROR(SEARCH("CMS",G13)))</formula>
    </cfRule>
    <cfRule type="cellIs" dxfId="6315" priority="337" operator="equal">
      <formula>0</formula>
    </cfRule>
    <cfRule type="cellIs" dxfId="6314" priority="338" operator="greaterThan">
      <formula>0</formula>
    </cfRule>
  </conditionalFormatting>
  <conditionalFormatting sqref="G13:G16">
    <cfRule type="cellIs" dxfId="6313" priority="327" operator="equal">
      <formula>"PMS"</formula>
    </cfRule>
    <cfRule type="containsText" dxfId="6312" priority="328" operator="containsText" text="CMS">
      <formula>NOT(ISERROR(SEARCH("CMS",G13)))</formula>
    </cfRule>
    <cfRule type="cellIs" dxfId="6311" priority="329" operator="equal">
      <formula>0</formula>
    </cfRule>
    <cfRule type="cellIs" dxfId="6310" priority="330" operator="greaterThan">
      <formula>0</formula>
    </cfRule>
  </conditionalFormatting>
  <conditionalFormatting sqref="M13">
    <cfRule type="cellIs" dxfId="6309" priority="319" operator="equal">
      <formula>"PMS"</formula>
    </cfRule>
    <cfRule type="containsText" dxfId="6308" priority="320" operator="containsText" text="CMS">
      <formula>NOT(ISERROR(SEARCH("CMS",M13)))</formula>
    </cfRule>
    <cfRule type="cellIs" dxfId="6307" priority="321" operator="equal">
      <formula>0</formula>
    </cfRule>
    <cfRule type="cellIs" dxfId="6306" priority="322" operator="greaterThan">
      <formula>0</formula>
    </cfRule>
    <cfRule type="cellIs" dxfId="6305" priority="323" operator="equal">
      <formula>"PMS"</formula>
    </cfRule>
    <cfRule type="containsText" dxfId="6304" priority="324" operator="containsText" text="CMS">
      <formula>NOT(ISERROR(SEARCH("CMS",M13)))</formula>
    </cfRule>
    <cfRule type="cellIs" dxfId="6303" priority="325" operator="equal">
      <formula>0</formula>
    </cfRule>
    <cfRule type="cellIs" dxfId="6302" priority="326" operator="greaterThan">
      <formula>0</formula>
    </cfRule>
  </conditionalFormatting>
  <conditionalFormatting sqref="M13">
    <cfRule type="cellIs" dxfId="6301" priority="315" operator="equal">
      <formula>"PMS"</formula>
    </cfRule>
    <cfRule type="containsText" dxfId="6300" priority="316" operator="containsText" text="CMS">
      <formula>NOT(ISERROR(SEARCH("CMS",M13)))</formula>
    </cfRule>
    <cfRule type="cellIs" dxfId="6299" priority="317" operator="equal">
      <formula>0</formula>
    </cfRule>
    <cfRule type="cellIs" dxfId="6298" priority="318" operator="greaterThan">
      <formula>0</formula>
    </cfRule>
  </conditionalFormatting>
  <conditionalFormatting sqref="R78:R79">
    <cfRule type="cellIs" dxfId="6297" priority="307" operator="equal">
      <formula>"PMS"</formula>
    </cfRule>
    <cfRule type="containsText" dxfId="6296" priority="308" operator="containsText" text="CMS">
      <formula>NOT(ISERROR(SEARCH("CMS",R78)))</formula>
    </cfRule>
    <cfRule type="cellIs" dxfId="6295" priority="309" operator="equal">
      <formula>0</formula>
    </cfRule>
    <cfRule type="cellIs" dxfId="6294" priority="310" operator="greaterThan">
      <formula>0</formula>
    </cfRule>
    <cfRule type="cellIs" dxfId="6293" priority="311" operator="equal">
      <formula>"PMS"</formula>
    </cfRule>
    <cfRule type="containsText" dxfId="6292" priority="312" operator="containsText" text="CMS">
      <formula>NOT(ISERROR(SEARCH("CMS",R78)))</formula>
    </cfRule>
    <cfRule type="cellIs" dxfId="6291" priority="313" operator="equal">
      <formula>0</formula>
    </cfRule>
    <cfRule type="cellIs" dxfId="6290" priority="314" operator="greaterThan">
      <formula>0</formula>
    </cfRule>
  </conditionalFormatting>
  <conditionalFormatting sqref="R78:R79">
    <cfRule type="cellIs" dxfId="6289" priority="303" operator="equal">
      <formula>"PMS"</formula>
    </cfRule>
    <cfRule type="containsText" dxfId="6288" priority="304" operator="containsText" text="CMS">
      <formula>NOT(ISERROR(SEARCH("CMS",R78)))</formula>
    </cfRule>
    <cfRule type="cellIs" dxfId="6287" priority="305" operator="equal">
      <formula>0</formula>
    </cfRule>
    <cfRule type="cellIs" dxfId="6286" priority="306" operator="greaterThan">
      <formula>0</formula>
    </cfRule>
  </conditionalFormatting>
  <conditionalFormatting sqref="O15">
    <cfRule type="cellIs" dxfId="6285" priority="295" operator="equal">
      <formula>"PMS"</formula>
    </cfRule>
    <cfRule type="containsText" dxfId="6284" priority="296" operator="containsText" text="CMS">
      <formula>NOT(ISERROR(SEARCH("CMS",O15)))</formula>
    </cfRule>
    <cfRule type="cellIs" dxfId="6283" priority="297" operator="equal">
      <formula>0</formula>
    </cfRule>
    <cfRule type="cellIs" dxfId="6282" priority="298" operator="greaterThan">
      <formula>0</formula>
    </cfRule>
    <cfRule type="cellIs" dxfId="6281" priority="299" operator="equal">
      <formula>"PMS"</formula>
    </cfRule>
    <cfRule type="containsText" dxfId="6280" priority="300" operator="containsText" text="CMS">
      <formula>NOT(ISERROR(SEARCH("CMS",O15)))</formula>
    </cfRule>
    <cfRule type="cellIs" dxfId="6279" priority="301" operator="equal">
      <formula>0</formula>
    </cfRule>
    <cfRule type="cellIs" dxfId="6278" priority="302" operator="greaterThan">
      <formula>0</formula>
    </cfRule>
  </conditionalFormatting>
  <conditionalFormatting sqref="O15">
    <cfRule type="cellIs" dxfId="6277" priority="291" operator="equal">
      <formula>"PMS"</formula>
    </cfRule>
    <cfRule type="containsText" dxfId="6276" priority="292" operator="containsText" text="CMS">
      <formula>NOT(ISERROR(SEARCH("CMS",O15)))</formula>
    </cfRule>
    <cfRule type="cellIs" dxfId="6275" priority="293" operator="equal">
      <formula>0</formula>
    </cfRule>
    <cfRule type="cellIs" dxfId="6274" priority="294" operator="greaterThan">
      <formula>0</formula>
    </cfRule>
  </conditionalFormatting>
  <conditionalFormatting sqref="O16">
    <cfRule type="cellIs" dxfId="6273" priority="283" operator="equal">
      <formula>"PMS"</formula>
    </cfRule>
    <cfRule type="containsText" dxfId="6272" priority="284" operator="containsText" text="CMS">
      <formula>NOT(ISERROR(SEARCH("CMS",O16)))</formula>
    </cfRule>
    <cfRule type="cellIs" dxfId="6271" priority="285" operator="equal">
      <formula>0</formula>
    </cfRule>
    <cfRule type="cellIs" dxfId="6270" priority="286" operator="greaterThan">
      <formula>0</formula>
    </cfRule>
    <cfRule type="cellIs" dxfId="6269" priority="287" operator="equal">
      <formula>"PMS"</formula>
    </cfRule>
    <cfRule type="containsText" dxfId="6268" priority="288" operator="containsText" text="CMS">
      <formula>NOT(ISERROR(SEARCH("CMS",O16)))</formula>
    </cfRule>
    <cfRule type="cellIs" dxfId="6267" priority="289" operator="equal">
      <formula>0</formula>
    </cfRule>
    <cfRule type="cellIs" dxfId="6266" priority="290" operator="greaterThan">
      <formula>0</formula>
    </cfRule>
  </conditionalFormatting>
  <conditionalFormatting sqref="O16">
    <cfRule type="cellIs" dxfId="6265" priority="279" operator="equal">
      <formula>"PMS"</formula>
    </cfRule>
    <cfRule type="containsText" dxfId="6264" priority="280" operator="containsText" text="CMS">
      <formula>NOT(ISERROR(SEARCH("CMS",O16)))</formula>
    </cfRule>
    <cfRule type="cellIs" dxfId="6263" priority="281" operator="equal">
      <formula>0</formula>
    </cfRule>
    <cfRule type="cellIs" dxfId="6262" priority="282" operator="greaterThan">
      <formula>0</formula>
    </cfRule>
  </conditionalFormatting>
  <conditionalFormatting sqref="N15">
    <cfRule type="cellIs" dxfId="6261" priority="271" operator="equal">
      <formula>"PMS"</formula>
    </cfRule>
    <cfRule type="containsText" dxfId="6260" priority="272" operator="containsText" text="CMS">
      <formula>NOT(ISERROR(SEARCH("CMS",N15)))</formula>
    </cfRule>
    <cfRule type="cellIs" dxfId="6259" priority="273" operator="equal">
      <formula>0</formula>
    </cfRule>
    <cfRule type="cellIs" dxfId="6258" priority="274" operator="greaterThan">
      <formula>0</formula>
    </cfRule>
    <cfRule type="cellIs" dxfId="6257" priority="275" operator="equal">
      <formula>"PMS"</formula>
    </cfRule>
    <cfRule type="containsText" dxfId="6256" priority="276" operator="containsText" text="CMS">
      <formula>NOT(ISERROR(SEARCH("CMS",N15)))</formula>
    </cfRule>
    <cfRule type="cellIs" dxfId="6255" priority="277" operator="equal">
      <formula>0</formula>
    </cfRule>
    <cfRule type="cellIs" dxfId="6254" priority="278" operator="greaterThan">
      <formula>0</formula>
    </cfRule>
  </conditionalFormatting>
  <conditionalFormatting sqref="N15">
    <cfRule type="cellIs" dxfId="6253" priority="267" operator="equal">
      <formula>"PMS"</formula>
    </cfRule>
    <cfRule type="containsText" dxfId="6252" priority="268" operator="containsText" text="CMS">
      <formula>NOT(ISERROR(SEARCH("CMS",N15)))</formula>
    </cfRule>
    <cfRule type="cellIs" dxfId="6251" priority="269" operator="equal">
      <formula>0</formula>
    </cfRule>
    <cfRule type="cellIs" dxfId="6250" priority="270" operator="greaterThan">
      <formula>0</formula>
    </cfRule>
  </conditionalFormatting>
  <conditionalFormatting sqref="N16">
    <cfRule type="cellIs" dxfId="6249" priority="259" operator="equal">
      <formula>"PMS"</formula>
    </cfRule>
    <cfRule type="containsText" dxfId="6248" priority="260" operator="containsText" text="CMS">
      <formula>NOT(ISERROR(SEARCH("CMS",N16)))</formula>
    </cfRule>
    <cfRule type="cellIs" dxfId="6247" priority="261" operator="equal">
      <formula>0</formula>
    </cfRule>
    <cfRule type="cellIs" dxfId="6246" priority="262" operator="greaterThan">
      <formula>0</formula>
    </cfRule>
    <cfRule type="cellIs" dxfId="6245" priority="263" operator="equal">
      <formula>"PMS"</formula>
    </cfRule>
    <cfRule type="containsText" dxfId="6244" priority="264" operator="containsText" text="CMS">
      <formula>NOT(ISERROR(SEARCH("CMS",N16)))</formula>
    </cfRule>
    <cfRule type="cellIs" dxfId="6243" priority="265" operator="equal">
      <formula>0</formula>
    </cfRule>
    <cfRule type="cellIs" dxfId="6242" priority="266" operator="greaterThan">
      <formula>0</formula>
    </cfRule>
  </conditionalFormatting>
  <conditionalFormatting sqref="N16">
    <cfRule type="cellIs" dxfId="6241" priority="255" operator="equal">
      <formula>"PMS"</formula>
    </cfRule>
    <cfRule type="containsText" dxfId="6240" priority="256" operator="containsText" text="CMS">
      <formula>NOT(ISERROR(SEARCH("CMS",N16)))</formula>
    </cfRule>
    <cfRule type="cellIs" dxfId="6239" priority="257" operator="equal">
      <formula>0</formula>
    </cfRule>
    <cfRule type="cellIs" dxfId="6238" priority="258" operator="greaterThan">
      <formula>0</formula>
    </cfRule>
  </conditionalFormatting>
  <conditionalFormatting sqref="O21">
    <cfRule type="cellIs" dxfId="6237" priority="247" operator="equal">
      <formula>"PMS"</formula>
    </cfRule>
    <cfRule type="containsText" dxfId="6236" priority="248" operator="containsText" text="CMS">
      <formula>NOT(ISERROR(SEARCH("CMS",O21)))</formula>
    </cfRule>
    <cfRule type="cellIs" dxfId="6235" priority="249" operator="equal">
      <formula>0</formula>
    </cfRule>
    <cfRule type="cellIs" dxfId="6234" priority="250" operator="greaterThan">
      <formula>0</formula>
    </cfRule>
    <cfRule type="cellIs" dxfId="6233" priority="251" operator="equal">
      <formula>"PMS"</formula>
    </cfRule>
    <cfRule type="containsText" dxfId="6232" priority="252" operator="containsText" text="CMS">
      <formula>NOT(ISERROR(SEARCH("CMS",O21)))</formula>
    </cfRule>
    <cfRule type="cellIs" dxfId="6231" priority="253" operator="equal">
      <formula>0</formula>
    </cfRule>
    <cfRule type="cellIs" dxfId="6230" priority="254" operator="greaterThan">
      <formula>0</formula>
    </cfRule>
  </conditionalFormatting>
  <conditionalFormatting sqref="O21">
    <cfRule type="cellIs" dxfId="6229" priority="243" operator="equal">
      <formula>"PMS"</formula>
    </cfRule>
    <cfRule type="containsText" dxfId="6228" priority="244" operator="containsText" text="CMS">
      <formula>NOT(ISERROR(SEARCH("CMS",O21)))</formula>
    </cfRule>
    <cfRule type="cellIs" dxfId="6227" priority="245" operator="equal">
      <formula>0</formula>
    </cfRule>
    <cfRule type="cellIs" dxfId="6226" priority="246" operator="greaterThan">
      <formula>0</formula>
    </cfRule>
  </conditionalFormatting>
  <conditionalFormatting sqref="G28">
    <cfRule type="cellIs" dxfId="6225" priority="235" operator="equal">
      <formula>"PMS"</formula>
    </cfRule>
    <cfRule type="containsText" dxfId="6224" priority="236" operator="containsText" text="CMS">
      <formula>NOT(ISERROR(SEARCH("CMS",G28)))</formula>
    </cfRule>
    <cfRule type="cellIs" dxfId="6223" priority="237" operator="equal">
      <formula>0</formula>
    </cfRule>
    <cfRule type="cellIs" dxfId="6222" priority="238" operator="greaterThan">
      <formula>0</formula>
    </cfRule>
    <cfRule type="cellIs" dxfId="6221" priority="239" operator="equal">
      <formula>"PMS"</formula>
    </cfRule>
    <cfRule type="containsText" dxfId="6220" priority="240" operator="containsText" text="CMS">
      <formula>NOT(ISERROR(SEARCH("CMS",G28)))</formula>
    </cfRule>
    <cfRule type="cellIs" dxfId="6219" priority="241" operator="equal">
      <formula>0</formula>
    </cfRule>
    <cfRule type="cellIs" dxfId="6218" priority="242" operator="greaterThan">
      <formula>0</formula>
    </cfRule>
  </conditionalFormatting>
  <conditionalFormatting sqref="G28">
    <cfRule type="cellIs" dxfId="6217" priority="231" operator="equal">
      <formula>"PMS"</formula>
    </cfRule>
    <cfRule type="containsText" dxfId="6216" priority="232" operator="containsText" text="CMS">
      <formula>NOT(ISERROR(SEARCH("CMS",G28)))</formula>
    </cfRule>
    <cfRule type="cellIs" dxfId="6215" priority="233" operator="equal">
      <formula>0</formula>
    </cfRule>
    <cfRule type="cellIs" dxfId="6214" priority="234" operator="greaterThan">
      <formula>0</formula>
    </cfRule>
  </conditionalFormatting>
  <conditionalFormatting sqref="K13">
    <cfRule type="cellIs" dxfId="6213" priority="223" operator="equal">
      <formula>"PMS"</formula>
    </cfRule>
    <cfRule type="containsText" dxfId="6212" priority="224" operator="containsText" text="CMS">
      <formula>NOT(ISERROR(SEARCH("CMS",K13)))</formula>
    </cfRule>
    <cfRule type="cellIs" dxfId="6211" priority="225" operator="equal">
      <formula>0</formula>
    </cfRule>
    <cfRule type="cellIs" dxfId="6210" priority="226" operator="greaterThan">
      <formula>0</formula>
    </cfRule>
    <cfRule type="cellIs" dxfId="6209" priority="227" operator="equal">
      <formula>"PMS"</formula>
    </cfRule>
    <cfRule type="containsText" dxfId="6208" priority="228" operator="containsText" text="CMS">
      <formula>NOT(ISERROR(SEARCH("CMS",K13)))</formula>
    </cfRule>
    <cfRule type="cellIs" dxfId="6207" priority="229" operator="equal">
      <formula>0</formula>
    </cfRule>
    <cfRule type="cellIs" dxfId="6206" priority="230" operator="greaterThan">
      <formula>0</formula>
    </cfRule>
  </conditionalFormatting>
  <conditionalFormatting sqref="K13">
    <cfRule type="cellIs" dxfId="6205" priority="219" operator="equal">
      <formula>"PMS"</formula>
    </cfRule>
    <cfRule type="containsText" dxfId="6204" priority="220" operator="containsText" text="CMS">
      <formula>NOT(ISERROR(SEARCH("CMS",K13)))</formula>
    </cfRule>
    <cfRule type="cellIs" dxfId="6203" priority="221" operator="equal">
      <formula>0</formula>
    </cfRule>
    <cfRule type="cellIs" dxfId="6202" priority="222" operator="greaterThan">
      <formula>0</formula>
    </cfRule>
  </conditionalFormatting>
  <conditionalFormatting sqref="F67:F75">
    <cfRule type="cellIs" dxfId="6201" priority="199" operator="equal">
      <formula>"PMS"</formula>
    </cfRule>
    <cfRule type="containsText" dxfId="6200" priority="200" operator="containsText" text="CMS">
      <formula>NOT(ISERROR(SEARCH("CMS",F67)))</formula>
    </cfRule>
    <cfRule type="cellIs" dxfId="6199" priority="201" operator="equal">
      <formula>0</formula>
    </cfRule>
    <cfRule type="cellIs" dxfId="6198" priority="202" operator="greaterThan">
      <formula>0</formula>
    </cfRule>
    <cfRule type="cellIs" dxfId="6197" priority="203" operator="equal">
      <formula>"PMS"</formula>
    </cfRule>
    <cfRule type="containsText" dxfId="6196" priority="204" operator="containsText" text="CMS">
      <formula>NOT(ISERROR(SEARCH("CMS",F67)))</formula>
    </cfRule>
    <cfRule type="cellIs" dxfId="6195" priority="205" operator="equal">
      <formula>0</formula>
    </cfRule>
    <cfRule type="cellIs" dxfId="6194" priority="206" operator="greaterThan">
      <formula>0</formula>
    </cfRule>
  </conditionalFormatting>
  <conditionalFormatting sqref="F67:F75">
    <cfRule type="cellIs" dxfId="6193" priority="195" operator="equal">
      <formula>"PMS"</formula>
    </cfRule>
    <cfRule type="containsText" dxfId="6192" priority="196" operator="containsText" text="CMS">
      <formula>NOT(ISERROR(SEARCH("CMS",F67)))</formula>
    </cfRule>
    <cfRule type="cellIs" dxfId="6191" priority="197" operator="equal">
      <formula>0</formula>
    </cfRule>
    <cfRule type="cellIs" dxfId="6190" priority="198" operator="greaterThan">
      <formula>0</formula>
    </cfRule>
  </conditionalFormatting>
  <conditionalFormatting sqref="E113:AC113 F112:N112">
    <cfRule type="cellIs" dxfId="6189" priority="194" operator="greaterThan">
      <formula>60.3</formula>
    </cfRule>
  </conditionalFormatting>
  <conditionalFormatting sqref="O112:AC112">
    <cfRule type="cellIs" dxfId="6188" priority="97" operator="greaterThan">
      <formula>60.3</formula>
    </cfRule>
  </conditionalFormatting>
  <conditionalFormatting sqref="F13:F16">
    <cfRule type="cellIs" dxfId="6187" priority="89" operator="equal">
      <formula>"PMS"</formula>
    </cfRule>
    <cfRule type="containsText" dxfId="6186" priority="90" operator="containsText" text="CMS">
      <formula>NOT(ISERROR(SEARCH("CMS",F13)))</formula>
    </cfRule>
    <cfRule type="cellIs" dxfId="6185" priority="91" operator="equal">
      <formula>0</formula>
    </cfRule>
    <cfRule type="cellIs" dxfId="6184" priority="92" operator="greaterThan">
      <formula>0</formula>
    </cfRule>
    <cfRule type="cellIs" dxfId="6183" priority="93" operator="equal">
      <formula>"PMS"</formula>
    </cfRule>
    <cfRule type="containsText" dxfId="6182" priority="94" operator="containsText" text="CMS">
      <formula>NOT(ISERROR(SEARCH("CMS",F13)))</formula>
    </cfRule>
    <cfRule type="cellIs" dxfId="6181" priority="95" operator="equal">
      <formula>0</formula>
    </cfRule>
    <cfRule type="cellIs" dxfId="6180" priority="96" operator="greaterThan">
      <formula>0</formula>
    </cfRule>
  </conditionalFormatting>
  <conditionalFormatting sqref="F13:F16">
    <cfRule type="cellIs" dxfId="6179" priority="85" operator="equal">
      <formula>"PMS"</formula>
    </cfRule>
    <cfRule type="containsText" dxfId="6178" priority="86" operator="containsText" text="CMS">
      <formula>NOT(ISERROR(SEARCH("CMS",F13)))</formula>
    </cfRule>
    <cfRule type="cellIs" dxfId="6177" priority="87" operator="equal">
      <formula>0</formula>
    </cfRule>
    <cfRule type="cellIs" dxfId="6176" priority="88" operator="greaterThan">
      <formula>0</formula>
    </cfRule>
  </conditionalFormatting>
  <conditionalFormatting sqref="F19:F21">
    <cfRule type="cellIs" dxfId="6175" priority="77" operator="equal">
      <formula>"PMS"</formula>
    </cfRule>
    <cfRule type="containsText" dxfId="6174" priority="78" operator="containsText" text="CMS">
      <formula>NOT(ISERROR(SEARCH("CMS",F19)))</formula>
    </cfRule>
    <cfRule type="cellIs" dxfId="6173" priority="79" operator="equal">
      <formula>0</formula>
    </cfRule>
    <cfRule type="cellIs" dxfId="6172" priority="80" operator="greaterThan">
      <formula>0</formula>
    </cfRule>
    <cfRule type="cellIs" dxfId="6171" priority="81" operator="equal">
      <formula>"PMS"</formula>
    </cfRule>
    <cfRule type="containsText" dxfId="6170" priority="82" operator="containsText" text="CMS">
      <formula>NOT(ISERROR(SEARCH("CMS",F19)))</formula>
    </cfRule>
    <cfRule type="cellIs" dxfId="6169" priority="83" operator="equal">
      <formula>0</formula>
    </cfRule>
    <cfRule type="cellIs" dxfId="6168" priority="84" operator="greaterThan">
      <formula>0</formula>
    </cfRule>
  </conditionalFormatting>
  <conditionalFormatting sqref="F19:F21">
    <cfRule type="cellIs" dxfId="6167" priority="73" operator="equal">
      <formula>"PMS"</formula>
    </cfRule>
    <cfRule type="containsText" dxfId="6166" priority="74" operator="containsText" text="CMS">
      <formula>NOT(ISERROR(SEARCH("CMS",F19)))</formula>
    </cfRule>
    <cfRule type="cellIs" dxfId="6165" priority="75" operator="equal">
      <formula>0</formula>
    </cfRule>
    <cfRule type="cellIs" dxfId="6164" priority="76" operator="greaterThan">
      <formula>0</formula>
    </cfRule>
  </conditionalFormatting>
  <conditionalFormatting sqref="F24">
    <cfRule type="cellIs" dxfId="6163" priority="65" operator="equal">
      <formula>"PMS"</formula>
    </cfRule>
    <cfRule type="containsText" dxfId="6162" priority="66" operator="containsText" text="CMS">
      <formula>NOT(ISERROR(SEARCH("CMS",F24)))</formula>
    </cfRule>
    <cfRule type="cellIs" dxfId="6161" priority="67" operator="equal">
      <formula>0</formula>
    </cfRule>
    <cfRule type="cellIs" dxfId="6160" priority="68" operator="greaterThan">
      <formula>0</formula>
    </cfRule>
    <cfRule type="cellIs" dxfId="6159" priority="69" operator="equal">
      <formula>"PMS"</formula>
    </cfRule>
    <cfRule type="containsText" dxfId="6158" priority="70" operator="containsText" text="CMS">
      <formula>NOT(ISERROR(SEARCH("CMS",F24)))</formula>
    </cfRule>
    <cfRule type="cellIs" dxfId="6157" priority="71" operator="equal">
      <formula>0</formula>
    </cfRule>
    <cfRule type="cellIs" dxfId="6156" priority="72" operator="greaterThan">
      <formula>0</formula>
    </cfRule>
  </conditionalFormatting>
  <conditionalFormatting sqref="F24">
    <cfRule type="cellIs" dxfId="6155" priority="61" operator="equal">
      <formula>"PMS"</formula>
    </cfRule>
    <cfRule type="containsText" dxfId="6154" priority="62" operator="containsText" text="CMS">
      <formula>NOT(ISERROR(SEARCH("CMS",F24)))</formula>
    </cfRule>
    <cfRule type="cellIs" dxfId="6153" priority="63" operator="equal">
      <formula>0</formula>
    </cfRule>
    <cfRule type="cellIs" dxfId="6152" priority="64" operator="greaterThan">
      <formula>0</formula>
    </cfRule>
  </conditionalFormatting>
  <conditionalFormatting sqref="F27:F30">
    <cfRule type="cellIs" dxfId="6151" priority="53" operator="equal">
      <formula>"PMS"</formula>
    </cfRule>
    <cfRule type="containsText" dxfId="6150" priority="54" operator="containsText" text="CMS">
      <formula>NOT(ISERROR(SEARCH("CMS",F27)))</formula>
    </cfRule>
    <cfRule type="cellIs" dxfId="6149" priority="55" operator="equal">
      <formula>0</formula>
    </cfRule>
    <cfRule type="cellIs" dxfId="6148" priority="56" operator="greaterThan">
      <formula>0</formula>
    </cfRule>
    <cfRule type="cellIs" dxfId="6147" priority="57" operator="equal">
      <formula>"PMS"</formula>
    </cfRule>
    <cfRule type="containsText" dxfId="6146" priority="58" operator="containsText" text="CMS">
      <formula>NOT(ISERROR(SEARCH("CMS",F27)))</formula>
    </cfRule>
    <cfRule type="cellIs" dxfId="6145" priority="59" operator="equal">
      <formula>0</formula>
    </cfRule>
    <cfRule type="cellIs" dxfId="6144" priority="60" operator="greaterThan">
      <formula>0</formula>
    </cfRule>
  </conditionalFormatting>
  <conditionalFormatting sqref="F27:F30">
    <cfRule type="cellIs" dxfId="6143" priority="49" operator="equal">
      <formula>"PMS"</formula>
    </cfRule>
    <cfRule type="containsText" dxfId="6142" priority="50" operator="containsText" text="CMS">
      <formula>NOT(ISERROR(SEARCH("CMS",F27)))</formula>
    </cfRule>
    <cfRule type="cellIs" dxfId="6141" priority="51" operator="equal">
      <formula>0</formula>
    </cfRule>
    <cfRule type="cellIs" dxfId="6140" priority="52" operator="greaterThan">
      <formula>0</formula>
    </cfRule>
  </conditionalFormatting>
  <conditionalFormatting sqref="F33">
    <cfRule type="cellIs" dxfId="6139" priority="41" operator="equal">
      <formula>"PMS"</formula>
    </cfRule>
    <cfRule type="containsText" dxfId="6138" priority="42" operator="containsText" text="CMS">
      <formula>NOT(ISERROR(SEARCH("CMS",F33)))</formula>
    </cfRule>
    <cfRule type="cellIs" dxfId="6137" priority="43" operator="equal">
      <formula>0</formula>
    </cfRule>
    <cfRule type="cellIs" dxfId="6136" priority="44" operator="greaterThan">
      <formula>0</formula>
    </cfRule>
    <cfRule type="cellIs" dxfId="6135" priority="45" operator="equal">
      <formula>"PMS"</formula>
    </cfRule>
    <cfRule type="containsText" dxfId="6134" priority="46" operator="containsText" text="CMS">
      <formula>NOT(ISERROR(SEARCH("CMS",F33)))</formula>
    </cfRule>
    <cfRule type="cellIs" dxfId="6133" priority="47" operator="equal">
      <formula>0</formula>
    </cfRule>
    <cfRule type="cellIs" dxfId="6132" priority="48" operator="greaterThan">
      <formula>0</formula>
    </cfRule>
  </conditionalFormatting>
  <conditionalFormatting sqref="F33">
    <cfRule type="cellIs" dxfId="6131" priority="37" operator="equal">
      <formula>"PMS"</formula>
    </cfRule>
    <cfRule type="containsText" dxfId="6130" priority="38" operator="containsText" text="CMS">
      <formula>NOT(ISERROR(SEARCH("CMS",F33)))</formula>
    </cfRule>
    <cfRule type="cellIs" dxfId="6129" priority="39" operator="equal">
      <formula>0</formula>
    </cfRule>
    <cfRule type="cellIs" dxfId="6128" priority="40" operator="greaterThan">
      <formula>0</formula>
    </cfRule>
  </conditionalFormatting>
  <conditionalFormatting sqref="F36:F59">
    <cfRule type="cellIs" dxfId="6127" priority="29" operator="equal">
      <formula>"PMS"</formula>
    </cfRule>
    <cfRule type="containsText" dxfId="6126" priority="30" operator="containsText" text="CMS">
      <formula>NOT(ISERROR(SEARCH("CMS",F36)))</formula>
    </cfRule>
    <cfRule type="cellIs" dxfId="6125" priority="31" operator="equal">
      <formula>0</formula>
    </cfRule>
    <cfRule type="cellIs" dxfId="6124" priority="32" operator="greaterThan">
      <formula>0</formula>
    </cfRule>
    <cfRule type="cellIs" dxfId="6123" priority="33" operator="equal">
      <formula>"PMS"</formula>
    </cfRule>
    <cfRule type="containsText" dxfId="6122" priority="34" operator="containsText" text="CMS">
      <formula>NOT(ISERROR(SEARCH("CMS",F36)))</formula>
    </cfRule>
    <cfRule type="cellIs" dxfId="6121" priority="35" operator="equal">
      <formula>0</formula>
    </cfRule>
    <cfRule type="cellIs" dxfId="6120" priority="36" operator="greaterThan">
      <formula>0</formula>
    </cfRule>
  </conditionalFormatting>
  <conditionalFormatting sqref="F36:F59">
    <cfRule type="cellIs" dxfId="6119" priority="25" operator="equal">
      <formula>"PMS"</formula>
    </cfRule>
    <cfRule type="containsText" dxfId="6118" priority="26" operator="containsText" text="CMS">
      <formula>NOT(ISERROR(SEARCH("CMS",F36)))</formula>
    </cfRule>
    <cfRule type="cellIs" dxfId="6117" priority="27" operator="equal">
      <formula>0</formula>
    </cfRule>
    <cfRule type="cellIs" dxfId="6116" priority="28" operator="greaterThan">
      <formula>0</formula>
    </cfRule>
  </conditionalFormatting>
  <conditionalFormatting sqref="F62:F64">
    <cfRule type="cellIs" dxfId="6115" priority="17" operator="equal">
      <formula>"PMS"</formula>
    </cfRule>
    <cfRule type="containsText" dxfId="6114" priority="18" operator="containsText" text="CMS">
      <formula>NOT(ISERROR(SEARCH("CMS",F62)))</formula>
    </cfRule>
    <cfRule type="cellIs" dxfId="6113" priority="19" operator="equal">
      <formula>0</formula>
    </cfRule>
    <cfRule type="cellIs" dxfId="6112" priority="20" operator="greaterThan">
      <formula>0</formula>
    </cfRule>
    <cfRule type="cellIs" dxfId="6111" priority="21" operator="equal">
      <formula>"PMS"</formula>
    </cfRule>
    <cfRule type="containsText" dxfId="6110" priority="22" operator="containsText" text="CMS">
      <formula>NOT(ISERROR(SEARCH("CMS",F62)))</formula>
    </cfRule>
    <cfRule type="cellIs" dxfId="6109" priority="23" operator="equal">
      <formula>0</formula>
    </cfRule>
    <cfRule type="cellIs" dxfId="6108" priority="24" operator="greaterThan">
      <formula>0</formula>
    </cfRule>
  </conditionalFormatting>
  <conditionalFormatting sqref="F62:F64">
    <cfRule type="cellIs" dxfId="6107" priority="13" operator="equal">
      <formula>"PMS"</formula>
    </cfRule>
    <cfRule type="containsText" dxfId="6106" priority="14" operator="containsText" text="CMS">
      <formula>NOT(ISERROR(SEARCH("CMS",F62)))</formula>
    </cfRule>
    <cfRule type="cellIs" dxfId="6105" priority="15" operator="equal">
      <formula>0</formula>
    </cfRule>
    <cfRule type="cellIs" dxfId="6104" priority="16" operator="greaterThan">
      <formula>0</formula>
    </cfRule>
  </conditionalFormatting>
  <conditionalFormatting sqref="F78:F79">
    <cfRule type="cellIs" dxfId="6103" priority="5" operator="equal">
      <formula>"PMS"</formula>
    </cfRule>
    <cfRule type="containsText" dxfId="6102" priority="6" operator="containsText" text="CMS">
      <formula>NOT(ISERROR(SEARCH("CMS",F78)))</formula>
    </cfRule>
    <cfRule type="cellIs" dxfId="6101" priority="7" operator="equal">
      <formula>0</formula>
    </cfRule>
    <cfRule type="cellIs" dxfId="6100" priority="8" operator="greaterThan">
      <formula>0</formula>
    </cfRule>
    <cfRule type="cellIs" dxfId="6099" priority="9" operator="equal">
      <formula>"PMS"</formula>
    </cfRule>
    <cfRule type="containsText" dxfId="6098" priority="10" operator="containsText" text="CMS">
      <formula>NOT(ISERROR(SEARCH("CMS",F78)))</formula>
    </cfRule>
    <cfRule type="cellIs" dxfId="6097" priority="11" operator="equal">
      <formula>0</formula>
    </cfRule>
    <cfRule type="cellIs" dxfId="6096" priority="12" operator="greaterThan">
      <formula>0</formula>
    </cfRule>
  </conditionalFormatting>
  <conditionalFormatting sqref="F78:F79">
    <cfRule type="cellIs" dxfId="6095" priority="1" operator="equal">
      <formula>"PMS"</formula>
    </cfRule>
    <cfRule type="containsText" dxfId="6094" priority="2" operator="containsText" text="CMS">
      <formula>NOT(ISERROR(SEARCH("CMS",F78)))</formula>
    </cfRule>
    <cfRule type="cellIs" dxfId="6093" priority="3" operator="equal">
      <formula>0</formula>
    </cfRule>
    <cfRule type="cellIs" dxfId="6092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8444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642F3-89F5-456A-8174-64705CACDA18}">
  <sheetPr codeName="Sheet168"/>
  <dimension ref="A2:DT141"/>
  <sheetViews>
    <sheetView zoomScale="70" zoomScaleNormal="70" zoomScaleSheetLayoutView="51" zoomScalePageLayoutView="55" workbookViewId="0">
      <pane xSplit="5" ySplit="11" topLeftCell="F12" activePane="bottomRight" state="frozen"/>
      <selection pane="bottomRight" activeCell="A153" sqref="A153:XFD153"/>
      <selection pane="bottomLeft" activeCell="AJ44" sqref="AJ44"/>
      <selection pane="topRight" activeCell="AJ44" sqref="AJ4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23"/>
      <c r="N8" s="523"/>
      <c r="O8" s="52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24" t="e" cm="1">
        <f t="array" aca="1" ref="M9" ca="1">TEXT(TODAY(),"mmmm")&amp;" "&amp;MID(CELL("filename",A1),FIND("]",CELL("filename",A1))+1,255)&amp;", "&amp;TEXT(TODAY(),"yyyy")</f>
        <v>#VALUE!</v>
      </c>
      <c r="N9" s="524"/>
      <c r="O9" s="524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4"/>
      <c r="R10" s="344"/>
      <c r="S10" s="344"/>
      <c r="T10" s="344"/>
      <c r="U10" s="344"/>
      <c r="V10" s="344"/>
      <c r="W10" s="344"/>
      <c r="X10" s="344"/>
      <c r="Y10" s="344"/>
      <c r="Z10" s="344"/>
      <c r="AA10" s="344"/>
      <c r="AB10" s="344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17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445.8</v>
      </c>
    </row>
    <row r="13" spans="1:41">
      <c r="A13" s="14" t="s">
        <v>22</v>
      </c>
      <c r="B13" s="15"/>
      <c r="C13" s="15">
        <v>7.2</v>
      </c>
      <c r="D13" s="15"/>
      <c r="E13" s="15"/>
      <c r="F13" s="372">
        <v>6.6</v>
      </c>
      <c r="G13" s="372">
        <v>6.7</v>
      </c>
      <c r="H13" s="372">
        <v>6.7</v>
      </c>
      <c r="I13" s="372">
        <v>6.4</v>
      </c>
      <c r="J13" s="372"/>
      <c r="K13" s="372"/>
      <c r="L13" s="374"/>
      <c r="M13" s="372"/>
      <c r="N13" s="372"/>
      <c r="O13" s="372">
        <v>6.3</v>
      </c>
      <c r="P13" s="372">
        <v>5.3</v>
      </c>
      <c r="Q13" s="372">
        <v>6.6</v>
      </c>
      <c r="R13" s="372">
        <v>6.6</v>
      </c>
      <c r="S13" s="372">
        <v>6.6</v>
      </c>
      <c r="T13" s="372">
        <v>6.5</v>
      </c>
      <c r="U13" s="372">
        <v>6.7</v>
      </c>
      <c r="V13" s="372">
        <v>6.5</v>
      </c>
      <c r="W13" s="372">
        <v>6.7</v>
      </c>
      <c r="X13" s="372">
        <v>6.5</v>
      </c>
      <c r="Y13" s="372">
        <v>6.7</v>
      </c>
      <c r="Z13" s="372">
        <v>6.7</v>
      </c>
      <c r="AA13" s="372">
        <v>6.7</v>
      </c>
      <c r="AB13" s="372">
        <v>6.5</v>
      </c>
      <c r="AC13" s="372">
        <v>6.6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19</v>
      </c>
    </row>
    <row r="14" spans="1:41">
      <c r="A14" s="14" t="s">
        <v>23</v>
      </c>
      <c r="B14" s="15"/>
      <c r="C14" s="15">
        <v>7.2</v>
      </c>
      <c r="D14" s="15"/>
      <c r="E14" s="15"/>
      <c r="F14" s="372"/>
      <c r="G14" s="372"/>
      <c r="H14" s="374"/>
      <c r="I14" s="372"/>
      <c r="J14" s="372"/>
      <c r="K14" s="372"/>
      <c r="L14" s="372">
        <v>1.5</v>
      </c>
      <c r="M14" s="372" t="s">
        <v>9</v>
      </c>
      <c r="N14" s="372" t="s">
        <v>9</v>
      </c>
      <c r="O14" s="372">
        <v>0.5</v>
      </c>
      <c r="P14" s="372">
        <v>4.3</v>
      </c>
      <c r="Q14" s="372">
        <v>1.5</v>
      </c>
      <c r="R14" s="372"/>
      <c r="S14" s="372"/>
      <c r="T14" s="372"/>
      <c r="U14" s="372"/>
      <c r="V14" s="372"/>
      <c r="W14" s="372"/>
      <c r="X14" s="372"/>
      <c r="Y14" s="372"/>
      <c r="Z14" s="372"/>
      <c r="AA14" s="372"/>
      <c r="AB14" s="372">
        <v>6.5</v>
      </c>
      <c r="AC14" s="372">
        <v>6.6</v>
      </c>
      <c r="AD14" s="41"/>
      <c r="AE14" s="41"/>
      <c r="AF14" s="11">
        <f>COUNTIF(F14:AC14,$AJ$8)</f>
        <v>2</v>
      </c>
      <c r="AG14" s="11">
        <f>COUNTIF(F14:AD14,$AJ$7)</f>
        <v>0</v>
      </c>
      <c r="AH14" s="11">
        <f>COUNT(F14:AC14)</f>
        <v>6</v>
      </c>
    </row>
    <row r="15" spans="1:41">
      <c r="A15" s="66" t="s">
        <v>24</v>
      </c>
      <c r="B15" s="15"/>
      <c r="C15" s="15">
        <v>7.2</v>
      </c>
      <c r="D15" s="15"/>
      <c r="E15" s="15"/>
      <c r="F15" s="372">
        <v>6.6</v>
      </c>
      <c r="G15" s="372">
        <v>6.7</v>
      </c>
      <c r="H15" s="374">
        <v>6.7</v>
      </c>
      <c r="I15" s="372">
        <v>6.4</v>
      </c>
      <c r="J15" s="372">
        <v>6.9</v>
      </c>
      <c r="K15" s="374">
        <v>6.9</v>
      </c>
      <c r="L15" s="374">
        <v>6</v>
      </c>
      <c r="M15" s="374">
        <v>6.8</v>
      </c>
      <c r="N15" s="372">
        <v>6.8</v>
      </c>
      <c r="O15" s="372">
        <v>6.3</v>
      </c>
      <c r="P15" s="372">
        <v>5.3</v>
      </c>
      <c r="Q15" s="372">
        <v>6.6</v>
      </c>
      <c r="R15" s="372">
        <v>6.6</v>
      </c>
      <c r="S15" s="372">
        <v>6.6</v>
      </c>
      <c r="T15" s="372">
        <v>6.5</v>
      </c>
      <c r="U15" s="372">
        <v>6.7</v>
      </c>
      <c r="V15" s="372">
        <v>6.4</v>
      </c>
      <c r="W15" s="372">
        <v>6.6</v>
      </c>
      <c r="X15" s="372">
        <v>6.4</v>
      </c>
      <c r="Y15" s="372">
        <v>6.7</v>
      </c>
      <c r="Z15" s="372">
        <v>6.7</v>
      </c>
      <c r="AA15" s="372">
        <v>6.7</v>
      </c>
      <c r="AB15" s="372">
        <v>6.5</v>
      </c>
      <c r="AC15" s="372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372">
        <v>6.6</v>
      </c>
      <c r="G16" s="372">
        <v>6.7</v>
      </c>
      <c r="H16" s="374">
        <v>6.7</v>
      </c>
      <c r="I16" s="372">
        <v>6.4</v>
      </c>
      <c r="J16" s="372">
        <v>6.9</v>
      </c>
      <c r="K16" s="374">
        <v>6.9</v>
      </c>
      <c r="L16" s="374">
        <v>6</v>
      </c>
      <c r="M16" s="374">
        <v>6.8</v>
      </c>
      <c r="N16" s="372">
        <v>6.8</v>
      </c>
      <c r="O16" s="372">
        <v>6.3</v>
      </c>
      <c r="P16" s="372">
        <v>5.3</v>
      </c>
      <c r="Q16" s="372">
        <v>6.6</v>
      </c>
      <c r="R16" s="372">
        <v>6.6</v>
      </c>
      <c r="S16" s="372">
        <v>6.6</v>
      </c>
      <c r="T16" s="372">
        <v>6.5</v>
      </c>
      <c r="U16" s="372">
        <v>6.7</v>
      </c>
      <c r="V16" s="372">
        <v>6.4</v>
      </c>
      <c r="W16" s="372">
        <v>6.6</v>
      </c>
      <c r="X16" s="372">
        <v>6.5</v>
      </c>
      <c r="Y16" s="372">
        <v>6.7</v>
      </c>
      <c r="Z16" s="372">
        <v>6.7</v>
      </c>
      <c r="AA16" s="372">
        <v>6.7</v>
      </c>
      <c r="AB16" s="372"/>
      <c r="AC16" s="372"/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22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19.799999999999997</v>
      </c>
      <c r="G17" s="19">
        <f t="shared" si="0"/>
        <v>20.100000000000001</v>
      </c>
      <c r="H17" s="19">
        <f t="shared" si="0"/>
        <v>20.100000000000001</v>
      </c>
      <c r="I17" s="19">
        <f t="shared" si="0"/>
        <v>19.200000000000003</v>
      </c>
      <c r="J17" s="19">
        <f t="shared" si="0"/>
        <v>13.8</v>
      </c>
      <c r="K17" s="19">
        <f t="shared" si="0"/>
        <v>13.8</v>
      </c>
      <c r="L17" s="19">
        <f t="shared" si="0"/>
        <v>13.5</v>
      </c>
      <c r="M17" s="19">
        <f t="shared" si="0"/>
        <v>13.6</v>
      </c>
      <c r="N17" s="19">
        <f t="shared" si="0"/>
        <v>13.6</v>
      </c>
      <c r="O17" s="19">
        <f t="shared" si="0"/>
        <v>19.399999999999999</v>
      </c>
      <c r="P17" s="19">
        <f t="shared" si="0"/>
        <v>20.2</v>
      </c>
      <c r="Q17" s="19">
        <f t="shared" si="0"/>
        <v>21.299999999999997</v>
      </c>
      <c r="R17" s="19">
        <f t="shared" si="0"/>
        <v>19.799999999999997</v>
      </c>
      <c r="S17" s="19">
        <f t="shared" si="0"/>
        <v>19.799999999999997</v>
      </c>
      <c r="T17" s="19">
        <f t="shared" si="0"/>
        <v>19.5</v>
      </c>
      <c r="U17" s="19">
        <f t="shared" si="0"/>
        <v>20.100000000000001</v>
      </c>
      <c r="V17" s="19">
        <f t="shared" si="0"/>
        <v>19.3</v>
      </c>
      <c r="W17" s="19">
        <f t="shared" si="0"/>
        <v>19.899999999999999</v>
      </c>
      <c r="X17" s="19">
        <f t="shared" si="0"/>
        <v>19.399999999999999</v>
      </c>
      <c r="Y17" s="19">
        <f t="shared" si="0"/>
        <v>20.100000000000001</v>
      </c>
      <c r="Z17" s="19">
        <f t="shared" si="0"/>
        <v>20.100000000000001</v>
      </c>
      <c r="AA17" s="19">
        <f t="shared" si="0"/>
        <v>20.100000000000001</v>
      </c>
      <c r="AB17" s="19">
        <f t="shared" si="0"/>
        <v>19.5</v>
      </c>
      <c r="AC17" s="19">
        <f t="shared" si="0"/>
        <v>19.799999999999997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110.89999999999995</v>
      </c>
    </row>
    <row r="19" spans="1:51">
      <c r="A19" s="14" t="s">
        <v>22</v>
      </c>
      <c r="B19" s="15"/>
      <c r="C19" s="15">
        <v>3</v>
      </c>
      <c r="D19" s="15"/>
      <c r="E19" s="15"/>
      <c r="F19" s="372"/>
      <c r="G19" s="372"/>
      <c r="H19" s="372"/>
      <c r="I19" s="372"/>
      <c r="J19" s="372"/>
      <c r="K19" s="374">
        <v>2.8</v>
      </c>
      <c r="L19" s="374">
        <v>2.8</v>
      </c>
      <c r="M19" s="374">
        <v>2.8</v>
      </c>
      <c r="N19" s="374">
        <v>2.8</v>
      </c>
      <c r="O19" s="372">
        <v>2.8</v>
      </c>
      <c r="P19" s="374">
        <v>2.8</v>
      </c>
      <c r="Q19" s="372">
        <v>2.8</v>
      </c>
      <c r="R19" s="372">
        <v>2.8</v>
      </c>
      <c r="S19" s="372">
        <v>2.8</v>
      </c>
      <c r="T19" s="372">
        <v>2.8</v>
      </c>
      <c r="U19" s="372">
        <v>2.8</v>
      </c>
      <c r="V19" s="372">
        <v>2.8</v>
      </c>
      <c r="W19" s="372">
        <v>2.8</v>
      </c>
      <c r="X19" s="372">
        <v>2.8</v>
      </c>
      <c r="Y19" s="372">
        <v>2.8</v>
      </c>
      <c r="Z19" s="372">
        <v>2.8</v>
      </c>
      <c r="AA19" s="372">
        <v>2.8</v>
      </c>
      <c r="AB19" s="372">
        <v>2.8</v>
      </c>
      <c r="AC19" s="372">
        <v>2.5</v>
      </c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19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372"/>
      <c r="G20" s="372"/>
      <c r="H20" s="372"/>
      <c r="I20" s="372"/>
      <c r="J20" s="372"/>
      <c r="K20" s="374"/>
      <c r="L20" s="374"/>
      <c r="M20" s="374"/>
      <c r="N20" s="372"/>
      <c r="O20" s="372"/>
      <c r="P20" s="372"/>
      <c r="Q20" s="372"/>
      <c r="R20" s="372"/>
      <c r="S20" s="372"/>
      <c r="T20" s="372"/>
      <c r="U20" s="372"/>
      <c r="V20" s="372"/>
      <c r="W20" s="372"/>
      <c r="X20" s="372"/>
      <c r="Y20" s="372"/>
      <c r="Z20" s="372"/>
      <c r="AA20" s="372"/>
      <c r="AB20" s="372"/>
      <c r="AC20" s="372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2">
        <v>3</v>
      </c>
      <c r="G21" s="372"/>
      <c r="H21" s="372"/>
      <c r="I21" s="372"/>
      <c r="J21" s="372"/>
      <c r="K21" s="374"/>
      <c r="L21" s="374"/>
      <c r="M21" s="374"/>
      <c r="N21" s="372">
        <v>2.8</v>
      </c>
      <c r="O21" s="372" t="s">
        <v>9</v>
      </c>
      <c r="P21" s="372">
        <v>3.6</v>
      </c>
      <c r="Q21" s="372">
        <v>3.8</v>
      </c>
      <c r="R21" s="372">
        <v>3.8</v>
      </c>
      <c r="S21" s="372">
        <v>3.8</v>
      </c>
      <c r="T21" s="372">
        <v>3.8</v>
      </c>
      <c r="U21" s="372">
        <v>3.8</v>
      </c>
      <c r="V21" s="372">
        <v>3.8</v>
      </c>
      <c r="W21" s="372">
        <v>3.8</v>
      </c>
      <c r="X21" s="372">
        <v>3.8</v>
      </c>
      <c r="Y21" s="372">
        <v>3.8</v>
      </c>
      <c r="Z21" s="372">
        <v>3.8</v>
      </c>
      <c r="AA21" s="372">
        <v>3.8</v>
      </c>
      <c r="AB21" s="372">
        <v>3.8</v>
      </c>
      <c r="AC21" s="372">
        <v>3</v>
      </c>
      <c r="AD21" s="41"/>
      <c r="AE21" s="41"/>
      <c r="AF21" s="11">
        <f>COUNTIF(F21:AC21,$AJ$8)</f>
        <v>1</v>
      </c>
      <c r="AG21" s="11">
        <f>COUNTIF(G21:AD21,$AJ$7)</f>
        <v>0</v>
      </c>
      <c r="AH21" s="11">
        <f>COUNT(F21:AC21)</f>
        <v>16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3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2.8</v>
      </c>
      <c r="L22" s="19">
        <f t="shared" si="1"/>
        <v>2.8</v>
      </c>
      <c r="M22" s="19">
        <f t="shared" si="1"/>
        <v>2.8</v>
      </c>
      <c r="N22" s="19">
        <f t="shared" si="1"/>
        <v>5.6</v>
      </c>
      <c r="O22" s="19">
        <f t="shared" si="1"/>
        <v>2.8</v>
      </c>
      <c r="P22" s="19">
        <f t="shared" si="1"/>
        <v>6.4</v>
      </c>
      <c r="Q22" s="19">
        <f t="shared" si="1"/>
        <v>6.6</v>
      </c>
      <c r="R22" s="19">
        <f t="shared" si="1"/>
        <v>6.6</v>
      </c>
      <c r="S22" s="19">
        <f>SUM(S19:S21)</f>
        <v>6.6</v>
      </c>
      <c r="T22" s="19">
        <f t="shared" ref="T22" si="2">SUM(T19:T21)</f>
        <v>6.6</v>
      </c>
      <c r="U22" s="19">
        <f t="shared" si="1"/>
        <v>6.6</v>
      </c>
      <c r="V22" s="19">
        <f t="shared" si="1"/>
        <v>6.6</v>
      </c>
      <c r="W22" s="19">
        <f t="shared" si="1"/>
        <v>6.6</v>
      </c>
      <c r="X22" s="19">
        <f t="shared" si="1"/>
        <v>6.6</v>
      </c>
      <c r="Y22" s="19">
        <f t="shared" si="1"/>
        <v>6.6</v>
      </c>
      <c r="Z22" s="19">
        <f t="shared" si="1"/>
        <v>6.6</v>
      </c>
      <c r="AA22" s="19">
        <f t="shared" si="1"/>
        <v>6.6</v>
      </c>
      <c r="AB22" s="19">
        <f>SUM(AB19:AB21)</f>
        <v>6.6</v>
      </c>
      <c r="AC22" s="19">
        <f t="shared" si="1"/>
        <v>5.5</v>
      </c>
      <c r="AD22" s="41"/>
      <c r="AE22" s="41"/>
      <c r="AF22" s="11"/>
      <c r="AG22" s="11"/>
      <c r="AH22" s="11"/>
      <c r="AI22" s="400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409">
        <f>SUM(F24:AC24)</f>
        <v>60.799999999999983</v>
      </c>
    </row>
    <row r="24" spans="1:51">
      <c r="A24" s="14" t="s">
        <v>22</v>
      </c>
      <c r="B24" s="20"/>
      <c r="C24" s="15">
        <v>4.5</v>
      </c>
      <c r="D24" s="15"/>
      <c r="E24" s="15"/>
      <c r="F24" s="372"/>
      <c r="G24" s="372"/>
      <c r="H24" s="372"/>
      <c r="I24" s="372"/>
      <c r="J24" s="372"/>
      <c r="K24" s="374"/>
      <c r="L24" s="374"/>
      <c r="M24" s="374"/>
      <c r="N24" s="372">
        <v>3.8</v>
      </c>
      <c r="O24" s="372">
        <v>3.8</v>
      </c>
      <c r="P24" s="372">
        <v>3.8</v>
      </c>
      <c r="Q24" s="374">
        <v>3.8</v>
      </c>
      <c r="R24" s="372">
        <v>3.8</v>
      </c>
      <c r="S24" s="372">
        <v>3.8</v>
      </c>
      <c r="T24" s="372">
        <v>3.8</v>
      </c>
      <c r="U24" s="372">
        <v>3.8</v>
      </c>
      <c r="V24" s="372">
        <v>3.8</v>
      </c>
      <c r="W24" s="372">
        <v>3.8</v>
      </c>
      <c r="X24" s="372">
        <v>3.8</v>
      </c>
      <c r="Y24" s="372">
        <v>3.8</v>
      </c>
      <c r="Z24" s="372">
        <v>3.8</v>
      </c>
      <c r="AA24" s="372">
        <v>3.8</v>
      </c>
      <c r="AB24" s="372">
        <v>3.8</v>
      </c>
      <c r="AC24" s="372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16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3">SUM(F24)</f>
        <v>0</v>
      </c>
      <c r="G25" s="19">
        <f t="shared" ref="G25:AC25" si="4">SUM(G24)</f>
        <v>0</v>
      </c>
      <c r="H25" s="19">
        <f t="shared" si="4"/>
        <v>0</v>
      </c>
      <c r="I25" s="19">
        <f t="shared" si="4"/>
        <v>0</v>
      </c>
      <c r="J25" s="19">
        <f t="shared" si="4"/>
        <v>0</v>
      </c>
      <c r="K25" s="19">
        <f t="shared" si="4"/>
        <v>0</v>
      </c>
      <c r="L25" s="19">
        <f t="shared" si="4"/>
        <v>0</v>
      </c>
      <c r="M25" s="19">
        <f t="shared" si="4"/>
        <v>0</v>
      </c>
      <c r="N25" s="19">
        <f t="shared" si="4"/>
        <v>3.8</v>
      </c>
      <c r="O25" s="19">
        <f t="shared" si="4"/>
        <v>3.8</v>
      </c>
      <c r="P25" s="19">
        <f t="shared" si="4"/>
        <v>3.8</v>
      </c>
      <c r="Q25" s="19">
        <f t="shared" si="4"/>
        <v>3.8</v>
      </c>
      <c r="R25" s="19">
        <f t="shared" si="4"/>
        <v>3.8</v>
      </c>
      <c r="S25" s="19">
        <f t="shared" si="4"/>
        <v>3.8</v>
      </c>
      <c r="T25" s="19">
        <f t="shared" si="4"/>
        <v>3.8</v>
      </c>
      <c r="U25" s="19">
        <f t="shared" si="4"/>
        <v>3.8</v>
      </c>
      <c r="V25" s="19">
        <f t="shared" si="4"/>
        <v>3.8</v>
      </c>
      <c r="W25" s="19">
        <f t="shared" si="4"/>
        <v>3.8</v>
      </c>
      <c r="X25" s="19">
        <f t="shared" si="4"/>
        <v>3.8</v>
      </c>
      <c r="Y25" s="19">
        <f t="shared" si="4"/>
        <v>3.8</v>
      </c>
      <c r="Z25" s="19">
        <f t="shared" si="4"/>
        <v>3.8</v>
      </c>
      <c r="AA25" s="19">
        <f t="shared" si="4"/>
        <v>3.8</v>
      </c>
      <c r="AB25" s="19">
        <f t="shared" si="4"/>
        <v>3.8</v>
      </c>
      <c r="AC25" s="19">
        <f t="shared" si="4"/>
        <v>3.8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136.1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2">
        <v>3.9</v>
      </c>
      <c r="G27" s="372">
        <v>4</v>
      </c>
      <c r="H27" s="372">
        <v>3</v>
      </c>
      <c r="I27" s="372">
        <v>3</v>
      </c>
      <c r="J27" s="374">
        <v>4.4000000000000004</v>
      </c>
      <c r="K27" s="374">
        <v>4.2</v>
      </c>
      <c r="L27" s="374">
        <v>4</v>
      </c>
      <c r="M27" s="374">
        <v>4</v>
      </c>
      <c r="N27" s="372">
        <v>4</v>
      </c>
      <c r="O27" s="372">
        <v>3.7</v>
      </c>
      <c r="P27" s="372">
        <v>3.9</v>
      </c>
      <c r="Q27" s="372">
        <v>4</v>
      </c>
      <c r="R27" s="372">
        <v>4.0999999999999996</v>
      </c>
      <c r="S27" s="372">
        <v>4.4000000000000004</v>
      </c>
      <c r="T27" s="372">
        <v>4.0999999999999996</v>
      </c>
      <c r="U27" s="374">
        <v>4.4000000000000004</v>
      </c>
      <c r="V27" s="372">
        <v>4.2</v>
      </c>
      <c r="W27" s="372">
        <v>4.3</v>
      </c>
      <c r="X27" s="372">
        <v>4.5</v>
      </c>
      <c r="Y27" s="372">
        <v>4.5</v>
      </c>
      <c r="Z27" s="372">
        <v>4.5</v>
      </c>
      <c r="AA27" s="372">
        <v>4.5</v>
      </c>
      <c r="AB27" s="372">
        <v>4</v>
      </c>
      <c r="AC27" s="372">
        <v>4.0999999999999996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2">
        <v>3.9</v>
      </c>
      <c r="G28" s="372">
        <v>4.2</v>
      </c>
      <c r="H28" s="372">
        <v>3</v>
      </c>
      <c r="I28" s="372">
        <v>3</v>
      </c>
      <c r="J28" s="372">
        <v>4.4000000000000004</v>
      </c>
      <c r="K28" s="374">
        <v>4.2</v>
      </c>
      <c r="L28" s="374">
        <v>4</v>
      </c>
      <c r="M28" s="374">
        <v>4</v>
      </c>
      <c r="N28" s="372">
        <v>4</v>
      </c>
      <c r="O28" s="372">
        <v>3.7</v>
      </c>
      <c r="P28" s="372" t="s">
        <v>9</v>
      </c>
      <c r="Q28" s="372" t="s">
        <v>9</v>
      </c>
      <c r="R28" s="372" t="s">
        <v>9</v>
      </c>
      <c r="S28" s="374" t="s">
        <v>9</v>
      </c>
      <c r="T28" s="372" t="s">
        <v>9</v>
      </c>
      <c r="U28" s="374" t="s">
        <v>9</v>
      </c>
      <c r="V28" s="372" t="s">
        <v>9</v>
      </c>
      <c r="W28" s="372" t="s">
        <v>9</v>
      </c>
      <c r="X28" s="372" t="s">
        <v>9</v>
      </c>
      <c r="Y28" s="372" t="s">
        <v>9</v>
      </c>
      <c r="Z28" s="372" t="s">
        <v>9</v>
      </c>
      <c r="AA28" s="372" t="s">
        <v>9</v>
      </c>
      <c r="AB28" s="372" t="s">
        <v>9</v>
      </c>
      <c r="AC28" s="372" t="s">
        <v>9</v>
      </c>
      <c r="AD28" s="41"/>
      <c r="AE28" s="41"/>
      <c r="AF28" s="11">
        <f>COUNTIF(F28:AC28,$AJ$8)</f>
        <v>14</v>
      </c>
      <c r="AG28" s="11">
        <f>COUNTIF(G28:AD28,$AJ$7)</f>
        <v>0</v>
      </c>
      <c r="AH28" s="11">
        <f>COUNT(F28:AC28)</f>
        <v>10</v>
      </c>
      <c r="AI28" s="159">
        <f>SUM(F29:AC30)</f>
        <v>84</v>
      </c>
    </row>
    <row r="29" spans="1:51" ht="15" customHeight="1">
      <c r="A29" s="14" t="s">
        <v>30</v>
      </c>
      <c r="B29" s="369"/>
      <c r="C29" s="370">
        <v>8.8000000000000007</v>
      </c>
      <c r="D29" s="371"/>
      <c r="E29" s="371"/>
      <c r="F29" s="372"/>
      <c r="G29" s="372"/>
      <c r="H29" s="372"/>
      <c r="I29" s="372"/>
      <c r="J29" s="372"/>
      <c r="K29" s="374"/>
      <c r="L29" s="374"/>
      <c r="M29" s="374"/>
      <c r="N29" s="374"/>
      <c r="O29" s="374"/>
      <c r="P29" s="374">
        <v>5.7</v>
      </c>
      <c r="Q29" s="374">
        <v>6.5</v>
      </c>
      <c r="R29" s="374">
        <v>6.8</v>
      </c>
      <c r="S29" s="374">
        <v>7.1</v>
      </c>
      <c r="T29" s="374">
        <v>6.6</v>
      </c>
      <c r="U29" s="374">
        <v>7</v>
      </c>
      <c r="V29" s="374">
        <v>6.8</v>
      </c>
      <c r="W29" s="372">
        <v>6.6</v>
      </c>
      <c r="X29" s="372">
        <v>6.8</v>
      </c>
      <c r="Y29" s="372">
        <v>7.1</v>
      </c>
      <c r="Z29" s="372">
        <v>7</v>
      </c>
      <c r="AA29" s="372">
        <v>7</v>
      </c>
      <c r="AB29" s="372">
        <v>3</v>
      </c>
      <c r="AC29" s="372"/>
    </row>
    <row r="30" spans="1:51" ht="15" customHeight="1">
      <c r="A30" s="14" t="s">
        <v>31</v>
      </c>
      <c r="B30" s="369"/>
      <c r="C30" s="370">
        <v>8.8000000000000007</v>
      </c>
      <c r="D30" s="371"/>
      <c r="E30" s="371"/>
      <c r="F30" s="372"/>
      <c r="G30" s="372"/>
      <c r="H30" s="372"/>
      <c r="I30" s="372"/>
      <c r="J30" s="372"/>
      <c r="K30" s="374"/>
      <c r="L30" s="374"/>
      <c r="M30" s="374"/>
      <c r="N30" s="372"/>
      <c r="O30" s="372"/>
      <c r="P30" s="372"/>
      <c r="Q30" s="372"/>
      <c r="R30" s="372"/>
      <c r="S30" s="372"/>
      <c r="T30" s="372"/>
      <c r="U30" s="372"/>
      <c r="V30" s="372"/>
      <c r="W30" s="372"/>
      <c r="X30" s="372"/>
      <c r="Y30" s="372"/>
      <c r="Z30" s="372"/>
      <c r="AA30" s="372"/>
      <c r="AB30" s="372"/>
      <c r="AC30" s="372"/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:AC31" si="5">SUM(F27:F29)</f>
        <v>7.8</v>
      </c>
      <c r="G31" s="19">
        <f t="shared" si="5"/>
        <v>8.1999999999999993</v>
      </c>
      <c r="H31" s="19">
        <f t="shared" si="5"/>
        <v>6</v>
      </c>
      <c r="I31" s="19">
        <f t="shared" si="5"/>
        <v>6</v>
      </c>
      <c r="J31" s="19">
        <f t="shared" si="5"/>
        <v>8.8000000000000007</v>
      </c>
      <c r="K31" s="19">
        <f t="shared" si="5"/>
        <v>8.4</v>
      </c>
      <c r="L31" s="19">
        <f t="shared" si="5"/>
        <v>8</v>
      </c>
      <c r="M31" s="19">
        <f t="shared" si="5"/>
        <v>8</v>
      </c>
      <c r="N31" s="19">
        <f t="shared" si="5"/>
        <v>8</v>
      </c>
      <c r="O31" s="19">
        <f t="shared" si="5"/>
        <v>7.4</v>
      </c>
      <c r="P31" s="19">
        <f t="shared" si="5"/>
        <v>9.6</v>
      </c>
      <c r="Q31" s="19">
        <f t="shared" si="5"/>
        <v>10.5</v>
      </c>
      <c r="R31" s="19">
        <f t="shared" si="5"/>
        <v>10.899999999999999</v>
      </c>
      <c r="S31" s="19">
        <f t="shared" si="5"/>
        <v>11.5</v>
      </c>
      <c r="T31" s="19">
        <f>SUM(T27:T29)</f>
        <v>10.7</v>
      </c>
      <c r="U31" s="19">
        <f t="shared" si="5"/>
        <v>11.4</v>
      </c>
      <c r="V31" s="19">
        <f t="shared" si="5"/>
        <v>11</v>
      </c>
      <c r="W31" s="19">
        <f t="shared" si="5"/>
        <v>10.899999999999999</v>
      </c>
      <c r="X31" s="19">
        <f t="shared" si="5"/>
        <v>11.3</v>
      </c>
      <c r="Y31" s="19">
        <f t="shared" si="5"/>
        <v>11.6</v>
      </c>
      <c r="Z31" s="19">
        <f t="shared" si="5"/>
        <v>11.5</v>
      </c>
      <c r="AA31" s="19">
        <f t="shared" si="5"/>
        <v>11.5</v>
      </c>
      <c r="AB31" s="19">
        <f t="shared" si="5"/>
        <v>7</v>
      </c>
      <c r="AC31" s="19">
        <f t="shared" si="5"/>
        <v>4.0999999999999996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340.55</v>
      </c>
    </row>
    <row r="33" spans="1:36">
      <c r="A33" s="14" t="s">
        <v>22</v>
      </c>
      <c r="B33" s="15"/>
      <c r="C33" s="15">
        <v>15</v>
      </c>
      <c r="D33" s="15"/>
      <c r="E33" s="15"/>
      <c r="F33" s="372">
        <v>14.32</v>
      </c>
      <c r="G33" s="372">
        <v>14.31</v>
      </c>
      <c r="H33" s="374">
        <v>13.32</v>
      </c>
      <c r="I33" s="372">
        <v>12.82</v>
      </c>
      <c r="J33" s="372">
        <v>14.24</v>
      </c>
      <c r="K33" s="374">
        <v>14.26</v>
      </c>
      <c r="L33" s="374">
        <v>14.29</v>
      </c>
      <c r="M33" s="374">
        <v>14.31</v>
      </c>
      <c r="N33" s="372">
        <v>14.28</v>
      </c>
      <c r="O33" s="372">
        <v>14.31</v>
      </c>
      <c r="P33" s="372">
        <v>14.29</v>
      </c>
      <c r="Q33" s="372">
        <v>14.33</v>
      </c>
      <c r="R33" s="372">
        <v>14.31</v>
      </c>
      <c r="S33" s="372">
        <v>14.3</v>
      </c>
      <c r="T33" s="372">
        <v>14.29</v>
      </c>
      <c r="U33" s="372">
        <v>14.28</v>
      </c>
      <c r="V33" s="372">
        <v>14.31</v>
      </c>
      <c r="W33" s="374">
        <v>14.33</v>
      </c>
      <c r="X33" s="372">
        <v>14.28</v>
      </c>
      <c r="Y33" s="372">
        <v>14.33</v>
      </c>
      <c r="Z33" s="372">
        <v>14.26</v>
      </c>
      <c r="AA33" s="372">
        <v>14.35</v>
      </c>
      <c r="AB33" s="372">
        <v>14.24</v>
      </c>
      <c r="AC33" s="372">
        <v>14.19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6">SUM(F33)</f>
        <v>14.32</v>
      </c>
      <c r="G34" s="19">
        <f t="shared" ref="G34:AC34" si="7">SUM(G33)</f>
        <v>14.31</v>
      </c>
      <c r="H34" s="19">
        <f t="shared" si="7"/>
        <v>13.32</v>
      </c>
      <c r="I34" s="19">
        <f t="shared" si="7"/>
        <v>12.82</v>
      </c>
      <c r="J34" s="19">
        <f t="shared" si="7"/>
        <v>14.24</v>
      </c>
      <c r="K34" s="19">
        <f t="shared" si="7"/>
        <v>14.26</v>
      </c>
      <c r="L34" s="19">
        <f t="shared" si="7"/>
        <v>14.29</v>
      </c>
      <c r="M34" s="19">
        <f t="shared" si="7"/>
        <v>14.31</v>
      </c>
      <c r="N34" s="19">
        <f t="shared" si="7"/>
        <v>14.28</v>
      </c>
      <c r="O34" s="19">
        <f t="shared" si="7"/>
        <v>14.31</v>
      </c>
      <c r="P34" s="19">
        <f t="shared" si="7"/>
        <v>14.29</v>
      </c>
      <c r="Q34" s="19">
        <f t="shared" si="7"/>
        <v>14.33</v>
      </c>
      <c r="R34" s="19">
        <f t="shared" si="7"/>
        <v>14.31</v>
      </c>
      <c r="S34" s="19">
        <f t="shared" si="7"/>
        <v>14.3</v>
      </c>
      <c r="T34" s="19">
        <f t="shared" si="7"/>
        <v>14.29</v>
      </c>
      <c r="U34" s="19">
        <f t="shared" si="7"/>
        <v>14.28</v>
      </c>
      <c r="V34" s="19">
        <f t="shared" si="7"/>
        <v>14.31</v>
      </c>
      <c r="W34" s="19">
        <f t="shared" si="7"/>
        <v>14.33</v>
      </c>
      <c r="X34" s="19">
        <f t="shared" si="7"/>
        <v>14.28</v>
      </c>
      <c r="Y34" s="19">
        <f t="shared" si="7"/>
        <v>14.33</v>
      </c>
      <c r="Z34" s="19">
        <f t="shared" si="7"/>
        <v>14.26</v>
      </c>
      <c r="AA34" s="19">
        <f t="shared" si="7"/>
        <v>14.35</v>
      </c>
      <c r="AB34" s="19">
        <f t="shared" si="7"/>
        <v>14.24</v>
      </c>
      <c r="AC34" s="19">
        <f t="shared" si="7"/>
        <v>14.19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55"/>
      <c r="G35" s="455"/>
      <c r="H35" s="455"/>
      <c r="I35" s="455"/>
      <c r="J35" s="455"/>
      <c r="K35" s="455"/>
      <c r="L35" s="455"/>
      <c r="M35" s="455"/>
      <c r="N35" s="455"/>
      <c r="O35" s="455"/>
      <c r="P35" s="455"/>
      <c r="Q35" s="455"/>
      <c r="R35" s="455"/>
      <c r="S35" s="455"/>
      <c r="T35" s="455"/>
      <c r="U35" s="455"/>
      <c r="V35" s="455"/>
      <c r="W35" s="456"/>
      <c r="X35" s="455"/>
      <c r="Y35" s="455"/>
      <c r="Z35" s="455"/>
      <c r="AA35" s="455"/>
      <c r="AB35" s="455"/>
      <c r="AC35" s="455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18.29999999999999</v>
      </c>
      <c r="AJ35" t="s">
        <v>35</v>
      </c>
    </row>
    <row r="36" spans="1:36">
      <c r="A36" s="70" t="s">
        <v>36</v>
      </c>
      <c r="B36" s="15"/>
      <c r="C36" s="15"/>
      <c r="D36" s="15"/>
      <c r="E36" s="15"/>
      <c r="F36" s="372"/>
      <c r="G36" s="372"/>
      <c r="H36" s="372"/>
      <c r="I36" s="372"/>
      <c r="J36" s="372"/>
      <c r="K36" s="374"/>
      <c r="L36" s="374"/>
      <c r="M36" s="374"/>
      <c r="N36" s="372"/>
      <c r="O36" s="372"/>
      <c r="P36" s="372"/>
      <c r="Q36" s="372"/>
      <c r="R36" s="372"/>
      <c r="S36" s="372"/>
      <c r="T36" s="372"/>
      <c r="U36" s="372"/>
      <c r="V36" s="372"/>
      <c r="W36" s="372"/>
      <c r="X36" s="372"/>
      <c r="Y36" s="372"/>
      <c r="Z36" s="372"/>
      <c r="AA36" s="372"/>
      <c r="AB36" s="372"/>
      <c r="AC36" s="372"/>
      <c r="AD36" s="41"/>
      <c r="AE36" s="41"/>
      <c r="AF36" s="11">
        <f t="shared" ref="AF36:AF59" si="8">COUNTIF(F36:AC36,$AJ$8)</f>
        <v>0</v>
      </c>
      <c r="AG36" s="11">
        <f t="shared" ref="AG36:AG59" si="9">COUNTIF(G36:AD36,$AJ$7)</f>
        <v>0</v>
      </c>
      <c r="AH36" s="11">
        <f t="shared" ref="AH36:AH59" si="10">COUNT(F36:AC36)</f>
        <v>0</v>
      </c>
      <c r="AI36" s="159">
        <f>SUM(F36:AC38,F40:AC40,F45:AC59)</f>
        <v>29.799999999999986</v>
      </c>
      <c r="AJ36" t="s">
        <v>37</v>
      </c>
    </row>
    <row r="37" spans="1:36">
      <c r="A37" s="70" t="s">
        <v>38</v>
      </c>
      <c r="B37" s="15"/>
      <c r="C37" s="15"/>
      <c r="D37" s="15"/>
      <c r="E37" s="15"/>
      <c r="F37" s="372"/>
      <c r="G37" s="372"/>
      <c r="H37" s="372"/>
      <c r="I37" s="372"/>
      <c r="J37" s="372"/>
      <c r="K37" s="374"/>
      <c r="L37" s="374"/>
      <c r="M37" s="374"/>
      <c r="N37" s="372"/>
      <c r="O37" s="372"/>
      <c r="P37" s="372"/>
      <c r="Q37" s="372"/>
      <c r="R37" s="372"/>
      <c r="S37" s="372"/>
      <c r="T37" s="372"/>
      <c r="U37" s="372"/>
      <c r="V37" s="372"/>
      <c r="W37" s="372"/>
      <c r="X37" s="372"/>
      <c r="Y37" s="372"/>
      <c r="Z37" s="372"/>
      <c r="AA37" s="372"/>
      <c r="AB37" s="372"/>
      <c r="AC37" s="372"/>
      <c r="AD37" s="41"/>
      <c r="AE37" s="41"/>
      <c r="AF37" s="11">
        <f t="shared" si="8"/>
        <v>0</v>
      </c>
      <c r="AG37" s="11">
        <f t="shared" si="9"/>
        <v>0</v>
      </c>
      <c r="AH37" s="11">
        <f t="shared" si="10"/>
        <v>0</v>
      </c>
    </row>
    <row r="38" spans="1:36">
      <c r="A38" s="70" t="s">
        <v>39</v>
      </c>
      <c r="B38" s="15"/>
      <c r="C38" s="15"/>
      <c r="D38" s="15"/>
      <c r="E38" s="15"/>
      <c r="F38" s="372"/>
      <c r="G38" s="372"/>
      <c r="H38" s="372"/>
      <c r="I38" s="372"/>
      <c r="J38" s="372"/>
      <c r="K38" s="374"/>
      <c r="L38" s="374"/>
      <c r="M38" s="374"/>
      <c r="N38" s="372"/>
      <c r="O38" s="372"/>
      <c r="P38" s="372"/>
      <c r="Q38" s="372"/>
      <c r="R38" s="372"/>
      <c r="S38" s="372"/>
      <c r="T38" s="372"/>
      <c r="U38" s="372"/>
      <c r="V38" s="372"/>
      <c r="W38" s="372"/>
      <c r="X38" s="372"/>
      <c r="Y38" s="372"/>
      <c r="Z38" s="372"/>
      <c r="AA38" s="372"/>
      <c r="AB38" s="372"/>
      <c r="AC38" s="372"/>
      <c r="AD38" s="41"/>
      <c r="AE38" s="41"/>
      <c r="AF38" s="11">
        <f t="shared" si="8"/>
        <v>0</v>
      </c>
      <c r="AG38" s="11">
        <f t="shared" si="9"/>
        <v>0</v>
      </c>
      <c r="AH38" s="11">
        <f t="shared" si="10"/>
        <v>0</v>
      </c>
    </row>
    <row r="39" spans="1:36">
      <c r="A39" s="70">
        <v>34</v>
      </c>
      <c r="B39" s="15"/>
      <c r="C39" s="15"/>
      <c r="D39" s="15"/>
      <c r="E39" s="15"/>
      <c r="F39" s="372" t="s">
        <v>9</v>
      </c>
      <c r="G39" s="372" t="s">
        <v>9</v>
      </c>
      <c r="H39" s="372" t="s">
        <v>9</v>
      </c>
      <c r="I39" s="372" t="s">
        <v>9</v>
      </c>
      <c r="J39" s="372" t="s">
        <v>9</v>
      </c>
      <c r="K39" s="374" t="s">
        <v>9</v>
      </c>
      <c r="L39" s="374" t="s">
        <v>9</v>
      </c>
      <c r="M39" s="374" t="s">
        <v>9</v>
      </c>
      <c r="N39" s="372" t="s">
        <v>9</v>
      </c>
      <c r="O39" s="372" t="s">
        <v>9</v>
      </c>
      <c r="P39" s="372" t="s">
        <v>9</v>
      </c>
      <c r="Q39" s="372" t="s">
        <v>9</v>
      </c>
      <c r="R39" s="372" t="s">
        <v>9</v>
      </c>
      <c r="S39" s="372" t="s">
        <v>9</v>
      </c>
      <c r="T39" s="372" t="s">
        <v>9</v>
      </c>
      <c r="U39" s="372" t="s">
        <v>9</v>
      </c>
      <c r="V39" s="372" t="s">
        <v>9</v>
      </c>
      <c r="W39" s="372" t="s">
        <v>9</v>
      </c>
      <c r="X39" s="372" t="s">
        <v>9</v>
      </c>
      <c r="Y39" s="372" t="s">
        <v>9</v>
      </c>
      <c r="Z39" s="372" t="s">
        <v>9</v>
      </c>
      <c r="AA39" s="372" t="s">
        <v>9</v>
      </c>
      <c r="AB39" s="372" t="s">
        <v>9</v>
      </c>
      <c r="AC39" s="372" t="s">
        <v>9</v>
      </c>
      <c r="AD39" s="41"/>
      <c r="AE39" s="41"/>
      <c r="AF39" s="11">
        <f t="shared" si="8"/>
        <v>24</v>
      </c>
      <c r="AG39" s="11">
        <f t="shared" si="9"/>
        <v>0</v>
      </c>
      <c r="AH39" s="11">
        <f t="shared" si="10"/>
        <v>0</v>
      </c>
    </row>
    <row r="40" spans="1:36">
      <c r="A40" s="70">
        <v>35</v>
      </c>
      <c r="B40" s="15"/>
      <c r="C40" s="15">
        <v>0.85</v>
      </c>
      <c r="D40" s="15"/>
      <c r="E40" s="15"/>
      <c r="F40" s="372"/>
      <c r="G40" s="372"/>
      <c r="H40" s="372"/>
      <c r="I40" s="372"/>
      <c r="J40" s="372"/>
      <c r="K40" s="374"/>
      <c r="L40" s="374"/>
      <c r="M40" s="374"/>
      <c r="N40" s="372"/>
      <c r="O40" s="372"/>
      <c r="P40" s="372"/>
      <c r="Q40" s="372"/>
      <c r="R40" s="372"/>
      <c r="S40" s="372"/>
      <c r="T40" s="372"/>
      <c r="U40" s="372"/>
      <c r="V40" s="372"/>
      <c r="W40" s="372"/>
      <c r="X40" s="372"/>
      <c r="Y40" s="372"/>
      <c r="Z40" s="372"/>
      <c r="AA40" s="372"/>
      <c r="AB40" s="372"/>
      <c r="AC40" s="372"/>
      <c r="AD40" s="41"/>
      <c r="AE40" s="41"/>
      <c r="AF40" s="11">
        <f t="shared" si="8"/>
        <v>0</v>
      </c>
      <c r="AG40" s="11">
        <f t="shared" si="9"/>
        <v>0</v>
      </c>
      <c r="AH40" s="11">
        <f t="shared" si="10"/>
        <v>0</v>
      </c>
    </row>
    <row r="41" spans="1:36">
      <c r="A41" s="70">
        <v>36</v>
      </c>
      <c r="B41" s="15"/>
      <c r="C41" s="15">
        <v>1</v>
      </c>
      <c r="D41" s="15"/>
      <c r="E41" s="15"/>
      <c r="F41" s="372"/>
      <c r="G41" s="372"/>
      <c r="H41" s="372"/>
      <c r="I41" s="372"/>
      <c r="J41" s="372"/>
      <c r="K41" s="374"/>
      <c r="L41" s="374"/>
      <c r="M41" s="374"/>
      <c r="N41" s="372"/>
      <c r="O41" s="372"/>
      <c r="P41" s="372"/>
      <c r="Q41" s="372">
        <v>0.7</v>
      </c>
      <c r="R41" s="372">
        <v>0.7</v>
      </c>
      <c r="S41" s="372">
        <v>0.7</v>
      </c>
      <c r="T41" s="372">
        <v>0.8</v>
      </c>
      <c r="U41" s="372">
        <f>3.5/5</f>
        <v>0.7</v>
      </c>
      <c r="V41" s="372">
        <v>0.7</v>
      </c>
      <c r="W41" s="372">
        <v>0.7</v>
      </c>
      <c r="X41" s="372">
        <v>0.7</v>
      </c>
      <c r="Y41" s="372">
        <v>0.7</v>
      </c>
      <c r="Z41" s="372">
        <v>0.7</v>
      </c>
      <c r="AA41" s="372">
        <v>0.7</v>
      </c>
      <c r="AB41" s="372">
        <v>0.7</v>
      </c>
      <c r="AC41" s="372">
        <v>0.7</v>
      </c>
      <c r="AD41" s="41"/>
      <c r="AE41" s="41"/>
      <c r="AF41" s="11">
        <f t="shared" si="8"/>
        <v>0</v>
      </c>
      <c r="AG41" s="11">
        <f t="shared" si="9"/>
        <v>0</v>
      </c>
      <c r="AH41" s="11">
        <f t="shared" si="10"/>
        <v>13</v>
      </c>
    </row>
    <row r="42" spans="1:36">
      <c r="A42" s="70">
        <v>37</v>
      </c>
      <c r="B42" s="15"/>
      <c r="C42" s="15">
        <v>1</v>
      </c>
      <c r="D42" s="15"/>
      <c r="E42" s="15"/>
      <c r="F42" s="372"/>
      <c r="G42" s="372"/>
      <c r="H42" s="372"/>
      <c r="I42" s="372"/>
      <c r="J42" s="372"/>
      <c r="K42" s="374"/>
      <c r="L42" s="374"/>
      <c r="M42" s="374"/>
      <c r="N42" s="372"/>
      <c r="O42" s="372"/>
      <c r="P42" s="372"/>
      <c r="Q42" s="372">
        <v>0.7</v>
      </c>
      <c r="R42" s="372">
        <v>0.7</v>
      </c>
      <c r="S42" s="372">
        <v>0.7</v>
      </c>
      <c r="T42" s="372">
        <v>0.7</v>
      </c>
      <c r="U42" s="372">
        <v>0.7</v>
      </c>
      <c r="V42" s="372">
        <v>0.7</v>
      </c>
      <c r="W42" s="372">
        <v>0.7</v>
      </c>
      <c r="X42" s="372">
        <v>0.7</v>
      </c>
      <c r="Y42" s="372">
        <v>0.7</v>
      </c>
      <c r="Z42" s="372">
        <v>0.7</v>
      </c>
      <c r="AA42" s="372">
        <v>0.7</v>
      </c>
      <c r="AB42" s="372">
        <v>0.7</v>
      </c>
      <c r="AC42" s="372">
        <v>0.7</v>
      </c>
      <c r="AD42" s="41"/>
      <c r="AE42" s="41"/>
      <c r="AF42" s="11">
        <f t="shared" si="8"/>
        <v>0</v>
      </c>
      <c r="AG42" s="11">
        <f t="shared" si="9"/>
        <v>0</v>
      </c>
      <c r="AH42" s="11">
        <f t="shared" si="10"/>
        <v>13</v>
      </c>
    </row>
    <row r="43" spans="1:36">
      <c r="A43" s="70">
        <v>38</v>
      </c>
      <c r="B43" s="15"/>
      <c r="C43" s="15"/>
      <c r="D43" s="15"/>
      <c r="E43" s="15"/>
      <c r="F43" s="372" t="s">
        <v>9</v>
      </c>
      <c r="G43" s="372" t="s">
        <v>9</v>
      </c>
      <c r="H43" s="372" t="s">
        <v>9</v>
      </c>
      <c r="I43" s="372" t="s">
        <v>9</v>
      </c>
      <c r="J43" s="372" t="s">
        <v>9</v>
      </c>
      <c r="K43" s="374" t="s">
        <v>9</v>
      </c>
      <c r="L43" s="374" t="s">
        <v>9</v>
      </c>
      <c r="M43" s="374" t="s">
        <v>9</v>
      </c>
      <c r="N43" s="372" t="s">
        <v>9</v>
      </c>
      <c r="O43" s="372" t="s">
        <v>9</v>
      </c>
      <c r="P43" s="372" t="s">
        <v>9</v>
      </c>
      <c r="Q43" s="372" t="s">
        <v>9</v>
      </c>
      <c r="R43" s="372" t="s">
        <v>9</v>
      </c>
      <c r="S43" s="372" t="s">
        <v>9</v>
      </c>
      <c r="T43" s="372" t="s">
        <v>9</v>
      </c>
      <c r="U43" s="372" t="s">
        <v>9</v>
      </c>
      <c r="V43" s="372" t="s">
        <v>9</v>
      </c>
      <c r="W43" s="372" t="s">
        <v>9</v>
      </c>
      <c r="X43" s="372" t="s">
        <v>9</v>
      </c>
      <c r="Y43" s="372" t="s">
        <v>9</v>
      </c>
      <c r="Z43" s="372" t="s">
        <v>9</v>
      </c>
      <c r="AA43" s="372" t="s">
        <v>9</v>
      </c>
      <c r="AB43" s="372" t="s">
        <v>9</v>
      </c>
      <c r="AC43" s="372" t="s">
        <v>9</v>
      </c>
      <c r="AD43" s="41"/>
      <c r="AE43" s="41"/>
      <c r="AF43" s="11">
        <f t="shared" si="8"/>
        <v>24</v>
      </c>
      <c r="AG43" s="11">
        <f t="shared" si="9"/>
        <v>0</v>
      </c>
      <c r="AH43" s="11">
        <f t="shared" si="10"/>
        <v>0</v>
      </c>
    </row>
    <row r="44" spans="1:36" ht="16.5" customHeight="1">
      <c r="A44" s="70">
        <v>39</v>
      </c>
      <c r="B44" s="15"/>
      <c r="C44" s="15">
        <v>1</v>
      </c>
      <c r="D44" s="15"/>
      <c r="E44" s="15"/>
      <c r="F44" s="372" t="s">
        <v>9</v>
      </c>
      <c r="G44" s="372" t="s">
        <v>9</v>
      </c>
      <c r="H44" s="372" t="s">
        <v>9</v>
      </c>
      <c r="I44" s="372" t="s">
        <v>9</v>
      </c>
      <c r="J44" s="372" t="s">
        <v>9</v>
      </c>
      <c r="K44" s="372" t="s">
        <v>9</v>
      </c>
      <c r="L44" s="374" t="s">
        <v>9</v>
      </c>
      <c r="M44" s="374" t="s">
        <v>9</v>
      </c>
      <c r="N44" s="372" t="s">
        <v>9</v>
      </c>
      <c r="O44" s="372" t="s">
        <v>9</v>
      </c>
      <c r="P44" s="372" t="s">
        <v>9</v>
      </c>
      <c r="Q44" s="372" t="s">
        <v>9</v>
      </c>
      <c r="R44" s="372" t="s">
        <v>9</v>
      </c>
      <c r="S44" s="372" t="s">
        <v>9</v>
      </c>
      <c r="T44" s="372" t="s">
        <v>9</v>
      </c>
      <c r="U44" s="372" t="s">
        <v>9</v>
      </c>
      <c r="V44" s="372" t="s">
        <v>9</v>
      </c>
      <c r="W44" s="372" t="s">
        <v>9</v>
      </c>
      <c r="X44" s="372" t="s">
        <v>9</v>
      </c>
      <c r="Y44" s="372" t="s">
        <v>9</v>
      </c>
      <c r="Z44" s="372" t="s">
        <v>9</v>
      </c>
      <c r="AA44" s="372" t="s">
        <v>9</v>
      </c>
      <c r="AB44" s="372" t="s">
        <v>9</v>
      </c>
      <c r="AC44" s="372" t="s">
        <v>9</v>
      </c>
      <c r="AD44" s="41"/>
      <c r="AE44" s="41"/>
      <c r="AF44" s="11">
        <f t="shared" si="8"/>
        <v>24</v>
      </c>
      <c r="AG44" s="11">
        <f t="shared" si="9"/>
        <v>0</v>
      </c>
      <c r="AH44" s="11">
        <f t="shared" si="10"/>
        <v>0</v>
      </c>
    </row>
    <row r="45" spans="1:36" ht="16.5" customHeight="1">
      <c r="A45" s="70" t="s">
        <v>40</v>
      </c>
      <c r="B45" s="15"/>
      <c r="C45" s="15">
        <v>0.85</v>
      </c>
      <c r="D45" s="15"/>
      <c r="E45" s="15"/>
      <c r="F45" s="372"/>
      <c r="G45" s="372"/>
      <c r="H45" s="372"/>
      <c r="I45" s="372"/>
      <c r="J45" s="372"/>
      <c r="K45" s="372"/>
      <c r="L45" s="372"/>
      <c r="M45" s="372"/>
      <c r="N45" s="372"/>
      <c r="O45" s="372"/>
      <c r="P45" s="372"/>
      <c r="Q45" s="372"/>
      <c r="R45" s="372"/>
      <c r="S45" s="372"/>
      <c r="T45" s="372"/>
      <c r="U45" s="372"/>
      <c r="V45" s="372"/>
      <c r="W45" s="372"/>
      <c r="X45" s="372"/>
      <c r="Y45" s="372"/>
      <c r="Z45" s="372"/>
      <c r="AA45" s="372"/>
      <c r="AB45" s="372"/>
      <c r="AC45" s="372"/>
      <c r="AD45" s="41"/>
      <c r="AE45" s="41"/>
      <c r="AF45" s="11">
        <f t="shared" si="8"/>
        <v>0</v>
      </c>
      <c r="AG45" s="11">
        <f t="shared" si="9"/>
        <v>0</v>
      </c>
      <c r="AH45" s="11">
        <f t="shared" si="10"/>
        <v>0</v>
      </c>
      <c r="AI45" s="159"/>
    </row>
    <row r="46" spans="1:36">
      <c r="A46" s="70" t="s">
        <v>41</v>
      </c>
      <c r="B46" s="15"/>
      <c r="C46" s="15">
        <v>0.75</v>
      </c>
      <c r="D46" s="15"/>
      <c r="E46" s="15"/>
      <c r="F46" s="372"/>
      <c r="G46" s="372"/>
      <c r="H46" s="372"/>
      <c r="I46" s="372"/>
      <c r="J46" s="372"/>
      <c r="K46" s="372"/>
      <c r="L46" s="374">
        <v>0.66</v>
      </c>
      <c r="M46" s="374">
        <f>1.3/2</f>
        <v>0.65</v>
      </c>
      <c r="N46" s="372"/>
      <c r="O46" s="372"/>
      <c r="P46" s="372"/>
      <c r="Q46" s="372"/>
      <c r="R46" s="372">
        <v>0.7</v>
      </c>
      <c r="S46" s="372"/>
      <c r="T46" s="372">
        <v>0.7</v>
      </c>
      <c r="U46" s="372">
        <v>0.7</v>
      </c>
      <c r="V46" s="372">
        <v>0.7</v>
      </c>
      <c r="W46" s="372">
        <v>0</v>
      </c>
      <c r="X46" s="372">
        <v>0</v>
      </c>
      <c r="Y46" s="372">
        <v>0</v>
      </c>
      <c r="Z46" s="372">
        <v>0</v>
      </c>
      <c r="AA46" s="372">
        <v>0</v>
      </c>
      <c r="AB46" s="372">
        <v>0</v>
      </c>
      <c r="AC46" s="372">
        <v>0</v>
      </c>
      <c r="AD46" s="41"/>
      <c r="AE46" s="41"/>
      <c r="AF46" s="11">
        <f t="shared" si="8"/>
        <v>0</v>
      </c>
      <c r="AG46" s="11">
        <f t="shared" si="9"/>
        <v>0</v>
      </c>
      <c r="AH46" s="11">
        <f t="shared" si="10"/>
        <v>13</v>
      </c>
      <c r="AI46" s="159"/>
    </row>
    <row r="47" spans="1:36">
      <c r="A47" s="70" t="s">
        <v>42</v>
      </c>
      <c r="B47" s="15"/>
      <c r="C47" s="15">
        <v>0.75</v>
      </c>
      <c r="D47" s="15"/>
      <c r="E47" s="15"/>
      <c r="F47" s="372"/>
      <c r="G47" s="372"/>
      <c r="H47" s="372"/>
      <c r="I47" s="372"/>
      <c r="J47" s="372"/>
      <c r="K47" s="372"/>
      <c r="L47" s="372"/>
      <c r="M47" s="372"/>
      <c r="N47" s="372"/>
      <c r="O47" s="372"/>
      <c r="P47" s="372"/>
      <c r="Q47" s="372"/>
      <c r="R47" s="372">
        <v>0.7</v>
      </c>
      <c r="S47" s="372">
        <v>0.7</v>
      </c>
      <c r="T47" s="372">
        <v>0.7</v>
      </c>
      <c r="U47" s="372"/>
      <c r="V47" s="372">
        <v>0.7</v>
      </c>
      <c r="W47" s="372">
        <v>0</v>
      </c>
      <c r="X47" s="372">
        <v>0</v>
      </c>
      <c r="Y47" s="372">
        <v>0</v>
      </c>
      <c r="Z47" s="372">
        <v>0</v>
      </c>
      <c r="AA47" s="372">
        <v>0</v>
      </c>
      <c r="AB47" s="372">
        <v>0</v>
      </c>
      <c r="AC47" s="372">
        <v>0</v>
      </c>
      <c r="AD47" s="41"/>
      <c r="AE47" s="41"/>
      <c r="AF47" s="11">
        <f t="shared" si="8"/>
        <v>0</v>
      </c>
      <c r="AG47" s="11">
        <f t="shared" si="9"/>
        <v>0</v>
      </c>
      <c r="AH47" s="11">
        <f t="shared" si="10"/>
        <v>11</v>
      </c>
    </row>
    <row r="48" spans="1:36">
      <c r="A48" s="70" t="s">
        <v>43</v>
      </c>
      <c r="B48" s="15"/>
      <c r="C48" s="15">
        <v>0.75</v>
      </c>
      <c r="D48" s="15"/>
      <c r="E48" s="15"/>
      <c r="F48" s="372"/>
      <c r="G48" s="372"/>
      <c r="H48" s="372"/>
      <c r="I48" s="372"/>
      <c r="J48" s="372">
        <v>0.66</v>
      </c>
      <c r="K48" s="372"/>
      <c r="L48" s="374"/>
      <c r="M48" s="372"/>
      <c r="N48" s="372"/>
      <c r="O48" s="372">
        <v>0.7</v>
      </c>
      <c r="P48" s="372">
        <v>0.7</v>
      </c>
      <c r="Q48" s="372"/>
      <c r="R48" s="372"/>
      <c r="S48" s="372"/>
      <c r="T48" s="372">
        <v>0.7</v>
      </c>
      <c r="U48" s="372">
        <v>0</v>
      </c>
      <c r="V48" s="372">
        <v>0</v>
      </c>
      <c r="W48" s="372">
        <v>0</v>
      </c>
      <c r="X48" s="372">
        <v>0</v>
      </c>
      <c r="Y48" s="372">
        <v>0</v>
      </c>
      <c r="Z48" s="372">
        <v>0</v>
      </c>
      <c r="AA48" s="372">
        <v>0</v>
      </c>
      <c r="AB48" s="372">
        <v>0</v>
      </c>
      <c r="AC48" s="372">
        <v>0</v>
      </c>
      <c r="AD48" s="41"/>
      <c r="AE48" s="41"/>
      <c r="AF48" s="11">
        <f t="shared" si="8"/>
        <v>0</v>
      </c>
      <c r="AG48" s="11">
        <f t="shared" si="9"/>
        <v>0</v>
      </c>
      <c r="AH48" s="11">
        <f t="shared" si="10"/>
        <v>13</v>
      </c>
    </row>
    <row r="49" spans="1:124" ht="15" customHeight="1">
      <c r="A49" s="70" t="s">
        <v>44</v>
      </c>
      <c r="B49" s="15"/>
      <c r="C49" s="15">
        <v>0.75</v>
      </c>
      <c r="D49" s="15"/>
      <c r="E49" s="15"/>
      <c r="F49" s="372"/>
      <c r="G49" s="372"/>
      <c r="H49" s="372"/>
      <c r="I49" s="372"/>
      <c r="J49" s="372"/>
      <c r="K49" s="372"/>
      <c r="L49" s="374">
        <v>0.67</v>
      </c>
      <c r="M49" s="374">
        <f>1.3/2</f>
        <v>0.65</v>
      </c>
      <c r="N49" s="372"/>
      <c r="O49" s="372">
        <v>0.7</v>
      </c>
      <c r="P49" s="372">
        <v>0.7</v>
      </c>
      <c r="Q49" s="372">
        <v>0.7</v>
      </c>
      <c r="R49" s="372">
        <v>0.7</v>
      </c>
      <c r="S49" s="372"/>
      <c r="T49" s="372">
        <v>0.7</v>
      </c>
      <c r="U49" s="372">
        <v>0.7</v>
      </c>
      <c r="V49" s="372">
        <v>0.7</v>
      </c>
      <c r="W49" s="372">
        <v>0</v>
      </c>
      <c r="X49" s="372">
        <v>0</v>
      </c>
      <c r="Y49" s="372">
        <v>0</v>
      </c>
      <c r="Z49" s="372">
        <v>0</v>
      </c>
      <c r="AA49" s="372">
        <v>0</v>
      </c>
      <c r="AB49" s="372">
        <v>0</v>
      </c>
      <c r="AC49" s="372">
        <v>0</v>
      </c>
      <c r="AD49" s="41"/>
      <c r="AE49" s="41"/>
      <c r="AF49" s="11">
        <f t="shared" si="8"/>
        <v>0</v>
      </c>
      <c r="AG49" s="11">
        <f t="shared" si="9"/>
        <v>0</v>
      </c>
      <c r="AH49" s="11">
        <f t="shared" si="10"/>
        <v>16</v>
      </c>
    </row>
    <row r="50" spans="1:124" ht="16.5" customHeight="1">
      <c r="A50" s="70" t="s">
        <v>45</v>
      </c>
      <c r="B50" s="15"/>
      <c r="C50" s="15">
        <v>0.75</v>
      </c>
      <c r="D50" s="15"/>
      <c r="E50" s="15"/>
      <c r="F50" s="372"/>
      <c r="G50" s="372"/>
      <c r="H50" s="372"/>
      <c r="I50" s="372"/>
      <c r="J50" s="372">
        <v>0.67</v>
      </c>
      <c r="K50" s="372"/>
      <c r="L50" s="372"/>
      <c r="M50" s="374"/>
      <c r="N50" s="372"/>
      <c r="O50" s="372">
        <v>0.7</v>
      </c>
      <c r="P50" s="372"/>
      <c r="Q50" s="372"/>
      <c r="R50" s="372"/>
      <c r="S50" s="372">
        <v>0.7</v>
      </c>
      <c r="T50" s="372">
        <v>0.7</v>
      </c>
      <c r="U50" s="372"/>
      <c r="V50" s="372"/>
      <c r="W50" s="372"/>
      <c r="X50" s="372"/>
      <c r="Y50" s="372">
        <v>0.7</v>
      </c>
      <c r="Z50" s="372"/>
      <c r="AA50" s="372"/>
      <c r="AB50" s="372"/>
      <c r="AC50" s="372"/>
      <c r="AD50" s="41"/>
      <c r="AE50" s="41"/>
      <c r="AF50" s="11">
        <f t="shared" si="8"/>
        <v>0</v>
      </c>
      <c r="AG50" s="11">
        <f t="shared" si="9"/>
        <v>0</v>
      </c>
      <c r="AH50" s="11">
        <f t="shared" si="10"/>
        <v>5</v>
      </c>
    </row>
    <row r="51" spans="1:124">
      <c r="A51" s="70" t="s">
        <v>46</v>
      </c>
      <c r="B51" s="15"/>
      <c r="C51" s="15">
        <v>0.85</v>
      </c>
      <c r="D51" s="15"/>
      <c r="E51" s="15"/>
      <c r="F51" s="372"/>
      <c r="G51" s="374"/>
      <c r="H51" s="374"/>
      <c r="I51" s="374"/>
      <c r="J51" s="374"/>
      <c r="K51" s="374"/>
      <c r="L51" s="374"/>
      <c r="M51" s="374"/>
      <c r="N51" s="372"/>
      <c r="O51" s="372"/>
      <c r="P51" s="372"/>
      <c r="Q51" s="372"/>
      <c r="R51" s="372"/>
      <c r="S51" s="372"/>
      <c r="T51" s="372"/>
      <c r="U51" s="372"/>
      <c r="V51" s="372"/>
      <c r="W51" s="372"/>
      <c r="X51" s="372"/>
      <c r="Y51" s="372">
        <v>0.7</v>
      </c>
      <c r="Z51" s="372">
        <v>0.7</v>
      </c>
      <c r="AA51" s="372"/>
      <c r="AB51" s="372"/>
      <c r="AC51" s="372"/>
      <c r="AD51" s="41"/>
      <c r="AE51" s="41"/>
      <c r="AF51" s="11">
        <f t="shared" si="8"/>
        <v>0</v>
      </c>
      <c r="AG51" s="11">
        <f t="shared" si="9"/>
        <v>0</v>
      </c>
      <c r="AH51" s="11">
        <f t="shared" si="10"/>
        <v>2</v>
      </c>
    </row>
    <row r="52" spans="1:124">
      <c r="A52" s="70" t="s">
        <v>47</v>
      </c>
      <c r="B52" s="15"/>
      <c r="C52" s="15">
        <v>0.85</v>
      </c>
      <c r="D52" s="15"/>
      <c r="E52" s="15"/>
      <c r="F52" s="372" t="s">
        <v>9</v>
      </c>
      <c r="G52" s="374" t="s">
        <v>9</v>
      </c>
      <c r="H52" s="374" t="s">
        <v>9</v>
      </c>
      <c r="I52" s="374" t="s">
        <v>9</v>
      </c>
      <c r="J52" s="374" t="s">
        <v>9</v>
      </c>
      <c r="K52" s="374" t="s">
        <v>9</v>
      </c>
      <c r="L52" s="374" t="s">
        <v>9</v>
      </c>
      <c r="M52" s="374" t="s">
        <v>9</v>
      </c>
      <c r="N52" s="372" t="s">
        <v>9</v>
      </c>
      <c r="O52" s="372" t="s">
        <v>9</v>
      </c>
      <c r="P52" s="372" t="s">
        <v>9</v>
      </c>
      <c r="Q52" s="372" t="s">
        <v>9</v>
      </c>
      <c r="R52" s="372" t="s">
        <v>9</v>
      </c>
      <c r="S52" s="372" t="s">
        <v>9</v>
      </c>
      <c r="T52" s="372" t="s">
        <v>9</v>
      </c>
      <c r="U52" s="372" t="s">
        <v>9</v>
      </c>
      <c r="V52" s="372" t="s">
        <v>9</v>
      </c>
      <c r="W52" s="372" t="s">
        <v>9</v>
      </c>
      <c r="X52" s="372" t="s">
        <v>9</v>
      </c>
      <c r="Y52" s="372" t="s">
        <v>9</v>
      </c>
      <c r="Z52" s="372" t="s">
        <v>9</v>
      </c>
      <c r="AA52" s="372" t="s">
        <v>9</v>
      </c>
      <c r="AB52" s="372" t="s">
        <v>9</v>
      </c>
      <c r="AC52" s="372" t="s">
        <v>9</v>
      </c>
      <c r="AD52" s="41"/>
      <c r="AE52" s="41"/>
      <c r="AF52" s="11">
        <f t="shared" si="8"/>
        <v>24</v>
      </c>
      <c r="AG52" s="11">
        <f t="shared" si="9"/>
        <v>0</v>
      </c>
      <c r="AH52" s="11">
        <f t="shared" si="10"/>
        <v>0</v>
      </c>
    </row>
    <row r="53" spans="1:124">
      <c r="A53" s="70" t="s">
        <v>48</v>
      </c>
      <c r="B53" s="15"/>
      <c r="C53" s="15">
        <v>0.85</v>
      </c>
      <c r="D53" s="15"/>
      <c r="E53" s="15"/>
      <c r="F53" s="372"/>
      <c r="G53" s="372"/>
      <c r="H53" s="372"/>
      <c r="I53" s="372"/>
      <c r="J53" s="372"/>
      <c r="K53" s="374"/>
      <c r="L53" s="372"/>
      <c r="M53" s="372"/>
      <c r="N53" s="372"/>
      <c r="O53" s="372"/>
      <c r="P53" s="372"/>
      <c r="Q53" s="372"/>
      <c r="R53" s="372"/>
      <c r="S53" s="372"/>
      <c r="T53" s="372"/>
      <c r="U53" s="372"/>
      <c r="V53" s="372"/>
      <c r="W53" s="372"/>
      <c r="X53" s="372"/>
      <c r="Y53" s="372"/>
      <c r="Z53" s="372"/>
      <c r="AA53" s="372"/>
      <c r="AB53" s="372"/>
      <c r="AC53" s="372"/>
      <c r="AD53" s="41"/>
      <c r="AE53" s="41"/>
      <c r="AF53" s="11">
        <f t="shared" si="8"/>
        <v>0</v>
      </c>
      <c r="AG53" s="11">
        <f t="shared" si="9"/>
        <v>0</v>
      </c>
      <c r="AH53" s="11">
        <f t="shared" si="10"/>
        <v>0</v>
      </c>
    </row>
    <row r="54" spans="1:124" ht="16.5" customHeight="1">
      <c r="A54" s="70" t="s">
        <v>49</v>
      </c>
      <c r="B54" s="15"/>
      <c r="C54" s="15">
        <v>0.85</v>
      </c>
      <c r="D54" s="15"/>
      <c r="E54" s="15"/>
      <c r="F54" s="372"/>
      <c r="G54" s="372"/>
      <c r="H54" s="372"/>
      <c r="I54" s="372"/>
      <c r="J54" s="372"/>
      <c r="K54" s="374"/>
      <c r="L54" s="372"/>
      <c r="M54" s="374"/>
      <c r="N54" s="372"/>
      <c r="O54" s="372"/>
      <c r="P54" s="372"/>
      <c r="Q54" s="372"/>
      <c r="R54" s="372"/>
      <c r="S54" s="372"/>
      <c r="T54" s="372"/>
      <c r="U54" s="372"/>
      <c r="V54" s="372"/>
      <c r="W54" s="372"/>
      <c r="X54" s="372"/>
      <c r="Y54" s="372"/>
      <c r="Z54" s="372"/>
      <c r="AA54" s="372"/>
      <c r="AB54" s="372"/>
      <c r="AC54" s="372"/>
      <c r="AD54" s="41"/>
      <c r="AE54" s="41"/>
      <c r="AF54" s="11">
        <f t="shared" si="8"/>
        <v>0</v>
      </c>
      <c r="AG54" s="11">
        <f t="shared" si="9"/>
        <v>0</v>
      </c>
      <c r="AH54" s="11">
        <f t="shared" si="10"/>
        <v>0</v>
      </c>
    </row>
    <row r="55" spans="1:124">
      <c r="A55" s="70" t="s">
        <v>50</v>
      </c>
      <c r="B55" s="15"/>
      <c r="C55" s="15">
        <v>0.85</v>
      </c>
      <c r="D55" s="15"/>
      <c r="E55" s="15"/>
      <c r="F55" s="372"/>
      <c r="G55" s="372"/>
      <c r="H55" s="372"/>
      <c r="I55" s="372"/>
      <c r="J55" s="372"/>
      <c r="K55" s="374"/>
      <c r="L55" s="372"/>
      <c r="M55" s="374"/>
      <c r="N55" s="372"/>
      <c r="O55" s="372"/>
      <c r="P55" s="372"/>
      <c r="Q55" s="372"/>
      <c r="R55" s="372"/>
      <c r="S55" s="372"/>
      <c r="T55" s="372"/>
      <c r="U55" s="372"/>
      <c r="V55" s="372"/>
      <c r="W55" s="372"/>
      <c r="X55" s="372"/>
      <c r="Y55" s="372"/>
      <c r="Z55" s="372"/>
      <c r="AA55" s="372"/>
      <c r="AB55" s="372"/>
      <c r="AC55" s="372"/>
      <c r="AD55" s="41"/>
      <c r="AE55" s="41"/>
      <c r="AF55" s="11">
        <f>COUNTIF(F55:AC55,$AJ$8)</f>
        <v>0</v>
      </c>
      <c r="AG55" s="11">
        <f t="shared" si="9"/>
        <v>0</v>
      </c>
      <c r="AH55" s="11">
        <f>COUNT(F55:AC55)</f>
        <v>0</v>
      </c>
    </row>
    <row r="56" spans="1:124">
      <c r="A56" s="70" t="s">
        <v>51</v>
      </c>
      <c r="B56" s="15"/>
      <c r="C56" s="15">
        <v>0.75</v>
      </c>
      <c r="D56" s="15"/>
      <c r="E56" s="15"/>
      <c r="F56" s="372"/>
      <c r="G56" s="372"/>
      <c r="H56" s="372"/>
      <c r="I56" s="372"/>
      <c r="J56" s="372">
        <v>0.67</v>
      </c>
      <c r="K56" s="372"/>
      <c r="L56" s="374"/>
      <c r="M56" s="374"/>
      <c r="N56" s="372"/>
      <c r="O56" s="372">
        <v>0.7</v>
      </c>
      <c r="P56" s="372">
        <v>0.7</v>
      </c>
      <c r="Q56" s="372"/>
      <c r="R56" s="372"/>
      <c r="S56" s="372"/>
      <c r="T56" s="372">
        <v>0.7</v>
      </c>
      <c r="U56" s="372">
        <v>0</v>
      </c>
      <c r="V56" s="372">
        <v>0</v>
      </c>
      <c r="W56" s="372">
        <v>0</v>
      </c>
      <c r="X56" s="372">
        <v>0</v>
      </c>
      <c r="Y56" s="372">
        <v>0.7</v>
      </c>
      <c r="Z56" s="372"/>
      <c r="AA56" s="372"/>
      <c r="AB56" s="372"/>
      <c r="AC56" s="372"/>
      <c r="AD56" s="41"/>
      <c r="AE56" s="41"/>
      <c r="AF56" s="11">
        <f t="shared" si="8"/>
        <v>0</v>
      </c>
      <c r="AG56" s="11">
        <f t="shared" si="9"/>
        <v>0</v>
      </c>
      <c r="AH56" s="11">
        <f t="shared" si="10"/>
        <v>9</v>
      </c>
    </row>
    <row r="57" spans="1:124">
      <c r="A57" s="70" t="s">
        <v>52</v>
      </c>
      <c r="B57" s="15"/>
      <c r="C57" s="15">
        <v>0.75</v>
      </c>
      <c r="D57" s="15"/>
      <c r="E57" s="15"/>
      <c r="F57" s="372"/>
      <c r="G57" s="372"/>
      <c r="H57" s="372"/>
      <c r="I57" s="372"/>
      <c r="J57" s="372"/>
      <c r="K57" s="372"/>
      <c r="L57" s="374">
        <v>0.67</v>
      </c>
      <c r="M57" s="374"/>
      <c r="N57" s="372"/>
      <c r="O57" s="372">
        <v>0.7</v>
      </c>
      <c r="P57" s="372">
        <v>0.7</v>
      </c>
      <c r="Q57" s="372"/>
      <c r="R57" s="372"/>
      <c r="S57" s="372"/>
      <c r="T57" s="372">
        <v>0.7</v>
      </c>
      <c r="U57" s="372">
        <v>0.7</v>
      </c>
      <c r="V57" s="372">
        <v>0.7</v>
      </c>
      <c r="W57" s="372">
        <v>0</v>
      </c>
      <c r="X57" s="372">
        <v>0</v>
      </c>
      <c r="Y57" s="372">
        <v>0.7</v>
      </c>
      <c r="Z57" s="372">
        <v>0.7</v>
      </c>
      <c r="AA57" s="372"/>
      <c r="AB57" s="372"/>
      <c r="AC57" s="372"/>
      <c r="AD57" s="41"/>
      <c r="AE57" s="41"/>
      <c r="AF57" s="11">
        <f t="shared" si="8"/>
        <v>0</v>
      </c>
      <c r="AG57" s="11">
        <f t="shared" si="9"/>
        <v>0</v>
      </c>
      <c r="AH57" s="11">
        <f t="shared" si="10"/>
        <v>10</v>
      </c>
    </row>
    <row r="58" spans="1:124">
      <c r="A58" s="70" t="s">
        <v>53</v>
      </c>
      <c r="B58" s="15"/>
      <c r="C58" s="15">
        <v>0.85</v>
      </c>
      <c r="D58" s="15"/>
      <c r="E58" s="15"/>
      <c r="F58" s="372"/>
      <c r="G58" s="372"/>
      <c r="H58" s="372"/>
      <c r="I58" s="372"/>
      <c r="J58" s="372"/>
      <c r="K58" s="372"/>
      <c r="L58" s="372"/>
      <c r="M58" s="374"/>
      <c r="N58" s="372"/>
      <c r="O58" s="372"/>
      <c r="P58" s="372"/>
      <c r="Q58" s="372"/>
      <c r="R58" s="372"/>
      <c r="S58" s="372"/>
      <c r="T58" s="372"/>
      <c r="U58" s="372"/>
      <c r="V58" s="372"/>
      <c r="W58" s="372"/>
      <c r="X58" s="372"/>
      <c r="Y58" s="372"/>
      <c r="Z58" s="372"/>
      <c r="AA58" s="372"/>
      <c r="AB58" s="372"/>
      <c r="AC58" s="372"/>
      <c r="AD58" s="41"/>
      <c r="AE58" s="41"/>
      <c r="AF58" s="11">
        <f t="shared" si="8"/>
        <v>0</v>
      </c>
      <c r="AG58" s="11">
        <f t="shared" si="9"/>
        <v>0</v>
      </c>
      <c r="AH58" s="11">
        <f t="shared" si="10"/>
        <v>0</v>
      </c>
    </row>
    <row r="59" spans="1:124">
      <c r="A59" s="70" t="s">
        <v>54</v>
      </c>
      <c r="B59" s="15"/>
      <c r="C59" s="15">
        <v>0.85</v>
      </c>
      <c r="D59" s="15"/>
      <c r="E59" s="15"/>
      <c r="F59" s="372"/>
      <c r="G59" s="372"/>
      <c r="H59" s="372"/>
      <c r="I59" s="372"/>
      <c r="J59" s="372"/>
      <c r="K59" s="374"/>
      <c r="L59" s="374"/>
      <c r="M59" s="374"/>
      <c r="N59" s="372"/>
      <c r="O59" s="372"/>
      <c r="P59" s="372"/>
      <c r="Q59" s="372"/>
      <c r="R59" s="372"/>
      <c r="S59" s="372"/>
      <c r="T59" s="372"/>
      <c r="U59" s="372"/>
      <c r="V59" s="372"/>
      <c r="W59" s="372"/>
      <c r="X59" s="372"/>
      <c r="Y59" s="372"/>
      <c r="Z59" s="372"/>
      <c r="AA59" s="372"/>
      <c r="AB59" s="372"/>
      <c r="AC59" s="372"/>
      <c r="AD59" s="41"/>
      <c r="AE59" s="41"/>
      <c r="AF59" s="11">
        <f t="shared" si="8"/>
        <v>0</v>
      </c>
      <c r="AG59" s="11">
        <f t="shared" si="9"/>
        <v>0</v>
      </c>
      <c r="AH59" s="11">
        <f t="shared" si="10"/>
        <v>0</v>
      </c>
    </row>
    <row r="60" spans="1:124">
      <c r="A60" s="9" t="s">
        <v>26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 t="shared" ref="F60:AC60" si="11">SUM(F36:F59)</f>
        <v>0</v>
      </c>
      <c r="G60" s="19">
        <f t="shared" si="11"/>
        <v>0</v>
      </c>
      <c r="H60" s="19">
        <f t="shared" si="11"/>
        <v>0</v>
      </c>
      <c r="I60" s="19">
        <f t="shared" si="11"/>
        <v>0</v>
      </c>
      <c r="J60" s="19">
        <f t="shared" si="11"/>
        <v>2</v>
      </c>
      <c r="K60" s="19">
        <f t="shared" si="11"/>
        <v>0</v>
      </c>
      <c r="L60" s="19">
        <f t="shared" si="11"/>
        <v>2</v>
      </c>
      <c r="M60" s="19">
        <f t="shared" si="11"/>
        <v>1.3</v>
      </c>
      <c r="N60" s="19">
        <f t="shared" si="11"/>
        <v>0</v>
      </c>
      <c r="O60" s="19">
        <f>SUM(O36:O59)</f>
        <v>3.5</v>
      </c>
      <c r="P60" s="19">
        <f t="shared" si="11"/>
        <v>2.8</v>
      </c>
      <c r="Q60" s="19">
        <f t="shared" si="11"/>
        <v>2.0999999999999996</v>
      </c>
      <c r="R60" s="19">
        <f t="shared" si="11"/>
        <v>3.5</v>
      </c>
      <c r="S60" s="19">
        <f t="shared" si="11"/>
        <v>2.8</v>
      </c>
      <c r="T60" s="19">
        <f>SUM(T36:T59)</f>
        <v>6.4000000000000012</v>
      </c>
      <c r="U60" s="19">
        <f t="shared" si="11"/>
        <v>3.5</v>
      </c>
      <c r="V60" s="19">
        <f t="shared" si="11"/>
        <v>4.2</v>
      </c>
      <c r="W60" s="19">
        <f t="shared" si="11"/>
        <v>1.4</v>
      </c>
      <c r="X60" s="19">
        <f t="shared" si="11"/>
        <v>1.4</v>
      </c>
      <c r="Y60" s="19">
        <f t="shared" si="11"/>
        <v>4.2</v>
      </c>
      <c r="Z60" s="19">
        <f t="shared" si="11"/>
        <v>2.8</v>
      </c>
      <c r="AA60" s="19">
        <f t="shared" si="11"/>
        <v>1.4</v>
      </c>
      <c r="AB60" s="19">
        <f t="shared" si="11"/>
        <v>1.4</v>
      </c>
      <c r="AC60" s="19">
        <f t="shared" si="11"/>
        <v>1.4</v>
      </c>
      <c r="AD60" s="34"/>
      <c r="AE60" s="34"/>
      <c r="AF60" s="11"/>
      <c r="AG60" s="11"/>
      <c r="AH60" s="11"/>
    </row>
    <row r="61" spans="1:124">
      <c r="A61" s="12" t="s">
        <v>55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28.76</v>
      </c>
      <c r="AN61" s="351"/>
    </row>
    <row r="62" spans="1:124">
      <c r="A62" s="14" t="s">
        <v>56</v>
      </c>
      <c r="B62" s="20"/>
      <c r="C62" s="15">
        <v>0.75</v>
      </c>
      <c r="D62" s="15"/>
      <c r="E62" s="15"/>
      <c r="F62" s="372">
        <v>0.59</v>
      </c>
      <c r="G62" s="372">
        <v>0.5</v>
      </c>
      <c r="H62" s="372">
        <v>0.495</v>
      </c>
      <c r="I62" s="372">
        <f>0.98/2</f>
        <v>0.49</v>
      </c>
      <c r="J62" s="372">
        <f>0.88/2</f>
        <v>0.44</v>
      </c>
      <c r="K62" s="374">
        <f>0.87/2</f>
        <v>0.435</v>
      </c>
      <c r="L62" s="372">
        <f>0.95/2</f>
        <v>0.47499999999999998</v>
      </c>
      <c r="M62" s="372">
        <f>1.1/2</f>
        <v>0.55000000000000004</v>
      </c>
      <c r="N62" s="372">
        <f>1.11/2</f>
        <v>0.55500000000000005</v>
      </c>
      <c r="O62" s="372">
        <f>1.28/2</f>
        <v>0.64</v>
      </c>
      <c r="P62" s="372">
        <f>1.36/2</f>
        <v>0.68</v>
      </c>
      <c r="Q62" s="372">
        <f>1.42/2</f>
        <v>0.71</v>
      </c>
      <c r="R62" s="372">
        <f>1.41/2</f>
        <v>0.70499999999999996</v>
      </c>
      <c r="S62" s="372">
        <f>1.24/2</f>
        <v>0.62</v>
      </c>
      <c r="T62" s="372">
        <f>1.24/2</f>
        <v>0.62</v>
      </c>
      <c r="U62" s="372">
        <f>1.34/2</f>
        <v>0.67</v>
      </c>
      <c r="V62" s="372">
        <f>1.26/2</f>
        <v>0.63</v>
      </c>
      <c r="W62" s="372">
        <f>1.24/2</f>
        <v>0.62</v>
      </c>
      <c r="X62" s="372">
        <f>1.3/2</f>
        <v>0.65</v>
      </c>
      <c r="Y62" s="372">
        <f>1.53/2</f>
        <v>0.76500000000000001</v>
      </c>
      <c r="Z62" s="372">
        <f>1.47/2</f>
        <v>0.73499999999999999</v>
      </c>
      <c r="AA62" s="372">
        <f>1.35/2</f>
        <v>0.67500000000000004</v>
      </c>
      <c r="AB62" s="372">
        <f>1.21/2</f>
        <v>0.60499999999999998</v>
      </c>
      <c r="AC62" s="372">
        <v>0.52500000000000002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24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57</v>
      </c>
      <c r="B63" s="20"/>
      <c r="C63" s="15">
        <v>0.75</v>
      </c>
      <c r="D63" s="15"/>
      <c r="E63" s="15"/>
      <c r="F63" s="372">
        <v>0.59</v>
      </c>
      <c r="G63" s="372">
        <v>0.5</v>
      </c>
      <c r="H63" s="372">
        <v>0.495</v>
      </c>
      <c r="I63" s="372">
        <f>0.98/2</f>
        <v>0.49</v>
      </c>
      <c r="J63" s="372">
        <f>0.88/2</f>
        <v>0.44</v>
      </c>
      <c r="K63" s="374">
        <f>0.87/2</f>
        <v>0.435</v>
      </c>
      <c r="L63" s="372">
        <f>0.95/2</f>
        <v>0.47499999999999998</v>
      </c>
      <c r="M63" s="372">
        <f>1.1/2</f>
        <v>0.55000000000000004</v>
      </c>
      <c r="N63" s="372">
        <f>1.11/2</f>
        <v>0.55500000000000005</v>
      </c>
      <c r="O63" s="372">
        <f>1.28/2</f>
        <v>0.64</v>
      </c>
      <c r="P63" s="372">
        <f>1.36/2</f>
        <v>0.68</v>
      </c>
      <c r="Q63" s="372">
        <f>1.42/2</f>
        <v>0.71</v>
      </c>
      <c r="R63" s="372">
        <f>1.41/2</f>
        <v>0.70499999999999996</v>
      </c>
      <c r="S63" s="372">
        <f>1.24/2</f>
        <v>0.62</v>
      </c>
      <c r="T63" s="372">
        <f>1.24/2</f>
        <v>0.62</v>
      </c>
      <c r="U63" s="372">
        <f>1.34/2</f>
        <v>0.67</v>
      </c>
      <c r="V63" s="372">
        <f>1.26/2</f>
        <v>0.63</v>
      </c>
      <c r="W63" s="372">
        <f>1.24/2</f>
        <v>0.62</v>
      </c>
      <c r="X63" s="372">
        <f>1.3/2</f>
        <v>0.65</v>
      </c>
      <c r="Y63" s="372">
        <f>1.53/2</f>
        <v>0.76500000000000001</v>
      </c>
      <c r="Z63" s="372">
        <f>1.47/2</f>
        <v>0.73499999999999999</v>
      </c>
      <c r="AA63" s="372">
        <f>1.35/2</f>
        <v>0.67500000000000004</v>
      </c>
      <c r="AB63" s="372">
        <f>1.21/2</f>
        <v>0.60499999999999998</v>
      </c>
      <c r="AC63" s="372">
        <v>0.52500000000000002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24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58</v>
      </c>
      <c r="B64" s="20"/>
      <c r="C64" s="15">
        <v>0.75</v>
      </c>
      <c r="D64" s="15"/>
      <c r="E64" s="15"/>
      <c r="F64" s="372" t="s">
        <v>9</v>
      </c>
      <c r="G64" s="372" t="s">
        <v>9</v>
      </c>
      <c r="H64" s="372" t="s">
        <v>9</v>
      </c>
      <c r="I64" s="372" t="s">
        <v>9</v>
      </c>
      <c r="J64" s="372" t="s">
        <v>9</v>
      </c>
      <c r="K64" s="374" t="s">
        <v>9</v>
      </c>
      <c r="L64" s="372" t="s">
        <v>9</v>
      </c>
      <c r="M64" s="372" t="s">
        <v>9</v>
      </c>
      <c r="N64" s="372" t="s">
        <v>9</v>
      </c>
      <c r="O64" s="372" t="s">
        <v>9</v>
      </c>
      <c r="P64" s="372" t="s">
        <v>9</v>
      </c>
      <c r="Q64" s="372" t="s">
        <v>9</v>
      </c>
      <c r="R64" s="372" t="s">
        <v>9</v>
      </c>
      <c r="S64" s="372" t="s">
        <v>9</v>
      </c>
      <c r="T64" s="372" t="s">
        <v>9</v>
      </c>
      <c r="U64" s="372" t="s">
        <v>9</v>
      </c>
      <c r="V64" s="372" t="s">
        <v>9</v>
      </c>
      <c r="W64" s="372" t="s">
        <v>9</v>
      </c>
      <c r="X64" s="372" t="s">
        <v>9</v>
      </c>
      <c r="Y64" s="372" t="s">
        <v>9</v>
      </c>
      <c r="Z64" s="372" t="s">
        <v>9</v>
      </c>
      <c r="AA64" s="372" t="s">
        <v>9</v>
      </c>
      <c r="AB64" s="372" t="s">
        <v>9</v>
      </c>
      <c r="AC64" s="372" t="s">
        <v>9</v>
      </c>
      <c r="AD64" s="32"/>
      <c r="AE64" s="32"/>
      <c r="AF64" s="11">
        <f>COUNTIF(F64:AC64,$AF$11)</f>
        <v>24</v>
      </c>
      <c r="AG64" s="11">
        <f>COUNTIF(G64:AC64,$AG$11)</f>
        <v>0</v>
      </c>
      <c r="AH64" s="11">
        <f>COUNT(F64:AC64)</f>
        <v>0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1.18</v>
      </c>
      <c r="G65" s="19">
        <f t="shared" ref="G65" si="12">SUM(G62:G64)</f>
        <v>1</v>
      </c>
      <c r="H65" s="19">
        <f>SUM(H62:H64)</f>
        <v>0.99</v>
      </c>
      <c r="I65" s="19">
        <f>SUM(I62:I64)</f>
        <v>0.98</v>
      </c>
      <c r="J65" s="19">
        <f t="shared" ref="J65" si="13">SUM(J62:J64)</f>
        <v>0.88</v>
      </c>
      <c r="K65" s="19">
        <f>SUM(K62:K64)</f>
        <v>0.87</v>
      </c>
      <c r="L65" s="19">
        <f>SUM(L62:L64)</f>
        <v>0.95</v>
      </c>
      <c r="M65" s="19">
        <f>SUM(M62:M64)</f>
        <v>1.1000000000000001</v>
      </c>
      <c r="N65" s="19">
        <f>SUM(N62:N64)</f>
        <v>1.1100000000000001</v>
      </c>
      <c r="O65" s="19">
        <f t="shared" ref="O65:AB65" si="14">SUM(O62:O64)</f>
        <v>1.28</v>
      </c>
      <c r="P65" s="19">
        <f t="shared" si="14"/>
        <v>1.36</v>
      </c>
      <c r="Q65" s="19">
        <f t="shared" si="14"/>
        <v>1.42</v>
      </c>
      <c r="R65" s="19">
        <f t="shared" si="14"/>
        <v>1.41</v>
      </c>
      <c r="S65" s="19">
        <f t="shared" si="14"/>
        <v>1.24</v>
      </c>
      <c r="T65" s="19">
        <f t="shared" si="14"/>
        <v>1.24</v>
      </c>
      <c r="U65" s="19">
        <f t="shared" si="14"/>
        <v>1.34</v>
      </c>
      <c r="V65" s="19">
        <f t="shared" si="14"/>
        <v>1.26</v>
      </c>
      <c r="W65" s="19">
        <f t="shared" si="14"/>
        <v>1.24</v>
      </c>
      <c r="X65" s="19">
        <f t="shared" si="14"/>
        <v>1.3</v>
      </c>
      <c r="Y65" s="19">
        <f>SUM(Y62:Y64)</f>
        <v>1.53</v>
      </c>
      <c r="Z65" s="19">
        <f t="shared" si="14"/>
        <v>1.47</v>
      </c>
      <c r="AA65" s="19">
        <f t="shared" si="14"/>
        <v>1.35</v>
      </c>
      <c r="AB65" s="19">
        <f t="shared" si="14"/>
        <v>1.21</v>
      </c>
      <c r="AC65" s="19">
        <f>SUM(AC62:AC64)</f>
        <v>1.05</v>
      </c>
      <c r="AD65" s="34"/>
      <c r="AE65" s="34"/>
      <c r="AF65" s="11"/>
      <c r="AG65" s="11"/>
      <c r="AH65" s="11"/>
    </row>
    <row r="66" spans="1:124" hidden="1">
      <c r="A66" s="12" t="s">
        <v>59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idden="1">
      <c r="A67" s="14" t="s">
        <v>60</v>
      </c>
      <c r="B67" s="15"/>
      <c r="C67" s="15">
        <v>0.85</v>
      </c>
      <c r="D67" s="15"/>
      <c r="E67" s="15"/>
      <c r="F67" s="372"/>
      <c r="G67" s="372"/>
      <c r="H67" s="372"/>
      <c r="I67" s="372"/>
      <c r="J67" s="372"/>
      <c r="K67" s="374"/>
      <c r="L67" s="374"/>
      <c r="M67" s="374"/>
      <c r="N67" s="372"/>
      <c r="O67" s="372"/>
      <c r="P67" s="372"/>
      <c r="Q67" s="372"/>
      <c r="R67" s="372"/>
      <c r="S67" s="372"/>
      <c r="T67" s="372"/>
      <c r="U67" s="372"/>
      <c r="V67" s="372"/>
      <c r="W67" s="372"/>
      <c r="X67" s="372"/>
      <c r="Y67" s="372"/>
      <c r="Z67" s="372"/>
      <c r="AA67" s="372"/>
      <c r="AB67" s="372"/>
      <c r="AC67" s="372"/>
      <c r="AD67" s="35"/>
      <c r="AE67" s="35"/>
      <c r="AF67" s="11">
        <f t="shared" ref="AF67:AF75" si="15">COUNTIF(F67:AC67,$AF$11)</f>
        <v>0</v>
      </c>
      <c r="AG67" s="11">
        <f t="shared" ref="AG67:AG75" si="16">COUNTIF(G67:AC67,$AG$11)</f>
        <v>0</v>
      </c>
      <c r="AH67" s="11">
        <f t="shared" ref="AH67:AH75" si="17">COUNT(F67:AC67)</f>
        <v>0</v>
      </c>
    </row>
    <row r="68" spans="1:124" hidden="1">
      <c r="A68" s="14" t="s">
        <v>61</v>
      </c>
      <c r="B68" s="15"/>
      <c r="C68" s="15">
        <v>0.85</v>
      </c>
      <c r="D68" s="15"/>
      <c r="E68" s="15"/>
      <c r="F68" s="372"/>
      <c r="G68" s="372"/>
      <c r="H68" s="372"/>
      <c r="I68" s="372"/>
      <c r="J68" s="372"/>
      <c r="K68" s="374"/>
      <c r="L68" s="374"/>
      <c r="M68" s="374"/>
      <c r="N68" s="372"/>
      <c r="O68" s="372"/>
      <c r="P68" s="372"/>
      <c r="Q68" s="372"/>
      <c r="R68" s="372"/>
      <c r="S68" s="372"/>
      <c r="T68" s="372"/>
      <c r="U68" s="372"/>
      <c r="V68" s="372"/>
      <c r="W68" s="372"/>
      <c r="X68" s="372"/>
      <c r="Y68" s="372"/>
      <c r="Z68" s="372"/>
      <c r="AA68" s="372"/>
      <c r="AB68" s="372"/>
      <c r="AC68" s="372"/>
      <c r="AD68" s="35"/>
      <c r="AE68" s="35"/>
      <c r="AF68" s="11">
        <f t="shared" si="15"/>
        <v>0</v>
      </c>
      <c r="AG68" s="11">
        <f t="shared" si="16"/>
        <v>0</v>
      </c>
      <c r="AH68" s="11">
        <f t="shared" si="17"/>
        <v>0</v>
      </c>
    </row>
    <row r="69" spans="1:124" hidden="1">
      <c r="A69" s="14" t="s">
        <v>62</v>
      </c>
      <c r="B69" s="15"/>
      <c r="C69" s="15">
        <v>0.85</v>
      </c>
      <c r="D69" s="15"/>
      <c r="E69" s="15"/>
      <c r="F69" s="372"/>
      <c r="G69" s="372"/>
      <c r="H69" s="372"/>
      <c r="I69" s="372"/>
      <c r="J69" s="372"/>
      <c r="K69" s="374"/>
      <c r="L69" s="374"/>
      <c r="M69" s="374"/>
      <c r="N69" s="372"/>
      <c r="O69" s="372"/>
      <c r="P69" s="372"/>
      <c r="Q69" s="372"/>
      <c r="R69" s="372"/>
      <c r="S69" s="372"/>
      <c r="T69" s="372"/>
      <c r="U69" s="372"/>
      <c r="V69" s="372"/>
      <c r="W69" s="372"/>
      <c r="X69" s="372"/>
      <c r="Y69" s="372"/>
      <c r="Z69" s="372"/>
      <c r="AA69" s="372"/>
      <c r="AB69" s="372"/>
      <c r="AC69" s="372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7"/>
        <v>0</v>
      </c>
    </row>
    <row r="70" spans="1:124" hidden="1">
      <c r="A70" s="14" t="s">
        <v>63</v>
      </c>
      <c r="B70" s="15"/>
      <c r="C70" s="15">
        <v>0.85</v>
      </c>
      <c r="D70" s="15"/>
      <c r="E70" s="15"/>
      <c r="F70" s="372"/>
      <c r="G70" s="372"/>
      <c r="H70" s="372"/>
      <c r="I70" s="372"/>
      <c r="J70" s="372"/>
      <c r="K70" s="374"/>
      <c r="L70" s="374"/>
      <c r="M70" s="374"/>
      <c r="N70" s="372"/>
      <c r="O70" s="372"/>
      <c r="P70" s="372"/>
      <c r="Q70" s="372"/>
      <c r="R70" s="372"/>
      <c r="S70" s="372"/>
      <c r="T70" s="372"/>
      <c r="U70" s="372"/>
      <c r="V70" s="372"/>
      <c r="W70" s="372"/>
      <c r="X70" s="372"/>
      <c r="Y70" s="372"/>
      <c r="Z70" s="372"/>
      <c r="AA70" s="372"/>
      <c r="AB70" s="372"/>
      <c r="AC70" s="372"/>
      <c r="AD70" s="35"/>
      <c r="AE70" s="35"/>
      <c r="AF70" s="11">
        <f t="shared" si="15"/>
        <v>0</v>
      </c>
      <c r="AG70" s="11">
        <f t="shared" si="16"/>
        <v>0</v>
      </c>
      <c r="AH70" s="11">
        <f t="shared" si="17"/>
        <v>0</v>
      </c>
      <c r="AI70" s="5"/>
      <c r="AJ70" s="5"/>
      <c r="AK70" s="5"/>
      <c r="AL70" s="5"/>
    </row>
    <row r="71" spans="1:124" hidden="1">
      <c r="A71" s="14" t="s">
        <v>64</v>
      </c>
      <c r="B71" s="15"/>
      <c r="C71" s="15">
        <v>0.85</v>
      </c>
      <c r="D71" s="15"/>
      <c r="E71" s="15"/>
      <c r="F71" s="372"/>
      <c r="G71" s="372"/>
      <c r="H71" s="372"/>
      <c r="I71" s="372"/>
      <c r="J71" s="372"/>
      <c r="K71" s="374"/>
      <c r="L71" s="374"/>
      <c r="M71" s="374"/>
      <c r="N71" s="372"/>
      <c r="O71" s="372"/>
      <c r="P71" s="372"/>
      <c r="Q71" s="372"/>
      <c r="R71" s="372"/>
      <c r="S71" s="372"/>
      <c r="T71" s="372"/>
      <c r="U71" s="372"/>
      <c r="V71" s="372"/>
      <c r="W71" s="372"/>
      <c r="X71" s="372"/>
      <c r="Y71" s="372"/>
      <c r="Z71" s="372"/>
      <c r="AA71" s="372"/>
      <c r="AB71" s="372"/>
      <c r="AC71" s="372"/>
      <c r="AD71" s="35"/>
      <c r="AE71" s="35"/>
      <c r="AF71" s="11">
        <f t="shared" si="15"/>
        <v>0</v>
      </c>
      <c r="AG71" s="11">
        <f t="shared" si="16"/>
        <v>0</v>
      </c>
      <c r="AH71" s="11">
        <f t="shared" si="17"/>
        <v>0</v>
      </c>
    </row>
    <row r="72" spans="1:124" hidden="1">
      <c r="A72" s="14" t="s">
        <v>65</v>
      </c>
      <c r="B72" s="15"/>
      <c r="C72" s="15">
        <v>0.85</v>
      </c>
      <c r="D72" s="15"/>
      <c r="E72" s="15"/>
      <c r="F72" s="372"/>
      <c r="G72" s="372"/>
      <c r="H72" s="372"/>
      <c r="I72" s="372"/>
      <c r="J72" s="372"/>
      <c r="K72" s="374"/>
      <c r="L72" s="374"/>
      <c r="M72" s="374"/>
      <c r="N72" s="372"/>
      <c r="O72" s="372"/>
      <c r="P72" s="372"/>
      <c r="Q72" s="372"/>
      <c r="R72" s="372"/>
      <c r="S72" s="372"/>
      <c r="T72" s="372"/>
      <c r="U72" s="372"/>
      <c r="V72" s="372"/>
      <c r="W72" s="372"/>
      <c r="X72" s="372"/>
      <c r="Y72" s="372"/>
      <c r="Z72" s="372"/>
      <c r="AA72" s="372"/>
      <c r="AB72" s="372"/>
      <c r="AC72" s="372"/>
      <c r="AD72" s="35"/>
      <c r="AE72" s="35"/>
      <c r="AF72" s="11">
        <f t="shared" si="15"/>
        <v>0</v>
      </c>
      <c r="AG72" s="11">
        <f t="shared" si="16"/>
        <v>0</v>
      </c>
      <c r="AH72" s="11">
        <f t="shared" si="17"/>
        <v>0</v>
      </c>
    </row>
    <row r="73" spans="1:124" hidden="1">
      <c r="A73" s="14" t="s">
        <v>66</v>
      </c>
      <c r="B73" s="15"/>
      <c r="C73" s="15">
        <v>0.85</v>
      </c>
      <c r="D73" s="15"/>
      <c r="E73" s="15"/>
      <c r="F73" s="372"/>
      <c r="G73" s="372"/>
      <c r="H73" s="372"/>
      <c r="I73" s="372"/>
      <c r="J73" s="372"/>
      <c r="K73" s="374"/>
      <c r="L73" s="374"/>
      <c r="M73" s="374"/>
      <c r="N73" s="372"/>
      <c r="O73" s="372"/>
      <c r="P73" s="372"/>
      <c r="Q73" s="372"/>
      <c r="R73" s="372"/>
      <c r="S73" s="372"/>
      <c r="T73" s="372"/>
      <c r="U73" s="372"/>
      <c r="V73" s="372"/>
      <c r="W73" s="372"/>
      <c r="X73" s="372"/>
      <c r="Y73" s="372"/>
      <c r="Z73" s="372"/>
      <c r="AA73" s="372"/>
      <c r="AB73" s="372"/>
      <c r="AC73" s="372"/>
      <c r="AD73" s="35"/>
      <c r="AE73" s="35"/>
      <c r="AF73" s="11">
        <f t="shared" si="15"/>
        <v>0</v>
      </c>
      <c r="AG73" s="11">
        <f t="shared" si="16"/>
        <v>0</v>
      </c>
      <c r="AH73" s="11">
        <f t="shared" si="17"/>
        <v>0</v>
      </c>
    </row>
    <row r="74" spans="1:124" hidden="1">
      <c r="A74" s="14" t="s">
        <v>67</v>
      </c>
      <c r="B74" s="19"/>
      <c r="C74" s="15">
        <v>0.85</v>
      </c>
      <c r="D74" s="15"/>
      <c r="E74" s="15"/>
      <c r="F74" s="372"/>
      <c r="G74" s="372"/>
      <c r="H74" s="372"/>
      <c r="I74" s="372"/>
      <c r="J74" s="372"/>
      <c r="K74" s="374"/>
      <c r="L74" s="374"/>
      <c r="M74" s="374"/>
      <c r="N74" s="372"/>
      <c r="O74" s="372"/>
      <c r="P74" s="372"/>
      <c r="Q74" s="372"/>
      <c r="R74" s="372"/>
      <c r="S74" s="372"/>
      <c r="T74" s="372"/>
      <c r="U74" s="372"/>
      <c r="V74" s="372"/>
      <c r="W74" s="372"/>
      <c r="X74" s="372"/>
      <c r="Y74" s="372"/>
      <c r="Z74" s="372"/>
      <c r="AA74" s="372"/>
      <c r="AB74" s="372"/>
      <c r="AC74" s="372"/>
      <c r="AD74" s="29"/>
      <c r="AE74" s="29"/>
      <c r="AF74" s="11">
        <f t="shared" si="15"/>
        <v>0</v>
      </c>
      <c r="AG74" s="11">
        <f t="shared" si="16"/>
        <v>0</v>
      </c>
      <c r="AH74" s="11">
        <f t="shared" si="17"/>
        <v>0</v>
      </c>
    </row>
    <row r="75" spans="1:124" ht="15.75" hidden="1" customHeight="1">
      <c r="A75" s="14" t="s">
        <v>68</v>
      </c>
      <c r="B75" s="9"/>
      <c r="C75" s="15">
        <v>0.85</v>
      </c>
      <c r="D75" s="15"/>
      <c r="E75" s="15"/>
      <c r="F75" s="372"/>
      <c r="G75" s="372"/>
      <c r="H75" s="372"/>
      <c r="I75" s="372"/>
      <c r="J75" s="372"/>
      <c r="K75" s="374"/>
      <c r="L75" s="374"/>
      <c r="M75" s="374"/>
      <c r="N75" s="372"/>
      <c r="O75" s="372"/>
      <c r="P75" s="372"/>
      <c r="Q75" s="372"/>
      <c r="R75" s="372"/>
      <c r="S75" s="372"/>
      <c r="T75" s="372"/>
      <c r="U75" s="372"/>
      <c r="V75" s="372"/>
      <c r="W75" s="372"/>
      <c r="X75" s="372"/>
      <c r="Y75" s="372"/>
      <c r="Z75" s="372"/>
      <c r="AA75" s="372"/>
      <c r="AB75" s="372"/>
      <c r="AC75" s="372"/>
      <c r="AD75" s="31"/>
      <c r="AE75" s="31"/>
      <c r="AF75" s="11">
        <f t="shared" si="15"/>
        <v>0</v>
      </c>
      <c r="AG75" s="11">
        <f t="shared" si="16"/>
        <v>0</v>
      </c>
      <c r="AH75" s="11">
        <f t="shared" si="17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18">SUM(F67:F75)</f>
        <v>0</v>
      </c>
      <c r="G76" s="19">
        <f t="shared" si="18"/>
        <v>0</v>
      </c>
      <c r="H76" s="19">
        <f t="shared" si="18"/>
        <v>0</v>
      </c>
      <c r="I76" s="19">
        <f t="shared" si="18"/>
        <v>0</v>
      </c>
      <c r="J76" s="19">
        <f t="shared" si="18"/>
        <v>0</v>
      </c>
      <c r="K76" s="19">
        <f t="shared" si="18"/>
        <v>0</v>
      </c>
      <c r="L76" s="19">
        <f>SUM(L67:L75)</f>
        <v>0</v>
      </c>
      <c r="M76" s="19">
        <f t="shared" si="18"/>
        <v>0</v>
      </c>
      <c r="N76" s="19">
        <f t="shared" si="18"/>
        <v>0</v>
      </c>
      <c r="O76" s="19">
        <f t="shared" si="18"/>
        <v>0</v>
      </c>
      <c r="P76" s="19">
        <f t="shared" si="18"/>
        <v>0</v>
      </c>
      <c r="Q76" s="19">
        <f>SUM(Q67:Q75)</f>
        <v>0</v>
      </c>
      <c r="R76" s="19">
        <f t="shared" si="18"/>
        <v>0</v>
      </c>
      <c r="S76" s="19">
        <f t="shared" si="18"/>
        <v>0</v>
      </c>
      <c r="T76" s="19">
        <f t="shared" si="18"/>
        <v>0</v>
      </c>
      <c r="U76" s="19">
        <f t="shared" si="18"/>
        <v>0</v>
      </c>
      <c r="V76" s="19">
        <f t="shared" si="18"/>
        <v>0</v>
      </c>
      <c r="W76" s="19">
        <f t="shared" si="18"/>
        <v>0</v>
      </c>
      <c r="X76" s="19">
        <f t="shared" si="18"/>
        <v>0</v>
      </c>
      <c r="Y76" s="19">
        <f t="shared" si="18"/>
        <v>0</v>
      </c>
      <c r="Z76" s="19">
        <f t="shared" si="18"/>
        <v>0</v>
      </c>
      <c r="AA76" s="19">
        <f t="shared" si="18"/>
        <v>0</v>
      </c>
      <c r="AB76" s="19">
        <f t="shared" si="18"/>
        <v>0</v>
      </c>
      <c r="AC76" s="19">
        <f t="shared" si="18"/>
        <v>0</v>
      </c>
      <c r="AD76" s="34"/>
      <c r="AE76" s="34"/>
      <c r="AF76" s="11"/>
      <c r="AG76" s="11"/>
      <c r="AH76" s="11"/>
    </row>
    <row r="77" spans="1:124">
      <c r="A77" s="12" t="s">
        <v>69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 t="s">
        <v>21</v>
      </c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20.460000000000004</v>
      </c>
    </row>
    <row r="78" spans="1:124">
      <c r="A78" s="14" t="s">
        <v>70</v>
      </c>
      <c r="B78" s="20"/>
      <c r="C78" s="15">
        <v>1</v>
      </c>
      <c r="D78" s="15"/>
      <c r="E78" s="15"/>
      <c r="F78" s="372"/>
      <c r="G78" s="372"/>
      <c r="H78" s="372"/>
      <c r="I78" s="372"/>
      <c r="J78" s="372"/>
      <c r="K78" s="374"/>
      <c r="L78" s="374">
        <v>0.78</v>
      </c>
      <c r="M78" s="374">
        <v>0.8</v>
      </c>
      <c r="N78" s="372">
        <v>0.78</v>
      </c>
      <c r="O78" s="372">
        <v>0.82</v>
      </c>
      <c r="P78" s="372">
        <v>0.84</v>
      </c>
      <c r="Q78" s="372">
        <v>0.86</v>
      </c>
      <c r="R78" s="372">
        <v>0.91</v>
      </c>
      <c r="S78" s="372">
        <v>0.89</v>
      </c>
      <c r="T78" s="372">
        <v>0.89</v>
      </c>
      <c r="U78" s="372">
        <v>0.88</v>
      </c>
      <c r="V78" s="372">
        <v>0.88</v>
      </c>
      <c r="W78" s="372">
        <v>0.89</v>
      </c>
      <c r="X78" s="372">
        <v>0.89</v>
      </c>
      <c r="Y78" s="372"/>
      <c r="Z78" s="372"/>
      <c r="AA78" s="372"/>
      <c r="AB78" s="372"/>
      <c r="AC78" s="372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13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71</v>
      </c>
      <c r="B79" s="20"/>
      <c r="C79" s="15">
        <v>1</v>
      </c>
      <c r="D79" s="15"/>
      <c r="E79" s="15"/>
      <c r="F79" s="372">
        <v>0.85</v>
      </c>
      <c r="G79" s="372">
        <v>0.82</v>
      </c>
      <c r="H79" s="372">
        <v>0.79</v>
      </c>
      <c r="I79" s="372">
        <v>0.77</v>
      </c>
      <c r="J79" s="372">
        <v>0.76</v>
      </c>
      <c r="K79" s="374">
        <v>0.77</v>
      </c>
      <c r="L79" s="374"/>
      <c r="M79" s="374"/>
      <c r="N79" s="372"/>
      <c r="O79" s="372"/>
      <c r="P79" s="372"/>
      <c r="Q79" s="372"/>
      <c r="R79" s="372"/>
      <c r="S79" s="372"/>
      <c r="T79" s="372"/>
      <c r="U79" s="372"/>
      <c r="V79" s="372"/>
      <c r="W79" s="372"/>
      <c r="X79" s="372"/>
      <c r="Y79" s="372">
        <v>0.95</v>
      </c>
      <c r="Z79" s="372">
        <v>0.96</v>
      </c>
      <c r="AA79" s="372">
        <v>0.93</v>
      </c>
      <c r="AB79" s="372">
        <v>0.89</v>
      </c>
      <c r="AC79" s="372">
        <v>0.86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11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>SUM(F78:F79)</f>
        <v>0.85</v>
      </c>
      <c r="G80" s="19">
        <f t="shared" ref="G80" si="19">SUM(G78:G79)</f>
        <v>0.82</v>
      </c>
      <c r="H80" s="19">
        <f>SUM(H78:H79)</f>
        <v>0.79</v>
      </c>
      <c r="I80" s="19">
        <f>SUM(I78:I79)</f>
        <v>0.77</v>
      </c>
      <c r="J80" s="19">
        <f t="shared" ref="J80:AC80" si="20">SUM(J78:J79)</f>
        <v>0.76</v>
      </c>
      <c r="K80" s="19">
        <f t="shared" si="20"/>
        <v>0.77</v>
      </c>
      <c r="L80" s="19">
        <f>SUM(L78:L79)</f>
        <v>0.78</v>
      </c>
      <c r="M80" s="19">
        <f t="shared" si="20"/>
        <v>0.8</v>
      </c>
      <c r="N80" s="19">
        <f t="shared" si="20"/>
        <v>0.78</v>
      </c>
      <c r="O80" s="19">
        <f>SUM(O78:O79)</f>
        <v>0.82</v>
      </c>
      <c r="P80" s="19">
        <f t="shared" si="20"/>
        <v>0.84</v>
      </c>
      <c r="Q80" s="19">
        <f t="shared" si="20"/>
        <v>0.86</v>
      </c>
      <c r="R80" s="19">
        <f t="shared" si="20"/>
        <v>0.91</v>
      </c>
      <c r="S80" s="19">
        <f t="shared" si="20"/>
        <v>0.89</v>
      </c>
      <c r="T80" s="19">
        <f t="shared" si="20"/>
        <v>0.89</v>
      </c>
      <c r="U80" s="19">
        <f t="shared" si="20"/>
        <v>0.88</v>
      </c>
      <c r="V80" s="19">
        <f t="shared" si="20"/>
        <v>0.88</v>
      </c>
      <c r="W80" s="19">
        <f t="shared" si="20"/>
        <v>0.89</v>
      </c>
      <c r="X80" s="19">
        <f t="shared" si="20"/>
        <v>0.89</v>
      </c>
      <c r="Y80" s="19">
        <f t="shared" si="20"/>
        <v>0.95</v>
      </c>
      <c r="Z80" s="19">
        <f t="shared" si="20"/>
        <v>0.96</v>
      </c>
      <c r="AA80" s="19">
        <f t="shared" si="20"/>
        <v>0.93</v>
      </c>
      <c r="AB80" s="19">
        <f t="shared" si="20"/>
        <v>0.89</v>
      </c>
      <c r="AC80" s="19">
        <f t="shared" si="20"/>
        <v>0.86</v>
      </c>
      <c r="AD80" s="34"/>
      <c r="AE80" s="34"/>
      <c r="AF80" s="11"/>
      <c r="AG80" s="11"/>
      <c r="AH80" s="11"/>
    </row>
    <row r="81" spans="1:40" ht="17.45" hidden="1">
      <c r="A81" s="366" t="s">
        <v>72</v>
      </c>
      <c r="B81" s="365"/>
      <c r="C81" s="367">
        <v>2</v>
      </c>
      <c r="D81" s="363"/>
      <c r="E81" s="363"/>
      <c r="F81" s="364"/>
      <c r="G81" s="364"/>
      <c r="H81" s="364"/>
      <c r="I81" s="364"/>
      <c r="J81" s="364"/>
      <c r="K81" s="364"/>
      <c r="L81" s="364"/>
      <c r="M81" s="364"/>
      <c r="N81" s="364"/>
      <c r="O81" s="364"/>
      <c r="P81" s="364"/>
      <c r="Q81" s="364"/>
      <c r="R81" s="364"/>
      <c r="S81" s="364"/>
      <c r="T81" s="364"/>
      <c r="U81" s="364"/>
      <c r="V81" s="364"/>
      <c r="W81" s="364"/>
      <c r="X81" s="364"/>
      <c r="Y81" s="364"/>
      <c r="Z81" s="364"/>
      <c r="AA81" s="364"/>
      <c r="AB81" s="364"/>
      <c r="AC81" s="364"/>
    </row>
    <row r="82" spans="1:40" ht="17.45" hidden="1">
      <c r="A82" s="368"/>
      <c r="B82" s="369"/>
      <c r="C82" s="370"/>
      <c r="D82" s="371"/>
      <c r="E82" s="371"/>
      <c r="F82" s="372"/>
      <c r="G82" s="372"/>
      <c r="H82" s="372"/>
      <c r="I82" s="372"/>
      <c r="J82" s="372"/>
      <c r="K82" s="374"/>
      <c r="L82" s="374"/>
      <c r="M82" s="374"/>
      <c r="N82" s="372"/>
      <c r="O82" s="372"/>
      <c r="P82" s="372"/>
      <c r="Q82" s="372"/>
      <c r="R82" s="372"/>
      <c r="S82" s="372"/>
      <c r="T82" s="372"/>
      <c r="U82" s="372"/>
      <c r="V82" s="372"/>
      <c r="W82" s="372"/>
      <c r="X82" s="372"/>
      <c r="Y82" s="372"/>
      <c r="Z82" s="372"/>
      <c r="AA82" s="372"/>
      <c r="AB82" s="372"/>
      <c r="AC82" s="372"/>
    </row>
    <row r="83" spans="1:40">
      <c r="A83" s="21" t="s">
        <v>73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:AC83" si="21">SUM(F17,F22,F25,F31,F34,F60,F65,F76,F80,F82)</f>
        <v>46.95</v>
      </c>
      <c r="G83" s="28">
        <f t="shared" si="21"/>
        <v>44.43</v>
      </c>
      <c r="H83" s="28">
        <f t="shared" si="21"/>
        <v>41.2</v>
      </c>
      <c r="I83" s="28">
        <f t="shared" si="21"/>
        <v>39.770000000000003</v>
      </c>
      <c r="J83" s="28">
        <f t="shared" si="21"/>
        <v>40.480000000000004</v>
      </c>
      <c r="K83" s="28">
        <f t="shared" si="21"/>
        <v>40.9</v>
      </c>
      <c r="L83" s="28">
        <f t="shared" si="21"/>
        <v>42.320000000000007</v>
      </c>
      <c r="M83" s="28">
        <f t="shared" si="21"/>
        <v>41.91</v>
      </c>
      <c r="N83" s="28">
        <f>SUM(N17,N22,N25,N31,N34,N60,N65,N76,N80,N82)</f>
        <v>47.17</v>
      </c>
      <c r="O83" s="28">
        <f>SUM(O17,O22,O25,O31,O34,O60,O65,O76,O80,O82)</f>
        <v>53.31</v>
      </c>
      <c r="P83" s="28">
        <f t="shared" si="21"/>
        <v>59.29</v>
      </c>
      <c r="Q83" s="28">
        <f t="shared" si="21"/>
        <v>60.910000000000004</v>
      </c>
      <c r="R83" s="28">
        <f t="shared" si="21"/>
        <v>61.22999999999999</v>
      </c>
      <c r="S83" s="28">
        <f t="shared" si="21"/>
        <v>60.93</v>
      </c>
      <c r="T83" s="28">
        <f t="shared" si="21"/>
        <v>63.42</v>
      </c>
      <c r="U83" s="28">
        <f>SUM(U17,U22,U25,U31,U34,U60,U65,U76,U80,U82)</f>
        <v>61.900000000000013</v>
      </c>
      <c r="V83" s="28">
        <f t="shared" si="21"/>
        <v>61.350000000000009</v>
      </c>
      <c r="W83" s="28">
        <f t="shared" si="21"/>
        <v>59.06</v>
      </c>
      <c r="X83" s="28">
        <f t="shared" si="21"/>
        <v>58.97</v>
      </c>
      <c r="Y83" s="28">
        <f t="shared" si="21"/>
        <v>63.110000000000007</v>
      </c>
      <c r="Z83" s="28">
        <f t="shared" si="21"/>
        <v>61.489999999999995</v>
      </c>
      <c r="AA83" s="28">
        <f t="shared" si="21"/>
        <v>60.03</v>
      </c>
      <c r="AB83" s="28">
        <f t="shared" si="21"/>
        <v>54.640000000000008</v>
      </c>
      <c r="AC83" s="28">
        <f t="shared" si="21"/>
        <v>50.699999999999989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25" t="s">
        <v>74</v>
      </c>
      <c r="B85" s="525"/>
      <c r="C85" s="525"/>
      <c r="D85" s="525"/>
      <c r="E85" s="525"/>
      <c r="F85" s="525"/>
      <c r="G85" s="525"/>
      <c r="H85" s="525"/>
      <c r="I85" s="525"/>
      <c r="J85" s="525"/>
      <c r="K85" s="525"/>
      <c r="L85" s="525"/>
      <c r="M85" s="525"/>
      <c r="N85" s="525"/>
      <c r="O85" s="525"/>
      <c r="P85" s="525"/>
      <c r="Q85" s="525"/>
      <c r="R85" s="525"/>
      <c r="S85" s="525"/>
      <c r="T85" s="525"/>
      <c r="U85" s="525"/>
      <c r="V85" s="525"/>
      <c r="W85" s="525"/>
      <c r="X85" s="525"/>
      <c r="Y85" s="525"/>
      <c r="Z85" s="525"/>
      <c r="AA85" s="525"/>
      <c r="AB85" s="525"/>
      <c r="AC85" s="525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</row>
    <row r="87" spans="1:40" ht="17.45">
      <c r="A87" s="500" t="s">
        <v>75</v>
      </c>
      <c r="B87" s="501"/>
      <c r="C87" s="502"/>
      <c r="D87" s="49"/>
      <c r="E87" s="49"/>
      <c r="F87" s="506" t="s">
        <v>76</v>
      </c>
      <c r="G87" s="506"/>
      <c r="H87" s="506"/>
      <c r="I87" s="506"/>
      <c r="J87" s="506"/>
      <c r="K87" s="506"/>
      <c r="L87" s="506"/>
      <c r="M87" s="506"/>
      <c r="N87" s="506"/>
      <c r="O87" s="506"/>
      <c r="P87" s="506"/>
      <c r="Q87" s="506"/>
      <c r="R87" s="506"/>
      <c r="S87" s="506"/>
      <c r="T87" s="506"/>
      <c r="U87" s="506"/>
      <c r="V87" s="506"/>
      <c r="W87" s="506"/>
      <c r="X87" s="506"/>
      <c r="Y87" s="506"/>
      <c r="Z87" s="506"/>
      <c r="AA87" s="506"/>
      <c r="AB87" s="506"/>
      <c r="AC87" s="506"/>
      <c r="AD87" s="5"/>
      <c r="AE87" s="5"/>
      <c r="AF87" s="5"/>
      <c r="AG87" s="5"/>
      <c r="AH87" s="5"/>
    </row>
    <row r="88" spans="1:40" ht="15.6" customHeight="1">
      <c r="A88" s="503"/>
      <c r="B88" s="504"/>
      <c r="C88" s="505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07" t="s">
        <v>27</v>
      </c>
      <c r="B89" s="508"/>
      <c r="C89" s="509"/>
      <c r="D89" s="45"/>
      <c r="E89" s="45"/>
      <c r="F89" s="64">
        <f t="shared" ref="F89:AC89" si="22">SUM(F22,F25)</f>
        <v>3</v>
      </c>
      <c r="G89" s="64">
        <f t="shared" si="22"/>
        <v>0</v>
      </c>
      <c r="H89" s="64">
        <f t="shared" si="22"/>
        <v>0</v>
      </c>
      <c r="I89" s="64">
        <f t="shared" si="22"/>
        <v>0</v>
      </c>
      <c r="J89" s="64">
        <f t="shared" si="22"/>
        <v>0</v>
      </c>
      <c r="K89" s="64">
        <f t="shared" si="22"/>
        <v>2.8</v>
      </c>
      <c r="L89" s="64">
        <f t="shared" si="22"/>
        <v>2.8</v>
      </c>
      <c r="M89" s="64">
        <f t="shared" si="22"/>
        <v>2.8</v>
      </c>
      <c r="N89" s="64">
        <f t="shared" si="22"/>
        <v>9.3999999999999986</v>
      </c>
      <c r="O89" s="64">
        <f t="shared" si="22"/>
        <v>6.6</v>
      </c>
      <c r="P89" s="64">
        <f t="shared" si="22"/>
        <v>10.199999999999999</v>
      </c>
      <c r="Q89" s="64">
        <f t="shared" si="22"/>
        <v>10.399999999999999</v>
      </c>
      <c r="R89" s="64">
        <f t="shared" si="22"/>
        <v>10.399999999999999</v>
      </c>
      <c r="S89" s="64">
        <f t="shared" si="22"/>
        <v>10.399999999999999</v>
      </c>
      <c r="T89" s="64">
        <f t="shared" si="22"/>
        <v>10.399999999999999</v>
      </c>
      <c r="U89" s="64">
        <f t="shared" si="22"/>
        <v>10.399999999999999</v>
      </c>
      <c r="V89" s="64">
        <f t="shared" si="22"/>
        <v>10.399999999999999</v>
      </c>
      <c r="W89" s="64">
        <f t="shared" si="22"/>
        <v>10.399999999999999</v>
      </c>
      <c r="X89" s="64">
        <f t="shared" si="22"/>
        <v>10.399999999999999</v>
      </c>
      <c r="Y89" s="64">
        <f t="shared" si="22"/>
        <v>10.399999999999999</v>
      </c>
      <c r="Z89" s="64">
        <f t="shared" si="22"/>
        <v>10.399999999999999</v>
      </c>
      <c r="AA89" s="64">
        <f t="shared" si="22"/>
        <v>10.399999999999999</v>
      </c>
      <c r="AB89" s="64">
        <f t="shared" si="22"/>
        <v>10.399999999999999</v>
      </c>
      <c r="AC89" s="64">
        <f t="shared" si="22"/>
        <v>9.3000000000000007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521" t="s">
        <v>77</v>
      </c>
      <c r="B90" s="521"/>
      <c r="C90" s="522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>
        <v>0.20699999999999999</v>
      </c>
      <c r="O90" s="68">
        <v>0.192</v>
      </c>
      <c r="P90" s="68">
        <v>0.5</v>
      </c>
      <c r="Q90" s="68">
        <v>0.18</v>
      </c>
      <c r="R90" s="68">
        <v>0.24</v>
      </c>
      <c r="S90" s="68">
        <v>0.252</v>
      </c>
      <c r="T90" s="68">
        <v>0.28599999999999998</v>
      </c>
      <c r="U90" s="68">
        <v>0.214</v>
      </c>
      <c r="V90" s="68">
        <v>0.23599999999999999</v>
      </c>
      <c r="W90" s="68">
        <v>0.21199999999999999</v>
      </c>
      <c r="X90" s="68">
        <v>0.23499999999999999</v>
      </c>
      <c r="Y90" s="68">
        <v>0.21199999999999999</v>
      </c>
      <c r="Z90" s="68">
        <v>0.22600000000000001</v>
      </c>
      <c r="AA90" s="68">
        <v>0.23100000000000001</v>
      </c>
      <c r="AB90" s="68">
        <v>0.24099999999999999</v>
      </c>
      <c r="AC90" s="68">
        <v>0.20799999999999999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07" t="s">
        <v>78</v>
      </c>
      <c r="B91" s="508"/>
      <c r="C91" s="509"/>
      <c r="D91" s="45"/>
      <c r="E91" s="45"/>
      <c r="F91" s="64">
        <f t="shared" ref="F91:AC91" si="23">F17</f>
        <v>19.799999999999997</v>
      </c>
      <c r="G91" s="64">
        <f t="shared" si="23"/>
        <v>20.100000000000001</v>
      </c>
      <c r="H91" s="64">
        <f t="shared" si="23"/>
        <v>20.100000000000001</v>
      </c>
      <c r="I91" s="64">
        <f t="shared" si="23"/>
        <v>19.200000000000003</v>
      </c>
      <c r="J91" s="64">
        <f t="shared" si="23"/>
        <v>13.8</v>
      </c>
      <c r="K91" s="64">
        <f t="shared" si="23"/>
        <v>13.8</v>
      </c>
      <c r="L91" s="64">
        <f t="shared" si="23"/>
        <v>13.5</v>
      </c>
      <c r="M91" s="64">
        <f t="shared" si="23"/>
        <v>13.6</v>
      </c>
      <c r="N91" s="64">
        <f t="shared" si="23"/>
        <v>13.6</v>
      </c>
      <c r="O91" s="64">
        <f t="shared" si="23"/>
        <v>19.399999999999999</v>
      </c>
      <c r="P91" s="64">
        <f t="shared" si="23"/>
        <v>20.2</v>
      </c>
      <c r="Q91" s="64">
        <f t="shared" si="23"/>
        <v>21.299999999999997</v>
      </c>
      <c r="R91" s="64">
        <f t="shared" si="23"/>
        <v>19.799999999999997</v>
      </c>
      <c r="S91" s="64">
        <f t="shared" si="23"/>
        <v>19.799999999999997</v>
      </c>
      <c r="T91" s="64">
        <f t="shared" si="23"/>
        <v>19.5</v>
      </c>
      <c r="U91" s="64">
        <f t="shared" si="23"/>
        <v>20.100000000000001</v>
      </c>
      <c r="V91" s="64">
        <f t="shared" si="23"/>
        <v>19.3</v>
      </c>
      <c r="W91" s="64">
        <f t="shared" si="23"/>
        <v>19.899999999999999</v>
      </c>
      <c r="X91" s="64">
        <f t="shared" si="23"/>
        <v>19.399999999999999</v>
      </c>
      <c r="Y91" s="64">
        <f t="shared" si="23"/>
        <v>20.100000000000001</v>
      </c>
      <c r="Z91" s="64">
        <f t="shared" si="23"/>
        <v>20.100000000000001</v>
      </c>
      <c r="AA91" s="64">
        <f t="shared" si="23"/>
        <v>20.100000000000001</v>
      </c>
      <c r="AB91" s="64">
        <f t="shared" si="23"/>
        <v>19.5</v>
      </c>
      <c r="AC91" s="64">
        <f t="shared" si="23"/>
        <v>19.799999999999997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21" t="s">
        <v>79</v>
      </c>
      <c r="B92" s="521"/>
      <c r="C92" s="522"/>
      <c r="D92" s="45"/>
      <c r="E92" s="45"/>
      <c r="F92" s="68">
        <v>0.56699999999999995</v>
      </c>
      <c r="G92" s="68">
        <v>0.55800000000000005</v>
      </c>
      <c r="H92" s="68">
        <v>0.53300000000000003</v>
      </c>
      <c r="I92" s="68">
        <v>0.56499999999999995</v>
      </c>
      <c r="J92" s="68">
        <v>0.73199999999999998</v>
      </c>
      <c r="K92" s="68">
        <v>0.80200000000000005</v>
      </c>
      <c r="L92" s="68">
        <v>0.66500000000000004</v>
      </c>
      <c r="M92" s="68">
        <v>0.65300000000000002</v>
      </c>
      <c r="N92" s="68">
        <v>0.59599999999999997</v>
      </c>
      <c r="O92" s="68">
        <v>0.998</v>
      </c>
      <c r="P92" s="68">
        <v>0.871</v>
      </c>
      <c r="Q92" s="68">
        <v>0.751</v>
      </c>
      <c r="R92" s="68">
        <v>0.68200000000000005</v>
      </c>
      <c r="S92" s="68">
        <v>0.85299999999999998</v>
      </c>
      <c r="T92" s="68">
        <v>0.94299999999999995</v>
      </c>
      <c r="U92" s="68">
        <v>0.81200000000000006</v>
      </c>
      <c r="V92" s="68">
        <v>0.67400000000000004</v>
      </c>
      <c r="W92" s="68">
        <v>0.81899999999999995</v>
      </c>
      <c r="X92" s="68">
        <v>0.69799999999999995</v>
      </c>
      <c r="Y92" s="68">
        <v>0.85899999999999999</v>
      </c>
      <c r="Z92" s="68">
        <v>0.89500000000000002</v>
      </c>
      <c r="AA92" s="68">
        <v>0.748</v>
      </c>
      <c r="AB92" s="68">
        <v>0.69099999999999995</v>
      </c>
      <c r="AC92" s="68">
        <v>0.64200000000000002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07" t="s">
        <v>29</v>
      </c>
      <c r="B93" s="508"/>
      <c r="C93" s="509"/>
      <c r="D93" s="45"/>
      <c r="E93" s="45"/>
      <c r="F93" s="65">
        <f t="shared" ref="F93:AC93" si="24">F31</f>
        <v>7.8</v>
      </c>
      <c r="G93" s="65">
        <f t="shared" si="24"/>
        <v>8.1999999999999993</v>
      </c>
      <c r="H93" s="65">
        <f t="shared" si="24"/>
        <v>6</v>
      </c>
      <c r="I93" s="65">
        <f t="shared" si="24"/>
        <v>6</v>
      </c>
      <c r="J93" s="65">
        <f t="shared" si="24"/>
        <v>8.8000000000000007</v>
      </c>
      <c r="K93" s="65">
        <f t="shared" si="24"/>
        <v>8.4</v>
      </c>
      <c r="L93" s="65">
        <f t="shared" si="24"/>
        <v>8</v>
      </c>
      <c r="M93" s="65">
        <f t="shared" si="24"/>
        <v>8</v>
      </c>
      <c r="N93" s="65">
        <f t="shared" si="24"/>
        <v>8</v>
      </c>
      <c r="O93" s="65">
        <f t="shared" si="24"/>
        <v>7.4</v>
      </c>
      <c r="P93" s="65">
        <f t="shared" si="24"/>
        <v>9.6</v>
      </c>
      <c r="Q93" s="65">
        <f t="shared" si="24"/>
        <v>10.5</v>
      </c>
      <c r="R93" s="65">
        <f t="shared" si="24"/>
        <v>10.899999999999999</v>
      </c>
      <c r="S93" s="65">
        <f t="shared" si="24"/>
        <v>11.5</v>
      </c>
      <c r="T93" s="65">
        <f>T31</f>
        <v>10.7</v>
      </c>
      <c r="U93" s="65">
        <f t="shared" si="24"/>
        <v>11.4</v>
      </c>
      <c r="V93" s="65">
        <f t="shared" si="24"/>
        <v>11</v>
      </c>
      <c r="W93" s="65">
        <f t="shared" si="24"/>
        <v>10.899999999999999</v>
      </c>
      <c r="X93" s="65">
        <f t="shared" si="24"/>
        <v>11.3</v>
      </c>
      <c r="Y93" s="65">
        <f t="shared" si="24"/>
        <v>11.6</v>
      </c>
      <c r="Z93" s="65">
        <f t="shared" si="24"/>
        <v>11.5</v>
      </c>
      <c r="AA93" s="65">
        <f t="shared" si="24"/>
        <v>11.5</v>
      </c>
      <c r="AB93" s="65">
        <f t="shared" si="24"/>
        <v>7</v>
      </c>
      <c r="AC93" s="65">
        <f t="shared" si="24"/>
        <v>4.0999999999999996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21" t="s">
        <v>102</v>
      </c>
      <c r="B94" s="521"/>
      <c r="C94" s="522"/>
      <c r="D94" s="45"/>
      <c r="E94" s="45"/>
      <c r="F94" s="68">
        <v>0.26200000000000001</v>
      </c>
      <c r="G94" s="68">
        <v>0.26600000000000001</v>
      </c>
      <c r="H94" s="68">
        <v>0.23499999999999999</v>
      </c>
      <c r="I94" s="68">
        <v>0.23</v>
      </c>
      <c r="J94" s="68">
        <v>0.23300000000000001</v>
      </c>
      <c r="K94" s="68">
        <v>0.218</v>
      </c>
      <c r="L94" s="68">
        <v>0.23699999999999999</v>
      </c>
      <c r="M94" s="68">
        <v>0.25600000000000001</v>
      </c>
      <c r="N94" s="68">
        <v>0.26100000000000001</v>
      </c>
      <c r="O94" s="68">
        <v>0.27400000000000002</v>
      </c>
      <c r="P94" s="68">
        <v>0.224</v>
      </c>
      <c r="Q94" s="68">
        <v>0.221</v>
      </c>
      <c r="R94" s="68">
        <v>0.26600000000000001</v>
      </c>
      <c r="S94" s="68">
        <v>0.17799999999999999</v>
      </c>
      <c r="T94" s="68">
        <v>0.20799999999999999</v>
      </c>
      <c r="U94" s="68">
        <v>0.19</v>
      </c>
      <c r="V94" s="68">
        <v>0.19800000000000001</v>
      </c>
      <c r="W94" s="68">
        <v>0.20799999999999999</v>
      </c>
      <c r="X94" s="68">
        <v>0.189</v>
      </c>
      <c r="Y94" s="68">
        <v>0.18099999999999999</v>
      </c>
      <c r="Z94" s="68">
        <v>0.16900000000000001</v>
      </c>
      <c r="AA94" s="68">
        <v>0.17399999999999999</v>
      </c>
      <c r="AB94" s="68">
        <v>0.158</v>
      </c>
      <c r="AC94" s="68">
        <v>0.17699999999999999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21" t="s">
        <v>103</v>
      </c>
      <c r="B95" s="521"/>
      <c r="C95" s="522"/>
      <c r="D95" s="45"/>
      <c r="E95" s="45"/>
      <c r="F95" s="68" t="s">
        <v>1</v>
      </c>
      <c r="G95" s="68" t="s">
        <v>1</v>
      </c>
      <c r="H95" s="68" t="s">
        <v>1</v>
      </c>
      <c r="I95" s="68" t="s">
        <v>1</v>
      </c>
      <c r="J95" s="68" t="s">
        <v>1</v>
      </c>
      <c r="K95" s="68" t="s">
        <v>1</v>
      </c>
      <c r="L95" s="68" t="s">
        <v>1</v>
      </c>
      <c r="M95" s="68" t="s">
        <v>1</v>
      </c>
      <c r="N95" s="68" t="s">
        <v>1</v>
      </c>
      <c r="O95" s="68" t="s">
        <v>1</v>
      </c>
      <c r="P95" s="68">
        <v>0.20799999999999999</v>
      </c>
      <c r="Q95" s="68">
        <v>0.215</v>
      </c>
      <c r="R95" s="68">
        <v>0.222</v>
      </c>
      <c r="S95" s="68">
        <v>0.20100000000000001</v>
      </c>
      <c r="T95" s="68">
        <v>0.20200000000000001</v>
      </c>
      <c r="U95" s="68">
        <v>0.20599999999999999</v>
      </c>
      <c r="V95" s="68">
        <v>0.19500000000000001</v>
      </c>
      <c r="W95" s="68">
        <v>0.20100000000000001</v>
      </c>
      <c r="X95" s="68">
        <v>0.21199999999999999</v>
      </c>
      <c r="Y95" s="68">
        <v>0.21199999999999999</v>
      </c>
      <c r="Z95" s="68">
        <v>0.21199999999999999</v>
      </c>
      <c r="AA95" s="68">
        <v>0.20200000000000001</v>
      </c>
      <c r="AB95" s="68">
        <v>0.21099999999999999</v>
      </c>
      <c r="AC95" s="68" t="s">
        <v>1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07" t="s">
        <v>32</v>
      </c>
      <c r="B96" s="508"/>
      <c r="C96" s="509"/>
      <c r="D96" s="45"/>
      <c r="E96" s="45"/>
      <c r="F96" s="65">
        <f t="shared" ref="F96:AC96" si="25">F34</f>
        <v>14.32</v>
      </c>
      <c r="G96" s="65">
        <f t="shared" si="25"/>
        <v>14.31</v>
      </c>
      <c r="H96" s="65">
        <f t="shared" si="25"/>
        <v>13.32</v>
      </c>
      <c r="I96" s="65">
        <f t="shared" si="25"/>
        <v>12.82</v>
      </c>
      <c r="J96" s="65">
        <f t="shared" si="25"/>
        <v>14.24</v>
      </c>
      <c r="K96" s="65">
        <f t="shared" si="25"/>
        <v>14.26</v>
      </c>
      <c r="L96" s="65">
        <f t="shared" si="25"/>
        <v>14.29</v>
      </c>
      <c r="M96" s="65">
        <f t="shared" si="25"/>
        <v>14.31</v>
      </c>
      <c r="N96" s="65">
        <f t="shared" si="25"/>
        <v>14.28</v>
      </c>
      <c r="O96" s="65">
        <f t="shared" si="25"/>
        <v>14.31</v>
      </c>
      <c r="P96" s="65">
        <f t="shared" si="25"/>
        <v>14.29</v>
      </c>
      <c r="Q96" s="65">
        <f t="shared" si="25"/>
        <v>14.33</v>
      </c>
      <c r="R96" s="65">
        <f t="shared" si="25"/>
        <v>14.31</v>
      </c>
      <c r="S96" s="65">
        <f t="shared" si="25"/>
        <v>14.3</v>
      </c>
      <c r="T96" s="65">
        <f t="shared" si="25"/>
        <v>14.29</v>
      </c>
      <c r="U96" s="65">
        <f t="shared" si="25"/>
        <v>14.28</v>
      </c>
      <c r="V96" s="65">
        <f t="shared" si="25"/>
        <v>14.31</v>
      </c>
      <c r="W96" s="65">
        <f t="shared" si="25"/>
        <v>14.33</v>
      </c>
      <c r="X96" s="65">
        <f t="shared" si="25"/>
        <v>14.28</v>
      </c>
      <c r="Y96" s="65">
        <f t="shared" si="25"/>
        <v>14.33</v>
      </c>
      <c r="Z96" s="65">
        <f t="shared" si="25"/>
        <v>14.26</v>
      </c>
      <c r="AA96" s="65">
        <f t="shared" si="25"/>
        <v>14.35</v>
      </c>
      <c r="AB96" s="65">
        <f t="shared" si="25"/>
        <v>14.24</v>
      </c>
      <c r="AC96" s="65">
        <f t="shared" si="25"/>
        <v>14.19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21" t="s">
        <v>81</v>
      </c>
      <c r="B97" s="521"/>
      <c r="C97" s="522"/>
      <c r="D97" s="68"/>
      <c r="E97" s="68"/>
      <c r="F97" s="68">
        <v>0.67</v>
      </c>
      <c r="G97" s="68">
        <v>0.69</v>
      </c>
      <c r="H97" s="68">
        <v>0.68</v>
      </c>
      <c r="I97" s="68">
        <v>0.68</v>
      </c>
      <c r="J97" s="68">
        <v>0.76</v>
      </c>
      <c r="K97" s="68">
        <v>0.74</v>
      </c>
      <c r="L97" s="68">
        <v>0.71</v>
      </c>
      <c r="M97" s="68">
        <v>0.69</v>
      </c>
      <c r="N97" s="68">
        <v>0.72</v>
      </c>
      <c r="O97" s="68">
        <v>0.69</v>
      </c>
      <c r="P97" s="68">
        <v>0.71</v>
      </c>
      <c r="Q97" s="68">
        <v>0.67</v>
      </c>
      <c r="R97" s="68">
        <v>0.69</v>
      </c>
      <c r="S97" s="68">
        <v>0.7</v>
      </c>
      <c r="T97" s="68">
        <v>0.71</v>
      </c>
      <c r="U97" s="68">
        <v>0.72</v>
      </c>
      <c r="V97" s="68">
        <v>0.69</v>
      </c>
      <c r="W97" s="68">
        <v>0.67</v>
      </c>
      <c r="X97" s="68">
        <v>0.72</v>
      </c>
      <c r="Y97" s="68">
        <v>0.67</v>
      </c>
      <c r="Z97" s="68">
        <v>0.74</v>
      </c>
      <c r="AA97" s="68">
        <v>0.65</v>
      </c>
      <c r="AB97" s="68">
        <v>0.76</v>
      </c>
      <c r="AC97" s="68">
        <v>0.81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07" t="s">
        <v>33</v>
      </c>
      <c r="B98" s="508"/>
      <c r="C98" s="509"/>
      <c r="D98" s="45"/>
      <c r="E98" s="45"/>
      <c r="F98" s="64">
        <f t="shared" ref="F98:AC98" si="26">F60</f>
        <v>0</v>
      </c>
      <c r="G98" s="64">
        <f t="shared" si="26"/>
        <v>0</v>
      </c>
      <c r="H98" s="64">
        <f t="shared" si="26"/>
        <v>0</v>
      </c>
      <c r="I98" s="64">
        <f t="shared" si="26"/>
        <v>0</v>
      </c>
      <c r="J98" s="64">
        <f t="shared" si="26"/>
        <v>2</v>
      </c>
      <c r="K98" s="64">
        <f t="shared" si="26"/>
        <v>0</v>
      </c>
      <c r="L98" s="64">
        <f t="shared" si="26"/>
        <v>2</v>
      </c>
      <c r="M98" s="64">
        <f t="shared" si="26"/>
        <v>1.3</v>
      </c>
      <c r="N98" s="64">
        <f t="shared" si="26"/>
        <v>0</v>
      </c>
      <c r="O98" s="64">
        <f t="shared" si="26"/>
        <v>3.5</v>
      </c>
      <c r="P98" s="64">
        <f t="shared" si="26"/>
        <v>2.8</v>
      </c>
      <c r="Q98" s="64">
        <f t="shared" si="26"/>
        <v>2.0999999999999996</v>
      </c>
      <c r="R98" s="64">
        <f t="shared" si="26"/>
        <v>3.5</v>
      </c>
      <c r="S98" s="64">
        <f t="shared" si="26"/>
        <v>2.8</v>
      </c>
      <c r="T98" s="64">
        <f t="shared" si="26"/>
        <v>6.4000000000000012</v>
      </c>
      <c r="U98" s="64">
        <f t="shared" si="26"/>
        <v>3.5</v>
      </c>
      <c r="V98" s="64">
        <f t="shared" si="26"/>
        <v>4.2</v>
      </c>
      <c r="W98" s="64">
        <f t="shared" si="26"/>
        <v>1.4</v>
      </c>
      <c r="X98" s="64">
        <f t="shared" si="26"/>
        <v>1.4</v>
      </c>
      <c r="Y98" s="64">
        <f t="shared" si="26"/>
        <v>4.2</v>
      </c>
      <c r="Z98" s="64">
        <f t="shared" si="26"/>
        <v>2.8</v>
      </c>
      <c r="AA98" s="64">
        <f t="shared" si="26"/>
        <v>1.4</v>
      </c>
      <c r="AB98" s="64">
        <f t="shared" si="26"/>
        <v>1.4</v>
      </c>
      <c r="AC98" s="64">
        <f t="shared" si="26"/>
        <v>1.4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07" t="s">
        <v>55</v>
      </c>
      <c r="B99" s="508"/>
      <c r="C99" s="509"/>
      <c r="D99" s="45"/>
      <c r="E99" s="45"/>
      <c r="F99" s="64">
        <f t="shared" ref="F99:AC99" si="27">F65</f>
        <v>1.18</v>
      </c>
      <c r="G99" s="64">
        <f t="shared" si="27"/>
        <v>1</v>
      </c>
      <c r="H99" s="64">
        <f t="shared" si="27"/>
        <v>0.99</v>
      </c>
      <c r="I99" s="64">
        <f t="shared" si="27"/>
        <v>0.98</v>
      </c>
      <c r="J99" s="64">
        <f t="shared" si="27"/>
        <v>0.88</v>
      </c>
      <c r="K99" s="64">
        <f t="shared" si="27"/>
        <v>0.87</v>
      </c>
      <c r="L99" s="64">
        <f t="shared" si="27"/>
        <v>0.95</v>
      </c>
      <c r="M99" s="64">
        <f t="shared" si="27"/>
        <v>1.1000000000000001</v>
      </c>
      <c r="N99" s="64">
        <f t="shared" si="27"/>
        <v>1.1100000000000001</v>
      </c>
      <c r="O99" s="64">
        <f t="shared" si="27"/>
        <v>1.28</v>
      </c>
      <c r="P99" s="64">
        <f t="shared" si="27"/>
        <v>1.36</v>
      </c>
      <c r="Q99" s="64">
        <f t="shared" si="27"/>
        <v>1.42</v>
      </c>
      <c r="R99" s="64">
        <f t="shared" si="27"/>
        <v>1.41</v>
      </c>
      <c r="S99" s="64">
        <f t="shared" si="27"/>
        <v>1.24</v>
      </c>
      <c r="T99" s="64">
        <f t="shared" si="27"/>
        <v>1.24</v>
      </c>
      <c r="U99" s="64">
        <f t="shared" si="27"/>
        <v>1.34</v>
      </c>
      <c r="V99" s="64">
        <f t="shared" si="27"/>
        <v>1.26</v>
      </c>
      <c r="W99" s="64">
        <f t="shared" si="27"/>
        <v>1.24</v>
      </c>
      <c r="X99" s="64">
        <f t="shared" si="27"/>
        <v>1.3</v>
      </c>
      <c r="Y99" s="64">
        <f t="shared" si="27"/>
        <v>1.53</v>
      </c>
      <c r="Z99" s="64">
        <f t="shared" si="27"/>
        <v>1.47</v>
      </c>
      <c r="AA99" s="64">
        <f t="shared" si="27"/>
        <v>1.35</v>
      </c>
      <c r="AB99" s="64">
        <f t="shared" si="27"/>
        <v>1.21</v>
      </c>
      <c r="AC99" s="64">
        <f t="shared" si="27"/>
        <v>1.05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07" t="s">
        <v>59</v>
      </c>
      <c r="B100" s="508"/>
      <c r="C100" s="509"/>
      <c r="D100" s="45"/>
      <c r="E100" s="45"/>
      <c r="F100" s="64">
        <f t="shared" ref="F100:AC100" si="28">F76</f>
        <v>0</v>
      </c>
      <c r="G100" s="64">
        <f t="shared" si="28"/>
        <v>0</v>
      </c>
      <c r="H100" s="64">
        <f t="shared" si="28"/>
        <v>0</v>
      </c>
      <c r="I100" s="64">
        <f t="shared" si="28"/>
        <v>0</v>
      </c>
      <c r="J100" s="64">
        <f t="shared" si="28"/>
        <v>0</v>
      </c>
      <c r="K100" s="64">
        <f t="shared" si="28"/>
        <v>0</v>
      </c>
      <c r="L100" s="64">
        <f t="shared" si="28"/>
        <v>0</v>
      </c>
      <c r="M100" s="64">
        <f t="shared" si="28"/>
        <v>0</v>
      </c>
      <c r="N100" s="64">
        <f t="shared" si="28"/>
        <v>0</v>
      </c>
      <c r="O100" s="64">
        <f t="shared" si="28"/>
        <v>0</v>
      </c>
      <c r="P100" s="64">
        <f t="shared" si="28"/>
        <v>0</v>
      </c>
      <c r="Q100" s="64">
        <f t="shared" si="28"/>
        <v>0</v>
      </c>
      <c r="R100" s="64">
        <f t="shared" si="28"/>
        <v>0</v>
      </c>
      <c r="S100" s="64">
        <f t="shared" si="28"/>
        <v>0</v>
      </c>
      <c r="T100" s="64">
        <f t="shared" si="28"/>
        <v>0</v>
      </c>
      <c r="U100" s="64">
        <f t="shared" si="28"/>
        <v>0</v>
      </c>
      <c r="V100" s="64">
        <f t="shared" si="28"/>
        <v>0</v>
      </c>
      <c r="W100" s="64">
        <f t="shared" si="28"/>
        <v>0</v>
      </c>
      <c r="X100" s="64">
        <f t="shared" si="28"/>
        <v>0</v>
      </c>
      <c r="Y100" s="64">
        <f t="shared" si="28"/>
        <v>0</v>
      </c>
      <c r="Z100" s="64">
        <f t="shared" si="28"/>
        <v>0</v>
      </c>
      <c r="AA100" s="64">
        <f t="shared" si="28"/>
        <v>0</v>
      </c>
      <c r="AB100" s="64">
        <f t="shared" si="28"/>
        <v>0</v>
      </c>
      <c r="AC100" s="64">
        <f t="shared" si="28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07" t="s">
        <v>69</v>
      </c>
      <c r="B101" s="508"/>
      <c r="C101" s="509"/>
      <c r="D101" s="45"/>
      <c r="E101" s="45"/>
      <c r="F101" s="64">
        <f t="shared" ref="F101:AC101" si="29">F80</f>
        <v>0.85</v>
      </c>
      <c r="G101" s="64">
        <f t="shared" si="29"/>
        <v>0.82</v>
      </c>
      <c r="H101" s="64">
        <f t="shared" si="29"/>
        <v>0.79</v>
      </c>
      <c r="I101" s="64">
        <f t="shared" si="29"/>
        <v>0.77</v>
      </c>
      <c r="J101" s="64">
        <f t="shared" si="29"/>
        <v>0.76</v>
      </c>
      <c r="K101" s="64">
        <f t="shared" si="29"/>
        <v>0.77</v>
      </c>
      <c r="L101" s="64">
        <f t="shared" si="29"/>
        <v>0.78</v>
      </c>
      <c r="M101" s="64">
        <f t="shared" si="29"/>
        <v>0.8</v>
      </c>
      <c r="N101" s="64">
        <f t="shared" si="29"/>
        <v>0.78</v>
      </c>
      <c r="O101" s="64">
        <f t="shared" si="29"/>
        <v>0.82</v>
      </c>
      <c r="P101" s="64">
        <f t="shared" si="29"/>
        <v>0.84</v>
      </c>
      <c r="Q101" s="64">
        <f t="shared" si="29"/>
        <v>0.86</v>
      </c>
      <c r="R101" s="64">
        <f t="shared" si="29"/>
        <v>0.91</v>
      </c>
      <c r="S101" s="64">
        <f t="shared" si="29"/>
        <v>0.89</v>
      </c>
      <c r="T101" s="64">
        <f t="shared" si="29"/>
        <v>0.89</v>
      </c>
      <c r="U101" s="64">
        <f t="shared" si="29"/>
        <v>0.88</v>
      </c>
      <c r="V101" s="64">
        <f t="shared" si="29"/>
        <v>0.88</v>
      </c>
      <c r="W101" s="64">
        <f t="shared" si="29"/>
        <v>0.89</v>
      </c>
      <c r="X101" s="64">
        <f t="shared" si="29"/>
        <v>0.89</v>
      </c>
      <c r="Y101" s="64">
        <f t="shared" si="29"/>
        <v>0.95</v>
      </c>
      <c r="Z101" s="64">
        <f t="shared" si="29"/>
        <v>0.96</v>
      </c>
      <c r="AA101" s="64">
        <f t="shared" si="29"/>
        <v>0.93</v>
      </c>
      <c r="AB101" s="64">
        <f t="shared" si="29"/>
        <v>0.89</v>
      </c>
      <c r="AC101" s="64">
        <f t="shared" si="29"/>
        <v>0.86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07" t="s">
        <v>72</v>
      </c>
      <c r="B102" s="508"/>
      <c r="C102" s="509"/>
      <c r="D102" s="45"/>
      <c r="E102" s="45"/>
      <c r="F102" s="64">
        <f t="shared" ref="F102:AC102" si="30">F82</f>
        <v>0</v>
      </c>
      <c r="G102" s="64">
        <f t="shared" si="30"/>
        <v>0</v>
      </c>
      <c r="H102" s="64">
        <f t="shared" si="30"/>
        <v>0</v>
      </c>
      <c r="I102" s="64">
        <f t="shared" si="30"/>
        <v>0</v>
      </c>
      <c r="J102" s="64">
        <f t="shared" si="30"/>
        <v>0</v>
      </c>
      <c r="K102" s="64">
        <f t="shared" si="30"/>
        <v>0</v>
      </c>
      <c r="L102" s="64">
        <f t="shared" si="30"/>
        <v>0</v>
      </c>
      <c r="M102" s="64">
        <f t="shared" si="30"/>
        <v>0</v>
      </c>
      <c r="N102" s="64">
        <f t="shared" si="30"/>
        <v>0</v>
      </c>
      <c r="O102" s="64">
        <f t="shared" si="30"/>
        <v>0</v>
      </c>
      <c r="P102" s="64">
        <f t="shared" si="30"/>
        <v>0</v>
      </c>
      <c r="Q102" s="64">
        <f t="shared" si="30"/>
        <v>0</v>
      </c>
      <c r="R102" s="64">
        <f t="shared" si="30"/>
        <v>0</v>
      </c>
      <c r="S102" s="64">
        <f t="shared" si="30"/>
        <v>0</v>
      </c>
      <c r="T102" s="64">
        <f t="shared" si="30"/>
        <v>0</v>
      </c>
      <c r="U102" s="64">
        <f t="shared" si="30"/>
        <v>0</v>
      </c>
      <c r="V102" s="64">
        <f t="shared" si="30"/>
        <v>0</v>
      </c>
      <c r="W102" s="64">
        <f t="shared" si="30"/>
        <v>0</v>
      </c>
      <c r="X102" s="64">
        <f t="shared" si="30"/>
        <v>0</v>
      </c>
      <c r="Y102" s="64">
        <f t="shared" si="30"/>
        <v>0</v>
      </c>
      <c r="Z102" s="64">
        <f t="shared" si="30"/>
        <v>0</v>
      </c>
      <c r="AA102" s="64">
        <f t="shared" si="30"/>
        <v>0</v>
      </c>
      <c r="AB102" s="64">
        <f t="shared" si="30"/>
        <v>0</v>
      </c>
      <c r="AC102" s="64">
        <f t="shared" si="30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11" t="s">
        <v>82</v>
      </c>
      <c r="B103" s="511"/>
      <c r="C103" s="511"/>
      <c r="D103" s="47"/>
      <c r="E103" s="47"/>
      <c r="F103" s="61">
        <f t="shared" ref="F103:AC103" si="31">SUM(F89,F91,F93,F96,F98:F102,F81)</f>
        <v>46.95</v>
      </c>
      <c r="G103" s="61">
        <f t="shared" si="31"/>
        <v>44.43</v>
      </c>
      <c r="H103" s="61">
        <f t="shared" si="31"/>
        <v>41.2</v>
      </c>
      <c r="I103" s="61">
        <f t="shared" si="31"/>
        <v>39.770000000000003</v>
      </c>
      <c r="J103" s="61">
        <f t="shared" si="31"/>
        <v>40.480000000000004</v>
      </c>
      <c r="K103" s="61">
        <f t="shared" si="31"/>
        <v>40.9</v>
      </c>
      <c r="L103" s="61">
        <f t="shared" si="31"/>
        <v>42.320000000000007</v>
      </c>
      <c r="M103" s="61">
        <f t="shared" si="31"/>
        <v>41.91</v>
      </c>
      <c r="N103" s="61">
        <f t="shared" si="31"/>
        <v>47.17</v>
      </c>
      <c r="O103" s="61">
        <f t="shared" si="31"/>
        <v>53.31</v>
      </c>
      <c r="P103" s="61">
        <f t="shared" si="31"/>
        <v>59.29</v>
      </c>
      <c r="Q103" s="61">
        <f t="shared" si="31"/>
        <v>60.91</v>
      </c>
      <c r="R103" s="61">
        <f t="shared" si="31"/>
        <v>61.22999999999999</v>
      </c>
      <c r="S103" s="61">
        <f t="shared" si="31"/>
        <v>60.93</v>
      </c>
      <c r="T103" s="61">
        <f t="shared" si="31"/>
        <v>63.419999999999995</v>
      </c>
      <c r="U103" s="61">
        <f t="shared" si="31"/>
        <v>61.900000000000006</v>
      </c>
      <c r="V103" s="61">
        <f t="shared" si="31"/>
        <v>61.350000000000009</v>
      </c>
      <c r="W103" s="61">
        <f t="shared" si="31"/>
        <v>59.059999999999995</v>
      </c>
      <c r="X103" s="61">
        <f t="shared" si="31"/>
        <v>58.969999999999992</v>
      </c>
      <c r="Y103" s="61">
        <f t="shared" si="31"/>
        <v>63.110000000000007</v>
      </c>
      <c r="Z103" s="61">
        <f t="shared" si="31"/>
        <v>61.489999999999995</v>
      </c>
      <c r="AA103" s="61">
        <f t="shared" si="31"/>
        <v>60.03</v>
      </c>
      <c r="AB103" s="61">
        <f t="shared" si="31"/>
        <v>54.64</v>
      </c>
      <c r="AC103" s="61">
        <f t="shared" si="31"/>
        <v>50.699999999999989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12" t="s">
        <v>83</v>
      </c>
      <c r="B104" s="512"/>
      <c r="C104" s="512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12" t="s">
        <v>84</v>
      </c>
      <c r="B105" s="512"/>
      <c r="C105" s="512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12" t="s">
        <v>85</v>
      </c>
      <c r="B106" s="512"/>
      <c r="C106" s="512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>
        <v>2.63</v>
      </c>
      <c r="P106" s="76"/>
      <c r="Q106" s="76"/>
      <c r="R106" s="76"/>
      <c r="S106" s="76"/>
      <c r="T106" s="76"/>
      <c r="U106" s="76"/>
      <c r="V106" s="76"/>
      <c r="W106" s="76"/>
      <c r="X106" s="76">
        <f>0.53-0.12</f>
        <v>0.41000000000000003</v>
      </c>
      <c r="Y106" s="76">
        <f>0.53-0.12</f>
        <v>0.41000000000000003</v>
      </c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11" t="s">
        <v>86</v>
      </c>
      <c r="B107" s="511"/>
      <c r="C107" s="511"/>
      <c r="D107" s="47"/>
      <c r="E107" s="47"/>
      <c r="F107" s="61">
        <f t="shared" ref="F107:AC107" si="32">SUM(F104:F106)</f>
        <v>0</v>
      </c>
      <c r="G107" s="61">
        <f t="shared" si="32"/>
        <v>0</v>
      </c>
      <c r="H107" s="61">
        <f t="shared" si="32"/>
        <v>0</v>
      </c>
      <c r="I107" s="61">
        <f t="shared" si="32"/>
        <v>0</v>
      </c>
      <c r="J107" s="61">
        <f t="shared" si="32"/>
        <v>0</v>
      </c>
      <c r="K107" s="61">
        <f t="shared" si="32"/>
        <v>0</v>
      </c>
      <c r="L107" s="61">
        <f t="shared" si="32"/>
        <v>0</v>
      </c>
      <c r="M107" s="61">
        <f t="shared" si="32"/>
        <v>0</v>
      </c>
      <c r="N107" s="61">
        <f t="shared" si="32"/>
        <v>0</v>
      </c>
      <c r="O107" s="61">
        <f t="shared" si="32"/>
        <v>2.63</v>
      </c>
      <c r="P107" s="61">
        <f t="shared" si="32"/>
        <v>0</v>
      </c>
      <c r="Q107" s="61">
        <f t="shared" si="32"/>
        <v>0</v>
      </c>
      <c r="R107" s="61">
        <f t="shared" si="32"/>
        <v>0</v>
      </c>
      <c r="S107" s="61">
        <f t="shared" si="32"/>
        <v>0</v>
      </c>
      <c r="T107" s="61">
        <f t="shared" si="32"/>
        <v>0</v>
      </c>
      <c r="U107" s="61">
        <f t="shared" si="32"/>
        <v>0</v>
      </c>
      <c r="V107" s="61">
        <f t="shared" si="32"/>
        <v>0</v>
      </c>
      <c r="W107" s="61">
        <f t="shared" si="32"/>
        <v>0</v>
      </c>
      <c r="X107" s="61">
        <f t="shared" si="32"/>
        <v>0.41000000000000003</v>
      </c>
      <c r="Y107" s="61">
        <f t="shared" si="32"/>
        <v>0.41000000000000003</v>
      </c>
      <c r="Z107" s="61">
        <f t="shared" si="32"/>
        <v>0</v>
      </c>
      <c r="AA107" s="61">
        <f t="shared" si="32"/>
        <v>0</v>
      </c>
      <c r="AB107" s="61">
        <f t="shared" si="32"/>
        <v>0</v>
      </c>
      <c r="AC107" s="61">
        <f t="shared" si="32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13" t="s">
        <v>87</v>
      </c>
      <c r="B108" s="513"/>
      <c r="C108" s="513"/>
      <c r="D108" s="48"/>
      <c r="E108" s="48"/>
      <c r="F108" s="62">
        <f t="shared" ref="F108:AC108" si="33">F103+F107</f>
        <v>46.95</v>
      </c>
      <c r="G108" s="62">
        <f t="shared" si="33"/>
        <v>44.43</v>
      </c>
      <c r="H108" s="62">
        <f t="shared" si="33"/>
        <v>41.2</v>
      </c>
      <c r="I108" s="62">
        <f t="shared" si="33"/>
        <v>39.770000000000003</v>
      </c>
      <c r="J108" s="62">
        <f t="shared" si="33"/>
        <v>40.480000000000004</v>
      </c>
      <c r="K108" s="62">
        <f t="shared" si="33"/>
        <v>40.9</v>
      </c>
      <c r="L108" s="62">
        <f t="shared" si="33"/>
        <v>42.320000000000007</v>
      </c>
      <c r="M108" s="62">
        <f t="shared" si="33"/>
        <v>41.91</v>
      </c>
      <c r="N108" s="62">
        <f t="shared" si="33"/>
        <v>47.17</v>
      </c>
      <c r="O108" s="62">
        <f t="shared" si="33"/>
        <v>55.940000000000005</v>
      </c>
      <c r="P108" s="62">
        <f t="shared" si="33"/>
        <v>59.29</v>
      </c>
      <c r="Q108" s="62">
        <f t="shared" si="33"/>
        <v>60.91</v>
      </c>
      <c r="R108" s="62">
        <f t="shared" si="33"/>
        <v>61.22999999999999</v>
      </c>
      <c r="S108" s="62">
        <f t="shared" si="33"/>
        <v>60.93</v>
      </c>
      <c r="T108" s="62">
        <f>T103+T107</f>
        <v>63.419999999999995</v>
      </c>
      <c r="U108" s="62">
        <f t="shared" si="33"/>
        <v>61.900000000000006</v>
      </c>
      <c r="V108" s="62">
        <f t="shared" si="33"/>
        <v>61.350000000000009</v>
      </c>
      <c r="W108" s="62">
        <f>W103+W107</f>
        <v>59.059999999999995</v>
      </c>
      <c r="X108" s="62">
        <f t="shared" si="33"/>
        <v>59.379999999999988</v>
      </c>
      <c r="Y108" s="62">
        <f t="shared" si="33"/>
        <v>63.52</v>
      </c>
      <c r="Z108" s="62">
        <f t="shared" si="33"/>
        <v>61.489999999999995</v>
      </c>
      <c r="AA108" s="62">
        <f t="shared" si="33"/>
        <v>60.03</v>
      </c>
      <c r="AB108" s="62">
        <f t="shared" si="33"/>
        <v>54.64</v>
      </c>
      <c r="AC108" s="62">
        <f t="shared" si="33"/>
        <v>50.699999999999989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14" t="s">
        <v>88</v>
      </c>
      <c r="B109" s="514"/>
      <c r="C109" s="514"/>
      <c r="D109" s="52"/>
      <c r="E109" s="52"/>
      <c r="F109" s="63">
        <f t="shared" ref="F109:AC109" si="34">(COUNT(F13:F16))*7.2+(COUNT(F27:F28)*4.9)+(COUNT(F19:F21)*4.5)-F91-F93</f>
        <v>8.3000000000000078</v>
      </c>
      <c r="G109" s="63">
        <f t="shared" si="34"/>
        <v>3.1000000000000014</v>
      </c>
      <c r="H109" s="63">
        <f t="shared" si="34"/>
        <v>5.3000000000000007</v>
      </c>
      <c r="I109" s="63">
        <f t="shared" si="34"/>
        <v>6.1999999999999993</v>
      </c>
      <c r="J109" s="63">
        <f t="shared" si="34"/>
        <v>1.6000000000000014</v>
      </c>
      <c r="K109" s="63">
        <f t="shared" si="34"/>
        <v>6.5000000000000018</v>
      </c>
      <c r="L109" s="63">
        <f t="shared" si="34"/>
        <v>14.400000000000006</v>
      </c>
      <c r="M109" s="63">
        <f t="shared" si="34"/>
        <v>7.1000000000000032</v>
      </c>
      <c r="N109" s="63">
        <f t="shared" si="34"/>
        <v>11.600000000000001</v>
      </c>
      <c r="O109" s="63">
        <f t="shared" si="34"/>
        <v>16.300000000000004</v>
      </c>
      <c r="P109" s="63">
        <f t="shared" si="34"/>
        <v>12.900000000000004</v>
      </c>
      <c r="Q109" s="63">
        <f t="shared" si="34"/>
        <v>10.900000000000006</v>
      </c>
      <c r="R109" s="63">
        <f t="shared" si="34"/>
        <v>4.8000000000000043</v>
      </c>
      <c r="S109" s="63">
        <f t="shared" si="34"/>
        <v>4.2000000000000028</v>
      </c>
      <c r="T109" s="63">
        <f t="shared" si="34"/>
        <v>5.3000000000000007</v>
      </c>
      <c r="U109" s="63">
        <f t="shared" si="34"/>
        <v>3.9999999999999982</v>
      </c>
      <c r="V109" s="63">
        <f t="shared" si="34"/>
        <v>5.1999999999999993</v>
      </c>
      <c r="W109" s="63">
        <f t="shared" si="34"/>
        <v>4.7000000000000028</v>
      </c>
      <c r="X109" s="63">
        <f t="shared" si="34"/>
        <v>4.8000000000000007</v>
      </c>
      <c r="Y109" s="63">
        <f t="shared" si="34"/>
        <v>3.7999999999999989</v>
      </c>
      <c r="Z109" s="63">
        <f t="shared" si="34"/>
        <v>3.8999999999999986</v>
      </c>
      <c r="AA109" s="63">
        <f t="shared" si="34"/>
        <v>3.8999999999999986</v>
      </c>
      <c r="AB109" s="63">
        <f t="shared" si="34"/>
        <v>9</v>
      </c>
      <c r="AC109" s="63">
        <f t="shared" si="34"/>
        <v>11.600000000000003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15" t="s">
        <v>89</v>
      </c>
      <c r="B110" s="516"/>
      <c r="C110" s="517"/>
      <c r="D110" s="204"/>
      <c r="E110" s="204"/>
      <c r="F110" s="205">
        <f t="shared" ref="F110:P110" si="35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3.9000000000000048</v>
      </c>
      <c r="G110" s="205">
        <f t="shared" si="35"/>
        <v>1.7000000000000011</v>
      </c>
      <c r="H110" s="205">
        <f t="shared" si="35"/>
        <v>3.9000000000000004</v>
      </c>
      <c r="I110" s="205">
        <f t="shared" si="35"/>
        <v>4.7999999999999989</v>
      </c>
      <c r="J110" s="205">
        <f t="shared" si="35"/>
        <v>0.19999999999999929</v>
      </c>
      <c r="K110" s="205">
        <f t="shared" si="35"/>
        <v>1.2999999999999998</v>
      </c>
      <c r="L110" s="205">
        <f t="shared" si="35"/>
        <v>9.1999999999999993</v>
      </c>
      <c r="M110" s="205">
        <f t="shared" si="35"/>
        <v>1.9000000000000012</v>
      </c>
      <c r="N110" s="205">
        <f t="shared" si="35"/>
        <v>4.3000000000000025</v>
      </c>
      <c r="O110" s="205">
        <f t="shared" si="35"/>
        <v>11.800000000000004</v>
      </c>
      <c r="P110" s="205">
        <f t="shared" si="35"/>
        <v>6.2000000000000011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4.0000000000000053</v>
      </c>
      <c r="R110" s="205">
        <f t="shared" ref="R110:AC110" si="36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-2.4999999999999938</v>
      </c>
      <c r="S110" s="205">
        <f t="shared" si="36"/>
        <v>-3.0999999999999952</v>
      </c>
      <c r="T110" s="205">
        <f t="shared" si="36"/>
        <v>-1.9999999999999973</v>
      </c>
      <c r="U110" s="205">
        <f t="shared" si="36"/>
        <v>-3.3</v>
      </c>
      <c r="V110" s="205">
        <f t="shared" si="36"/>
        <v>-2.0999999999999988</v>
      </c>
      <c r="W110" s="205">
        <f t="shared" si="36"/>
        <v>-2.5999999999999952</v>
      </c>
      <c r="X110" s="205">
        <f t="shared" si="36"/>
        <v>-2.4999999999999973</v>
      </c>
      <c r="Y110" s="205">
        <f t="shared" si="36"/>
        <v>-3.4999999999999991</v>
      </c>
      <c r="Z110" s="205">
        <f t="shared" si="36"/>
        <v>-3.3999999999999995</v>
      </c>
      <c r="AA110" s="205">
        <f t="shared" si="36"/>
        <v>-3.3999999999999995</v>
      </c>
      <c r="AB110" s="205">
        <f t="shared" si="36"/>
        <v>1.7000000000000011</v>
      </c>
      <c r="AC110" s="205">
        <f t="shared" si="36"/>
        <v>5.4000000000000057</v>
      </c>
      <c r="AD110" s="26"/>
      <c r="AE110" s="26"/>
      <c r="AF110" s="466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10" t="s">
        <v>91</v>
      </c>
      <c r="B111" s="510"/>
      <c r="C111" s="510"/>
      <c r="D111" s="60"/>
      <c r="E111" s="72"/>
      <c r="F111" s="74">
        <v>60.22</v>
      </c>
      <c r="G111" s="74">
        <v>60.24</v>
      </c>
      <c r="H111" s="74">
        <v>60.22</v>
      </c>
      <c r="I111" s="74">
        <v>60.27</v>
      </c>
      <c r="J111" s="74">
        <v>60.1</v>
      </c>
      <c r="K111" s="74">
        <v>60.09</v>
      </c>
      <c r="L111" s="74">
        <v>60.18</v>
      </c>
      <c r="M111" s="74">
        <v>60.15</v>
      </c>
      <c r="N111" s="74">
        <v>60.17</v>
      </c>
      <c r="O111" s="74">
        <v>60.3</v>
      </c>
      <c r="P111" s="83">
        <v>60.26</v>
      </c>
      <c r="Q111" s="83">
        <v>60.2</v>
      </c>
      <c r="R111" s="83">
        <v>60.15</v>
      </c>
      <c r="S111" s="83">
        <v>60.12</v>
      </c>
      <c r="T111" s="83">
        <v>60.22</v>
      </c>
      <c r="U111" s="74">
        <v>60.07</v>
      </c>
      <c r="V111" s="74">
        <v>60.16</v>
      </c>
      <c r="W111" s="74">
        <v>60.17</v>
      </c>
      <c r="X111" s="74">
        <v>60.09</v>
      </c>
      <c r="Y111" s="74">
        <v>60.2</v>
      </c>
      <c r="Z111" s="74">
        <v>60.21</v>
      </c>
      <c r="AA111" s="74">
        <v>60.15</v>
      </c>
      <c r="AB111" s="74">
        <v>60.16</v>
      </c>
      <c r="AC111" s="74">
        <v>60.16</v>
      </c>
      <c r="AD111" s="26"/>
      <c r="AE111" s="26"/>
      <c r="AF111" s="467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18" t="s">
        <v>93</v>
      </c>
      <c r="B112" s="519"/>
      <c r="C112" s="520"/>
      <c r="D112" s="60"/>
      <c r="E112" s="72"/>
      <c r="F112" s="74"/>
      <c r="G112" s="74"/>
      <c r="H112" s="74"/>
      <c r="I112" s="74"/>
      <c r="J112" s="74"/>
      <c r="K112" s="74"/>
      <c r="L112" s="74"/>
      <c r="M112" s="74"/>
      <c r="N112" s="74"/>
      <c r="O112" s="74"/>
      <c r="P112" s="74"/>
      <c r="Q112" s="74"/>
      <c r="R112" s="74"/>
      <c r="S112" s="74"/>
      <c r="T112" s="74"/>
      <c r="U112" s="74"/>
      <c r="V112" s="74"/>
      <c r="W112" s="74"/>
      <c r="X112" s="74"/>
      <c r="Y112" s="74"/>
      <c r="Z112" s="74"/>
      <c r="AA112" s="74"/>
      <c r="AB112" s="74"/>
      <c r="AC112" s="74"/>
      <c r="AD112" s="26"/>
      <c r="AE112" s="26"/>
      <c r="AF112" s="469"/>
      <c r="AG112" s="472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18" t="s">
        <v>95</v>
      </c>
      <c r="B113" s="519"/>
      <c r="C113" s="520"/>
      <c r="D113" s="60"/>
      <c r="E113" s="74"/>
      <c r="F113" s="74"/>
      <c r="G113" s="74"/>
      <c r="H113" s="74"/>
      <c r="I113" s="74"/>
      <c r="J113" s="74"/>
      <c r="K113" s="74"/>
      <c r="L113" s="74"/>
      <c r="M113" s="74"/>
      <c r="N113" s="74"/>
      <c r="O113" s="74">
        <v>4.5</v>
      </c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10" t="s">
        <v>96</v>
      </c>
      <c r="B114" s="510"/>
      <c r="C114" s="510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 t="s">
        <v>101</v>
      </c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10" t="s">
        <v>97</v>
      </c>
      <c r="B115" s="510"/>
      <c r="C115" s="510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499" t="s">
        <v>98</v>
      </c>
      <c r="B117" s="499"/>
      <c r="C117" s="499"/>
      <c r="D117" s="499"/>
      <c r="E117" s="499"/>
      <c r="F117" s="499"/>
      <c r="G117" s="499"/>
      <c r="H117" s="499"/>
      <c r="I117" s="499"/>
      <c r="J117" s="499"/>
      <c r="K117" s="499"/>
      <c r="L117" s="499"/>
      <c r="M117" s="499"/>
      <c r="N117" s="499"/>
      <c r="O117" s="499"/>
      <c r="P117" s="499"/>
      <c r="Q117" s="499"/>
      <c r="R117" s="499"/>
      <c r="S117" s="499"/>
      <c r="T117" s="499"/>
      <c r="U117" s="499"/>
      <c r="V117" s="499"/>
      <c r="W117" s="499"/>
      <c r="X117" s="499"/>
      <c r="Y117" s="499"/>
      <c r="Z117" s="499"/>
      <c r="AA117" s="499"/>
      <c r="AB117" s="499"/>
      <c r="AC117" s="499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00" t="s">
        <v>75</v>
      </c>
      <c r="B119" s="501"/>
      <c r="C119" s="502"/>
      <c r="D119" s="49"/>
      <c r="E119" s="49"/>
      <c r="F119" s="506" t="s">
        <v>76</v>
      </c>
      <c r="G119" s="506"/>
      <c r="H119" s="506"/>
      <c r="I119" s="506"/>
      <c r="J119" s="506"/>
      <c r="K119" s="506"/>
      <c r="L119" s="506"/>
      <c r="M119" s="506"/>
      <c r="N119" s="506"/>
      <c r="O119" s="506"/>
      <c r="P119" s="506"/>
      <c r="Q119" s="506"/>
      <c r="R119" s="506"/>
      <c r="S119" s="506"/>
      <c r="T119" s="506"/>
      <c r="U119" s="506"/>
      <c r="V119" s="506"/>
      <c r="W119" s="506"/>
      <c r="X119" s="506"/>
      <c r="Y119" s="506"/>
      <c r="Z119" s="506"/>
      <c r="AA119" s="506"/>
      <c r="AB119" s="506"/>
      <c r="AC119" s="506"/>
      <c r="AD119" s="5"/>
      <c r="AE119" s="5"/>
      <c r="AF119" s="5"/>
      <c r="AG119" s="5"/>
      <c r="AH119" s="5"/>
    </row>
    <row r="120" spans="1:124" ht="15.6" hidden="1" customHeight="1">
      <c r="A120" s="503"/>
      <c r="B120" s="504"/>
      <c r="C120" s="505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07" t="s">
        <v>27</v>
      </c>
      <c r="B121" s="508"/>
      <c r="C121" s="509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07" t="s">
        <v>78</v>
      </c>
      <c r="B122" s="508"/>
      <c r="C122" s="509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07" t="s">
        <v>29</v>
      </c>
      <c r="B123" s="508"/>
      <c r="C123" s="509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07" t="s">
        <v>32</v>
      </c>
      <c r="B124" s="508"/>
      <c r="C124" s="509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07" t="s">
        <v>33</v>
      </c>
      <c r="B125" s="508"/>
      <c r="C125" s="509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07" t="s">
        <v>55</v>
      </c>
      <c r="B126" s="508"/>
      <c r="C126" s="509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07" t="s">
        <v>59</v>
      </c>
      <c r="B127" s="508"/>
      <c r="C127" s="509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07" t="s">
        <v>69</v>
      </c>
      <c r="B128" s="508"/>
      <c r="C128" s="509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496" t="s">
        <v>99</v>
      </c>
      <c r="B129" s="497"/>
      <c r="C129" s="498"/>
      <c r="D129" s="51"/>
      <c r="E129" s="51"/>
      <c r="F129" s="44">
        <f>SUM(F121:F128)</f>
        <v>0</v>
      </c>
      <c r="G129" s="44">
        <f t="shared" ref="G129:AB129" si="37">SUM(G121:G128)</f>
        <v>0</v>
      </c>
      <c r="H129" s="44">
        <f t="shared" si="37"/>
        <v>0</v>
      </c>
      <c r="I129" s="44">
        <f t="shared" si="37"/>
        <v>0</v>
      </c>
      <c r="J129" s="44">
        <f t="shared" si="37"/>
        <v>0</v>
      </c>
      <c r="K129" s="44">
        <f t="shared" si="37"/>
        <v>0</v>
      </c>
      <c r="L129" s="44">
        <f t="shared" si="37"/>
        <v>0</v>
      </c>
      <c r="M129" s="44">
        <f t="shared" si="37"/>
        <v>0</v>
      </c>
      <c r="N129" s="44">
        <f t="shared" si="37"/>
        <v>0</v>
      </c>
      <c r="O129" s="44">
        <f t="shared" si="37"/>
        <v>0</v>
      </c>
      <c r="P129" s="44">
        <f t="shared" si="37"/>
        <v>0</v>
      </c>
      <c r="Q129" s="44">
        <f t="shared" si="37"/>
        <v>0</v>
      </c>
      <c r="R129" s="44">
        <f t="shared" si="37"/>
        <v>0</v>
      </c>
      <c r="S129" s="44">
        <f t="shared" si="37"/>
        <v>0</v>
      </c>
      <c r="T129" s="44">
        <f t="shared" si="37"/>
        <v>0</v>
      </c>
      <c r="U129" s="44">
        <f t="shared" si="37"/>
        <v>0</v>
      </c>
      <c r="V129" s="44">
        <f t="shared" si="37"/>
        <v>0</v>
      </c>
      <c r="W129" s="44">
        <f t="shared" si="37"/>
        <v>0</v>
      </c>
      <c r="X129" s="44">
        <f t="shared" si="37"/>
        <v>0</v>
      </c>
      <c r="Y129" s="44">
        <f t="shared" si="37"/>
        <v>0</v>
      </c>
      <c r="Z129" s="44">
        <f t="shared" si="37"/>
        <v>0</v>
      </c>
      <c r="AA129" s="44">
        <f t="shared" si="37"/>
        <v>0</v>
      </c>
      <c r="AB129" s="44">
        <f t="shared" si="37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128:C128"/>
    <mergeCell ref="A129:C129"/>
    <mergeCell ref="A122:C122"/>
    <mergeCell ref="A123:C123"/>
    <mergeCell ref="A124:C124"/>
    <mergeCell ref="A125:C125"/>
    <mergeCell ref="A126:C126"/>
    <mergeCell ref="A127:C127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G111:AC111">
    <cfRule type="cellIs" dxfId="6091" priority="472" operator="greaterThan">
      <formula>60.3</formula>
    </cfRule>
  </conditionalFormatting>
  <conditionalFormatting sqref="F111">
    <cfRule type="cellIs" dxfId="6090" priority="471" operator="greaterThan">
      <formula>60.3</formula>
    </cfRule>
  </conditionalFormatting>
  <conditionalFormatting sqref="H13:J13 H15:M16 P15:P16 N13:S13 L13 Q14:S16 G36:AC59 T13:AC16 G62:AC64">
    <cfRule type="cellIs" dxfId="6089" priority="463" operator="equal">
      <formula>"PMS"</formula>
    </cfRule>
    <cfRule type="containsText" dxfId="6088" priority="464" operator="containsText" text="CMS">
      <formula>NOT(ISERROR(SEARCH("CMS",G13)))</formula>
    </cfRule>
    <cfRule type="cellIs" dxfId="6087" priority="465" operator="equal">
      <formula>0</formula>
    </cfRule>
    <cfRule type="cellIs" dxfId="6086" priority="466" operator="greaterThan">
      <formula>0</formula>
    </cfRule>
    <cfRule type="cellIs" dxfId="6085" priority="467" operator="equal">
      <formula>"PMS"</formula>
    </cfRule>
    <cfRule type="containsText" dxfId="6084" priority="468" operator="containsText" text="CMS">
      <formula>NOT(ISERROR(SEARCH("CMS",G13)))</formula>
    </cfRule>
    <cfRule type="cellIs" dxfId="6083" priority="469" operator="equal">
      <formula>0</formula>
    </cfRule>
    <cfRule type="cellIs" dxfId="6082" priority="470" operator="greaterThan">
      <formula>0</formula>
    </cfRule>
  </conditionalFormatting>
  <conditionalFormatting sqref="H13:J13 H15:M16 P15:P16 N13:S13 L13 Q14:S16 G36:AC59 T13:AC16 G62:AC64">
    <cfRule type="cellIs" dxfId="6081" priority="459" operator="equal">
      <formula>"PMS"</formula>
    </cfRule>
    <cfRule type="containsText" dxfId="6080" priority="460" operator="containsText" text="CMS">
      <formula>NOT(ISERROR(SEARCH("CMS",G13)))</formula>
    </cfRule>
    <cfRule type="cellIs" dxfId="6079" priority="461" operator="equal">
      <formula>0</formula>
    </cfRule>
    <cfRule type="cellIs" dxfId="6078" priority="462" operator="greaterThan">
      <formula>0</formula>
    </cfRule>
  </conditionalFormatting>
  <conditionalFormatting sqref="G20:S20 G21:N21 P21:S21 U19:AC21 T20:T21 G19:Q19">
    <cfRule type="cellIs" dxfId="6077" priority="451" operator="equal">
      <formula>"PMS"</formula>
    </cfRule>
    <cfRule type="containsText" dxfId="6076" priority="452" operator="containsText" text="CMS">
      <formula>NOT(ISERROR(SEARCH("CMS",G19)))</formula>
    </cfRule>
    <cfRule type="cellIs" dxfId="6075" priority="453" operator="equal">
      <formula>0</formula>
    </cfRule>
    <cfRule type="cellIs" dxfId="6074" priority="454" operator="greaterThan">
      <formula>0</formula>
    </cfRule>
    <cfRule type="cellIs" dxfId="6073" priority="455" operator="equal">
      <formula>"PMS"</formula>
    </cfRule>
    <cfRule type="containsText" dxfId="6072" priority="456" operator="containsText" text="CMS">
      <formula>NOT(ISERROR(SEARCH("CMS",G19)))</formula>
    </cfRule>
    <cfRule type="cellIs" dxfId="6071" priority="457" operator="equal">
      <formula>0</formula>
    </cfRule>
    <cfRule type="cellIs" dxfId="6070" priority="458" operator="greaterThan">
      <formula>0</formula>
    </cfRule>
  </conditionalFormatting>
  <conditionalFormatting sqref="G20:S20 G21:N21 P21:S21 U19:AC21 T20:T21 G19:Q19">
    <cfRule type="cellIs" dxfId="6069" priority="447" operator="equal">
      <formula>"PMS"</formula>
    </cfRule>
    <cfRule type="containsText" dxfId="6068" priority="448" operator="containsText" text="CMS">
      <formula>NOT(ISERROR(SEARCH("CMS",G19)))</formula>
    </cfRule>
    <cfRule type="cellIs" dxfId="6067" priority="449" operator="equal">
      <formula>0</formula>
    </cfRule>
    <cfRule type="cellIs" dxfId="6066" priority="450" operator="greaterThan">
      <formula>0</formula>
    </cfRule>
  </conditionalFormatting>
  <conditionalFormatting sqref="V24:AC24 G24:M24 O24:T24">
    <cfRule type="cellIs" dxfId="6065" priority="439" operator="equal">
      <formula>"PMS"</formula>
    </cfRule>
    <cfRule type="containsText" dxfId="6064" priority="440" operator="containsText" text="CMS">
      <formula>NOT(ISERROR(SEARCH("CMS",G24)))</formula>
    </cfRule>
    <cfRule type="cellIs" dxfId="6063" priority="441" operator="equal">
      <formula>0</formula>
    </cfRule>
    <cfRule type="cellIs" dxfId="6062" priority="442" operator="greaterThan">
      <formula>0</formula>
    </cfRule>
    <cfRule type="cellIs" dxfId="6061" priority="443" operator="equal">
      <formula>"PMS"</formula>
    </cfRule>
    <cfRule type="containsText" dxfId="6060" priority="444" operator="containsText" text="CMS">
      <formula>NOT(ISERROR(SEARCH("CMS",G24)))</formula>
    </cfRule>
    <cfRule type="cellIs" dxfId="6059" priority="445" operator="equal">
      <formula>0</formula>
    </cfRule>
    <cfRule type="cellIs" dxfId="6058" priority="446" operator="greaterThan">
      <formula>0</formula>
    </cfRule>
  </conditionalFormatting>
  <conditionalFormatting sqref="V24:AC24 G24:M24 O24:T24">
    <cfRule type="cellIs" dxfId="6057" priority="435" operator="equal">
      <formula>"PMS"</formula>
    </cfRule>
    <cfRule type="containsText" dxfId="6056" priority="436" operator="containsText" text="CMS">
      <formula>NOT(ISERROR(SEARCH("CMS",G24)))</formula>
    </cfRule>
    <cfRule type="cellIs" dxfId="6055" priority="437" operator="equal">
      <formula>0</formula>
    </cfRule>
    <cfRule type="cellIs" dxfId="6054" priority="438" operator="greaterThan">
      <formula>0</formula>
    </cfRule>
  </conditionalFormatting>
  <conditionalFormatting sqref="G27:AC27 H28:AC28 G29:AC30">
    <cfRule type="cellIs" dxfId="6053" priority="427" operator="equal">
      <formula>"PMS"</formula>
    </cfRule>
    <cfRule type="containsText" dxfId="6052" priority="428" operator="containsText" text="CMS">
      <formula>NOT(ISERROR(SEARCH("CMS",G27)))</formula>
    </cfRule>
    <cfRule type="cellIs" dxfId="6051" priority="429" operator="equal">
      <formula>0</formula>
    </cfRule>
    <cfRule type="cellIs" dxfId="6050" priority="430" operator="greaterThan">
      <formula>0</formula>
    </cfRule>
    <cfRule type="cellIs" dxfId="6049" priority="431" operator="equal">
      <formula>"PMS"</formula>
    </cfRule>
    <cfRule type="containsText" dxfId="6048" priority="432" operator="containsText" text="CMS">
      <formula>NOT(ISERROR(SEARCH("CMS",G27)))</formula>
    </cfRule>
    <cfRule type="cellIs" dxfId="6047" priority="433" operator="equal">
      <formula>0</formula>
    </cfRule>
    <cfRule type="cellIs" dxfId="6046" priority="434" operator="greaterThan">
      <formula>0</formula>
    </cfRule>
  </conditionalFormatting>
  <conditionalFormatting sqref="G27:AC27 H28:AC28 G29:AC30">
    <cfRule type="cellIs" dxfId="6045" priority="423" operator="equal">
      <formula>"PMS"</formula>
    </cfRule>
    <cfRule type="containsText" dxfId="6044" priority="424" operator="containsText" text="CMS">
      <formula>NOT(ISERROR(SEARCH("CMS",G27)))</formula>
    </cfRule>
    <cfRule type="cellIs" dxfId="6043" priority="425" operator="equal">
      <formula>0</formula>
    </cfRule>
    <cfRule type="cellIs" dxfId="6042" priority="426" operator="greaterThan">
      <formula>0</formula>
    </cfRule>
  </conditionalFormatting>
  <conditionalFormatting sqref="G33:AC33">
    <cfRule type="cellIs" dxfId="6041" priority="415" operator="equal">
      <formula>"PMS"</formula>
    </cfRule>
    <cfRule type="containsText" dxfId="6040" priority="416" operator="containsText" text="CMS">
      <formula>NOT(ISERROR(SEARCH("CMS",G33)))</formula>
    </cfRule>
    <cfRule type="cellIs" dxfId="6039" priority="417" operator="equal">
      <formula>0</formula>
    </cfRule>
    <cfRule type="cellIs" dxfId="6038" priority="418" operator="greaterThan">
      <formula>0</formula>
    </cfRule>
    <cfRule type="cellIs" dxfId="6037" priority="419" operator="equal">
      <formula>"PMS"</formula>
    </cfRule>
    <cfRule type="containsText" dxfId="6036" priority="420" operator="containsText" text="CMS">
      <formula>NOT(ISERROR(SEARCH("CMS",G33)))</formula>
    </cfRule>
    <cfRule type="cellIs" dxfId="6035" priority="421" operator="equal">
      <formula>0</formula>
    </cfRule>
    <cfRule type="cellIs" dxfId="6034" priority="422" operator="greaterThan">
      <formula>0</formula>
    </cfRule>
  </conditionalFormatting>
  <conditionalFormatting sqref="G33:AC33">
    <cfRule type="cellIs" dxfId="6033" priority="411" operator="equal">
      <formula>"PMS"</formula>
    </cfRule>
    <cfRule type="containsText" dxfId="6032" priority="412" operator="containsText" text="CMS">
      <formula>NOT(ISERROR(SEARCH("CMS",G33)))</formula>
    </cfRule>
    <cfRule type="cellIs" dxfId="6031" priority="413" operator="equal">
      <formula>0</formula>
    </cfRule>
    <cfRule type="cellIs" dxfId="6030" priority="414" operator="greaterThan">
      <formula>0</formula>
    </cfRule>
  </conditionalFormatting>
  <conditionalFormatting sqref="G67:AC75 G78:Q79 S78:AC79">
    <cfRule type="cellIs" dxfId="6029" priority="403" operator="equal">
      <formula>"PMS"</formula>
    </cfRule>
    <cfRule type="containsText" dxfId="6028" priority="404" operator="containsText" text="CMS">
      <formula>NOT(ISERROR(SEARCH("CMS",G67)))</formula>
    </cfRule>
    <cfRule type="cellIs" dxfId="6027" priority="405" operator="equal">
      <formula>0</formula>
    </cfRule>
    <cfRule type="cellIs" dxfId="6026" priority="406" operator="greaterThan">
      <formula>0</formula>
    </cfRule>
    <cfRule type="cellIs" dxfId="6025" priority="407" operator="equal">
      <formula>"PMS"</formula>
    </cfRule>
    <cfRule type="containsText" dxfId="6024" priority="408" operator="containsText" text="CMS">
      <formula>NOT(ISERROR(SEARCH("CMS",G67)))</formula>
    </cfRule>
    <cfRule type="cellIs" dxfId="6023" priority="409" operator="equal">
      <formula>0</formula>
    </cfRule>
    <cfRule type="cellIs" dxfId="6022" priority="410" operator="greaterThan">
      <formula>0</formula>
    </cfRule>
  </conditionalFormatting>
  <conditionalFormatting sqref="G67:AC75 G78:Q79 S78:AC79">
    <cfRule type="cellIs" dxfId="6021" priority="399" operator="equal">
      <formula>"PMS"</formula>
    </cfRule>
    <cfRule type="containsText" dxfId="6020" priority="400" operator="containsText" text="CMS">
      <formula>NOT(ISERROR(SEARCH("CMS",G67)))</formula>
    </cfRule>
    <cfRule type="cellIs" dxfId="6019" priority="401" operator="equal">
      <formula>0</formula>
    </cfRule>
    <cfRule type="cellIs" dxfId="6018" priority="402" operator="greaterThan">
      <formula>0</formula>
    </cfRule>
  </conditionalFormatting>
  <conditionalFormatting sqref="G82:AC82">
    <cfRule type="cellIs" dxfId="6017" priority="391" operator="equal">
      <formula>"PMS"</formula>
    </cfRule>
    <cfRule type="containsText" dxfId="6016" priority="392" operator="containsText" text="CMS">
      <formula>NOT(ISERROR(SEARCH("CMS",G82)))</formula>
    </cfRule>
    <cfRule type="cellIs" dxfId="6015" priority="393" operator="equal">
      <formula>0</formula>
    </cfRule>
    <cfRule type="cellIs" dxfId="6014" priority="394" operator="greaterThan">
      <formula>0</formula>
    </cfRule>
    <cfRule type="cellIs" dxfId="6013" priority="395" operator="equal">
      <formula>"PMS"</formula>
    </cfRule>
    <cfRule type="containsText" dxfId="6012" priority="396" operator="containsText" text="CMS">
      <formula>NOT(ISERROR(SEARCH("CMS",G82)))</formula>
    </cfRule>
    <cfRule type="cellIs" dxfId="6011" priority="397" operator="equal">
      <formula>0</formula>
    </cfRule>
    <cfRule type="cellIs" dxfId="6010" priority="398" operator="greaterThan">
      <formula>0</formula>
    </cfRule>
  </conditionalFormatting>
  <conditionalFormatting sqref="G82:AC82">
    <cfRule type="cellIs" dxfId="6009" priority="387" operator="equal">
      <formula>"PMS"</formula>
    </cfRule>
    <cfRule type="containsText" dxfId="6008" priority="388" operator="containsText" text="CMS">
      <formula>NOT(ISERROR(SEARCH("CMS",G82)))</formula>
    </cfRule>
    <cfRule type="cellIs" dxfId="6007" priority="389" operator="equal">
      <formula>0</formula>
    </cfRule>
    <cfRule type="cellIs" dxfId="6006" priority="390" operator="greaterThan">
      <formula>0</formula>
    </cfRule>
  </conditionalFormatting>
  <conditionalFormatting sqref="N24">
    <cfRule type="cellIs" dxfId="6005" priority="379" operator="equal">
      <formula>"PMS"</formula>
    </cfRule>
    <cfRule type="containsText" dxfId="6004" priority="380" operator="containsText" text="CMS">
      <formula>NOT(ISERROR(SEARCH("CMS",N24)))</formula>
    </cfRule>
    <cfRule type="cellIs" dxfId="6003" priority="381" operator="equal">
      <formula>0</formula>
    </cfRule>
    <cfRule type="cellIs" dxfId="6002" priority="382" operator="greaterThan">
      <formula>0</formula>
    </cfRule>
    <cfRule type="cellIs" dxfId="6001" priority="383" operator="equal">
      <formula>"PMS"</formula>
    </cfRule>
    <cfRule type="containsText" dxfId="6000" priority="384" operator="containsText" text="CMS">
      <formula>NOT(ISERROR(SEARCH("CMS",N24)))</formula>
    </cfRule>
    <cfRule type="cellIs" dxfId="5999" priority="385" operator="equal">
      <formula>0</formula>
    </cfRule>
    <cfRule type="cellIs" dxfId="5998" priority="386" operator="greaterThan">
      <formula>0</formula>
    </cfRule>
  </conditionalFormatting>
  <conditionalFormatting sqref="N24">
    <cfRule type="cellIs" dxfId="5997" priority="375" operator="equal">
      <formula>"PMS"</formula>
    </cfRule>
    <cfRule type="containsText" dxfId="5996" priority="376" operator="containsText" text="CMS">
      <formula>NOT(ISERROR(SEARCH("CMS",N24)))</formula>
    </cfRule>
    <cfRule type="cellIs" dxfId="5995" priority="377" operator="equal">
      <formula>0</formula>
    </cfRule>
    <cfRule type="cellIs" dxfId="5994" priority="378" operator="greaterThan">
      <formula>0</formula>
    </cfRule>
  </conditionalFormatting>
  <conditionalFormatting sqref="U24">
    <cfRule type="cellIs" dxfId="5993" priority="367" operator="equal">
      <formula>"PMS"</formula>
    </cfRule>
    <cfRule type="containsText" dxfId="5992" priority="368" operator="containsText" text="CMS">
      <formula>NOT(ISERROR(SEARCH("CMS",U24)))</formula>
    </cfRule>
    <cfRule type="cellIs" dxfId="5991" priority="369" operator="equal">
      <formula>0</formula>
    </cfRule>
    <cfRule type="cellIs" dxfId="5990" priority="370" operator="greaterThan">
      <formula>0</formula>
    </cfRule>
    <cfRule type="cellIs" dxfId="5989" priority="371" operator="equal">
      <formula>"PMS"</formula>
    </cfRule>
    <cfRule type="containsText" dxfId="5988" priority="372" operator="containsText" text="CMS">
      <formula>NOT(ISERROR(SEARCH("CMS",U24)))</formula>
    </cfRule>
    <cfRule type="cellIs" dxfId="5987" priority="373" operator="equal">
      <formula>0</formula>
    </cfRule>
    <cfRule type="cellIs" dxfId="5986" priority="374" operator="greaterThan">
      <formula>0</formula>
    </cfRule>
  </conditionalFormatting>
  <conditionalFormatting sqref="U24">
    <cfRule type="cellIs" dxfId="5985" priority="363" operator="equal">
      <formula>"PMS"</formula>
    </cfRule>
    <cfRule type="containsText" dxfId="5984" priority="364" operator="containsText" text="CMS">
      <formula>NOT(ISERROR(SEARCH("CMS",U24)))</formula>
    </cfRule>
    <cfRule type="cellIs" dxfId="5983" priority="365" operator="equal">
      <formula>0</formula>
    </cfRule>
    <cfRule type="cellIs" dxfId="5982" priority="366" operator="greaterThan">
      <formula>0</formula>
    </cfRule>
  </conditionalFormatting>
  <conditionalFormatting sqref="H14:P14">
    <cfRule type="cellIs" dxfId="5981" priority="355" operator="equal">
      <formula>"PMS"</formula>
    </cfRule>
    <cfRule type="containsText" dxfId="5980" priority="356" operator="containsText" text="CMS">
      <formula>NOT(ISERROR(SEARCH("CMS",H14)))</formula>
    </cfRule>
    <cfRule type="cellIs" dxfId="5979" priority="357" operator="equal">
      <formula>0</formula>
    </cfRule>
    <cfRule type="cellIs" dxfId="5978" priority="358" operator="greaterThan">
      <formula>0</formula>
    </cfRule>
    <cfRule type="cellIs" dxfId="5977" priority="359" operator="equal">
      <formula>"PMS"</formula>
    </cfRule>
    <cfRule type="containsText" dxfId="5976" priority="360" operator="containsText" text="CMS">
      <formula>NOT(ISERROR(SEARCH("CMS",H14)))</formula>
    </cfRule>
    <cfRule type="cellIs" dxfId="5975" priority="361" operator="equal">
      <formula>0</formula>
    </cfRule>
    <cfRule type="cellIs" dxfId="5974" priority="362" operator="greaterThan">
      <formula>0</formula>
    </cfRule>
  </conditionalFormatting>
  <conditionalFormatting sqref="H14:P14">
    <cfRule type="cellIs" dxfId="5973" priority="351" operator="equal">
      <formula>"PMS"</formula>
    </cfRule>
    <cfRule type="containsText" dxfId="5972" priority="352" operator="containsText" text="CMS">
      <formula>NOT(ISERROR(SEARCH("CMS",H14)))</formula>
    </cfRule>
    <cfRule type="cellIs" dxfId="5971" priority="353" operator="equal">
      <formula>0</formula>
    </cfRule>
    <cfRule type="cellIs" dxfId="5970" priority="354" operator="greaterThan">
      <formula>0</formula>
    </cfRule>
  </conditionalFormatting>
  <conditionalFormatting sqref="F82">
    <cfRule type="cellIs" dxfId="5969" priority="343" operator="equal">
      <formula>"PMS"</formula>
    </cfRule>
    <cfRule type="containsText" dxfId="5968" priority="344" operator="containsText" text="CMS">
      <formula>NOT(ISERROR(SEARCH("CMS",F82)))</formula>
    </cfRule>
    <cfRule type="cellIs" dxfId="5967" priority="345" operator="equal">
      <formula>0</formula>
    </cfRule>
    <cfRule type="cellIs" dxfId="5966" priority="346" operator="greaterThan">
      <formula>0</formula>
    </cfRule>
    <cfRule type="cellIs" dxfId="5965" priority="347" operator="equal">
      <formula>"PMS"</formula>
    </cfRule>
    <cfRule type="containsText" dxfId="5964" priority="348" operator="containsText" text="CMS">
      <formula>NOT(ISERROR(SEARCH("CMS",F82)))</formula>
    </cfRule>
    <cfRule type="cellIs" dxfId="5963" priority="349" operator="equal">
      <formula>0</formula>
    </cfRule>
    <cfRule type="cellIs" dxfId="5962" priority="350" operator="greaterThan">
      <formula>0</formula>
    </cfRule>
  </conditionalFormatting>
  <conditionalFormatting sqref="F82">
    <cfRule type="cellIs" dxfId="5961" priority="339" operator="equal">
      <formula>"PMS"</formula>
    </cfRule>
    <cfRule type="containsText" dxfId="5960" priority="340" operator="containsText" text="CMS">
      <formula>NOT(ISERROR(SEARCH("CMS",F82)))</formula>
    </cfRule>
    <cfRule type="cellIs" dxfId="5959" priority="341" operator="equal">
      <formula>0</formula>
    </cfRule>
    <cfRule type="cellIs" dxfId="5958" priority="342" operator="greaterThan">
      <formula>0</formula>
    </cfRule>
  </conditionalFormatting>
  <conditionalFormatting sqref="R19:T19">
    <cfRule type="cellIs" dxfId="5957" priority="331" operator="equal">
      <formula>"PMS"</formula>
    </cfRule>
    <cfRule type="containsText" dxfId="5956" priority="332" operator="containsText" text="CMS">
      <formula>NOT(ISERROR(SEARCH("CMS",R19)))</formula>
    </cfRule>
    <cfRule type="cellIs" dxfId="5955" priority="333" operator="equal">
      <formula>0</formula>
    </cfRule>
    <cfRule type="cellIs" dxfId="5954" priority="334" operator="greaterThan">
      <formula>0</formula>
    </cfRule>
    <cfRule type="cellIs" dxfId="5953" priority="335" operator="equal">
      <formula>"PMS"</formula>
    </cfRule>
    <cfRule type="containsText" dxfId="5952" priority="336" operator="containsText" text="CMS">
      <formula>NOT(ISERROR(SEARCH("CMS",R19)))</formula>
    </cfRule>
    <cfRule type="cellIs" dxfId="5951" priority="337" operator="equal">
      <formula>0</formula>
    </cfRule>
    <cfRule type="cellIs" dxfId="5950" priority="338" operator="greaterThan">
      <formula>0</formula>
    </cfRule>
  </conditionalFormatting>
  <conditionalFormatting sqref="R19:T19">
    <cfRule type="cellIs" dxfId="5949" priority="327" operator="equal">
      <formula>"PMS"</formula>
    </cfRule>
    <cfRule type="containsText" dxfId="5948" priority="328" operator="containsText" text="CMS">
      <formula>NOT(ISERROR(SEARCH("CMS",R19)))</formula>
    </cfRule>
    <cfRule type="cellIs" dxfId="5947" priority="329" operator="equal">
      <formula>0</formula>
    </cfRule>
    <cfRule type="cellIs" dxfId="5946" priority="330" operator="greaterThan">
      <formula>0</formula>
    </cfRule>
  </conditionalFormatting>
  <conditionalFormatting sqref="G13:G16">
    <cfRule type="cellIs" dxfId="5945" priority="319" operator="equal">
      <formula>"PMS"</formula>
    </cfRule>
    <cfRule type="containsText" dxfId="5944" priority="320" operator="containsText" text="CMS">
      <formula>NOT(ISERROR(SEARCH("CMS",G13)))</formula>
    </cfRule>
    <cfRule type="cellIs" dxfId="5943" priority="321" operator="equal">
      <formula>0</formula>
    </cfRule>
    <cfRule type="cellIs" dxfId="5942" priority="322" operator="greaterThan">
      <formula>0</formula>
    </cfRule>
    <cfRule type="cellIs" dxfId="5941" priority="323" operator="equal">
      <formula>"PMS"</formula>
    </cfRule>
    <cfRule type="containsText" dxfId="5940" priority="324" operator="containsText" text="CMS">
      <formula>NOT(ISERROR(SEARCH("CMS",G13)))</formula>
    </cfRule>
    <cfRule type="cellIs" dxfId="5939" priority="325" operator="equal">
      <formula>0</formula>
    </cfRule>
    <cfRule type="cellIs" dxfId="5938" priority="326" operator="greaterThan">
      <formula>0</formula>
    </cfRule>
  </conditionalFormatting>
  <conditionalFormatting sqref="G13:G16">
    <cfRule type="cellIs" dxfId="5937" priority="315" operator="equal">
      <formula>"PMS"</formula>
    </cfRule>
    <cfRule type="containsText" dxfId="5936" priority="316" operator="containsText" text="CMS">
      <formula>NOT(ISERROR(SEARCH("CMS",G13)))</formula>
    </cfRule>
    <cfRule type="cellIs" dxfId="5935" priority="317" operator="equal">
      <formula>0</formula>
    </cfRule>
    <cfRule type="cellIs" dxfId="5934" priority="318" operator="greaterThan">
      <formula>0</formula>
    </cfRule>
  </conditionalFormatting>
  <conditionalFormatting sqref="M13">
    <cfRule type="cellIs" dxfId="5933" priority="307" operator="equal">
      <formula>"PMS"</formula>
    </cfRule>
    <cfRule type="containsText" dxfId="5932" priority="308" operator="containsText" text="CMS">
      <formula>NOT(ISERROR(SEARCH("CMS",M13)))</formula>
    </cfRule>
    <cfRule type="cellIs" dxfId="5931" priority="309" operator="equal">
      <formula>0</formula>
    </cfRule>
    <cfRule type="cellIs" dxfId="5930" priority="310" operator="greaterThan">
      <formula>0</formula>
    </cfRule>
    <cfRule type="cellIs" dxfId="5929" priority="311" operator="equal">
      <formula>"PMS"</formula>
    </cfRule>
    <cfRule type="containsText" dxfId="5928" priority="312" operator="containsText" text="CMS">
      <formula>NOT(ISERROR(SEARCH("CMS",M13)))</formula>
    </cfRule>
    <cfRule type="cellIs" dxfId="5927" priority="313" operator="equal">
      <formula>0</formula>
    </cfRule>
    <cfRule type="cellIs" dxfId="5926" priority="314" operator="greaterThan">
      <formula>0</formula>
    </cfRule>
  </conditionalFormatting>
  <conditionalFormatting sqref="M13">
    <cfRule type="cellIs" dxfId="5925" priority="303" operator="equal">
      <formula>"PMS"</formula>
    </cfRule>
    <cfRule type="containsText" dxfId="5924" priority="304" operator="containsText" text="CMS">
      <formula>NOT(ISERROR(SEARCH("CMS",M13)))</formula>
    </cfRule>
    <cfRule type="cellIs" dxfId="5923" priority="305" operator="equal">
      <formula>0</formula>
    </cfRule>
    <cfRule type="cellIs" dxfId="5922" priority="306" operator="greaterThan">
      <formula>0</formula>
    </cfRule>
  </conditionalFormatting>
  <conditionalFormatting sqref="R78:R79">
    <cfRule type="cellIs" dxfId="5921" priority="295" operator="equal">
      <formula>"PMS"</formula>
    </cfRule>
    <cfRule type="containsText" dxfId="5920" priority="296" operator="containsText" text="CMS">
      <formula>NOT(ISERROR(SEARCH("CMS",R78)))</formula>
    </cfRule>
    <cfRule type="cellIs" dxfId="5919" priority="297" operator="equal">
      <formula>0</formula>
    </cfRule>
    <cfRule type="cellIs" dxfId="5918" priority="298" operator="greaterThan">
      <formula>0</formula>
    </cfRule>
    <cfRule type="cellIs" dxfId="5917" priority="299" operator="equal">
      <formula>"PMS"</formula>
    </cfRule>
    <cfRule type="containsText" dxfId="5916" priority="300" operator="containsText" text="CMS">
      <formula>NOT(ISERROR(SEARCH("CMS",R78)))</formula>
    </cfRule>
    <cfRule type="cellIs" dxfId="5915" priority="301" operator="equal">
      <formula>0</formula>
    </cfRule>
    <cfRule type="cellIs" dxfId="5914" priority="302" operator="greaterThan">
      <formula>0</formula>
    </cfRule>
  </conditionalFormatting>
  <conditionalFormatting sqref="R78:R79">
    <cfRule type="cellIs" dxfId="5913" priority="291" operator="equal">
      <formula>"PMS"</formula>
    </cfRule>
    <cfRule type="containsText" dxfId="5912" priority="292" operator="containsText" text="CMS">
      <formula>NOT(ISERROR(SEARCH("CMS",R78)))</formula>
    </cfRule>
    <cfRule type="cellIs" dxfId="5911" priority="293" operator="equal">
      <formula>0</formula>
    </cfRule>
    <cfRule type="cellIs" dxfId="5910" priority="294" operator="greaterThan">
      <formula>0</formula>
    </cfRule>
  </conditionalFormatting>
  <conditionalFormatting sqref="O15">
    <cfRule type="cellIs" dxfId="5909" priority="283" operator="equal">
      <formula>"PMS"</formula>
    </cfRule>
    <cfRule type="containsText" dxfId="5908" priority="284" operator="containsText" text="CMS">
      <formula>NOT(ISERROR(SEARCH("CMS",O15)))</formula>
    </cfRule>
    <cfRule type="cellIs" dxfId="5907" priority="285" operator="equal">
      <formula>0</formula>
    </cfRule>
    <cfRule type="cellIs" dxfId="5906" priority="286" operator="greaterThan">
      <formula>0</formula>
    </cfRule>
    <cfRule type="cellIs" dxfId="5905" priority="287" operator="equal">
      <formula>"PMS"</formula>
    </cfRule>
    <cfRule type="containsText" dxfId="5904" priority="288" operator="containsText" text="CMS">
      <formula>NOT(ISERROR(SEARCH("CMS",O15)))</formula>
    </cfRule>
    <cfRule type="cellIs" dxfId="5903" priority="289" operator="equal">
      <formula>0</formula>
    </cfRule>
    <cfRule type="cellIs" dxfId="5902" priority="290" operator="greaterThan">
      <formula>0</formula>
    </cfRule>
  </conditionalFormatting>
  <conditionalFormatting sqref="O15">
    <cfRule type="cellIs" dxfId="5901" priority="279" operator="equal">
      <formula>"PMS"</formula>
    </cfRule>
    <cfRule type="containsText" dxfId="5900" priority="280" operator="containsText" text="CMS">
      <formula>NOT(ISERROR(SEARCH("CMS",O15)))</formula>
    </cfRule>
    <cfRule type="cellIs" dxfId="5899" priority="281" operator="equal">
      <formula>0</formula>
    </cfRule>
    <cfRule type="cellIs" dxfId="5898" priority="282" operator="greaterThan">
      <formula>0</formula>
    </cfRule>
  </conditionalFormatting>
  <conditionalFormatting sqref="O16">
    <cfRule type="cellIs" dxfId="5897" priority="271" operator="equal">
      <formula>"PMS"</formula>
    </cfRule>
    <cfRule type="containsText" dxfId="5896" priority="272" operator="containsText" text="CMS">
      <formula>NOT(ISERROR(SEARCH("CMS",O16)))</formula>
    </cfRule>
    <cfRule type="cellIs" dxfId="5895" priority="273" operator="equal">
      <formula>0</formula>
    </cfRule>
    <cfRule type="cellIs" dxfId="5894" priority="274" operator="greaterThan">
      <formula>0</formula>
    </cfRule>
    <cfRule type="cellIs" dxfId="5893" priority="275" operator="equal">
      <formula>"PMS"</formula>
    </cfRule>
    <cfRule type="containsText" dxfId="5892" priority="276" operator="containsText" text="CMS">
      <formula>NOT(ISERROR(SEARCH("CMS",O16)))</formula>
    </cfRule>
    <cfRule type="cellIs" dxfId="5891" priority="277" operator="equal">
      <formula>0</formula>
    </cfRule>
    <cfRule type="cellIs" dxfId="5890" priority="278" operator="greaterThan">
      <formula>0</formula>
    </cfRule>
  </conditionalFormatting>
  <conditionalFormatting sqref="O16">
    <cfRule type="cellIs" dxfId="5889" priority="267" operator="equal">
      <formula>"PMS"</formula>
    </cfRule>
    <cfRule type="containsText" dxfId="5888" priority="268" operator="containsText" text="CMS">
      <formula>NOT(ISERROR(SEARCH("CMS",O16)))</formula>
    </cfRule>
    <cfRule type="cellIs" dxfId="5887" priority="269" operator="equal">
      <formula>0</formula>
    </cfRule>
    <cfRule type="cellIs" dxfId="5886" priority="270" operator="greaterThan">
      <formula>0</formula>
    </cfRule>
  </conditionalFormatting>
  <conditionalFormatting sqref="N15">
    <cfRule type="cellIs" dxfId="5885" priority="259" operator="equal">
      <formula>"PMS"</formula>
    </cfRule>
    <cfRule type="containsText" dxfId="5884" priority="260" operator="containsText" text="CMS">
      <formula>NOT(ISERROR(SEARCH("CMS",N15)))</formula>
    </cfRule>
    <cfRule type="cellIs" dxfId="5883" priority="261" operator="equal">
      <formula>0</formula>
    </cfRule>
    <cfRule type="cellIs" dxfId="5882" priority="262" operator="greaterThan">
      <formula>0</formula>
    </cfRule>
    <cfRule type="cellIs" dxfId="5881" priority="263" operator="equal">
      <formula>"PMS"</formula>
    </cfRule>
    <cfRule type="containsText" dxfId="5880" priority="264" operator="containsText" text="CMS">
      <formula>NOT(ISERROR(SEARCH("CMS",N15)))</formula>
    </cfRule>
    <cfRule type="cellIs" dxfId="5879" priority="265" operator="equal">
      <formula>0</formula>
    </cfRule>
    <cfRule type="cellIs" dxfId="5878" priority="266" operator="greaterThan">
      <formula>0</formula>
    </cfRule>
  </conditionalFormatting>
  <conditionalFormatting sqref="N15">
    <cfRule type="cellIs" dxfId="5877" priority="255" operator="equal">
      <formula>"PMS"</formula>
    </cfRule>
    <cfRule type="containsText" dxfId="5876" priority="256" operator="containsText" text="CMS">
      <formula>NOT(ISERROR(SEARCH("CMS",N15)))</formula>
    </cfRule>
    <cfRule type="cellIs" dxfId="5875" priority="257" operator="equal">
      <formula>0</formula>
    </cfRule>
    <cfRule type="cellIs" dxfId="5874" priority="258" operator="greaterThan">
      <formula>0</formula>
    </cfRule>
  </conditionalFormatting>
  <conditionalFormatting sqref="N16">
    <cfRule type="cellIs" dxfId="5873" priority="247" operator="equal">
      <formula>"PMS"</formula>
    </cfRule>
    <cfRule type="containsText" dxfId="5872" priority="248" operator="containsText" text="CMS">
      <formula>NOT(ISERROR(SEARCH("CMS",N16)))</formula>
    </cfRule>
    <cfRule type="cellIs" dxfId="5871" priority="249" operator="equal">
      <formula>0</formula>
    </cfRule>
    <cfRule type="cellIs" dxfId="5870" priority="250" operator="greaterThan">
      <formula>0</formula>
    </cfRule>
    <cfRule type="cellIs" dxfId="5869" priority="251" operator="equal">
      <formula>"PMS"</formula>
    </cfRule>
    <cfRule type="containsText" dxfId="5868" priority="252" operator="containsText" text="CMS">
      <formula>NOT(ISERROR(SEARCH("CMS",N16)))</formula>
    </cfRule>
    <cfRule type="cellIs" dxfId="5867" priority="253" operator="equal">
      <formula>0</formula>
    </cfRule>
    <cfRule type="cellIs" dxfId="5866" priority="254" operator="greaterThan">
      <formula>0</formula>
    </cfRule>
  </conditionalFormatting>
  <conditionalFormatting sqref="N16">
    <cfRule type="cellIs" dxfId="5865" priority="243" operator="equal">
      <formula>"PMS"</formula>
    </cfRule>
    <cfRule type="containsText" dxfId="5864" priority="244" operator="containsText" text="CMS">
      <formula>NOT(ISERROR(SEARCH("CMS",N16)))</formula>
    </cfRule>
    <cfRule type="cellIs" dxfId="5863" priority="245" operator="equal">
      <formula>0</formula>
    </cfRule>
    <cfRule type="cellIs" dxfId="5862" priority="246" operator="greaterThan">
      <formula>0</formula>
    </cfRule>
  </conditionalFormatting>
  <conditionalFormatting sqref="O21">
    <cfRule type="cellIs" dxfId="5861" priority="235" operator="equal">
      <formula>"PMS"</formula>
    </cfRule>
    <cfRule type="containsText" dxfId="5860" priority="236" operator="containsText" text="CMS">
      <formula>NOT(ISERROR(SEARCH("CMS",O21)))</formula>
    </cfRule>
    <cfRule type="cellIs" dxfId="5859" priority="237" operator="equal">
      <formula>0</formula>
    </cfRule>
    <cfRule type="cellIs" dxfId="5858" priority="238" operator="greaterThan">
      <formula>0</formula>
    </cfRule>
    <cfRule type="cellIs" dxfId="5857" priority="239" operator="equal">
      <formula>"PMS"</formula>
    </cfRule>
    <cfRule type="containsText" dxfId="5856" priority="240" operator="containsText" text="CMS">
      <formula>NOT(ISERROR(SEARCH("CMS",O21)))</formula>
    </cfRule>
    <cfRule type="cellIs" dxfId="5855" priority="241" operator="equal">
      <formula>0</formula>
    </cfRule>
    <cfRule type="cellIs" dxfId="5854" priority="242" operator="greaterThan">
      <formula>0</formula>
    </cfRule>
  </conditionalFormatting>
  <conditionalFormatting sqref="O21">
    <cfRule type="cellIs" dxfId="5853" priority="231" operator="equal">
      <formula>"PMS"</formula>
    </cfRule>
    <cfRule type="containsText" dxfId="5852" priority="232" operator="containsText" text="CMS">
      <formula>NOT(ISERROR(SEARCH("CMS",O21)))</formula>
    </cfRule>
    <cfRule type="cellIs" dxfId="5851" priority="233" operator="equal">
      <formula>0</formula>
    </cfRule>
    <cfRule type="cellIs" dxfId="5850" priority="234" operator="greaterThan">
      <formula>0</formula>
    </cfRule>
  </conditionalFormatting>
  <conditionalFormatting sqref="G28">
    <cfRule type="cellIs" dxfId="5849" priority="223" operator="equal">
      <formula>"PMS"</formula>
    </cfRule>
    <cfRule type="containsText" dxfId="5848" priority="224" operator="containsText" text="CMS">
      <formula>NOT(ISERROR(SEARCH("CMS",G28)))</formula>
    </cfRule>
    <cfRule type="cellIs" dxfId="5847" priority="225" operator="equal">
      <formula>0</formula>
    </cfRule>
    <cfRule type="cellIs" dxfId="5846" priority="226" operator="greaterThan">
      <formula>0</formula>
    </cfRule>
    <cfRule type="cellIs" dxfId="5845" priority="227" operator="equal">
      <formula>"PMS"</formula>
    </cfRule>
    <cfRule type="containsText" dxfId="5844" priority="228" operator="containsText" text="CMS">
      <formula>NOT(ISERROR(SEARCH("CMS",G28)))</formula>
    </cfRule>
    <cfRule type="cellIs" dxfId="5843" priority="229" operator="equal">
      <formula>0</formula>
    </cfRule>
    <cfRule type="cellIs" dxfId="5842" priority="230" operator="greaterThan">
      <formula>0</formula>
    </cfRule>
  </conditionalFormatting>
  <conditionalFormatting sqref="G28">
    <cfRule type="cellIs" dxfId="5841" priority="219" operator="equal">
      <formula>"PMS"</formula>
    </cfRule>
    <cfRule type="containsText" dxfId="5840" priority="220" operator="containsText" text="CMS">
      <formula>NOT(ISERROR(SEARCH("CMS",G28)))</formula>
    </cfRule>
    <cfRule type="cellIs" dxfId="5839" priority="221" operator="equal">
      <formula>0</formula>
    </cfRule>
    <cfRule type="cellIs" dxfId="5838" priority="222" operator="greaterThan">
      <formula>0</formula>
    </cfRule>
  </conditionalFormatting>
  <conditionalFormatting sqref="K13">
    <cfRule type="cellIs" dxfId="5837" priority="211" operator="equal">
      <formula>"PMS"</formula>
    </cfRule>
    <cfRule type="containsText" dxfId="5836" priority="212" operator="containsText" text="CMS">
      <formula>NOT(ISERROR(SEARCH("CMS",K13)))</formula>
    </cfRule>
    <cfRule type="cellIs" dxfId="5835" priority="213" operator="equal">
      <formula>0</formula>
    </cfRule>
    <cfRule type="cellIs" dxfId="5834" priority="214" operator="greaterThan">
      <formula>0</formula>
    </cfRule>
    <cfRule type="cellIs" dxfId="5833" priority="215" operator="equal">
      <formula>"PMS"</formula>
    </cfRule>
    <cfRule type="containsText" dxfId="5832" priority="216" operator="containsText" text="CMS">
      <formula>NOT(ISERROR(SEARCH("CMS",K13)))</formula>
    </cfRule>
    <cfRule type="cellIs" dxfId="5831" priority="217" operator="equal">
      <formula>0</formula>
    </cfRule>
    <cfRule type="cellIs" dxfId="5830" priority="218" operator="greaterThan">
      <formula>0</formula>
    </cfRule>
  </conditionalFormatting>
  <conditionalFormatting sqref="K13">
    <cfRule type="cellIs" dxfId="5829" priority="207" operator="equal">
      <formula>"PMS"</formula>
    </cfRule>
    <cfRule type="containsText" dxfId="5828" priority="208" operator="containsText" text="CMS">
      <formula>NOT(ISERROR(SEARCH("CMS",K13)))</formula>
    </cfRule>
    <cfRule type="cellIs" dxfId="5827" priority="209" operator="equal">
      <formula>0</formula>
    </cfRule>
    <cfRule type="cellIs" dxfId="5826" priority="210" operator="greaterThan">
      <formula>0</formula>
    </cfRule>
  </conditionalFormatting>
  <conditionalFormatting sqref="F67:F75">
    <cfRule type="cellIs" dxfId="5825" priority="199" operator="equal">
      <formula>"PMS"</formula>
    </cfRule>
    <cfRule type="containsText" dxfId="5824" priority="200" operator="containsText" text="CMS">
      <formula>NOT(ISERROR(SEARCH("CMS",F67)))</formula>
    </cfRule>
    <cfRule type="cellIs" dxfId="5823" priority="201" operator="equal">
      <formula>0</formula>
    </cfRule>
    <cfRule type="cellIs" dxfId="5822" priority="202" operator="greaterThan">
      <formula>0</formula>
    </cfRule>
    <cfRule type="cellIs" dxfId="5821" priority="203" operator="equal">
      <formula>"PMS"</formula>
    </cfRule>
    <cfRule type="containsText" dxfId="5820" priority="204" operator="containsText" text="CMS">
      <formula>NOT(ISERROR(SEARCH("CMS",F67)))</formula>
    </cfRule>
    <cfRule type="cellIs" dxfId="5819" priority="205" operator="equal">
      <formula>0</formula>
    </cfRule>
    <cfRule type="cellIs" dxfId="5818" priority="206" operator="greaterThan">
      <formula>0</formula>
    </cfRule>
  </conditionalFormatting>
  <conditionalFormatting sqref="F67:F75">
    <cfRule type="cellIs" dxfId="5817" priority="195" operator="equal">
      <formula>"PMS"</formula>
    </cfRule>
    <cfRule type="containsText" dxfId="5816" priority="196" operator="containsText" text="CMS">
      <formula>NOT(ISERROR(SEARCH("CMS",F67)))</formula>
    </cfRule>
    <cfRule type="cellIs" dxfId="5815" priority="197" operator="equal">
      <formula>0</formula>
    </cfRule>
    <cfRule type="cellIs" dxfId="5814" priority="198" operator="greaterThan">
      <formula>0</formula>
    </cfRule>
  </conditionalFormatting>
  <conditionalFormatting sqref="E113:AC113 F112:N112">
    <cfRule type="cellIs" dxfId="5813" priority="194" operator="greaterThan">
      <formula>60.3</formula>
    </cfRule>
  </conditionalFormatting>
  <conditionalFormatting sqref="O112:AC112">
    <cfRule type="cellIs" dxfId="5812" priority="193" operator="greaterThan">
      <formula>60.3</formula>
    </cfRule>
  </conditionalFormatting>
  <conditionalFormatting sqref="F13:F16">
    <cfRule type="cellIs" dxfId="5811" priority="89" operator="equal">
      <formula>"PMS"</formula>
    </cfRule>
    <cfRule type="containsText" dxfId="5810" priority="90" operator="containsText" text="CMS">
      <formula>NOT(ISERROR(SEARCH("CMS",F13)))</formula>
    </cfRule>
    <cfRule type="cellIs" dxfId="5809" priority="91" operator="equal">
      <formula>0</formula>
    </cfRule>
    <cfRule type="cellIs" dxfId="5808" priority="92" operator="greaterThan">
      <formula>0</formula>
    </cfRule>
    <cfRule type="cellIs" dxfId="5807" priority="93" operator="equal">
      <formula>"PMS"</formula>
    </cfRule>
    <cfRule type="containsText" dxfId="5806" priority="94" operator="containsText" text="CMS">
      <formula>NOT(ISERROR(SEARCH("CMS",F13)))</formula>
    </cfRule>
    <cfRule type="cellIs" dxfId="5805" priority="95" operator="equal">
      <formula>0</formula>
    </cfRule>
    <cfRule type="cellIs" dxfId="5804" priority="96" operator="greaterThan">
      <formula>0</formula>
    </cfRule>
  </conditionalFormatting>
  <conditionalFormatting sqref="F13:F16">
    <cfRule type="cellIs" dxfId="5803" priority="85" operator="equal">
      <formula>"PMS"</formula>
    </cfRule>
    <cfRule type="containsText" dxfId="5802" priority="86" operator="containsText" text="CMS">
      <formula>NOT(ISERROR(SEARCH("CMS",F13)))</formula>
    </cfRule>
    <cfRule type="cellIs" dxfId="5801" priority="87" operator="equal">
      <formula>0</formula>
    </cfRule>
    <cfRule type="cellIs" dxfId="5800" priority="88" operator="greaterThan">
      <formula>0</formula>
    </cfRule>
  </conditionalFormatting>
  <conditionalFormatting sqref="F19:F21">
    <cfRule type="cellIs" dxfId="5799" priority="77" operator="equal">
      <formula>"PMS"</formula>
    </cfRule>
    <cfRule type="containsText" dxfId="5798" priority="78" operator="containsText" text="CMS">
      <formula>NOT(ISERROR(SEARCH("CMS",F19)))</formula>
    </cfRule>
    <cfRule type="cellIs" dxfId="5797" priority="79" operator="equal">
      <formula>0</formula>
    </cfRule>
    <cfRule type="cellIs" dxfId="5796" priority="80" operator="greaterThan">
      <formula>0</formula>
    </cfRule>
    <cfRule type="cellIs" dxfId="5795" priority="81" operator="equal">
      <formula>"PMS"</formula>
    </cfRule>
    <cfRule type="containsText" dxfId="5794" priority="82" operator="containsText" text="CMS">
      <formula>NOT(ISERROR(SEARCH("CMS",F19)))</formula>
    </cfRule>
    <cfRule type="cellIs" dxfId="5793" priority="83" operator="equal">
      <formula>0</formula>
    </cfRule>
    <cfRule type="cellIs" dxfId="5792" priority="84" operator="greaterThan">
      <formula>0</formula>
    </cfRule>
  </conditionalFormatting>
  <conditionalFormatting sqref="F19:F21">
    <cfRule type="cellIs" dxfId="5791" priority="73" operator="equal">
      <formula>"PMS"</formula>
    </cfRule>
    <cfRule type="containsText" dxfId="5790" priority="74" operator="containsText" text="CMS">
      <formula>NOT(ISERROR(SEARCH("CMS",F19)))</formula>
    </cfRule>
    <cfRule type="cellIs" dxfId="5789" priority="75" operator="equal">
      <formula>0</formula>
    </cfRule>
    <cfRule type="cellIs" dxfId="5788" priority="76" operator="greaterThan">
      <formula>0</formula>
    </cfRule>
  </conditionalFormatting>
  <conditionalFormatting sqref="F24">
    <cfRule type="cellIs" dxfId="5787" priority="65" operator="equal">
      <formula>"PMS"</formula>
    </cfRule>
    <cfRule type="containsText" dxfId="5786" priority="66" operator="containsText" text="CMS">
      <formula>NOT(ISERROR(SEARCH("CMS",F24)))</formula>
    </cfRule>
    <cfRule type="cellIs" dxfId="5785" priority="67" operator="equal">
      <formula>0</formula>
    </cfRule>
    <cfRule type="cellIs" dxfId="5784" priority="68" operator="greaterThan">
      <formula>0</formula>
    </cfRule>
    <cfRule type="cellIs" dxfId="5783" priority="69" operator="equal">
      <formula>"PMS"</formula>
    </cfRule>
    <cfRule type="containsText" dxfId="5782" priority="70" operator="containsText" text="CMS">
      <formula>NOT(ISERROR(SEARCH("CMS",F24)))</formula>
    </cfRule>
    <cfRule type="cellIs" dxfId="5781" priority="71" operator="equal">
      <formula>0</formula>
    </cfRule>
    <cfRule type="cellIs" dxfId="5780" priority="72" operator="greaterThan">
      <formula>0</formula>
    </cfRule>
  </conditionalFormatting>
  <conditionalFormatting sqref="F24">
    <cfRule type="cellIs" dxfId="5779" priority="61" operator="equal">
      <formula>"PMS"</formula>
    </cfRule>
    <cfRule type="containsText" dxfId="5778" priority="62" operator="containsText" text="CMS">
      <formula>NOT(ISERROR(SEARCH("CMS",F24)))</formula>
    </cfRule>
    <cfRule type="cellIs" dxfId="5777" priority="63" operator="equal">
      <formula>0</formula>
    </cfRule>
    <cfRule type="cellIs" dxfId="5776" priority="64" operator="greaterThan">
      <formula>0</formula>
    </cfRule>
  </conditionalFormatting>
  <conditionalFormatting sqref="F27:F30">
    <cfRule type="cellIs" dxfId="5775" priority="53" operator="equal">
      <formula>"PMS"</formula>
    </cfRule>
    <cfRule type="containsText" dxfId="5774" priority="54" operator="containsText" text="CMS">
      <formula>NOT(ISERROR(SEARCH("CMS",F27)))</formula>
    </cfRule>
    <cfRule type="cellIs" dxfId="5773" priority="55" operator="equal">
      <formula>0</formula>
    </cfRule>
    <cfRule type="cellIs" dxfId="5772" priority="56" operator="greaterThan">
      <formula>0</formula>
    </cfRule>
    <cfRule type="cellIs" dxfId="5771" priority="57" operator="equal">
      <formula>"PMS"</formula>
    </cfRule>
    <cfRule type="containsText" dxfId="5770" priority="58" operator="containsText" text="CMS">
      <formula>NOT(ISERROR(SEARCH("CMS",F27)))</formula>
    </cfRule>
    <cfRule type="cellIs" dxfId="5769" priority="59" operator="equal">
      <formula>0</formula>
    </cfRule>
    <cfRule type="cellIs" dxfId="5768" priority="60" operator="greaterThan">
      <formula>0</formula>
    </cfRule>
  </conditionalFormatting>
  <conditionalFormatting sqref="F27:F30">
    <cfRule type="cellIs" dxfId="5767" priority="49" operator="equal">
      <formula>"PMS"</formula>
    </cfRule>
    <cfRule type="containsText" dxfId="5766" priority="50" operator="containsText" text="CMS">
      <formula>NOT(ISERROR(SEARCH("CMS",F27)))</formula>
    </cfRule>
    <cfRule type="cellIs" dxfId="5765" priority="51" operator="equal">
      <formula>0</formula>
    </cfRule>
    <cfRule type="cellIs" dxfId="5764" priority="52" operator="greaterThan">
      <formula>0</formula>
    </cfRule>
  </conditionalFormatting>
  <conditionalFormatting sqref="F33">
    <cfRule type="cellIs" dxfId="5763" priority="41" operator="equal">
      <formula>"PMS"</formula>
    </cfRule>
    <cfRule type="containsText" dxfId="5762" priority="42" operator="containsText" text="CMS">
      <formula>NOT(ISERROR(SEARCH("CMS",F33)))</formula>
    </cfRule>
    <cfRule type="cellIs" dxfId="5761" priority="43" operator="equal">
      <formula>0</formula>
    </cfRule>
    <cfRule type="cellIs" dxfId="5760" priority="44" operator="greaterThan">
      <formula>0</formula>
    </cfRule>
    <cfRule type="cellIs" dxfId="5759" priority="45" operator="equal">
      <formula>"PMS"</formula>
    </cfRule>
    <cfRule type="containsText" dxfId="5758" priority="46" operator="containsText" text="CMS">
      <formula>NOT(ISERROR(SEARCH("CMS",F33)))</formula>
    </cfRule>
    <cfRule type="cellIs" dxfId="5757" priority="47" operator="equal">
      <formula>0</formula>
    </cfRule>
    <cfRule type="cellIs" dxfId="5756" priority="48" operator="greaterThan">
      <formula>0</formula>
    </cfRule>
  </conditionalFormatting>
  <conditionalFormatting sqref="F33">
    <cfRule type="cellIs" dxfId="5755" priority="37" operator="equal">
      <formula>"PMS"</formula>
    </cfRule>
    <cfRule type="containsText" dxfId="5754" priority="38" operator="containsText" text="CMS">
      <formula>NOT(ISERROR(SEARCH("CMS",F33)))</formula>
    </cfRule>
    <cfRule type="cellIs" dxfId="5753" priority="39" operator="equal">
      <formula>0</formula>
    </cfRule>
    <cfRule type="cellIs" dxfId="5752" priority="40" operator="greaterThan">
      <formula>0</formula>
    </cfRule>
  </conditionalFormatting>
  <conditionalFormatting sqref="F36:F59">
    <cfRule type="cellIs" dxfId="5751" priority="29" operator="equal">
      <formula>"PMS"</formula>
    </cfRule>
    <cfRule type="containsText" dxfId="5750" priority="30" operator="containsText" text="CMS">
      <formula>NOT(ISERROR(SEARCH("CMS",F36)))</formula>
    </cfRule>
    <cfRule type="cellIs" dxfId="5749" priority="31" operator="equal">
      <formula>0</formula>
    </cfRule>
    <cfRule type="cellIs" dxfId="5748" priority="32" operator="greaterThan">
      <formula>0</formula>
    </cfRule>
    <cfRule type="cellIs" dxfId="5747" priority="33" operator="equal">
      <formula>"PMS"</formula>
    </cfRule>
    <cfRule type="containsText" dxfId="5746" priority="34" operator="containsText" text="CMS">
      <formula>NOT(ISERROR(SEARCH("CMS",F36)))</formula>
    </cfRule>
    <cfRule type="cellIs" dxfId="5745" priority="35" operator="equal">
      <formula>0</formula>
    </cfRule>
    <cfRule type="cellIs" dxfId="5744" priority="36" operator="greaterThan">
      <formula>0</formula>
    </cfRule>
  </conditionalFormatting>
  <conditionalFormatting sqref="F36:F59">
    <cfRule type="cellIs" dxfId="5743" priority="25" operator="equal">
      <formula>"PMS"</formula>
    </cfRule>
    <cfRule type="containsText" dxfId="5742" priority="26" operator="containsText" text="CMS">
      <formula>NOT(ISERROR(SEARCH("CMS",F36)))</formula>
    </cfRule>
    <cfRule type="cellIs" dxfId="5741" priority="27" operator="equal">
      <formula>0</formula>
    </cfRule>
    <cfRule type="cellIs" dxfId="5740" priority="28" operator="greaterThan">
      <formula>0</formula>
    </cfRule>
  </conditionalFormatting>
  <conditionalFormatting sqref="F62:F64">
    <cfRule type="cellIs" dxfId="5739" priority="17" operator="equal">
      <formula>"PMS"</formula>
    </cfRule>
    <cfRule type="containsText" dxfId="5738" priority="18" operator="containsText" text="CMS">
      <formula>NOT(ISERROR(SEARCH("CMS",F62)))</formula>
    </cfRule>
    <cfRule type="cellIs" dxfId="5737" priority="19" operator="equal">
      <formula>0</formula>
    </cfRule>
    <cfRule type="cellIs" dxfId="5736" priority="20" operator="greaterThan">
      <formula>0</formula>
    </cfRule>
    <cfRule type="cellIs" dxfId="5735" priority="21" operator="equal">
      <formula>"PMS"</formula>
    </cfRule>
    <cfRule type="containsText" dxfId="5734" priority="22" operator="containsText" text="CMS">
      <formula>NOT(ISERROR(SEARCH("CMS",F62)))</formula>
    </cfRule>
    <cfRule type="cellIs" dxfId="5733" priority="23" operator="equal">
      <formula>0</formula>
    </cfRule>
    <cfRule type="cellIs" dxfId="5732" priority="24" operator="greaterThan">
      <formula>0</formula>
    </cfRule>
  </conditionalFormatting>
  <conditionalFormatting sqref="F62:F64">
    <cfRule type="cellIs" dxfId="5731" priority="13" operator="equal">
      <formula>"PMS"</formula>
    </cfRule>
    <cfRule type="containsText" dxfId="5730" priority="14" operator="containsText" text="CMS">
      <formula>NOT(ISERROR(SEARCH("CMS",F62)))</formula>
    </cfRule>
    <cfRule type="cellIs" dxfId="5729" priority="15" operator="equal">
      <formula>0</formula>
    </cfRule>
    <cfRule type="cellIs" dxfId="5728" priority="16" operator="greaterThan">
      <formula>0</formula>
    </cfRule>
  </conditionalFormatting>
  <conditionalFormatting sqref="F78:F79">
    <cfRule type="cellIs" dxfId="5727" priority="5" operator="equal">
      <formula>"PMS"</formula>
    </cfRule>
    <cfRule type="containsText" dxfId="5726" priority="6" operator="containsText" text="CMS">
      <formula>NOT(ISERROR(SEARCH("CMS",F78)))</formula>
    </cfRule>
    <cfRule type="cellIs" dxfId="5725" priority="7" operator="equal">
      <formula>0</formula>
    </cfRule>
    <cfRule type="cellIs" dxfId="5724" priority="8" operator="greaterThan">
      <formula>0</formula>
    </cfRule>
    <cfRule type="cellIs" dxfId="5723" priority="9" operator="equal">
      <formula>"PMS"</formula>
    </cfRule>
    <cfRule type="containsText" dxfId="5722" priority="10" operator="containsText" text="CMS">
      <formula>NOT(ISERROR(SEARCH("CMS",F78)))</formula>
    </cfRule>
    <cfRule type="cellIs" dxfId="5721" priority="11" operator="equal">
      <formula>0</formula>
    </cfRule>
    <cfRule type="cellIs" dxfId="5720" priority="12" operator="greaterThan">
      <formula>0</formula>
    </cfRule>
  </conditionalFormatting>
  <conditionalFormatting sqref="F78:F79">
    <cfRule type="cellIs" dxfId="5719" priority="1" operator="equal">
      <formula>"PMS"</formula>
    </cfRule>
    <cfRule type="containsText" dxfId="5718" priority="2" operator="containsText" text="CMS">
      <formula>NOT(ISERROR(SEARCH("CMS",F78)))</formula>
    </cfRule>
    <cfRule type="cellIs" dxfId="5717" priority="3" operator="equal">
      <formula>0</formula>
    </cfRule>
    <cfRule type="cellIs" dxfId="5716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0185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2FB4D-D223-4BC9-9AA3-08E6276D15D6}">
  <sheetPr codeName="Sheet169"/>
  <dimension ref="A2:DT141"/>
  <sheetViews>
    <sheetView zoomScale="70" zoomScaleNormal="70" zoomScaleSheetLayoutView="51" zoomScalePageLayoutView="55" workbookViewId="0">
      <pane xSplit="5" ySplit="11" topLeftCell="F12" activePane="bottomRight" state="frozen"/>
      <selection pane="bottomRight" activeCell="Y108" sqref="Y108"/>
      <selection pane="bottomLeft" activeCell="AJ44" sqref="AJ44"/>
      <selection pane="topRight" activeCell="AJ44" sqref="AJ4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23"/>
      <c r="N8" s="523"/>
      <c r="O8" s="52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24" t="e" cm="1">
        <f t="array" aca="1" ref="M9" ca="1">TEXT(TODAY(),"mmmm")&amp;" "&amp;MID(CELL("filename",A1),FIND("]",CELL("filename",A1))+1,255)&amp;", "&amp;TEXT(TODAY(),"yyyy")</f>
        <v>#VALUE!</v>
      </c>
      <c r="N9" s="524"/>
      <c r="O9" s="524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4"/>
      <c r="R10" s="344"/>
      <c r="S10" s="344"/>
      <c r="T10" s="344"/>
      <c r="U10" s="344"/>
      <c r="V10" s="344"/>
      <c r="W10" s="344"/>
      <c r="X10" s="344"/>
      <c r="Y10" s="344"/>
      <c r="Z10" s="344"/>
      <c r="AA10" s="344"/>
      <c r="AB10" s="344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17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481.00000000000006</v>
      </c>
    </row>
    <row r="13" spans="1:41">
      <c r="A13" s="14" t="s">
        <v>22</v>
      </c>
      <c r="B13" s="15"/>
      <c r="C13" s="15">
        <v>7.2</v>
      </c>
      <c r="D13" s="15"/>
      <c r="E13" s="15"/>
      <c r="F13" s="372">
        <v>6.6</v>
      </c>
      <c r="G13" s="372">
        <v>6.5</v>
      </c>
      <c r="H13" s="372">
        <v>6.7</v>
      </c>
      <c r="I13" s="372">
        <v>6.7</v>
      </c>
      <c r="J13" s="372">
        <v>6.7</v>
      </c>
      <c r="K13" s="372"/>
      <c r="L13" s="374"/>
      <c r="M13" s="372"/>
      <c r="N13" s="372"/>
      <c r="O13" s="372"/>
      <c r="P13" s="372"/>
      <c r="Q13" s="372">
        <v>2</v>
      </c>
      <c r="R13" s="372">
        <v>6.5</v>
      </c>
      <c r="S13" s="372">
        <v>6.8</v>
      </c>
      <c r="T13" s="372">
        <v>4.5</v>
      </c>
      <c r="U13" s="372"/>
      <c r="V13" s="372"/>
      <c r="W13" s="372"/>
      <c r="X13" s="372"/>
      <c r="Y13" s="372"/>
      <c r="Z13" s="372"/>
      <c r="AA13" s="372"/>
      <c r="AB13" s="372">
        <v>6.9</v>
      </c>
      <c r="AC13" s="372">
        <v>6.7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11</v>
      </c>
    </row>
    <row r="14" spans="1:41">
      <c r="A14" s="14" t="s">
        <v>23</v>
      </c>
      <c r="B14" s="15"/>
      <c r="C14" s="15">
        <v>7.2</v>
      </c>
      <c r="D14" s="15"/>
      <c r="E14" s="15"/>
      <c r="F14" s="372">
        <v>6.6</v>
      </c>
      <c r="G14" s="372">
        <v>6.5</v>
      </c>
      <c r="H14" s="374">
        <v>6.7</v>
      </c>
      <c r="I14" s="372">
        <v>6.7</v>
      </c>
      <c r="J14" s="372">
        <v>6.7</v>
      </c>
      <c r="K14" s="372">
        <v>6.8</v>
      </c>
      <c r="L14" s="372">
        <v>6.7</v>
      </c>
      <c r="M14" s="372">
        <v>6.6</v>
      </c>
      <c r="N14" s="372">
        <v>6.3</v>
      </c>
      <c r="O14" s="372">
        <v>6.9</v>
      </c>
      <c r="P14" s="372">
        <v>6.4</v>
      </c>
      <c r="Q14" s="372">
        <v>5</v>
      </c>
      <c r="R14" s="372" t="s">
        <v>9</v>
      </c>
      <c r="S14" s="372" t="s">
        <v>9</v>
      </c>
      <c r="T14" s="372">
        <v>2.8</v>
      </c>
      <c r="U14" s="372">
        <v>6.8</v>
      </c>
      <c r="V14" s="372">
        <v>6.8</v>
      </c>
      <c r="W14" s="372">
        <v>6.6</v>
      </c>
      <c r="X14" s="372">
        <v>6.8</v>
      </c>
      <c r="Y14" s="372">
        <v>6.7</v>
      </c>
      <c r="Z14" s="372">
        <v>6.8</v>
      </c>
      <c r="AA14" s="372">
        <v>6.8</v>
      </c>
      <c r="AB14" s="372">
        <v>6.8</v>
      </c>
      <c r="AC14" s="372">
        <v>6.7</v>
      </c>
      <c r="AD14" s="41"/>
      <c r="AE14" s="41"/>
      <c r="AF14" s="11">
        <f>COUNTIF(F14:AC14,$AJ$8)</f>
        <v>2</v>
      </c>
      <c r="AG14" s="11">
        <f>COUNTIF(F14:AD14,$AJ$7)</f>
        <v>0</v>
      </c>
      <c r="AH14" s="11">
        <f>COUNT(F14:AC14)</f>
        <v>22</v>
      </c>
    </row>
    <row r="15" spans="1:41">
      <c r="A15" s="66" t="s">
        <v>24</v>
      </c>
      <c r="B15" s="15"/>
      <c r="C15" s="15">
        <v>7.2</v>
      </c>
      <c r="D15" s="15"/>
      <c r="E15" s="15"/>
      <c r="F15" s="372">
        <v>6.6</v>
      </c>
      <c r="G15" s="372">
        <v>6.5</v>
      </c>
      <c r="H15" s="374">
        <v>6.7</v>
      </c>
      <c r="I15" s="372">
        <v>6.7</v>
      </c>
      <c r="J15" s="372">
        <v>6.7</v>
      </c>
      <c r="K15" s="374">
        <v>6.8</v>
      </c>
      <c r="L15" s="374">
        <v>6.7</v>
      </c>
      <c r="M15" s="374">
        <v>6.6</v>
      </c>
      <c r="N15" s="372">
        <v>6.3</v>
      </c>
      <c r="O15" s="372">
        <v>6.9</v>
      </c>
      <c r="P15" s="372">
        <v>6.4</v>
      </c>
      <c r="Q15" s="372">
        <v>6.5</v>
      </c>
      <c r="R15" s="372">
        <v>6.4</v>
      </c>
      <c r="S15" s="372">
        <v>6.8</v>
      </c>
      <c r="T15" s="372">
        <v>6.3</v>
      </c>
      <c r="U15" s="372">
        <v>6.8</v>
      </c>
      <c r="V15" s="372">
        <v>6.7</v>
      </c>
      <c r="W15" s="372">
        <v>6.6</v>
      </c>
      <c r="X15" s="372">
        <v>6.8</v>
      </c>
      <c r="Y15" s="372">
        <v>6.7</v>
      </c>
      <c r="Z15" s="372">
        <v>6.8</v>
      </c>
      <c r="AA15" s="372">
        <v>6.8</v>
      </c>
      <c r="AB15" s="372">
        <v>6.9</v>
      </c>
      <c r="AC15" s="372">
        <v>6.7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372"/>
      <c r="G16" s="372"/>
      <c r="H16" s="374"/>
      <c r="I16" s="372"/>
      <c r="J16" s="372"/>
      <c r="K16" s="374">
        <v>6.8</v>
      </c>
      <c r="L16" s="374">
        <v>6.7</v>
      </c>
      <c r="M16" s="374">
        <v>6.6</v>
      </c>
      <c r="N16" s="372">
        <v>6.3</v>
      </c>
      <c r="O16" s="372">
        <v>6.9</v>
      </c>
      <c r="P16" s="372">
        <v>6.4</v>
      </c>
      <c r="Q16" s="372">
        <v>6.5</v>
      </c>
      <c r="R16" s="372">
        <v>6.7</v>
      </c>
      <c r="S16" s="372">
        <v>6.8</v>
      </c>
      <c r="T16" s="372">
        <v>6.4</v>
      </c>
      <c r="U16" s="372">
        <v>6.8</v>
      </c>
      <c r="V16" s="372">
        <v>6.7</v>
      </c>
      <c r="W16" s="372">
        <v>6.6</v>
      </c>
      <c r="X16" s="372">
        <v>6.8</v>
      </c>
      <c r="Y16" s="372">
        <v>6.6</v>
      </c>
      <c r="Z16" s="372">
        <v>6.8</v>
      </c>
      <c r="AA16" s="372">
        <v>6.8</v>
      </c>
      <c r="AB16" s="372">
        <v>0</v>
      </c>
      <c r="AC16" s="372">
        <v>0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19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19.799999999999997</v>
      </c>
      <c r="G17" s="19">
        <f t="shared" si="0"/>
        <v>19.5</v>
      </c>
      <c r="H17" s="19">
        <f t="shared" si="0"/>
        <v>20.100000000000001</v>
      </c>
      <c r="I17" s="19">
        <f t="shared" si="0"/>
        <v>20.100000000000001</v>
      </c>
      <c r="J17" s="19">
        <f t="shared" si="0"/>
        <v>20.100000000000001</v>
      </c>
      <c r="K17" s="19">
        <f t="shared" si="0"/>
        <v>20.399999999999999</v>
      </c>
      <c r="L17" s="19">
        <f t="shared" si="0"/>
        <v>20.100000000000001</v>
      </c>
      <c r="M17" s="19">
        <f t="shared" si="0"/>
        <v>19.799999999999997</v>
      </c>
      <c r="N17" s="19">
        <f t="shared" si="0"/>
        <v>18.899999999999999</v>
      </c>
      <c r="O17" s="19">
        <f t="shared" si="0"/>
        <v>20.700000000000003</v>
      </c>
      <c r="P17" s="19">
        <f t="shared" si="0"/>
        <v>19.200000000000003</v>
      </c>
      <c r="Q17" s="19">
        <f t="shared" si="0"/>
        <v>20</v>
      </c>
      <c r="R17" s="19">
        <f t="shared" si="0"/>
        <v>19.600000000000001</v>
      </c>
      <c r="S17" s="19">
        <f t="shared" si="0"/>
        <v>20.399999999999999</v>
      </c>
      <c r="T17" s="19">
        <f t="shared" si="0"/>
        <v>20</v>
      </c>
      <c r="U17" s="19">
        <f t="shared" si="0"/>
        <v>20.399999999999999</v>
      </c>
      <c r="V17" s="19">
        <f t="shared" si="0"/>
        <v>20.2</v>
      </c>
      <c r="W17" s="19">
        <f t="shared" si="0"/>
        <v>19.799999999999997</v>
      </c>
      <c r="X17" s="19">
        <f t="shared" si="0"/>
        <v>20.399999999999999</v>
      </c>
      <c r="Y17" s="19">
        <f t="shared" si="0"/>
        <v>20</v>
      </c>
      <c r="Z17" s="19">
        <f t="shared" si="0"/>
        <v>20.399999999999999</v>
      </c>
      <c r="AA17" s="19">
        <f t="shared" si="0"/>
        <v>20.399999999999999</v>
      </c>
      <c r="AB17" s="19">
        <f t="shared" si="0"/>
        <v>20.6</v>
      </c>
      <c r="AC17" s="19">
        <f t="shared" si="0"/>
        <v>20.100000000000001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90.099999999999966</v>
      </c>
    </row>
    <row r="19" spans="1:51">
      <c r="A19" s="14" t="s">
        <v>22</v>
      </c>
      <c r="B19" s="15"/>
      <c r="C19" s="15">
        <v>3</v>
      </c>
      <c r="D19" s="15"/>
      <c r="E19" s="15"/>
      <c r="F19" s="372">
        <v>2</v>
      </c>
      <c r="G19" s="372"/>
      <c r="H19" s="372"/>
      <c r="I19" s="372"/>
      <c r="J19" s="372"/>
      <c r="K19" s="374"/>
      <c r="L19" s="374"/>
      <c r="M19" s="374"/>
      <c r="N19" s="374">
        <v>2.8</v>
      </c>
      <c r="O19" s="372">
        <v>2.8</v>
      </c>
      <c r="P19" s="374">
        <v>2.7</v>
      </c>
      <c r="Q19" s="372">
        <v>2.8</v>
      </c>
      <c r="R19" s="372">
        <v>2.8</v>
      </c>
      <c r="S19" s="372">
        <v>2.8</v>
      </c>
      <c r="T19" s="372">
        <v>2.8</v>
      </c>
      <c r="U19" s="372">
        <v>2.8</v>
      </c>
      <c r="V19" s="372">
        <v>2.8</v>
      </c>
      <c r="W19" s="372">
        <v>2.8</v>
      </c>
      <c r="X19" s="372">
        <v>2.8</v>
      </c>
      <c r="Y19" s="372">
        <v>2.8</v>
      </c>
      <c r="Z19" s="372">
        <v>2.8</v>
      </c>
      <c r="AA19" s="372">
        <v>2.8</v>
      </c>
      <c r="AB19" s="372">
        <v>2.8</v>
      </c>
      <c r="AC19" s="372">
        <v>2.8</v>
      </c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17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372"/>
      <c r="G20" s="372"/>
      <c r="H20" s="372"/>
      <c r="I20" s="372"/>
      <c r="J20" s="372"/>
      <c r="K20" s="374"/>
      <c r="L20" s="374"/>
      <c r="M20" s="374"/>
      <c r="N20" s="372"/>
      <c r="O20" s="372"/>
      <c r="P20" s="372"/>
      <c r="Q20" s="372"/>
      <c r="R20" s="372"/>
      <c r="S20" s="372"/>
      <c r="T20" s="372"/>
      <c r="U20" s="372"/>
      <c r="V20" s="372"/>
      <c r="W20" s="372"/>
      <c r="X20" s="372"/>
      <c r="Y20" s="372"/>
      <c r="Z20" s="372"/>
      <c r="AA20" s="372"/>
      <c r="AB20" s="372"/>
      <c r="AC20" s="372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2"/>
      <c r="G21" s="372"/>
      <c r="H21" s="372"/>
      <c r="I21" s="372"/>
      <c r="J21" s="372"/>
      <c r="K21" s="374"/>
      <c r="L21" s="374"/>
      <c r="M21" s="374"/>
      <c r="N21" s="372"/>
      <c r="O21" s="372"/>
      <c r="P21" s="372" t="s">
        <v>9</v>
      </c>
      <c r="Q21" s="372" t="s">
        <v>9</v>
      </c>
      <c r="R21" s="372">
        <v>2.8</v>
      </c>
      <c r="S21" s="372">
        <v>3.8</v>
      </c>
      <c r="T21" s="372">
        <v>3.8</v>
      </c>
      <c r="U21" s="372">
        <v>3.8</v>
      </c>
      <c r="V21" s="372">
        <v>3.8</v>
      </c>
      <c r="W21" s="372">
        <v>3.8</v>
      </c>
      <c r="X21" s="372">
        <v>3.8</v>
      </c>
      <c r="Y21" s="372">
        <v>3.8</v>
      </c>
      <c r="Z21" s="372">
        <v>3.5</v>
      </c>
      <c r="AA21" s="372">
        <v>3.5</v>
      </c>
      <c r="AB21" s="372">
        <v>3.5</v>
      </c>
      <c r="AC21" s="372">
        <v>3.5</v>
      </c>
      <c r="AD21" s="41"/>
      <c r="AE21" s="41"/>
      <c r="AF21" s="11">
        <f>COUNTIF(F21:AC21,$AJ$8)</f>
        <v>2</v>
      </c>
      <c r="AG21" s="11">
        <f>COUNTIF(G21:AD21,$AJ$7)</f>
        <v>0</v>
      </c>
      <c r="AH21" s="11">
        <f>COUNT(F21:AC21)</f>
        <v>12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2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2.8</v>
      </c>
      <c r="O22" s="19">
        <f t="shared" si="1"/>
        <v>2.8</v>
      </c>
      <c r="P22" s="19">
        <f t="shared" si="1"/>
        <v>2.7</v>
      </c>
      <c r="Q22" s="19">
        <f t="shared" si="1"/>
        <v>2.8</v>
      </c>
      <c r="R22" s="19">
        <f t="shared" si="1"/>
        <v>5.6</v>
      </c>
      <c r="S22" s="19">
        <f>SUM(S19:S21)</f>
        <v>6.6</v>
      </c>
      <c r="T22" s="19">
        <f t="shared" ref="T22" si="2">SUM(T19:T21)</f>
        <v>6.6</v>
      </c>
      <c r="U22" s="19">
        <f t="shared" si="1"/>
        <v>6.6</v>
      </c>
      <c r="V22" s="19">
        <f t="shared" si="1"/>
        <v>6.6</v>
      </c>
      <c r="W22" s="19">
        <f t="shared" si="1"/>
        <v>6.6</v>
      </c>
      <c r="X22" s="19">
        <f t="shared" si="1"/>
        <v>6.6</v>
      </c>
      <c r="Y22" s="19">
        <f t="shared" si="1"/>
        <v>6.6</v>
      </c>
      <c r="Z22" s="19">
        <f t="shared" si="1"/>
        <v>6.3</v>
      </c>
      <c r="AA22" s="19">
        <f t="shared" si="1"/>
        <v>6.3</v>
      </c>
      <c r="AB22" s="19">
        <f>SUM(AB19:AB21)</f>
        <v>6.3</v>
      </c>
      <c r="AC22" s="19">
        <f t="shared" si="1"/>
        <v>6.3</v>
      </c>
      <c r="AD22" s="41"/>
      <c r="AE22" s="41"/>
      <c r="AF22" s="11"/>
      <c r="AG22" s="11"/>
      <c r="AH22" s="11"/>
      <c r="AI22" s="400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409">
        <f>SUM(F24:AC24)</f>
        <v>63.59999999999998</v>
      </c>
    </row>
    <row r="24" spans="1:51">
      <c r="A24" s="14" t="s">
        <v>22</v>
      </c>
      <c r="B24" s="20"/>
      <c r="C24" s="15">
        <v>4.5</v>
      </c>
      <c r="D24" s="15"/>
      <c r="E24" s="15"/>
      <c r="F24" s="372">
        <v>3</v>
      </c>
      <c r="G24" s="372">
        <v>3</v>
      </c>
      <c r="H24" s="372"/>
      <c r="I24" s="372"/>
      <c r="J24" s="372"/>
      <c r="K24" s="374"/>
      <c r="L24" s="374"/>
      <c r="M24" s="374"/>
      <c r="N24" s="372">
        <v>0.6</v>
      </c>
      <c r="O24" s="372">
        <v>3.8</v>
      </c>
      <c r="P24" s="372">
        <v>3.8</v>
      </c>
      <c r="Q24" s="374">
        <v>3.8</v>
      </c>
      <c r="R24" s="372">
        <v>3.8</v>
      </c>
      <c r="S24" s="372">
        <v>3.8</v>
      </c>
      <c r="T24" s="372">
        <v>3.8</v>
      </c>
      <c r="U24" s="372">
        <v>3.8</v>
      </c>
      <c r="V24" s="372">
        <v>3.8</v>
      </c>
      <c r="W24" s="372">
        <v>3.8</v>
      </c>
      <c r="X24" s="372">
        <v>3.8</v>
      </c>
      <c r="Y24" s="372">
        <v>3.8</v>
      </c>
      <c r="Z24" s="372">
        <v>3.8</v>
      </c>
      <c r="AA24" s="372">
        <v>3.8</v>
      </c>
      <c r="AB24" s="372">
        <v>3.8</v>
      </c>
      <c r="AC24" s="372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18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3">SUM(F24)</f>
        <v>3</v>
      </c>
      <c r="G25" s="19">
        <f t="shared" ref="G25:AC25" si="4">SUM(G24)</f>
        <v>3</v>
      </c>
      <c r="H25" s="19">
        <f t="shared" si="4"/>
        <v>0</v>
      </c>
      <c r="I25" s="19">
        <f t="shared" si="4"/>
        <v>0</v>
      </c>
      <c r="J25" s="19">
        <f t="shared" si="4"/>
        <v>0</v>
      </c>
      <c r="K25" s="19">
        <f t="shared" si="4"/>
        <v>0</v>
      </c>
      <c r="L25" s="19">
        <f t="shared" si="4"/>
        <v>0</v>
      </c>
      <c r="M25" s="19">
        <f t="shared" si="4"/>
        <v>0</v>
      </c>
      <c r="N25" s="19">
        <f t="shared" si="4"/>
        <v>0.6</v>
      </c>
      <c r="O25" s="19">
        <f t="shared" si="4"/>
        <v>3.8</v>
      </c>
      <c r="P25" s="19">
        <f t="shared" si="4"/>
        <v>3.8</v>
      </c>
      <c r="Q25" s="19">
        <f t="shared" si="4"/>
        <v>3.8</v>
      </c>
      <c r="R25" s="19">
        <f t="shared" si="4"/>
        <v>3.8</v>
      </c>
      <c r="S25" s="19">
        <f t="shared" si="4"/>
        <v>3.8</v>
      </c>
      <c r="T25" s="19">
        <f t="shared" si="4"/>
        <v>3.8</v>
      </c>
      <c r="U25" s="19">
        <f t="shared" si="4"/>
        <v>3.8</v>
      </c>
      <c r="V25" s="19">
        <f t="shared" si="4"/>
        <v>3.8</v>
      </c>
      <c r="W25" s="19">
        <f t="shared" si="4"/>
        <v>3.8</v>
      </c>
      <c r="X25" s="19">
        <f t="shared" si="4"/>
        <v>3.8</v>
      </c>
      <c r="Y25" s="19">
        <f t="shared" si="4"/>
        <v>3.8</v>
      </c>
      <c r="Z25" s="19">
        <f t="shared" si="4"/>
        <v>3.8</v>
      </c>
      <c r="AA25" s="19">
        <f t="shared" si="4"/>
        <v>3.8</v>
      </c>
      <c r="AB25" s="19">
        <f t="shared" si="4"/>
        <v>3.8</v>
      </c>
      <c r="AC25" s="19">
        <f t="shared" si="4"/>
        <v>3.8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89.2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2">
        <v>4</v>
      </c>
      <c r="G27" s="372">
        <v>4.0999999999999996</v>
      </c>
      <c r="H27" s="372">
        <v>4.3</v>
      </c>
      <c r="I27" s="372">
        <v>4.2</v>
      </c>
      <c r="J27" s="374">
        <v>3.4</v>
      </c>
      <c r="K27" s="374">
        <v>3.8</v>
      </c>
      <c r="L27" s="374">
        <v>4</v>
      </c>
      <c r="M27" s="374">
        <v>4</v>
      </c>
      <c r="N27" s="372">
        <v>4</v>
      </c>
      <c r="O27" s="372">
        <v>4.0999999999999996</v>
      </c>
      <c r="P27" s="372">
        <v>3.9</v>
      </c>
      <c r="Q27" s="372">
        <v>4.2</v>
      </c>
      <c r="R27" s="372">
        <v>4</v>
      </c>
      <c r="S27" s="372">
        <v>4.2</v>
      </c>
      <c r="T27" s="372">
        <v>4.0999999999999996</v>
      </c>
      <c r="U27" s="374">
        <v>4.3</v>
      </c>
      <c r="V27" s="372">
        <v>4.2</v>
      </c>
      <c r="W27" s="372">
        <v>4.0999999999999996</v>
      </c>
      <c r="X27" s="372">
        <v>4.2</v>
      </c>
      <c r="Y27" s="372">
        <v>4.0999999999999996</v>
      </c>
      <c r="Z27" s="372">
        <v>4.5</v>
      </c>
      <c r="AA27" s="372">
        <v>3.5</v>
      </c>
      <c r="AB27" s="372" t="s">
        <v>9</v>
      </c>
      <c r="AC27" s="372" t="s">
        <v>9</v>
      </c>
      <c r="AD27" s="41"/>
      <c r="AE27" s="41"/>
      <c r="AF27" s="11">
        <f>COUNTIF(F27:AC27,$AJ$8)</f>
        <v>2</v>
      </c>
      <c r="AG27" s="11">
        <f>COUNTIF(G27:AD27,$AJ$7)</f>
        <v>0</v>
      </c>
      <c r="AH27" s="11">
        <f>COUNT(F27:AC27)</f>
        <v>22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2" t="s">
        <v>9</v>
      </c>
      <c r="G28" s="372" t="s">
        <v>9</v>
      </c>
      <c r="H28" s="372" t="s">
        <v>9</v>
      </c>
      <c r="I28" s="372" t="s">
        <v>9</v>
      </c>
      <c r="J28" s="372" t="s">
        <v>9</v>
      </c>
      <c r="K28" s="374" t="s">
        <v>9</v>
      </c>
      <c r="L28" s="374" t="s">
        <v>9</v>
      </c>
      <c r="M28" s="374" t="s">
        <v>9</v>
      </c>
      <c r="N28" s="372" t="s">
        <v>9</v>
      </c>
      <c r="O28" s="372" t="s">
        <v>9</v>
      </c>
      <c r="P28" s="372" t="s">
        <v>9</v>
      </c>
      <c r="Q28" s="372" t="s">
        <v>9</v>
      </c>
      <c r="R28" s="372" t="s">
        <v>9</v>
      </c>
      <c r="S28" s="374" t="s">
        <v>9</v>
      </c>
      <c r="T28" s="372" t="s">
        <v>9</v>
      </c>
      <c r="U28" s="374" t="s">
        <v>9</v>
      </c>
      <c r="V28" s="372" t="s">
        <v>9</v>
      </c>
      <c r="W28" s="372" t="s">
        <v>9</v>
      </c>
      <c r="X28" s="372" t="s">
        <v>9</v>
      </c>
      <c r="Y28" s="372" t="s">
        <v>9</v>
      </c>
      <c r="Z28" s="372" t="s">
        <v>9</v>
      </c>
      <c r="AA28" s="372" t="s">
        <v>9</v>
      </c>
      <c r="AB28" s="372" t="s">
        <v>9</v>
      </c>
      <c r="AC28" s="372" t="s">
        <v>9</v>
      </c>
      <c r="AD28" s="41"/>
      <c r="AE28" s="41"/>
      <c r="AF28" s="11">
        <f>COUNTIF(F28:AC28,$AJ$8)</f>
        <v>24</v>
      </c>
      <c r="AG28" s="11">
        <f>COUNTIF(G28:AD28,$AJ$7)</f>
        <v>0</v>
      </c>
      <c r="AH28" s="11">
        <f>COUNT(F28:AC28)</f>
        <v>0</v>
      </c>
      <c r="AI28" s="159">
        <f>SUM(F29:AC30)</f>
        <v>73.930000000000007</v>
      </c>
    </row>
    <row r="29" spans="1:51" ht="15" customHeight="1">
      <c r="A29" s="14" t="s">
        <v>30</v>
      </c>
      <c r="B29" s="369"/>
      <c r="C29" s="370">
        <v>8.8000000000000007</v>
      </c>
      <c r="D29" s="371"/>
      <c r="E29" s="371"/>
      <c r="F29" s="372"/>
      <c r="G29" s="372"/>
      <c r="H29" s="372"/>
      <c r="I29" s="372"/>
      <c r="J29" s="372"/>
      <c r="K29" s="374"/>
      <c r="L29" s="374"/>
      <c r="M29" s="374"/>
      <c r="N29" s="374"/>
      <c r="O29" s="374"/>
      <c r="P29" s="374">
        <v>1.9</v>
      </c>
      <c r="Q29" s="374">
        <v>4</v>
      </c>
      <c r="R29" s="374">
        <v>4.4000000000000004</v>
      </c>
      <c r="S29" s="374">
        <v>3.6</v>
      </c>
      <c r="T29" s="374">
        <v>6.1</v>
      </c>
      <c r="U29" s="374">
        <v>5.8</v>
      </c>
      <c r="V29" s="374">
        <v>5.9</v>
      </c>
      <c r="W29" s="372">
        <v>4.5999999999999996</v>
      </c>
      <c r="X29" s="372">
        <v>4.7</v>
      </c>
      <c r="Y29" s="372">
        <v>6.8</v>
      </c>
      <c r="Z29" s="372">
        <v>6.9</v>
      </c>
      <c r="AA29" s="372">
        <v>6.7</v>
      </c>
      <c r="AB29" s="372">
        <v>7</v>
      </c>
      <c r="AC29" s="372">
        <v>4.9000000000000004</v>
      </c>
    </row>
    <row r="30" spans="1:51" ht="15" customHeight="1">
      <c r="A30" s="14" t="s">
        <v>31</v>
      </c>
      <c r="B30" s="369"/>
      <c r="C30" s="370">
        <v>8.8000000000000007</v>
      </c>
      <c r="D30" s="371"/>
      <c r="E30" s="371"/>
      <c r="F30" s="372"/>
      <c r="G30" s="372"/>
      <c r="H30" s="372"/>
      <c r="I30" s="372"/>
      <c r="J30" s="372"/>
      <c r="K30" s="374"/>
      <c r="L30" s="374"/>
      <c r="M30" s="374"/>
      <c r="N30" s="372"/>
      <c r="O30" s="372"/>
      <c r="P30" s="372"/>
      <c r="Q30" s="372"/>
      <c r="R30" s="374">
        <v>0.63</v>
      </c>
      <c r="S30" s="372"/>
      <c r="T30" s="372"/>
      <c r="U30" s="372"/>
      <c r="V30" s="372"/>
      <c r="W30" s="372"/>
      <c r="X30" s="372"/>
      <c r="Y30" s="372">
        <v>0</v>
      </c>
      <c r="Z30" s="372">
        <v>0</v>
      </c>
      <c r="AA30" s="372">
        <v>0</v>
      </c>
      <c r="AB30" s="372">
        <v>0</v>
      </c>
      <c r="AC30" s="372">
        <v>0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:AC31" si="5">SUM(F27:F29)</f>
        <v>4</v>
      </c>
      <c r="G31" s="19">
        <f t="shared" si="5"/>
        <v>4.0999999999999996</v>
      </c>
      <c r="H31" s="19">
        <f t="shared" si="5"/>
        <v>4.3</v>
      </c>
      <c r="I31" s="19">
        <f t="shared" si="5"/>
        <v>4.2</v>
      </c>
      <c r="J31" s="19">
        <f t="shared" si="5"/>
        <v>3.4</v>
      </c>
      <c r="K31" s="19">
        <f t="shared" si="5"/>
        <v>3.8</v>
      </c>
      <c r="L31" s="19">
        <f t="shared" si="5"/>
        <v>4</v>
      </c>
      <c r="M31" s="19">
        <f t="shared" si="5"/>
        <v>4</v>
      </c>
      <c r="N31" s="19">
        <f t="shared" si="5"/>
        <v>4</v>
      </c>
      <c r="O31" s="19">
        <f t="shared" si="5"/>
        <v>4.0999999999999996</v>
      </c>
      <c r="P31" s="19">
        <f t="shared" si="5"/>
        <v>5.8</v>
      </c>
      <c r="Q31" s="19">
        <f t="shared" si="5"/>
        <v>8.1999999999999993</v>
      </c>
      <c r="R31" s="19">
        <f t="shared" si="5"/>
        <v>8.4</v>
      </c>
      <c r="S31" s="19">
        <f t="shared" si="5"/>
        <v>7.8000000000000007</v>
      </c>
      <c r="T31" s="19">
        <f>SUM(T27:T29)</f>
        <v>10.199999999999999</v>
      </c>
      <c r="U31" s="19">
        <f t="shared" si="5"/>
        <v>10.1</v>
      </c>
      <c r="V31" s="19">
        <f t="shared" si="5"/>
        <v>10.100000000000001</v>
      </c>
      <c r="W31" s="19">
        <f t="shared" si="5"/>
        <v>8.6999999999999993</v>
      </c>
      <c r="X31" s="19">
        <f t="shared" si="5"/>
        <v>8.9</v>
      </c>
      <c r="Y31" s="19">
        <f t="shared" si="5"/>
        <v>10.899999999999999</v>
      </c>
      <c r="Z31" s="19">
        <f t="shared" si="5"/>
        <v>11.4</v>
      </c>
      <c r="AA31" s="19">
        <f t="shared" si="5"/>
        <v>10.199999999999999</v>
      </c>
      <c r="AB31" s="19">
        <f t="shared" si="5"/>
        <v>7</v>
      </c>
      <c r="AC31" s="19">
        <f t="shared" si="5"/>
        <v>4.9000000000000004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341.61999999999995</v>
      </c>
    </row>
    <row r="33" spans="1:36">
      <c r="A33" s="14" t="s">
        <v>22</v>
      </c>
      <c r="B33" s="15"/>
      <c r="C33" s="15">
        <v>15</v>
      </c>
      <c r="D33" s="15"/>
      <c r="E33" s="15"/>
      <c r="F33" s="372">
        <v>14.33</v>
      </c>
      <c r="G33" s="372">
        <v>14.28</v>
      </c>
      <c r="H33" s="374">
        <v>14.21</v>
      </c>
      <c r="I33" s="372">
        <v>14.32</v>
      </c>
      <c r="J33" s="372">
        <v>13.79</v>
      </c>
      <c r="K33" s="374">
        <v>13.77</v>
      </c>
      <c r="L33" s="374">
        <v>14.18</v>
      </c>
      <c r="M33" s="374">
        <v>14.32</v>
      </c>
      <c r="N33" s="372">
        <v>14.29</v>
      </c>
      <c r="O33" s="372">
        <v>14.28</v>
      </c>
      <c r="P33" s="372">
        <v>14.25</v>
      </c>
      <c r="Q33" s="372">
        <v>14.27</v>
      </c>
      <c r="R33" s="372">
        <v>14.27</v>
      </c>
      <c r="S33" s="372">
        <v>14.28</v>
      </c>
      <c r="T33" s="372">
        <v>14.26</v>
      </c>
      <c r="U33" s="372">
        <v>14.29</v>
      </c>
      <c r="V33" s="372">
        <v>14.27</v>
      </c>
      <c r="W33" s="374">
        <v>14.29</v>
      </c>
      <c r="X33" s="372">
        <v>14.28</v>
      </c>
      <c r="Y33" s="372">
        <v>14.28</v>
      </c>
      <c r="Z33" s="372">
        <v>14.3</v>
      </c>
      <c r="AA33" s="372">
        <v>14.3</v>
      </c>
      <c r="AB33" s="372">
        <v>14.24</v>
      </c>
      <c r="AC33" s="372">
        <v>14.27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6">SUM(F33)</f>
        <v>14.33</v>
      </c>
      <c r="G34" s="19">
        <f t="shared" ref="G34:AC34" si="7">SUM(G33)</f>
        <v>14.28</v>
      </c>
      <c r="H34" s="19">
        <f t="shared" si="7"/>
        <v>14.21</v>
      </c>
      <c r="I34" s="19">
        <f t="shared" si="7"/>
        <v>14.32</v>
      </c>
      <c r="J34" s="19">
        <f t="shared" si="7"/>
        <v>13.79</v>
      </c>
      <c r="K34" s="19">
        <f t="shared" si="7"/>
        <v>13.77</v>
      </c>
      <c r="L34" s="19">
        <f t="shared" si="7"/>
        <v>14.18</v>
      </c>
      <c r="M34" s="19">
        <f t="shared" si="7"/>
        <v>14.32</v>
      </c>
      <c r="N34" s="19">
        <f t="shared" si="7"/>
        <v>14.29</v>
      </c>
      <c r="O34" s="19">
        <f t="shared" si="7"/>
        <v>14.28</v>
      </c>
      <c r="P34" s="19">
        <f t="shared" si="7"/>
        <v>14.25</v>
      </c>
      <c r="Q34" s="19">
        <f t="shared" si="7"/>
        <v>14.27</v>
      </c>
      <c r="R34" s="19">
        <f t="shared" si="7"/>
        <v>14.27</v>
      </c>
      <c r="S34" s="19">
        <f t="shared" si="7"/>
        <v>14.28</v>
      </c>
      <c r="T34" s="19">
        <f t="shared" si="7"/>
        <v>14.26</v>
      </c>
      <c r="U34" s="19">
        <f t="shared" si="7"/>
        <v>14.29</v>
      </c>
      <c r="V34" s="19">
        <f t="shared" si="7"/>
        <v>14.27</v>
      </c>
      <c r="W34" s="19">
        <f t="shared" si="7"/>
        <v>14.29</v>
      </c>
      <c r="X34" s="19">
        <f t="shared" si="7"/>
        <v>14.28</v>
      </c>
      <c r="Y34" s="19">
        <f t="shared" si="7"/>
        <v>14.28</v>
      </c>
      <c r="Z34" s="19">
        <f t="shared" si="7"/>
        <v>14.3</v>
      </c>
      <c r="AA34" s="19">
        <f t="shared" si="7"/>
        <v>14.3</v>
      </c>
      <c r="AB34" s="19">
        <f t="shared" si="7"/>
        <v>14.24</v>
      </c>
      <c r="AC34" s="19">
        <f t="shared" si="7"/>
        <v>14.27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55"/>
      <c r="G35" s="455"/>
      <c r="H35" s="455"/>
      <c r="I35" s="455"/>
      <c r="J35" s="455"/>
      <c r="K35" s="455"/>
      <c r="L35" s="455"/>
      <c r="M35" s="455"/>
      <c r="N35" s="455"/>
      <c r="O35" s="455"/>
      <c r="P35" s="455"/>
      <c r="Q35" s="455"/>
      <c r="R35" s="455"/>
      <c r="S35" s="455"/>
      <c r="T35" s="455"/>
      <c r="U35" s="455"/>
      <c r="V35" s="455"/>
      <c r="W35" s="456"/>
      <c r="X35" s="455"/>
      <c r="Y35" s="455"/>
      <c r="Z35" s="455"/>
      <c r="AA35" s="455"/>
      <c r="AB35" s="455"/>
      <c r="AC35" s="455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28.819999999999983</v>
      </c>
      <c r="AJ35" t="s">
        <v>35</v>
      </c>
    </row>
    <row r="36" spans="1:36">
      <c r="A36" s="70" t="s">
        <v>36</v>
      </c>
      <c r="B36" s="15"/>
      <c r="C36" s="15"/>
      <c r="D36" s="15"/>
      <c r="E36" s="15"/>
      <c r="F36" s="372"/>
      <c r="G36" s="372"/>
      <c r="H36" s="372"/>
      <c r="I36" s="372"/>
      <c r="J36" s="372"/>
      <c r="K36" s="374"/>
      <c r="L36" s="374"/>
      <c r="M36" s="374"/>
      <c r="N36" s="372"/>
      <c r="O36" s="372"/>
      <c r="P36" s="372"/>
      <c r="Q36" s="372"/>
      <c r="R36" s="372"/>
      <c r="S36" s="372"/>
      <c r="T36" s="372"/>
      <c r="U36" s="372"/>
      <c r="V36" s="372"/>
      <c r="W36" s="372"/>
      <c r="X36" s="372"/>
      <c r="Y36" s="372"/>
      <c r="Z36" s="372"/>
      <c r="AA36" s="372"/>
      <c r="AB36" s="372"/>
      <c r="AC36" s="372"/>
      <c r="AD36" s="41"/>
      <c r="AE36" s="41"/>
      <c r="AF36" s="11">
        <f t="shared" ref="AF36:AF59" si="8">COUNTIF(F36:AC36,$AJ$8)</f>
        <v>0</v>
      </c>
      <c r="AG36" s="11">
        <f t="shared" ref="AG36:AG59" si="9">COUNTIF(G36:AD36,$AJ$7)</f>
        <v>0</v>
      </c>
      <c r="AH36" s="11">
        <f t="shared" ref="AH36:AH59" si="10">COUNT(F36:AC36)</f>
        <v>0</v>
      </c>
      <c r="AI36" s="159">
        <f>SUM(F36:AC38,F40:AC40,F45:AC59)</f>
        <v>12.08</v>
      </c>
      <c r="AJ36" t="s">
        <v>37</v>
      </c>
    </row>
    <row r="37" spans="1:36">
      <c r="A37" s="70" t="s">
        <v>38</v>
      </c>
      <c r="B37" s="15"/>
      <c r="C37" s="15"/>
      <c r="D37" s="15"/>
      <c r="E37" s="15"/>
      <c r="F37" s="372"/>
      <c r="G37" s="372"/>
      <c r="H37" s="372"/>
      <c r="I37" s="372"/>
      <c r="J37" s="372"/>
      <c r="K37" s="374"/>
      <c r="L37" s="374"/>
      <c r="M37" s="374"/>
      <c r="N37" s="372"/>
      <c r="O37" s="372"/>
      <c r="P37" s="372"/>
      <c r="Q37" s="372"/>
      <c r="R37" s="372"/>
      <c r="S37" s="372"/>
      <c r="T37" s="372"/>
      <c r="U37" s="372"/>
      <c r="V37" s="372"/>
      <c r="W37" s="372"/>
      <c r="X37" s="372"/>
      <c r="Y37" s="372"/>
      <c r="Z37" s="372"/>
      <c r="AA37" s="372"/>
      <c r="AB37" s="372"/>
      <c r="AC37" s="372"/>
      <c r="AD37" s="41"/>
      <c r="AE37" s="41"/>
      <c r="AF37" s="11">
        <f t="shared" si="8"/>
        <v>0</v>
      </c>
      <c r="AG37" s="11">
        <f t="shared" si="9"/>
        <v>0</v>
      </c>
      <c r="AH37" s="11">
        <f t="shared" si="10"/>
        <v>0</v>
      </c>
    </row>
    <row r="38" spans="1:36">
      <c r="A38" s="70" t="s">
        <v>39</v>
      </c>
      <c r="B38" s="15"/>
      <c r="C38" s="15"/>
      <c r="D38" s="15"/>
      <c r="E38" s="15"/>
      <c r="F38" s="372"/>
      <c r="G38" s="372"/>
      <c r="H38" s="372"/>
      <c r="I38" s="372"/>
      <c r="J38" s="372"/>
      <c r="K38" s="374"/>
      <c r="L38" s="374"/>
      <c r="M38" s="374"/>
      <c r="N38" s="372"/>
      <c r="O38" s="372"/>
      <c r="P38" s="372"/>
      <c r="Q38" s="372"/>
      <c r="R38" s="372"/>
      <c r="S38" s="372"/>
      <c r="T38" s="372"/>
      <c r="U38" s="372"/>
      <c r="V38" s="372"/>
      <c r="W38" s="372"/>
      <c r="X38" s="372"/>
      <c r="Y38" s="372"/>
      <c r="Z38" s="372"/>
      <c r="AA38" s="372"/>
      <c r="AB38" s="372"/>
      <c r="AC38" s="372"/>
      <c r="AD38" s="41"/>
      <c r="AE38" s="41"/>
      <c r="AF38" s="11">
        <f t="shared" si="8"/>
        <v>0</v>
      </c>
      <c r="AG38" s="11">
        <f t="shared" si="9"/>
        <v>0</v>
      </c>
      <c r="AH38" s="11">
        <f t="shared" si="10"/>
        <v>0</v>
      </c>
    </row>
    <row r="39" spans="1:36">
      <c r="A39" s="70">
        <v>34</v>
      </c>
      <c r="B39" s="15"/>
      <c r="C39" s="15"/>
      <c r="D39" s="15"/>
      <c r="E39" s="15"/>
      <c r="F39" s="372" t="s">
        <v>9</v>
      </c>
      <c r="G39" s="372" t="s">
        <v>9</v>
      </c>
      <c r="H39" s="372" t="s">
        <v>9</v>
      </c>
      <c r="I39" s="372" t="s">
        <v>9</v>
      </c>
      <c r="J39" s="372" t="s">
        <v>9</v>
      </c>
      <c r="K39" s="374" t="s">
        <v>9</v>
      </c>
      <c r="L39" s="374" t="s">
        <v>9</v>
      </c>
      <c r="M39" s="374" t="s">
        <v>9</v>
      </c>
      <c r="N39" s="372" t="s">
        <v>9</v>
      </c>
      <c r="O39" s="372" t="s">
        <v>9</v>
      </c>
      <c r="P39" s="372" t="s">
        <v>9</v>
      </c>
      <c r="Q39" s="372" t="s">
        <v>9</v>
      </c>
      <c r="R39" s="372" t="s">
        <v>9</v>
      </c>
      <c r="S39" s="372" t="s">
        <v>9</v>
      </c>
      <c r="T39" s="372" t="s">
        <v>9</v>
      </c>
      <c r="U39" s="372" t="s">
        <v>9</v>
      </c>
      <c r="V39" s="372" t="s">
        <v>9</v>
      </c>
      <c r="W39" s="372" t="s">
        <v>9</v>
      </c>
      <c r="X39" s="372" t="s">
        <v>9</v>
      </c>
      <c r="Y39" s="372" t="s">
        <v>9</v>
      </c>
      <c r="Z39" s="372" t="s">
        <v>9</v>
      </c>
      <c r="AA39" s="372" t="s">
        <v>9</v>
      </c>
      <c r="AB39" s="372" t="s">
        <v>9</v>
      </c>
      <c r="AC39" s="372" t="s">
        <v>9</v>
      </c>
      <c r="AD39" s="41"/>
      <c r="AE39" s="41"/>
      <c r="AF39" s="11">
        <f t="shared" si="8"/>
        <v>24</v>
      </c>
      <c r="AG39" s="11">
        <f t="shared" si="9"/>
        <v>0</v>
      </c>
      <c r="AH39" s="11">
        <f t="shared" si="10"/>
        <v>0</v>
      </c>
    </row>
    <row r="40" spans="1:36">
      <c r="A40" s="70">
        <v>35</v>
      </c>
      <c r="B40" s="15"/>
      <c r="C40" s="15">
        <v>0.85</v>
      </c>
      <c r="D40" s="15"/>
      <c r="E40" s="15"/>
      <c r="F40" s="372"/>
      <c r="G40" s="372"/>
      <c r="H40" s="372"/>
      <c r="I40" s="372"/>
      <c r="J40" s="372"/>
      <c r="K40" s="374"/>
      <c r="L40" s="374"/>
      <c r="M40" s="374"/>
      <c r="N40" s="372"/>
      <c r="O40" s="372"/>
      <c r="P40" s="372"/>
      <c r="Q40" s="372"/>
      <c r="R40" s="372"/>
      <c r="S40" s="372"/>
      <c r="T40" s="372"/>
      <c r="U40" s="372"/>
      <c r="V40" s="372"/>
      <c r="W40" s="372"/>
      <c r="X40" s="372"/>
      <c r="Y40" s="372"/>
      <c r="Z40" s="372"/>
      <c r="AA40" s="372"/>
      <c r="AB40" s="372"/>
      <c r="AC40" s="372"/>
      <c r="AD40" s="41"/>
      <c r="AE40" s="41"/>
      <c r="AF40" s="11">
        <f t="shared" si="8"/>
        <v>0</v>
      </c>
      <c r="AG40" s="11">
        <f t="shared" si="9"/>
        <v>0</v>
      </c>
      <c r="AH40" s="11">
        <f t="shared" si="10"/>
        <v>0</v>
      </c>
    </row>
    <row r="41" spans="1:36">
      <c r="A41" s="70">
        <v>36</v>
      </c>
      <c r="B41" s="15"/>
      <c r="C41" s="15">
        <v>1</v>
      </c>
      <c r="D41" s="15"/>
      <c r="E41" s="15"/>
      <c r="F41" s="372">
        <v>0.7</v>
      </c>
      <c r="G41" s="372">
        <v>0.7</v>
      </c>
      <c r="H41" s="372">
        <v>0.7</v>
      </c>
      <c r="I41" s="372">
        <v>0.7</v>
      </c>
      <c r="J41" s="372">
        <v>0.65</v>
      </c>
      <c r="K41" s="374">
        <v>0.65</v>
      </c>
      <c r="L41" s="374">
        <v>0.65</v>
      </c>
      <c r="M41" s="374">
        <v>0.65</v>
      </c>
      <c r="N41" s="372">
        <v>0.7</v>
      </c>
      <c r="O41" s="372">
        <v>0.7</v>
      </c>
      <c r="P41" s="372">
        <v>0.7</v>
      </c>
      <c r="Q41" s="372">
        <v>0.7</v>
      </c>
      <c r="R41" s="372">
        <v>0.7</v>
      </c>
      <c r="S41" s="372">
        <v>0.7</v>
      </c>
      <c r="T41" s="372">
        <v>0.7</v>
      </c>
      <c r="U41" s="372">
        <v>0.7</v>
      </c>
      <c r="V41" s="372">
        <v>0.7</v>
      </c>
      <c r="W41" s="372">
        <v>0.65</v>
      </c>
      <c r="X41" s="372">
        <v>0.7</v>
      </c>
      <c r="Y41" s="372">
        <f>3.6/5</f>
        <v>0.72</v>
      </c>
      <c r="Z41" s="372">
        <v>0.7</v>
      </c>
      <c r="AA41" s="372">
        <v>0.7</v>
      </c>
      <c r="AB41" s="372">
        <v>0.7</v>
      </c>
      <c r="AC41" s="372">
        <v>0</v>
      </c>
      <c r="AD41" s="41"/>
      <c r="AE41" s="41"/>
      <c r="AF41" s="11">
        <f t="shared" si="8"/>
        <v>0</v>
      </c>
      <c r="AG41" s="11">
        <f t="shared" si="9"/>
        <v>0</v>
      </c>
      <c r="AH41" s="11">
        <f t="shared" si="10"/>
        <v>24</v>
      </c>
    </row>
    <row r="42" spans="1:36">
      <c r="A42" s="70">
        <v>37</v>
      </c>
      <c r="B42" s="15"/>
      <c r="C42" s="15">
        <v>1</v>
      </c>
      <c r="D42" s="15"/>
      <c r="E42" s="15"/>
      <c r="F42" s="372">
        <v>0.7</v>
      </c>
      <c r="G42" s="372">
        <v>0.7</v>
      </c>
      <c r="H42" s="372">
        <v>0.7</v>
      </c>
      <c r="I42" s="372">
        <v>0.7</v>
      </c>
      <c r="J42" s="372">
        <v>0.65</v>
      </c>
      <c r="K42" s="374">
        <v>0.65</v>
      </c>
      <c r="L42" s="374">
        <v>0.65</v>
      </c>
      <c r="M42" s="374">
        <v>0.65</v>
      </c>
      <c r="N42" s="372">
        <v>0.7</v>
      </c>
      <c r="O42" s="372">
        <v>0.7</v>
      </c>
      <c r="P42" s="372">
        <v>0.7</v>
      </c>
      <c r="Q42" s="372">
        <v>0.7</v>
      </c>
      <c r="R42" s="372">
        <v>0.6</v>
      </c>
      <c r="S42" s="372">
        <v>0.7</v>
      </c>
      <c r="T42" s="372">
        <v>0.7</v>
      </c>
      <c r="U42" s="372">
        <v>0.7</v>
      </c>
      <c r="V42" s="372">
        <v>0.7</v>
      </c>
      <c r="W42" s="372">
        <v>0.65</v>
      </c>
      <c r="X42" s="372">
        <v>0.7</v>
      </c>
      <c r="Y42" s="372" t="s">
        <v>9</v>
      </c>
      <c r="Z42" s="372" t="s">
        <v>9</v>
      </c>
      <c r="AA42" s="372" t="s">
        <v>9</v>
      </c>
      <c r="AB42" s="372" t="s">
        <v>9</v>
      </c>
      <c r="AC42" s="372" t="s">
        <v>9</v>
      </c>
      <c r="AD42" s="41"/>
      <c r="AE42" s="41"/>
      <c r="AF42" s="11">
        <f t="shared" si="8"/>
        <v>5</v>
      </c>
      <c r="AG42" s="11">
        <f t="shared" si="9"/>
        <v>0</v>
      </c>
      <c r="AH42" s="11">
        <f t="shared" si="10"/>
        <v>19</v>
      </c>
    </row>
    <row r="43" spans="1:36">
      <c r="A43" s="70">
        <v>38</v>
      </c>
      <c r="B43" s="15"/>
      <c r="C43" s="15"/>
      <c r="D43" s="15"/>
      <c r="E43" s="15"/>
      <c r="F43" s="372" t="s">
        <v>9</v>
      </c>
      <c r="G43" s="372" t="s">
        <v>9</v>
      </c>
      <c r="H43" s="372" t="s">
        <v>9</v>
      </c>
      <c r="I43" s="372" t="s">
        <v>9</v>
      </c>
      <c r="J43" s="372" t="s">
        <v>9</v>
      </c>
      <c r="K43" s="374" t="s">
        <v>9</v>
      </c>
      <c r="L43" s="374" t="s">
        <v>9</v>
      </c>
      <c r="M43" s="374" t="s">
        <v>9</v>
      </c>
      <c r="N43" s="372" t="s">
        <v>9</v>
      </c>
      <c r="O43" s="372" t="s">
        <v>9</v>
      </c>
      <c r="P43" s="372" t="s">
        <v>9</v>
      </c>
      <c r="Q43" s="372" t="s">
        <v>9</v>
      </c>
      <c r="R43" s="372" t="s">
        <v>9</v>
      </c>
      <c r="S43" s="372" t="s">
        <v>9</v>
      </c>
      <c r="T43" s="372" t="s">
        <v>9</v>
      </c>
      <c r="U43" s="372" t="s">
        <v>9</v>
      </c>
      <c r="V43" s="372" t="s">
        <v>9</v>
      </c>
      <c r="W43" s="372" t="s">
        <v>9</v>
      </c>
      <c r="X43" s="372" t="s">
        <v>9</v>
      </c>
      <c r="Y43" s="372" t="s">
        <v>9</v>
      </c>
      <c r="Z43" s="372" t="s">
        <v>9</v>
      </c>
      <c r="AA43" s="372" t="s">
        <v>9</v>
      </c>
      <c r="AB43" s="372" t="s">
        <v>9</v>
      </c>
      <c r="AC43" s="372" t="s">
        <v>9</v>
      </c>
      <c r="AD43" s="41"/>
      <c r="AE43" s="41"/>
      <c r="AF43" s="11">
        <f t="shared" si="8"/>
        <v>24</v>
      </c>
      <c r="AG43" s="11">
        <f t="shared" si="9"/>
        <v>0</v>
      </c>
      <c r="AH43" s="11">
        <f t="shared" si="10"/>
        <v>0</v>
      </c>
    </row>
    <row r="44" spans="1:36" ht="16.5" customHeight="1">
      <c r="A44" s="70">
        <v>39</v>
      </c>
      <c r="B44" s="15"/>
      <c r="C44" s="15">
        <v>1</v>
      </c>
      <c r="D44" s="15"/>
      <c r="E44" s="15"/>
      <c r="F44" s="372" t="s">
        <v>9</v>
      </c>
      <c r="G44" s="372" t="s">
        <v>9</v>
      </c>
      <c r="H44" s="372" t="s">
        <v>9</v>
      </c>
      <c r="I44" s="372" t="s">
        <v>9</v>
      </c>
      <c r="J44" s="372" t="s">
        <v>9</v>
      </c>
      <c r="K44" s="372" t="s">
        <v>9</v>
      </c>
      <c r="L44" s="374" t="s">
        <v>9</v>
      </c>
      <c r="M44" s="374" t="s">
        <v>9</v>
      </c>
      <c r="N44" s="372" t="s">
        <v>9</v>
      </c>
      <c r="O44" s="372" t="s">
        <v>9</v>
      </c>
      <c r="P44" s="372" t="s">
        <v>9</v>
      </c>
      <c r="Q44" s="372" t="s">
        <v>9</v>
      </c>
      <c r="R44" s="372" t="s">
        <v>9</v>
      </c>
      <c r="S44" s="372" t="s">
        <v>9</v>
      </c>
      <c r="T44" s="372" t="s">
        <v>9</v>
      </c>
      <c r="U44" s="372" t="s">
        <v>9</v>
      </c>
      <c r="V44" s="372" t="s">
        <v>9</v>
      </c>
      <c r="W44" s="372" t="s">
        <v>9</v>
      </c>
      <c r="X44" s="372" t="s">
        <v>9</v>
      </c>
      <c r="Y44" s="372" t="s">
        <v>9</v>
      </c>
      <c r="Z44" s="372" t="s">
        <v>9</v>
      </c>
      <c r="AA44" s="372" t="s">
        <v>9</v>
      </c>
      <c r="AB44" s="372" t="s">
        <v>9</v>
      </c>
      <c r="AC44" s="372" t="s">
        <v>9</v>
      </c>
      <c r="AD44" s="41"/>
      <c r="AE44" s="41"/>
      <c r="AF44" s="11">
        <f t="shared" si="8"/>
        <v>24</v>
      </c>
      <c r="AG44" s="11">
        <f t="shared" si="9"/>
        <v>0</v>
      </c>
      <c r="AH44" s="11">
        <f t="shared" si="10"/>
        <v>0</v>
      </c>
    </row>
    <row r="45" spans="1:36" ht="16.5" customHeight="1">
      <c r="A45" s="70" t="s">
        <v>40</v>
      </c>
      <c r="B45" s="15"/>
      <c r="C45" s="15">
        <v>0.85</v>
      </c>
      <c r="D45" s="15"/>
      <c r="E45" s="15"/>
      <c r="F45" s="372"/>
      <c r="G45" s="372"/>
      <c r="H45" s="372"/>
      <c r="I45" s="372"/>
      <c r="J45" s="372"/>
      <c r="K45" s="372"/>
      <c r="L45" s="372"/>
      <c r="M45" s="372"/>
      <c r="N45" s="372"/>
      <c r="O45" s="372"/>
      <c r="P45" s="372"/>
      <c r="Q45" s="372"/>
      <c r="R45" s="372"/>
      <c r="S45" s="372"/>
      <c r="T45" s="372"/>
      <c r="U45" s="372"/>
      <c r="V45" s="372"/>
      <c r="W45" s="372"/>
      <c r="X45" s="372"/>
      <c r="Y45" s="372"/>
      <c r="Z45" s="372"/>
      <c r="AA45" s="372"/>
      <c r="AB45" s="372"/>
      <c r="AC45" s="372"/>
      <c r="AD45" s="41"/>
      <c r="AE45" s="41"/>
      <c r="AF45" s="11">
        <f t="shared" si="8"/>
        <v>0</v>
      </c>
      <c r="AG45" s="11">
        <f t="shared" si="9"/>
        <v>0</v>
      </c>
      <c r="AH45" s="11">
        <f t="shared" si="10"/>
        <v>0</v>
      </c>
      <c r="AI45" s="159"/>
    </row>
    <row r="46" spans="1:36">
      <c r="A46" s="70" t="s">
        <v>41</v>
      </c>
      <c r="B46" s="15"/>
      <c r="C46" s="15">
        <v>0.75</v>
      </c>
      <c r="D46" s="15"/>
      <c r="E46" s="15"/>
      <c r="F46" s="372">
        <v>0</v>
      </c>
      <c r="G46" s="372">
        <v>0</v>
      </c>
      <c r="H46" s="372">
        <v>0.7</v>
      </c>
      <c r="I46" s="372"/>
      <c r="J46" s="372"/>
      <c r="K46" s="372"/>
      <c r="L46" s="374"/>
      <c r="M46" s="374"/>
      <c r="N46" s="372"/>
      <c r="O46" s="372"/>
      <c r="P46" s="372">
        <v>0.7</v>
      </c>
      <c r="Q46" s="372"/>
      <c r="R46" s="372"/>
      <c r="S46" s="372"/>
      <c r="T46" s="372"/>
      <c r="U46" s="372"/>
      <c r="V46" s="372"/>
      <c r="W46" s="372"/>
      <c r="X46" s="372"/>
      <c r="Y46" s="372">
        <f t="shared" ref="Y46:Y47" si="11">3.6/5</f>
        <v>0.72</v>
      </c>
      <c r="Z46" s="372">
        <v>0</v>
      </c>
      <c r="AA46" s="372">
        <v>0</v>
      </c>
      <c r="AB46" s="372">
        <v>0</v>
      </c>
      <c r="AC46" s="372">
        <v>0</v>
      </c>
      <c r="AD46" s="41"/>
      <c r="AE46" s="41"/>
      <c r="AF46" s="11">
        <f t="shared" si="8"/>
        <v>0</v>
      </c>
      <c r="AG46" s="11">
        <f t="shared" si="9"/>
        <v>0</v>
      </c>
      <c r="AH46" s="11">
        <f t="shared" si="10"/>
        <v>9</v>
      </c>
      <c r="AI46" s="159"/>
    </row>
    <row r="47" spans="1:36">
      <c r="A47" s="70" t="s">
        <v>42</v>
      </c>
      <c r="B47" s="15"/>
      <c r="C47" s="15">
        <v>0.75</v>
      </c>
      <c r="D47" s="15"/>
      <c r="E47" s="15"/>
      <c r="F47" s="372">
        <v>0</v>
      </c>
      <c r="G47" s="372">
        <v>0</v>
      </c>
      <c r="H47" s="372">
        <v>0.7</v>
      </c>
      <c r="I47" s="372"/>
      <c r="J47" s="372"/>
      <c r="K47" s="372"/>
      <c r="L47" s="372"/>
      <c r="M47" s="372"/>
      <c r="N47" s="372"/>
      <c r="O47" s="372"/>
      <c r="P47" s="372" t="s">
        <v>9</v>
      </c>
      <c r="Q47" s="372" t="s">
        <v>9</v>
      </c>
      <c r="R47" s="372" t="s">
        <v>9</v>
      </c>
      <c r="S47" s="372" t="s">
        <v>9</v>
      </c>
      <c r="T47" s="372" t="s">
        <v>9</v>
      </c>
      <c r="U47" s="372" t="s">
        <v>9</v>
      </c>
      <c r="V47" s="372" t="s">
        <v>9</v>
      </c>
      <c r="W47" s="372" t="s">
        <v>9</v>
      </c>
      <c r="X47" s="372" t="s">
        <v>9</v>
      </c>
      <c r="Y47" s="372">
        <f t="shared" si="11"/>
        <v>0.72</v>
      </c>
      <c r="Z47" s="372">
        <v>0</v>
      </c>
      <c r="AA47" s="372">
        <v>0</v>
      </c>
      <c r="AB47" s="372">
        <v>0</v>
      </c>
      <c r="AC47" s="372">
        <v>0</v>
      </c>
      <c r="AD47" s="41"/>
      <c r="AE47" s="41"/>
      <c r="AF47" s="11">
        <f t="shared" si="8"/>
        <v>9</v>
      </c>
      <c r="AG47" s="11">
        <f t="shared" si="9"/>
        <v>0</v>
      </c>
      <c r="AH47" s="11">
        <f t="shared" si="10"/>
        <v>8</v>
      </c>
    </row>
    <row r="48" spans="1:36">
      <c r="A48" s="70" t="s">
        <v>43</v>
      </c>
      <c r="B48" s="15"/>
      <c r="C48" s="15">
        <v>0.75</v>
      </c>
      <c r="D48" s="15"/>
      <c r="E48" s="15"/>
      <c r="F48" s="372">
        <v>0</v>
      </c>
      <c r="G48" s="372">
        <v>0</v>
      </c>
      <c r="H48" s="372">
        <v>0</v>
      </c>
      <c r="I48" s="372">
        <v>0</v>
      </c>
      <c r="J48" s="372">
        <v>0</v>
      </c>
      <c r="K48" s="372">
        <v>0</v>
      </c>
      <c r="L48" s="374">
        <v>0</v>
      </c>
      <c r="M48" s="372">
        <v>0</v>
      </c>
      <c r="N48" s="372">
        <v>0</v>
      </c>
      <c r="O48" s="372">
        <v>0</v>
      </c>
      <c r="P48" s="372">
        <v>0.7</v>
      </c>
      <c r="Q48" s="372"/>
      <c r="R48" s="372"/>
      <c r="S48" s="372"/>
      <c r="T48" s="372"/>
      <c r="U48" s="372"/>
      <c r="V48" s="372"/>
      <c r="W48" s="372"/>
      <c r="X48" s="372"/>
      <c r="Y48" s="372"/>
      <c r="Z48" s="372"/>
      <c r="AA48" s="372"/>
      <c r="AB48" s="372"/>
      <c r="AC48" s="372"/>
      <c r="AD48" s="41"/>
      <c r="AE48" s="41"/>
      <c r="AF48" s="11">
        <f t="shared" si="8"/>
        <v>0</v>
      </c>
      <c r="AG48" s="11">
        <f t="shared" si="9"/>
        <v>0</v>
      </c>
      <c r="AH48" s="11">
        <f t="shared" si="10"/>
        <v>11</v>
      </c>
    </row>
    <row r="49" spans="1:124" ht="15" customHeight="1">
      <c r="A49" s="70" t="s">
        <v>44</v>
      </c>
      <c r="B49" s="15"/>
      <c r="C49" s="15">
        <v>0.75</v>
      </c>
      <c r="D49" s="15"/>
      <c r="E49" s="15"/>
      <c r="F49" s="372">
        <v>0</v>
      </c>
      <c r="G49" s="372">
        <v>0</v>
      </c>
      <c r="H49" s="372">
        <v>0.7</v>
      </c>
      <c r="I49" s="372"/>
      <c r="J49" s="372"/>
      <c r="K49" s="372"/>
      <c r="L49" s="374"/>
      <c r="M49" s="374"/>
      <c r="N49" s="372"/>
      <c r="O49" s="372"/>
      <c r="P49" s="372"/>
      <c r="Q49" s="372"/>
      <c r="R49" s="372"/>
      <c r="S49" s="372"/>
      <c r="T49" s="372"/>
      <c r="U49" s="372"/>
      <c r="V49" s="372"/>
      <c r="W49" s="372"/>
      <c r="X49" s="372"/>
      <c r="Y49" s="372"/>
      <c r="Z49" s="372"/>
      <c r="AA49" s="372"/>
      <c r="AB49" s="372"/>
      <c r="AC49" s="372"/>
      <c r="AD49" s="41"/>
      <c r="AE49" s="41"/>
      <c r="AF49" s="11">
        <f t="shared" si="8"/>
        <v>0</v>
      </c>
      <c r="AG49" s="11">
        <f t="shared" si="9"/>
        <v>0</v>
      </c>
      <c r="AH49" s="11">
        <f t="shared" si="10"/>
        <v>3</v>
      </c>
    </row>
    <row r="50" spans="1:124" ht="16.5" customHeight="1">
      <c r="A50" s="70" t="s">
        <v>45</v>
      </c>
      <c r="B50" s="15"/>
      <c r="C50" s="15">
        <v>0.75</v>
      </c>
      <c r="D50" s="15"/>
      <c r="E50" s="15"/>
      <c r="F50" s="372"/>
      <c r="G50" s="372"/>
      <c r="H50" s="372"/>
      <c r="I50" s="372"/>
      <c r="J50" s="372"/>
      <c r="K50" s="372"/>
      <c r="L50" s="372">
        <v>0.7</v>
      </c>
      <c r="M50" s="374">
        <v>0.7</v>
      </c>
      <c r="N50" s="372"/>
      <c r="O50" s="372"/>
      <c r="P50" s="372"/>
      <c r="Q50" s="372"/>
      <c r="R50" s="372"/>
      <c r="S50" s="372"/>
      <c r="T50" s="372"/>
      <c r="U50" s="372"/>
      <c r="V50" s="372"/>
      <c r="W50" s="372"/>
      <c r="X50" s="372"/>
      <c r="Y50" s="372">
        <f>3.6/5</f>
        <v>0.72</v>
      </c>
      <c r="Z50" s="372">
        <v>0</v>
      </c>
      <c r="AA50" s="372">
        <v>0</v>
      </c>
      <c r="AB50" s="372">
        <v>0</v>
      </c>
      <c r="AC50" s="372">
        <v>0</v>
      </c>
      <c r="AD50" s="41"/>
      <c r="AE50" s="41"/>
      <c r="AF50" s="11">
        <f t="shared" si="8"/>
        <v>0</v>
      </c>
      <c r="AG50" s="11">
        <f t="shared" si="9"/>
        <v>0</v>
      </c>
      <c r="AH50" s="11">
        <f t="shared" si="10"/>
        <v>7</v>
      </c>
    </row>
    <row r="51" spans="1:124">
      <c r="A51" s="70" t="s">
        <v>46</v>
      </c>
      <c r="B51" s="15"/>
      <c r="C51" s="15">
        <v>0.85</v>
      </c>
      <c r="D51" s="15"/>
      <c r="E51" s="15"/>
      <c r="F51" s="372"/>
      <c r="G51" s="374"/>
      <c r="H51" s="374"/>
      <c r="I51" s="374"/>
      <c r="J51" s="374"/>
      <c r="K51" s="374"/>
      <c r="L51" s="374"/>
      <c r="M51" s="374"/>
      <c r="N51" s="372"/>
      <c r="O51" s="372">
        <v>0.7</v>
      </c>
      <c r="P51" s="372">
        <v>0.7</v>
      </c>
      <c r="Q51" s="372"/>
      <c r="R51" s="372"/>
      <c r="S51" s="372"/>
      <c r="T51" s="372"/>
      <c r="U51" s="372"/>
      <c r="V51" s="372"/>
      <c r="W51" s="372"/>
      <c r="X51" s="372"/>
      <c r="Y51" s="372"/>
      <c r="Z51" s="372"/>
      <c r="AA51" s="372"/>
      <c r="AB51" s="372"/>
      <c r="AC51" s="372"/>
      <c r="AD51" s="41"/>
      <c r="AE51" s="41"/>
      <c r="AF51" s="11">
        <f t="shared" si="8"/>
        <v>0</v>
      </c>
      <c r="AG51" s="11">
        <f t="shared" si="9"/>
        <v>0</v>
      </c>
      <c r="AH51" s="11">
        <f t="shared" si="10"/>
        <v>2</v>
      </c>
    </row>
    <row r="52" spans="1:124">
      <c r="A52" s="70" t="s">
        <v>47</v>
      </c>
      <c r="B52" s="15"/>
      <c r="C52" s="15">
        <v>0.85</v>
      </c>
      <c r="D52" s="15"/>
      <c r="E52" s="15"/>
      <c r="F52" s="372" t="s">
        <v>9</v>
      </c>
      <c r="G52" s="374" t="s">
        <v>9</v>
      </c>
      <c r="H52" s="374" t="s">
        <v>9</v>
      </c>
      <c r="I52" s="374" t="s">
        <v>9</v>
      </c>
      <c r="J52" s="374" t="s">
        <v>9</v>
      </c>
      <c r="K52" s="374" t="s">
        <v>9</v>
      </c>
      <c r="L52" s="374" t="s">
        <v>9</v>
      </c>
      <c r="M52" s="374" t="s">
        <v>9</v>
      </c>
      <c r="N52" s="372" t="s">
        <v>9</v>
      </c>
      <c r="O52" s="372" t="s">
        <v>9</v>
      </c>
      <c r="P52" s="372" t="s">
        <v>9</v>
      </c>
      <c r="Q52" s="372" t="s">
        <v>9</v>
      </c>
      <c r="R52" s="372" t="s">
        <v>9</v>
      </c>
      <c r="S52" s="372" t="s">
        <v>9</v>
      </c>
      <c r="T52" s="372" t="s">
        <v>9</v>
      </c>
      <c r="U52" s="372" t="s">
        <v>9</v>
      </c>
      <c r="V52" s="372" t="s">
        <v>9</v>
      </c>
      <c r="W52" s="372" t="s">
        <v>9</v>
      </c>
      <c r="X52" s="372" t="s">
        <v>9</v>
      </c>
      <c r="Y52" s="372" t="s">
        <v>9</v>
      </c>
      <c r="Z52" s="372" t="s">
        <v>9</v>
      </c>
      <c r="AA52" s="372" t="s">
        <v>9</v>
      </c>
      <c r="AB52" s="372" t="s">
        <v>9</v>
      </c>
      <c r="AC52" s="372" t="s">
        <v>9</v>
      </c>
      <c r="AD52" s="41"/>
      <c r="AE52" s="41"/>
      <c r="AF52" s="11">
        <f t="shared" si="8"/>
        <v>24</v>
      </c>
      <c r="AG52" s="11">
        <f t="shared" si="9"/>
        <v>0</v>
      </c>
      <c r="AH52" s="11">
        <f t="shared" si="10"/>
        <v>0</v>
      </c>
    </row>
    <row r="53" spans="1:124">
      <c r="A53" s="70" t="s">
        <v>48</v>
      </c>
      <c r="B53" s="15"/>
      <c r="C53" s="15">
        <v>0.85</v>
      </c>
      <c r="D53" s="15"/>
      <c r="E53" s="15"/>
      <c r="F53" s="372"/>
      <c r="G53" s="372"/>
      <c r="H53" s="372"/>
      <c r="I53" s="372"/>
      <c r="J53" s="372"/>
      <c r="K53" s="374"/>
      <c r="L53" s="372"/>
      <c r="M53" s="372"/>
      <c r="N53" s="372"/>
      <c r="O53" s="372"/>
      <c r="P53" s="372"/>
      <c r="Q53" s="372"/>
      <c r="R53" s="372"/>
      <c r="S53" s="372"/>
      <c r="T53" s="372"/>
      <c r="U53" s="372"/>
      <c r="V53" s="372"/>
      <c r="W53" s="372"/>
      <c r="X53" s="372"/>
      <c r="Y53" s="372"/>
      <c r="Z53" s="372"/>
      <c r="AA53" s="372"/>
      <c r="AB53" s="372"/>
      <c r="AC53" s="372"/>
      <c r="AD53" s="41"/>
      <c r="AE53" s="41"/>
      <c r="AF53" s="11">
        <f t="shared" si="8"/>
        <v>0</v>
      </c>
      <c r="AG53" s="11">
        <f t="shared" si="9"/>
        <v>0</v>
      </c>
      <c r="AH53" s="11">
        <f t="shared" si="10"/>
        <v>0</v>
      </c>
    </row>
    <row r="54" spans="1:124" ht="16.5" customHeight="1">
      <c r="A54" s="70" t="s">
        <v>49</v>
      </c>
      <c r="B54" s="15"/>
      <c r="C54" s="15">
        <v>0.85</v>
      </c>
      <c r="D54" s="15"/>
      <c r="E54" s="15"/>
      <c r="F54" s="372"/>
      <c r="G54" s="372"/>
      <c r="H54" s="372"/>
      <c r="I54" s="372"/>
      <c r="J54" s="372"/>
      <c r="K54" s="374"/>
      <c r="L54" s="372"/>
      <c r="M54" s="374"/>
      <c r="N54" s="372"/>
      <c r="O54" s="372"/>
      <c r="P54" s="372">
        <v>0.8</v>
      </c>
      <c r="Q54" s="372"/>
      <c r="R54" s="372"/>
      <c r="S54" s="372"/>
      <c r="T54" s="372"/>
      <c r="U54" s="372"/>
      <c r="V54" s="372"/>
      <c r="W54" s="372"/>
      <c r="X54" s="372"/>
      <c r="Y54" s="372"/>
      <c r="Z54" s="372"/>
      <c r="AA54" s="372"/>
      <c r="AB54" s="372"/>
      <c r="AC54" s="372"/>
      <c r="AD54" s="41"/>
      <c r="AE54" s="41"/>
      <c r="AF54" s="11">
        <f t="shared" si="8"/>
        <v>0</v>
      </c>
      <c r="AG54" s="11">
        <f t="shared" si="9"/>
        <v>0</v>
      </c>
      <c r="AH54" s="11">
        <f t="shared" si="10"/>
        <v>1</v>
      </c>
    </row>
    <row r="55" spans="1:124">
      <c r="A55" s="70" t="s">
        <v>50</v>
      </c>
      <c r="B55" s="15"/>
      <c r="C55" s="15">
        <v>0.85</v>
      </c>
      <c r="D55" s="15"/>
      <c r="E55" s="15"/>
      <c r="F55" s="372"/>
      <c r="G55" s="372"/>
      <c r="H55" s="372"/>
      <c r="I55" s="372"/>
      <c r="J55" s="372"/>
      <c r="K55" s="374"/>
      <c r="L55" s="372"/>
      <c r="M55" s="374"/>
      <c r="N55" s="372"/>
      <c r="O55" s="372"/>
      <c r="P55" s="372"/>
      <c r="Q55" s="372"/>
      <c r="R55" s="372"/>
      <c r="S55" s="372"/>
      <c r="T55" s="372"/>
      <c r="U55" s="372"/>
      <c r="V55" s="372"/>
      <c r="W55" s="372"/>
      <c r="X55" s="372"/>
      <c r="Y55" s="372"/>
      <c r="Z55" s="372"/>
      <c r="AA55" s="372"/>
      <c r="AB55" s="372"/>
      <c r="AC55" s="372"/>
      <c r="AD55" s="41"/>
      <c r="AE55" s="41"/>
      <c r="AF55" s="11">
        <f>COUNTIF(F55:AC55,$AJ$8)</f>
        <v>0</v>
      </c>
      <c r="AG55" s="11">
        <f t="shared" si="9"/>
        <v>0</v>
      </c>
      <c r="AH55" s="11">
        <f>COUNT(F55:AC55)</f>
        <v>0</v>
      </c>
    </row>
    <row r="56" spans="1:124">
      <c r="A56" s="70" t="s">
        <v>51</v>
      </c>
      <c r="B56" s="15"/>
      <c r="C56" s="15">
        <v>0.75</v>
      </c>
      <c r="D56" s="15"/>
      <c r="E56" s="15"/>
      <c r="F56" s="372"/>
      <c r="G56" s="372"/>
      <c r="H56" s="372"/>
      <c r="I56" s="372"/>
      <c r="J56" s="372"/>
      <c r="K56" s="372"/>
      <c r="L56" s="374"/>
      <c r="M56" s="374"/>
      <c r="N56" s="372"/>
      <c r="O56" s="372">
        <v>0.7</v>
      </c>
      <c r="P56" s="372"/>
      <c r="Q56" s="372"/>
      <c r="R56" s="372"/>
      <c r="S56" s="372"/>
      <c r="T56" s="372"/>
      <c r="U56" s="372"/>
      <c r="V56" s="372"/>
      <c r="W56" s="372"/>
      <c r="X56" s="372"/>
      <c r="Y56" s="372">
        <f>3.6/5</f>
        <v>0.72</v>
      </c>
      <c r="Z56" s="372">
        <v>0.7</v>
      </c>
      <c r="AA56" s="372">
        <v>0</v>
      </c>
      <c r="AB56" s="372">
        <v>0.7</v>
      </c>
      <c r="AC56" s="372">
        <v>0</v>
      </c>
      <c r="AD56" s="41"/>
      <c r="AE56" s="41"/>
      <c r="AF56" s="11">
        <f t="shared" si="8"/>
        <v>0</v>
      </c>
      <c r="AG56" s="11">
        <f t="shared" si="9"/>
        <v>0</v>
      </c>
      <c r="AH56" s="11">
        <f t="shared" si="10"/>
        <v>6</v>
      </c>
    </row>
    <row r="57" spans="1:124">
      <c r="A57" s="70" t="s">
        <v>52</v>
      </c>
      <c r="B57" s="15"/>
      <c r="C57" s="15">
        <v>0.75</v>
      </c>
      <c r="D57" s="15"/>
      <c r="E57" s="15"/>
      <c r="F57" s="372"/>
      <c r="G57" s="372"/>
      <c r="H57" s="372"/>
      <c r="I57" s="372"/>
      <c r="J57" s="372"/>
      <c r="K57" s="372"/>
      <c r="L57" s="374"/>
      <c r="M57" s="374"/>
      <c r="N57" s="372"/>
      <c r="O57" s="372"/>
      <c r="P57" s="372"/>
      <c r="Q57" s="372"/>
      <c r="R57" s="372"/>
      <c r="S57" s="372"/>
      <c r="T57" s="372"/>
      <c r="U57" s="372"/>
      <c r="V57" s="372"/>
      <c r="W57" s="372"/>
      <c r="X57" s="372"/>
      <c r="Y57" s="372"/>
      <c r="Z57" s="372"/>
      <c r="AA57" s="372"/>
      <c r="AB57" s="372">
        <v>0</v>
      </c>
      <c r="AC57" s="372">
        <v>0</v>
      </c>
      <c r="AD57" s="41"/>
      <c r="AE57" s="41"/>
      <c r="AF57" s="11">
        <f t="shared" si="8"/>
        <v>0</v>
      </c>
      <c r="AG57" s="11">
        <f t="shared" si="9"/>
        <v>0</v>
      </c>
      <c r="AH57" s="11">
        <f t="shared" si="10"/>
        <v>2</v>
      </c>
    </row>
    <row r="58" spans="1:124">
      <c r="A58" s="70" t="s">
        <v>53</v>
      </c>
      <c r="B58" s="15"/>
      <c r="C58" s="15">
        <v>0.85</v>
      </c>
      <c r="D58" s="15"/>
      <c r="E58" s="15"/>
      <c r="F58" s="372"/>
      <c r="G58" s="372"/>
      <c r="H58" s="372"/>
      <c r="I58" s="372"/>
      <c r="J58" s="372"/>
      <c r="K58" s="372"/>
      <c r="L58" s="372"/>
      <c r="M58" s="374"/>
      <c r="N58" s="372"/>
      <c r="O58" s="372"/>
      <c r="P58" s="372"/>
      <c r="Q58" s="372"/>
      <c r="R58" s="372"/>
      <c r="S58" s="372"/>
      <c r="T58" s="372"/>
      <c r="U58" s="372"/>
      <c r="V58" s="372"/>
      <c r="W58" s="372"/>
      <c r="X58" s="372"/>
      <c r="Y58" s="372"/>
      <c r="Z58" s="372"/>
      <c r="AA58" s="372"/>
      <c r="AB58" s="372"/>
      <c r="AC58" s="372"/>
      <c r="AD58" s="41"/>
      <c r="AE58" s="41"/>
      <c r="AF58" s="11">
        <f t="shared" si="8"/>
        <v>0</v>
      </c>
      <c r="AG58" s="11">
        <f t="shared" si="9"/>
        <v>0</v>
      </c>
      <c r="AH58" s="11">
        <f t="shared" si="10"/>
        <v>0</v>
      </c>
    </row>
    <row r="59" spans="1:124">
      <c r="A59" s="70" t="s">
        <v>54</v>
      </c>
      <c r="B59" s="15"/>
      <c r="C59" s="15">
        <v>0.85</v>
      </c>
      <c r="D59" s="15"/>
      <c r="E59" s="15"/>
      <c r="F59" s="372"/>
      <c r="G59" s="372"/>
      <c r="H59" s="372"/>
      <c r="I59" s="372"/>
      <c r="J59" s="372"/>
      <c r="K59" s="374"/>
      <c r="L59" s="374"/>
      <c r="M59" s="374"/>
      <c r="N59" s="372"/>
      <c r="O59" s="372"/>
      <c r="P59" s="372"/>
      <c r="Q59" s="372"/>
      <c r="R59" s="372"/>
      <c r="S59" s="372"/>
      <c r="T59" s="372"/>
      <c r="U59" s="372"/>
      <c r="V59" s="372"/>
      <c r="W59" s="372"/>
      <c r="X59" s="372"/>
      <c r="Y59" s="372"/>
      <c r="Z59" s="372"/>
      <c r="AA59" s="372"/>
      <c r="AB59" s="372"/>
      <c r="AC59" s="372"/>
      <c r="AD59" s="41"/>
      <c r="AE59" s="41"/>
      <c r="AF59" s="11">
        <f t="shared" si="8"/>
        <v>0</v>
      </c>
      <c r="AG59" s="11">
        <f t="shared" si="9"/>
        <v>0</v>
      </c>
      <c r="AH59" s="11">
        <f t="shared" si="10"/>
        <v>0</v>
      </c>
    </row>
    <row r="60" spans="1:124">
      <c r="A60" s="9" t="s">
        <v>26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 t="shared" ref="F60:AC60" si="12">SUM(F36:F59)</f>
        <v>1.4</v>
      </c>
      <c r="G60" s="19">
        <f t="shared" si="12"/>
        <v>1.4</v>
      </c>
      <c r="H60" s="19">
        <f t="shared" si="12"/>
        <v>3.5</v>
      </c>
      <c r="I60" s="19">
        <f t="shared" si="12"/>
        <v>1.4</v>
      </c>
      <c r="J60" s="19">
        <f t="shared" si="12"/>
        <v>1.3</v>
      </c>
      <c r="K60" s="19">
        <f t="shared" si="12"/>
        <v>1.3</v>
      </c>
      <c r="L60" s="19">
        <f t="shared" si="12"/>
        <v>2</v>
      </c>
      <c r="M60" s="19">
        <f t="shared" si="12"/>
        <v>2</v>
      </c>
      <c r="N60" s="19">
        <f t="shared" si="12"/>
        <v>1.4</v>
      </c>
      <c r="O60" s="19">
        <f>SUM(O36:O59)</f>
        <v>2.8</v>
      </c>
      <c r="P60" s="19">
        <f t="shared" si="12"/>
        <v>4.3</v>
      </c>
      <c r="Q60" s="19">
        <f t="shared" si="12"/>
        <v>1.4</v>
      </c>
      <c r="R60" s="19">
        <f t="shared" si="12"/>
        <v>1.2999999999999998</v>
      </c>
      <c r="S60" s="19">
        <f t="shared" si="12"/>
        <v>1.4</v>
      </c>
      <c r="T60" s="19">
        <f>SUM(T36:T59)</f>
        <v>1.4</v>
      </c>
      <c r="U60" s="19">
        <f t="shared" si="12"/>
        <v>1.4</v>
      </c>
      <c r="V60" s="19">
        <f t="shared" si="12"/>
        <v>1.4</v>
      </c>
      <c r="W60" s="19">
        <f t="shared" si="12"/>
        <v>1.3</v>
      </c>
      <c r="X60" s="19">
        <f t="shared" si="12"/>
        <v>1.4</v>
      </c>
      <c r="Y60" s="19">
        <f t="shared" si="12"/>
        <v>3.5999999999999996</v>
      </c>
      <c r="Z60" s="19">
        <f t="shared" si="12"/>
        <v>1.4</v>
      </c>
      <c r="AA60" s="19">
        <f t="shared" si="12"/>
        <v>0.7</v>
      </c>
      <c r="AB60" s="19">
        <f t="shared" si="12"/>
        <v>1.4</v>
      </c>
      <c r="AC60" s="19">
        <f t="shared" si="12"/>
        <v>0</v>
      </c>
      <c r="AD60" s="34"/>
      <c r="AE60" s="34"/>
      <c r="AF60" s="11"/>
      <c r="AG60" s="11"/>
      <c r="AH60" s="11"/>
    </row>
    <row r="61" spans="1:124">
      <c r="A61" s="12" t="s">
        <v>55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27.549999999999997</v>
      </c>
      <c r="AN61" s="351"/>
    </row>
    <row r="62" spans="1:124">
      <c r="A62" s="14" t="s">
        <v>56</v>
      </c>
      <c r="B62" s="20"/>
      <c r="C62" s="15">
        <v>0.75</v>
      </c>
      <c r="D62" s="15"/>
      <c r="E62" s="15"/>
      <c r="F62" s="372">
        <v>0.48499999999999999</v>
      </c>
      <c r="G62" s="372">
        <v>0.45500000000000002</v>
      </c>
      <c r="H62" s="372">
        <v>0.44</v>
      </c>
      <c r="I62" s="372">
        <f>0.81/2</f>
        <v>0.40500000000000003</v>
      </c>
      <c r="J62" s="372">
        <f>0.8/2</f>
        <v>0.4</v>
      </c>
      <c r="K62" s="374">
        <f>0.84/2</f>
        <v>0.42</v>
      </c>
      <c r="L62" s="372">
        <f>0.87/2</f>
        <v>0.435</v>
      </c>
      <c r="M62" s="372">
        <f>0.96/2</f>
        <v>0.48</v>
      </c>
      <c r="N62" s="372">
        <f>1.05/2</f>
        <v>0.52500000000000002</v>
      </c>
      <c r="O62" s="372">
        <f>1.1/2</f>
        <v>0.55000000000000004</v>
      </c>
      <c r="P62" s="372">
        <f>1.21/2</f>
        <v>0.60499999999999998</v>
      </c>
      <c r="Q62" s="372">
        <f>1.25/2</f>
        <v>0.625</v>
      </c>
      <c r="R62" s="372">
        <f>1.08/2</f>
        <v>0.54</v>
      </c>
      <c r="S62" s="372">
        <f>1.22/2</f>
        <v>0.61</v>
      </c>
      <c r="T62" s="372">
        <f>1.21/2</f>
        <v>0.60499999999999998</v>
      </c>
      <c r="U62" s="372">
        <v>0.61</v>
      </c>
      <c r="V62" s="372">
        <v>0.6</v>
      </c>
      <c r="W62" s="372">
        <v>0.61</v>
      </c>
      <c r="X62" s="372">
        <v>0.625</v>
      </c>
      <c r="Y62" s="372">
        <f>1.62/2</f>
        <v>0.81</v>
      </c>
      <c r="Z62" s="372">
        <f>1.63/2</f>
        <v>0.81499999999999995</v>
      </c>
      <c r="AA62" s="372">
        <f>1.46/2</f>
        <v>0.73</v>
      </c>
      <c r="AB62" s="372">
        <f>1.29/2</f>
        <v>0.64500000000000002</v>
      </c>
      <c r="AC62" s="372">
        <v>0.75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24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57</v>
      </c>
      <c r="B63" s="20"/>
      <c r="C63" s="15">
        <v>0.75</v>
      </c>
      <c r="D63" s="15"/>
      <c r="E63" s="15"/>
      <c r="F63" s="372">
        <v>0.48499999999999999</v>
      </c>
      <c r="G63" s="372">
        <v>0.45500000000000002</v>
      </c>
      <c r="H63" s="372">
        <v>0.44</v>
      </c>
      <c r="I63" s="372">
        <f>0.81/2</f>
        <v>0.40500000000000003</v>
      </c>
      <c r="J63" s="372">
        <f>0.8/2</f>
        <v>0.4</v>
      </c>
      <c r="K63" s="374">
        <f>0.84/2</f>
        <v>0.42</v>
      </c>
      <c r="L63" s="372">
        <f>0.87/2</f>
        <v>0.435</v>
      </c>
      <c r="M63" s="372">
        <f>0.96/2</f>
        <v>0.48</v>
      </c>
      <c r="N63" s="372">
        <f>1.05/2</f>
        <v>0.52500000000000002</v>
      </c>
      <c r="O63" s="372">
        <f>1.1/2</f>
        <v>0.55000000000000004</v>
      </c>
      <c r="P63" s="372">
        <f>1.21/2</f>
        <v>0.60499999999999998</v>
      </c>
      <c r="Q63" s="372">
        <f>1.25/2</f>
        <v>0.625</v>
      </c>
      <c r="R63" s="372">
        <f>1.08/2</f>
        <v>0.54</v>
      </c>
      <c r="S63" s="372">
        <f>1.22/2</f>
        <v>0.61</v>
      </c>
      <c r="T63" s="372">
        <f>1.21/2</f>
        <v>0.60499999999999998</v>
      </c>
      <c r="U63" s="372">
        <v>0.61</v>
      </c>
      <c r="V63" s="372">
        <v>0.6</v>
      </c>
      <c r="W63" s="372">
        <v>0.61</v>
      </c>
      <c r="X63" s="372">
        <v>0.625</v>
      </c>
      <c r="Y63" s="372">
        <f>1.62/2</f>
        <v>0.81</v>
      </c>
      <c r="Z63" s="372">
        <f>1.63/2</f>
        <v>0.81499999999999995</v>
      </c>
      <c r="AA63" s="372">
        <f>1.46/2</f>
        <v>0.73</v>
      </c>
      <c r="AB63" s="372">
        <f>1.29/2</f>
        <v>0.64500000000000002</v>
      </c>
      <c r="AC63" s="372">
        <v>0.75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24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58</v>
      </c>
      <c r="B64" s="20"/>
      <c r="C64" s="15">
        <v>0.75</v>
      </c>
      <c r="D64" s="15"/>
      <c r="E64" s="15"/>
      <c r="F64" s="372" t="s">
        <v>9</v>
      </c>
      <c r="G64" s="372" t="s">
        <v>9</v>
      </c>
      <c r="H64" s="372" t="s">
        <v>9</v>
      </c>
      <c r="I64" s="372" t="s">
        <v>9</v>
      </c>
      <c r="J64" s="372" t="s">
        <v>9</v>
      </c>
      <c r="K64" s="374" t="s">
        <v>9</v>
      </c>
      <c r="L64" s="372" t="s">
        <v>9</v>
      </c>
      <c r="M64" s="372" t="s">
        <v>9</v>
      </c>
      <c r="N64" s="372" t="s">
        <v>9</v>
      </c>
      <c r="O64" s="372" t="s">
        <v>9</v>
      </c>
      <c r="P64" s="372" t="s">
        <v>9</v>
      </c>
      <c r="Q64" s="372" t="s">
        <v>9</v>
      </c>
      <c r="R64" s="372" t="s">
        <v>9</v>
      </c>
      <c r="S64" s="372" t="s">
        <v>9</v>
      </c>
      <c r="T64" s="372" t="s">
        <v>9</v>
      </c>
      <c r="U64" s="372" t="s">
        <v>9</v>
      </c>
      <c r="V64" s="372" t="s">
        <v>9</v>
      </c>
      <c r="W64" s="372" t="s">
        <v>9</v>
      </c>
      <c r="X64" s="372" t="s">
        <v>9</v>
      </c>
      <c r="Y64" s="372" t="s">
        <v>9</v>
      </c>
      <c r="Z64" s="372" t="s">
        <v>9</v>
      </c>
      <c r="AA64" s="372" t="s">
        <v>9</v>
      </c>
      <c r="AB64" s="372" t="s">
        <v>9</v>
      </c>
      <c r="AC64" s="372" t="s">
        <v>9</v>
      </c>
      <c r="AD64" s="32"/>
      <c r="AE64" s="32"/>
      <c r="AF64" s="11">
        <f>COUNTIF(F64:AC64,$AF$11)</f>
        <v>24</v>
      </c>
      <c r="AG64" s="11">
        <f>COUNTIF(G64:AC64,$AG$11)</f>
        <v>0</v>
      </c>
      <c r="AH64" s="11">
        <f>COUNT(F64:AC64)</f>
        <v>0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0.97</v>
      </c>
      <c r="G65" s="19">
        <f t="shared" ref="G65" si="13">SUM(G62:G64)</f>
        <v>0.91</v>
      </c>
      <c r="H65" s="19">
        <f>SUM(H62:H64)</f>
        <v>0.88</v>
      </c>
      <c r="I65" s="19">
        <f>SUM(I62:I64)</f>
        <v>0.81</v>
      </c>
      <c r="J65" s="19">
        <f t="shared" ref="J65" si="14">SUM(J62:J64)</f>
        <v>0.8</v>
      </c>
      <c r="K65" s="19">
        <f>SUM(K62:K64)</f>
        <v>0.84</v>
      </c>
      <c r="L65" s="19">
        <f>SUM(L62:L64)</f>
        <v>0.87</v>
      </c>
      <c r="M65" s="19">
        <f>SUM(M62:M64)</f>
        <v>0.96</v>
      </c>
      <c r="N65" s="19">
        <f>SUM(N62:N64)</f>
        <v>1.05</v>
      </c>
      <c r="O65" s="19">
        <f t="shared" ref="O65:AB65" si="15">SUM(O62:O64)</f>
        <v>1.1000000000000001</v>
      </c>
      <c r="P65" s="19">
        <f t="shared" si="15"/>
        <v>1.21</v>
      </c>
      <c r="Q65" s="19">
        <f t="shared" si="15"/>
        <v>1.25</v>
      </c>
      <c r="R65" s="19">
        <f t="shared" si="15"/>
        <v>1.08</v>
      </c>
      <c r="S65" s="19">
        <f t="shared" si="15"/>
        <v>1.22</v>
      </c>
      <c r="T65" s="19">
        <f t="shared" si="15"/>
        <v>1.21</v>
      </c>
      <c r="U65" s="19">
        <f t="shared" si="15"/>
        <v>1.22</v>
      </c>
      <c r="V65" s="19">
        <f t="shared" si="15"/>
        <v>1.2</v>
      </c>
      <c r="W65" s="19">
        <f t="shared" si="15"/>
        <v>1.22</v>
      </c>
      <c r="X65" s="19">
        <f t="shared" si="15"/>
        <v>1.25</v>
      </c>
      <c r="Y65" s="19">
        <f>SUM(Y62:Y64)</f>
        <v>1.62</v>
      </c>
      <c r="Z65" s="19">
        <f t="shared" si="15"/>
        <v>1.63</v>
      </c>
      <c r="AA65" s="19">
        <f t="shared" si="15"/>
        <v>1.46</v>
      </c>
      <c r="AB65" s="19">
        <f t="shared" si="15"/>
        <v>1.29</v>
      </c>
      <c r="AC65" s="19">
        <f>SUM(AC62:AC64)</f>
        <v>1.5</v>
      </c>
      <c r="AD65" s="34"/>
      <c r="AE65" s="34"/>
      <c r="AF65" s="11"/>
      <c r="AG65" s="11"/>
      <c r="AH65" s="11"/>
    </row>
    <row r="66" spans="1:124" hidden="1">
      <c r="A66" s="12" t="s">
        <v>59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idden="1">
      <c r="A67" s="14" t="s">
        <v>60</v>
      </c>
      <c r="B67" s="15"/>
      <c r="C67" s="15">
        <v>0.85</v>
      </c>
      <c r="D67" s="15"/>
      <c r="E67" s="15"/>
      <c r="F67" s="372"/>
      <c r="G67" s="372"/>
      <c r="H67" s="372"/>
      <c r="I67" s="372"/>
      <c r="J67" s="372"/>
      <c r="K67" s="374"/>
      <c r="L67" s="374"/>
      <c r="M67" s="374"/>
      <c r="N67" s="372"/>
      <c r="O67" s="372"/>
      <c r="P67" s="372"/>
      <c r="Q67" s="372"/>
      <c r="R67" s="372"/>
      <c r="S67" s="372"/>
      <c r="T67" s="372"/>
      <c r="U67" s="372"/>
      <c r="V67" s="372"/>
      <c r="W67" s="372"/>
      <c r="X67" s="372"/>
      <c r="Y67" s="372"/>
      <c r="Z67" s="372"/>
      <c r="AA67" s="372"/>
      <c r="AB67" s="372"/>
      <c r="AC67" s="372"/>
      <c r="AD67" s="35"/>
      <c r="AE67" s="35"/>
      <c r="AF67" s="11">
        <f t="shared" ref="AF67:AF75" si="16">COUNTIF(F67:AC67,$AF$11)</f>
        <v>0</v>
      </c>
      <c r="AG67" s="11">
        <f t="shared" ref="AG67:AG75" si="17">COUNTIF(G67:AC67,$AG$11)</f>
        <v>0</v>
      </c>
      <c r="AH67" s="11">
        <f t="shared" ref="AH67:AH75" si="18">COUNT(F67:AC67)</f>
        <v>0</v>
      </c>
    </row>
    <row r="68" spans="1:124" hidden="1">
      <c r="A68" s="14" t="s">
        <v>61</v>
      </c>
      <c r="B68" s="15"/>
      <c r="C68" s="15">
        <v>0.85</v>
      </c>
      <c r="D68" s="15"/>
      <c r="E68" s="15"/>
      <c r="F68" s="372"/>
      <c r="G68" s="372"/>
      <c r="H68" s="372"/>
      <c r="I68" s="372"/>
      <c r="J68" s="372"/>
      <c r="K68" s="374"/>
      <c r="L68" s="374"/>
      <c r="M68" s="374"/>
      <c r="N68" s="372"/>
      <c r="O68" s="372"/>
      <c r="P68" s="372"/>
      <c r="Q68" s="372"/>
      <c r="R68" s="372"/>
      <c r="S68" s="372"/>
      <c r="T68" s="372"/>
      <c r="U68" s="372"/>
      <c r="V68" s="372"/>
      <c r="W68" s="372"/>
      <c r="X68" s="372"/>
      <c r="Y68" s="372"/>
      <c r="Z68" s="372"/>
      <c r="AA68" s="372"/>
      <c r="AB68" s="372"/>
      <c r="AC68" s="372"/>
      <c r="AD68" s="35"/>
      <c r="AE68" s="35"/>
      <c r="AF68" s="11">
        <f t="shared" si="16"/>
        <v>0</v>
      </c>
      <c r="AG68" s="11">
        <f t="shared" si="17"/>
        <v>0</v>
      </c>
      <c r="AH68" s="11">
        <f t="shared" si="18"/>
        <v>0</v>
      </c>
    </row>
    <row r="69" spans="1:124" hidden="1">
      <c r="A69" s="14" t="s">
        <v>62</v>
      </c>
      <c r="B69" s="15"/>
      <c r="C69" s="15">
        <v>0.85</v>
      </c>
      <c r="D69" s="15"/>
      <c r="E69" s="15"/>
      <c r="F69" s="372"/>
      <c r="G69" s="372"/>
      <c r="H69" s="372"/>
      <c r="I69" s="372"/>
      <c r="J69" s="372"/>
      <c r="K69" s="374"/>
      <c r="L69" s="374"/>
      <c r="M69" s="374"/>
      <c r="N69" s="372"/>
      <c r="O69" s="372"/>
      <c r="P69" s="372"/>
      <c r="Q69" s="372"/>
      <c r="R69" s="372"/>
      <c r="S69" s="372"/>
      <c r="T69" s="372"/>
      <c r="U69" s="372"/>
      <c r="V69" s="372"/>
      <c r="W69" s="372"/>
      <c r="X69" s="372"/>
      <c r="Y69" s="372"/>
      <c r="Z69" s="372"/>
      <c r="AA69" s="372"/>
      <c r="AB69" s="372"/>
      <c r="AC69" s="372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8"/>
        <v>0</v>
      </c>
    </row>
    <row r="70" spans="1:124" hidden="1">
      <c r="A70" s="14" t="s">
        <v>63</v>
      </c>
      <c r="B70" s="15"/>
      <c r="C70" s="15">
        <v>0.85</v>
      </c>
      <c r="D70" s="15"/>
      <c r="E70" s="15"/>
      <c r="F70" s="372"/>
      <c r="G70" s="372"/>
      <c r="H70" s="372"/>
      <c r="I70" s="372"/>
      <c r="J70" s="372"/>
      <c r="K70" s="374"/>
      <c r="L70" s="374"/>
      <c r="M70" s="374"/>
      <c r="N70" s="372"/>
      <c r="O70" s="372"/>
      <c r="P70" s="372"/>
      <c r="Q70" s="372"/>
      <c r="R70" s="372"/>
      <c r="S70" s="372"/>
      <c r="T70" s="372"/>
      <c r="U70" s="372"/>
      <c r="V70" s="372"/>
      <c r="W70" s="372"/>
      <c r="X70" s="372"/>
      <c r="Y70" s="372"/>
      <c r="Z70" s="372"/>
      <c r="AA70" s="372"/>
      <c r="AB70" s="372"/>
      <c r="AC70" s="372"/>
      <c r="AD70" s="35"/>
      <c r="AE70" s="35"/>
      <c r="AF70" s="11">
        <f t="shared" si="16"/>
        <v>0</v>
      </c>
      <c r="AG70" s="11">
        <f t="shared" si="17"/>
        <v>0</v>
      </c>
      <c r="AH70" s="11">
        <f t="shared" si="18"/>
        <v>0</v>
      </c>
      <c r="AI70" s="5"/>
      <c r="AJ70" s="5"/>
      <c r="AK70" s="5"/>
      <c r="AL70" s="5"/>
    </row>
    <row r="71" spans="1:124" hidden="1">
      <c r="A71" s="14" t="s">
        <v>64</v>
      </c>
      <c r="B71" s="15"/>
      <c r="C71" s="15">
        <v>0.85</v>
      </c>
      <c r="D71" s="15"/>
      <c r="E71" s="15"/>
      <c r="F71" s="372"/>
      <c r="G71" s="372"/>
      <c r="H71" s="372"/>
      <c r="I71" s="372"/>
      <c r="J71" s="372"/>
      <c r="K71" s="374"/>
      <c r="L71" s="374"/>
      <c r="M71" s="374"/>
      <c r="N71" s="372"/>
      <c r="O71" s="372"/>
      <c r="P71" s="372"/>
      <c r="Q71" s="372"/>
      <c r="R71" s="372"/>
      <c r="S71" s="372"/>
      <c r="T71" s="372"/>
      <c r="U71" s="372"/>
      <c r="V71" s="372"/>
      <c r="W71" s="372"/>
      <c r="X71" s="372"/>
      <c r="Y71" s="372"/>
      <c r="Z71" s="372"/>
      <c r="AA71" s="372"/>
      <c r="AB71" s="372"/>
      <c r="AC71" s="372"/>
      <c r="AD71" s="35"/>
      <c r="AE71" s="35"/>
      <c r="AF71" s="11">
        <f t="shared" si="16"/>
        <v>0</v>
      </c>
      <c r="AG71" s="11">
        <f t="shared" si="17"/>
        <v>0</v>
      </c>
      <c r="AH71" s="11">
        <f t="shared" si="18"/>
        <v>0</v>
      </c>
    </row>
    <row r="72" spans="1:124" hidden="1">
      <c r="A72" s="14" t="s">
        <v>65</v>
      </c>
      <c r="B72" s="15"/>
      <c r="C72" s="15">
        <v>0.85</v>
      </c>
      <c r="D72" s="15"/>
      <c r="E72" s="15"/>
      <c r="F72" s="372"/>
      <c r="G72" s="372"/>
      <c r="H72" s="372"/>
      <c r="I72" s="372"/>
      <c r="J72" s="372"/>
      <c r="K72" s="374"/>
      <c r="L72" s="374"/>
      <c r="M72" s="374"/>
      <c r="N72" s="372"/>
      <c r="O72" s="372"/>
      <c r="P72" s="372"/>
      <c r="Q72" s="372"/>
      <c r="R72" s="372"/>
      <c r="S72" s="372"/>
      <c r="T72" s="372"/>
      <c r="U72" s="372"/>
      <c r="V72" s="372"/>
      <c r="W72" s="372"/>
      <c r="X72" s="372"/>
      <c r="Y72" s="372"/>
      <c r="Z72" s="372"/>
      <c r="AA72" s="372"/>
      <c r="AB72" s="372"/>
      <c r="AC72" s="372"/>
      <c r="AD72" s="35"/>
      <c r="AE72" s="35"/>
      <c r="AF72" s="11">
        <f t="shared" si="16"/>
        <v>0</v>
      </c>
      <c r="AG72" s="11">
        <f t="shared" si="17"/>
        <v>0</v>
      </c>
      <c r="AH72" s="11">
        <f t="shared" si="18"/>
        <v>0</v>
      </c>
    </row>
    <row r="73" spans="1:124" hidden="1">
      <c r="A73" s="14" t="s">
        <v>66</v>
      </c>
      <c r="B73" s="15"/>
      <c r="C73" s="15">
        <v>0.85</v>
      </c>
      <c r="D73" s="15"/>
      <c r="E73" s="15"/>
      <c r="F73" s="372"/>
      <c r="G73" s="372"/>
      <c r="H73" s="372"/>
      <c r="I73" s="372"/>
      <c r="J73" s="372"/>
      <c r="K73" s="374"/>
      <c r="L73" s="374"/>
      <c r="M73" s="374"/>
      <c r="N73" s="372"/>
      <c r="O73" s="372"/>
      <c r="P73" s="372"/>
      <c r="Q73" s="372"/>
      <c r="R73" s="372"/>
      <c r="S73" s="372"/>
      <c r="T73" s="372"/>
      <c r="U73" s="372"/>
      <c r="V73" s="372"/>
      <c r="W73" s="372"/>
      <c r="X73" s="372"/>
      <c r="Y73" s="372"/>
      <c r="Z73" s="372"/>
      <c r="AA73" s="372"/>
      <c r="AB73" s="372"/>
      <c r="AC73" s="372"/>
      <c r="AD73" s="35"/>
      <c r="AE73" s="35"/>
      <c r="AF73" s="11">
        <f t="shared" si="16"/>
        <v>0</v>
      </c>
      <c r="AG73" s="11">
        <f t="shared" si="17"/>
        <v>0</v>
      </c>
      <c r="AH73" s="11">
        <f t="shared" si="18"/>
        <v>0</v>
      </c>
    </row>
    <row r="74" spans="1:124" hidden="1">
      <c r="A74" s="14" t="s">
        <v>67</v>
      </c>
      <c r="B74" s="19"/>
      <c r="C74" s="15">
        <v>0.85</v>
      </c>
      <c r="D74" s="15"/>
      <c r="E74" s="15"/>
      <c r="F74" s="372"/>
      <c r="G74" s="372"/>
      <c r="H74" s="372"/>
      <c r="I74" s="372"/>
      <c r="J74" s="372"/>
      <c r="K74" s="374"/>
      <c r="L74" s="374"/>
      <c r="M74" s="374"/>
      <c r="N74" s="372"/>
      <c r="O74" s="372"/>
      <c r="P74" s="372"/>
      <c r="Q74" s="372"/>
      <c r="R74" s="372"/>
      <c r="S74" s="372"/>
      <c r="T74" s="372"/>
      <c r="U74" s="372"/>
      <c r="V74" s="372"/>
      <c r="W74" s="372"/>
      <c r="X74" s="372"/>
      <c r="Y74" s="372"/>
      <c r="Z74" s="372"/>
      <c r="AA74" s="372"/>
      <c r="AB74" s="372"/>
      <c r="AC74" s="372"/>
      <c r="AD74" s="29"/>
      <c r="AE74" s="29"/>
      <c r="AF74" s="11">
        <f t="shared" si="16"/>
        <v>0</v>
      </c>
      <c r="AG74" s="11">
        <f t="shared" si="17"/>
        <v>0</v>
      </c>
      <c r="AH74" s="11">
        <f t="shared" si="18"/>
        <v>0</v>
      </c>
    </row>
    <row r="75" spans="1:124" ht="15.75" hidden="1" customHeight="1">
      <c r="A75" s="14" t="s">
        <v>68</v>
      </c>
      <c r="B75" s="9"/>
      <c r="C75" s="15">
        <v>0.85</v>
      </c>
      <c r="D75" s="15"/>
      <c r="E75" s="15"/>
      <c r="F75" s="372"/>
      <c r="G75" s="372"/>
      <c r="H75" s="372"/>
      <c r="I75" s="372"/>
      <c r="J75" s="372"/>
      <c r="K75" s="374"/>
      <c r="L75" s="374"/>
      <c r="M75" s="374"/>
      <c r="N75" s="372"/>
      <c r="O75" s="372"/>
      <c r="P75" s="372"/>
      <c r="Q75" s="372"/>
      <c r="R75" s="372"/>
      <c r="S75" s="372"/>
      <c r="T75" s="372"/>
      <c r="U75" s="372"/>
      <c r="V75" s="372"/>
      <c r="W75" s="372"/>
      <c r="X75" s="372"/>
      <c r="Y75" s="372"/>
      <c r="Z75" s="372"/>
      <c r="AA75" s="372"/>
      <c r="AB75" s="372"/>
      <c r="AC75" s="372"/>
      <c r="AD75" s="31"/>
      <c r="AE75" s="31"/>
      <c r="AF75" s="11">
        <f t="shared" si="16"/>
        <v>0</v>
      </c>
      <c r="AG75" s="11">
        <f t="shared" si="17"/>
        <v>0</v>
      </c>
      <c r="AH75" s="11">
        <f t="shared" si="18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19">SUM(F67:F75)</f>
        <v>0</v>
      </c>
      <c r="G76" s="19">
        <f t="shared" si="19"/>
        <v>0</v>
      </c>
      <c r="H76" s="19">
        <f t="shared" si="19"/>
        <v>0</v>
      </c>
      <c r="I76" s="19">
        <f t="shared" si="19"/>
        <v>0</v>
      </c>
      <c r="J76" s="19">
        <f t="shared" si="19"/>
        <v>0</v>
      </c>
      <c r="K76" s="19">
        <f t="shared" si="19"/>
        <v>0</v>
      </c>
      <c r="L76" s="19">
        <f>SUM(L67:L75)</f>
        <v>0</v>
      </c>
      <c r="M76" s="19">
        <f t="shared" si="19"/>
        <v>0</v>
      </c>
      <c r="N76" s="19">
        <f t="shared" si="19"/>
        <v>0</v>
      </c>
      <c r="O76" s="19">
        <f t="shared" si="19"/>
        <v>0</v>
      </c>
      <c r="P76" s="19">
        <f t="shared" si="19"/>
        <v>0</v>
      </c>
      <c r="Q76" s="19">
        <f>SUM(Q67:Q75)</f>
        <v>0</v>
      </c>
      <c r="R76" s="19">
        <f t="shared" si="19"/>
        <v>0</v>
      </c>
      <c r="S76" s="19">
        <f t="shared" si="19"/>
        <v>0</v>
      </c>
      <c r="T76" s="19">
        <f t="shared" si="19"/>
        <v>0</v>
      </c>
      <c r="U76" s="19">
        <f t="shared" si="19"/>
        <v>0</v>
      </c>
      <c r="V76" s="19">
        <f t="shared" si="19"/>
        <v>0</v>
      </c>
      <c r="W76" s="19">
        <f t="shared" si="19"/>
        <v>0</v>
      </c>
      <c r="X76" s="19">
        <f t="shared" si="19"/>
        <v>0</v>
      </c>
      <c r="Y76" s="19">
        <f t="shared" si="19"/>
        <v>0</v>
      </c>
      <c r="Z76" s="19">
        <f t="shared" si="19"/>
        <v>0</v>
      </c>
      <c r="AA76" s="19">
        <f t="shared" si="19"/>
        <v>0</v>
      </c>
      <c r="AB76" s="19">
        <f t="shared" si="19"/>
        <v>0</v>
      </c>
      <c r="AC76" s="19">
        <f t="shared" si="19"/>
        <v>0</v>
      </c>
      <c r="AD76" s="34"/>
      <c r="AE76" s="34"/>
      <c r="AF76" s="11"/>
      <c r="AG76" s="11"/>
      <c r="AH76" s="11"/>
    </row>
    <row r="77" spans="1:124">
      <c r="A77" s="12" t="s">
        <v>69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 t="s">
        <v>21</v>
      </c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19.37</v>
      </c>
    </row>
    <row r="78" spans="1:124">
      <c r="A78" s="14" t="s">
        <v>70</v>
      </c>
      <c r="B78" s="20"/>
      <c r="C78" s="15">
        <v>1</v>
      </c>
      <c r="D78" s="15"/>
      <c r="E78" s="15"/>
      <c r="F78" s="372"/>
      <c r="G78" s="372"/>
      <c r="H78" s="372"/>
      <c r="I78" s="372"/>
      <c r="J78" s="372"/>
      <c r="K78" s="374"/>
      <c r="L78" s="374"/>
      <c r="M78" s="374">
        <v>0.73</v>
      </c>
      <c r="N78" s="372">
        <v>0.72</v>
      </c>
      <c r="O78" s="372">
        <v>0.78</v>
      </c>
      <c r="P78" s="372">
        <v>0.82</v>
      </c>
      <c r="Q78" s="372">
        <v>0.83</v>
      </c>
      <c r="R78" s="372">
        <v>0.86</v>
      </c>
      <c r="S78" s="372">
        <v>0.82</v>
      </c>
      <c r="T78" s="372">
        <v>0.75</v>
      </c>
      <c r="U78" s="372">
        <v>0.76</v>
      </c>
      <c r="V78" s="372">
        <v>0.82</v>
      </c>
      <c r="W78" s="372">
        <v>0.81</v>
      </c>
      <c r="X78" s="372">
        <v>0.83</v>
      </c>
      <c r="Y78" s="372">
        <v>0</v>
      </c>
      <c r="Z78" s="372">
        <v>0</v>
      </c>
      <c r="AA78" s="372">
        <v>0</v>
      </c>
      <c r="AB78" s="372">
        <v>0</v>
      </c>
      <c r="AC78" s="372">
        <v>0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17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71</v>
      </c>
      <c r="B79" s="20"/>
      <c r="C79" s="15">
        <v>1</v>
      </c>
      <c r="D79" s="15"/>
      <c r="E79" s="15"/>
      <c r="F79" s="372">
        <v>0.81</v>
      </c>
      <c r="G79" s="372">
        <v>0.77</v>
      </c>
      <c r="H79" s="372">
        <v>0.76</v>
      </c>
      <c r="I79" s="372">
        <v>0.74</v>
      </c>
      <c r="J79" s="372">
        <v>0.73</v>
      </c>
      <c r="K79" s="374">
        <v>0.72</v>
      </c>
      <c r="L79" s="374">
        <v>0.74</v>
      </c>
      <c r="M79" s="374"/>
      <c r="N79" s="372"/>
      <c r="O79" s="372"/>
      <c r="P79" s="372"/>
      <c r="Q79" s="372"/>
      <c r="R79" s="372"/>
      <c r="S79" s="372"/>
      <c r="T79" s="372"/>
      <c r="U79" s="372"/>
      <c r="V79" s="372"/>
      <c r="W79" s="372"/>
      <c r="X79" s="372"/>
      <c r="Y79" s="372">
        <v>0.94</v>
      </c>
      <c r="Z79" s="372">
        <v>0.97</v>
      </c>
      <c r="AA79" s="372">
        <v>0.93</v>
      </c>
      <c r="AB79" s="372">
        <v>0.91</v>
      </c>
      <c r="AC79" s="372">
        <v>0.82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>SUM(F78:F79)</f>
        <v>0.81</v>
      </c>
      <c r="G80" s="19">
        <f t="shared" ref="G80" si="20">SUM(G78:G79)</f>
        <v>0.77</v>
      </c>
      <c r="H80" s="19">
        <f>SUM(H78:H79)</f>
        <v>0.76</v>
      </c>
      <c r="I80" s="19">
        <f>SUM(I78:I79)</f>
        <v>0.74</v>
      </c>
      <c r="J80" s="19">
        <f t="shared" ref="J80:AC80" si="21">SUM(J78:J79)</f>
        <v>0.73</v>
      </c>
      <c r="K80" s="19">
        <f t="shared" si="21"/>
        <v>0.72</v>
      </c>
      <c r="L80" s="19">
        <f>SUM(L78:L79)</f>
        <v>0.74</v>
      </c>
      <c r="M80" s="19">
        <f t="shared" si="21"/>
        <v>0.73</v>
      </c>
      <c r="N80" s="19">
        <f t="shared" si="21"/>
        <v>0.72</v>
      </c>
      <c r="O80" s="19">
        <f>SUM(O78:O79)</f>
        <v>0.78</v>
      </c>
      <c r="P80" s="19">
        <f t="shared" si="21"/>
        <v>0.82</v>
      </c>
      <c r="Q80" s="19">
        <f t="shared" si="21"/>
        <v>0.83</v>
      </c>
      <c r="R80" s="19">
        <f t="shared" si="21"/>
        <v>0.86</v>
      </c>
      <c r="S80" s="19">
        <f t="shared" si="21"/>
        <v>0.82</v>
      </c>
      <c r="T80" s="19">
        <f t="shared" si="21"/>
        <v>0.75</v>
      </c>
      <c r="U80" s="19">
        <f t="shared" si="21"/>
        <v>0.76</v>
      </c>
      <c r="V80" s="19">
        <f t="shared" si="21"/>
        <v>0.82</v>
      </c>
      <c r="W80" s="19">
        <f t="shared" si="21"/>
        <v>0.81</v>
      </c>
      <c r="X80" s="19">
        <f t="shared" si="21"/>
        <v>0.83</v>
      </c>
      <c r="Y80" s="19">
        <f t="shared" si="21"/>
        <v>0.94</v>
      </c>
      <c r="Z80" s="19">
        <f t="shared" si="21"/>
        <v>0.97</v>
      </c>
      <c r="AA80" s="19">
        <f t="shared" si="21"/>
        <v>0.93</v>
      </c>
      <c r="AB80" s="19">
        <f t="shared" si="21"/>
        <v>0.91</v>
      </c>
      <c r="AC80" s="19">
        <f t="shared" si="21"/>
        <v>0.82</v>
      </c>
      <c r="AD80" s="34"/>
      <c r="AE80" s="34"/>
      <c r="AF80" s="11"/>
      <c r="AG80" s="11"/>
      <c r="AH80" s="11"/>
    </row>
    <row r="81" spans="1:40" ht="17.45" hidden="1">
      <c r="A81" s="366" t="s">
        <v>72</v>
      </c>
      <c r="B81" s="365"/>
      <c r="C81" s="367">
        <v>2</v>
      </c>
      <c r="D81" s="363"/>
      <c r="E81" s="363"/>
      <c r="F81" s="364"/>
      <c r="G81" s="364"/>
      <c r="H81" s="364"/>
      <c r="I81" s="364"/>
      <c r="J81" s="364"/>
      <c r="K81" s="364"/>
      <c r="L81" s="364"/>
      <c r="M81" s="364"/>
      <c r="N81" s="364"/>
      <c r="O81" s="364"/>
      <c r="P81" s="364"/>
      <c r="Q81" s="364"/>
      <c r="R81" s="364"/>
      <c r="S81" s="364"/>
      <c r="T81" s="364"/>
      <c r="U81" s="364"/>
      <c r="V81" s="364"/>
      <c r="W81" s="364"/>
      <c r="X81" s="364"/>
      <c r="Y81" s="364"/>
      <c r="Z81" s="364"/>
      <c r="AA81" s="364"/>
      <c r="AB81" s="364"/>
      <c r="AC81" s="364"/>
    </row>
    <row r="82" spans="1:40" ht="17.45" hidden="1">
      <c r="A82" s="368"/>
      <c r="B82" s="369"/>
      <c r="C82" s="370"/>
      <c r="D82" s="371"/>
      <c r="E82" s="371"/>
      <c r="F82" s="372"/>
      <c r="G82" s="372"/>
      <c r="H82" s="372"/>
      <c r="I82" s="372"/>
      <c r="J82" s="372"/>
      <c r="K82" s="374"/>
      <c r="L82" s="374"/>
      <c r="M82" s="374"/>
      <c r="N82" s="372"/>
      <c r="O82" s="372"/>
      <c r="P82" s="372"/>
      <c r="Q82" s="372"/>
      <c r="R82" s="372"/>
      <c r="S82" s="372"/>
      <c r="T82" s="372"/>
      <c r="U82" s="372"/>
      <c r="V82" s="372"/>
      <c r="W82" s="372"/>
      <c r="X82" s="372"/>
      <c r="Y82" s="372"/>
      <c r="Z82" s="372"/>
      <c r="AA82" s="372"/>
      <c r="AB82" s="372"/>
      <c r="AC82" s="372"/>
    </row>
    <row r="83" spans="1:40">
      <c r="A83" s="21" t="s">
        <v>73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:AC83" si="22">SUM(F17,F22,F25,F31,F34,F60,F65,F76,F80,F82)</f>
        <v>46.309999999999995</v>
      </c>
      <c r="G83" s="28">
        <f t="shared" si="22"/>
        <v>43.96</v>
      </c>
      <c r="H83" s="28">
        <f t="shared" si="22"/>
        <v>43.75</v>
      </c>
      <c r="I83" s="28">
        <f t="shared" si="22"/>
        <v>41.570000000000007</v>
      </c>
      <c r="J83" s="28">
        <f t="shared" si="22"/>
        <v>40.11999999999999</v>
      </c>
      <c r="K83" s="28">
        <f t="shared" si="22"/>
        <v>40.83</v>
      </c>
      <c r="L83" s="28">
        <f t="shared" si="22"/>
        <v>41.89</v>
      </c>
      <c r="M83" s="28">
        <f t="shared" si="22"/>
        <v>41.809999999999995</v>
      </c>
      <c r="N83" s="28">
        <f>SUM(N17,N22,N25,N31,N34,N60,N65,N76,N80,N82)</f>
        <v>43.76</v>
      </c>
      <c r="O83" s="28">
        <f>SUM(O17,O22,O25,O31,O34,O60,O65,O76,O80,O82)</f>
        <v>50.360000000000007</v>
      </c>
      <c r="P83" s="28">
        <f t="shared" si="22"/>
        <v>52.08</v>
      </c>
      <c r="Q83" s="28">
        <f t="shared" si="22"/>
        <v>52.54999999999999</v>
      </c>
      <c r="R83" s="28">
        <f t="shared" si="22"/>
        <v>54.91</v>
      </c>
      <c r="S83" s="28">
        <f t="shared" si="22"/>
        <v>56.32</v>
      </c>
      <c r="T83" s="28">
        <f t="shared" si="22"/>
        <v>58.22</v>
      </c>
      <c r="U83" s="28">
        <f>SUM(U17,U22,U25,U31,U34,U60,U65,U76,U80,U82)</f>
        <v>58.569999999999993</v>
      </c>
      <c r="V83" s="28">
        <f t="shared" si="22"/>
        <v>58.39</v>
      </c>
      <c r="W83" s="28">
        <f t="shared" si="22"/>
        <v>56.519999999999996</v>
      </c>
      <c r="X83" s="28">
        <f t="shared" si="22"/>
        <v>57.46</v>
      </c>
      <c r="Y83" s="28">
        <f t="shared" si="22"/>
        <v>61.739999999999995</v>
      </c>
      <c r="Z83" s="28">
        <f t="shared" si="22"/>
        <v>60.2</v>
      </c>
      <c r="AA83" s="28">
        <f t="shared" si="22"/>
        <v>58.09</v>
      </c>
      <c r="AB83" s="28">
        <f t="shared" si="22"/>
        <v>55.54</v>
      </c>
      <c r="AC83" s="28">
        <f t="shared" si="22"/>
        <v>51.690000000000005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25" t="s">
        <v>74</v>
      </c>
      <c r="B85" s="525"/>
      <c r="C85" s="525"/>
      <c r="D85" s="525"/>
      <c r="E85" s="525"/>
      <c r="F85" s="525"/>
      <c r="G85" s="525"/>
      <c r="H85" s="525"/>
      <c r="I85" s="525"/>
      <c r="J85" s="525"/>
      <c r="K85" s="525"/>
      <c r="L85" s="525"/>
      <c r="M85" s="525"/>
      <c r="N85" s="525"/>
      <c r="O85" s="525"/>
      <c r="P85" s="525"/>
      <c r="Q85" s="525"/>
      <c r="R85" s="525"/>
      <c r="S85" s="525"/>
      <c r="T85" s="525"/>
      <c r="U85" s="525"/>
      <c r="V85" s="525"/>
      <c r="W85" s="525"/>
      <c r="X85" s="525"/>
      <c r="Y85" s="525"/>
      <c r="Z85" s="525"/>
      <c r="AA85" s="525"/>
      <c r="AB85" s="525"/>
      <c r="AC85" s="525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</row>
    <row r="87" spans="1:40" ht="17.45">
      <c r="A87" s="500" t="s">
        <v>75</v>
      </c>
      <c r="B87" s="501"/>
      <c r="C87" s="502"/>
      <c r="D87" s="49"/>
      <c r="E87" s="49"/>
      <c r="F87" s="506" t="s">
        <v>76</v>
      </c>
      <c r="G87" s="506"/>
      <c r="H87" s="506"/>
      <c r="I87" s="506"/>
      <c r="J87" s="506"/>
      <c r="K87" s="506"/>
      <c r="L87" s="506"/>
      <c r="M87" s="506"/>
      <c r="N87" s="506"/>
      <c r="O87" s="506"/>
      <c r="P87" s="506"/>
      <c r="Q87" s="506"/>
      <c r="R87" s="506"/>
      <c r="S87" s="506"/>
      <c r="T87" s="506"/>
      <c r="U87" s="506"/>
      <c r="V87" s="506"/>
      <c r="W87" s="506"/>
      <c r="X87" s="506"/>
      <c r="Y87" s="506"/>
      <c r="Z87" s="506"/>
      <c r="AA87" s="506"/>
      <c r="AB87" s="506"/>
      <c r="AC87" s="506"/>
      <c r="AD87" s="5"/>
      <c r="AE87" s="5"/>
      <c r="AF87" s="5"/>
      <c r="AG87" s="5"/>
      <c r="AH87" s="5"/>
    </row>
    <row r="88" spans="1:40" ht="15.6" customHeight="1">
      <c r="A88" s="503"/>
      <c r="B88" s="504"/>
      <c r="C88" s="505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07" t="s">
        <v>27</v>
      </c>
      <c r="B89" s="508"/>
      <c r="C89" s="509"/>
      <c r="D89" s="45"/>
      <c r="E89" s="45"/>
      <c r="F89" s="64">
        <f t="shared" ref="F89:AC89" si="23">SUM(F22,F25)</f>
        <v>5</v>
      </c>
      <c r="G89" s="64">
        <f t="shared" si="23"/>
        <v>3</v>
      </c>
      <c r="H89" s="64">
        <f t="shared" si="23"/>
        <v>0</v>
      </c>
      <c r="I89" s="64">
        <f t="shared" si="23"/>
        <v>0</v>
      </c>
      <c r="J89" s="64">
        <f t="shared" si="23"/>
        <v>0</v>
      </c>
      <c r="K89" s="64">
        <f t="shared" si="23"/>
        <v>0</v>
      </c>
      <c r="L89" s="64">
        <f t="shared" si="23"/>
        <v>0</v>
      </c>
      <c r="M89" s="64">
        <f t="shared" si="23"/>
        <v>0</v>
      </c>
      <c r="N89" s="64">
        <f t="shared" si="23"/>
        <v>3.4</v>
      </c>
      <c r="O89" s="64">
        <f t="shared" si="23"/>
        <v>6.6</v>
      </c>
      <c r="P89" s="64">
        <f t="shared" si="23"/>
        <v>6.5</v>
      </c>
      <c r="Q89" s="64">
        <f t="shared" si="23"/>
        <v>6.6</v>
      </c>
      <c r="R89" s="64">
        <f t="shared" si="23"/>
        <v>9.3999999999999986</v>
      </c>
      <c r="S89" s="64">
        <f t="shared" si="23"/>
        <v>10.399999999999999</v>
      </c>
      <c r="T89" s="64">
        <f t="shared" si="23"/>
        <v>10.399999999999999</v>
      </c>
      <c r="U89" s="64">
        <f t="shared" si="23"/>
        <v>10.399999999999999</v>
      </c>
      <c r="V89" s="64">
        <f t="shared" si="23"/>
        <v>10.399999999999999</v>
      </c>
      <c r="W89" s="64">
        <f t="shared" si="23"/>
        <v>10.399999999999999</v>
      </c>
      <c r="X89" s="64">
        <f t="shared" si="23"/>
        <v>10.399999999999999</v>
      </c>
      <c r="Y89" s="64">
        <f t="shared" si="23"/>
        <v>10.399999999999999</v>
      </c>
      <c r="Z89" s="64">
        <f t="shared" si="23"/>
        <v>10.1</v>
      </c>
      <c r="AA89" s="64">
        <f t="shared" si="23"/>
        <v>10.1</v>
      </c>
      <c r="AB89" s="64">
        <f t="shared" si="23"/>
        <v>10.1</v>
      </c>
      <c r="AC89" s="64">
        <f t="shared" si="23"/>
        <v>10.1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521" t="s">
        <v>77</v>
      </c>
      <c r="B90" s="521"/>
      <c r="C90" s="522"/>
      <c r="D90" s="45"/>
      <c r="E90" s="45"/>
      <c r="F90" s="68">
        <v>0.20799999999999999</v>
      </c>
      <c r="G90" s="68">
        <v>0.20599999999999999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>
        <v>0.14599999999999999</v>
      </c>
      <c r="O90" s="68">
        <v>0.21099999999999999</v>
      </c>
      <c r="P90" s="68">
        <v>0.19400000000000001</v>
      </c>
      <c r="Q90" s="68">
        <v>0.2</v>
      </c>
      <c r="R90" s="68">
        <v>0.21199999999999999</v>
      </c>
      <c r="S90" s="68">
        <v>0.245</v>
      </c>
      <c r="T90" s="68">
        <v>0.26400000000000001</v>
      </c>
      <c r="U90" s="68">
        <v>0.25</v>
      </c>
      <c r="V90" s="68">
        <v>0.25</v>
      </c>
      <c r="W90" s="68">
        <v>0.255</v>
      </c>
      <c r="X90" s="68">
        <v>0.23599999999999999</v>
      </c>
      <c r="Y90" s="68">
        <v>0.23200000000000001</v>
      </c>
      <c r="Z90" s="68">
        <v>0.26600000000000001</v>
      </c>
      <c r="AA90" s="68">
        <v>0.27400000000000002</v>
      </c>
      <c r="AB90" s="68">
        <v>0.21</v>
      </c>
      <c r="AC90" s="68">
        <v>0.22500000000000001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07" t="s">
        <v>78</v>
      </c>
      <c r="B91" s="508"/>
      <c r="C91" s="509"/>
      <c r="D91" s="45"/>
      <c r="E91" s="45"/>
      <c r="F91" s="64">
        <f t="shared" ref="F91:AC91" si="24">F17</f>
        <v>19.799999999999997</v>
      </c>
      <c r="G91" s="64">
        <f t="shared" si="24"/>
        <v>19.5</v>
      </c>
      <c r="H91" s="64">
        <f t="shared" si="24"/>
        <v>20.100000000000001</v>
      </c>
      <c r="I91" s="64">
        <f t="shared" si="24"/>
        <v>20.100000000000001</v>
      </c>
      <c r="J91" s="64">
        <f t="shared" si="24"/>
        <v>20.100000000000001</v>
      </c>
      <c r="K91" s="64">
        <f t="shared" si="24"/>
        <v>20.399999999999999</v>
      </c>
      <c r="L91" s="64">
        <f t="shared" si="24"/>
        <v>20.100000000000001</v>
      </c>
      <c r="M91" s="64">
        <f t="shared" si="24"/>
        <v>19.799999999999997</v>
      </c>
      <c r="N91" s="64">
        <f t="shared" si="24"/>
        <v>18.899999999999999</v>
      </c>
      <c r="O91" s="64">
        <f t="shared" si="24"/>
        <v>20.700000000000003</v>
      </c>
      <c r="P91" s="64">
        <f t="shared" si="24"/>
        <v>19.200000000000003</v>
      </c>
      <c r="Q91" s="64">
        <f t="shared" si="24"/>
        <v>20</v>
      </c>
      <c r="R91" s="64">
        <f t="shared" si="24"/>
        <v>19.600000000000001</v>
      </c>
      <c r="S91" s="64">
        <f t="shared" si="24"/>
        <v>20.399999999999999</v>
      </c>
      <c r="T91" s="64">
        <f t="shared" si="24"/>
        <v>20</v>
      </c>
      <c r="U91" s="64">
        <f t="shared" si="24"/>
        <v>20.399999999999999</v>
      </c>
      <c r="V91" s="64">
        <f t="shared" si="24"/>
        <v>20.2</v>
      </c>
      <c r="W91" s="64">
        <f t="shared" si="24"/>
        <v>19.799999999999997</v>
      </c>
      <c r="X91" s="64">
        <f t="shared" si="24"/>
        <v>20.399999999999999</v>
      </c>
      <c r="Y91" s="64">
        <f t="shared" si="24"/>
        <v>20</v>
      </c>
      <c r="Z91" s="64">
        <f t="shared" si="24"/>
        <v>20.399999999999999</v>
      </c>
      <c r="AA91" s="64">
        <f t="shared" si="24"/>
        <v>20.399999999999999</v>
      </c>
      <c r="AB91" s="64">
        <f t="shared" si="24"/>
        <v>20.6</v>
      </c>
      <c r="AC91" s="64">
        <f t="shared" si="24"/>
        <v>20.100000000000001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21" t="s">
        <v>79</v>
      </c>
      <c r="B92" s="521"/>
      <c r="C92" s="522"/>
      <c r="D92" s="45"/>
      <c r="E92" s="45"/>
      <c r="F92" s="68">
        <v>0.63</v>
      </c>
      <c r="G92" s="68">
        <v>0.75900000000000001</v>
      </c>
      <c r="H92" s="68">
        <v>0.68400000000000005</v>
      </c>
      <c r="I92" s="68">
        <v>0.84199999999999997</v>
      </c>
      <c r="J92" s="68">
        <v>0.64100000000000001</v>
      </c>
      <c r="K92" s="68">
        <v>0.68200000000000005</v>
      </c>
      <c r="L92" s="68">
        <v>0.65300000000000002</v>
      </c>
      <c r="M92" s="68">
        <v>0.64800000000000002</v>
      </c>
      <c r="N92" s="68">
        <v>0.871</v>
      </c>
      <c r="O92" s="68">
        <v>0.80300000000000005</v>
      </c>
      <c r="P92" s="68">
        <v>0.80100000000000005</v>
      </c>
      <c r="Q92" s="68">
        <v>0.77700000000000002</v>
      </c>
      <c r="R92" s="68">
        <v>0.82499999999999996</v>
      </c>
      <c r="S92" s="68">
        <v>0.81200000000000006</v>
      </c>
      <c r="T92" s="68">
        <v>0.89</v>
      </c>
      <c r="U92" s="68">
        <v>0.83099999999999996</v>
      </c>
      <c r="V92" s="68">
        <v>0.623</v>
      </c>
      <c r="W92" s="68">
        <v>0.63</v>
      </c>
      <c r="X92" s="68">
        <v>0.67</v>
      </c>
      <c r="Y92" s="68">
        <v>0.70699999999999996</v>
      </c>
      <c r="Z92" s="68">
        <v>0.67300000000000004</v>
      </c>
      <c r="AA92" s="68">
        <v>0.66700000000000004</v>
      </c>
      <c r="AB92" s="68">
        <v>0.85699999999999998</v>
      </c>
      <c r="AC92" s="68">
        <v>0.83199999999999996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07" t="s">
        <v>29</v>
      </c>
      <c r="B93" s="508"/>
      <c r="C93" s="509"/>
      <c r="D93" s="45"/>
      <c r="E93" s="45"/>
      <c r="F93" s="65">
        <f t="shared" ref="F93:AC93" si="25">F31</f>
        <v>4</v>
      </c>
      <c r="G93" s="65">
        <f t="shared" si="25"/>
        <v>4.0999999999999996</v>
      </c>
      <c r="H93" s="65">
        <f t="shared" si="25"/>
        <v>4.3</v>
      </c>
      <c r="I93" s="65">
        <f t="shared" si="25"/>
        <v>4.2</v>
      </c>
      <c r="J93" s="65">
        <f t="shared" si="25"/>
        <v>3.4</v>
      </c>
      <c r="K93" s="65">
        <f t="shared" si="25"/>
        <v>3.8</v>
      </c>
      <c r="L93" s="65">
        <f t="shared" si="25"/>
        <v>4</v>
      </c>
      <c r="M93" s="65">
        <f t="shared" si="25"/>
        <v>4</v>
      </c>
      <c r="N93" s="65">
        <f t="shared" si="25"/>
        <v>4</v>
      </c>
      <c r="O93" s="65">
        <f t="shared" si="25"/>
        <v>4.0999999999999996</v>
      </c>
      <c r="P93" s="65">
        <f t="shared" si="25"/>
        <v>5.8</v>
      </c>
      <c r="Q93" s="65">
        <f t="shared" si="25"/>
        <v>8.1999999999999993</v>
      </c>
      <c r="R93" s="65">
        <f t="shared" si="25"/>
        <v>8.4</v>
      </c>
      <c r="S93" s="65">
        <f t="shared" si="25"/>
        <v>7.8000000000000007</v>
      </c>
      <c r="T93" s="65">
        <f>T31</f>
        <v>10.199999999999999</v>
      </c>
      <c r="U93" s="65">
        <f t="shared" si="25"/>
        <v>10.1</v>
      </c>
      <c r="V93" s="65">
        <f t="shared" si="25"/>
        <v>10.100000000000001</v>
      </c>
      <c r="W93" s="65">
        <f t="shared" si="25"/>
        <v>8.6999999999999993</v>
      </c>
      <c r="X93" s="65">
        <f t="shared" si="25"/>
        <v>8.9</v>
      </c>
      <c r="Y93" s="65">
        <f t="shared" si="25"/>
        <v>10.899999999999999</v>
      </c>
      <c r="Z93" s="65">
        <f t="shared" si="25"/>
        <v>11.4</v>
      </c>
      <c r="AA93" s="65">
        <f t="shared" si="25"/>
        <v>10.199999999999999</v>
      </c>
      <c r="AB93" s="65">
        <f t="shared" si="25"/>
        <v>7</v>
      </c>
      <c r="AC93" s="65">
        <f t="shared" si="25"/>
        <v>4.9000000000000004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21" t="s">
        <v>102</v>
      </c>
      <c r="B94" s="521"/>
      <c r="C94" s="522"/>
      <c r="D94" s="45"/>
      <c r="E94" s="45"/>
      <c r="F94" s="68">
        <v>0.16500000000000001</v>
      </c>
      <c r="G94" s="68">
        <v>0.17499999999999999</v>
      </c>
      <c r="H94" s="68">
        <v>0.17799999999999999</v>
      </c>
      <c r="I94" s="68">
        <v>0.17199999999999999</v>
      </c>
      <c r="J94" s="68">
        <v>0.16700000000000001</v>
      </c>
      <c r="K94" s="68">
        <v>0.16600000000000001</v>
      </c>
      <c r="L94" s="68">
        <v>0.16300000000000001</v>
      </c>
      <c r="M94" s="68">
        <v>0.159</v>
      </c>
      <c r="N94" s="68">
        <v>0.14199999999999999</v>
      </c>
      <c r="O94" s="68">
        <v>0.14799999999999999</v>
      </c>
      <c r="P94" s="68">
        <v>0.17299999999999999</v>
      </c>
      <c r="Q94" s="68">
        <v>0.17199999999999999</v>
      </c>
      <c r="R94" s="68">
        <v>0.158</v>
      </c>
      <c r="S94" s="68">
        <v>0.151</v>
      </c>
      <c r="T94" s="68">
        <v>0.16200000000000001</v>
      </c>
      <c r="U94" s="68">
        <v>0.14699999999999999</v>
      </c>
      <c r="V94" s="68">
        <v>0.16600000000000001</v>
      </c>
      <c r="W94" s="68">
        <v>0.152</v>
      </c>
      <c r="X94" s="68">
        <v>0.16600000000000001</v>
      </c>
      <c r="Y94" s="68">
        <v>0.16900000000000001</v>
      </c>
      <c r="Z94" s="68">
        <v>0.14499999999999999</v>
      </c>
      <c r="AA94" s="68">
        <v>0.16</v>
      </c>
      <c r="AB94" s="68">
        <v>0.105</v>
      </c>
      <c r="AC94" s="68"/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21" t="s">
        <v>104</v>
      </c>
      <c r="B95" s="521"/>
      <c r="C95" s="522"/>
      <c r="D95" s="45"/>
      <c r="E95" s="45"/>
      <c r="F95" s="68" t="s">
        <v>1</v>
      </c>
      <c r="G95" s="68" t="s">
        <v>1</v>
      </c>
      <c r="H95" s="68" t="s">
        <v>1</v>
      </c>
      <c r="I95" s="68" t="s">
        <v>1</v>
      </c>
      <c r="J95" s="68" t="s">
        <v>1</v>
      </c>
      <c r="K95" s="68" t="s">
        <v>1</v>
      </c>
      <c r="L95" s="68" t="s">
        <v>1</v>
      </c>
      <c r="M95" s="68" t="s">
        <v>1</v>
      </c>
      <c r="N95" s="68" t="s">
        <v>1</v>
      </c>
      <c r="O95" s="68" t="s">
        <v>1</v>
      </c>
      <c r="P95" s="68">
        <v>0.1772</v>
      </c>
      <c r="Q95" s="68">
        <v>0.16500000000000001</v>
      </c>
      <c r="R95" s="68">
        <v>0.30880000000000002</v>
      </c>
      <c r="S95" s="68">
        <v>0.17480000000000001</v>
      </c>
      <c r="T95" s="68">
        <v>0.17199999999999999</v>
      </c>
      <c r="U95" s="68">
        <v>0.17230000000000001</v>
      </c>
      <c r="V95" s="68">
        <v>0.21440000000000001</v>
      </c>
      <c r="W95" s="68">
        <v>0.21390000000000001</v>
      </c>
      <c r="X95" s="68">
        <v>0.30640000000000001</v>
      </c>
      <c r="Y95" s="68">
        <v>0.219</v>
      </c>
      <c r="Z95" s="68">
        <v>0.191</v>
      </c>
      <c r="AA95" s="68">
        <v>0.20399999999999999</v>
      </c>
      <c r="AB95" s="68">
        <v>0.20699999999999999</v>
      </c>
      <c r="AC95" s="68">
        <v>0.2064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07" t="s">
        <v>32</v>
      </c>
      <c r="B96" s="508"/>
      <c r="C96" s="509"/>
      <c r="D96" s="45"/>
      <c r="E96" s="45"/>
      <c r="F96" s="65">
        <f t="shared" ref="F96:AC96" si="26">F34</f>
        <v>14.33</v>
      </c>
      <c r="G96" s="65">
        <f t="shared" si="26"/>
        <v>14.28</v>
      </c>
      <c r="H96" s="65">
        <f t="shared" si="26"/>
        <v>14.21</v>
      </c>
      <c r="I96" s="65">
        <f t="shared" si="26"/>
        <v>14.32</v>
      </c>
      <c r="J96" s="65">
        <f t="shared" si="26"/>
        <v>13.79</v>
      </c>
      <c r="K96" s="65">
        <f t="shared" si="26"/>
        <v>13.77</v>
      </c>
      <c r="L96" s="65">
        <f t="shared" si="26"/>
        <v>14.18</v>
      </c>
      <c r="M96" s="65">
        <f t="shared" si="26"/>
        <v>14.32</v>
      </c>
      <c r="N96" s="65">
        <f t="shared" si="26"/>
        <v>14.29</v>
      </c>
      <c r="O96" s="65">
        <f t="shared" si="26"/>
        <v>14.28</v>
      </c>
      <c r="P96" s="65">
        <f t="shared" si="26"/>
        <v>14.25</v>
      </c>
      <c r="Q96" s="65">
        <f t="shared" si="26"/>
        <v>14.27</v>
      </c>
      <c r="R96" s="65">
        <f t="shared" si="26"/>
        <v>14.27</v>
      </c>
      <c r="S96" s="65">
        <f t="shared" si="26"/>
        <v>14.28</v>
      </c>
      <c r="T96" s="65">
        <f t="shared" si="26"/>
        <v>14.26</v>
      </c>
      <c r="U96" s="65">
        <f t="shared" si="26"/>
        <v>14.29</v>
      </c>
      <c r="V96" s="65">
        <f t="shared" si="26"/>
        <v>14.27</v>
      </c>
      <c r="W96" s="65">
        <f t="shared" si="26"/>
        <v>14.29</v>
      </c>
      <c r="X96" s="65">
        <f t="shared" si="26"/>
        <v>14.28</v>
      </c>
      <c r="Y96" s="65">
        <f t="shared" si="26"/>
        <v>14.28</v>
      </c>
      <c r="Z96" s="65">
        <f t="shared" si="26"/>
        <v>14.3</v>
      </c>
      <c r="AA96" s="65">
        <f t="shared" si="26"/>
        <v>14.3</v>
      </c>
      <c r="AB96" s="65">
        <f t="shared" si="26"/>
        <v>14.24</v>
      </c>
      <c r="AC96" s="65">
        <f t="shared" si="26"/>
        <v>14.27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21" t="s">
        <v>81</v>
      </c>
      <c r="B97" s="521"/>
      <c r="C97" s="522"/>
      <c r="D97" s="68"/>
      <c r="E97" s="68"/>
      <c r="F97" s="68">
        <v>0.67</v>
      </c>
      <c r="G97" s="68">
        <v>0.72</v>
      </c>
      <c r="H97" s="68">
        <v>0.79</v>
      </c>
      <c r="I97" s="68">
        <v>0.68</v>
      </c>
      <c r="J97" s="68">
        <v>0.71</v>
      </c>
      <c r="K97" s="68">
        <v>0.73</v>
      </c>
      <c r="L97" s="68">
        <v>0.82</v>
      </c>
      <c r="M97" s="68">
        <v>0.68</v>
      </c>
      <c r="N97" s="68">
        <v>0.71</v>
      </c>
      <c r="O97" s="68">
        <v>0.72</v>
      </c>
      <c r="P97" s="68">
        <v>0.75</v>
      </c>
      <c r="Q97" s="68">
        <v>0.73</v>
      </c>
      <c r="R97" s="68">
        <v>0.73</v>
      </c>
      <c r="S97" s="68">
        <v>0.72</v>
      </c>
      <c r="T97" s="68">
        <v>0.74</v>
      </c>
      <c r="U97" s="68">
        <v>0.71</v>
      </c>
      <c r="V97" s="68">
        <v>0.73</v>
      </c>
      <c r="W97" s="68">
        <v>0.71</v>
      </c>
      <c r="X97" s="68">
        <v>0.72</v>
      </c>
      <c r="Y97" s="68">
        <v>0.72</v>
      </c>
      <c r="Z97" s="68">
        <v>0.7</v>
      </c>
      <c r="AA97" s="68">
        <v>0.7</v>
      </c>
      <c r="AB97" s="68">
        <v>0.76</v>
      </c>
      <c r="AC97" s="68">
        <v>0.73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07" t="s">
        <v>33</v>
      </c>
      <c r="B98" s="508"/>
      <c r="C98" s="509"/>
      <c r="D98" s="45"/>
      <c r="E98" s="45"/>
      <c r="F98" s="64">
        <f t="shared" ref="F98:AC98" si="27">F60</f>
        <v>1.4</v>
      </c>
      <c r="G98" s="64">
        <f t="shared" si="27"/>
        <v>1.4</v>
      </c>
      <c r="H98" s="64">
        <f t="shared" si="27"/>
        <v>3.5</v>
      </c>
      <c r="I98" s="64">
        <f t="shared" si="27"/>
        <v>1.4</v>
      </c>
      <c r="J98" s="64">
        <f t="shared" si="27"/>
        <v>1.3</v>
      </c>
      <c r="K98" s="64">
        <f t="shared" si="27"/>
        <v>1.3</v>
      </c>
      <c r="L98" s="64">
        <f t="shared" si="27"/>
        <v>2</v>
      </c>
      <c r="M98" s="64">
        <f t="shared" si="27"/>
        <v>2</v>
      </c>
      <c r="N98" s="64">
        <f t="shared" si="27"/>
        <v>1.4</v>
      </c>
      <c r="O98" s="64">
        <f t="shared" si="27"/>
        <v>2.8</v>
      </c>
      <c r="P98" s="64">
        <f t="shared" si="27"/>
        <v>4.3</v>
      </c>
      <c r="Q98" s="64">
        <f t="shared" si="27"/>
        <v>1.4</v>
      </c>
      <c r="R98" s="64">
        <f t="shared" si="27"/>
        <v>1.2999999999999998</v>
      </c>
      <c r="S98" s="64">
        <f t="shared" si="27"/>
        <v>1.4</v>
      </c>
      <c r="T98" s="64">
        <f t="shared" si="27"/>
        <v>1.4</v>
      </c>
      <c r="U98" s="64">
        <f t="shared" si="27"/>
        <v>1.4</v>
      </c>
      <c r="V98" s="64">
        <f t="shared" si="27"/>
        <v>1.4</v>
      </c>
      <c r="W98" s="64">
        <f t="shared" si="27"/>
        <v>1.3</v>
      </c>
      <c r="X98" s="64">
        <f t="shared" si="27"/>
        <v>1.4</v>
      </c>
      <c r="Y98" s="64">
        <f t="shared" si="27"/>
        <v>3.5999999999999996</v>
      </c>
      <c r="Z98" s="64">
        <f t="shared" si="27"/>
        <v>1.4</v>
      </c>
      <c r="AA98" s="64">
        <f t="shared" si="27"/>
        <v>0.7</v>
      </c>
      <c r="AB98" s="64">
        <f t="shared" si="27"/>
        <v>1.4</v>
      </c>
      <c r="AC98" s="64">
        <f t="shared" si="27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07" t="s">
        <v>55</v>
      </c>
      <c r="B99" s="508"/>
      <c r="C99" s="509"/>
      <c r="D99" s="45"/>
      <c r="E99" s="45"/>
      <c r="F99" s="64">
        <f t="shared" ref="F99:AC99" si="28">F65</f>
        <v>0.97</v>
      </c>
      <c r="G99" s="64">
        <f t="shared" si="28"/>
        <v>0.91</v>
      </c>
      <c r="H99" s="64">
        <f t="shared" si="28"/>
        <v>0.88</v>
      </c>
      <c r="I99" s="64">
        <f t="shared" si="28"/>
        <v>0.81</v>
      </c>
      <c r="J99" s="64">
        <f t="shared" si="28"/>
        <v>0.8</v>
      </c>
      <c r="K99" s="64">
        <f t="shared" si="28"/>
        <v>0.84</v>
      </c>
      <c r="L99" s="64">
        <f t="shared" si="28"/>
        <v>0.87</v>
      </c>
      <c r="M99" s="64">
        <f t="shared" si="28"/>
        <v>0.96</v>
      </c>
      <c r="N99" s="64">
        <f t="shared" si="28"/>
        <v>1.05</v>
      </c>
      <c r="O99" s="64">
        <f t="shared" si="28"/>
        <v>1.1000000000000001</v>
      </c>
      <c r="P99" s="64">
        <f t="shared" si="28"/>
        <v>1.21</v>
      </c>
      <c r="Q99" s="64">
        <f t="shared" si="28"/>
        <v>1.25</v>
      </c>
      <c r="R99" s="64">
        <f t="shared" si="28"/>
        <v>1.08</v>
      </c>
      <c r="S99" s="64">
        <f t="shared" si="28"/>
        <v>1.22</v>
      </c>
      <c r="T99" s="64">
        <f t="shared" si="28"/>
        <v>1.21</v>
      </c>
      <c r="U99" s="64">
        <f t="shared" si="28"/>
        <v>1.22</v>
      </c>
      <c r="V99" s="64">
        <f t="shared" si="28"/>
        <v>1.2</v>
      </c>
      <c r="W99" s="64">
        <f t="shared" si="28"/>
        <v>1.22</v>
      </c>
      <c r="X99" s="64">
        <f t="shared" si="28"/>
        <v>1.25</v>
      </c>
      <c r="Y99" s="64">
        <f t="shared" si="28"/>
        <v>1.62</v>
      </c>
      <c r="Z99" s="64">
        <f t="shared" si="28"/>
        <v>1.63</v>
      </c>
      <c r="AA99" s="64">
        <f t="shared" si="28"/>
        <v>1.46</v>
      </c>
      <c r="AB99" s="64">
        <f t="shared" si="28"/>
        <v>1.29</v>
      </c>
      <c r="AC99" s="64">
        <f t="shared" si="28"/>
        <v>1.5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07" t="s">
        <v>59</v>
      </c>
      <c r="B100" s="508"/>
      <c r="C100" s="509"/>
      <c r="D100" s="45"/>
      <c r="E100" s="45"/>
      <c r="F100" s="64">
        <f t="shared" ref="F100:AC100" si="29">F76</f>
        <v>0</v>
      </c>
      <c r="G100" s="64">
        <f t="shared" si="29"/>
        <v>0</v>
      </c>
      <c r="H100" s="64">
        <f t="shared" si="29"/>
        <v>0</v>
      </c>
      <c r="I100" s="64">
        <f t="shared" si="29"/>
        <v>0</v>
      </c>
      <c r="J100" s="64">
        <f t="shared" si="29"/>
        <v>0</v>
      </c>
      <c r="K100" s="64">
        <f t="shared" si="29"/>
        <v>0</v>
      </c>
      <c r="L100" s="64">
        <f t="shared" si="29"/>
        <v>0</v>
      </c>
      <c r="M100" s="64">
        <f t="shared" si="29"/>
        <v>0</v>
      </c>
      <c r="N100" s="64">
        <f t="shared" si="29"/>
        <v>0</v>
      </c>
      <c r="O100" s="64">
        <f t="shared" si="29"/>
        <v>0</v>
      </c>
      <c r="P100" s="64">
        <f t="shared" si="29"/>
        <v>0</v>
      </c>
      <c r="Q100" s="64">
        <f t="shared" si="29"/>
        <v>0</v>
      </c>
      <c r="R100" s="64">
        <f t="shared" si="29"/>
        <v>0</v>
      </c>
      <c r="S100" s="64">
        <f t="shared" si="29"/>
        <v>0</v>
      </c>
      <c r="T100" s="64">
        <f t="shared" si="29"/>
        <v>0</v>
      </c>
      <c r="U100" s="64">
        <f t="shared" si="29"/>
        <v>0</v>
      </c>
      <c r="V100" s="64">
        <f t="shared" si="29"/>
        <v>0</v>
      </c>
      <c r="W100" s="64">
        <f t="shared" si="29"/>
        <v>0</v>
      </c>
      <c r="X100" s="64">
        <f t="shared" si="29"/>
        <v>0</v>
      </c>
      <c r="Y100" s="64">
        <f t="shared" si="29"/>
        <v>0</v>
      </c>
      <c r="Z100" s="64">
        <f t="shared" si="29"/>
        <v>0</v>
      </c>
      <c r="AA100" s="64">
        <f t="shared" si="29"/>
        <v>0</v>
      </c>
      <c r="AB100" s="64">
        <f t="shared" si="29"/>
        <v>0</v>
      </c>
      <c r="AC100" s="64">
        <f t="shared" si="29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07" t="s">
        <v>69</v>
      </c>
      <c r="B101" s="508"/>
      <c r="C101" s="509"/>
      <c r="D101" s="45"/>
      <c r="E101" s="45"/>
      <c r="F101" s="64">
        <f t="shared" ref="F101:AC101" si="30">F80</f>
        <v>0.81</v>
      </c>
      <c r="G101" s="64">
        <f t="shared" si="30"/>
        <v>0.77</v>
      </c>
      <c r="H101" s="64">
        <f t="shared" si="30"/>
        <v>0.76</v>
      </c>
      <c r="I101" s="64">
        <f t="shared" si="30"/>
        <v>0.74</v>
      </c>
      <c r="J101" s="64">
        <f t="shared" si="30"/>
        <v>0.73</v>
      </c>
      <c r="K101" s="64">
        <f t="shared" si="30"/>
        <v>0.72</v>
      </c>
      <c r="L101" s="64">
        <f t="shared" si="30"/>
        <v>0.74</v>
      </c>
      <c r="M101" s="64">
        <f t="shared" si="30"/>
        <v>0.73</v>
      </c>
      <c r="N101" s="64">
        <f t="shared" si="30"/>
        <v>0.72</v>
      </c>
      <c r="O101" s="64">
        <f t="shared" si="30"/>
        <v>0.78</v>
      </c>
      <c r="P101" s="64">
        <f t="shared" si="30"/>
        <v>0.82</v>
      </c>
      <c r="Q101" s="64">
        <f t="shared" si="30"/>
        <v>0.83</v>
      </c>
      <c r="R101" s="64">
        <f t="shared" si="30"/>
        <v>0.86</v>
      </c>
      <c r="S101" s="64">
        <f t="shared" si="30"/>
        <v>0.82</v>
      </c>
      <c r="T101" s="64">
        <f t="shared" si="30"/>
        <v>0.75</v>
      </c>
      <c r="U101" s="64">
        <f t="shared" si="30"/>
        <v>0.76</v>
      </c>
      <c r="V101" s="64">
        <f t="shared" si="30"/>
        <v>0.82</v>
      </c>
      <c r="W101" s="64">
        <f t="shared" si="30"/>
        <v>0.81</v>
      </c>
      <c r="X101" s="64">
        <f t="shared" si="30"/>
        <v>0.83</v>
      </c>
      <c r="Y101" s="64">
        <f t="shared" si="30"/>
        <v>0.94</v>
      </c>
      <c r="Z101" s="64">
        <f t="shared" si="30"/>
        <v>0.97</v>
      </c>
      <c r="AA101" s="64">
        <f t="shared" si="30"/>
        <v>0.93</v>
      </c>
      <c r="AB101" s="64">
        <f t="shared" si="30"/>
        <v>0.91</v>
      </c>
      <c r="AC101" s="64">
        <f t="shared" si="30"/>
        <v>0.82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07" t="s">
        <v>72</v>
      </c>
      <c r="B102" s="508"/>
      <c r="C102" s="509"/>
      <c r="D102" s="45"/>
      <c r="E102" s="45"/>
      <c r="F102" s="64">
        <f t="shared" ref="F102:AC102" si="31">F82</f>
        <v>0</v>
      </c>
      <c r="G102" s="64">
        <f t="shared" si="31"/>
        <v>0</v>
      </c>
      <c r="H102" s="64">
        <f t="shared" si="31"/>
        <v>0</v>
      </c>
      <c r="I102" s="64">
        <f t="shared" si="31"/>
        <v>0</v>
      </c>
      <c r="J102" s="64">
        <f t="shared" si="31"/>
        <v>0</v>
      </c>
      <c r="K102" s="64">
        <f t="shared" si="31"/>
        <v>0</v>
      </c>
      <c r="L102" s="64">
        <f t="shared" si="31"/>
        <v>0</v>
      </c>
      <c r="M102" s="64">
        <f t="shared" si="31"/>
        <v>0</v>
      </c>
      <c r="N102" s="64">
        <f t="shared" si="31"/>
        <v>0</v>
      </c>
      <c r="O102" s="64">
        <f t="shared" si="31"/>
        <v>0</v>
      </c>
      <c r="P102" s="64">
        <f t="shared" si="31"/>
        <v>0</v>
      </c>
      <c r="Q102" s="64">
        <f t="shared" si="31"/>
        <v>0</v>
      </c>
      <c r="R102" s="64">
        <f t="shared" si="31"/>
        <v>0</v>
      </c>
      <c r="S102" s="64">
        <f t="shared" si="31"/>
        <v>0</v>
      </c>
      <c r="T102" s="64">
        <f t="shared" si="31"/>
        <v>0</v>
      </c>
      <c r="U102" s="64">
        <f t="shared" si="31"/>
        <v>0</v>
      </c>
      <c r="V102" s="64">
        <f t="shared" si="31"/>
        <v>0</v>
      </c>
      <c r="W102" s="64">
        <f t="shared" si="31"/>
        <v>0</v>
      </c>
      <c r="X102" s="64">
        <f t="shared" si="31"/>
        <v>0</v>
      </c>
      <c r="Y102" s="64">
        <f t="shared" si="31"/>
        <v>0</v>
      </c>
      <c r="Z102" s="64">
        <f t="shared" si="31"/>
        <v>0</v>
      </c>
      <c r="AA102" s="64">
        <f t="shared" si="31"/>
        <v>0</v>
      </c>
      <c r="AB102" s="64">
        <f t="shared" si="31"/>
        <v>0</v>
      </c>
      <c r="AC102" s="64">
        <f t="shared" si="31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11" t="s">
        <v>82</v>
      </c>
      <c r="B103" s="511"/>
      <c r="C103" s="511"/>
      <c r="D103" s="47"/>
      <c r="E103" s="47"/>
      <c r="F103" s="61">
        <f t="shared" ref="F103:AC103" si="32">SUM(F89,F91,F93,F96,F98:F102,F81)</f>
        <v>46.309999999999995</v>
      </c>
      <c r="G103" s="61">
        <f t="shared" si="32"/>
        <v>43.96</v>
      </c>
      <c r="H103" s="61">
        <f t="shared" si="32"/>
        <v>43.75</v>
      </c>
      <c r="I103" s="61">
        <f t="shared" si="32"/>
        <v>41.570000000000007</v>
      </c>
      <c r="J103" s="61">
        <f t="shared" si="32"/>
        <v>40.11999999999999</v>
      </c>
      <c r="K103" s="61">
        <f t="shared" si="32"/>
        <v>40.83</v>
      </c>
      <c r="L103" s="61">
        <f t="shared" si="32"/>
        <v>41.89</v>
      </c>
      <c r="M103" s="61">
        <f t="shared" si="32"/>
        <v>41.809999999999995</v>
      </c>
      <c r="N103" s="61">
        <f t="shared" si="32"/>
        <v>43.759999999999991</v>
      </c>
      <c r="O103" s="61">
        <f t="shared" si="32"/>
        <v>50.360000000000007</v>
      </c>
      <c r="P103" s="61">
        <f t="shared" si="32"/>
        <v>52.08</v>
      </c>
      <c r="Q103" s="61">
        <f t="shared" si="32"/>
        <v>52.54999999999999</v>
      </c>
      <c r="R103" s="61">
        <f t="shared" si="32"/>
        <v>54.91</v>
      </c>
      <c r="S103" s="61">
        <f t="shared" si="32"/>
        <v>56.319999999999993</v>
      </c>
      <c r="T103" s="61">
        <f t="shared" si="32"/>
        <v>58.219999999999992</v>
      </c>
      <c r="U103" s="61">
        <f t="shared" si="32"/>
        <v>58.569999999999993</v>
      </c>
      <c r="V103" s="61">
        <f t="shared" si="32"/>
        <v>58.39</v>
      </c>
      <c r="W103" s="61">
        <f t="shared" si="32"/>
        <v>56.519999999999989</v>
      </c>
      <c r="X103" s="61">
        <f t="shared" si="32"/>
        <v>57.459999999999994</v>
      </c>
      <c r="Y103" s="61">
        <f t="shared" si="32"/>
        <v>61.739999999999995</v>
      </c>
      <c r="Z103" s="61">
        <f t="shared" si="32"/>
        <v>60.2</v>
      </c>
      <c r="AA103" s="61">
        <f t="shared" si="32"/>
        <v>58.09</v>
      </c>
      <c r="AB103" s="61">
        <f t="shared" si="32"/>
        <v>55.54</v>
      </c>
      <c r="AC103" s="61">
        <f t="shared" si="32"/>
        <v>51.690000000000005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12" t="s">
        <v>83</v>
      </c>
      <c r="B104" s="512"/>
      <c r="C104" s="512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12" t="s">
        <v>84</v>
      </c>
      <c r="B105" s="512"/>
      <c r="C105" s="512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12" t="s">
        <v>85</v>
      </c>
      <c r="B106" s="512"/>
      <c r="C106" s="512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>
        <v>3.6</v>
      </c>
      <c r="Q106" s="76"/>
      <c r="R106" s="76"/>
      <c r="S106" s="76"/>
      <c r="T106" s="76"/>
      <c r="U106" s="76"/>
      <c r="V106" s="76"/>
      <c r="W106" s="76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11" t="s">
        <v>86</v>
      </c>
      <c r="B107" s="511"/>
      <c r="C107" s="511"/>
      <c r="D107" s="47"/>
      <c r="E107" s="47"/>
      <c r="F107" s="61">
        <f t="shared" ref="F107:AC107" si="33">SUM(F104:F106)</f>
        <v>0</v>
      </c>
      <c r="G107" s="61">
        <f t="shared" si="33"/>
        <v>0</v>
      </c>
      <c r="H107" s="61">
        <f t="shared" si="33"/>
        <v>0</v>
      </c>
      <c r="I107" s="61">
        <f t="shared" si="33"/>
        <v>0</v>
      </c>
      <c r="J107" s="61">
        <f t="shared" si="33"/>
        <v>0</v>
      </c>
      <c r="K107" s="61">
        <f t="shared" si="33"/>
        <v>0</v>
      </c>
      <c r="L107" s="61">
        <f t="shared" si="33"/>
        <v>0</v>
      </c>
      <c r="M107" s="61">
        <f t="shared" si="33"/>
        <v>0</v>
      </c>
      <c r="N107" s="61">
        <f t="shared" si="33"/>
        <v>0</v>
      </c>
      <c r="O107" s="61">
        <f t="shared" si="33"/>
        <v>0</v>
      </c>
      <c r="P107" s="61">
        <f t="shared" si="33"/>
        <v>3.6</v>
      </c>
      <c r="Q107" s="61">
        <f t="shared" si="33"/>
        <v>0</v>
      </c>
      <c r="R107" s="61">
        <f t="shared" si="33"/>
        <v>0</v>
      </c>
      <c r="S107" s="61">
        <f t="shared" si="33"/>
        <v>0</v>
      </c>
      <c r="T107" s="61">
        <f t="shared" si="33"/>
        <v>0</v>
      </c>
      <c r="U107" s="61">
        <f t="shared" si="33"/>
        <v>0</v>
      </c>
      <c r="V107" s="61">
        <f t="shared" si="33"/>
        <v>0</v>
      </c>
      <c r="W107" s="61">
        <f t="shared" si="33"/>
        <v>0</v>
      </c>
      <c r="X107" s="61">
        <f t="shared" si="33"/>
        <v>0</v>
      </c>
      <c r="Y107" s="61">
        <f t="shared" si="33"/>
        <v>0</v>
      </c>
      <c r="Z107" s="61">
        <f t="shared" si="33"/>
        <v>0</v>
      </c>
      <c r="AA107" s="61">
        <f t="shared" si="33"/>
        <v>0</v>
      </c>
      <c r="AB107" s="61">
        <f t="shared" si="33"/>
        <v>0</v>
      </c>
      <c r="AC107" s="61">
        <f t="shared" si="33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13" t="s">
        <v>87</v>
      </c>
      <c r="B108" s="513"/>
      <c r="C108" s="513"/>
      <c r="D108" s="48"/>
      <c r="E108" s="48"/>
      <c r="F108" s="62">
        <f t="shared" ref="F108:AC108" si="34">F103+F107</f>
        <v>46.309999999999995</v>
      </c>
      <c r="G108" s="62">
        <f t="shared" si="34"/>
        <v>43.96</v>
      </c>
      <c r="H108" s="62">
        <f t="shared" si="34"/>
        <v>43.75</v>
      </c>
      <c r="I108" s="62">
        <f t="shared" si="34"/>
        <v>41.570000000000007</v>
      </c>
      <c r="J108" s="62">
        <f t="shared" si="34"/>
        <v>40.11999999999999</v>
      </c>
      <c r="K108" s="62">
        <f t="shared" si="34"/>
        <v>40.83</v>
      </c>
      <c r="L108" s="62">
        <f t="shared" si="34"/>
        <v>41.89</v>
      </c>
      <c r="M108" s="62">
        <f t="shared" si="34"/>
        <v>41.809999999999995</v>
      </c>
      <c r="N108" s="62">
        <f t="shared" si="34"/>
        <v>43.759999999999991</v>
      </c>
      <c r="O108" s="62">
        <f t="shared" si="34"/>
        <v>50.360000000000007</v>
      </c>
      <c r="P108" s="62">
        <f t="shared" si="34"/>
        <v>55.68</v>
      </c>
      <c r="Q108" s="62">
        <f t="shared" si="34"/>
        <v>52.54999999999999</v>
      </c>
      <c r="R108" s="62">
        <f t="shared" si="34"/>
        <v>54.91</v>
      </c>
      <c r="S108" s="62">
        <f t="shared" si="34"/>
        <v>56.319999999999993</v>
      </c>
      <c r="T108" s="62">
        <f>T103+T107</f>
        <v>58.219999999999992</v>
      </c>
      <c r="U108" s="62">
        <f t="shared" si="34"/>
        <v>58.569999999999993</v>
      </c>
      <c r="V108" s="62">
        <f t="shared" si="34"/>
        <v>58.39</v>
      </c>
      <c r="W108" s="62">
        <f>W103+W107</f>
        <v>56.519999999999989</v>
      </c>
      <c r="X108" s="62">
        <f t="shared" si="34"/>
        <v>57.459999999999994</v>
      </c>
      <c r="Y108" s="62">
        <f t="shared" si="34"/>
        <v>61.739999999999995</v>
      </c>
      <c r="Z108" s="62">
        <f t="shared" si="34"/>
        <v>60.2</v>
      </c>
      <c r="AA108" s="62">
        <f t="shared" si="34"/>
        <v>58.09</v>
      </c>
      <c r="AB108" s="62">
        <f t="shared" si="34"/>
        <v>55.54</v>
      </c>
      <c r="AC108" s="62">
        <f t="shared" si="34"/>
        <v>51.690000000000005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14" t="s">
        <v>88</v>
      </c>
      <c r="B109" s="514"/>
      <c r="C109" s="514"/>
      <c r="D109" s="52"/>
      <c r="E109" s="52"/>
      <c r="F109" s="63">
        <f t="shared" ref="F109:AC109" si="35">(COUNT(F13:F16))*7.2+(COUNT(F27:F28)*4.9)+(COUNT(F19:F21)*4.5)-F91-F93</f>
        <v>7.2000000000000028</v>
      </c>
      <c r="G109" s="63">
        <f t="shared" si="35"/>
        <v>2.9000000000000004</v>
      </c>
      <c r="H109" s="63">
        <f t="shared" si="35"/>
        <v>2.0999999999999988</v>
      </c>
      <c r="I109" s="63">
        <f t="shared" si="35"/>
        <v>2.1999999999999984</v>
      </c>
      <c r="J109" s="63">
        <f t="shared" si="35"/>
        <v>2.9999999999999987</v>
      </c>
      <c r="K109" s="63">
        <f t="shared" si="35"/>
        <v>2.3000000000000016</v>
      </c>
      <c r="L109" s="63">
        <f t="shared" si="35"/>
        <v>2.3999999999999986</v>
      </c>
      <c r="M109" s="63">
        <f t="shared" si="35"/>
        <v>2.7000000000000028</v>
      </c>
      <c r="N109" s="63">
        <f t="shared" si="35"/>
        <v>8.1000000000000014</v>
      </c>
      <c r="O109" s="63">
        <f t="shared" si="35"/>
        <v>6.1999999999999975</v>
      </c>
      <c r="P109" s="63">
        <f t="shared" si="35"/>
        <v>5.9999999999999973</v>
      </c>
      <c r="Q109" s="63">
        <f t="shared" si="35"/>
        <v>10.000000000000004</v>
      </c>
      <c r="R109" s="63">
        <f t="shared" si="35"/>
        <v>7.4999999999999982</v>
      </c>
      <c r="S109" s="63">
        <f t="shared" si="35"/>
        <v>7.3000000000000007</v>
      </c>
      <c r="T109" s="63">
        <f t="shared" si="35"/>
        <v>12.500000000000004</v>
      </c>
      <c r="U109" s="63">
        <f t="shared" si="35"/>
        <v>5.0000000000000018</v>
      </c>
      <c r="V109" s="63">
        <f t="shared" si="35"/>
        <v>5.1999999999999993</v>
      </c>
      <c r="W109" s="63">
        <f t="shared" si="35"/>
        <v>7.0000000000000036</v>
      </c>
      <c r="X109" s="63">
        <f t="shared" si="35"/>
        <v>6.2000000000000011</v>
      </c>
      <c r="Y109" s="63">
        <f t="shared" si="35"/>
        <v>4.6000000000000014</v>
      </c>
      <c r="Z109" s="63">
        <f t="shared" si="35"/>
        <v>3.7000000000000011</v>
      </c>
      <c r="AA109" s="63">
        <f t="shared" si="35"/>
        <v>4.9000000000000021</v>
      </c>
      <c r="AB109" s="63">
        <f t="shared" si="35"/>
        <v>10.199999999999996</v>
      </c>
      <c r="AC109" s="63">
        <f t="shared" si="35"/>
        <v>12.799999999999995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15" t="s">
        <v>89</v>
      </c>
      <c r="B110" s="516"/>
      <c r="C110" s="517"/>
      <c r="D110" s="204"/>
      <c r="E110" s="204"/>
      <c r="F110" s="205">
        <f t="shared" ref="F110:P110" si="36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5.7000000000000046</v>
      </c>
      <c r="G110" s="205">
        <f t="shared" si="36"/>
        <v>4.4000000000000021</v>
      </c>
      <c r="H110" s="205">
        <f t="shared" si="36"/>
        <v>2.1000000000000005</v>
      </c>
      <c r="I110" s="205">
        <f t="shared" si="36"/>
        <v>2.2000000000000002</v>
      </c>
      <c r="J110" s="205">
        <f t="shared" si="36"/>
        <v>3.0000000000000004</v>
      </c>
      <c r="K110" s="205">
        <f t="shared" si="36"/>
        <v>2.3000000000000034</v>
      </c>
      <c r="L110" s="205">
        <f t="shared" si="36"/>
        <v>2.4000000000000004</v>
      </c>
      <c r="M110" s="205">
        <f t="shared" si="36"/>
        <v>2.7000000000000046</v>
      </c>
      <c r="N110" s="205">
        <f t="shared" si="36"/>
        <v>8.2000000000000028</v>
      </c>
      <c r="O110" s="205">
        <f t="shared" si="36"/>
        <v>3.0999999999999996</v>
      </c>
      <c r="P110" s="205">
        <f t="shared" si="36"/>
        <v>2.9999999999999991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6.900000000000003</v>
      </c>
      <c r="R110" s="205">
        <f t="shared" ref="R110:AC110" si="37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1.2000000000000002</v>
      </c>
      <c r="S110" s="205">
        <f t="shared" si="37"/>
        <v>0</v>
      </c>
      <c r="T110" s="205">
        <f t="shared" si="37"/>
        <v>5.2000000000000011</v>
      </c>
      <c r="U110" s="205">
        <f t="shared" si="37"/>
        <v>-2.2999999999999963</v>
      </c>
      <c r="V110" s="205">
        <f t="shared" si="37"/>
        <v>-2.0999999999999988</v>
      </c>
      <c r="W110" s="205">
        <f t="shared" si="37"/>
        <v>-0.29999999999999449</v>
      </c>
      <c r="X110" s="205">
        <f t="shared" si="37"/>
        <v>-1.099999999999997</v>
      </c>
      <c r="Y110" s="205">
        <f t="shared" si="37"/>
        <v>-2.6999999999999966</v>
      </c>
      <c r="Z110" s="205">
        <f t="shared" si="37"/>
        <v>-3.2999999999999972</v>
      </c>
      <c r="AA110" s="205">
        <f t="shared" si="37"/>
        <v>-2.0999999999999961</v>
      </c>
      <c r="AB110" s="205">
        <f t="shared" si="37"/>
        <v>-3.5999999999999996</v>
      </c>
      <c r="AC110" s="205">
        <f t="shared" si="37"/>
        <v>-1</v>
      </c>
      <c r="AD110" s="26"/>
      <c r="AE110" s="26"/>
      <c r="AF110" s="466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10" t="s">
        <v>91</v>
      </c>
      <c r="B111" s="510"/>
      <c r="C111" s="510"/>
      <c r="D111" s="60"/>
      <c r="E111" s="72"/>
      <c r="F111" s="74">
        <v>60.16</v>
      </c>
      <c r="G111" s="74">
        <v>60.15</v>
      </c>
      <c r="H111" s="74">
        <v>60.15</v>
      </c>
      <c r="I111" s="74">
        <v>60.15</v>
      </c>
      <c r="J111" s="74">
        <v>60.12</v>
      </c>
      <c r="K111" s="74">
        <v>60.13</v>
      </c>
      <c r="L111" s="74">
        <v>60.16</v>
      </c>
      <c r="M111" s="74">
        <v>60.16</v>
      </c>
      <c r="N111" s="74">
        <v>60.15</v>
      </c>
      <c r="O111" s="74">
        <v>60.12</v>
      </c>
      <c r="P111" s="83">
        <v>60.18</v>
      </c>
      <c r="Q111" s="83">
        <v>60.13</v>
      </c>
      <c r="R111" s="83">
        <v>60.27</v>
      </c>
      <c r="S111" s="83">
        <v>60.13</v>
      </c>
      <c r="T111" s="83">
        <v>60.14</v>
      </c>
      <c r="U111" s="74">
        <v>60.04</v>
      </c>
      <c r="V111" s="74">
        <v>60.09</v>
      </c>
      <c r="W111" s="74">
        <v>60.19</v>
      </c>
      <c r="X111" s="74">
        <v>60.07</v>
      </c>
      <c r="Y111" s="74">
        <v>60.07</v>
      </c>
      <c r="Z111" s="74">
        <v>60.16</v>
      </c>
      <c r="AA111" s="74">
        <v>60.1</v>
      </c>
      <c r="AB111" s="74">
        <v>60.1</v>
      </c>
      <c r="AC111" s="74">
        <v>60.21</v>
      </c>
      <c r="AD111" s="26"/>
      <c r="AE111" s="26"/>
      <c r="AF111" s="467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18" t="s">
        <v>93</v>
      </c>
      <c r="B112" s="519"/>
      <c r="C112" s="520"/>
      <c r="D112" s="60"/>
      <c r="E112" s="72"/>
      <c r="F112" s="74"/>
      <c r="G112" s="74"/>
      <c r="H112" s="74"/>
      <c r="I112" s="74"/>
      <c r="J112" s="74"/>
      <c r="K112" s="74"/>
      <c r="L112" s="74"/>
      <c r="M112" s="74"/>
      <c r="N112" s="74"/>
      <c r="O112" s="74"/>
      <c r="P112" s="74"/>
      <c r="Q112" s="74"/>
      <c r="R112" s="74"/>
      <c r="S112" s="74"/>
      <c r="T112" s="74"/>
      <c r="U112" s="74"/>
      <c r="V112" s="74"/>
      <c r="W112" s="74"/>
      <c r="X112" s="74"/>
      <c r="Y112" s="74"/>
      <c r="Z112" s="74"/>
      <c r="AA112" s="74"/>
      <c r="AB112" s="74"/>
      <c r="AC112" s="74"/>
      <c r="AD112" s="26"/>
      <c r="AE112" s="26"/>
      <c r="AF112" s="469"/>
      <c r="AG112" s="472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18" t="s">
        <v>95</v>
      </c>
      <c r="B113" s="519"/>
      <c r="C113" s="520"/>
      <c r="D113" s="60"/>
      <c r="E113" s="74"/>
      <c r="F113" s="74"/>
      <c r="G113" s="74"/>
      <c r="H113" s="74"/>
      <c r="I113" s="74"/>
      <c r="J113" s="74"/>
      <c r="K113" s="74"/>
      <c r="L113" s="74"/>
      <c r="M113" s="74"/>
      <c r="N113" s="74"/>
      <c r="O113" s="74"/>
      <c r="P113" s="83">
        <v>4.5</v>
      </c>
      <c r="Q113" s="83">
        <v>4.5</v>
      </c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10" t="s">
        <v>96</v>
      </c>
      <c r="B114" s="510"/>
      <c r="C114" s="510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 t="s">
        <v>101</v>
      </c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10" t="s">
        <v>97</v>
      </c>
      <c r="B115" s="510"/>
      <c r="C115" s="510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499" t="s">
        <v>98</v>
      </c>
      <c r="B117" s="499"/>
      <c r="C117" s="499"/>
      <c r="D117" s="499"/>
      <c r="E117" s="499"/>
      <c r="F117" s="499"/>
      <c r="G117" s="499"/>
      <c r="H117" s="499"/>
      <c r="I117" s="499"/>
      <c r="J117" s="499"/>
      <c r="K117" s="499"/>
      <c r="L117" s="499"/>
      <c r="M117" s="499"/>
      <c r="N117" s="499"/>
      <c r="O117" s="499"/>
      <c r="P117" s="499"/>
      <c r="Q117" s="499"/>
      <c r="R117" s="499"/>
      <c r="S117" s="499"/>
      <c r="T117" s="499"/>
      <c r="U117" s="499"/>
      <c r="V117" s="499"/>
      <c r="W117" s="499"/>
      <c r="X117" s="499"/>
      <c r="Y117" s="499"/>
      <c r="Z117" s="499"/>
      <c r="AA117" s="499"/>
      <c r="AB117" s="499"/>
      <c r="AC117" s="499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00" t="s">
        <v>75</v>
      </c>
      <c r="B119" s="501"/>
      <c r="C119" s="502"/>
      <c r="D119" s="49"/>
      <c r="E119" s="49"/>
      <c r="F119" s="506" t="s">
        <v>76</v>
      </c>
      <c r="G119" s="506"/>
      <c r="H119" s="506"/>
      <c r="I119" s="506"/>
      <c r="J119" s="506"/>
      <c r="K119" s="506"/>
      <c r="L119" s="506"/>
      <c r="M119" s="506"/>
      <c r="N119" s="506"/>
      <c r="O119" s="506"/>
      <c r="P119" s="506"/>
      <c r="Q119" s="506"/>
      <c r="R119" s="506"/>
      <c r="S119" s="506"/>
      <c r="T119" s="506"/>
      <c r="U119" s="506"/>
      <c r="V119" s="506"/>
      <c r="W119" s="506"/>
      <c r="X119" s="506"/>
      <c r="Y119" s="506"/>
      <c r="Z119" s="506"/>
      <c r="AA119" s="506"/>
      <c r="AB119" s="506"/>
      <c r="AC119" s="506"/>
      <c r="AD119" s="5"/>
      <c r="AE119" s="5"/>
      <c r="AF119" s="5"/>
      <c r="AG119" s="5"/>
      <c r="AH119" s="5"/>
    </row>
    <row r="120" spans="1:124" ht="15.6" hidden="1" customHeight="1">
      <c r="A120" s="503"/>
      <c r="B120" s="504"/>
      <c r="C120" s="505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07" t="s">
        <v>27</v>
      </c>
      <c r="B121" s="508"/>
      <c r="C121" s="509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07" t="s">
        <v>78</v>
      </c>
      <c r="B122" s="508"/>
      <c r="C122" s="509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07" t="s">
        <v>29</v>
      </c>
      <c r="B123" s="508"/>
      <c r="C123" s="509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07" t="s">
        <v>32</v>
      </c>
      <c r="B124" s="508"/>
      <c r="C124" s="509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07" t="s">
        <v>33</v>
      </c>
      <c r="B125" s="508"/>
      <c r="C125" s="509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07" t="s">
        <v>55</v>
      </c>
      <c r="B126" s="508"/>
      <c r="C126" s="509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07" t="s">
        <v>59</v>
      </c>
      <c r="B127" s="508"/>
      <c r="C127" s="509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07" t="s">
        <v>69</v>
      </c>
      <c r="B128" s="508"/>
      <c r="C128" s="509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496" t="s">
        <v>99</v>
      </c>
      <c r="B129" s="497"/>
      <c r="C129" s="498"/>
      <c r="D129" s="51"/>
      <c r="E129" s="51"/>
      <c r="F129" s="44">
        <f>SUM(F121:F128)</f>
        <v>0</v>
      </c>
      <c r="G129" s="44">
        <f t="shared" ref="G129:AB129" si="38">SUM(G121:G128)</f>
        <v>0</v>
      </c>
      <c r="H129" s="44">
        <f t="shared" si="38"/>
        <v>0</v>
      </c>
      <c r="I129" s="44">
        <f t="shared" si="38"/>
        <v>0</v>
      </c>
      <c r="J129" s="44">
        <f t="shared" si="38"/>
        <v>0</v>
      </c>
      <c r="K129" s="44">
        <f t="shared" si="38"/>
        <v>0</v>
      </c>
      <c r="L129" s="44">
        <f t="shared" si="38"/>
        <v>0</v>
      </c>
      <c r="M129" s="44">
        <f t="shared" si="38"/>
        <v>0</v>
      </c>
      <c r="N129" s="44">
        <f t="shared" si="38"/>
        <v>0</v>
      </c>
      <c r="O129" s="44">
        <f t="shared" si="38"/>
        <v>0</v>
      </c>
      <c r="P129" s="44">
        <f t="shared" si="38"/>
        <v>0</v>
      </c>
      <c r="Q129" s="44">
        <f t="shared" si="38"/>
        <v>0</v>
      </c>
      <c r="R129" s="44">
        <f t="shared" si="38"/>
        <v>0</v>
      </c>
      <c r="S129" s="44">
        <f t="shared" si="38"/>
        <v>0</v>
      </c>
      <c r="T129" s="44">
        <f t="shared" si="38"/>
        <v>0</v>
      </c>
      <c r="U129" s="44">
        <f t="shared" si="38"/>
        <v>0</v>
      </c>
      <c r="V129" s="44">
        <f t="shared" si="38"/>
        <v>0</v>
      </c>
      <c r="W129" s="44">
        <f t="shared" si="38"/>
        <v>0</v>
      </c>
      <c r="X129" s="44">
        <f t="shared" si="38"/>
        <v>0</v>
      </c>
      <c r="Y129" s="44">
        <f t="shared" si="38"/>
        <v>0</v>
      </c>
      <c r="Z129" s="44">
        <f t="shared" si="38"/>
        <v>0</v>
      </c>
      <c r="AA129" s="44">
        <f t="shared" si="38"/>
        <v>0</v>
      </c>
      <c r="AB129" s="44">
        <f t="shared" si="38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128:C128"/>
    <mergeCell ref="A129:C129"/>
    <mergeCell ref="A122:C122"/>
    <mergeCell ref="A123:C123"/>
    <mergeCell ref="A124:C124"/>
    <mergeCell ref="A125:C125"/>
    <mergeCell ref="A126:C126"/>
    <mergeCell ref="A127:C127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G111:AC111">
    <cfRule type="cellIs" dxfId="5715" priority="472" operator="greaterThan">
      <formula>60.3</formula>
    </cfRule>
  </conditionalFormatting>
  <conditionalFormatting sqref="F111">
    <cfRule type="cellIs" dxfId="5714" priority="471" operator="greaterThan">
      <formula>60.3</formula>
    </cfRule>
  </conditionalFormatting>
  <conditionalFormatting sqref="H13:J13 H15:M16 P15:P16 N13:S13 L13 Q14:S16 T13:AC16 G36:AC59 G62:AC64">
    <cfRule type="cellIs" dxfId="5713" priority="463" operator="equal">
      <formula>"PMS"</formula>
    </cfRule>
    <cfRule type="containsText" dxfId="5712" priority="464" operator="containsText" text="CMS">
      <formula>NOT(ISERROR(SEARCH("CMS",G13)))</formula>
    </cfRule>
    <cfRule type="cellIs" dxfId="5711" priority="465" operator="equal">
      <formula>0</formula>
    </cfRule>
    <cfRule type="cellIs" dxfId="5710" priority="466" operator="greaterThan">
      <formula>0</formula>
    </cfRule>
    <cfRule type="cellIs" dxfId="5709" priority="467" operator="equal">
      <formula>"PMS"</formula>
    </cfRule>
    <cfRule type="containsText" dxfId="5708" priority="468" operator="containsText" text="CMS">
      <formula>NOT(ISERROR(SEARCH("CMS",G13)))</formula>
    </cfRule>
    <cfRule type="cellIs" dxfId="5707" priority="469" operator="equal">
      <formula>0</formula>
    </cfRule>
    <cfRule type="cellIs" dxfId="5706" priority="470" operator="greaterThan">
      <formula>0</formula>
    </cfRule>
  </conditionalFormatting>
  <conditionalFormatting sqref="H13:J13 H15:M16 P15:P16 N13:S13 L13 Q14:S16 T13:AC16 G36:AC59 G62:AC64">
    <cfRule type="cellIs" dxfId="5705" priority="459" operator="equal">
      <formula>"PMS"</formula>
    </cfRule>
    <cfRule type="containsText" dxfId="5704" priority="460" operator="containsText" text="CMS">
      <formula>NOT(ISERROR(SEARCH("CMS",G13)))</formula>
    </cfRule>
    <cfRule type="cellIs" dxfId="5703" priority="461" operator="equal">
      <formula>0</formula>
    </cfRule>
    <cfRule type="cellIs" dxfId="5702" priority="462" operator="greaterThan">
      <formula>0</formula>
    </cfRule>
  </conditionalFormatting>
  <conditionalFormatting sqref="G20:S20 G21:N21 P21:S21 U19:AC21 T20:T21 G19:Q19">
    <cfRule type="cellIs" dxfId="5701" priority="451" operator="equal">
      <formula>"PMS"</formula>
    </cfRule>
    <cfRule type="containsText" dxfId="5700" priority="452" operator="containsText" text="CMS">
      <formula>NOT(ISERROR(SEARCH("CMS",G19)))</formula>
    </cfRule>
    <cfRule type="cellIs" dxfId="5699" priority="453" operator="equal">
      <formula>0</formula>
    </cfRule>
    <cfRule type="cellIs" dxfId="5698" priority="454" operator="greaterThan">
      <formula>0</formula>
    </cfRule>
    <cfRule type="cellIs" dxfId="5697" priority="455" operator="equal">
      <formula>"PMS"</formula>
    </cfRule>
    <cfRule type="containsText" dxfId="5696" priority="456" operator="containsText" text="CMS">
      <formula>NOT(ISERROR(SEARCH("CMS",G19)))</formula>
    </cfRule>
    <cfRule type="cellIs" dxfId="5695" priority="457" operator="equal">
      <formula>0</formula>
    </cfRule>
    <cfRule type="cellIs" dxfId="5694" priority="458" operator="greaterThan">
      <formula>0</formula>
    </cfRule>
  </conditionalFormatting>
  <conditionalFormatting sqref="G20:S20 G21:N21 P21:S21 U19:AC21 T20:T21 G19:Q19">
    <cfRule type="cellIs" dxfId="5693" priority="447" operator="equal">
      <formula>"PMS"</formula>
    </cfRule>
    <cfRule type="containsText" dxfId="5692" priority="448" operator="containsText" text="CMS">
      <formula>NOT(ISERROR(SEARCH("CMS",G19)))</formula>
    </cfRule>
    <cfRule type="cellIs" dxfId="5691" priority="449" operator="equal">
      <formula>0</formula>
    </cfRule>
    <cfRule type="cellIs" dxfId="5690" priority="450" operator="greaterThan">
      <formula>0</formula>
    </cfRule>
  </conditionalFormatting>
  <conditionalFormatting sqref="V24:AC24 G24:M24 O24:T24">
    <cfRule type="cellIs" dxfId="5689" priority="439" operator="equal">
      <formula>"PMS"</formula>
    </cfRule>
    <cfRule type="containsText" dxfId="5688" priority="440" operator="containsText" text="CMS">
      <formula>NOT(ISERROR(SEARCH("CMS",G24)))</formula>
    </cfRule>
    <cfRule type="cellIs" dxfId="5687" priority="441" operator="equal">
      <formula>0</formula>
    </cfRule>
    <cfRule type="cellIs" dxfId="5686" priority="442" operator="greaterThan">
      <formula>0</formula>
    </cfRule>
    <cfRule type="cellIs" dxfId="5685" priority="443" operator="equal">
      <formula>"PMS"</formula>
    </cfRule>
    <cfRule type="containsText" dxfId="5684" priority="444" operator="containsText" text="CMS">
      <formula>NOT(ISERROR(SEARCH("CMS",G24)))</formula>
    </cfRule>
    <cfRule type="cellIs" dxfId="5683" priority="445" operator="equal">
      <formula>0</formula>
    </cfRule>
    <cfRule type="cellIs" dxfId="5682" priority="446" operator="greaterThan">
      <formula>0</formula>
    </cfRule>
  </conditionalFormatting>
  <conditionalFormatting sqref="V24:AC24 G24:M24 O24:T24">
    <cfRule type="cellIs" dxfId="5681" priority="435" operator="equal">
      <formula>"PMS"</formula>
    </cfRule>
    <cfRule type="containsText" dxfId="5680" priority="436" operator="containsText" text="CMS">
      <formula>NOT(ISERROR(SEARCH("CMS",G24)))</formula>
    </cfRule>
    <cfRule type="cellIs" dxfId="5679" priority="437" operator="equal">
      <formula>0</formula>
    </cfRule>
    <cfRule type="cellIs" dxfId="5678" priority="438" operator="greaterThan">
      <formula>0</formula>
    </cfRule>
  </conditionalFormatting>
  <conditionalFormatting sqref="G27:AC27 H28:AC28 G29:AC30">
    <cfRule type="cellIs" dxfId="5677" priority="427" operator="equal">
      <formula>"PMS"</formula>
    </cfRule>
    <cfRule type="containsText" dxfId="5676" priority="428" operator="containsText" text="CMS">
      <formula>NOT(ISERROR(SEARCH("CMS",G27)))</formula>
    </cfRule>
    <cfRule type="cellIs" dxfId="5675" priority="429" operator="equal">
      <formula>0</formula>
    </cfRule>
    <cfRule type="cellIs" dxfId="5674" priority="430" operator="greaterThan">
      <formula>0</formula>
    </cfRule>
    <cfRule type="cellIs" dxfId="5673" priority="431" operator="equal">
      <formula>"PMS"</formula>
    </cfRule>
    <cfRule type="containsText" dxfId="5672" priority="432" operator="containsText" text="CMS">
      <formula>NOT(ISERROR(SEARCH("CMS",G27)))</formula>
    </cfRule>
    <cfRule type="cellIs" dxfId="5671" priority="433" operator="equal">
      <formula>0</formula>
    </cfRule>
    <cfRule type="cellIs" dxfId="5670" priority="434" operator="greaterThan">
      <formula>0</formula>
    </cfRule>
  </conditionalFormatting>
  <conditionalFormatting sqref="G27:AC27 H28:AC28 G29:AC30">
    <cfRule type="cellIs" dxfId="5669" priority="423" operator="equal">
      <formula>"PMS"</formula>
    </cfRule>
    <cfRule type="containsText" dxfId="5668" priority="424" operator="containsText" text="CMS">
      <formula>NOT(ISERROR(SEARCH("CMS",G27)))</formula>
    </cfRule>
    <cfRule type="cellIs" dxfId="5667" priority="425" operator="equal">
      <formula>0</formula>
    </cfRule>
    <cfRule type="cellIs" dxfId="5666" priority="426" operator="greaterThan">
      <formula>0</formula>
    </cfRule>
  </conditionalFormatting>
  <conditionalFormatting sqref="G33:AC33">
    <cfRule type="cellIs" dxfId="5665" priority="415" operator="equal">
      <formula>"PMS"</formula>
    </cfRule>
    <cfRule type="containsText" dxfId="5664" priority="416" operator="containsText" text="CMS">
      <formula>NOT(ISERROR(SEARCH("CMS",G33)))</formula>
    </cfRule>
    <cfRule type="cellIs" dxfId="5663" priority="417" operator="equal">
      <formula>0</formula>
    </cfRule>
    <cfRule type="cellIs" dxfId="5662" priority="418" operator="greaterThan">
      <formula>0</formula>
    </cfRule>
    <cfRule type="cellIs" dxfId="5661" priority="419" operator="equal">
      <formula>"PMS"</formula>
    </cfRule>
    <cfRule type="containsText" dxfId="5660" priority="420" operator="containsText" text="CMS">
      <formula>NOT(ISERROR(SEARCH("CMS",G33)))</formula>
    </cfRule>
    <cfRule type="cellIs" dxfId="5659" priority="421" operator="equal">
      <formula>0</formula>
    </cfRule>
    <cfRule type="cellIs" dxfId="5658" priority="422" operator="greaterThan">
      <formula>0</formula>
    </cfRule>
  </conditionalFormatting>
  <conditionalFormatting sqref="G33:AC33">
    <cfRule type="cellIs" dxfId="5657" priority="411" operator="equal">
      <formula>"PMS"</formula>
    </cfRule>
    <cfRule type="containsText" dxfId="5656" priority="412" operator="containsText" text="CMS">
      <formula>NOT(ISERROR(SEARCH("CMS",G33)))</formula>
    </cfRule>
    <cfRule type="cellIs" dxfId="5655" priority="413" operator="equal">
      <formula>0</formula>
    </cfRule>
    <cfRule type="cellIs" dxfId="5654" priority="414" operator="greaterThan">
      <formula>0</formula>
    </cfRule>
  </conditionalFormatting>
  <conditionalFormatting sqref="G67:AC75 G78:Q79 S78:AC79">
    <cfRule type="cellIs" dxfId="5653" priority="403" operator="equal">
      <formula>"PMS"</formula>
    </cfRule>
    <cfRule type="containsText" dxfId="5652" priority="404" operator="containsText" text="CMS">
      <formula>NOT(ISERROR(SEARCH("CMS",G67)))</formula>
    </cfRule>
    <cfRule type="cellIs" dxfId="5651" priority="405" operator="equal">
      <formula>0</formula>
    </cfRule>
    <cfRule type="cellIs" dxfId="5650" priority="406" operator="greaterThan">
      <formula>0</formula>
    </cfRule>
    <cfRule type="cellIs" dxfId="5649" priority="407" operator="equal">
      <formula>"PMS"</formula>
    </cfRule>
    <cfRule type="containsText" dxfId="5648" priority="408" operator="containsText" text="CMS">
      <formula>NOT(ISERROR(SEARCH("CMS",G67)))</formula>
    </cfRule>
    <cfRule type="cellIs" dxfId="5647" priority="409" operator="equal">
      <formula>0</formula>
    </cfRule>
    <cfRule type="cellIs" dxfId="5646" priority="410" operator="greaterThan">
      <formula>0</formula>
    </cfRule>
  </conditionalFormatting>
  <conditionalFormatting sqref="G67:AC75 G78:Q79 S78:AC79">
    <cfRule type="cellIs" dxfId="5645" priority="399" operator="equal">
      <formula>"PMS"</formula>
    </cfRule>
    <cfRule type="containsText" dxfId="5644" priority="400" operator="containsText" text="CMS">
      <formula>NOT(ISERROR(SEARCH("CMS",G67)))</formula>
    </cfRule>
    <cfRule type="cellIs" dxfId="5643" priority="401" operator="equal">
      <formula>0</formula>
    </cfRule>
    <cfRule type="cellIs" dxfId="5642" priority="402" operator="greaterThan">
      <formula>0</formula>
    </cfRule>
  </conditionalFormatting>
  <conditionalFormatting sqref="G82:AC82">
    <cfRule type="cellIs" dxfId="5641" priority="391" operator="equal">
      <formula>"PMS"</formula>
    </cfRule>
    <cfRule type="containsText" dxfId="5640" priority="392" operator="containsText" text="CMS">
      <formula>NOT(ISERROR(SEARCH("CMS",G82)))</formula>
    </cfRule>
    <cfRule type="cellIs" dxfId="5639" priority="393" operator="equal">
      <formula>0</formula>
    </cfRule>
    <cfRule type="cellIs" dxfId="5638" priority="394" operator="greaterThan">
      <formula>0</formula>
    </cfRule>
    <cfRule type="cellIs" dxfId="5637" priority="395" operator="equal">
      <formula>"PMS"</formula>
    </cfRule>
    <cfRule type="containsText" dxfId="5636" priority="396" operator="containsText" text="CMS">
      <formula>NOT(ISERROR(SEARCH("CMS",G82)))</formula>
    </cfRule>
    <cfRule type="cellIs" dxfId="5635" priority="397" operator="equal">
      <formula>0</formula>
    </cfRule>
    <cfRule type="cellIs" dxfId="5634" priority="398" operator="greaterThan">
      <formula>0</formula>
    </cfRule>
  </conditionalFormatting>
  <conditionalFormatting sqref="G82:AC82">
    <cfRule type="cellIs" dxfId="5633" priority="387" operator="equal">
      <formula>"PMS"</formula>
    </cfRule>
    <cfRule type="containsText" dxfId="5632" priority="388" operator="containsText" text="CMS">
      <formula>NOT(ISERROR(SEARCH("CMS",G82)))</formula>
    </cfRule>
    <cfRule type="cellIs" dxfId="5631" priority="389" operator="equal">
      <formula>0</formula>
    </cfRule>
    <cfRule type="cellIs" dxfId="5630" priority="390" operator="greaterThan">
      <formula>0</formula>
    </cfRule>
  </conditionalFormatting>
  <conditionalFormatting sqref="N24">
    <cfRule type="cellIs" dxfId="5629" priority="379" operator="equal">
      <formula>"PMS"</formula>
    </cfRule>
    <cfRule type="containsText" dxfId="5628" priority="380" operator="containsText" text="CMS">
      <formula>NOT(ISERROR(SEARCH("CMS",N24)))</formula>
    </cfRule>
    <cfRule type="cellIs" dxfId="5627" priority="381" operator="equal">
      <formula>0</formula>
    </cfRule>
    <cfRule type="cellIs" dxfId="5626" priority="382" operator="greaterThan">
      <formula>0</formula>
    </cfRule>
    <cfRule type="cellIs" dxfId="5625" priority="383" operator="equal">
      <formula>"PMS"</formula>
    </cfRule>
    <cfRule type="containsText" dxfId="5624" priority="384" operator="containsText" text="CMS">
      <formula>NOT(ISERROR(SEARCH("CMS",N24)))</formula>
    </cfRule>
    <cfRule type="cellIs" dxfId="5623" priority="385" operator="equal">
      <formula>0</formula>
    </cfRule>
    <cfRule type="cellIs" dxfId="5622" priority="386" operator="greaterThan">
      <formula>0</formula>
    </cfRule>
  </conditionalFormatting>
  <conditionalFormatting sqref="N24">
    <cfRule type="cellIs" dxfId="5621" priority="375" operator="equal">
      <formula>"PMS"</formula>
    </cfRule>
    <cfRule type="containsText" dxfId="5620" priority="376" operator="containsText" text="CMS">
      <formula>NOT(ISERROR(SEARCH("CMS",N24)))</formula>
    </cfRule>
    <cfRule type="cellIs" dxfId="5619" priority="377" operator="equal">
      <formula>0</formula>
    </cfRule>
    <cfRule type="cellIs" dxfId="5618" priority="378" operator="greaterThan">
      <formula>0</formula>
    </cfRule>
  </conditionalFormatting>
  <conditionalFormatting sqref="U24">
    <cfRule type="cellIs" dxfId="5617" priority="367" operator="equal">
      <formula>"PMS"</formula>
    </cfRule>
    <cfRule type="containsText" dxfId="5616" priority="368" operator="containsText" text="CMS">
      <formula>NOT(ISERROR(SEARCH("CMS",U24)))</formula>
    </cfRule>
    <cfRule type="cellIs" dxfId="5615" priority="369" operator="equal">
      <formula>0</formula>
    </cfRule>
    <cfRule type="cellIs" dxfId="5614" priority="370" operator="greaterThan">
      <formula>0</formula>
    </cfRule>
    <cfRule type="cellIs" dxfId="5613" priority="371" operator="equal">
      <formula>"PMS"</formula>
    </cfRule>
    <cfRule type="containsText" dxfId="5612" priority="372" operator="containsText" text="CMS">
      <formula>NOT(ISERROR(SEARCH("CMS",U24)))</formula>
    </cfRule>
    <cfRule type="cellIs" dxfId="5611" priority="373" operator="equal">
      <formula>0</formula>
    </cfRule>
    <cfRule type="cellIs" dxfId="5610" priority="374" operator="greaterThan">
      <formula>0</formula>
    </cfRule>
  </conditionalFormatting>
  <conditionalFormatting sqref="U24">
    <cfRule type="cellIs" dxfId="5609" priority="363" operator="equal">
      <formula>"PMS"</formula>
    </cfRule>
    <cfRule type="containsText" dxfId="5608" priority="364" operator="containsText" text="CMS">
      <formula>NOT(ISERROR(SEARCH("CMS",U24)))</formula>
    </cfRule>
    <cfRule type="cellIs" dxfId="5607" priority="365" operator="equal">
      <formula>0</formula>
    </cfRule>
    <cfRule type="cellIs" dxfId="5606" priority="366" operator="greaterThan">
      <formula>0</formula>
    </cfRule>
  </conditionalFormatting>
  <conditionalFormatting sqref="H14:P14">
    <cfRule type="cellIs" dxfId="5605" priority="355" operator="equal">
      <formula>"PMS"</formula>
    </cfRule>
    <cfRule type="containsText" dxfId="5604" priority="356" operator="containsText" text="CMS">
      <formula>NOT(ISERROR(SEARCH("CMS",H14)))</formula>
    </cfRule>
    <cfRule type="cellIs" dxfId="5603" priority="357" operator="equal">
      <formula>0</formula>
    </cfRule>
    <cfRule type="cellIs" dxfId="5602" priority="358" operator="greaterThan">
      <formula>0</formula>
    </cfRule>
    <cfRule type="cellIs" dxfId="5601" priority="359" operator="equal">
      <formula>"PMS"</formula>
    </cfRule>
    <cfRule type="containsText" dxfId="5600" priority="360" operator="containsText" text="CMS">
      <formula>NOT(ISERROR(SEARCH("CMS",H14)))</formula>
    </cfRule>
    <cfRule type="cellIs" dxfId="5599" priority="361" operator="equal">
      <formula>0</formula>
    </cfRule>
    <cfRule type="cellIs" dxfId="5598" priority="362" operator="greaterThan">
      <formula>0</formula>
    </cfRule>
  </conditionalFormatting>
  <conditionalFormatting sqref="H14:P14">
    <cfRule type="cellIs" dxfId="5597" priority="351" operator="equal">
      <formula>"PMS"</formula>
    </cfRule>
    <cfRule type="containsText" dxfId="5596" priority="352" operator="containsText" text="CMS">
      <formula>NOT(ISERROR(SEARCH("CMS",H14)))</formula>
    </cfRule>
    <cfRule type="cellIs" dxfId="5595" priority="353" operator="equal">
      <formula>0</formula>
    </cfRule>
    <cfRule type="cellIs" dxfId="5594" priority="354" operator="greaterThan">
      <formula>0</formula>
    </cfRule>
  </conditionalFormatting>
  <conditionalFormatting sqref="F82">
    <cfRule type="cellIs" dxfId="5593" priority="343" operator="equal">
      <formula>"PMS"</formula>
    </cfRule>
    <cfRule type="containsText" dxfId="5592" priority="344" operator="containsText" text="CMS">
      <formula>NOT(ISERROR(SEARCH("CMS",F82)))</formula>
    </cfRule>
    <cfRule type="cellIs" dxfId="5591" priority="345" operator="equal">
      <formula>0</formula>
    </cfRule>
    <cfRule type="cellIs" dxfId="5590" priority="346" operator="greaterThan">
      <formula>0</formula>
    </cfRule>
    <cfRule type="cellIs" dxfId="5589" priority="347" operator="equal">
      <formula>"PMS"</formula>
    </cfRule>
    <cfRule type="containsText" dxfId="5588" priority="348" operator="containsText" text="CMS">
      <formula>NOT(ISERROR(SEARCH("CMS",F82)))</formula>
    </cfRule>
    <cfRule type="cellIs" dxfId="5587" priority="349" operator="equal">
      <formula>0</formula>
    </cfRule>
    <cfRule type="cellIs" dxfId="5586" priority="350" operator="greaterThan">
      <formula>0</formula>
    </cfRule>
  </conditionalFormatting>
  <conditionalFormatting sqref="F82">
    <cfRule type="cellIs" dxfId="5585" priority="339" operator="equal">
      <formula>"PMS"</formula>
    </cfRule>
    <cfRule type="containsText" dxfId="5584" priority="340" operator="containsText" text="CMS">
      <formula>NOT(ISERROR(SEARCH("CMS",F82)))</formula>
    </cfRule>
    <cfRule type="cellIs" dxfId="5583" priority="341" operator="equal">
      <formula>0</formula>
    </cfRule>
    <cfRule type="cellIs" dxfId="5582" priority="342" operator="greaterThan">
      <formula>0</formula>
    </cfRule>
  </conditionalFormatting>
  <conditionalFormatting sqref="R19:T19">
    <cfRule type="cellIs" dxfId="5581" priority="331" operator="equal">
      <formula>"PMS"</formula>
    </cfRule>
    <cfRule type="containsText" dxfId="5580" priority="332" operator="containsText" text="CMS">
      <formula>NOT(ISERROR(SEARCH("CMS",R19)))</formula>
    </cfRule>
    <cfRule type="cellIs" dxfId="5579" priority="333" operator="equal">
      <formula>0</formula>
    </cfRule>
    <cfRule type="cellIs" dxfId="5578" priority="334" operator="greaterThan">
      <formula>0</formula>
    </cfRule>
    <cfRule type="cellIs" dxfId="5577" priority="335" operator="equal">
      <formula>"PMS"</formula>
    </cfRule>
    <cfRule type="containsText" dxfId="5576" priority="336" operator="containsText" text="CMS">
      <formula>NOT(ISERROR(SEARCH("CMS",R19)))</formula>
    </cfRule>
    <cfRule type="cellIs" dxfId="5575" priority="337" operator="equal">
      <formula>0</formula>
    </cfRule>
    <cfRule type="cellIs" dxfId="5574" priority="338" operator="greaterThan">
      <formula>0</formula>
    </cfRule>
  </conditionalFormatting>
  <conditionalFormatting sqref="R19:T19">
    <cfRule type="cellIs" dxfId="5573" priority="327" operator="equal">
      <formula>"PMS"</formula>
    </cfRule>
    <cfRule type="containsText" dxfId="5572" priority="328" operator="containsText" text="CMS">
      <formula>NOT(ISERROR(SEARCH("CMS",R19)))</formula>
    </cfRule>
    <cfRule type="cellIs" dxfId="5571" priority="329" operator="equal">
      <formula>0</formula>
    </cfRule>
    <cfRule type="cellIs" dxfId="5570" priority="330" operator="greaterThan">
      <formula>0</formula>
    </cfRule>
  </conditionalFormatting>
  <conditionalFormatting sqref="G13:G16">
    <cfRule type="cellIs" dxfId="5569" priority="319" operator="equal">
      <formula>"PMS"</formula>
    </cfRule>
    <cfRule type="containsText" dxfId="5568" priority="320" operator="containsText" text="CMS">
      <formula>NOT(ISERROR(SEARCH("CMS",G13)))</formula>
    </cfRule>
    <cfRule type="cellIs" dxfId="5567" priority="321" operator="equal">
      <formula>0</formula>
    </cfRule>
    <cfRule type="cellIs" dxfId="5566" priority="322" operator="greaterThan">
      <formula>0</formula>
    </cfRule>
    <cfRule type="cellIs" dxfId="5565" priority="323" operator="equal">
      <formula>"PMS"</formula>
    </cfRule>
    <cfRule type="containsText" dxfId="5564" priority="324" operator="containsText" text="CMS">
      <formula>NOT(ISERROR(SEARCH("CMS",G13)))</formula>
    </cfRule>
    <cfRule type="cellIs" dxfId="5563" priority="325" operator="equal">
      <formula>0</formula>
    </cfRule>
    <cfRule type="cellIs" dxfId="5562" priority="326" operator="greaterThan">
      <formula>0</formula>
    </cfRule>
  </conditionalFormatting>
  <conditionalFormatting sqref="G13:G16">
    <cfRule type="cellIs" dxfId="5561" priority="315" operator="equal">
      <formula>"PMS"</formula>
    </cfRule>
    <cfRule type="containsText" dxfId="5560" priority="316" operator="containsText" text="CMS">
      <formula>NOT(ISERROR(SEARCH("CMS",G13)))</formula>
    </cfRule>
    <cfRule type="cellIs" dxfId="5559" priority="317" operator="equal">
      <formula>0</formula>
    </cfRule>
    <cfRule type="cellIs" dxfId="5558" priority="318" operator="greaterThan">
      <formula>0</formula>
    </cfRule>
  </conditionalFormatting>
  <conditionalFormatting sqref="M13">
    <cfRule type="cellIs" dxfId="5557" priority="307" operator="equal">
      <formula>"PMS"</formula>
    </cfRule>
    <cfRule type="containsText" dxfId="5556" priority="308" operator="containsText" text="CMS">
      <formula>NOT(ISERROR(SEARCH("CMS",M13)))</formula>
    </cfRule>
    <cfRule type="cellIs" dxfId="5555" priority="309" operator="equal">
      <formula>0</formula>
    </cfRule>
    <cfRule type="cellIs" dxfId="5554" priority="310" operator="greaterThan">
      <formula>0</formula>
    </cfRule>
    <cfRule type="cellIs" dxfId="5553" priority="311" operator="equal">
      <formula>"PMS"</formula>
    </cfRule>
    <cfRule type="containsText" dxfId="5552" priority="312" operator="containsText" text="CMS">
      <formula>NOT(ISERROR(SEARCH("CMS",M13)))</formula>
    </cfRule>
    <cfRule type="cellIs" dxfId="5551" priority="313" operator="equal">
      <formula>0</formula>
    </cfRule>
    <cfRule type="cellIs" dxfId="5550" priority="314" operator="greaterThan">
      <formula>0</formula>
    </cfRule>
  </conditionalFormatting>
  <conditionalFormatting sqref="M13">
    <cfRule type="cellIs" dxfId="5549" priority="303" operator="equal">
      <formula>"PMS"</formula>
    </cfRule>
    <cfRule type="containsText" dxfId="5548" priority="304" operator="containsText" text="CMS">
      <formula>NOT(ISERROR(SEARCH("CMS",M13)))</formula>
    </cfRule>
    <cfRule type="cellIs" dxfId="5547" priority="305" operator="equal">
      <formula>0</formula>
    </cfRule>
    <cfRule type="cellIs" dxfId="5546" priority="306" operator="greaterThan">
      <formula>0</formula>
    </cfRule>
  </conditionalFormatting>
  <conditionalFormatting sqref="R78:R79">
    <cfRule type="cellIs" dxfId="5545" priority="295" operator="equal">
      <formula>"PMS"</formula>
    </cfRule>
    <cfRule type="containsText" dxfId="5544" priority="296" operator="containsText" text="CMS">
      <formula>NOT(ISERROR(SEARCH("CMS",R78)))</formula>
    </cfRule>
    <cfRule type="cellIs" dxfId="5543" priority="297" operator="equal">
      <formula>0</formula>
    </cfRule>
    <cfRule type="cellIs" dxfId="5542" priority="298" operator="greaterThan">
      <formula>0</formula>
    </cfRule>
    <cfRule type="cellIs" dxfId="5541" priority="299" operator="equal">
      <formula>"PMS"</formula>
    </cfRule>
    <cfRule type="containsText" dxfId="5540" priority="300" operator="containsText" text="CMS">
      <formula>NOT(ISERROR(SEARCH("CMS",R78)))</formula>
    </cfRule>
    <cfRule type="cellIs" dxfId="5539" priority="301" operator="equal">
      <formula>0</formula>
    </cfRule>
    <cfRule type="cellIs" dxfId="5538" priority="302" operator="greaterThan">
      <formula>0</formula>
    </cfRule>
  </conditionalFormatting>
  <conditionalFormatting sqref="R78:R79">
    <cfRule type="cellIs" dxfId="5537" priority="291" operator="equal">
      <formula>"PMS"</formula>
    </cfRule>
    <cfRule type="containsText" dxfId="5536" priority="292" operator="containsText" text="CMS">
      <formula>NOT(ISERROR(SEARCH("CMS",R78)))</formula>
    </cfRule>
    <cfRule type="cellIs" dxfId="5535" priority="293" operator="equal">
      <formula>0</formula>
    </cfRule>
    <cfRule type="cellIs" dxfId="5534" priority="294" operator="greaterThan">
      <formula>0</formula>
    </cfRule>
  </conditionalFormatting>
  <conditionalFormatting sqref="O15">
    <cfRule type="cellIs" dxfId="5533" priority="283" operator="equal">
      <formula>"PMS"</formula>
    </cfRule>
    <cfRule type="containsText" dxfId="5532" priority="284" operator="containsText" text="CMS">
      <formula>NOT(ISERROR(SEARCH("CMS",O15)))</formula>
    </cfRule>
    <cfRule type="cellIs" dxfId="5531" priority="285" operator="equal">
      <formula>0</formula>
    </cfRule>
    <cfRule type="cellIs" dxfId="5530" priority="286" operator="greaterThan">
      <formula>0</formula>
    </cfRule>
    <cfRule type="cellIs" dxfId="5529" priority="287" operator="equal">
      <formula>"PMS"</formula>
    </cfRule>
    <cfRule type="containsText" dxfId="5528" priority="288" operator="containsText" text="CMS">
      <formula>NOT(ISERROR(SEARCH("CMS",O15)))</formula>
    </cfRule>
    <cfRule type="cellIs" dxfId="5527" priority="289" operator="equal">
      <formula>0</formula>
    </cfRule>
    <cfRule type="cellIs" dxfId="5526" priority="290" operator="greaterThan">
      <formula>0</formula>
    </cfRule>
  </conditionalFormatting>
  <conditionalFormatting sqref="O15">
    <cfRule type="cellIs" dxfId="5525" priority="279" operator="equal">
      <formula>"PMS"</formula>
    </cfRule>
    <cfRule type="containsText" dxfId="5524" priority="280" operator="containsText" text="CMS">
      <formula>NOT(ISERROR(SEARCH("CMS",O15)))</formula>
    </cfRule>
    <cfRule type="cellIs" dxfId="5523" priority="281" operator="equal">
      <formula>0</formula>
    </cfRule>
    <cfRule type="cellIs" dxfId="5522" priority="282" operator="greaterThan">
      <formula>0</formula>
    </cfRule>
  </conditionalFormatting>
  <conditionalFormatting sqref="O16">
    <cfRule type="cellIs" dxfId="5521" priority="271" operator="equal">
      <formula>"PMS"</formula>
    </cfRule>
    <cfRule type="containsText" dxfId="5520" priority="272" operator="containsText" text="CMS">
      <formula>NOT(ISERROR(SEARCH("CMS",O16)))</formula>
    </cfRule>
    <cfRule type="cellIs" dxfId="5519" priority="273" operator="equal">
      <formula>0</formula>
    </cfRule>
    <cfRule type="cellIs" dxfId="5518" priority="274" operator="greaterThan">
      <formula>0</formula>
    </cfRule>
    <cfRule type="cellIs" dxfId="5517" priority="275" operator="equal">
      <formula>"PMS"</formula>
    </cfRule>
    <cfRule type="containsText" dxfId="5516" priority="276" operator="containsText" text="CMS">
      <formula>NOT(ISERROR(SEARCH("CMS",O16)))</formula>
    </cfRule>
    <cfRule type="cellIs" dxfId="5515" priority="277" operator="equal">
      <formula>0</formula>
    </cfRule>
    <cfRule type="cellIs" dxfId="5514" priority="278" operator="greaterThan">
      <formula>0</formula>
    </cfRule>
  </conditionalFormatting>
  <conditionalFormatting sqref="O16">
    <cfRule type="cellIs" dxfId="5513" priority="267" operator="equal">
      <formula>"PMS"</formula>
    </cfRule>
    <cfRule type="containsText" dxfId="5512" priority="268" operator="containsText" text="CMS">
      <formula>NOT(ISERROR(SEARCH("CMS",O16)))</formula>
    </cfRule>
    <cfRule type="cellIs" dxfId="5511" priority="269" operator="equal">
      <formula>0</formula>
    </cfRule>
    <cfRule type="cellIs" dxfId="5510" priority="270" operator="greaterThan">
      <formula>0</formula>
    </cfRule>
  </conditionalFormatting>
  <conditionalFormatting sqref="N15">
    <cfRule type="cellIs" dxfId="5509" priority="259" operator="equal">
      <formula>"PMS"</formula>
    </cfRule>
    <cfRule type="containsText" dxfId="5508" priority="260" operator="containsText" text="CMS">
      <formula>NOT(ISERROR(SEARCH("CMS",N15)))</formula>
    </cfRule>
    <cfRule type="cellIs" dxfId="5507" priority="261" operator="equal">
      <formula>0</formula>
    </cfRule>
    <cfRule type="cellIs" dxfId="5506" priority="262" operator="greaterThan">
      <formula>0</formula>
    </cfRule>
    <cfRule type="cellIs" dxfId="5505" priority="263" operator="equal">
      <formula>"PMS"</formula>
    </cfRule>
    <cfRule type="containsText" dxfId="5504" priority="264" operator="containsText" text="CMS">
      <formula>NOT(ISERROR(SEARCH("CMS",N15)))</formula>
    </cfRule>
    <cfRule type="cellIs" dxfId="5503" priority="265" operator="equal">
      <formula>0</formula>
    </cfRule>
    <cfRule type="cellIs" dxfId="5502" priority="266" operator="greaterThan">
      <formula>0</formula>
    </cfRule>
  </conditionalFormatting>
  <conditionalFormatting sqref="N15">
    <cfRule type="cellIs" dxfId="5501" priority="255" operator="equal">
      <formula>"PMS"</formula>
    </cfRule>
    <cfRule type="containsText" dxfId="5500" priority="256" operator="containsText" text="CMS">
      <formula>NOT(ISERROR(SEARCH("CMS",N15)))</formula>
    </cfRule>
    <cfRule type="cellIs" dxfId="5499" priority="257" operator="equal">
      <formula>0</formula>
    </cfRule>
    <cfRule type="cellIs" dxfId="5498" priority="258" operator="greaterThan">
      <formula>0</formula>
    </cfRule>
  </conditionalFormatting>
  <conditionalFormatting sqref="N16">
    <cfRule type="cellIs" dxfId="5497" priority="247" operator="equal">
      <formula>"PMS"</formula>
    </cfRule>
    <cfRule type="containsText" dxfId="5496" priority="248" operator="containsText" text="CMS">
      <formula>NOT(ISERROR(SEARCH("CMS",N16)))</formula>
    </cfRule>
    <cfRule type="cellIs" dxfId="5495" priority="249" operator="equal">
      <formula>0</formula>
    </cfRule>
    <cfRule type="cellIs" dxfId="5494" priority="250" operator="greaterThan">
      <formula>0</formula>
    </cfRule>
    <cfRule type="cellIs" dxfId="5493" priority="251" operator="equal">
      <formula>"PMS"</formula>
    </cfRule>
    <cfRule type="containsText" dxfId="5492" priority="252" operator="containsText" text="CMS">
      <formula>NOT(ISERROR(SEARCH("CMS",N16)))</formula>
    </cfRule>
    <cfRule type="cellIs" dxfId="5491" priority="253" operator="equal">
      <formula>0</formula>
    </cfRule>
    <cfRule type="cellIs" dxfId="5490" priority="254" operator="greaterThan">
      <formula>0</formula>
    </cfRule>
  </conditionalFormatting>
  <conditionalFormatting sqref="N16">
    <cfRule type="cellIs" dxfId="5489" priority="243" operator="equal">
      <formula>"PMS"</formula>
    </cfRule>
    <cfRule type="containsText" dxfId="5488" priority="244" operator="containsText" text="CMS">
      <formula>NOT(ISERROR(SEARCH("CMS",N16)))</formula>
    </cfRule>
    <cfRule type="cellIs" dxfId="5487" priority="245" operator="equal">
      <formula>0</formula>
    </cfRule>
    <cfRule type="cellIs" dxfId="5486" priority="246" operator="greaterThan">
      <formula>0</formula>
    </cfRule>
  </conditionalFormatting>
  <conditionalFormatting sqref="O21">
    <cfRule type="cellIs" dxfId="5485" priority="235" operator="equal">
      <formula>"PMS"</formula>
    </cfRule>
    <cfRule type="containsText" dxfId="5484" priority="236" operator="containsText" text="CMS">
      <formula>NOT(ISERROR(SEARCH("CMS",O21)))</formula>
    </cfRule>
    <cfRule type="cellIs" dxfId="5483" priority="237" operator="equal">
      <formula>0</formula>
    </cfRule>
    <cfRule type="cellIs" dxfId="5482" priority="238" operator="greaterThan">
      <formula>0</formula>
    </cfRule>
    <cfRule type="cellIs" dxfId="5481" priority="239" operator="equal">
      <formula>"PMS"</formula>
    </cfRule>
    <cfRule type="containsText" dxfId="5480" priority="240" operator="containsText" text="CMS">
      <formula>NOT(ISERROR(SEARCH("CMS",O21)))</formula>
    </cfRule>
    <cfRule type="cellIs" dxfId="5479" priority="241" operator="equal">
      <formula>0</formula>
    </cfRule>
    <cfRule type="cellIs" dxfId="5478" priority="242" operator="greaterThan">
      <formula>0</formula>
    </cfRule>
  </conditionalFormatting>
  <conditionalFormatting sqref="O21">
    <cfRule type="cellIs" dxfId="5477" priority="231" operator="equal">
      <formula>"PMS"</formula>
    </cfRule>
    <cfRule type="containsText" dxfId="5476" priority="232" operator="containsText" text="CMS">
      <formula>NOT(ISERROR(SEARCH("CMS",O21)))</formula>
    </cfRule>
    <cfRule type="cellIs" dxfId="5475" priority="233" operator="equal">
      <formula>0</formula>
    </cfRule>
    <cfRule type="cellIs" dxfId="5474" priority="234" operator="greaterThan">
      <formula>0</formula>
    </cfRule>
  </conditionalFormatting>
  <conditionalFormatting sqref="G28">
    <cfRule type="cellIs" dxfId="5473" priority="223" operator="equal">
      <formula>"PMS"</formula>
    </cfRule>
    <cfRule type="containsText" dxfId="5472" priority="224" operator="containsText" text="CMS">
      <formula>NOT(ISERROR(SEARCH("CMS",G28)))</formula>
    </cfRule>
    <cfRule type="cellIs" dxfId="5471" priority="225" operator="equal">
      <formula>0</formula>
    </cfRule>
    <cfRule type="cellIs" dxfId="5470" priority="226" operator="greaterThan">
      <formula>0</formula>
    </cfRule>
    <cfRule type="cellIs" dxfId="5469" priority="227" operator="equal">
      <formula>"PMS"</formula>
    </cfRule>
    <cfRule type="containsText" dxfId="5468" priority="228" operator="containsText" text="CMS">
      <formula>NOT(ISERROR(SEARCH("CMS",G28)))</formula>
    </cfRule>
    <cfRule type="cellIs" dxfId="5467" priority="229" operator="equal">
      <formula>0</formula>
    </cfRule>
    <cfRule type="cellIs" dxfId="5466" priority="230" operator="greaterThan">
      <formula>0</formula>
    </cfRule>
  </conditionalFormatting>
  <conditionalFormatting sqref="G28">
    <cfRule type="cellIs" dxfId="5465" priority="219" operator="equal">
      <formula>"PMS"</formula>
    </cfRule>
    <cfRule type="containsText" dxfId="5464" priority="220" operator="containsText" text="CMS">
      <formula>NOT(ISERROR(SEARCH("CMS",G28)))</formula>
    </cfRule>
    <cfRule type="cellIs" dxfId="5463" priority="221" operator="equal">
      <formula>0</formula>
    </cfRule>
    <cfRule type="cellIs" dxfId="5462" priority="222" operator="greaterThan">
      <formula>0</formula>
    </cfRule>
  </conditionalFormatting>
  <conditionalFormatting sqref="K13">
    <cfRule type="cellIs" dxfId="5461" priority="211" operator="equal">
      <formula>"PMS"</formula>
    </cfRule>
    <cfRule type="containsText" dxfId="5460" priority="212" operator="containsText" text="CMS">
      <formula>NOT(ISERROR(SEARCH("CMS",K13)))</formula>
    </cfRule>
    <cfRule type="cellIs" dxfId="5459" priority="213" operator="equal">
      <formula>0</formula>
    </cfRule>
    <cfRule type="cellIs" dxfId="5458" priority="214" operator="greaterThan">
      <formula>0</formula>
    </cfRule>
    <cfRule type="cellIs" dxfId="5457" priority="215" operator="equal">
      <formula>"PMS"</formula>
    </cfRule>
    <cfRule type="containsText" dxfId="5456" priority="216" operator="containsText" text="CMS">
      <formula>NOT(ISERROR(SEARCH("CMS",K13)))</formula>
    </cfRule>
    <cfRule type="cellIs" dxfId="5455" priority="217" operator="equal">
      <formula>0</formula>
    </cfRule>
    <cfRule type="cellIs" dxfId="5454" priority="218" operator="greaterThan">
      <formula>0</formula>
    </cfRule>
  </conditionalFormatting>
  <conditionalFormatting sqref="K13">
    <cfRule type="cellIs" dxfId="5453" priority="207" operator="equal">
      <formula>"PMS"</formula>
    </cfRule>
    <cfRule type="containsText" dxfId="5452" priority="208" operator="containsText" text="CMS">
      <formula>NOT(ISERROR(SEARCH("CMS",K13)))</formula>
    </cfRule>
    <cfRule type="cellIs" dxfId="5451" priority="209" operator="equal">
      <formula>0</formula>
    </cfRule>
    <cfRule type="cellIs" dxfId="5450" priority="210" operator="greaterThan">
      <formula>0</formula>
    </cfRule>
  </conditionalFormatting>
  <conditionalFormatting sqref="F67:F75">
    <cfRule type="cellIs" dxfId="5449" priority="199" operator="equal">
      <formula>"PMS"</formula>
    </cfRule>
    <cfRule type="containsText" dxfId="5448" priority="200" operator="containsText" text="CMS">
      <formula>NOT(ISERROR(SEARCH("CMS",F67)))</formula>
    </cfRule>
    <cfRule type="cellIs" dxfId="5447" priority="201" operator="equal">
      <formula>0</formula>
    </cfRule>
    <cfRule type="cellIs" dxfId="5446" priority="202" operator="greaterThan">
      <formula>0</formula>
    </cfRule>
    <cfRule type="cellIs" dxfId="5445" priority="203" operator="equal">
      <formula>"PMS"</formula>
    </cfRule>
    <cfRule type="containsText" dxfId="5444" priority="204" operator="containsText" text="CMS">
      <formula>NOT(ISERROR(SEARCH("CMS",F67)))</formula>
    </cfRule>
    <cfRule type="cellIs" dxfId="5443" priority="205" operator="equal">
      <formula>0</formula>
    </cfRule>
    <cfRule type="cellIs" dxfId="5442" priority="206" operator="greaterThan">
      <formula>0</formula>
    </cfRule>
  </conditionalFormatting>
  <conditionalFormatting sqref="F67:F75">
    <cfRule type="cellIs" dxfId="5441" priority="195" operator="equal">
      <formula>"PMS"</formula>
    </cfRule>
    <cfRule type="containsText" dxfId="5440" priority="196" operator="containsText" text="CMS">
      <formula>NOT(ISERROR(SEARCH("CMS",F67)))</formula>
    </cfRule>
    <cfRule type="cellIs" dxfId="5439" priority="197" operator="equal">
      <formula>0</formula>
    </cfRule>
    <cfRule type="cellIs" dxfId="5438" priority="198" operator="greaterThan">
      <formula>0</formula>
    </cfRule>
  </conditionalFormatting>
  <conditionalFormatting sqref="E113:AC113 F112:N112">
    <cfRule type="cellIs" dxfId="5437" priority="194" operator="greaterThan">
      <formula>60.3</formula>
    </cfRule>
  </conditionalFormatting>
  <conditionalFormatting sqref="O112:AC112">
    <cfRule type="cellIs" dxfId="5436" priority="193" operator="greaterThan">
      <formula>60.3</formula>
    </cfRule>
  </conditionalFormatting>
  <conditionalFormatting sqref="F13:F16">
    <cfRule type="cellIs" dxfId="5435" priority="89" operator="equal">
      <formula>"PMS"</formula>
    </cfRule>
    <cfRule type="containsText" dxfId="5434" priority="90" operator="containsText" text="CMS">
      <formula>NOT(ISERROR(SEARCH("CMS",F13)))</formula>
    </cfRule>
    <cfRule type="cellIs" dxfId="5433" priority="91" operator="equal">
      <formula>0</formula>
    </cfRule>
    <cfRule type="cellIs" dxfId="5432" priority="92" operator="greaterThan">
      <formula>0</formula>
    </cfRule>
    <cfRule type="cellIs" dxfId="5431" priority="93" operator="equal">
      <formula>"PMS"</formula>
    </cfRule>
    <cfRule type="containsText" dxfId="5430" priority="94" operator="containsText" text="CMS">
      <formula>NOT(ISERROR(SEARCH("CMS",F13)))</formula>
    </cfRule>
    <cfRule type="cellIs" dxfId="5429" priority="95" operator="equal">
      <formula>0</formula>
    </cfRule>
    <cfRule type="cellIs" dxfId="5428" priority="96" operator="greaterThan">
      <formula>0</formula>
    </cfRule>
  </conditionalFormatting>
  <conditionalFormatting sqref="F13:F16">
    <cfRule type="cellIs" dxfId="5427" priority="85" operator="equal">
      <formula>"PMS"</formula>
    </cfRule>
    <cfRule type="containsText" dxfId="5426" priority="86" operator="containsText" text="CMS">
      <formula>NOT(ISERROR(SEARCH("CMS",F13)))</formula>
    </cfRule>
    <cfRule type="cellIs" dxfId="5425" priority="87" operator="equal">
      <formula>0</formula>
    </cfRule>
    <cfRule type="cellIs" dxfId="5424" priority="88" operator="greaterThan">
      <formula>0</formula>
    </cfRule>
  </conditionalFormatting>
  <conditionalFormatting sqref="F19:F21">
    <cfRule type="cellIs" dxfId="5423" priority="77" operator="equal">
      <formula>"PMS"</formula>
    </cfRule>
    <cfRule type="containsText" dxfId="5422" priority="78" operator="containsText" text="CMS">
      <formula>NOT(ISERROR(SEARCH("CMS",F19)))</formula>
    </cfRule>
    <cfRule type="cellIs" dxfId="5421" priority="79" operator="equal">
      <formula>0</formula>
    </cfRule>
    <cfRule type="cellIs" dxfId="5420" priority="80" operator="greaterThan">
      <formula>0</formula>
    </cfRule>
    <cfRule type="cellIs" dxfId="5419" priority="81" operator="equal">
      <formula>"PMS"</formula>
    </cfRule>
    <cfRule type="containsText" dxfId="5418" priority="82" operator="containsText" text="CMS">
      <formula>NOT(ISERROR(SEARCH("CMS",F19)))</formula>
    </cfRule>
    <cfRule type="cellIs" dxfId="5417" priority="83" operator="equal">
      <formula>0</formula>
    </cfRule>
    <cfRule type="cellIs" dxfId="5416" priority="84" operator="greaterThan">
      <formula>0</formula>
    </cfRule>
  </conditionalFormatting>
  <conditionalFormatting sqref="F19:F21">
    <cfRule type="cellIs" dxfId="5415" priority="73" operator="equal">
      <formula>"PMS"</formula>
    </cfRule>
    <cfRule type="containsText" dxfId="5414" priority="74" operator="containsText" text="CMS">
      <formula>NOT(ISERROR(SEARCH("CMS",F19)))</formula>
    </cfRule>
    <cfRule type="cellIs" dxfId="5413" priority="75" operator="equal">
      <formula>0</formula>
    </cfRule>
    <cfRule type="cellIs" dxfId="5412" priority="76" operator="greaterThan">
      <formula>0</formula>
    </cfRule>
  </conditionalFormatting>
  <conditionalFormatting sqref="F24">
    <cfRule type="cellIs" dxfId="5411" priority="65" operator="equal">
      <formula>"PMS"</formula>
    </cfRule>
    <cfRule type="containsText" dxfId="5410" priority="66" operator="containsText" text="CMS">
      <formula>NOT(ISERROR(SEARCH("CMS",F24)))</formula>
    </cfRule>
    <cfRule type="cellIs" dxfId="5409" priority="67" operator="equal">
      <formula>0</formula>
    </cfRule>
    <cfRule type="cellIs" dxfId="5408" priority="68" operator="greaterThan">
      <formula>0</formula>
    </cfRule>
    <cfRule type="cellIs" dxfId="5407" priority="69" operator="equal">
      <formula>"PMS"</formula>
    </cfRule>
    <cfRule type="containsText" dxfId="5406" priority="70" operator="containsText" text="CMS">
      <formula>NOT(ISERROR(SEARCH("CMS",F24)))</formula>
    </cfRule>
    <cfRule type="cellIs" dxfId="5405" priority="71" operator="equal">
      <formula>0</formula>
    </cfRule>
    <cfRule type="cellIs" dxfId="5404" priority="72" operator="greaterThan">
      <formula>0</formula>
    </cfRule>
  </conditionalFormatting>
  <conditionalFormatting sqref="F24">
    <cfRule type="cellIs" dxfId="5403" priority="61" operator="equal">
      <formula>"PMS"</formula>
    </cfRule>
    <cfRule type="containsText" dxfId="5402" priority="62" operator="containsText" text="CMS">
      <formula>NOT(ISERROR(SEARCH("CMS",F24)))</formula>
    </cfRule>
    <cfRule type="cellIs" dxfId="5401" priority="63" operator="equal">
      <formula>0</formula>
    </cfRule>
    <cfRule type="cellIs" dxfId="5400" priority="64" operator="greaterThan">
      <formula>0</formula>
    </cfRule>
  </conditionalFormatting>
  <conditionalFormatting sqref="F27:F30">
    <cfRule type="cellIs" dxfId="5399" priority="53" operator="equal">
      <formula>"PMS"</formula>
    </cfRule>
    <cfRule type="containsText" dxfId="5398" priority="54" operator="containsText" text="CMS">
      <formula>NOT(ISERROR(SEARCH("CMS",F27)))</formula>
    </cfRule>
    <cfRule type="cellIs" dxfId="5397" priority="55" operator="equal">
      <formula>0</formula>
    </cfRule>
    <cfRule type="cellIs" dxfId="5396" priority="56" operator="greaterThan">
      <formula>0</formula>
    </cfRule>
    <cfRule type="cellIs" dxfId="5395" priority="57" operator="equal">
      <formula>"PMS"</formula>
    </cfRule>
    <cfRule type="containsText" dxfId="5394" priority="58" operator="containsText" text="CMS">
      <formula>NOT(ISERROR(SEARCH("CMS",F27)))</formula>
    </cfRule>
    <cfRule type="cellIs" dxfId="5393" priority="59" operator="equal">
      <formula>0</formula>
    </cfRule>
    <cfRule type="cellIs" dxfId="5392" priority="60" operator="greaterThan">
      <formula>0</formula>
    </cfRule>
  </conditionalFormatting>
  <conditionalFormatting sqref="F27:F30">
    <cfRule type="cellIs" dxfId="5391" priority="49" operator="equal">
      <formula>"PMS"</formula>
    </cfRule>
    <cfRule type="containsText" dxfId="5390" priority="50" operator="containsText" text="CMS">
      <formula>NOT(ISERROR(SEARCH("CMS",F27)))</formula>
    </cfRule>
    <cfRule type="cellIs" dxfId="5389" priority="51" operator="equal">
      <formula>0</formula>
    </cfRule>
    <cfRule type="cellIs" dxfId="5388" priority="52" operator="greaterThan">
      <formula>0</formula>
    </cfRule>
  </conditionalFormatting>
  <conditionalFormatting sqref="F33">
    <cfRule type="cellIs" dxfId="5387" priority="41" operator="equal">
      <formula>"PMS"</formula>
    </cfRule>
    <cfRule type="containsText" dxfId="5386" priority="42" operator="containsText" text="CMS">
      <formula>NOT(ISERROR(SEARCH("CMS",F33)))</formula>
    </cfRule>
    <cfRule type="cellIs" dxfId="5385" priority="43" operator="equal">
      <formula>0</formula>
    </cfRule>
    <cfRule type="cellIs" dxfId="5384" priority="44" operator="greaterThan">
      <formula>0</formula>
    </cfRule>
    <cfRule type="cellIs" dxfId="5383" priority="45" operator="equal">
      <formula>"PMS"</formula>
    </cfRule>
    <cfRule type="containsText" dxfId="5382" priority="46" operator="containsText" text="CMS">
      <formula>NOT(ISERROR(SEARCH("CMS",F33)))</formula>
    </cfRule>
    <cfRule type="cellIs" dxfId="5381" priority="47" operator="equal">
      <formula>0</formula>
    </cfRule>
    <cfRule type="cellIs" dxfId="5380" priority="48" operator="greaterThan">
      <formula>0</formula>
    </cfRule>
  </conditionalFormatting>
  <conditionalFormatting sqref="F33">
    <cfRule type="cellIs" dxfId="5379" priority="37" operator="equal">
      <formula>"PMS"</formula>
    </cfRule>
    <cfRule type="containsText" dxfId="5378" priority="38" operator="containsText" text="CMS">
      <formula>NOT(ISERROR(SEARCH("CMS",F33)))</formula>
    </cfRule>
    <cfRule type="cellIs" dxfId="5377" priority="39" operator="equal">
      <formula>0</formula>
    </cfRule>
    <cfRule type="cellIs" dxfId="5376" priority="40" operator="greaterThan">
      <formula>0</formula>
    </cfRule>
  </conditionalFormatting>
  <conditionalFormatting sqref="F36:F59">
    <cfRule type="cellIs" dxfId="5375" priority="29" operator="equal">
      <formula>"PMS"</formula>
    </cfRule>
    <cfRule type="containsText" dxfId="5374" priority="30" operator="containsText" text="CMS">
      <formula>NOT(ISERROR(SEARCH("CMS",F36)))</formula>
    </cfRule>
    <cfRule type="cellIs" dxfId="5373" priority="31" operator="equal">
      <formula>0</formula>
    </cfRule>
    <cfRule type="cellIs" dxfId="5372" priority="32" operator="greaterThan">
      <formula>0</formula>
    </cfRule>
    <cfRule type="cellIs" dxfId="5371" priority="33" operator="equal">
      <formula>"PMS"</formula>
    </cfRule>
    <cfRule type="containsText" dxfId="5370" priority="34" operator="containsText" text="CMS">
      <formula>NOT(ISERROR(SEARCH("CMS",F36)))</formula>
    </cfRule>
    <cfRule type="cellIs" dxfId="5369" priority="35" operator="equal">
      <formula>0</formula>
    </cfRule>
    <cfRule type="cellIs" dxfId="5368" priority="36" operator="greaterThan">
      <formula>0</formula>
    </cfRule>
  </conditionalFormatting>
  <conditionalFormatting sqref="F36:F59">
    <cfRule type="cellIs" dxfId="5367" priority="25" operator="equal">
      <formula>"PMS"</formula>
    </cfRule>
    <cfRule type="containsText" dxfId="5366" priority="26" operator="containsText" text="CMS">
      <formula>NOT(ISERROR(SEARCH("CMS",F36)))</formula>
    </cfRule>
    <cfRule type="cellIs" dxfId="5365" priority="27" operator="equal">
      <formula>0</formula>
    </cfRule>
    <cfRule type="cellIs" dxfId="5364" priority="28" operator="greaterThan">
      <formula>0</formula>
    </cfRule>
  </conditionalFormatting>
  <conditionalFormatting sqref="F62:F64">
    <cfRule type="cellIs" dxfId="5363" priority="17" operator="equal">
      <formula>"PMS"</formula>
    </cfRule>
    <cfRule type="containsText" dxfId="5362" priority="18" operator="containsText" text="CMS">
      <formula>NOT(ISERROR(SEARCH("CMS",F62)))</formula>
    </cfRule>
    <cfRule type="cellIs" dxfId="5361" priority="19" operator="equal">
      <formula>0</formula>
    </cfRule>
    <cfRule type="cellIs" dxfId="5360" priority="20" operator="greaterThan">
      <formula>0</formula>
    </cfRule>
    <cfRule type="cellIs" dxfId="5359" priority="21" operator="equal">
      <formula>"PMS"</formula>
    </cfRule>
    <cfRule type="containsText" dxfId="5358" priority="22" operator="containsText" text="CMS">
      <formula>NOT(ISERROR(SEARCH("CMS",F62)))</formula>
    </cfRule>
    <cfRule type="cellIs" dxfId="5357" priority="23" operator="equal">
      <formula>0</formula>
    </cfRule>
    <cfRule type="cellIs" dxfId="5356" priority="24" operator="greaterThan">
      <formula>0</formula>
    </cfRule>
  </conditionalFormatting>
  <conditionalFormatting sqref="F62:F64">
    <cfRule type="cellIs" dxfId="5355" priority="13" operator="equal">
      <formula>"PMS"</formula>
    </cfRule>
    <cfRule type="containsText" dxfId="5354" priority="14" operator="containsText" text="CMS">
      <formula>NOT(ISERROR(SEARCH("CMS",F62)))</formula>
    </cfRule>
    <cfRule type="cellIs" dxfId="5353" priority="15" operator="equal">
      <formula>0</formula>
    </cfRule>
    <cfRule type="cellIs" dxfId="5352" priority="16" operator="greaterThan">
      <formula>0</formula>
    </cfRule>
  </conditionalFormatting>
  <conditionalFormatting sqref="F78:F79">
    <cfRule type="cellIs" dxfId="5351" priority="5" operator="equal">
      <formula>"PMS"</formula>
    </cfRule>
    <cfRule type="containsText" dxfId="5350" priority="6" operator="containsText" text="CMS">
      <formula>NOT(ISERROR(SEARCH("CMS",F78)))</formula>
    </cfRule>
    <cfRule type="cellIs" dxfId="5349" priority="7" operator="equal">
      <formula>0</formula>
    </cfRule>
    <cfRule type="cellIs" dxfId="5348" priority="8" operator="greaterThan">
      <formula>0</formula>
    </cfRule>
    <cfRule type="cellIs" dxfId="5347" priority="9" operator="equal">
      <formula>"PMS"</formula>
    </cfRule>
    <cfRule type="containsText" dxfId="5346" priority="10" operator="containsText" text="CMS">
      <formula>NOT(ISERROR(SEARCH("CMS",F78)))</formula>
    </cfRule>
    <cfRule type="cellIs" dxfId="5345" priority="11" operator="equal">
      <formula>0</formula>
    </cfRule>
    <cfRule type="cellIs" dxfId="5344" priority="12" operator="greaterThan">
      <formula>0</formula>
    </cfRule>
  </conditionalFormatting>
  <conditionalFormatting sqref="F78:F79">
    <cfRule type="cellIs" dxfId="5343" priority="1" operator="equal">
      <formula>"PMS"</formula>
    </cfRule>
    <cfRule type="containsText" dxfId="5342" priority="2" operator="containsText" text="CMS">
      <formula>NOT(ISERROR(SEARCH("CMS",F78)))</formula>
    </cfRule>
    <cfRule type="cellIs" dxfId="5341" priority="3" operator="equal">
      <formula>0</formula>
    </cfRule>
    <cfRule type="cellIs" dxfId="5340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1926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9D45FE-3630-4FCA-9C96-B661B08F5615}">
  <sheetPr codeName="Sheet170"/>
  <dimension ref="A2:DT141"/>
  <sheetViews>
    <sheetView zoomScale="85" zoomScaleNormal="85" zoomScaleSheetLayoutView="51" zoomScalePageLayoutView="55" workbookViewId="0">
      <pane xSplit="5" ySplit="11" topLeftCell="N12" activePane="bottomRight" state="frozen"/>
      <selection pane="bottomRight" activeCell="Q108" sqref="Q108"/>
      <selection pane="bottomLeft" activeCell="AJ44" sqref="AJ44"/>
      <selection pane="topRight" activeCell="AJ44" sqref="AJ4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23"/>
      <c r="N8" s="523"/>
      <c r="O8" s="52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24" t="e" cm="1">
        <f t="array" aca="1" ref="M9" ca="1">TEXT(TODAY(),"mmmm")&amp;" "&amp;MID(CELL("filename",A1),FIND("]",CELL("filename",A1))+1,255)&amp;", "&amp;TEXT(TODAY(),"yyyy")</f>
        <v>#VALUE!</v>
      </c>
      <c r="N9" s="524"/>
      <c r="O9" s="524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4"/>
      <c r="R10" s="344"/>
      <c r="S10" s="344"/>
      <c r="T10" s="344"/>
      <c r="U10" s="344"/>
      <c r="V10" s="344"/>
      <c r="W10" s="344"/>
      <c r="X10" s="344"/>
      <c r="Y10" s="344"/>
      <c r="Z10" s="344"/>
      <c r="AA10" s="344"/>
      <c r="AB10" s="344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17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480.49999999999994</v>
      </c>
    </row>
    <row r="13" spans="1:41">
      <c r="A13" s="14" t="s">
        <v>22</v>
      </c>
      <c r="B13" s="15"/>
      <c r="C13" s="15">
        <v>7.2</v>
      </c>
      <c r="D13" s="15"/>
      <c r="E13" s="15"/>
      <c r="F13" s="372">
        <v>6.7</v>
      </c>
      <c r="G13" s="372">
        <v>6.6</v>
      </c>
      <c r="H13" s="372">
        <v>6.5</v>
      </c>
      <c r="I13" s="372" t="s">
        <v>9</v>
      </c>
      <c r="J13" s="372">
        <v>1.5</v>
      </c>
      <c r="K13" s="372">
        <v>6.8</v>
      </c>
      <c r="L13" s="374">
        <v>6.2</v>
      </c>
      <c r="M13" s="372">
        <v>6.7</v>
      </c>
      <c r="N13" s="372">
        <v>6.8</v>
      </c>
      <c r="O13" s="372">
        <v>6.8</v>
      </c>
      <c r="P13" s="372">
        <v>6.7</v>
      </c>
      <c r="Q13" s="372">
        <v>6.8</v>
      </c>
      <c r="R13" s="372">
        <v>6.6</v>
      </c>
      <c r="S13" s="372">
        <v>6.8</v>
      </c>
      <c r="T13" s="372">
        <v>6.7</v>
      </c>
      <c r="U13" s="372">
        <v>6.6</v>
      </c>
      <c r="V13" s="372">
        <v>6.6</v>
      </c>
      <c r="W13" s="372">
        <v>6.4</v>
      </c>
      <c r="X13" s="372">
        <v>6.5</v>
      </c>
      <c r="Y13" s="372">
        <v>6.4</v>
      </c>
      <c r="Z13" s="372">
        <v>6.2</v>
      </c>
      <c r="AA13" s="372">
        <v>6.4</v>
      </c>
      <c r="AB13" s="372">
        <v>6.5</v>
      </c>
      <c r="AC13" s="372">
        <v>6.7</v>
      </c>
      <c r="AD13" s="41"/>
      <c r="AE13" s="41"/>
      <c r="AF13" s="11">
        <f>COUNTIF(F13:AC13,$AJ$8)</f>
        <v>1</v>
      </c>
      <c r="AG13" s="11">
        <f>COUNTIF(F13:AD13,$AJ$7)</f>
        <v>0</v>
      </c>
      <c r="AH13" s="11">
        <f>COUNT(F13:AC13)</f>
        <v>23</v>
      </c>
    </row>
    <row r="14" spans="1:41">
      <c r="A14" s="14" t="s">
        <v>23</v>
      </c>
      <c r="B14" s="15"/>
      <c r="C14" s="15">
        <v>7.2</v>
      </c>
      <c r="D14" s="15"/>
      <c r="E14" s="15"/>
      <c r="F14" s="372">
        <v>6.7</v>
      </c>
      <c r="G14" s="372">
        <v>6.6</v>
      </c>
      <c r="H14" s="374">
        <v>6.5</v>
      </c>
      <c r="I14" s="372" t="s">
        <v>9</v>
      </c>
      <c r="J14" s="372"/>
      <c r="K14" s="372">
        <v>6.8</v>
      </c>
      <c r="L14" s="372">
        <v>6.2</v>
      </c>
      <c r="M14" s="372">
        <v>6.7</v>
      </c>
      <c r="N14" s="372">
        <v>6.8</v>
      </c>
      <c r="O14" s="372">
        <v>6.8</v>
      </c>
      <c r="P14" s="372">
        <v>6.7</v>
      </c>
      <c r="Q14" s="372">
        <v>6.8</v>
      </c>
      <c r="R14" s="372">
        <v>6.6</v>
      </c>
      <c r="S14" s="372">
        <v>6.8</v>
      </c>
      <c r="T14" s="372">
        <v>6.7</v>
      </c>
      <c r="U14" s="372">
        <v>6.6</v>
      </c>
      <c r="V14" s="372">
        <v>6.6</v>
      </c>
      <c r="W14" s="372">
        <v>6.4</v>
      </c>
      <c r="X14" s="372">
        <v>6.5</v>
      </c>
      <c r="Y14" s="372">
        <v>6.4</v>
      </c>
      <c r="Z14" s="372">
        <v>6.9</v>
      </c>
      <c r="AA14" s="372">
        <v>0</v>
      </c>
      <c r="AB14" s="372">
        <v>0</v>
      </c>
      <c r="AC14" s="372">
        <v>0</v>
      </c>
      <c r="AD14" s="41"/>
      <c r="AE14" s="41"/>
      <c r="AF14" s="11">
        <f>COUNTIF(F14:AC14,$AJ$8)</f>
        <v>1</v>
      </c>
      <c r="AG14" s="11">
        <f>COUNTIF(F14:AD14,$AJ$7)</f>
        <v>0</v>
      </c>
      <c r="AH14" s="11">
        <f>COUNT(F14:AC14)</f>
        <v>22</v>
      </c>
    </row>
    <row r="15" spans="1:41">
      <c r="A15" s="66" t="s">
        <v>24</v>
      </c>
      <c r="B15" s="15"/>
      <c r="C15" s="15">
        <v>7.2</v>
      </c>
      <c r="D15" s="15"/>
      <c r="E15" s="15"/>
      <c r="F15" s="372"/>
      <c r="G15" s="372"/>
      <c r="H15" s="374"/>
      <c r="I15" s="372"/>
      <c r="J15" s="372"/>
      <c r="K15" s="374"/>
      <c r="L15" s="374">
        <v>6.4</v>
      </c>
      <c r="M15" s="374">
        <v>6.7</v>
      </c>
      <c r="N15" s="372">
        <v>6.8</v>
      </c>
      <c r="O15" s="372">
        <v>6.8</v>
      </c>
      <c r="P15" s="372">
        <v>6.7</v>
      </c>
      <c r="Q15" s="372">
        <v>6.8</v>
      </c>
      <c r="R15" s="372">
        <v>6.6</v>
      </c>
      <c r="S15" s="372">
        <v>6.8</v>
      </c>
      <c r="T15" s="372">
        <v>6.7</v>
      </c>
      <c r="U15" s="372">
        <v>6.6</v>
      </c>
      <c r="V15" s="372">
        <v>6.6</v>
      </c>
      <c r="W15" s="372">
        <v>6.4</v>
      </c>
      <c r="X15" s="372">
        <v>6.5</v>
      </c>
      <c r="Y15" s="372">
        <v>6.4</v>
      </c>
      <c r="Z15" s="372">
        <v>6.3</v>
      </c>
      <c r="AA15" s="372">
        <v>6.5</v>
      </c>
      <c r="AB15" s="372">
        <v>6.5</v>
      </c>
      <c r="AC15" s="372">
        <v>6.7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18</v>
      </c>
    </row>
    <row r="16" spans="1:41">
      <c r="A16" s="14" t="s">
        <v>25</v>
      </c>
      <c r="B16" s="15"/>
      <c r="C16" s="15">
        <v>7.2</v>
      </c>
      <c r="D16" s="15"/>
      <c r="E16" s="15"/>
      <c r="F16" s="372"/>
      <c r="G16" s="372"/>
      <c r="H16" s="374"/>
      <c r="I16" s="372"/>
      <c r="J16" s="372"/>
      <c r="K16" s="374"/>
      <c r="L16" s="374"/>
      <c r="M16" s="374"/>
      <c r="N16" s="372"/>
      <c r="O16" s="372"/>
      <c r="P16" s="372">
        <v>3.5</v>
      </c>
      <c r="Q16" s="372">
        <v>6.8</v>
      </c>
      <c r="R16" s="372">
        <v>6.6</v>
      </c>
      <c r="S16" s="372">
        <v>6.8</v>
      </c>
      <c r="T16" s="372">
        <v>6.7</v>
      </c>
      <c r="U16" s="372">
        <v>6.6</v>
      </c>
      <c r="V16" s="372">
        <v>6.6</v>
      </c>
      <c r="W16" s="372">
        <v>6.4</v>
      </c>
      <c r="X16" s="372">
        <v>6.5</v>
      </c>
      <c r="Y16" s="372">
        <v>6.4</v>
      </c>
      <c r="Z16" s="372">
        <v>6.3</v>
      </c>
      <c r="AA16" s="372">
        <v>6.7</v>
      </c>
      <c r="AB16" s="372">
        <v>6.5</v>
      </c>
      <c r="AC16" s="372">
        <v>6.7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14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13.4</v>
      </c>
      <c r="G17" s="19">
        <f t="shared" si="0"/>
        <v>13.2</v>
      </c>
      <c r="H17" s="19">
        <f t="shared" si="0"/>
        <v>13</v>
      </c>
      <c r="I17" s="19">
        <f t="shared" si="0"/>
        <v>0</v>
      </c>
      <c r="J17" s="19">
        <f t="shared" si="0"/>
        <v>1.5</v>
      </c>
      <c r="K17" s="19">
        <f t="shared" si="0"/>
        <v>13.6</v>
      </c>
      <c r="L17" s="19">
        <f t="shared" si="0"/>
        <v>18.8</v>
      </c>
      <c r="M17" s="19">
        <f t="shared" si="0"/>
        <v>20.100000000000001</v>
      </c>
      <c r="N17" s="19">
        <f t="shared" si="0"/>
        <v>20.399999999999999</v>
      </c>
      <c r="O17" s="19">
        <f t="shared" si="0"/>
        <v>20.399999999999999</v>
      </c>
      <c r="P17" s="19">
        <f t="shared" si="0"/>
        <v>23.6</v>
      </c>
      <c r="Q17" s="19">
        <f t="shared" si="0"/>
        <v>27.2</v>
      </c>
      <c r="R17" s="19">
        <f t="shared" si="0"/>
        <v>26.4</v>
      </c>
      <c r="S17" s="19">
        <f t="shared" si="0"/>
        <v>27.2</v>
      </c>
      <c r="T17" s="19">
        <f t="shared" si="0"/>
        <v>26.8</v>
      </c>
      <c r="U17" s="19">
        <f t="shared" si="0"/>
        <v>26.4</v>
      </c>
      <c r="V17" s="19">
        <f t="shared" si="0"/>
        <v>26.4</v>
      </c>
      <c r="W17" s="19">
        <f t="shared" si="0"/>
        <v>25.6</v>
      </c>
      <c r="X17" s="19">
        <f t="shared" si="0"/>
        <v>26</v>
      </c>
      <c r="Y17" s="19">
        <f t="shared" si="0"/>
        <v>25.6</v>
      </c>
      <c r="Z17" s="19">
        <f t="shared" si="0"/>
        <v>25.700000000000003</v>
      </c>
      <c r="AA17" s="19">
        <f t="shared" si="0"/>
        <v>19.600000000000001</v>
      </c>
      <c r="AB17" s="19">
        <f t="shared" si="0"/>
        <v>19.5</v>
      </c>
      <c r="AC17" s="19">
        <f t="shared" si="0"/>
        <v>20.100000000000001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130.09999999999997</v>
      </c>
    </row>
    <row r="19" spans="1:51">
      <c r="A19" s="14" t="s">
        <v>22</v>
      </c>
      <c r="B19" s="15"/>
      <c r="C19" s="15">
        <v>3</v>
      </c>
      <c r="D19" s="15"/>
      <c r="E19" s="15"/>
      <c r="F19" s="372">
        <v>2.8</v>
      </c>
      <c r="G19" s="372">
        <v>2.8</v>
      </c>
      <c r="H19" s="372">
        <v>2.8</v>
      </c>
      <c r="I19" s="372">
        <v>2.8</v>
      </c>
      <c r="J19" s="372">
        <v>2.8</v>
      </c>
      <c r="K19" s="374">
        <v>2.8</v>
      </c>
      <c r="L19" s="374"/>
      <c r="M19" s="374"/>
      <c r="N19" s="374">
        <v>0.7</v>
      </c>
      <c r="O19" s="372">
        <v>2.8</v>
      </c>
      <c r="P19" s="374">
        <v>2.8</v>
      </c>
      <c r="Q19" s="372">
        <v>2.8</v>
      </c>
      <c r="R19" s="372">
        <v>2.8</v>
      </c>
      <c r="S19" s="372">
        <v>2.8</v>
      </c>
      <c r="T19" s="372">
        <v>2.8</v>
      </c>
      <c r="U19" s="372">
        <v>2.8</v>
      </c>
      <c r="V19" s="372">
        <v>2.8</v>
      </c>
      <c r="W19" s="372">
        <v>2.6</v>
      </c>
      <c r="X19" s="372">
        <v>2.1</v>
      </c>
      <c r="Y19" s="372">
        <v>2.8</v>
      </c>
      <c r="Z19" s="372">
        <v>2</v>
      </c>
      <c r="AA19" s="372">
        <v>2.8</v>
      </c>
      <c r="AB19" s="372">
        <v>2.8</v>
      </c>
      <c r="AC19" s="372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21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372"/>
      <c r="G20" s="372"/>
      <c r="H20" s="372"/>
      <c r="I20" s="372"/>
      <c r="J20" s="372"/>
      <c r="K20" s="374"/>
      <c r="L20" s="374"/>
      <c r="M20" s="374"/>
      <c r="N20" s="372"/>
      <c r="O20" s="372"/>
      <c r="P20" s="372"/>
      <c r="Q20" s="372"/>
      <c r="R20" s="372"/>
      <c r="S20" s="372"/>
      <c r="T20" s="372"/>
      <c r="U20" s="372"/>
      <c r="V20" s="372"/>
      <c r="W20" s="372"/>
      <c r="X20" s="372"/>
      <c r="Y20" s="372"/>
      <c r="Z20" s="372"/>
      <c r="AA20" s="372"/>
      <c r="AB20" s="372"/>
      <c r="AC20" s="372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2">
        <v>3.5</v>
      </c>
      <c r="G21" s="372">
        <v>3.5</v>
      </c>
      <c r="H21" s="372">
        <v>3.5</v>
      </c>
      <c r="I21" s="372">
        <v>3.4</v>
      </c>
      <c r="J21" s="372">
        <v>3.4</v>
      </c>
      <c r="K21" s="372" t="s">
        <v>9</v>
      </c>
      <c r="L21" s="374" t="s">
        <v>9</v>
      </c>
      <c r="M21" s="374"/>
      <c r="N21" s="372">
        <v>3</v>
      </c>
      <c r="O21" s="372">
        <v>3.8</v>
      </c>
      <c r="P21" s="372">
        <v>3.8</v>
      </c>
      <c r="Q21" s="372">
        <v>3.8</v>
      </c>
      <c r="R21" s="372">
        <v>3.8</v>
      </c>
      <c r="S21" s="372">
        <v>3.8</v>
      </c>
      <c r="T21" s="372">
        <v>3.8</v>
      </c>
      <c r="U21" s="372">
        <v>3.8</v>
      </c>
      <c r="V21" s="372">
        <v>3.8</v>
      </c>
      <c r="W21" s="372">
        <v>3.5</v>
      </c>
      <c r="X21" s="372">
        <v>3</v>
      </c>
      <c r="Y21" s="372">
        <v>3.8</v>
      </c>
      <c r="Z21" s="372">
        <v>3</v>
      </c>
      <c r="AA21" s="372">
        <v>3.8</v>
      </c>
      <c r="AB21" s="372">
        <v>3.8</v>
      </c>
      <c r="AC21" s="372">
        <v>3.5</v>
      </c>
      <c r="AD21" s="41"/>
      <c r="AE21" s="41"/>
      <c r="AF21" s="11">
        <f>COUNTIF(F21:AC21,$AJ$8)</f>
        <v>2</v>
      </c>
      <c r="AG21" s="11">
        <f>COUNTIF(G21:AD21,$AJ$7)</f>
        <v>0</v>
      </c>
      <c r="AH21" s="11">
        <f>COUNT(F21:AC21)</f>
        <v>21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6.3</v>
      </c>
      <c r="G22" s="19">
        <f t="shared" si="1"/>
        <v>6.3</v>
      </c>
      <c r="H22" s="19">
        <f t="shared" si="1"/>
        <v>6.3</v>
      </c>
      <c r="I22" s="19">
        <f t="shared" si="1"/>
        <v>6.1999999999999993</v>
      </c>
      <c r="J22" s="19">
        <f t="shared" si="1"/>
        <v>6.1999999999999993</v>
      </c>
      <c r="K22" s="19">
        <f t="shared" si="1"/>
        <v>2.8</v>
      </c>
      <c r="L22" s="19">
        <f t="shared" si="1"/>
        <v>0</v>
      </c>
      <c r="M22" s="19">
        <f t="shared" si="1"/>
        <v>0</v>
      </c>
      <c r="N22" s="19">
        <f t="shared" si="1"/>
        <v>3.7</v>
      </c>
      <c r="O22" s="19">
        <f t="shared" si="1"/>
        <v>6.6</v>
      </c>
      <c r="P22" s="19">
        <f t="shared" si="1"/>
        <v>6.6</v>
      </c>
      <c r="Q22" s="19">
        <f t="shared" si="1"/>
        <v>6.6</v>
      </c>
      <c r="R22" s="19">
        <f t="shared" si="1"/>
        <v>6.6</v>
      </c>
      <c r="S22" s="19">
        <f>SUM(S19:S21)</f>
        <v>6.6</v>
      </c>
      <c r="T22" s="19">
        <f t="shared" ref="T22" si="2">SUM(T19:T21)</f>
        <v>6.6</v>
      </c>
      <c r="U22" s="19">
        <f t="shared" si="1"/>
        <v>6.6</v>
      </c>
      <c r="V22" s="19">
        <f t="shared" si="1"/>
        <v>6.6</v>
      </c>
      <c r="W22" s="19">
        <f t="shared" si="1"/>
        <v>6.1</v>
      </c>
      <c r="X22" s="19">
        <f t="shared" si="1"/>
        <v>5.0999999999999996</v>
      </c>
      <c r="Y22" s="19">
        <f t="shared" si="1"/>
        <v>6.6</v>
      </c>
      <c r="Z22" s="19">
        <f t="shared" si="1"/>
        <v>5</v>
      </c>
      <c r="AA22" s="19">
        <f t="shared" si="1"/>
        <v>6.6</v>
      </c>
      <c r="AB22" s="19">
        <f>SUM(AB19:AB21)</f>
        <v>6.6</v>
      </c>
      <c r="AC22" s="19">
        <f t="shared" si="1"/>
        <v>3.5</v>
      </c>
      <c r="AD22" s="41"/>
      <c r="AE22" s="41"/>
      <c r="AF22" s="11"/>
      <c r="AG22" s="11"/>
      <c r="AH22" s="11"/>
      <c r="AI22" s="400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409">
        <f>SUM(F24:AC24)</f>
        <v>88.799999999999969</v>
      </c>
    </row>
    <row r="24" spans="1:51">
      <c r="A24" s="14" t="s">
        <v>22</v>
      </c>
      <c r="B24" s="20"/>
      <c r="C24" s="15">
        <v>4.5</v>
      </c>
      <c r="D24" s="15"/>
      <c r="E24" s="15"/>
      <c r="F24" s="372">
        <v>3.8</v>
      </c>
      <c r="G24" s="372">
        <v>3.8</v>
      </c>
      <c r="H24" s="372">
        <v>3.8</v>
      </c>
      <c r="I24" s="372">
        <v>3.8</v>
      </c>
      <c r="J24" s="372">
        <v>3.8</v>
      </c>
      <c r="K24" s="374">
        <v>3.8</v>
      </c>
      <c r="L24" s="374">
        <v>3</v>
      </c>
      <c r="M24" s="374">
        <v>3</v>
      </c>
      <c r="N24" s="372">
        <v>3.8</v>
      </c>
      <c r="O24" s="372">
        <v>3.8</v>
      </c>
      <c r="P24" s="372">
        <v>3.8</v>
      </c>
      <c r="Q24" s="374">
        <v>3.8</v>
      </c>
      <c r="R24" s="372">
        <v>3.8</v>
      </c>
      <c r="S24" s="372">
        <v>3.8</v>
      </c>
      <c r="T24" s="372">
        <v>3.8</v>
      </c>
      <c r="U24" s="372">
        <v>3.8</v>
      </c>
      <c r="V24" s="372">
        <v>3.8</v>
      </c>
      <c r="W24" s="372">
        <v>3.8</v>
      </c>
      <c r="X24" s="492">
        <v>3.8</v>
      </c>
      <c r="Y24" s="372">
        <v>3.8</v>
      </c>
      <c r="Z24" s="372">
        <v>3</v>
      </c>
      <c r="AA24" s="372">
        <v>3.8</v>
      </c>
      <c r="AB24" s="372">
        <v>3.8</v>
      </c>
      <c r="AC24" s="372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3">SUM(F24)</f>
        <v>3.8</v>
      </c>
      <c r="G25" s="19">
        <f t="shared" ref="G25:AC25" si="4">SUM(G24)</f>
        <v>3.8</v>
      </c>
      <c r="H25" s="19">
        <f t="shared" si="4"/>
        <v>3.8</v>
      </c>
      <c r="I25" s="19">
        <f t="shared" si="4"/>
        <v>3.8</v>
      </c>
      <c r="J25" s="19">
        <f t="shared" si="4"/>
        <v>3.8</v>
      </c>
      <c r="K25" s="19">
        <f t="shared" si="4"/>
        <v>3.8</v>
      </c>
      <c r="L25" s="19">
        <f t="shared" si="4"/>
        <v>3</v>
      </c>
      <c r="M25" s="19">
        <f t="shared" si="4"/>
        <v>3</v>
      </c>
      <c r="N25" s="19">
        <f t="shared" si="4"/>
        <v>3.8</v>
      </c>
      <c r="O25" s="19">
        <f t="shared" si="4"/>
        <v>3.8</v>
      </c>
      <c r="P25" s="19">
        <f t="shared" si="4"/>
        <v>3.8</v>
      </c>
      <c r="Q25" s="19">
        <f t="shared" si="4"/>
        <v>3.8</v>
      </c>
      <c r="R25" s="19">
        <f t="shared" si="4"/>
        <v>3.8</v>
      </c>
      <c r="S25" s="19">
        <f t="shared" si="4"/>
        <v>3.8</v>
      </c>
      <c r="T25" s="19">
        <f t="shared" si="4"/>
        <v>3.8</v>
      </c>
      <c r="U25" s="19">
        <f t="shared" si="4"/>
        <v>3.8</v>
      </c>
      <c r="V25" s="19">
        <f t="shared" si="4"/>
        <v>3.8</v>
      </c>
      <c r="W25" s="19">
        <f t="shared" si="4"/>
        <v>3.8</v>
      </c>
      <c r="X25" s="19">
        <f t="shared" si="4"/>
        <v>3.8</v>
      </c>
      <c r="Y25" s="19">
        <f t="shared" si="4"/>
        <v>3.8</v>
      </c>
      <c r="Z25" s="19">
        <f t="shared" si="4"/>
        <v>3</v>
      </c>
      <c r="AA25" s="19">
        <f t="shared" si="4"/>
        <v>3.8</v>
      </c>
      <c r="AB25" s="19">
        <f t="shared" si="4"/>
        <v>3.8</v>
      </c>
      <c r="AC25" s="19">
        <f t="shared" si="4"/>
        <v>3.8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92.000000000000028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2" t="s">
        <v>9</v>
      </c>
      <c r="G27" s="372" t="s">
        <v>9</v>
      </c>
      <c r="H27" s="372" t="s">
        <v>9</v>
      </c>
      <c r="I27" s="372">
        <v>3.6</v>
      </c>
      <c r="J27" s="374">
        <v>3.3</v>
      </c>
      <c r="K27" s="374">
        <v>4.5</v>
      </c>
      <c r="L27" s="374">
        <v>4.2</v>
      </c>
      <c r="M27" s="374">
        <v>3.5</v>
      </c>
      <c r="N27" s="372">
        <v>4</v>
      </c>
      <c r="O27" s="372">
        <v>4.3</v>
      </c>
      <c r="P27" s="372">
        <v>4.3</v>
      </c>
      <c r="Q27" s="372">
        <v>4.2</v>
      </c>
      <c r="R27" s="372">
        <v>4.2</v>
      </c>
      <c r="S27" s="372">
        <v>4.2</v>
      </c>
      <c r="T27" s="372">
        <v>4.3</v>
      </c>
      <c r="U27" s="374">
        <v>4.2</v>
      </c>
      <c r="V27" s="372">
        <v>4.4000000000000004</v>
      </c>
      <c r="W27" s="372">
        <v>4.4000000000000004</v>
      </c>
      <c r="X27" s="372">
        <v>4.4000000000000004</v>
      </c>
      <c r="Y27" s="372">
        <v>4.3</v>
      </c>
      <c r="Z27" s="372">
        <v>4.4000000000000004</v>
      </c>
      <c r="AA27" s="372">
        <v>4</v>
      </c>
      <c r="AB27" s="372">
        <v>2.7</v>
      </c>
      <c r="AC27" s="372">
        <v>4.2</v>
      </c>
      <c r="AD27" s="41"/>
      <c r="AE27" s="41"/>
      <c r="AF27" s="11">
        <f>COUNTIF(F27:AC27,$AJ$8)</f>
        <v>3</v>
      </c>
      <c r="AG27" s="11">
        <f>COUNTIF(G27:AD27,$AJ$7)</f>
        <v>0</v>
      </c>
      <c r="AH27" s="11">
        <f>COUNT(F27:AC27)</f>
        <v>21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2" t="s">
        <v>9</v>
      </c>
      <c r="G28" s="372" t="s">
        <v>9</v>
      </c>
      <c r="H28" s="372" t="s">
        <v>9</v>
      </c>
      <c r="I28" s="372" t="s">
        <v>9</v>
      </c>
      <c r="J28" s="372" t="s">
        <v>9</v>
      </c>
      <c r="K28" s="374" t="s">
        <v>9</v>
      </c>
      <c r="L28" s="374" t="s">
        <v>9</v>
      </c>
      <c r="M28" s="374" t="s">
        <v>9</v>
      </c>
      <c r="N28" s="372" t="s">
        <v>9</v>
      </c>
      <c r="O28" s="372" t="s">
        <v>9</v>
      </c>
      <c r="P28" s="372" t="s">
        <v>9</v>
      </c>
      <c r="Q28" s="372" t="s">
        <v>9</v>
      </c>
      <c r="R28" s="374" t="s">
        <v>9</v>
      </c>
      <c r="S28" s="374" t="s">
        <v>9</v>
      </c>
      <c r="T28" s="372" t="s">
        <v>9</v>
      </c>
      <c r="U28" s="374" t="s">
        <v>9</v>
      </c>
      <c r="V28" s="372" t="s">
        <v>9</v>
      </c>
      <c r="W28" s="372" t="s">
        <v>9</v>
      </c>
      <c r="X28" s="372" t="s">
        <v>9</v>
      </c>
      <c r="Y28" s="372" t="s">
        <v>9</v>
      </c>
      <c r="Z28" s="372" t="s">
        <v>9</v>
      </c>
      <c r="AA28" s="372" t="s">
        <v>9</v>
      </c>
      <c r="AB28" s="372">
        <v>2.2000000000000002</v>
      </c>
      <c r="AC28" s="372">
        <v>4.2</v>
      </c>
      <c r="AD28" s="41"/>
      <c r="AE28" s="41"/>
      <c r="AF28" s="11">
        <f>COUNTIF(F28:AC28,$AJ$8)</f>
        <v>22</v>
      </c>
      <c r="AG28" s="11">
        <f>COUNTIF(G28:AD28,$AJ$7)</f>
        <v>0</v>
      </c>
      <c r="AH28" s="11">
        <f>COUNT(F28:AC28)</f>
        <v>2</v>
      </c>
      <c r="AI28" s="159">
        <f>SUM(F29:AC30)</f>
        <v>108.35999999999999</v>
      </c>
    </row>
    <row r="29" spans="1:51" ht="15" customHeight="1">
      <c r="A29" s="14" t="s">
        <v>30</v>
      </c>
      <c r="B29" s="369"/>
      <c r="C29" s="370">
        <v>8.8000000000000007</v>
      </c>
      <c r="D29" s="371"/>
      <c r="E29" s="371"/>
      <c r="F29" s="372">
        <v>6.9</v>
      </c>
      <c r="G29" s="372">
        <v>4.8</v>
      </c>
      <c r="H29" s="372">
        <v>2.6</v>
      </c>
      <c r="I29" s="372">
        <v>6.6</v>
      </c>
      <c r="J29" s="372">
        <v>5.6</v>
      </c>
      <c r="K29" s="374"/>
      <c r="L29" s="374"/>
      <c r="M29" s="374"/>
      <c r="N29" s="374"/>
      <c r="O29" s="374">
        <v>5.6</v>
      </c>
      <c r="P29" s="374">
        <v>6.63</v>
      </c>
      <c r="Q29" s="374">
        <v>6.5</v>
      </c>
      <c r="R29" s="374">
        <v>6.51</v>
      </c>
      <c r="S29" s="374">
        <v>6.7</v>
      </c>
      <c r="T29" s="374">
        <v>7</v>
      </c>
      <c r="U29" s="374">
        <v>7.02</v>
      </c>
      <c r="V29" s="374">
        <v>7</v>
      </c>
      <c r="W29" s="372">
        <v>6.3</v>
      </c>
      <c r="X29" s="372">
        <v>3</v>
      </c>
      <c r="Y29" s="372">
        <v>6</v>
      </c>
      <c r="Z29" s="372">
        <v>3.1</v>
      </c>
      <c r="AA29" s="372">
        <v>7</v>
      </c>
      <c r="AB29" s="372">
        <v>3.5</v>
      </c>
      <c r="AC29" s="372"/>
    </row>
    <row r="30" spans="1:51" ht="15" customHeight="1">
      <c r="A30" s="14" t="s">
        <v>31</v>
      </c>
      <c r="B30" s="369"/>
      <c r="C30" s="370">
        <v>8.8000000000000007</v>
      </c>
      <c r="D30" s="371"/>
      <c r="E30" s="371"/>
      <c r="F30" s="372"/>
      <c r="G30" s="372"/>
      <c r="H30" s="372"/>
      <c r="I30" s="372"/>
      <c r="J30" s="372"/>
      <c r="K30" s="374"/>
      <c r="L30" s="374"/>
      <c r="M30" s="374"/>
      <c r="N30" s="372"/>
      <c r="O30" s="372"/>
      <c r="P30" s="372"/>
      <c r="Q30" s="372"/>
      <c r="R30" s="374"/>
      <c r="S30" s="372"/>
      <c r="T30" s="372"/>
      <c r="U30" s="372"/>
      <c r="V30" s="372"/>
      <c r="W30" s="372"/>
      <c r="X30" s="372"/>
      <c r="Y30" s="372"/>
      <c r="Z30" s="372"/>
      <c r="AA30" s="372">
        <v>0</v>
      </c>
      <c r="AB30" s="372">
        <v>0</v>
      </c>
      <c r="AC30" s="372">
        <v>0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:AC31" si="5">SUM(F27:F29)</f>
        <v>6.9</v>
      </c>
      <c r="G31" s="19">
        <f t="shared" si="5"/>
        <v>4.8</v>
      </c>
      <c r="H31" s="19">
        <f t="shared" si="5"/>
        <v>2.6</v>
      </c>
      <c r="I31" s="19">
        <f t="shared" si="5"/>
        <v>10.199999999999999</v>
      </c>
      <c r="J31" s="19">
        <f t="shared" si="5"/>
        <v>8.8999999999999986</v>
      </c>
      <c r="K31" s="19">
        <f t="shared" si="5"/>
        <v>4.5</v>
      </c>
      <c r="L31" s="19">
        <f t="shared" si="5"/>
        <v>4.2</v>
      </c>
      <c r="M31" s="19">
        <f t="shared" si="5"/>
        <v>3.5</v>
      </c>
      <c r="N31" s="19">
        <f t="shared" si="5"/>
        <v>4</v>
      </c>
      <c r="O31" s="19">
        <f t="shared" si="5"/>
        <v>9.8999999999999986</v>
      </c>
      <c r="P31" s="19">
        <f t="shared" si="5"/>
        <v>10.93</v>
      </c>
      <c r="Q31" s="19">
        <f t="shared" si="5"/>
        <v>10.7</v>
      </c>
      <c r="R31" s="19">
        <f t="shared" si="5"/>
        <v>10.71</v>
      </c>
      <c r="S31" s="19">
        <f t="shared" si="5"/>
        <v>10.9</v>
      </c>
      <c r="T31" s="19">
        <f>SUM(T27:T29)</f>
        <v>11.3</v>
      </c>
      <c r="U31" s="19">
        <f t="shared" si="5"/>
        <v>11.219999999999999</v>
      </c>
      <c r="V31" s="19">
        <f t="shared" si="5"/>
        <v>11.4</v>
      </c>
      <c r="W31" s="19">
        <f t="shared" si="5"/>
        <v>10.7</v>
      </c>
      <c r="X31" s="19">
        <f t="shared" si="5"/>
        <v>7.4</v>
      </c>
      <c r="Y31" s="19">
        <f t="shared" si="5"/>
        <v>10.3</v>
      </c>
      <c r="Z31" s="19">
        <f t="shared" si="5"/>
        <v>7.5</v>
      </c>
      <c r="AA31" s="19">
        <f t="shared" si="5"/>
        <v>11</v>
      </c>
      <c r="AB31" s="19">
        <f t="shared" si="5"/>
        <v>8.4</v>
      </c>
      <c r="AC31" s="19">
        <f t="shared" si="5"/>
        <v>8.4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341.59</v>
      </c>
    </row>
    <row r="33" spans="1:36">
      <c r="A33" s="14" t="s">
        <v>22</v>
      </c>
      <c r="B33" s="15"/>
      <c r="C33" s="15">
        <v>15</v>
      </c>
      <c r="D33" s="15"/>
      <c r="E33" s="15"/>
      <c r="F33" s="372">
        <v>14.24</v>
      </c>
      <c r="G33" s="372">
        <v>14.28</v>
      </c>
      <c r="H33" s="374">
        <v>14.26</v>
      </c>
      <c r="I33" s="372">
        <v>14.3</v>
      </c>
      <c r="J33" s="372">
        <v>14.28</v>
      </c>
      <c r="K33" s="374">
        <v>14.24</v>
      </c>
      <c r="L33" s="374">
        <v>13.77</v>
      </c>
      <c r="M33" s="374">
        <v>13.79</v>
      </c>
      <c r="N33" s="372">
        <v>14.3</v>
      </c>
      <c r="O33" s="372">
        <v>14.28</v>
      </c>
      <c r="P33" s="372">
        <v>14.26</v>
      </c>
      <c r="Q33" s="372">
        <v>14.29</v>
      </c>
      <c r="R33" s="372">
        <v>14.27</v>
      </c>
      <c r="S33" s="372">
        <v>14.29</v>
      </c>
      <c r="T33" s="372">
        <v>14.29</v>
      </c>
      <c r="U33" s="372">
        <v>14.26</v>
      </c>
      <c r="V33" s="372">
        <v>14.27</v>
      </c>
      <c r="W33" s="374">
        <v>14.28</v>
      </c>
      <c r="X33" s="372">
        <v>14.29</v>
      </c>
      <c r="Y33" s="372">
        <v>14.26</v>
      </c>
      <c r="Z33" s="372">
        <v>14.29</v>
      </c>
      <c r="AA33" s="372">
        <v>14.29</v>
      </c>
      <c r="AB33" s="372">
        <v>14.24</v>
      </c>
      <c r="AC33" s="372">
        <v>14.27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6">SUM(F33)</f>
        <v>14.24</v>
      </c>
      <c r="G34" s="19">
        <f t="shared" ref="G34:AC34" si="7">SUM(G33)</f>
        <v>14.28</v>
      </c>
      <c r="H34" s="19">
        <f t="shared" si="7"/>
        <v>14.26</v>
      </c>
      <c r="I34" s="19">
        <f t="shared" si="7"/>
        <v>14.3</v>
      </c>
      <c r="J34" s="19">
        <f t="shared" si="7"/>
        <v>14.28</v>
      </c>
      <c r="K34" s="19">
        <f t="shared" si="7"/>
        <v>14.24</v>
      </c>
      <c r="L34" s="19">
        <f t="shared" si="7"/>
        <v>13.77</v>
      </c>
      <c r="M34" s="19">
        <f t="shared" si="7"/>
        <v>13.79</v>
      </c>
      <c r="N34" s="19">
        <f t="shared" si="7"/>
        <v>14.3</v>
      </c>
      <c r="O34" s="19">
        <f t="shared" si="7"/>
        <v>14.28</v>
      </c>
      <c r="P34" s="19">
        <f t="shared" si="7"/>
        <v>14.26</v>
      </c>
      <c r="Q34" s="19">
        <f t="shared" si="7"/>
        <v>14.29</v>
      </c>
      <c r="R34" s="19">
        <f t="shared" si="7"/>
        <v>14.27</v>
      </c>
      <c r="S34" s="19">
        <f t="shared" si="7"/>
        <v>14.29</v>
      </c>
      <c r="T34" s="19">
        <f t="shared" si="7"/>
        <v>14.29</v>
      </c>
      <c r="U34" s="19">
        <f t="shared" si="7"/>
        <v>14.26</v>
      </c>
      <c r="V34" s="19">
        <f t="shared" si="7"/>
        <v>14.27</v>
      </c>
      <c r="W34" s="19">
        <f t="shared" si="7"/>
        <v>14.28</v>
      </c>
      <c r="X34" s="19">
        <f t="shared" si="7"/>
        <v>14.29</v>
      </c>
      <c r="Y34" s="19">
        <f t="shared" si="7"/>
        <v>14.26</v>
      </c>
      <c r="Z34" s="19">
        <f t="shared" si="7"/>
        <v>14.29</v>
      </c>
      <c r="AA34" s="19">
        <f t="shared" si="7"/>
        <v>14.29</v>
      </c>
      <c r="AB34" s="19">
        <f t="shared" si="7"/>
        <v>14.24</v>
      </c>
      <c r="AC34" s="19">
        <f t="shared" si="7"/>
        <v>14.27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55"/>
      <c r="G35" s="455"/>
      <c r="H35" s="455"/>
      <c r="I35" s="455"/>
      <c r="J35" s="455"/>
      <c r="K35" s="455"/>
      <c r="L35" s="455"/>
      <c r="M35" s="455"/>
      <c r="N35" s="455"/>
      <c r="O35" s="455"/>
      <c r="P35" s="455"/>
      <c r="Q35" s="455"/>
      <c r="R35" s="455"/>
      <c r="S35" s="455"/>
      <c r="T35" s="455"/>
      <c r="U35" s="455"/>
      <c r="V35" s="455"/>
      <c r="W35" s="456"/>
      <c r="X35" s="455"/>
      <c r="Y35" s="455"/>
      <c r="Z35" s="455"/>
      <c r="AA35" s="455"/>
      <c r="AB35" s="455"/>
      <c r="AC35" s="455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12.028999999999996</v>
      </c>
      <c r="AJ35" t="s">
        <v>35</v>
      </c>
    </row>
    <row r="36" spans="1:36">
      <c r="A36" s="70" t="s">
        <v>36</v>
      </c>
      <c r="B36" s="15"/>
      <c r="C36" s="15"/>
      <c r="D36" s="15"/>
      <c r="E36" s="15"/>
      <c r="F36" s="372"/>
      <c r="G36" s="372"/>
      <c r="H36" s="372"/>
      <c r="I36" s="372"/>
      <c r="J36" s="372"/>
      <c r="K36" s="374"/>
      <c r="L36" s="374"/>
      <c r="M36" s="374"/>
      <c r="N36" s="372"/>
      <c r="O36" s="372"/>
      <c r="P36" s="372"/>
      <c r="Q36" s="372"/>
      <c r="R36" s="372"/>
      <c r="S36" s="372"/>
      <c r="T36" s="372"/>
      <c r="U36" s="372"/>
      <c r="V36" s="372"/>
      <c r="W36" s="372"/>
      <c r="X36" s="372"/>
      <c r="Y36" s="372"/>
      <c r="Z36" s="372"/>
      <c r="AA36" s="372"/>
      <c r="AB36" s="372"/>
      <c r="AC36" s="372"/>
      <c r="AD36" s="41"/>
      <c r="AE36" s="41"/>
      <c r="AF36" s="11">
        <f t="shared" ref="AF36:AF59" si="8">COUNTIF(F36:AC36,$AJ$8)</f>
        <v>0</v>
      </c>
      <c r="AG36" s="11">
        <f t="shared" ref="AG36:AG59" si="9">COUNTIF(G36:AD36,$AJ$7)</f>
        <v>0</v>
      </c>
      <c r="AH36" s="11">
        <f t="shared" ref="AH36:AH59" si="10">COUNT(F36:AC36)</f>
        <v>0</v>
      </c>
      <c r="AI36" s="159">
        <f>SUM(F36:AC38,F40:AC40,F45:AC59)</f>
        <v>23.140999999999991</v>
      </c>
      <c r="AJ36" t="s">
        <v>37</v>
      </c>
    </row>
    <row r="37" spans="1:36">
      <c r="A37" s="70" t="s">
        <v>38</v>
      </c>
      <c r="B37" s="15"/>
      <c r="C37" s="15"/>
      <c r="D37" s="15"/>
      <c r="E37" s="15"/>
      <c r="F37" s="372"/>
      <c r="G37" s="372"/>
      <c r="H37" s="372"/>
      <c r="I37" s="372"/>
      <c r="J37" s="372"/>
      <c r="K37" s="374"/>
      <c r="L37" s="374"/>
      <c r="M37" s="374"/>
      <c r="N37" s="372"/>
      <c r="O37" s="372"/>
      <c r="P37" s="372"/>
      <c r="Q37" s="372"/>
      <c r="R37" s="372"/>
      <c r="S37" s="372"/>
      <c r="T37" s="372"/>
      <c r="U37" s="372"/>
      <c r="V37" s="372"/>
      <c r="W37" s="372"/>
      <c r="X37" s="372"/>
      <c r="Y37" s="372"/>
      <c r="Z37" s="372"/>
      <c r="AA37" s="372"/>
      <c r="AB37" s="372"/>
      <c r="AC37" s="372"/>
      <c r="AD37" s="41"/>
      <c r="AE37" s="41"/>
      <c r="AF37" s="11">
        <f t="shared" si="8"/>
        <v>0</v>
      </c>
      <c r="AG37" s="11">
        <f t="shared" si="9"/>
        <v>0</v>
      </c>
      <c r="AH37" s="11">
        <f t="shared" si="10"/>
        <v>0</v>
      </c>
    </row>
    <row r="38" spans="1:36">
      <c r="A38" s="70" t="s">
        <v>39</v>
      </c>
      <c r="B38" s="15"/>
      <c r="C38" s="15"/>
      <c r="D38" s="15"/>
      <c r="E38" s="15"/>
      <c r="F38" s="372"/>
      <c r="G38" s="372"/>
      <c r="H38" s="372"/>
      <c r="I38" s="372"/>
      <c r="J38" s="372"/>
      <c r="K38" s="374"/>
      <c r="L38" s="374"/>
      <c r="M38" s="374"/>
      <c r="N38" s="372"/>
      <c r="O38" s="372"/>
      <c r="P38" s="372"/>
      <c r="Q38" s="372"/>
      <c r="R38" s="372"/>
      <c r="S38" s="372"/>
      <c r="T38" s="372"/>
      <c r="U38" s="372"/>
      <c r="V38" s="372"/>
      <c r="W38" s="372"/>
      <c r="X38" s="372"/>
      <c r="Y38" s="372"/>
      <c r="Z38" s="372"/>
      <c r="AA38" s="372"/>
      <c r="AB38" s="372"/>
      <c r="AC38" s="372"/>
      <c r="AD38" s="41"/>
      <c r="AE38" s="41"/>
      <c r="AF38" s="11">
        <f t="shared" si="8"/>
        <v>0</v>
      </c>
      <c r="AG38" s="11">
        <f t="shared" si="9"/>
        <v>0</v>
      </c>
      <c r="AH38" s="11">
        <f t="shared" si="10"/>
        <v>0</v>
      </c>
    </row>
    <row r="39" spans="1:36">
      <c r="A39" s="70">
        <v>34</v>
      </c>
      <c r="B39" s="15"/>
      <c r="C39" s="15"/>
      <c r="D39" s="15"/>
      <c r="E39" s="15"/>
      <c r="F39" s="372" t="s">
        <v>9</v>
      </c>
      <c r="G39" s="372" t="s">
        <v>9</v>
      </c>
      <c r="H39" s="372" t="s">
        <v>9</v>
      </c>
      <c r="I39" s="372" t="s">
        <v>9</v>
      </c>
      <c r="J39" s="372" t="s">
        <v>9</v>
      </c>
      <c r="K39" s="374" t="s">
        <v>9</v>
      </c>
      <c r="L39" s="374" t="s">
        <v>9</v>
      </c>
      <c r="M39" s="374" t="s">
        <v>9</v>
      </c>
      <c r="N39" s="372" t="s">
        <v>9</v>
      </c>
      <c r="O39" s="372" t="s">
        <v>9</v>
      </c>
      <c r="P39" s="372" t="s">
        <v>9</v>
      </c>
      <c r="Q39" s="372" t="s">
        <v>9</v>
      </c>
      <c r="R39" s="372" t="s">
        <v>9</v>
      </c>
      <c r="S39" s="372" t="s">
        <v>9</v>
      </c>
      <c r="T39" s="372" t="s">
        <v>9</v>
      </c>
      <c r="U39" s="372" t="s">
        <v>9</v>
      </c>
      <c r="V39" s="372" t="s">
        <v>9</v>
      </c>
      <c r="W39" s="372" t="s">
        <v>9</v>
      </c>
      <c r="X39" s="372" t="s">
        <v>9</v>
      </c>
      <c r="Y39" s="372" t="s">
        <v>9</v>
      </c>
      <c r="Z39" s="372" t="s">
        <v>9</v>
      </c>
      <c r="AA39" s="372" t="s">
        <v>9</v>
      </c>
      <c r="AB39" s="372" t="s">
        <v>9</v>
      </c>
      <c r="AC39" s="372" t="s">
        <v>9</v>
      </c>
      <c r="AD39" s="41"/>
      <c r="AE39" s="41"/>
      <c r="AF39" s="11">
        <f t="shared" si="8"/>
        <v>24</v>
      </c>
      <c r="AG39" s="11">
        <f t="shared" si="9"/>
        <v>0</v>
      </c>
      <c r="AH39" s="11">
        <f t="shared" si="10"/>
        <v>0</v>
      </c>
    </row>
    <row r="40" spans="1:36">
      <c r="A40" s="70">
        <v>35</v>
      </c>
      <c r="B40" s="15"/>
      <c r="C40" s="15">
        <v>0.85</v>
      </c>
      <c r="D40" s="15"/>
      <c r="E40" s="15"/>
      <c r="F40" s="372"/>
      <c r="G40" s="372"/>
      <c r="H40" s="372"/>
      <c r="I40" s="372"/>
      <c r="J40" s="372"/>
      <c r="K40" s="374"/>
      <c r="L40" s="374"/>
      <c r="M40" s="374"/>
      <c r="N40" s="372"/>
      <c r="O40" s="372"/>
      <c r="P40" s="372"/>
      <c r="Q40" s="372"/>
      <c r="R40" s="372"/>
      <c r="S40" s="372"/>
      <c r="T40" s="372"/>
      <c r="U40" s="372"/>
      <c r="V40" s="372"/>
      <c r="W40" s="372"/>
      <c r="X40" s="372"/>
      <c r="Y40" s="372"/>
      <c r="Z40" s="372"/>
      <c r="AA40" s="372"/>
      <c r="AB40" s="372"/>
      <c r="AC40" s="372"/>
      <c r="AD40" s="41"/>
      <c r="AE40" s="41"/>
      <c r="AF40" s="11">
        <f t="shared" si="8"/>
        <v>0</v>
      </c>
      <c r="AG40" s="11">
        <f t="shared" si="9"/>
        <v>0</v>
      </c>
      <c r="AH40" s="11">
        <f t="shared" si="10"/>
        <v>0</v>
      </c>
    </row>
    <row r="41" spans="1:36">
      <c r="A41" s="70">
        <v>36</v>
      </c>
      <c r="B41" s="15"/>
      <c r="C41" s="15">
        <v>1</v>
      </c>
      <c r="D41" s="15"/>
      <c r="E41" s="15"/>
      <c r="F41" s="372"/>
      <c r="G41" s="372"/>
      <c r="H41" s="372"/>
      <c r="I41" s="372"/>
      <c r="J41" s="372"/>
      <c r="K41" s="374"/>
      <c r="L41" s="374">
        <v>0.7</v>
      </c>
      <c r="M41" s="374">
        <v>0.7</v>
      </c>
      <c r="N41" s="372">
        <v>0.7</v>
      </c>
      <c r="O41" s="372">
        <v>0.7</v>
      </c>
      <c r="P41" s="372">
        <v>0.8</v>
      </c>
      <c r="Q41" s="372">
        <v>0.7</v>
      </c>
      <c r="R41" s="372">
        <v>0.7</v>
      </c>
      <c r="S41" s="372">
        <v>0.7</v>
      </c>
      <c r="T41" s="372">
        <v>0.7</v>
      </c>
      <c r="U41" s="372">
        <f>3.52/5</f>
        <v>0.70399999999999996</v>
      </c>
      <c r="V41" s="372">
        <f>2.9/4</f>
        <v>0.72499999999999998</v>
      </c>
      <c r="W41" s="372">
        <v>0.7</v>
      </c>
      <c r="X41" s="372">
        <v>0.7</v>
      </c>
      <c r="Y41" s="372">
        <v>0.7</v>
      </c>
      <c r="Z41" s="372">
        <v>0.7</v>
      </c>
      <c r="AA41" s="372">
        <v>0.7</v>
      </c>
      <c r="AB41" s="372">
        <v>0.7</v>
      </c>
      <c r="AC41" s="372"/>
      <c r="AD41" s="41"/>
      <c r="AE41" s="41"/>
      <c r="AF41" s="11">
        <f t="shared" si="8"/>
        <v>0</v>
      </c>
      <c r="AG41" s="11">
        <f t="shared" si="9"/>
        <v>0</v>
      </c>
      <c r="AH41" s="11">
        <f t="shared" si="10"/>
        <v>17</v>
      </c>
    </row>
    <row r="42" spans="1:36">
      <c r="A42" s="70">
        <v>37</v>
      </c>
      <c r="B42" s="15"/>
      <c r="C42" s="15">
        <v>1</v>
      </c>
      <c r="D42" s="15"/>
      <c r="E42" s="15"/>
      <c r="F42" s="372"/>
      <c r="G42" s="372"/>
      <c r="H42" s="372"/>
      <c r="I42" s="372"/>
      <c r="J42" s="372"/>
      <c r="K42" s="374"/>
      <c r="L42" s="374"/>
      <c r="M42" s="374"/>
      <c r="N42" s="372"/>
      <c r="O42" s="372"/>
      <c r="P42" s="372"/>
      <c r="Q42" s="372"/>
      <c r="R42" s="372"/>
      <c r="S42" s="372"/>
      <c r="T42" s="372"/>
      <c r="U42" s="372"/>
      <c r="V42" s="372"/>
      <c r="W42" s="372"/>
      <c r="X42" s="372"/>
      <c r="Y42" s="372"/>
      <c r="Z42" s="372"/>
      <c r="AA42" s="372"/>
      <c r="AB42" s="372"/>
      <c r="AC42" s="372"/>
      <c r="AD42" s="41"/>
      <c r="AE42" s="41"/>
      <c r="AF42" s="11">
        <f t="shared" si="8"/>
        <v>0</v>
      </c>
      <c r="AG42" s="11">
        <f t="shared" si="9"/>
        <v>0</v>
      </c>
      <c r="AH42" s="11">
        <f t="shared" si="10"/>
        <v>0</v>
      </c>
    </row>
    <row r="43" spans="1:36">
      <c r="A43" s="70">
        <v>38</v>
      </c>
      <c r="B43" s="15"/>
      <c r="C43" s="15"/>
      <c r="D43" s="15"/>
      <c r="E43" s="15"/>
      <c r="F43" s="372" t="s">
        <v>9</v>
      </c>
      <c r="G43" s="372" t="s">
        <v>9</v>
      </c>
      <c r="H43" s="372" t="s">
        <v>9</v>
      </c>
      <c r="I43" s="372" t="s">
        <v>9</v>
      </c>
      <c r="J43" s="372" t="s">
        <v>9</v>
      </c>
      <c r="K43" s="374" t="s">
        <v>9</v>
      </c>
      <c r="L43" s="374" t="s">
        <v>9</v>
      </c>
      <c r="M43" s="374" t="s">
        <v>9</v>
      </c>
      <c r="N43" s="372" t="s">
        <v>9</v>
      </c>
      <c r="O43" s="372" t="s">
        <v>9</v>
      </c>
      <c r="P43" s="372" t="s">
        <v>9</v>
      </c>
      <c r="Q43" s="372" t="s">
        <v>9</v>
      </c>
      <c r="R43" s="372" t="s">
        <v>9</v>
      </c>
      <c r="S43" s="372" t="s">
        <v>9</v>
      </c>
      <c r="T43" s="372" t="s">
        <v>9</v>
      </c>
      <c r="U43" s="372" t="s">
        <v>9</v>
      </c>
      <c r="V43" s="372" t="s">
        <v>9</v>
      </c>
      <c r="W43" s="372" t="s">
        <v>9</v>
      </c>
      <c r="X43" s="372" t="s">
        <v>9</v>
      </c>
      <c r="Y43" s="372" t="s">
        <v>9</v>
      </c>
      <c r="Z43" s="372" t="s">
        <v>9</v>
      </c>
      <c r="AA43" s="372" t="s">
        <v>9</v>
      </c>
      <c r="AB43" s="372" t="s">
        <v>9</v>
      </c>
      <c r="AC43" s="372" t="s">
        <v>9</v>
      </c>
      <c r="AD43" s="41"/>
      <c r="AE43" s="41"/>
      <c r="AF43" s="11">
        <f t="shared" si="8"/>
        <v>24</v>
      </c>
      <c r="AG43" s="11">
        <f t="shared" si="9"/>
        <v>0</v>
      </c>
      <c r="AH43" s="11">
        <f t="shared" si="10"/>
        <v>0</v>
      </c>
    </row>
    <row r="44" spans="1:36" ht="16.5" customHeight="1">
      <c r="A44" s="70">
        <v>39</v>
      </c>
      <c r="B44" s="15"/>
      <c r="C44" s="15">
        <v>1</v>
      </c>
      <c r="D44" s="15"/>
      <c r="E44" s="15"/>
      <c r="F44" s="372" t="s">
        <v>9</v>
      </c>
      <c r="G44" s="372" t="s">
        <v>9</v>
      </c>
      <c r="H44" s="372" t="s">
        <v>9</v>
      </c>
      <c r="I44" s="372" t="s">
        <v>9</v>
      </c>
      <c r="J44" s="372" t="s">
        <v>9</v>
      </c>
      <c r="K44" s="372" t="s">
        <v>9</v>
      </c>
      <c r="L44" s="374" t="s">
        <v>9</v>
      </c>
      <c r="M44" s="374" t="s">
        <v>9</v>
      </c>
      <c r="N44" s="372" t="s">
        <v>9</v>
      </c>
      <c r="O44" s="372" t="s">
        <v>9</v>
      </c>
      <c r="P44" s="372" t="s">
        <v>9</v>
      </c>
      <c r="Q44" s="372" t="s">
        <v>9</v>
      </c>
      <c r="R44" s="372" t="s">
        <v>9</v>
      </c>
      <c r="S44" s="372" t="s">
        <v>9</v>
      </c>
      <c r="T44" s="372" t="s">
        <v>9</v>
      </c>
      <c r="U44" s="372" t="s">
        <v>9</v>
      </c>
      <c r="V44" s="372" t="s">
        <v>9</v>
      </c>
      <c r="W44" s="372" t="s">
        <v>9</v>
      </c>
      <c r="X44" s="372" t="s">
        <v>9</v>
      </c>
      <c r="Y44" s="372" t="s">
        <v>9</v>
      </c>
      <c r="Z44" s="372" t="s">
        <v>9</v>
      </c>
      <c r="AA44" s="372" t="s">
        <v>9</v>
      </c>
      <c r="AB44" s="372" t="s">
        <v>9</v>
      </c>
      <c r="AC44" s="372" t="s">
        <v>9</v>
      </c>
      <c r="AD44" s="41"/>
      <c r="AE44" s="41"/>
      <c r="AF44" s="11">
        <f t="shared" si="8"/>
        <v>24</v>
      </c>
      <c r="AG44" s="11">
        <f t="shared" si="9"/>
        <v>0</v>
      </c>
      <c r="AH44" s="11">
        <f t="shared" si="10"/>
        <v>0</v>
      </c>
    </row>
    <row r="45" spans="1:36" ht="16.5" customHeight="1">
      <c r="A45" s="70" t="s">
        <v>40</v>
      </c>
      <c r="B45" s="15"/>
      <c r="C45" s="15">
        <v>0.85</v>
      </c>
      <c r="D45" s="15"/>
      <c r="E45" s="15"/>
      <c r="F45" s="372"/>
      <c r="G45" s="372"/>
      <c r="H45" s="372"/>
      <c r="I45" s="372"/>
      <c r="J45" s="372"/>
      <c r="K45" s="372"/>
      <c r="L45" s="372"/>
      <c r="M45" s="372"/>
      <c r="N45" s="372"/>
      <c r="O45" s="372"/>
      <c r="P45" s="372"/>
      <c r="Q45" s="372"/>
      <c r="R45" s="372"/>
      <c r="S45" s="372"/>
      <c r="T45" s="372"/>
      <c r="U45" s="372"/>
      <c r="V45" s="372"/>
      <c r="W45" s="372"/>
      <c r="X45" s="372"/>
      <c r="Y45" s="372"/>
      <c r="Z45" s="372"/>
      <c r="AA45" s="372"/>
      <c r="AB45" s="372"/>
      <c r="AC45" s="372"/>
      <c r="AD45" s="41"/>
      <c r="AE45" s="41"/>
      <c r="AF45" s="11">
        <f t="shared" si="8"/>
        <v>0</v>
      </c>
      <c r="AG45" s="11">
        <f t="shared" si="9"/>
        <v>0</v>
      </c>
      <c r="AH45" s="11">
        <f t="shared" si="10"/>
        <v>0</v>
      </c>
      <c r="AI45" s="159"/>
    </row>
    <row r="46" spans="1:36">
      <c r="A46" s="70" t="s">
        <v>41</v>
      </c>
      <c r="B46" s="15"/>
      <c r="C46" s="15">
        <v>0.75</v>
      </c>
      <c r="D46" s="15"/>
      <c r="E46" s="15"/>
      <c r="F46" s="372">
        <v>0</v>
      </c>
      <c r="G46" s="372">
        <v>0</v>
      </c>
      <c r="H46" s="372">
        <v>0</v>
      </c>
      <c r="I46" s="372">
        <v>0.7</v>
      </c>
      <c r="J46" s="372">
        <v>0.7</v>
      </c>
      <c r="K46" s="372"/>
      <c r="L46" s="374"/>
      <c r="M46" s="374"/>
      <c r="N46" s="372">
        <v>0.7</v>
      </c>
      <c r="O46" s="372">
        <v>0.7</v>
      </c>
      <c r="P46" s="372"/>
      <c r="Q46" s="372"/>
      <c r="R46" s="372">
        <v>0.7</v>
      </c>
      <c r="S46" s="372">
        <v>0.7</v>
      </c>
      <c r="T46" s="372">
        <v>0.7</v>
      </c>
      <c r="U46" s="372">
        <f>3.52/5</f>
        <v>0.70399999999999996</v>
      </c>
      <c r="V46" s="372"/>
      <c r="W46" s="372"/>
      <c r="X46" s="372"/>
      <c r="Y46" s="372"/>
      <c r="Z46" s="372"/>
      <c r="AA46" s="372">
        <v>0</v>
      </c>
      <c r="AB46" s="372">
        <v>0</v>
      </c>
      <c r="AC46" s="372">
        <v>0</v>
      </c>
      <c r="AD46" s="41"/>
      <c r="AE46" s="41"/>
      <c r="AF46" s="11">
        <f t="shared" si="8"/>
        <v>0</v>
      </c>
      <c r="AG46" s="11">
        <f t="shared" si="9"/>
        <v>0</v>
      </c>
      <c r="AH46" s="11">
        <f t="shared" si="10"/>
        <v>14</v>
      </c>
      <c r="AI46" s="159"/>
    </row>
    <row r="47" spans="1:36">
      <c r="A47" s="70" t="s">
        <v>42</v>
      </c>
      <c r="B47" s="15"/>
      <c r="C47" s="15">
        <v>0.75</v>
      </c>
      <c r="D47" s="15"/>
      <c r="E47" s="15"/>
      <c r="F47" s="372">
        <v>0</v>
      </c>
      <c r="G47" s="372">
        <v>0</v>
      </c>
      <c r="H47" s="372">
        <v>0</v>
      </c>
      <c r="I47" s="372">
        <v>0.7</v>
      </c>
      <c r="J47" s="372">
        <v>0.7</v>
      </c>
      <c r="K47" s="372"/>
      <c r="L47" s="372"/>
      <c r="M47" s="372"/>
      <c r="N47" s="372"/>
      <c r="O47" s="372">
        <v>0.7</v>
      </c>
      <c r="P47" s="372"/>
      <c r="Q47" s="372"/>
      <c r="R47" s="372"/>
      <c r="S47" s="372"/>
      <c r="T47" s="372">
        <v>0.7</v>
      </c>
      <c r="U47" s="372">
        <f>3.52/5</f>
        <v>0.70399999999999996</v>
      </c>
      <c r="V47" s="372">
        <f>2.9/4</f>
        <v>0.72499999999999998</v>
      </c>
      <c r="W47" s="372"/>
      <c r="X47" s="372"/>
      <c r="Y47" s="372"/>
      <c r="Z47" s="372"/>
      <c r="AA47" s="372"/>
      <c r="AB47" s="372"/>
      <c r="AC47" s="372"/>
      <c r="AD47" s="41"/>
      <c r="AE47" s="41"/>
      <c r="AF47" s="11">
        <f t="shared" si="8"/>
        <v>0</v>
      </c>
      <c r="AG47" s="11">
        <f t="shared" si="9"/>
        <v>0</v>
      </c>
      <c r="AH47" s="11">
        <f t="shared" si="10"/>
        <v>9</v>
      </c>
    </row>
    <row r="48" spans="1:36">
      <c r="A48" s="70" t="s">
        <v>43</v>
      </c>
      <c r="B48" s="15"/>
      <c r="C48" s="15">
        <v>0.75</v>
      </c>
      <c r="D48" s="15"/>
      <c r="E48" s="15"/>
      <c r="F48" s="372">
        <v>0</v>
      </c>
      <c r="G48" s="372">
        <v>0</v>
      </c>
      <c r="H48" s="372">
        <v>0</v>
      </c>
      <c r="I48" s="372">
        <v>0.7</v>
      </c>
      <c r="J48" s="372"/>
      <c r="K48" s="372"/>
      <c r="L48" s="374"/>
      <c r="M48" s="372"/>
      <c r="N48" s="372"/>
      <c r="O48" s="372"/>
      <c r="P48" s="372">
        <v>0.7</v>
      </c>
      <c r="Q48" s="372"/>
      <c r="R48" s="372"/>
      <c r="S48" s="372"/>
      <c r="T48" s="372"/>
      <c r="U48" s="372"/>
      <c r="V48" s="372"/>
      <c r="W48" s="372"/>
      <c r="X48" s="372"/>
      <c r="Y48" s="372"/>
      <c r="Z48" s="372"/>
      <c r="AA48" s="372"/>
      <c r="AB48" s="372"/>
      <c r="AC48" s="372"/>
      <c r="AD48" s="41"/>
      <c r="AE48" s="41"/>
      <c r="AF48" s="11">
        <f t="shared" si="8"/>
        <v>0</v>
      </c>
      <c r="AG48" s="11">
        <f t="shared" si="9"/>
        <v>0</v>
      </c>
      <c r="AH48" s="11">
        <f t="shared" si="10"/>
        <v>5</v>
      </c>
    </row>
    <row r="49" spans="1:124" ht="15" customHeight="1">
      <c r="A49" s="70" t="s">
        <v>44</v>
      </c>
      <c r="B49" s="15"/>
      <c r="C49" s="15">
        <v>0.75</v>
      </c>
      <c r="D49" s="15"/>
      <c r="E49" s="15"/>
      <c r="F49" s="372">
        <v>0</v>
      </c>
      <c r="G49" s="372">
        <v>0</v>
      </c>
      <c r="H49" s="372">
        <v>0</v>
      </c>
      <c r="I49" s="372"/>
      <c r="J49" s="372"/>
      <c r="K49" s="372"/>
      <c r="L49" s="374"/>
      <c r="M49" s="374"/>
      <c r="N49" s="372"/>
      <c r="O49" s="372"/>
      <c r="P49" s="372"/>
      <c r="Q49" s="372"/>
      <c r="R49" s="372"/>
      <c r="S49" s="372"/>
      <c r="T49" s="372"/>
      <c r="U49" s="372"/>
      <c r="V49" s="372"/>
      <c r="W49" s="372"/>
      <c r="X49" s="372"/>
      <c r="Y49" s="372"/>
      <c r="Z49" s="372"/>
      <c r="AA49" s="372"/>
      <c r="AB49" s="372"/>
      <c r="AC49" s="372"/>
      <c r="AD49" s="41"/>
      <c r="AE49" s="41"/>
      <c r="AF49" s="11">
        <f t="shared" si="8"/>
        <v>0</v>
      </c>
      <c r="AG49" s="11">
        <f t="shared" si="9"/>
        <v>0</v>
      </c>
      <c r="AH49" s="11">
        <f t="shared" si="10"/>
        <v>3</v>
      </c>
    </row>
    <row r="50" spans="1:124" ht="16.5" customHeight="1">
      <c r="A50" s="70" t="s">
        <v>45</v>
      </c>
      <c r="B50" s="15"/>
      <c r="C50" s="15">
        <v>0.75</v>
      </c>
      <c r="D50" s="15"/>
      <c r="E50" s="15"/>
      <c r="F50" s="372"/>
      <c r="G50" s="372"/>
      <c r="H50" s="372"/>
      <c r="I50" s="372">
        <v>0.7</v>
      </c>
      <c r="J50" s="372">
        <v>0.7</v>
      </c>
      <c r="K50" s="372"/>
      <c r="L50" s="372"/>
      <c r="M50" s="374"/>
      <c r="N50" s="372"/>
      <c r="O50" s="372"/>
      <c r="P50" s="372"/>
      <c r="Q50" s="372"/>
      <c r="R50" s="372"/>
      <c r="S50" s="372"/>
      <c r="T50" s="372">
        <v>0.7</v>
      </c>
      <c r="U50" s="372">
        <f>3.52/5</f>
        <v>0.70399999999999996</v>
      </c>
      <c r="V50" s="372">
        <f>2.9/4</f>
        <v>0.72499999999999998</v>
      </c>
      <c r="W50" s="372"/>
      <c r="X50" s="372"/>
      <c r="Y50" s="372"/>
      <c r="Z50" s="372"/>
      <c r="AA50" s="372"/>
      <c r="AB50" s="372"/>
      <c r="AC50" s="372"/>
      <c r="AD50" s="41"/>
      <c r="AE50" s="41"/>
      <c r="AF50" s="11">
        <f t="shared" si="8"/>
        <v>0</v>
      </c>
      <c r="AG50" s="11">
        <f t="shared" si="9"/>
        <v>0</v>
      </c>
      <c r="AH50" s="11">
        <f t="shared" si="10"/>
        <v>5</v>
      </c>
    </row>
    <row r="51" spans="1:124">
      <c r="A51" s="70" t="s">
        <v>46</v>
      </c>
      <c r="B51" s="15"/>
      <c r="C51" s="15">
        <v>0.85</v>
      </c>
      <c r="D51" s="15"/>
      <c r="E51" s="15"/>
      <c r="F51" s="372"/>
      <c r="G51" s="374"/>
      <c r="H51" s="374"/>
      <c r="I51" s="374"/>
      <c r="J51" s="374"/>
      <c r="K51" s="374"/>
      <c r="L51" s="374"/>
      <c r="M51" s="374"/>
      <c r="N51" s="372"/>
      <c r="O51" s="372"/>
      <c r="P51" s="372"/>
      <c r="Q51" s="372"/>
      <c r="R51" s="372"/>
      <c r="S51" s="372"/>
      <c r="T51" s="372"/>
      <c r="U51" s="372"/>
      <c r="V51" s="372"/>
      <c r="W51" s="372"/>
      <c r="X51" s="372"/>
      <c r="Y51" s="372"/>
      <c r="Z51" s="372"/>
      <c r="AA51" s="372">
        <v>0</v>
      </c>
      <c r="AB51" s="372">
        <v>0</v>
      </c>
      <c r="AC51" s="372">
        <v>0</v>
      </c>
      <c r="AD51" s="41"/>
      <c r="AE51" s="41"/>
      <c r="AF51" s="11">
        <f t="shared" si="8"/>
        <v>0</v>
      </c>
      <c r="AG51" s="11">
        <f t="shared" si="9"/>
        <v>0</v>
      </c>
      <c r="AH51" s="11">
        <f t="shared" si="10"/>
        <v>3</v>
      </c>
    </row>
    <row r="52" spans="1:124">
      <c r="A52" s="70" t="s">
        <v>47</v>
      </c>
      <c r="B52" s="15"/>
      <c r="C52" s="15">
        <v>0.85</v>
      </c>
      <c r="D52" s="15"/>
      <c r="E52" s="15"/>
      <c r="F52" s="372" t="s">
        <v>9</v>
      </c>
      <c r="G52" s="374" t="s">
        <v>9</v>
      </c>
      <c r="H52" s="374" t="s">
        <v>9</v>
      </c>
      <c r="I52" s="374" t="s">
        <v>9</v>
      </c>
      <c r="J52" s="374" t="s">
        <v>9</v>
      </c>
      <c r="K52" s="374" t="s">
        <v>9</v>
      </c>
      <c r="L52" s="374" t="s">
        <v>9</v>
      </c>
      <c r="M52" s="374" t="s">
        <v>9</v>
      </c>
      <c r="N52" s="372" t="s">
        <v>9</v>
      </c>
      <c r="O52" s="372" t="s">
        <v>9</v>
      </c>
      <c r="P52" s="372" t="s">
        <v>9</v>
      </c>
      <c r="Q52" s="372" t="s">
        <v>9</v>
      </c>
      <c r="R52" s="372" t="s">
        <v>9</v>
      </c>
      <c r="S52" s="372" t="s">
        <v>9</v>
      </c>
      <c r="T52" s="372" t="s">
        <v>9</v>
      </c>
      <c r="U52" s="372" t="s">
        <v>9</v>
      </c>
      <c r="V52" s="372" t="s">
        <v>9</v>
      </c>
      <c r="W52" s="372" t="s">
        <v>9</v>
      </c>
      <c r="X52" s="372" t="s">
        <v>9</v>
      </c>
      <c r="Y52" s="372" t="s">
        <v>9</v>
      </c>
      <c r="Z52" s="372" t="s">
        <v>9</v>
      </c>
      <c r="AA52" s="372" t="s">
        <v>9</v>
      </c>
      <c r="AB52" s="372" t="s">
        <v>9</v>
      </c>
      <c r="AC52" s="372" t="s">
        <v>9</v>
      </c>
      <c r="AD52" s="41"/>
      <c r="AE52" s="41"/>
      <c r="AF52" s="11">
        <f t="shared" si="8"/>
        <v>24</v>
      </c>
      <c r="AG52" s="11">
        <f t="shared" si="9"/>
        <v>0</v>
      </c>
      <c r="AH52" s="11">
        <f t="shared" si="10"/>
        <v>0</v>
      </c>
    </row>
    <row r="53" spans="1:124">
      <c r="A53" s="70" t="s">
        <v>48</v>
      </c>
      <c r="B53" s="15"/>
      <c r="C53" s="15">
        <v>0.85</v>
      </c>
      <c r="D53" s="15"/>
      <c r="E53" s="15"/>
      <c r="F53" s="372"/>
      <c r="G53" s="372"/>
      <c r="H53" s="372"/>
      <c r="I53" s="372"/>
      <c r="J53" s="372"/>
      <c r="K53" s="374"/>
      <c r="L53" s="372"/>
      <c r="M53" s="372"/>
      <c r="N53" s="372"/>
      <c r="O53" s="372"/>
      <c r="P53" s="372"/>
      <c r="Q53" s="372"/>
      <c r="R53" s="372"/>
      <c r="S53" s="372"/>
      <c r="T53" s="372"/>
      <c r="U53" s="372"/>
      <c r="V53" s="372"/>
      <c r="W53" s="372"/>
      <c r="X53" s="372"/>
      <c r="Y53" s="372"/>
      <c r="Z53" s="372"/>
      <c r="AA53" s="372"/>
      <c r="AB53" s="372"/>
      <c r="AC53" s="372"/>
      <c r="AD53" s="41"/>
      <c r="AE53" s="41"/>
      <c r="AF53" s="11">
        <f t="shared" si="8"/>
        <v>0</v>
      </c>
      <c r="AG53" s="11">
        <f t="shared" si="9"/>
        <v>0</v>
      </c>
      <c r="AH53" s="11">
        <f t="shared" si="10"/>
        <v>0</v>
      </c>
    </row>
    <row r="54" spans="1:124" ht="16.5" customHeight="1">
      <c r="A54" s="70" t="s">
        <v>49</v>
      </c>
      <c r="B54" s="15"/>
      <c r="C54" s="15">
        <v>0.85</v>
      </c>
      <c r="D54" s="15"/>
      <c r="E54" s="15"/>
      <c r="F54" s="372"/>
      <c r="G54" s="372"/>
      <c r="H54" s="372"/>
      <c r="I54" s="372"/>
      <c r="J54" s="372"/>
      <c r="K54" s="374"/>
      <c r="L54" s="372"/>
      <c r="M54" s="374"/>
      <c r="N54" s="372"/>
      <c r="O54" s="372"/>
      <c r="P54" s="372"/>
      <c r="Q54" s="372"/>
      <c r="R54" s="372"/>
      <c r="S54" s="372"/>
      <c r="T54" s="372"/>
      <c r="U54" s="372"/>
      <c r="V54" s="372"/>
      <c r="W54" s="372"/>
      <c r="X54" s="372"/>
      <c r="Y54" s="372"/>
      <c r="Z54" s="372"/>
      <c r="AA54" s="372"/>
      <c r="AB54" s="372"/>
      <c r="AC54" s="372"/>
      <c r="AD54" s="41"/>
      <c r="AE54" s="41"/>
      <c r="AF54" s="11">
        <f t="shared" si="8"/>
        <v>0</v>
      </c>
      <c r="AG54" s="11">
        <f t="shared" si="9"/>
        <v>0</v>
      </c>
      <c r="AH54" s="11">
        <f t="shared" si="10"/>
        <v>0</v>
      </c>
    </row>
    <row r="55" spans="1:124">
      <c r="A55" s="70" t="s">
        <v>50</v>
      </c>
      <c r="B55" s="15"/>
      <c r="C55" s="15">
        <v>0.85</v>
      </c>
      <c r="D55" s="15"/>
      <c r="E55" s="15"/>
      <c r="F55" s="372"/>
      <c r="G55" s="372"/>
      <c r="H55" s="372"/>
      <c r="I55" s="372"/>
      <c r="J55" s="372"/>
      <c r="K55" s="374"/>
      <c r="L55" s="372"/>
      <c r="M55" s="374"/>
      <c r="N55" s="372"/>
      <c r="O55" s="372"/>
      <c r="P55" s="372"/>
      <c r="Q55" s="372"/>
      <c r="R55" s="372"/>
      <c r="S55" s="372"/>
      <c r="T55" s="372"/>
      <c r="U55" s="372"/>
      <c r="V55" s="372"/>
      <c r="W55" s="372"/>
      <c r="X55" s="372"/>
      <c r="Y55" s="372"/>
      <c r="Z55" s="372"/>
      <c r="AA55" s="372"/>
      <c r="AB55" s="372"/>
      <c r="AC55" s="372"/>
      <c r="AD55" s="41"/>
      <c r="AE55" s="41"/>
      <c r="AF55" s="11">
        <f>COUNTIF(F55:AC55,$AJ$8)</f>
        <v>0</v>
      </c>
      <c r="AG55" s="11">
        <f t="shared" si="9"/>
        <v>0</v>
      </c>
      <c r="AH55" s="11">
        <f>COUNT(F55:AC55)</f>
        <v>0</v>
      </c>
    </row>
    <row r="56" spans="1:124">
      <c r="A56" s="70" t="s">
        <v>51</v>
      </c>
      <c r="B56" s="15"/>
      <c r="C56" s="15">
        <v>0.75</v>
      </c>
      <c r="D56" s="15"/>
      <c r="E56" s="15"/>
      <c r="F56" s="372"/>
      <c r="G56" s="372"/>
      <c r="H56" s="372"/>
      <c r="I56" s="372">
        <v>0.7</v>
      </c>
      <c r="J56" s="372">
        <v>0.65</v>
      </c>
      <c r="K56" s="372"/>
      <c r="L56" s="374"/>
      <c r="M56" s="374"/>
      <c r="N56" s="372"/>
      <c r="O56" s="372"/>
      <c r="P56" s="372"/>
      <c r="Q56" s="372"/>
      <c r="R56" s="372"/>
      <c r="S56" s="372"/>
      <c r="T56" s="372"/>
      <c r="U56" s="372">
        <f>3.52/5</f>
        <v>0.70399999999999996</v>
      </c>
      <c r="V56" s="372">
        <f>2.9/4</f>
        <v>0.72499999999999998</v>
      </c>
      <c r="W56" s="372"/>
      <c r="X56" s="372"/>
      <c r="Y56" s="372"/>
      <c r="Z56" s="372"/>
      <c r="AA56" s="372"/>
      <c r="AB56" s="372"/>
      <c r="AC56" s="372"/>
      <c r="AD56" s="41"/>
      <c r="AE56" s="41"/>
      <c r="AF56" s="11">
        <f t="shared" si="8"/>
        <v>0</v>
      </c>
      <c r="AG56" s="11">
        <f t="shared" si="9"/>
        <v>0</v>
      </c>
      <c r="AH56" s="11">
        <f t="shared" si="10"/>
        <v>4</v>
      </c>
    </row>
    <row r="57" spans="1:124">
      <c r="A57" s="70" t="s">
        <v>52</v>
      </c>
      <c r="B57" s="15"/>
      <c r="C57" s="15">
        <v>0.75</v>
      </c>
      <c r="D57" s="15"/>
      <c r="E57" s="15"/>
      <c r="F57" s="372">
        <v>0.7</v>
      </c>
      <c r="G57" s="372">
        <v>0</v>
      </c>
      <c r="H57" s="372">
        <v>0</v>
      </c>
      <c r="I57" s="372">
        <v>0.7</v>
      </c>
      <c r="J57" s="372">
        <v>0.65</v>
      </c>
      <c r="K57" s="372"/>
      <c r="L57" s="374"/>
      <c r="M57" s="374"/>
      <c r="N57" s="372"/>
      <c r="O57" s="372"/>
      <c r="P57" s="372">
        <v>0.7</v>
      </c>
      <c r="Q57" s="372"/>
      <c r="R57" s="372">
        <v>0.7</v>
      </c>
      <c r="S57" s="372">
        <v>0.7</v>
      </c>
      <c r="T57" s="372">
        <v>0.75</v>
      </c>
      <c r="U57" s="372"/>
      <c r="V57" s="372"/>
      <c r="W57" s="372"/>
      <c r="X57" s="372"/>
      <c r="Y57" s="372"/>
      <c r="Z57" s="372"/>
      <c r="AA57" s="372">
        <v>0.7</v>
      </c>
      <c r="AB57" s="372">
        <v>0</v>
      </c>
      <c r="AC57" s="372">
        <v>0</v>
      </c>
      <c r="AD57" s="41"/>
      <c r="AE57" s="41"/>
      <c r="AF57" s="11">
        <f t="shared" si="8"/>
        <v>0</v>
      </c>
      <c r="AG57" s="11">
        <f t="shared" si="9"/>
        <v>0</v>
      </c>
      <c r="AH57" s="11">
        <f t="shared" si="10"/>
        <v>12</v>
      </c>
    </row>
    <row r="58" spans="1:124">
      <c r="A58" s="70" t="s">
        <v>53</v>
      </c>
      <c r="B58" s="15"/>
      <c r="C58" s="15">
        <v>0.85</v>
      </c>
      <c r="D58" s="15"/>
      <c r="E58" s="15"/>
      <c r="F58" s="372"/>
      <c r="G58" s="372"/>
      <c r="H58" s="372"/>
      <c r="I58" s="372"/>
      <c r="J58" s="372"/>
      <c r="K58" s="372"/>
      <c r="L58" s="372"/>
      <c r="M58" s="374"/>
      <c r="N58" s="372"/>
      <c r="O58" s="372"/>
      <c r="P58" s="372"/>
      <c r="Q58" s="372"/>
      <c r="R58" s="372"/>
      <c r="S58" s="372"/>
      <c r="T58" s="372"/>
      <c r="U58" s="372"/>
      <c r="V58" s="372"/>
      <c r="W58" s="372"/>
      <c r="X58" s="372"/>
      <c r="Y58" s="372"/>
      <c r="Z58" s="372"/>
      <c r="AA58" s="372"/>
      <c r="AB58" s="372"/>
      <c r="AC58" s="372"/>
      <c r="AD58" s="41"/>
      <c r="AE58" s="41"/>
      <c r="AF58" s="11">
        <f t="shared" si="8"/>
        <v>0</v>
      </c>
      <c r="AG58" s="11">
        <f t="shared" si="9"/>
        <v>0</v>
      </c>
      <c r="AH58" s="11">
        <f t="shared" si="10"/>
        <v>0</v>
      </c>
    </row>
    <row r="59" spans="1:124">
      <c r="A59" s="70" t="s">
        <v>54</v>
      </c>
      <c r="B59" s="15"/>
      <c r="C59" s="15">
        <v>0.85</v>
      </c>
      <c r="D59" s="15"/>
      <c r="E59" s="15"/>
      <c r="F59" s="372"/>
      <c r="G59" s="372"/>
      <c r="H59" s="372"/>
      <c r="I59" s="372"/>
      <c r="J59" s="372"/>
      <c r="K59" s="374"/>
      <c r="L59" s="374"/>
      <c r="M59" s="374"/>
      <c r="N59" s="372"/>
      <c r="O59" s="372"/>
      <c r="P59" s="372"/>
      <c r="Q59" s="372"/>
      <c r="R59" s="372"/>
      <c r="S59" s="372"/>
      <c r="T59" s="372"/>
      <c r="U59" s="372"/>
      <c r="V59" s="372"/>
      <c r="W59" s="372"/>
      <c r="X59" s="372"/>
      <c r="Y59" s="372"/>
      <c r="Z59" s="372"/>
      <c r="AA59" s="372"/>
      <c r="AB59" s="372"/>
      <c r="AC59" s="372"/>
      <c r="AD59" s="41"/>
      <c r="AE59" s="41"/>
      <c r="AF59" s="11">
        <f t="shared" si="8"/>
        <v>0</v>
      </c>
      <c r="AG59" s="11">
        <f t="shared" si="9"/>
        <v>0</v>
      </c>
      <c r="AH59" s="11">
        <f t="shared" si="10"/>
        <v>0</v>
      </c>
    </row>
    <row r="60" spans="1:124">
      <c r="A60" s="9" t="s">
        <v>26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 t="shared" ref="F60:AC60" si="11">SUM(F36:F59)</f>
        <v>0.7</v>
      </c>
      <c r="G60" s="19">
        <f t="shared" si="11"/>
        <v>0</v>
      </c>
      <c r="H60" s="19">
        <f t="shared" si="11"/>
        <v>0</v>
      </c>
      <c r="I60" s="19">
        <f t="shared" si="11"/>
        <v>4.2</v>
      </c>
      <c r="J60" s="19">
        <f t="shared" si="11"/>
        <v>3.3999999999999995</v>
      </c>
      <c r="K60" s="19">
        <f t="shared" si="11"/>
        <v>0</v>
      </c>
      <c r="L60" s="19">
        <f t="shared" si="11"/>
        <v>0.7</v>
      </c>
      <c r="M60" s="19">
        <f t="shared" si="11"/>
        <v>0.7</v>
      </c>
      <c r="N60" s="19">
        <f t="shared" si="11"/>
        <v>1.4</v>
      </c>
      <c r="O60" s="19">
        <f>SUM(O36:O59)</f>
        <v>2.0999999999999996</v>
      </c>
      <c r="P60" s="19">
        <f t="shared" si="11"/>
        <v>2.2000000000000002</v>
      </c>
      <c r="Q60" s="19">
        <f t="shared" si="11"/>
        <v>0.7</v>
      </c>
      <c r="R60" s="19">
        <f t="shared" si="11"/>
        <v>2.0999999999999996</v>
      </c>
      <c r="S60" s="19">
        <f t="shared" si="11"/>
        <v>2.0999999999999996</v>
      </c>
      <c r="T60" s="19">
        <f>SUM(T36:T59)</f>
        <v>3.55</v>
      </c>
      <c r="U60" s="19">
        <f t="shared" si="11"/>
        <v>3.5199999999999996</v>
      </c>
      <c r="V60" s="19">
        <f t="shared" si="11"/>
        <v>2.9</v>
      </c>
      <c r="W60" s="19">
        <f t="shared" si="11"/>
        <v>0.7</v>
      </c>
      <c r="X60" s="19">
        <f t="shared" si="11"/>
        <v>0.7</v>
      </c>
      <c r="Y60" s="19">
        <f t="shared" si="11"/>
        <v>0.7</v>
      </c>
      <c r="Z60" s="19">
        <f t="shared" si="11"/>
        <v>0.7</v>
      </c>
      <c r="AA60" s="19">
        <f t="shared" si="11"/>
        <v>1.4</v>
      </c>
      <c r="AB60" s="19">
        <f t="shared" si="11"/>
        <v>0.7</v>
      </c>
      <c r="AC60" s="19">
        <f t="shared" si="11"/>
        <v>0</v>
      </c>
      <c r="AD60" s="34"/>
      <c r="AE60" s="34"/>
      <c r="AF60" s="11"/>
      <c r="AG60" s="11"/>
      <c r="AH60" s="11"/>
    </row>
    <row r="61" spans="1:124">
      <c r="A61" s="12" t="s">
        <v>55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29.720000000000002</v>
      </c>
      <c r="AN61" s="351"/>
    </row>
    <row r="62" spans="1:124">
      <c r="A62" s="14" t="s">
        <v>56</v>
      </c>
      <c r="B62" s="20"/>
      <c r="C62" s="15">
        <v>0.75</v>
      </c>
      <c r="D62" s="15"/>
      <c r="E62" s="15"/>
      <c r="F62" s="372">
        <f>1.04/2</f>
        <v>0.52</v>
      </c>
      <c r="G62" s="372">
        <f>0.96/2</f>
        <v>0.48</v>
      </c>
      <c r="H62" s="372">
        <f>0.92/2</f>
        <v>0.46</v>
      </c>
      <c r="I62" s="372">
        <v>0.44500000000000001</v>
      </c>
      <c r="J62" s="372">
        <v>0.435</v>
      </c>
      <c r="K62" s="374">
        <v>0.46500000000000002</v>
      </c>
      <c r="L62" s="372">
        <f>1.07/2</f>
        <v>0.53500000000000003</v>
      </c>
      <c r="M62" s="372">
        <f>1.14/2</f>
        <v>0.56999999999999995</v>
      </c>
      <c r="N62" s="372">
        <f>1.16/2</f>
        <v>0.57999999999999996</v>
      </c>
      <c r="O62" s="372">
        <f>1.35/2</f>
        <v>0.67500000000000004</v>
      </c>
      <c r="P62" s="372">
        <f t="shared" ref="P62:P63" si="12">1.39/2</f>
        <v>0.69499999999999995</v>
      </c>
      <c r="Q62" s="372">
        <f>1.49/2</f>
        <v>0.745</v>
      </c>
      <c r="R62" s="372">
        <f>1.53/2</f>
        <v>0.76500000000000001</v>
      </c>
      <c r="S62" s="372">
        <f>1.52/2</f>
        <v>0.76</v>
      </c>
      <c r="T62" s="372">
        <f>1.52/2</f>
        <v>0.76</v>
      </c>
      <c r="U62" s="372">
        <v>0.74</v>
      </c>
      <c r="V62" s="372">
        <f>1.37/2</f>
        <v>0.68500000000000005</v>
      </c>
      <c r="W62" s="372">
        <f>1.35/2</f>
        <v>0.67500000000000004</v>
      </c>
      <c r="X62" s="372">
        <f>1.25/2</f>
        <v>0.625</v>
      </c>
      <c r="Y62" s="372">
        <f>1.46/2</f>
        <v>0.73</v>
      </c>
      <c r="Z62" s="372">
        <f>1.46/2</f>
        <v>0.73</v>
      </c>
      <c r="AA62" s="372">
        <f>1.33/2</f>
        <v>0.66500000000000004</v>
      </c>
      <c r="AB62" s="372">
        <f>1.18/2</f>
        <v>0.59</v>
      </c>
      <c r="AC62" s="372">
        <v>0.53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24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57</v>
      </c>
      <c r="B63" s="20"/>
      <c r="C63" s="15">
        <v>0.75</v>
      </c>
      <c r="D63" s="15"/>
      <c r="E63" s="15"/>
      <c r="F63" s="372">
        <f>1.04/2</f>
        <v>0.52</v>
      </c>
      <c r="G63" s="372">
        <f>0.96/2</f>
        <v>0.48</v>
      </c>
      <c r="H63" s="372">
        <f>0.92/2</f>
        <v>0.46</v>
      </c>
      <c r="I63" s="372">
        <v>0.44500000000000001</v>
      </c>
      <c r="J63" s="372">
        <v>0.435</v>
      </c>
      <c r="K63" s="374">
        <v>0.46500000000000002</v>
      </c>
      <c r="L63" s="372">
        <f>1.07/2</f>
        <v>0.53500000000000003</v>
      </c>
      <c r="M63" s="372">
        <f>1.14/2</f>
        <v>0.56999999999999995</v>
      </c>
      <c r="N63" s="372">
        <f>1.16/2</f>
        <v>0.57999999999999996</v>
      </c>
      <c r="O63" s="372">
        <f>1.35/2</f>
        <v>0.67500000000000004</v>
      </c>
      <c r="P63" s="372">
        <f t="shared" si="12"/>
        <v>0.69499999999999995</v>
      </c>
      <c r="Q63" s="372">
        <f>1.49/2</f>
        <v>0.745</v>
      </c>
      <c r="R63" s="372">
        <f>1.53/2</f>
        <v>0.76500000000000001</v>
      </c>
      <c r="S63" s="372">
        <f>1.52/2</f>
        <v>0.76</v>
      </c>
      <c r="T63" s="372">
        <f>1.52/2</f>
        <v>0.76</v>
      </c>
      <c r="U63" s="372">
        <v>0.74</v>
      </c>
      <c r="V63" s="372">
        <f>1.37/2</f>
        <v>0.68500000000000005</v>
      </c>
      <c r="W63" s="372">
        <f>1.35/2</f>
        <v>0.67500000000000004</v>
      </c>
      <c r="X63" s="372">
        <f>1.25/2</f>
        <v>0.625</v>
      </c>
      <c r="Y63" s="372">
        <f>1.46/2</f>
        <v>0.73</v>
      </c>
      <c r="Z63" s="372">
        <f>1.46/2</f>
        <v>0.73</v>
      </c>
      <c r="AA63" s="372">
        <f>1.33/2</f>
        <v>0.66500000000000004</v>
      </c>
      <c r="AB63" s="372">
        <f>1.18/2</f>
        <v>0.59</v>
      </c>
      <c r="AC63" s="372">
        <v>0.53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24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58</v>
      </c>
      <c r="B64" s="20"/>
      <c r="C64" s="15">
        <v>0.75</v>
      </c>
      <c r="D64" s="15"/>
      <c r="E64" s="15"/>
      <c r="F64" s="372" t="s">
        <v>9</v>
      </c>
      <c r="G64" s="372" t="s">
        <v>9</v>
      </c>
      <c r="H64" s="372" t="s">
        <v>9</v>
      </c>
      <c r="I64" s="372" t="s">
        <v>9</v>
      </c>
      <c r="J64" s="372" t="s">
        <v>9</v>
      </c>
      <c r="K64" s="374" t="s">
        <v>9</v>
      </c>
      <c r="L64" s="372" t="s">
        <v>9</v>
      </c>
      <c r="M64" s="372" t="s">
        <v>9</v>
      </c>
      <c r="N64" s="372" t="s">
        <v>9</v>
      </c>
      <c r="O64" s="372" t="s">
        <v>9</v>
      </c>
      <c r="P64" s="372" t="s">
        <v>9</v>
      </c>
      <c r="Q64" s="372" t="s">
        <v>9</v>
      </c>
      <c r="R64" s="372" t="s">
        <v>9</v>
      </c>
      <c r="S64" s="372" t="s">
        <v>9</v>
      </c>
      <c r="T64" s="372" t="s">
        <v>9</v>
      </c>
      <c r="U64" s="372" t="s">
        <v>9</v>
      </c>
      <c r="V64" s="372" t="s">
        <v>9</v>
      </c>
      <c r="W64" s="372" t="s">
        <v>9</v>
      </c>
      <c r="X64" s="372" t="s">
        <v>9</v>
      </c>
      <c r="Y64" s="372" t="s">
        <v>9</v>
      </c>
      <c r="Z64" s="372" t="s">
        <v>9</v>
      </c>
      <c r="AA64" s="372" t="s">
        <v>9</v>
      </c>
      <c r="AB64" s="372" t="s">
        <v>9</v>
      </c>
      <c r="AC64" s="372" t="s">
        <v>9</v>
      </c>
      <c r="AD64" s="32"/>
      <c r="AE64" s="32"/>
      <c r="AF64" s="11">
        <f>COUNTIF(F64:AC64,$AF$11)</f>
        <v>24</v>
      </c>
      <c r="AG64" s="11">
        <f>COUNTIF(G64:AC64,$AG$11)</f>
        <v>0</v>
      </c>
      <c r="AH64" s="11">
        <f>COUNT(F64:AC64)</f>
        <v>0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1.04</v>
      </c>
      <c r="G65" s="19">
        <f t="shared" ref="G65" si="13">SUM(G62:G64)</f>
        <v>0.96</v>
      </c>
      <c r="H65" s="19">
        <f>SUM(H62:H64)</f>
        <v>0.92</v>
      </c>
      <c r="I65" s="19">
        <f>SUM(I62:I64)</f>
        <v>0.89</v>
      </c>
      <c r="J65" s="19">
        <f t="shared" ref="J65" si="14">SUM(J62:J64)</f>
        <v>0.87</v>
      </c>
      <c r="K65" s="19">
        <f>SUM(K62:K64)</f>
        <v>0.93</v>
      </c>
      <c r="L65" s="19">
        <f>SUM(L62:L64)</f>
        <v>1.07</v>
      </c>
      <c r="M65" s="19">
        <f>SUM(M62:M64)</f>
        <v>1.1399999999999999</v>
      </c>
      <c r="N65" s="19">
        <f>SUM(N62:N64)</f>
        <v>1.1599999999999999</v>
      </c>
      <c r="O65" s="19">
        <f t="shared" ref="O65:AB65" si="15">SUM(O62:O64)</f>
        <v>1.35</v>
      </c>
      <c r="P65" s="19">
        <f t="shared" si="15"/>
        <v>1.39</v>
      </c>
      <c r="Q65" s="19">
        <f t="shared" si="15"/>
        <v>1.49</v>
      </c>
      <c r="R65" s="19">
        <f t="shared" si="15"/>
        <v>1.53</v>
      </c>
      <c r="S65" s="19">
        <f t="shared" si="15"/>
        <v>1.52</v>
      </c>
      <c r="T65" s="19">
        <f t="shared" si="15"/>
        <v>1.52</v>
      </c>
      <c r="U65" s="19">
        <f t="shared" si="15"/>
        <v>1.48</v>
      </c>
      <c r="V65" s="19">
        <f t="shared" si="15"/>
        <v>1.37</v>
      </c>
      <c r="W65" s="19">
        <f t="shared" si="15"/>
        <v>1.35</v>
      </c>
      <c r="X65" s="19">
        <f t="shared" si="15"/>
        <v>1.25</v>
      </c>
      <c r="Y65" s="19">
        <f>SUM(Y62:Y64)</f>
        <v>1.46</v>
      </c>
      <c r="Z65" s="19">
        <f t="shared" si="15"/>
        <v>1.46</v>
      </c>
      <c r="AA65" s="19">
        <f t="shared" si="15"/>
        <v>1.33</v>
      </c>
      <c r="AB65" s="19">
        <f t="shared" si="15"/>
        <v>1.18</v>
      </c>
      <c r="AC65" s="19">
        <f>SUM(AC62:AC64)</f>
        <v>1.06</v>
      </c>
      <c r="AD65" s="34"/>
      <c r="AE65" s="34"/>
      <c r="AF65" s="11"/>
      <c r="AG65" s="11"/>
      <c r="AH65" s="11"/>
    </row>
    <row r="66" spans="1:124" hidden="1">
      <c r="A66" s="12" t="s">
        <v>59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idden="1">
      <c r="A67" s="14" t="s">
        <v>60</v>
      </c>
      <c r="B67" s="15"/>
      <c r="C67" s="15">
        <v>0.85</v>
      </c>
      <c r="D67" s="15"/>
      <c r="E67" s="15"/>
      <c r="F67" s="372"/>
      <c r="G67" s="372"/>
      <c r="H67" s="372"/>
      <c r="I67" s="372"/>
      <c r="J67" s="372"/>
      <c r="K67" s="374"/>
      <c r="L67" s="374"/>
      <c r="M67" s="374"/>
      <c r="N67" s="372"/>
      <c r="O67" s="372"/>
      <c r="P67" s="372"/>
      <c r="Q67" s="372"/>
      <c r="R67" s="372"/>
      <c r="S67" s="372"/>
      <c r="T67" s="372"/>
      <c r="U67" s="372"/>
      <c r="V67" s="372"/>
      <c r="W67" s="372"/>
      <c r="X67" s="372"/>
      <c r="Y67" s="372"/>
      <c r="Z67" s="372"/>
      <c r="AA67" s="372"/>
      <c r="AB67" s="372"/>
      <c r="AC67" s="372"/>
      <c r="AD67" s="35"/>
      <c r="AE67" s="35"/>
      <c r="AF67" s="11">
        <f t="shared" ref="AF67:AF75" si="16">COUNTIF(F67:AC67,$AF$11)</f>
        <v>0</v>
      </c>
      <c r="AG67" s="11">
        <f t="shared" ref="AG67:AG75" si="17">COUNTIF(G67:AC67,$AG$11)</f>
        <v>0</v>
      </c>
      <c r="AH67" s="11">
        <f t="shared" ref="AH67:AH75" si="18">COUNT(F67:AC67)</f>
        <v>0</v>
      </c>
    </row>
    <row r="68" spans="1:124" hidden="1">
      <c r="A68" s="14" t="s">
        <v>61</v>
      </c>
      <c r="B68" s="15"/>
      <c r="C68" s="15">
        <v>0.85</v>
      </c>
      <c r="D68" s="15"/>
      <c r="E68" s="15"/>
      <c r="F68" s="372"/>
      <c r="G68" s="372"/>
      <c r="H68" s="372"/>
      <c r="I68" s="372"/>
      <c r="J68" s="372"/>
      <c r="K68" s="374"/>
      <c r="L68" s="374"/>
      <c r="M68" s="374"/>
      <c r="N68" s="372"/>
      <c r="O68" s="372"/>
      <c r="P68" s="372"/>
      <c r="Q68" s="372"/>
      <c r="R68" s="372"/>
      <c r="S68" s="372"/>
      <c r="T68" s="372"/>
      <c r="U68" s="372"/>
      <c r="V68" s="372"/>
      <c r="W68" s="372"/>
      <c r="X68" s="372"/>
      <c r="Y68" s="372"/>
      <c r="Z68" s="372"/>
      <c r="AA68" s="372"/>
      <c r="AB68" s="372"/>
      <c r="AC68" s="372"/>
      <c r="AD68" s="35"/>
      <c r="AE68" s="35"/>
      <c r="AF68" s="11">
        <f t="shared" si="16"/>
        <v>0</v>
      </c>
      <c r="AG68" s="11">
        <f t="shared" si="17"/>
        <v>0</v>
      </c>
      <c r="AH68" s="11">
        <f t="shared" si="18"/>
        <v>0</v>
      </c>
    </row>
    <row r="69" spans="1:124" hidden="1">
      <c r="A69" s="14" t="s">
        <v>62</v>
      </c>
      <c r="B69" s="15"/>
      <c r="C69" s="15">
        <v>0.85</v>
      </c>
      <c r="D69" s="15"/>
      <c r="E69" s="15"/>
      <c r="F69" s="372"/>
      <c r="G69" s="372"/>
      <c r="H69" s="372"/>
      <c r="I69" s="372"/>
      <c r="J69" s="372"/>
      <c r="K69" s="374"/>
      <c r="L69" s="374"/>
      <c r="M69" s="374"/>
      <c r="N69" s="372"/>
      <c r="O69" s="372"/>
      <c r="P69" s="372"/>
      <c r="Q69" s="372"/>
      <c r="R69" s="372"/>
      <c r="S69" s="372"/>
      <c r="T69" s="372"/>
      <c r="U69" s="372"/>
      <c r="V69" s="372"/>
      <c r="W69" s="372"/>
      <c r="X69" s="372"/>
      <c r="Y69" s="372"/>
      <c r="Z69" s="372"/>
      <c r="AA69" s="372"/>
      <c r="AB69" s="372"/>
      <c r="AC69" s="372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8"/>
        <v>0</v>
      </c>
    </row>
    <row r="70" spans="1:124" hidden="1">
      <c r="A70" s="14" t="s">
        <v>63</v>
      </c>
      <c r="B70" s="15"/>
      <c r="C70" s="15">
        <v>0.85</v>
      </c>
      <c r="D70" s="15"/>
      <c r="E70" s="15"/>
      <c r="F70" s="372"/>
      <c r="G70" s="372"/>
      <c r="H70" s="372"/>
      <c r="I70" s="372"/>
      <c r="J70" s="372"/>
      <c r="K70" s="374"/>
      <c r="L70" s="374"/>
      <c r="M70" s="374"/>
      <c r="N70" s="372"/>
      <c r="O70" s="372"/>
      <c r="P70" s="372"/>
      <c r="Q70" s="372"/>
      <c r="R70" s="372"/>
      <c r="S70" s="372"/>
      <c r="T70" s="372"/>
      <c r="U70" s="372"/>
      <c r="V70" s="372"/>
      <c r="W70" s="372"/>
      <c r="X70" s="372"/>
      <c r="Y70" s="372"/>
      <c r="Z70" s="372"/>
      <c r="AA70" s="372"/>
      <c r="AB70" s="372"/>
      <c r="AC70" s="372"/>
      <c r="AD70" s="35"/>
      <c r="AE70" s="35"/>
      <c r="AF70" s="11">
        <f t="shared" si="16"/>
        <v>0</v>
      </c>
      <c r="AG70" s="11">
        <f t="shared" si="17"/>
        <v>0</v>
      </c>
      <c r="AH70" s="11">
        <f t="shared" si="18"/>
        <v>0</v>
      </c>
      <c r="AI70" s="5"/>
      <c r="AJ70" s="5"/>
      <c r="AK70" s="5"/>
      <c r="AL70" s="5"/>
    </row>
    <row r="71" spans="1:124" hidden="1">
      <c r="A71" s="14" t="s">
        <v>64</v>
      </c>
      <c r="B71" s="15"/>
      <c r="C71" s="15">
        <v>0.85</v>
      </c>
      <c r="D71" s="15"/>
      <c r="E71" s="15"/>
      <c r="F71" s="372"/>
      <c r="G71" s="372"/>
      <c r="H71" s="372"/>
      <c r="I71" s="372"/>
      <c r="J71" s="372"/>
      <c r="K71" s="374"/>
      <c r="L71" s="374"/>
      <c r="M71" s="374"/>
      <c r="N71" s="372"/>
      <c r="O71" s="372"/>
      <c r="P71" s="372"/>
      <c r="Q71" s="372"/>
      <c r="R71" s="372"/>
      <c r="S71" s="372"/>
      <c r="T71" s="372"/>
      <c r="U71" s="372"/>
      <c r="V71" s="372"/>
      <c r="W71" s="372"/>
      <c r="X71" s="372"/>
      <c r="Y71" s="372"/>
      <c r="Z71" s="372"/>
      <c r="AA71" s="372"/>
      <c r="AB71" s="372"/>
      <c r="AC71" s="372"/>
      <c r="AD71" s="35"/>
      <c r="AE71" s="35"/>
      <c r="AF71" s="11">
        <f t="shared" si="16"/>
        <v>0</v>
      </c>
      <c r="AG71" s="11">
        <f t="shared" si="17"/>
        <v>0</v>
      </c>
      <c r="AH71" s="11">
        <f t="shared" si="18"/>
        <v>0</v>
      </c>
    </row>
    <row r="72" spans="1:124" hidden="1">
      <c r="A72" s="14" t="s">
        <v>65</v>
      </c>
      <c r="B72" s="15"/>
      <c r="C72" s="15">
        <v>0.85</v>
      </c>
      <c r="D72" s="15"/>
      <c r="E72" s="15"/>
      <c r="F72" s="372"/>
      <c r="G72" s="372"/>
      <c r="H72" s="372"/>
      <c r="I72" s="372"/>
      <c r="J72" s="372"/>
      <c r="K72" s="374"/>
      <c r="L72" s="374"/>
      <c r="M72" s="374"/>
      <c r="N72" s="372"/>
      <c r="O72" s="372"/>
      <c r="P72" s="372"/>
      <c r="Q72" s="372"/>
      <c r="R72" s="372"/>
      <c r="S72" s="372"/>
      <c r="T72" s="372"/>
      <c r="U72" s="372"/>
      <c r="V72" s="372"/>
      <c r="W72" s="372"/>
      <c r="X72" s="372"/>
      <c r="Y72" s="372"/>
      <c r="Z72" s="372"/>
      <c r="AA72" s="372"/>
      <c r="AB72" s="372"/>
      <c r="AC72" s="372"/>
      <c r="AD72" s="35"/>
      <c r="AE72" s="35"/>
      <c r="AF72" s="11">
        <f t="shared" si="16"/>
        <v>0</v>
      </c>
      <c r="AG72" s="11">
        <f t="shared" si="17"/>
        <v>0</v>
      </c>
      <c r="AH72" s="11">
        <f t="shared" si="18"/>
        <v>0</v>
      </c>
    </row>
    <row r="73" spans="1:124" hidden="1">
      <c r="A73" s="14" t="s">
        <v>66</v>
      </c>
      <c r="B73" s="15"/>
      <c r="C73" s="15">
        <v>0.85</v>
      </c>
      <c r="D73" s="15"/>
      <c r="E73" s="15"/>
      <c r="F73" s="372"/>
      <c r="G73" s="372"/>
      <c r="H73" s="372"/>
      <c r="I73" s="372"/>
      <c r="J73" s="372"/>
      <c r="K73" s="374"/>
      <c r="L73" s="374"/>
      <c r="M73" s="374"/>
      <c r="N73" s="372"/>
      <c r="O73" s="372"/>
      <c r="P73" s="372"/>
      <c r="Q73" s="372"/>
      <c r="R73" s="372"/>
      <c r="S73" s="372"/>
      <c r="T73" s="372"/>
      <c r="U73" s="372"/>
      <c r="V73" s="372"/>
      <c r="W73" s="372"/>
      <c r="X73" s="372"/>
      <c r="Y73" s="372"/>
      <c r="Z73" s="372"/>
      <c r="AA73" s="372"/>
      <c r="AB73" s="372"/>
      <c r="AC73" s="372"/>
      <c r="AD73" s="35"/>
      <c r="AE73" s="35"/>
      <c r="AF73" s="11">
        <f t="shared" si="16"/>
        <v>0</v>
      </c>
      <c r="AG73" s="11">
        <f t="shared" si="17"/>
        <v>0</v>
      </c>
      <c r="AH73" s="11">
        <f t="shared" si="18"/>
        <v>0</v>
      </c>
    </row>
    <row r="74" spans="1:124" hidden="1">
      <c r="A74" s="14" t="s">
        <v>67</v>
      </c>
      <c r="B74" s="19"/>
      <c r="C74" s="15">
        <v>0.85</v>
      </c>
      <c r="D74" s="15"/>
      <c r="E74" s="15"/>
      <c r="F74" s="372"/>
      <c r="G74" s="372"/>
      <c r="H74" s="372"/>
      <c r="I74" s="372"/>
      <c r="J74" s="372"/>
      <c r="K74" s="374"/>
      <c r="L74" s="374"/>
      <c r="M74" s="374"/>
      <c r="N74" s="372"/>
      <c r="O74" s="372"/>
      <c r="P74" s="372"/>
      <c r="Q74" s="372"/>
      <c r="R74" s="372"/>
      <c r="S74" s="372"/>
      <c r="T74" s="372"/>
      <c r="U74" s="372"/>
      <c r="V74" s="372"/>
      <c r="W74" s="372"/>
      <c r="X74" s="372"/>
      <c r="Y74" s="372"/>
      <c r="Z74" s="372"/>
      <c r="AA74" s="372"/>
      <c r="AB74" s="372"/>
      <c r="AC74" s="372"/>
      <c r="AD74" s="29"/>
      <c r="AE74" s="29"/>
      <c r="AF74" s="11">
        <f t="shared" si="16"/>
        <v>0</v>
      </c>
      <c r="AG74" s="11">
        <f t="shared" si="17"/>
        <v>0</v>
      </c>
      <c r="AH74" s="11">
        <f t="shared" si="18"/>
        <v>0</v>
      </c>
    </row>
    <row r="75" spans="1:124" ht="15.75" hidden="1" customHeight="1">
      <c r="A75" s="14" t="s">
        <v>68</v>
      </c>
      <c r="B75" s="9"/>
      <c r="C75" s="15">
        <v>0.85</v>
      </c>
      <c r="D75" s="15"/>
      <c r="E75" s="15"/>
      <c r="F75" s="372"/>
      <c r="G75" s="372"/>
      <c r="H75" s="372"/>
      <c r="I75" s="372"/>
      <c r="J75" s="372"/>
      <c r="K75" s="374"/>
      <c r="L75" s="374"/>
      <c r="M75" s="374"/>
      <c r="N75" s="372"/>
      <c r="O75" s="372"/>
      <c r="P75" s="372"/>
      <c r="Q75" s="372"/>
      <c r="R75" s="372"/>
      <c r="S75" s="372"/>
      <c r="T75" s="372"/>
      <c r="U75" s="372"/>
      <c r="V75" s="372"/>
      <c r="W75" s="372"/>
      <c r="X75" s="372"/>
      <c r="Y75" s="372"/>
      <c r="Z75" s="372"/>
      <c r="AA75" s="372"/>
      <c r="AB75" s="372"/>
      <c r="AC75" s="372"/>
      <c r="AD75" s="31"/>
      <c r="AE75" s="31"/>
      <c r="AF75" s="11">
        <f t="shared" si="16"/>
        <v>0</v>
      </c>
      <c r="AG75" s="11">
        <f t="shared" si="17"/>
        <v>0</v>
      </c>
      <c r="AH75" s="11">
        <f t="shared" si="18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19">SUM(F67:F75)</f>
        <v>0</v>
      </c>
      <c r="G76" s="19">
        <f t="shared" si="19"/>
        <v>0</v>
      </c>
      <c r="H76" s="19">
        <f t="shared" si="19"/>
        <v>0</v>
      </c>
      <c r="I76" s="19">
        <f t="shared" si="19"/>
        <v>0</v>
      </c>
      <c r="J76" s="19">
        <f t="shared" si="19"/>
        <v>0</v>
      </c>
      <c r="K76" s="19">
        <f t="shared" si="19"/>
        <v>0</v>
      </c>
      <c r="L76" s="19">
        <f>SUM(L67:L75)</f>
        <v>0</v>
      </c>
      <c r="M76" s="19">
        <f t="shared" si="19"/>
        <v>0</v>
      </c>
      <c r="N76" s="19">
        <f t="shared" si="19"/>
        <v>0</v>
      </c>
      <c r="O76" s="19">
        <f t="shared" si="19"/>
        <v>0</v>
      </c>
      <c r="P76" s="19">
        <f t="shared" si="19"/>
        <v>0</v>
      </c>
      <c r="Q76" s="19">
        <f>SUM(Q67:Q75)</f>
        <v>0</v>
      </c>
      <c r="R76" s="19">
        <f t="shared" si="19"/>
        <v>0</v>
      </c>
      <c r="S76" s="19">
        <f t="shared" si="19"/>
        <v>0</v>
      </c>
      <c r="T76" s="19">
        <f t="shared" si="19"/>
        <v>0</v>
      </c>
      <c r="U76" s="19">
        <f t="shared" si="19"/>
        <v>0</v>
      </c>
      <c r="V76" s="19">
        <f t="shared" si="19"/>
        <v>0</v>
      </c>
      <c r="W76" s="19">
        <f t="shared" si="19"/>
        <v>0</v>
      </c>
      <c r="X76" s="19">
        <f t="shared" si="19"/>
        <v>0</v>
      </c>
      <c r="Y76" s="19">
        <f t="shared" si="19"/>
        <v>0</v>
      </c>
      <c r="Z76" s="19">
        <f t="shared" si="19"/>
        <v>0</v>
      </c>
      <c r="AA76" s="19">
        <f t="shared" si="19"/>
        <v>0</v>
      </c>
      <c r="AB76" s="19">
        <f t="shared" si="19"/>
        <v>0</v>
      </c>
      <c r="AC76" s="19">
        <f t="shared" si="19"/>
        <v>0</v>
      </c>
      <c r="AD76" s="34"/>
      <c r="AE76" s="34"/>
      <c r="AF76" s="11"/>
      <c r="AG76" s="11"/>
      <c r="AH76" s="11"/>
    </row>
    <row r="77" spans="1:124">
      <c r="A77" s="12" t="s">
        <v>69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 t="s">
        <v>21</v>
      </c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19.86</v>
      </c>
    </row>
    <row r="78" spans="1:124">
      <c r="A78" s="14" t="s">
        <v>70</v>
      </c>
      <c r="B78" s="20"/>
      <c r="C78" s="15">
        <v>1</v>
      </c>
      <c r="D78" s="15"/>
      <c r="E78" s="15"/>
      <c r="F78" s="372"/>
      <c r="G78" s="372"/>
      <c r="H78" s="372"/>
      <c r="I78" s="372"/>
      <c r="J78" s="372"/>
      <c r="K78" s="374"/>
      <c r="L78" s="374"/>
      <c r="M78" s="374">
        <v>0.73</v>
      </c>
      <c r="N78" s="372">
        <v>0.74</v>
      </c>
      <c r="O78" s="372">
        <v>0.79</v>
      </c>
      <c r="P78" s="372">
        <v>0.83</v>
      </c>
      <c r="Q78" s="372">
        <v>0.86</v>
      </c>
      <c r="R78" s="372">
        <v>0.9</v>
      </c>
      <c r="S78" s="372">
        <v>0.9</v>
      </c>
      <c r="T78" s="372">
        <v>0.91</v>
      </c>
      <c r="U78" s="372">
        <v>0.87</v>
      </c>
      <c r="V78" s="372">
        <v>0.89</v>
      </c>
      <c r="W78" s="372">
        <v>0.86</v>
      </c>
      <c r="X78" s="372">
        <v>0.87</v>
      </c>
      <c r="Y78" s="372"/>
      <c r="Z78" s="372"/>
      <c r="AA78" s="372"/>
      <c r="AB78" s="372"/>
      <c r="AC78" s="372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71</v>
      </c>
      <c r="B79" s="20"/>
      <c r="C79" s="15">
        <v>1</v>
      </c>
      <c r="D79" s="15"/>
      <c r="E79" s="15"/>
      <c r="F79" s="372">
        <v>0.77</v>
      </c>
      <c r="G79" s="372">
        <v>0.75</v>
      </c>
      <c r="H79" s="372">
        <v>0.73</v>
      </c>
      <c r="I79" s="372">
        <v>0.7</v>
      </c>
      <c r="J79" s="372">
        <v>0.7</v>
      </c>
      <c r="K79" s="374">
        <v>0.72</v>
      </c>
      <c r="L79" s="374">
        <v>0.73</v>
      </c>
      <c r="M79" s="374"/>
      <c r="N79" s="374"/>
      <c r="O79" s="374"/>
      <c r="P79" s="374"/>
      <c r="Q79" s="374"/>
      <c r="R79" s="374"/>
      <c r="S79" s="374"/>
      <c r="T79" s="374"/>
      <c r="U79" s="374"/>
      <c r="V79" s="374"/>
      <c r="W79" s="374"/>
      <c r="X79" s="374"/>
      <c r="Y79" s="372">
        <v>0.97</v>
      </c>
      <c r="Z79" s="372">
        <v>0.89</v>
      </c>
      <c r="AA79" s="372">
        <v>0.94</v>
      </c>
      <c r="AB79" s="372">
        <v>0.93</v>
      </c>
      <c r="AC79" s="372">
        <v>0.88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>SUM(F78:F79)</f>
        <v>0.77</v>
      </c>
      <c r="G80" s="19">
        <f t="shared" ref="G80" si="20">SUM(G78:G79)</f>
        <v>0.75</v>
      </c>
      <c r="H80" s="19">
        <f>SUM(H78:H79)</f>
        <v>0.73</v>
      </c>
      <c r="I80" s="19">
        <f>SUM(I78:I79)</f>
        <v>0.7</v>
      </c>
      <c r="J80" s="19">
        <f t="shared" ref="J80:AC80" si="21">SUM(J78:J79)</f>
        <v>0.7</v>
      </c>
      <c r="K80" s="19">
        <f t="shared" si="21"/>
        <v>0.72</v>
      </c>
      <c r="L80" s="19">
        <f>SUM(L78:L79)</f>
        <v>0.73</v>
      </c>
      <c r="M80" s="19">
        <f t="shared" si="21"/>
        <v>0.73</v>
      </c>
      <c r="N80" s="19">
        <f t="shared" si="21"/>
        <v>0.74</v>
      </c>
      <c r="O80" s="19">
        <f>SUM(O78:O79)</f>
        <v>0.79</v>
      </c>
      <c r="P80" s="19">
        <f t="shared" si="21"/>
        <v>0.83</v>
      </c>
      <c r="Q80" s="19">
        <f t="shared" si="21"/>
        <v>0.86</v>
      </c>
      <c r="R80" s="19">
        <f t="shared" si="21"/>
        <v>0.9</v>
      </c>
      <c r="S80" s="19">
        <f t="shared" si="21"/>
        <v>0.9</v>
      </c>
      <c r="T80" s="19">
        <f t="shared" si="21"/>
        <v>0.91</v>
      </c>
      <c r="U80" s="19">
        <f t="shared" si="21"/>
        <v>0.87</v>
      </c>
      <c r="V80" s="19">
        <f t="shared" si="21"/>
        <v>0.89</v>
      </c>
      <c r="W80" s="19">
        <f t="shared" si="21"/>
        <v>0.86</v>
      </c>
      <c r="X80" s="19">
        <f t="shared" si="21"/>
        <v>0.87</v>
      </c>
      <c r="Y80" s="19">
        <f t="shared" si="21"/>
        <v>0.97</v>
      </c>
      <c r="Z80" s="19">
        <f t="shared" si="21"/>
        <v>0.89</v>
      </c>
      <c r="AA80" s="19">
        <f t="shared" si="21"/>
        <v>0.94</v>
      </c>
      <c r="AB80" s="19">
        <f t="shared" si="21"/>
        <v>0.93</v>
      </c>
      <c r="AC80" s="19">
        <f t="shared" si="21"/>
        <v>0.88</v>
      </c>
      <c r="AD80" s="34"/>
      <c r="AE80" s="34"/>
      <c r="AF80" s="11"/>
      <c r="AG80" s="11"/>
      <c r="AH80" s="11"/>
    </row>
    <row r="81" spans="1:40" ht="17.45" hidden="1">
      <c r="A81" s="366" t="s">
        <v>72</v>
      </c>
      <c r="B81" s="365"/>
      <c r="C81" s="367">
        <v>2</v>
      </c>
      <c r="D81" s="363"/>
      <c r="E81" s="363"/>
      <c r="F81" s="364"/>
      <c r="G81" s="364"/>
      <c r="H81" s="364"/>
      <c r="I81" s="364"/>
      <c r="J81" s="364"/>
      <c r="K81" s="364"/>
      <c r="L81" s="364"/>
      <c r="M81" s="364"/>
      <c r="N81" s="364"/>
      <c r="O81" s="364"/>
      <c r="P81" s="364"/>
      <c r="Q81" s="364"/>
      <c r="R81" s="364"/>
      <c r="S81" s="364"/>
      <c r="T81" s="364"/>
      <c r="U81" s="364"/>
      <c r="V81" s="364"/>
      <c r="W81" s="364"/>
      <c r="X81" s="364"/>
      <c r="Y81" s="364"/>
      <c r="Z81" s="364"/>
      <c r="AA81" s="364"/>
      <c r="AB81" s="364"/>
      <c r="AC81" s="364"/>
    </row>
    <row r="82" spans="1:40" ht="17.45" hidden="1">
      <c r="A82" s="368"/>
      <c r="B82" s="369"/>
      <c r="C82" s="370"/>
      <c r="D82" s="371"/>
      <c r="E82" s="371"/>
      <c r="F82" s="372"/>
      <c r="G82" s="372"/>
      <c r="H82" s="372"/>
      <c r="I82" s="372"/>
      <c r="J82" s="372"/>
      <c r="K82" s="374"/>
      <c r="L82" s="374"/>
      <c r="M82" s="374"/>
      <c r="N82" s="372"/>
      <c r="O82" s="372"/>
      <c r="P82" s="372"/>
      <c r="Q82" s="372"/>
      <c r="R82" s="372"/>
      <c r="S82" s="372"/>
      <c r="T82" s="372"/>
      <c r="U82" s="372"/>
      <c r="V82" s="372"/>
      <c r="W82" s="372"/>
      <c r="X82" s="372"/>
      <c r="Y82" s="372"/>
      <c r="Z82" s="372"/>
      <c r="AA82" s="372"/>
      <c r="AB82" s="372"/>
      <c r="AC82" s="372"/>
    </row>
    <row r="83" spans="1:40">
      <c r="A83" s="21" t="s">
        <v>73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:AC83" si="22">SUM(F17,F22,F25,F31,F34,F60,F65,F76,F80,F82)</f>
        <v>47.150000000000006</v>
      </c>
      <c r="G83" s="28">
        <f t="shared" si="22"/>
        <v>44.09</v>
      </c>
      <c r="H83" s="28">
        <f t="shared" si="22"/>
        <v>41.61</v>
      </c>
      <c r="I83" s="28">
        <f t="shared" si="22"/>
        <v>40.290000000000006</v>
      </c>
      <c r="J83" s="28">
        <f t="shared" si="22"/>
        <v>39.65</v>
      </c>
      <c r="K83" s="28">
        <f t="shared" si="22"/>
        <v>40.589999999999996</v>
      </c>
      <c r="L83" s="28">
        <f t="shared" si="22"/>
        <v>42.269999999999996</v>
      </c>
      <c r="M83" s="28">
        <f t="shared" si="22"/>
        <v>42.96</v>
      </c>
      <c r="N83" s="28">
        <f>SUM(N17,N22,N25,N31,N34,N60,N65,N76,N80,N82)</f>
        <v>49.5</v>
      </c>
      <c r="O83" s="28">
        <f>SUM(O17,O22,O25,O31,O34,O60,O65,O76,O80,O82)</f>
        <v>59.220000000000006</v>
      </c>
      <c r="P83" s="28">
        <f t="shared" si="22"/>
        <v>63.61</v>
      </c>
      <c r="Q83" s="28">
        <f t="shared" si="22"/>
        <v>65.64</v>
      </c>
      <c r="R83" s="28">
        <f t="shared" si="22"/>
        <v>66.31</v>
      </c>
      <c r="S83" s="28">
        <f t="shared" si="22"/>
        <v>67.309999999999988</v>
      </c>
      <c r="T83" s="28">
        <f t="shared" si="22"/>
        <v>68.77</v>
      </c>
      <c r="U83" s="28">
        <f>SUM(U17,U22,U25,U31,U34,U60,U65,U76,U80,U82)</f>
        <v>68.150000000000006</v>
      </c>
      <c r="V83" s="28">
        <f t="shared" si="22"/>
        <v>67.63000000000001</v>
      </c>
      <c r="W83" s="28">
        <f t="shared" si="22"/>
        <v>63.390000000000008</v>
      </c>
      <c r="X83" s="28">
        <f t="shared" si="22"/>
        <v>59.41</v>
      </c>
      <c r="Y83" s="28">
        <f t="shared" si="22"/>
        <v>63.69</v>
      </c>
      <c r="Z83" s="28">
        <f t="shared" si="22"/>
        <v>58.540000000000006</v>
      </c>
      <c r="AA83" s="28">
        <f t="shared" si="22"/>
        <v>58.959999999999994</v>
      </c>
      <c r="AB83" s="28">
        <f t="shared" si="22"/>
        <v>55.350000000000009</v>
      </c>
      <c r="AC83" s="28">
        <f t="shared" si="22"/>
        <v>52.010000000000012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25" t="s">
        <v>74</v>
      </c>
      <c r="B85" s="525"/>
      <c r="C85" s="525"/>
      <c r="D85" s="525"/>
      <c r="E85" s="525"/>
      <c r="F85" s="525"/>
      <c r="G85" s="525"/>
      <c r="H85" s="525"/>
      <c r="I85" s="525"/>
      <c r="J85" s="525"/>
      <c r="K85" s="525"/>
      <c r="L85" s="525"/>
      <c r="M85" s="525"/>
      <c r="N85" s="525"/>
      <c r="O85" s="525"/>
      <c r="P85" s="525"/>
      <c r="Q85" s="525"/>
      <c r="R85" s="525"/>
      <c r="S85" s="525"/>
      <c r="T85" s="525"/>
      <c r="U85" s="525"/>
      <c r="V85" s="525"/>
      <c r="W85" s="525"/>
      <c r="X85" s="525"/>
      <c r="Y85" s="525"/>
      <c r="Z85" s="525"/>
      <c r="AA85" s="525"/>
      <c r="AB85" s="525"/>
      <c r="AC85" s="525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</row>
    <row r="87" spans="1:40" ht="17.45">
      <c r="A87" s="500" t="s">
        <v>75</v>
      </c>
      <c r="B87" s="501"/>
      <c r="C87" s="502"/>
      <c r="D87" s="49"/>
      <c r="E87" s="49"/>
      <c r="F87" s="506" t="s">
        <v>76</v>
      </c>
      <c r="G87" s="506"/>
      <c r="H87" s="506"/>
      <c r="I87" s="506"/>
      <c r="J87" s="506"/>
      <c r="K87" s="506"/>
      <c r="L87" s="506"/>
      <c r="M87" s="506"/>
      <c r="N87" s="506"/>
      <c r="O87" s="506"/>
      <c r="P87" s="506"/>
      <c r="Q87" s="506"/>
      <c r="R87" s="506"/>
      <c r="S87" s="506"/>
      <c r="T87" s="506"/>
      <c r="U87" s="506"/>
      <c r="V87" s="506"/>
      <c r="W87" s="506"/>
      <c r="X87" s="506"/>
      <c r="Y87" s="506"/>
      <c r="Z87" s="506"/>
      <c r="AA87" s="506"/>
      <c r="AB87" s="506"/>
      <c r="AC87" s="506"/>
      <c r="AD87" s="5"/>
      <c r="AE87" s="5"/>
      <c r="AF87" s="5"/>
      <c r="AG87" s="5"/>
      <c r="AH87" s="5"/>
    </row>
    <row r="88" spans="1:40" ht="15.6" customHeight="1">
      <c r="A88" s="503"/>
      <c r="B88" s="504"/>
      <c r="C88" s="505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07" t="s">
        <v>27</v>
      </c>
      <c r="B89" s="508"/>
      <c r="C89" s="509"/>
      <c r="D89" s="45"/>
      <c r="E89" s="45"/>
      <c r="F89" s="64">
        <f t="shared" ref="F89:AC89" si="23">SUM(F22,F25)</f>
        <v>10.1</v>
      </c>
      <c r="G89" s="64">
        <f t="shared" si="23"/>
        <v>10.1</v>
      </c>
      <c r="H89" s="64">
        <f t="shared" si="23"/>
        <v>10.1</v>
      </c>
      <c r="I89" s="64">
        <f t="shared" si="23"/>
        <v>10</v>
      </c>
      <c r="J89" s="64">
        <f t="shared" si="23"/>
        <v>10</v>
      </c>
      <c r="K89" s="64">
        <f t="shared" si="23"/>
        <v>6.6</v>
      </c>
      <c r="L89" s="64">
        <f t="shared" si="23"/>
        <v>3</v>
      </c>
      <c r="M89" s="64">
        <f t="shared" si="23"/>
        <v>3</v>
      </c>
      <c r="N89" s="64">
        <f t="shared" si="23"/>
        <v>7.5</v>
      </c>
      <c r="O89" s="64">
        <f t="shared" si="23"/>
        <v>10.399999999999999</v>
      </c>
      <c r="P89" s="64">
        <f t="shared" si="23"/>
        <v>10.399999999999999</v>
      </c>
      <c r="Q89" s="64">
        <f t="shared" si="23"/>
        <v>10.399999999999999</v>
      </c>
      <c r="R89" s="64">
        <f t="shared" si="23"/>
        <v>10.399999999999999</v>
      </c>
      <c r="S89" s="64">
        <f t="shared" si="23"/>
        <v>10.399999999999999</v>
      </c>
      <c r="T89" s="64">
        <f t="shared" si="23"/>
        <v>10.399999999999999</v>
      </c>
      <c r="U89" s="64">
        <f t="shared" si="23"/>
        <v>10.399999999999999</v>
      </c>
      <c r="V89" s="64">
        <f t="shared" si="23"/>
        <v>10.399999999999999</v>
      </c>
      <c r="W89" s="64">
        <f t="shared" si="23"/>
        <v>9.8999999999999986</v>
      </c>
      <c r="X89" s="64">
        <f t="shared" si="23"/>
        <v>8.8999999999999986</v>
      </c>
      <c r="Y89" s="64">
        <f t="shared" si="23"/>
        <v>10.399999999999999</v>
      </c>
      <c r="Z89" s="64">
        <f t="shared" si="23"/>
        <v>8</v>
      </c>
      <c r="AA89" s="64">
        <f t="shared" si="23"/>
        <v>10.399999999999999</v>
      </c>
      <c r="AB89" s="64">
        <f t="shared" si="23"/>
        <v>10.399999999999999</v>
      </c>
      <c r="AC89" s="64">
        <f t="shared" si="23"/>
        <v>7.3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521" t="s">
        <v>77</v>
      </c>
      <c r="B90" s="521"/>
      <c r="C90" s="522"/>
      <c r="D90" s="45"/>
      <c r="E90" s="45"/>
      <c r="F90" s="68">
        <v>0.27300000000000002</v>
      </c>
      <c r="G90" s="68">
        <v>0.214</v>
      </c>
      <c r="H90" s="68">
        <v>0.24299999999999999</v>
      </c>
      <c r="I90" s="68">
        <v>0.20699999999999999</v>
      </c>
      <c r="J90" s="68">
        <v>0.157</v>
      </c>
      <c r="K90" s="68">
        <v>0.20799999999999999</v>
      </c>
      <c r="L90" s="68">
        <v>0.16800000000000001</v>
      </c>
      <c r="M90" s="68">
        <v>0.20300000000000001</v>
      </c>
      <c r="N90" s="68">
        <v>0.255</v>
      </c>
      <c r="O90" s="68">
        <v>0.22</v>
      </c>
      <c r="P90" s="68">
        <v>0.26200000000000001</v>
      </c>
      <c r="Q90" s="68">
        <v>0.255</v>
      </c>
      <c r="R90" s="68">
        <v>0.252</v>
      </c>
      <c r="S90" s="68">
        <v>0.223</v>
      </c>
      <c r="T90" s="68">
        <v>0.25</v>
      </c>
      <c r="U90" s="68">
        <v>0.23799999999999999</v>
      </c>
      <c r="V90" s="68">
        <v>0.25700000000000001</v>
      </c>
      <c r="W90" s="68">
        <v>0.216</v>
      </c>
      <c r="X90" s="68">
        <v>0.184</v>
      </c>
      <c r="Y90" s="68">
        <v>0.24099999999999999</v>
      </c>
      <c r="Z90" s="68">
        <v>0.22600000000000001</v>
      </c>
      <c r="AA90" s="68">
        <v>0.182</v>
      </c>
      <c r="AB90" s="68">
        <v>0.26200000000000001</v>
      </c>
      <c r="AC90" s="68">
        <v>0.84399999999999997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07" t="s">
        <v>78</v>
      </c>
      <c r="B91" s="508"/>
      <c r="C91" s="509"/>
      <c r="D91" s="45"/>
      <c r="E91" s="45"/>
      <c r="F91" s="64">
        <f t="shared" ref="F91:AC91" si="24">F17</f>
        <v>13.4</v>
      </c>
      <c r="G91" s="64">
        <f t="shared" si="24"/>
        <v>13.2</v>
      </c>
      <c r="H91" s="64">
        <f t="shared" si="24"/>
        <v>13</v>
      </c>
      <c r="I91" s="64">
        <f t="shared" si="24"/>
        <v>0</v>
      </c>
      <c r="J91" s="64">
        <f t="shared" si="24"/>
        <v>1.5</v>
      </c>
      <c r="K91" s="64">
        <f t="shared" si="24"/>
        <v>13.6</v>
      </c>
      <c r="L91" s="64">
        <f t="shared" si="24"/>
        <v>18.8</v>
      </c>
      <c r="M91" s="64">
        <f t="shared" si="24"/>
        <v>20.100000000000001</v>
      </c>
      <c r="N91" s="64">
        <f t="shared" si="24"/>
        <v>20.399999999999999</v>
      </c>
      <c r="O91" s="64">
        <f t="shared" si="24"/>
        <v>20.399999999999999</v>
      </c>
      <c r="P91" s="64">
        <f t="shared" si="24"/>
        <v>23.6</v>
      </c>
      <c r="Q91" s="64">
        <f t="shared" si="24"/>
        <v>27.2</v>
      </c>
      <c r="R91" s="64">
        <f t="shared" si="24"/>
        <v>26.4</v>
      </c>
      <c r="S91" s="64">
        <f t="shared" si="24"/>
        <v>27.2</v>
      </c>
      <c r="T91" s="64">
        <f t="shared" si="24"/>
        <v>26.8</v>
      </c>
      <c r="U91" s="64">
        <f t="shared" si="24"/>
        <v>26.4</v>
      </c>
      <c r="V91" s="64">
        <f t="shared" si="24"/>
        <v>26.4</v>
      </c>
      <c r="W91" s="64">
        <f t="shared" si="24"/>
        <v>25.6</v>
      </c>
      <c r="X91" s="64">
        <f t="shared" si="24"/>
        <v>26</v>
      </c>
      <c r="Y91" s="64">
        <f t="shared" si="24"/>
        <v>25.6</v>
      </c>
      <c r="Z91" s="64">
        <f t="shared" si="24"/>
        <v>25.700000000000003</v>
      </c>
      <c r="AA91" s="64">
        <f t="shared" si="24"/>
        <v>19.600000000000001</v>
      </c>
      <c r="AB91" s="64">
        <f t="shared" si="24"/>
        <v>19.5</v>
      </c>
      <c r="AC91" s="64">
        <f t="shared" si="24"/>
        <v>20.100000000000001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21" t="s">
        <v>79</v>
      </c>
      <c r="B92" s="521"/>
      <c r="C92" s="522"/>
      <c r="D92" s="45"/>
      <c r="E92" s="45"/>
      <c r="F92" s="68">
        <v>0.7</v>
      </c>
      <c r="G92" s="68">
        <v>0.58099999999999996</v>
      </c>
      <c r="H92" s="68">
        <v>0.57299999999999995</v>
      </c>
      <c r="I92" s="68" t="s">
        <v>1</v>
      </c>
      <c r="J92" s="68">
        <v>0.53700000000000003</v>
      </c>
      <c r="K92" s="68">
        <v>0.752</v>
      </c>
      <c r="L92" s="68">
        <v>0.85099999999999998</v>
      </c>
      <c r="M92" s="68">
        <v>0.68500000000000005</v>
      </c>
      <c r="N92" s="68">
        <v>0.67600000000000005</v>
      </c>
      <c r="O92" s="68">
        <v>0.95299999999999996</v>
      </c>
      <c r="P92" s="68">
        <v>0.92500000000000004</v>
      </c>
      <c r="Q92" s="68">
        <v>0.73599999999999999</v>
      </c>
      <c r="R92" s="68">
        <v>0.71099999999999997</v>
      </c>
      <c r="S92" s="68">
        <v>0.98</v>
      </c>
      <c r="T92" s="68">
        <v>0.95499999999999996</v>
      </c>
      <c r="U92" s="68">
        <v>0.97799999999999998</v>
      </c>
      <c r="V92" s="68">
        <v>0.752</v>
      </c>
      <c r="W92" s="68">
        <v>0.71699999999999997</v>
      </c>
      <c r="X92" s="68">
        <v>0.94299999999999995</v>
      </c>
      <c r="Y92" s="68">
        <v>0.98799999999999999</v>
      </c>
      <c r="Z92" s="68">
        <v>0.99199999999999999</v>
      </c>
      <c r="AA92" s="68">
        <v>0.89200000000000002</v>
      </c>
      <c r="AB92" s="68">
        <v>0.71199999999999997</v>
      </c>
      <c r="AC92" s="68">
        <v>0.21299999999999999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07" t="s">
        <v>29</v>
      </c>
      <c r="B93" s="508"/>
      <c r="C93" s="509"/>
      <c r="D93" s="45"/>
      <c r="E93" s="45"/>
      <c r="F93" s="65">
        <f t="shared" ref="F93:AC93" si="25">F31</f>
        <v>6.9</v>
      </c>
      <c r="G93" s="65">
        <f t="shared" si="25"/>
        <v>4.8</v>
      </c>
      <c r="H93" s="65">
        <f t="shared" si="25"/>
        <v>2.6</v>
      </c>
      <c r="I93" s="65">
        <f t="shared" si="25"/>
        <v>10.199999999999999</v>
      </c>
      <c r="J93" s="65">
        <f t="shared" si="25"/>
        <v>8.8999999999999986</v>
      </c>
      <c r="K93" s="65">
        <f t="shared" si="25"/>
        <v>4.5</v>
      </c>
      <c r="L93" s="65">
        <f t="shared" si="25"/>
        <v>4.2</v>
      </c>
      <c r="M93" s="65">
        <f t="shared" si="25"/>
        <v>3.5</v>
      </c>
      <c r="N93" s="65">
        <f t="shared" si="25"/>
        <v>4</v>
      </c>
      <c r="O93" s="65">
        <f t="shared" si="25"/>
        <v>9.8999999999999986</v>
      </c>
      <c r="P93" s="65">
        <f t="shared" si="25"/>
        <v>10.93</v>
      </c>
      <c r="Q93" s="65">
        <f t="shared" si="25"/>
        <v>10.7</v>
      </c>
      <c r="R93" s="65">
        <f t="shared" si="25"/>
        <v>10.71</v>
      </c>
      <c r="S93" s="65">
        <f t="shared" si="25"/>
        <v>10.9</v>
      </c>
      <c r="T93" s="65">
        <f>T31</f>
        <v>11.3</v>
      </c>
      <c r="U93" s="65">
        <f t="shared" si="25"/>
        <v>11.219999999999999</v>
      </c>
      <c r="V93" s="65">
        <f t="shared" si="25"/>
        <v>11.4</v>
      </c>
      <c r="W93" s="65">
        <f t="shared" si="25"/>
        <v>10.7</v>
      </c>
      <c r="X93" s="65">
        <f t="shared" si="25"/>
        <v>7.4</v>
      </c>
      <c r="Y93" s="65">
        <f t="shared" si="25"/>
        <v>10.3</v>
      </c>
      <c r="Z93" s="65">
        <f t="shared" si="25"/>
        <v>7.5</v>
      </c>
      <c r="AA93" s="65">
        <f t="shared" si="25"/>
        <v>11</v>
      </c>
      <c r="AB93" s="65">
        <f t="shared" si="25"/>
        <v>8.4</v>
      </c>
      <c r="AC93" s="65">
        <f t="shared" si="25"/>
        <v>8.4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21" t="s">
        <v>102</v>
      </c>
      <c r="B94" s="521"/>
      <c r="C94" s="522"/>
      <c r="D94" s="45"/>
      <c r="E94" s="45"/>
      <c r="F94" s="68" t="s">
        <v>1</v>
      </c>
      <c r="G94" s="68"/>
      <c r="H94" s="68"/>
      <c r="I94" s="68">
        <v>0.14599999999999999</v>
      </c>
      <c r="J94" s="68">
        <v>0.14299999999999999</v>
      </c>
      <c r="K94" s="68">
        <v>0.14299999999999999</v>
      </c>
      <c r="L94" s="68">
        <v>0.16700000000000001</v>
      </c>
      <c r="M94" s="68">
        <v>0.17799999999999999</v>
      </c>
      <c r="N94" s="68">
        <v>0.158</v>
      </c>
      <c r="O94" s="68">
        <v>0.16800000000000001</v>
      </c>
      <c r="P94" s="68">
        <v>0.17899999999999999</v>
      </c>
      <c r="Q94" s="68">
        <v>0.17699999999999999</v>
      </c>
      <c r="R94" s="68">
        <v>0.19</v>
      </c>
      <c r="S94" s="68">
        <v>0.20499999999999999</v>
      </c>
      <c r="T94" s="68">
        <v>0.189</v>
      </c>
      <c r="U94" s="68">
        <v>0.187</v>
      </c>
      <c r="V94" s="68">
        <v>0.19900000000000001</v>
      </c>
      <c r="W94" s="68">
        <v>0.189</v>
      </c>
      <c r="X94" s="68">
        <v>0.248</v>
      </c>
      <c r="Y94" s="68">
        <v>0.25</v>
      </c>
      <c r="Z94" s="68">
        <v>0.22600000000000001</v>
      </c>
      <c r="AA94" s="68">
        <v>0.23499999999999999</v>
      </c>
      <c r="AB94" s="68">
        <v>0.252</v>
      </c>
      <c r="AC94" s="68">
        <v>0.26200000000000001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21" t="s">
        <v>104</v>
      </c>
      <c r="B95" s="521"/>
      <c r="C95" s="522"/>
      <c r="D95" s="45"/>
      <c r="E95" s="45"/>
      <c r="F95" s="68">
        <v>0.20599999999999999</v>
      </c>
      <c r="G95" s="68">
        <v>0.2069</v>
      </c>
      <c r="H95" s="68">
        <v>0.2087</v>
      </c>
      <c r="I95" s="68">
        <v>0.20599999999999999</v>
      </c>
      <c r="J95" s="68">
        <v>0.20599999999999999</v>
      </c>
      <c r="K95" s="68" t="s">
        <v>1</v>
      </c>
      <c r="L95" s="68" t="s">
        <v>1</v>
      </c>
      <c r="M95" s="68" t="s">
        <v>1</v>
      </c>
      <c r="N95" s="68" t="s">
        <v>1</v>
      </c>
      <c r="O95" s="68">
        <v>0.1522</v>
      </c>
      <c r="P95" s="68">
        <v>0.18840000000000001</v>
      </c>
      <c r="Q95" s="68">
        <v>0.30199999999999999</v>
      </c>
      <c r="R95" s="68">
        <v>0.2034</v>
      </c>
      <c r="S95" s="68">
        <v>0.20399999999999999</v>
      </c>
      <c r="T95" s="68">
        <v>0.2011</v>
      </c>
      <c r="U95" s="68">
        <v>0.1983</v>
      </c>
      <c r="V95" s="68">
        <v>0.21820000000000001</v>
      </c>
      <c r="W95" s="68">
        <v>0.2</v>
      </c>
      <c r="X95" s="68">
        <v>0.19239999999999999</v>
      </c>
      <c r="Y95" s="68">
        <v>0.21</v>
      </c>
      <c r="Z95" s="68">
        <v>0.2</v>
      </c>
      <c r="AA95" s="68">
        <v>0.253</v>
      </c>
      <c r="AB95" s="68">
        <v>0.21199999999999999</v>
      </c>
      <c r="AC95" s="68" t="s">
        <v>1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07" t="s">
        <v>32</v>
      </c>
      <c r="B96" s="508"/>
      <c r="C96" s="509"/>
      <c r="D96" s="45"/>
      <c r="E96" s="45"/>
      <c r="F96" s="65">
        <f t="shared" ref="F96:AC96" si="26">F34</f>
        <v>14.24</v>
      </c>
      <c r="G96" s="65">
        <f t="shared" si="26"/>
        <v>14.28</v>
      </c>
      <c r="H96" s="65">
        <f t="shared" si="26"/>
        <v>14.26</v>
      </c>
      <c r="I96" s="65">
        <f t="shared" si="26"/>
        <v>14.3</v>
      </c>
      <c r="J96" s="65">
        <f t="shared" si="26"/>
        <v>14.28</v>
      </c>
      <c r="K96" s="65">
        <f t="shared" si="26"/>
        <v>14.24</v>
      </c>
      <c r="L96" s="65">
        <f t="shared" si="26"/>
        <v>13.77</v>
      </c>
      <c r="M96" s="65">
        <f t="shared" si="26"/>
        <v>13.79</v>
      </c>
      <c r="N96" s="65">
        <f t="shared" si="26"/>
        <v>14.3</v>
      </c>
      <c r="O96" s="65">
        <f t="shared" si="26"/>
        <v>14.28</v>
      </c>
      <c r="P96" s="65">
        <f t="shared" si="26"/>
        <v>14.26</v>
      </c>
      <c r="Q96" s="65">
        <f t="shared" si="26"/>
        <v>14.29</v>
      </c>
      <c r="R96" s="65">
        <f t="shared" si="26"/>
        <v>14.27</v>
      </c>
      <c r="S96" s="65">
        <f t="shared" si="26"/>
        <v>14.29</v>
      </c>
      <c r="T96" s="65">
        <f t="shared" si="26"/>
        <v>14.29</v>
      </c>
      <c r="U96" s="65">
        <f t="shared" si="26"/>
        <v>14.26</v>
      </c>
      <c r="V96" s="65">
        <f t="shared" si="26"/>
        <v>14.27</v>
      </c>
      <c r="W96" s="65">
        <f t="shared" si="26"/>
        <v>14.28</v>
      </c>
      <c r="X96" s="65">
        <f t="shared" si="26"/>
        <v>14.29</v>
      </c>
      <c r="Y96" s="65">
        <f t="shared" si="26"/>
        <v>14.26</v>
      </c>
      <c r="Z96" s="65">
        <f t="shared" si="26"/>
        <v>14.29</v>
      </c>
      <c r="AA96" s="65">
        <f t="shared" si="26"/>
        <v>14.29</v>
      </c>
      <c r="AB96" s="65">
        <f t="shared" si="26"/>
        <v>14.24</v>
      </c>
      <c r="AC96" s="65">
        <f t="shared" si="26"/>
        <v>14.27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21" t="s">
        <v>81</v>
      </c>
      <c r="B97" s="521"/>
      <c r="C97" s="522"/>
      <c r="D97" s="68"/>
      <c r="E97" s="68"/>
      <c r="F97" s="68">
        <v>0.76</v>
      </c>
      <c r="G97" s="68">
        <v>0.72</v>
      </c>
      <c r="H97" s="68">
        <v>0.74</v>
      </c>
      <c r="I97" s="68">
        <v>0.7</v>
      </c>
      <c r="J97" s="68">
        <v>0.72</v>
      </c>
      <c r="K97" s="68">
        <v>0.76</v>
      </c>
      <c r="L97" s="68">
        <v>0.73</v>
      </c>
      <c r="M97" s="68">
        <v>0.71</v>
      </c>
      <c r="N97" s="68">
        <v>0.7</v>
      </c>
      <c r="O97" s="68">
        <v>0.72</v>
      </c>
      <c r="P97" s="68">
        <v>0.79</v>
      </c>
      <c r="Q97" s="68">
        <v>0.71</v>
      </c>
      <c r="R97" s="68">
        <v>0.73</v>
      </c>
      <c r="S97" s="68">
        <v>0.71</v>
      </c>
      <c r="T97" s="68">
        <v>0.71</v>
      </c>
      <c r="U97" s="68">
        <v>0.74</v>
      </c>
      <c r="V97" s="68">
        <v>0.73</v>
      </c>
      <c r="W97" s="68">
        <v>0.72</v>
      </c>
      <c r="X97" s="68">
        <v>0.71</v>
      </c>
      <c r="Y97" s="68">
        <v>0.74</v>
      </c>
      <c r="Z97" s="68">
        <v>0.7</v>
      </c>
      <c r="AA97" s="68">
        <v>0.71</v>
      </c>
      <c r="AB97" s="68">
        <v>0.76</v>
      </c>
      <c r="AC97" s="68">
        <v>0.73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07" t="s">
        <v>33</v>
      </c>
      <c r="B98" s="508"/>
      <c r="C98" s="509"/>
      <c r="D98" s="45"/>
      <c r="E98" s="45"/>
      <c r="F98" s="64">
        <f t="shared" ref="F98:AC98" si="27">F60</f>
        <v>0.7</v>
      </c>
      <c r="G98" s="64">
        <f t="shared" si="27"/>
        <v>0</v>
      </c>
      <c r="H98" s="64">
        <f t="shared" si="27"/>
        <v>0</v>
      </c>
      <c r="I98" s="64">
        <f t="shared" si="27"/>
        <v>4.2</v>
      </c>
      <c r="J98" s="64">
        <f t="shared" si="27"/>
        <v>3.3999999999999995</v>
      </c>
      <c r="K98" s="64">
        <f t="shared" si="27"/>
        <v>0</v>
      </c>
      <c r="L98" s="64">
        <f t="shared" si="27"/>
        <v>0.7</v>
      </c>
      <c r="M98" s="64">
        <f t="shared" si="27"/>
        <v>0.7</v>
      </c>
      <c r="N98" s="64">
        <f t="shared" si="27"/>
        <v>1.4</v>
      </c>
      <c r="O98" s="64">
        <f t="shared" si="27"/>
        <v>2.0999999999999996</v>
      </c>
      <c r="P98" s="64">
        <f t="shared" si="27"/>
        <v>2.2000000000000002</v>
      </c>
      <c r="Q98" s="64">
        <f t="shared" si="27"/>
        <v>0.7</v>
      </c>
      <c r="R98" s="64">
        <f t="shared" si="27"/>
        <v>2.0999999999999996</v>
      </c>
      <c r="S98" s="64">
        <f t="shared" si="27"/>
        <v>2.0999999999999996</v>
      </c>
      <c r="T98" s="64">
        <f t="shared" si="27"/>
        <v>3.55</v>
      </c>
      <c r="U98" s="64">
        <f t="shared" si="27"/>
        <v>3.5199999999999996</v>
      </c>
      <c r="V98" s="64">
        <f t="shared" si="27"/>
        <v>2.9</v>
      </c>
      <c r="W98" s="64">
        <f t="shared" si="27"/>
        <v>0.7</v>
      </c>
      <c r="X98" s="64">
        <f t="shared" si="27"/>
        <v>0.7</v>
      </c>
      <c r="Y98" s="64">
        <f t="shared" si="27"/>
        <v>0.7</v>
      </c>
      <c r="Z98" s="64">
        <f t="shared" si="27"/>
        <v>0.7</v>
      </c>
      <c r="AA98" s="64">
        <f t="shared" si="27"/>
        <v>1.4</v>
      </c>
      <c r="AB98" s="64">
        <f t="shared" si="27"/>
        <v>0.7</v>
      </c>
      <c r="AC98" s="64">
        <f t="shared" si="27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07" t="s">
        <v>55</v>
      </c>
      <c r="B99" s="508"/>
      <c r="C99" s="509"/>
      <c r="D99" s="45"/>
      <c r="E99" s="45"/>
      <c r="F99" s="64">
        <f t="shared" ref="F99:AC99" si="28">F65</f>
        <v>1.04</v>
      </c>
      <c r="G99" s="64">
        <f t="shared" si="28"/>
        <v>0.96</v>
      </c>
      <c r="H99" s="64">
        <f t="shared" si="28"/>
        <v>0.92</v>
      </c>
      <c r="I99" s="64">
        <f t="shared" si="28"/>
        <v>0.89</v>
      </c>
      <c r="J99" s="64">
        <f t="shared" si="28"/>
        <v>0.87</v>
      </c>
      <c r="K99" s="64">
        <f t="shared" si="28"/>
        <v>0.93</v>
      </c>
      <c r="L99" s="64">
        <f t="shared" si="28"/>
        <v>1.07</v>
      </c>
      <c r="M99" s="64">
        <f t="shared" si="28"/>
        <v>1.1399999999999999</v>
      </c>
      <c r="N99" s="64">
        <f t="shared" si="28"/>
        <v>1.1599999999999999</v>
      </c>
      <c r="O99" s="64">
        <f t="shared" si="28"/>
        <v>1.35</v>
      </c>
      <c r="P99" s="64">
        <f t="shared" si="28"/>
        <v>1.39</v>
      </c>
      <c r="Q99" s="64">
        <f t="shared" si="28"/>
        <v>1.49</v>
      </c>
      <c r="R99" s="64">
        <f t="shared" si="28"/>
        <v>1.53</v>
      </c>
      <c r="S99" s="64">
        <f t="shared" si="28"/>
        <v>1.52</v>
      </c>
      <c r="T99" s="64">
        <f t="shared" si="28"/>
        <v>1.52</v>
      </c>
      <c r="U99" s="64">
        <f t="shared" si="28"/>
        <v>1.48</v>
      </c>
      <c r="V99" s="64">
        <f t="shared" si="28"/>
        <v>1.37</v>
      </c>
      <c r="W99" s="64">
        <f t="shared" si="28"/>
        <v>1.35</v>
      </c>
      <c r="X99" s="64">
        <f t="shared" si="28"/>
        <v>1.25</v>
      </c>
      <c r="Y99" s="64">
        <f t="shared" si="28"/>
        <v>1.46</v>
      </c>
      <c r="Z99" s="64">
        <f t="shared" si="28"/>
        <v>1.46</v>
      </c>
      <c r="AA99" s="64">
        <f t="shared" si="28"/>
        <v>1.33</v>
      </c>
      <c r="AB99" s="64">
        <f t="shared" si="28"/>
        <v>1.18</v>
      </c>
      <c r="AC99" s="64">
        <f t="shared" si="28"/>
        <v>1.06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07" t="s">
        <v>59</v>
      </c>
      <c r="B100" s="508"/>
      <c r="C100" s="509"/>
      <c r="D100" s="45"/>
      <c r="E100" s="45"/>
      <c r="F100" s="64">
        <f t="shared" ref="F100:AC100" si="29">F76</f>
        <v>0</v>
      </c>
      <c r="G100" s="64">
        <f t="shared" si="29"/>
        <v>0</v>
      </c>
      <c r="H100" s="64">
        <f t="shared" si="29"/>
        <v>0</v>
      </c>
      <c r="I100" s="64">
        <f t="shared" si="29"/>
        <v>0</v>
      </c>
      <c r="J100" s="64">
        <f t="shared" si="29"/>
        <v>0</v>
      </c>
      <c r="K100" s="64">
        <f t="shared" si="29"/>
        <v>0</v>
      </c>
      <c r="L100" s="64">
        <f t="shared" si="29"/>
        <v>0</v>
      </c>
      <c r="M100" s="64">
        <f t="shared" si="29"/>
        <v>0</v>
      </c>
      <c r="N100" s="64">
        <f t="shared" si="29"/>
        <v>0</v>
      </c>
      <c r="O100" s="64">
        <f t="shared" si="29"/>
        <v>0</v>
      </c>
      <c r="P100" s="64">
        <f t="shared" si="29"/>
        <v>0</v>
      </c>
      <c r="Q100" s="64">
        <f t="shared" si="29"/>
        <v>0</v>
      </c>
      <c r="R100" s="64">
        <f t="shared" si="29"/>
        <v>0</v>
      </c>
      <c r="S100" s="64">
        <f t="shared" si="29"/>
        <v>0</v>
      </c>
      <c r="T100" s="64">
        <f t="shared" si="29"/>
        <v>0</v>
      </c>
      <c r="U100" s="64">
        <f t="shared" si="29"/>
        <v>0</v>
      </c>
      <c r="V100" s="64">
        <f t="shared" si="29"/>
        <v>0</v>
      </c>
      <c r="W100" s="64">
        <f t="shared" si="29"/>
        <v>0</v>
      </c>
      <c r="X100" s="64">
        <f t="shared" si="29"/>
        <v>0</v>
      </c>
      <c r="Y100" s="64">
        <f t="shared" si="29"/>
        <v>0</v>
      </c>
      <c r="Z100" s="64">
        <f t="shared" si="29"/>
        <v>0</v>
      </c>
      <c r="AA100" s="64">
        <f t="shared" si="29"/>
        <v>0</v>
      </c>
      <c r="AB100" s="64">
        <f t="shared" si="29"/>
        <v>0</v>
      </c>
      <c r="AC100" s="64">
        <f t="shared" si="29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07" t="s">
        <v>69</v>
      </c>
      <c r="B101" s="508"/>
      <c r="C101" s="509"/>
      <c r="D101" s="45"/>
      <c r="E101" s="45"/>
      <c r="F101" s="64">
        <f t="shared" ref="F101:AC101" si="30">F80</f>
        <v>0.77</v>
      </c>
      <c r="G101" s="64">
        <f t="shared" si="30"/>
        <v>0.75</v>
      </c>
      <c r="H101" s="64">
        <f t="shared" si="30"/>
        <v>0.73</v>
      </c>
      <c r="I101" s="64">
        <f t="shared" si="30"/>
        <v>0.7</v>
      </c>
      <c r="J101" s="64">
        <f t="shared" si="30"/>
        <v>0.7</v>
      </c>
      <c r="K101" s="64">
        <f t="shared" si="30"/>
        <v>0.72</v>
      </c>
      <c r="L101" s="64">
        <f t="shared" si="30"/>
        <v>0.73</v>
      </c>
      <c r="M101" s="64">
        <f t="shared" si="30"/>
        <v>0.73</v>
      </c>
      <c r="N101" s="64">
        <f t="shared" si="30"/>
        <v>0.74</v>
      </c>
      <c r="O101" s="64">
        <f t="shared" si="30"/>
        <v>0.79</v>
      </c>
      <c r="P101" s="64">
        <f t="shared" si="30"/>
        <v>0.83</v>
      </c>
      <c r="Q101" s="64">
        <f t="shared" si="30"/>
        <v>0.86</v>
      </c>
      <c r="R101" s="64">
        <f t="shared" si="30"/>
        <v>0.9</v>
      </c>
      <c r="S101" s="64">
        <f t="shared" si="30"/>
        <v>0.9</v>
      </c>
      <c r="T101" s="64">
        <f t="shared" si="30"/>
        <v>0.91</v>
      </c>
      <c r="U101" s="64">
        <f t="shared" si="30"/>
        <v>0.87</v>
      </c>
      <c r="V101" s="64">
        <f t="shared" si="30"/>
        <v>0.89</v>
      </c>
      <c r="W101" s="64">
        <f t="shared" si="30"/>
        <v>0.86</v>
      </c>
      <c r="X101" s="64">
        <f t="shared" si="30"/>
        <v>0.87</v>
      </c>
      <c r="Y101" s="64">
        <f t="shared" si="30"/>
        <v>0.97</v>
      </c>
      <c r="Z101" s="64">
        <f t="shared" si="30"/>
        <v>0.89</v>
      </c>
      <c r="AA101" s="64">
        <f t="shared" si="30"/>
        <v>0.94</v>
      </c>
      <c r="AB101" s="64">
        <f t="shared" si="30"/>
        <v>0.93</v>
      </c>
      <c r="AC101" s="64">
        <f t="shared" si="30"/>
        <v>0.88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07" t="s">
        <v>72</v>
      </c>
      <c r="B102" s="508"/>
      <c r="C102" s="509"/>
      <c r="D102" s="45"/>
      <c r="E102" s="45"/>
      <c r="F102" s="64">
        <f t="shared" ref="F102:AC102" si="31">F82</f>
        <v>0</v>
      </c>
      <c r="G102" s="64">
        <f t="shared" si="31"/>
        <v>0</v>
      </c>
      <c r="H102" s="64">
        <f t="shared" si="31"/>
        <v>0</v>
      </c>
      <c r="I102" s="64">
        <f t="shared" si="31"/>
        <v>0</v>
      </c>
      <c r="J102" s="64">
        <f t="shared" si="31"/>
        <v>0</v>
      </c>
      <c r="K102" s="64">
        <f t="shared" si="31"/>
        <v>0</v>
      </c>
      <c r="L102" s="64">
        <f t="shared" si="31"/>
        <v>0</v>
      </c>
      <c r="M102" s="64">
        <f t="shared" si="31"/>
        <v>0</v>
      </c>
      <c r="N102" s="64">
        <f t="shared" si="31"/>
        <v>0</v>
      </c>
      <c r="O102" s="64">
        <f t="shared" si="31"/>
        <v>0</v>
      </c>
      <c r="P102" s="64">
        <f t="shared" si="31"/>
        <v>0</v>
      </c>
      <c r="Q102" s="64">
        <f t="shared" si="31"/>
        <v>0</v>
      </c>
      <c r="R102" s="64">
        <f t="shared" si="31"/>
        <v>0</v>
      </c>
      <c r="S102" s="64">
        <f t="shared" si="31"/>
        <v>0</v>
      </c>
      <c r="T102" s="64">
        <f t="shared" si="31"/>
        <v>0</v>
      </c>
      <c r="U102" s="64">
        <f t="shared" si="31"/>
        <v>0</v>
      </c>
      <c r="V102" s="64">
        <f t="shared" si="31"/>
        <v>0</v>
      </c>
      <c r="W102" s="64">
        <f t="shared" si="31"/>
        <v>0</v>
      </c>
      <c r="X102" s="64">
        <f t="shared" si="31"/>
        <v>0</v>
      </c>
      <c r="Y102" s="64">
        <f t="shared" si="31"/>
        <v>0</v>
      </c>
      <c r="Z102" s="64">
        <f t="shared" si="31"/>
        <v>0</v>
      </c>
      <c r="AA102" s="64">
        <f t="shared" si="31"/>
        <v>0</v>
      </c>
      <c r="AB102" s="64">
        <f t="shared" si="31"/>
        <v>0</v>
      </c>
      <c r="AC102" s="64">
        <f t="shared" si="31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11" t="s">
        <v>82</v>
      </c>
      <c r="B103" s="511"/>
      <c r="C103" s="511"/>
      <c r="D103" s="47"/>
      <c r="E103" s="47"/>
      <c r="F103" s="61">
        <f t="shared" ref="F103:AC103" si="32">SUM(F89,F91,F93,F96,F98:F102,F81)</f>
        <v>47.150000000000006</v>
      </c>
      <c r="G103" s="61">
        <f t="shared" si="32"/>
        <v>44.089999999999996</v>
      </c>
      <c r="H103" s="61">
        <f t="shared" si="32"/>
        <v>41.61</v>
      </c>
      <c r="I103" s="61">
        <f t="shared" si="32"/>
        <v>40.290000000000006</v>
      </c>
      <c r="J103" s="61">
        <f t="shared" si="32"/>
        <v>39.65</v>
      </c>
      <c r="K103" s="61">
        <f t="shared" si="32"/>
        <v>40.589999999999996</v>
      </c>
      <c r="L103" s="61">
        <f t="shared" si="32"/>
        <v>42.269999999999996</v>
      </c>
      <c r="M103" s="61">
        <f t="shared" si="32"/>
        <v>42.96</v>
      </c>
      <c r="N103" s="61">
        <f t="shared" si="32"/>
        <v>49.5</v>
      </c>
      <c r="O103" s="61">
        <f t="shared" si="32"/>
        <v>59.22</v>
      </c>
      <c r="P103" s="61">
        <f t="shared" si="32"/>
        <v>63.61</v>
      </c>
      <c r="Q103" s="61">
        <f t="shared" si="32"/>
        <v>65.64</v>
      </c>
      <c r="R103" s="61">
        <f t="shared" si="32"/>
        <v>66.31</v>
      </c>
      <c r="S103" s="61">
        <f t="shared" si="32"/>
        <v>67.309999999999988</v>
      </c>
      <c r="T103" s="61">
        <f t="shared" si="32"/>
        <v>68.77</v>
      </c>
      <c r="U103" s="61">
        <f t="shared" si="32"/>
        <v>68.150000000000006</v>
      </c>
      <c r="V103" s="61">
        <f t="shared" si="32"/>
        <v>67.63000000000001</v>
      </c>
      <c r="W103" s="61">
        <f t="shared" si="32"/>
        <v>63.390000000000008</v>
      </c>
      <c r="X103" s="61">
        <f t="shared" si="32"/>
        <v>59.41</v>
      </c>
      <c r="Y103" s="61">
        <f t="shared" si="32"/>
        <v>63.69</v>
      </c>
      <c r="Z103" s="61">
        <f t="shared" si="32"/>
        <v>58.540000000000006</v>
      </c>
      <c r="AA103" s="61">
        <f t="shared" si="32"/>
        <v>58.959999999999994</v>
      </c>
      <c r="AB103" s="61">
        <f t="shared" si="32"/>
        <v>55.35</v>
      </c>
      <c r="AC103" s="61">
        <f t="shared" si="32"/>
        <v>52.010000000000012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12" t="s">
        <v>83</v>
      </c>
      <c r="B104" s="512"/>
      <c r="C104" s="512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12" t="s">
        <v>84</v>
      </c>
      <c r="B105" s="512"/>
      <c r="C105" s="512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12" t="s">
        <v>85</v>
      </c>
      <c r="B106" s="512"/>
      <c r="C106" s="512"/>
      <c r="D106" s="46"/>
      <c r="E106" s="46"/>
      <c r="F106" s="76"/>
      <c r="G106" s="76"/>
      <c r="H106" s="76"/>
      <c r="I106" s="76"/>
      <c r="J106" s="76"/>
      <c r="K106" s="76"/>
      <c r="L106" s="76">
        <v>0.79</v>
      </c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11" t="s">
        <v>86</v>
      </c>
      <c r="B107" s="511"/>
      <c r="C107" s="511"/>
      <c r="D107" s="47"/>
      <c r="E107" s="47"/>
      <c r="F107" s="61">
        <f t="shared" ref="F107:AC107" si="33">SUM(F104:F106)</f>
        <v>0</v>
      </c>
      <c r="G107" s="61">
        <f t="shared" si="33"/>
        <v>0</v>
      </c>
      <c r="H107" s="61">
        <f t="shared" si="33"/>
        <v>0</v>
      </c>
      <c r="I107" s="61">
        <f t="shared" si="33"/>
        <v>0</v>
      </c>
      <c r="J107" s="61">
        <f t="shared" si="33"/>
        <v>0</v>
      </c>
      <c r="K107" s="61">
        <f t="shared" si="33"/>
        <v>0</v>
      </c>
      <c r="L107" s="61">
        <f t="shared" si="33"/>
        <v>0.79</v>
      </c>
      <c r="M107" s="61">
        <f t="shared" si="33"/>
        <v>0</v>
      </c>
      <c r="N107" s="61">
        <f t="shared" si="33"/>
        <v>0</v>
      </c>
      <c r="O107" s="61">
        <f t="shared" si="33"/>
        <v>0</v>
      </c>
      <c r="P107" s="61">
        <f t="shared" si="33"/>
        <v>0</v>
      </c>
      <c r="Q107" s="61">
        <f t="shared" si="33"/>
        <v>0</v>
      </c>
      <c r="R107" s="61">
        <f t="shared" si="33"/>
        <v>0</v>
      </c>
      <c r="S107" s="61">
        <f t="shared" si="33"/>
        <v>0</v>
      </c>
      <c r="T107" s="61">
        <f t="shared" si="33"/>
        <v>0</v>
      </c>
      <c r="U107" s="61">
        <f t="shared" si="33"/>
        <v>0</v>
      </c>
      <c r="V107" s="61">
        <f t="shared" si="33"/>
        <v>0</v>
      </c>
      <c r="W107" s="61">
        <f t="shared" si="33"/>
        <v>0</v>
      </c>
      <c r="X107" s="61">
        <f t="shared" si="33"/>
        <v>0</v>
      </c>
      <c r="Y107" s="61">
        <f t="shared" si="33"/>
        <v>0</v>
      </c>
      <c r="Z107" s="61">
        <f t="shared" si="33"/>
        <v>0</v>
      </c>
      <c r="AA107" s="61">
        <f t="shared" si="33"/>
        <v>0</v>
      </c>
      <c r="AB107" s="61">
        <f t="shared" si="33"/>
        <v>0</v>
      </c>
      <c r="AC107" s="61">
        <f t="shared" si="33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13" t="s">
        <v>87</v>
      </c>
      <c r="B108" s="513"/>
      <c r="C108" s="513"/>
      <c r="D108" s="48"/>
      <c r="E108" s="48"/>
      <c r="F108" s="62">
        <f t="shared" ref="F108:AC108" si="34">F103+F107</f>
        <v>47.150000000000006</v>
      </c>
      <c r="G108" s="62">
        <f t="shared" si="34"/>
        <v>44.089999999999996</v>
      </c>
      <c r="H108" s="62">
        <f t="shared" si="34"/>
        <v>41.61</v>
      </c>
      <c r="I108" s="62">
        <f t="shared" si="34"/>
        <v>40.290000000000006</v>
      </c>
      <c r="J108" s="62">
        <f t="shared" si="34"/>
        <v>39.65</v>
      </c>
      <c r="K108" s="62">
        <f t="shared" si="34"/>
        <v>40.589999999999996</v>
      </c>
      <c r="L108" s="62">
        <f t="shared" si="34"/>
        <v>43.059999999999995</v>
      </c>
      <c r="M108" s="62">
        <f t="shared" si="34"/>
        <v>42.96</v>
      </c>
      <c r="N108" s="62">
        <f t="shared" si="34"/>
        <v>49.5</v>
      </c>
      <c r="O108" s="62">
        <f t="shared" si="34"/>
        <v>59.22</v>
      </c>
      <c r="P108" s="62">
        <f t="shared" si="34"/>
        <v>63.61</v>
      </c>
      <c r="Q108" s="62">
        <f t="shared" si="34"/>
        <v>65.64</v>
      </c>
      <c r="R108" s="62">
        <f t="shared" si="34"/>
        <v>66.31</v>
      </c>
      <c r="S108" s="62">
        <f t="shared" si="34"/>
        <v>67.309999999999988</v>
      </c>
      <c r="T108" s="62">
        <f>T103+T107</f>
        <v>68.77</v>
      </c>
      <c r="U108" s="62">
        <f t="shared" si="34"/>
        <v>68.150000000000006</v>
      </c>
      <c r="V108" s="62">
        <f t="shared" si="34"/>
        <v>67.63000000000001</v>
      </c>
      <c r="W108" s="62">
        <f>W103+W107</f>
        <v>63.390000000000008</v>
      </c>
      <c r="X108" s="62">
        <f t="shared" si="34"/>
        <v>59.41</v>
      </c>
      <c r="Y108" s="62">
        <f t="shared" si="34"/>
        <v>63.69</v>
      </c>
      <c r="Z108" s="62">
        <f t="shared" si="34"/>
        <v>58.540000000000006</v>
      </c>
      <c r="AA108" s="62">
        <f t="shared" si="34"/>
        <v>58.959999999999994</v>
      </c>
      <c r="AB108" s="62">
        <f t="shared" si="34"/>
        <v>55.35</v>
      </c>
      <c r="AC108" s="62">
        <f t="shared" si="34"/>
        <v>52.010000000000012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14" t="s">
        <v>88</v>
      </c>
      <c r="B109" s="514"/>
      <c r="C109" s="514"/>
      <c r="D109" s="52"/>
      <c r="E109" s="52"/>
      <c r="F109" s="63">
        <f t="shared" ref="F109:AC109" si="35">(COUNT(F13:F16))*7.2+(COUNT(F27:F28)*4.9)+(COUNT(F19:F21)*4.5)-F91-F93</f>
        <v>3.0999999999999979</v>
      </c>
      <c r="G109" s="63">
        <f t="shared" si="35"/>
        <v>5.3999999999999995</v>
      </c>
      <c r="H109" s="63">
        <f t="shared" si="35"/>
        <v>7.7999999999999989</v>
      </c>
      <c r="I109" s="63">
        <f t="shared" si="35"/>
        <v>3.7000000000000011</v>
      </c>
      <c r="J109" s="63">
        <f t="shared" si="35"/>
        <v>10.700000000000003</v>
      </c>
      <c r="K109" s="63">
        <f t="shared" si="35"/>
        <v>5.7000000000000011</v>
      </c>
      <c r="L109" s="63">
        <f t="shared" si="35"/>
        <v>3.4999999999999991</v>
      </c>
      <c r="M109" s="63">
        <f t="shared" si="35"/>
        <v>2.8999999999999986</v>
      </c>
      <c r="N109" s="63">
        <f t="shared" si="35"/>
        <v>11.100000000000001</v>
      </c>
      <c r="O109" s="63">
        <f t="shared" si="35"/>
        <v>5.2000000000000028</v>
      </c>
      <c r="P109" s="63">
        <f t="shared" si="35"/>
        <v>8.1700000000000017</v>
      </c>
      <c r="Q109" s="63">
        <f t="shared" si="35"/>
        <v>4.8000000000000043</v>
      </c>
      <c r="R109" s="63">
        <f t="shared" si="35"/>
        <v>5.5900000000000034</v>
      </c>
      <c r="S109" s="63">
        <f t="shared" si="35"/>
        <v>4.6000000000000032</v>
      </c>
      <c r="T109" s="63">
        <f t="shared" si="35"/>
        <v>4.6000000000000014</v>
      </c>
      <c r="U109" s="63">
        <f t="shared" si="35"/>
        <v>5.0800000000000054</v>
      </c>
      <c r="V109" s="63">
        <f t="shared" si="35"/>
        <v>4.9000000000000039</v>
      </c>
      <c r="W109" s="63">
        <f t="shared" si="35"/>
        <v>6.4000000000000021</v>
      </c>
      <c r="X109" s="63">
        <f t="shared" si="35"/>
        <v>9.3000000000000025</v>
      </c>
      <c r="Y109" s="63">
        <f t="shared" si="35"/>
        <v>6.8000000000000007</v>
      </c>
      <c r="Z109" s="63">
        <f t="shared" si="35"/>
        <v>9.5</v>
      </c>
      <c r="AA109" s="63">
        <f t="shared" si="35"/>
        <v>12.100000000000001</v>
      </c>
      <c r="AB109" s="63">
        <f t="shared" si="35"/>
        <v>19.700000000000003</v>
      </c>
      <c r="AC109" s="63">
        <f t="shared" si="35"/>
        <v>14.6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15" t="s">
        <v>89</v>
      </c>
      <c r="B110" s="516"/>
      <c r="C110" s="517"/>
      <c r="D110" s="204"/>
      <c r="E110" s="204"/>
      <c r="F110" s="205">
        <f t="shared" ref="F110:P110" si="36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-3.5</v>
      </c>
      <c r="G110" s="205">
        <f t="shared" si="36"/>
        <v>-1.1999999999999984</v>
      </c>
      <c r="H110" s="205">
        <f t="shared" si="36"/>
        <v>1.2000000000000002</v>
      </c>
      <c r="I110" s="205">
        <f t="shared" si="36"/>
        <v>-2.799999999999998</v>
      </c>
      <c r="J110" s="205">
        <f t="shared" si="36"/>
        <v>4.2000000000000028</v>
      </c>
      <c r="K110" s="205">
        <f t="shared" si="36"/>
        <v>2.6000000000000014</v>
      </c>
      <c r="L110" s="205">
        <f t="shared" si="36"/>
        <v>5</v>
      </c>
      <c r="M110" s="205">
        <f t="shared" si="36"/>
        <v>4.4000000000000004</v>
      </c>
      <c r="N110" s="205">
        <f t="shared" si="36"/>
        <v>7.1000000000000041</v>
      </c>
      <c r="O110" s="205">
        <f t="shared" si="36"/>
        <v>-1.6999999999999948</v>
      </c>
      <c r="P110" s="205">
        <f t="shared" si="36"/>
        <v>1.2700000000000005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-2.099999999999997</v>
      </c>
      <c r="R110" s="205">
        <f t="shared" ref="R110:AC110" si="37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-1.7099999999999982</v>
      </c>
      <c r="S110" s="205">
        <f t="shared" si="37"/>
        <v>-2.6999999999999984</v>
      </c>
      <c r="T110" s="205">
        <f t="shared" si="37"/>
        <v>-2.7</v>
      </c>
      <c r="U110" s="205">
        <f t="shared" si="37"/>
        <v>-2.2199999999999962</v>
      </c>
      <c r="V110" s="205">
        <f t="shared" si="37"/>
        <v>-2.3999999999999977</v>
      </c>
      <c r="W110" s="205">
        <f t="shared" si="37"/>
        <v>-0.39999999999999947</v>
      </c>
      <c r="X110" s="205">
        <f t="shared" si="37"/>
        <v>3.5000000000000018</v>
      </c>
      <c r="Y110" s="205">
        <f t="shared" si="37"/>
        <v>-0.50000000000000089</v>
      </c>
      <c r="Z110" s="205">
        <f t="shared" si="37"/>
        <v>4.5999999999999979</v>
      </c>
      <c r="AA110" s="205">
        <f t="shared" si="37"/>
        <v>-2.3999999999999995</v>
      </c>
      <c r="AB110" s="205">
        <f t="shared" si="37"/>
        <v>4.8000000000000025</v>
      </c>
      <c r="AC110" s="205">
        <f t="shared" si="37"/>
        <v>3.8</v>
      </c>
      <c r="AD110" s="26"/>
      <c r="AE110" s="26"/>
      <c r="AF110" s="466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10" t="s">
        <v>91</v>
      </c>
      <c r="B111" s="510"/>
      <c r="C111" s="510"/>
      <c r="D111" s="60"/>
      <c r="E111" s="72"/>
      <c r="F111" s="74">
        <v>60.13</v>
      </c>
      <c r="G111" s="74">
        <v>60.23</v>
      </c>
      <c r="H111" s="74">
        <v>60.14</v>
      </c>
      <c r="I111" s="74">
        <v>60.13</v>
      </c>
      <c r="J111" s="74">
        <v>60.27</v>
      </c>
      <c r="K111" s="74">
        <v>60.17</v>
      </c>
      <c r="L111" s="74">
        <v>60.15</v>
      </c>
      <c r="M111" s="74">
        <v>60.21</v>
      </c>
      <c r="N111" s="74">
        <v>60.17</v>
      </c>
      <c r="O111" s="74">
        <v>60.14</v>
      </c>
      <c r="P111" s="83">
        <v>60.13</v>
      </c>
      <c r="Q111" s="83">
        <v>60.14</v>
      </c>
      <c r="R111" s="83">
        <v>60.16</v>
      </c>
      <c r="S111" s="83">
        <v>60.11</v>
      </c>
      <c r="T111" s="83">
        <v>60.15</v>
      </c>
      <c r="U111" s="74">
        <v>60.18</v>
      </c>
      <c r="V111" s="74">
        <v>60.18</v>
      </c>
      <c r="W111" s="74">
        <v>60.2</v>
      </c>
      <c r="X111" s="74">
        <v>60.18</v>
      </c>
      <c r="Y111" s="74">
        <v>60.28</v>
      </c>
      <c r="Z111" s="74">
        <v>60.17</v>
      </c>
      <c r="AA111" s="74">
        <v>60.21</v>
      </c>
      <c r="AB111" s="74">
        <v>60.21</v>
      </c>
      <c r="AC111" s="74">
        <v>60.24</v>
      </c>
      <c r="AD111" s="26"/>
      <c r="AE111" s="26"/>
      <c r="AF111" s="467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18" t="s">
        <v>93</v>
      </c>
      <c r="B112" s="519"/>
      <c r="C112" s="520"/>
      <c r="D112" s="60"/>
      <c r="E112" s="72"/>
      <c r="F112" s="74"/>
      <c r="G112" s="74"/>
      <c r="H112" s="74"/>
      <c r="I112" s="74"/>
      <c r="J112" s="74"/>
      <c r="K112" s="74"/>
      <c r="L112" s="74"/>
      <c r="M112" s="74"/>
      <c r="N112" s="74"/>
      <c r="O112" s="74"/>
      <c r="P112" s="74"/>
      <c r="Q112" s="74"/>
      <c r="R112" s="74"/>
      <c r="S112" s="74"/>
      <c r="T112" s="74"/>
      <c r="U112" s="74"/>
      <c r="V112" s="74"/>
      <c r="W112" s="74"/>
      <c r="X112" s="74"/>
      <c r="Y112" s="74"/>
      <c r="Z112" s="74"/>
      <c r="AA112" s="74"/>
      <c r="AB112" s="74"/>
      <c r="AC112" s="74"/>
      <c r="AD112" s="26"/>
      <c r="AE112" s="26"/>
      <c r="AF112" s="469"/>
      <c r="AG112" s="472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18" t="s">
        <v>95</v>
      </c>
      <c r="B113" s="519"/>
      <c r="C113" s="520"/>
      <c r="D113" s="60"/>
      <c r="E113" s="74"/>
      <c r="F113" s="74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10" t="s">
        <v>96</v>
      </c>
      <c r="B114" s="510"/>
      <c r="C114" s="510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 t="s">
        <v>101</v>
      </c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10" t="s">
        <v>97</v>
      </c>
      <c r="B115" s="510"/>
      <c r="C115" s="510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499" t="s">
        <v>98</v>
      </c>
      <c r="B117" s="499"/>
      <c r="C117" s="499"/>
      <c r="D117" s="499"/>
      <c r="E117" s="499"/>
      <c r="F117" s="499"/>
      <c r="G117" s="499"/>
      <c r="H117" s="499"/>
      <c r="I117" s="499"/>
      <c r="J117" s="499"/>
      <c r="K117" s="499"/>
      <c r="L117" s="499"/>
      <c r="M117" s="499"/>
      <c r="N117" s="499"/>
      <c r="O117" s="499"/>
      <c r="P117" s="499"/>
      <c r="Q117" s="499"/>
      <c r="R117" s="499"/>
      <c r="S117" s="499"/>
      <c r="T117" s="499"/>
      <c r="U117" s="499"/>
      <c r="V117" s="499"/>
      <c r="W117" s="499"/>
      <c r="X117" s="499"/>
      <c r="Y117" s="499"/>
      <c r="Z117" s="499"/>
      <c r="AA117" s="499"/>
      <c r="AB117" s="499"/>
      <c r="AC117" s="499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00" t="s">
        <v>75</v>
      </c>
      <c r="B119" s="501"/>
      <c r="C119" s="502"/>
      <c r="D119" s="49"/>
      <c r="E119" s="49"/>
      <c r="F119" s="506" t="s">
        <v>76</v>
      </c>
      <c r="G119" s="506"/>
      <c r="H119" s="506"/>
      <c r="I119" s="506"/>
      <c r="J119" s="506"/>
      <c r="K119" s="506"/>
      <c r="L119" s="506"/>
      <c r="M119" s="506"/>
      <c r="N119" s="506"/>
      <c r="O119" s="506"/>
      <c r="P119" s="506"/>
      <c r="Q119" s="506"/>
      <c r="R119" s="506"/>
      <c r="S119" s="506"/>
      <c r="T119" s="506"/>
      <c r="U119" s="506"/>
      <c r="V119" s="506"/>
      <c r="W119" s="506"/>
      <c r="X119" s="506"/>
      <c r="Y119" s="506"/>
      <c r="Z119" s="506"/>
      <c r="AA119" s="506"/>
      <c r="AB119" s="506"/>
      <c r="AC119" s="506"/>
      <c r="AD119" s="5"/>
      <c r="AE119" s="5"/>
      <c r="AF119" s="5"/>
      <c r="AG119" s="5"/>
      <c r="AH119" s="5"/>
    </row>
    <row r="120" spans="1:124" ht="15.6" hidden="1" customHeight="1">
      <c r="A120" s="503"/>
      <c r="B120" s="504"/>
      <c r="C120" s="505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07" t="s">
        <v>27</v>
      </c>
      <c r="B121" s="508"/>
      <c r="C121" s="509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07" t="s">
        <v>78</v>
      </c>
      <c r="B122" s="508"/>
      <c r="C122" s="509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07" t="s">
        <v>29</v>
      </c>
      <c r="B123" s="508"/>
      <c r="C123" s="509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07" t="s">
        <v>32</v>
      </c>
      <c r="B124" s="508"/>
      <c r="C124" s="509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07" t="s">
        <v>33</v>
      </c>
      <c r="B125" s="508"/>
      <c r="C125" s="509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07" t="s">
        <v>55</v>
      </c>
      <c r="B126" s="508"/>
      <c r="C126" s="509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07" t="s">
        <v>59</v>
      </c>
      <c r="B127" s="508"/>
      <c r="C127" s="509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07" t="s">
        <v>69</v>
      </c>
      <c r="B128" s="508"/>
      <c r="C128" s="509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496" t="s">
        <v>99</v>
      </c>
      <c r="B129" s="497"/>
      <c r="C129" s="498"/>
      <c r="D129" s="51"/>
      <c r="E129" s="51"/>
      <c r="F129" s="44">
        <f>SUM(F121:F128)</f>
        <v>0</v>
      </c>
      <c r="G129" s="44">
        <f t="shared" ref="G129:AB129" si="38">SUM(G121:G128)</f>
        <v>0</v>
      </c>
      <c r="H129" s="44">
        <f t="shared" si="38"/>
        <v>0</v>
      </c>
      <c r="I129" s="44">
        <f t="shared" si="38"/>
        <v>0</v>
      </c>
      <c r="J129" s="44">
        <f t="shared" si="38"/>
        <v>0</v>
      </c>
      <c r="K129" s="44">
        <f t="shared" si="38"/>
        <v>0</v>
      </c>
      <c r="L129" s="44">
        <f t="shared" si="38"/>
        <v>0</v>
      </c>
      <c r="M129" s="44">
        <f t="shared" si="38"/>
        <v>0</v>
      </c>
      <c r="N129" s="44">
        <f t="shared" si="38"/>
        <v>0</v>
      </c>
      <c r="O129" s="44">
        <f t="shared" si="38"/>
        <v>0</v>
      </c>
      <c r="P129" s="44">
        <f t="shared" si="38"/>
        <v>0</v>
      </c>
      <c r="Q129" s="44">
        <f t="shared" si="38"/>
        <v>0</v>
      </c>
      <c r="R129" s="44">
        <f t="shared" si="38"/>
        <v>0</v>
      </c>
      <c r="S129" s="44">
        <f t="shared" si="38"/>
        <v>0</v>
      </c>
      <c r="T129" s="44">
        <f t="shared" si="38"/>
        <v>0</v>
      </c>
      <c r="U129" s="44">
        <f t="shared" si="38"/>
        <v>0</v>
      </c>
      <c r="V129" s="44">
        <f t="shared" si="38"/>
        <v>0</v>
      </c>
      <c r="W129" s="44">
        <f t="shared" si="38"/>
        <v>0</v>
      </c>
      <c r="X129" s="44">
        <f t="shared" si="38"/>
        <v>0</v>
      </c>
      <c r="Y129" s="44">
        <f t="shared" si="38"/>
        <v>0</v>
      </c>
      <c r="Z129" s="44">
        <f t="shared" si="38"/>
        <v>0</v>
      </c>
      <c r="AA129" s="44">
        <f t="shared" si="38"/>
        <v>0</v>
      </c>
      <c r="AB129" s="44">
        <f t="shared" si="38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128:C128"/>
    <mergeCell ref="A129:C129"/>
    <mergeCell ref="A122:C122"/>
    <mergeCell ref="A123:C123"/>
    <mergeCell ref="A124:C124"/>
    <mergeCell ref="A125:C125"/>
    <mergeCell ref="A126:C126"/>
    <mergeCell ref="A127:C127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G111:AC111">
    <cfRule type="cellIs" dxfId="5339" priority="388" operator="greaterThan">
      <formula>60.3</formula>
    </cfRule>
  </conditionalFormatting>
  <conditionalFormatting sqref="F111">
    <cfRule type="cellIs" dxfId="5338" priority="387" operator="greaterThan">
      <formula>60.3</formula>
    </cfRule>
  </conditionalFormatting>
  <conditionalFormatting sqref="H13:J13 H15:M16 P15:P16 N13:Q13 L13 Q14:Q16 R13:AC16 G36:AC59 G62:AC64">
    <cfRule type="cellIs" dxfId="5337" priority="379" operator="equal">
      <formula>"PMS"</formula>
    </cfRule>
    <cfRule type="containsText" dxfId="5336" priority="380" operator="containsText" text="CMS">
      <formula>NOT(ISERROR(SEARCH("CMS",G13)))</formula>
    </cfRule>
    <cfRule type="cellIs" dxfId="5335" priority="381" operator="equal">
      <formula>0</formula>
    </cfRule>
    <cfRule type="cellIs" dxfId="5334" priority="382" operator="greaterThan">
      <formula>0</formula>
    </cfRule>
    <cfRule type="cellIs" dxfId="5333" priority="383" operator="equal">
      <formula>"PMS"</formula>
    </cfRule>
    <cfRule type="containsText" dxfId="5332" priority="384" operator="containsText" text="CMS">
      <formula>NOT(ISERROR(SEARCH("CMS",G13)))</formula>
    </cfRule>
    <cfRule type="cellIs" dxfId="5331" priority="385" operator="equal">
      <formula>0</formula>
    </cfRule>
    <cfRule type="cellIs" dxfId="5330" priority="386" operator="greaterThan">
      <formula>0</formula>
    </cfRule>
  </conditionalFormatting>
  <conditionalFormatting sqref="H13:J13 H15:M16 P15:P16 N13:Q13 L13 Q14:Q16 R13:AC16 G36:AC59 G62:AC64">
    <cfRule type="cellIs" dxfId="5329" priority="375" operator="equal">
      <formula>"PMS"</formula>
    </cfRule>
    <cfRule type="containsText" dxfId="5328" priority="376" operator="containsText" text="CMS">
      <formula>NOT(ISERROR(SEARCH("CMS",G13)))</formula>
    </cfRule>
    <cfRule type="cellIs" dxfId="5327" priority="377" operator="equal">
      <formula>0</formula>
    </cfRule>
    <cfRule type="cellIs" dxfId="5326" priority="378" operator="greaterThan">
      <formula>0</formula>
    </cfRule>
  </conditionalFormatting>
  <conditionalFormatting sqref="G20:S20 U19:AC21 T20:T21 G19:Q19 G21:M21 P21:S21">
    <cfRule type="cellIs" dxfId="5325" priority="367" operator="equal">
      <formula>"PMS"</formula>
    </cfRule>
    <cfRule type="containsText" dxfId="5324" priority="368" operator="containsText" text="CMS">
      <formula>NOT(ISERROR(SEARCH("CMS",G19)))</formula>
    </cfRule>
    <cfRule type="cellIs" dxfId="5323" priority="369" operator="equal">
      <formula>0</formula>
    </cfRule>
    <cfRule type="cellIs" dxfId="5322" priority="370" operator="greaterThan">
      <formula>0</formula>
    </cfRule>
    <cfRule type="cellIs" dxfId="5321" priority="371" operator="equal">
      <formula>"PMS"</formula>
    </cfRule>
    <cfRule type="containsText" dxfId="5320" priority="372" operator="containsText" text="CMS">
      <formula>NOT(ISERROR(SEARCH("CMS",G19)))</formula>
    </cfRule>
    <cfRule type="cellIs" dxfId="5319" priority="373" operator="equal">
      <formula>0</formula>
    </cfRule>
    <cfRule type="cellIs" dxfId="5318" priority="374" operator="greaterThan">
      <formula>0</formula>
    </cfRule>
  </conditionalFormatting>
  <conditionalFormatting sqref="G20:S20 U19:AC21 T20:T21 G19:Q19 G21:M21 P21:S21">
    <cfRule type="cellIs" dxfId="5317" priority="363" operator="equal">
      <formula>"PMS"</formula>
    </cfRule>
    <cfRule type="containsText" dxfId="5316" priority="364" operator="containsText" text="CMS">
      <formula>NOT(ISERROR(SEARCH("CMS",G19)))</formula>
    </cfRule>
    <cfRule type="cellIs" dxfId="5315" priority="365" operator="equal">
      <formula>0</formula>
    </cfRule>
    <cfRule type="cellIs" dxfId="5314" priority="366" operator="greaterThan">
      <formula>0</formula>
    </cfRule>
  </conditionalFormatting>
  <conditionalFormatting sqref="V24:AC24 G24:M24 O24:T24">
    <cfRule type="cellIs" dxfId="5313" priority="355" operator="equal">
      <formula>"PMS"</formula>
    </cfRule>
    <cfRule type="containsText" dxfId="5312" priority="356" operator="containsText" text="CMS">
      <formula>NOT(ISERROR(SEARCH("CMS",G24)))</formula>
    </cfRule>
    <cfRule type="cellIs" dxfId="5311" priority="357" operator="equal">
      <formula>0</formula>
    </cfRule>
    <cfRule type="cellIs" dxfId="5310" priority="358" operator="greaterThan">
      <formula>0</formula>
    </cfRule>
    <cfRule type="cellIs" dxfId="5309" priority="359" operator="equal">
      <formula>"PMS"</formula>
    </cfRule>
    <cfRule type="containsText" dxfId="5308" priority="360" operator="containsText" text="CMS">
      <formula>NOT(ISERROR(SEARCH("CMS",G24)))</formula>
    </cfRule>
    <cfRule type="cellIs" dxfId="5307" priority="361" operator="equal">
      <formula>0</formula>
    </cfRule>
    <cfRule type="cellIs" dxfId="5306" priority="362" operator="greaterThan">
      <formula>0</formula>
    </cfRule>
  </conditionalFormatting>
  <conditionalFormatting sqref="V24:AC24 G24:M24 O24:T24">
    <cfRule type="cellIs" dxfId="5305" priority="351" operator="equal">
      <formula>"PMS"</formula>
    </cfRule>
    <cfRule type="containsText" dxfId="5304" priority="352" operator="containsText" text="CMS">
      <formula>NOT(ISERROR(SEARCH("CMS",G24)))</formula>
    </cfRule>
    <cfRule type="cellIs" dxfId="5303" priority="353" operator="equal">
      <formula>0</formula>
    </cfRule>
    <cfRule type="cellIs" dxfId="5302" priority="354" operator="greaterThan">
      <formula>0</formula>
    </cfRule>
  </conditionalFormatting>
  <conditionalFormatting sqref="G27:Q27 H28:Q28 G30:AC30 F27:F29 G29:Q29 R27:AC29">
    <cfRule type="cellIs" dxfId="5301" priority="343" operator="equal">
      <formula>"PMS"</formula>
    </cfRule>
    <cfRule type="containsText" dxfId="5300" priority="344" operator="containsText" text="CMS">
      <formula>NOT(ISERROR(SEARCH("CMS",F27)))</formula>
    </cfRule>
    <cfRule type="cellIs" dxfId="5299" priority="345" operator="equal">
      <formula>0</formula>
    </cfRule>
    <cfRule type="cellIs" dxfId="5298" priority="346" operator="greaterThan">
      <formula>0</formula>
    </cfRule>
    <cfRule type="cellIs" dxfId="5297" priority="347" operator="equal">
      <formula>"PMS"</formula>
    </cfRule>
    <cfRule type="containsText" dxfId="5296" priority="348" operator="containsText" text="CMS">
      <formula>NOT(ISERROR(SEARCH("CMS",F27)))</formula>
    </cfRule>
    <cfRule type="cellIs" dxfId="5295" priority="349" operator="equal">
      <formula>0</formula>
    </cfRule>
    <cfRule type="cellIs" dxfId="5294" priority="350" operator="greaterThan">
      <formula>0</formula>
    </cfRule>
  </conditionalFormatting>
  <conditionalFormatting sqref="G27:Q27 H28:Q28 G30:AC30 F27:F29 G29:Q29 R27:AC29">
    <cfRule type="cellIs" dxfId="5293" priority="339" operator="equal">
      <formula>"PMS"</formula>
    </cfRule>
    <cfRule type="containsText" dxfId="5292" priority="340" operator="containsText" text="CMS">
      <formula>NOT(ISERROR(SEARCH("CMS",F27)))</formula>
    </cfRule>
    <cfRule type="cellIs" dxfId="5291" priority="341" operator="equal">
      <formula>0</formula>
    </cfRule>
    <cfRule type="cellIs" dxfId="5290" priority="342" operator="greaterThan">
      <formula>0</formula>
    </cfRule>
  </conditionalFormatting>
  <conditionalFormatting sqref="G33:AC33">
    <cfRule type="cellIs" dxfId="5289" priority="331" operator="equal">
      <formula>"PMS"</formula>
    </cfRule>
    <cfRule type="containsText" dxfId="5288" priority="332" operator="containsText" text="CMS">
      <formula>NOT(ISERROR(SEARCH("CMS",G33)))</formula>
    </cfRule>
    <cfRule type="cellIs" dxfId="5287" priority="333" operator="equal">
      <formula>0</formula>
    </cfRule>
    <cfRule type="cellIs" dxfId="5286" priority="334" operator="greaterThan">
      <formula>0</formula>
    </cfRule>
    <cfRule type="cellIs" dxfId="5285" priority="335" operator="equal">
      <formula>"PMS"</formula>
    </cfRule>
    <cfRule type="containsText" dxfId="5284" priority="336" operator="containsText" text="CMS">
      <formula>NOT(ISERROR(SEARCH("CMS",G33)))</formula>
    </cfRule>
    <cfRule type="cellIs" dxfId="5283" priority="337" operator="equal">
      <formula>0</formula>
    </cfRule>
    <cfRule type="cellIs" dxfId="5282" priority="338" operator="greaterThan">
      <formula>0</formula>
    </cfRule>
  </conditionalFormatting>
  <conditionalFormatting sqref="G33:AC33">
    <cfRule type="cellIs" dxfId="5281" priority="327" operator="equal">
      <formula>"PMS"</formula>
    </cfRule>
    <cfRule type="containsText" dxfId="5280" priority="328" operator="containsText" text="CMS">
      <formula>NOT(ISERROR(SEARCH("CMS",G33)))</formula>
    </cfRule>
    <cfRule type="cellIs" dxfId="5279" priority="329" operator="equal">
      <formula>0</formula>
    </cfRule>
    <cfRule type="cellIs" dxfId="5278" priority="330" operator="greaterThan">
      <formula>0</formula>
    </cfRule>
  </conditionalFormatting>
  <conditionalFormatting sqref="G67:AC75 G78:AC79">
    <cfRule type="cellIs" dxfId="5277" priority="319" operator="equal">
      <formula>"PMS"</formula>
    </cfRule>
    <cfRule type="containsText" dxfId="5276" priority="320" operator="containsText" text="CMS">
      <formula>NOT(ISERROR(SEARCH("CMS",G67)))</formula>
    </cfRule>
    <cfRule type="cellIs" dxfId="5275" priority="321" operator="equal">
      <formula>0</formula>
    </cfRule>
    <cfRule type="cellIs" dxfId="5274" priority="322" operator="greaterThan">
      <formula>0</formula>
    </cfRule>
    <cfRule type="cellIs" dxfId="5273" priority="323" operator="equal">
      <formula>"PMS"</formula>
    </cfRule>
    <cfRule type="containsText" dxfId="5272" priority="324" operator="containsText" text="CMS">
      <formula>NOT(ISERROR(SEARCH("CMS",G67)))</formula>
    </cfRule>
    <cfRule type="cellIs" dxfId="5271" priority="325" operator="equal">
      <formula>0</formula>
    </cfRule>
    <cfRule type="cellIs" dxfId="5270" priority="326" operator="greaterThan">
      <formula>0</formula>
    </cfRule>
  </conditionalFormatting>
  <conditionalFormatting sqref="G67:AC75 G78:AC79">
    <cfRule type="cellIs" dxfId="5269" priority="315" operator="equal">
      <formula>"PMS"</formula>
    </cfRule>
    <cfRule type="containsText" dxfId="5268" priority="316" operator="containsText" text="CMS">
      <formula>NOT(ISERROR(SEARCH("CMS",G67)))</formula>
    </cfRule>
    <cfRule type="cellIs" dxfId="5267" priority="317" operator="equal">
      <formula>0</formula>
    </cfRule>
    <cfRule type="cellIs" dxfId="5266" priority="318" operator="greaterThan">
      <formula>0</formula>
    </cfRule>
  </conditionalFormatting>
  <conditionalFormatting sqref="G82:AC82">
    <cfRule type="cellIs" dxfId="5265" priority="307" operator="equal">
      <formula>"PMS"</formula>
    </cfRule>
    <cfRule type="containsText" dxfId="5264" priority="308" operator="containsText" text="CMS">
      <formula>NOT(ISERROR(SEARCH("CMS",G82)))</formula>
    </cfRule>
    <cfRule type="cellIs" dxfId="5263" priority="309" operator="equal">
      <formula>0</formula>
    </cfRule>
    <cfRule type="cellIs" dxfId="5262" priority="310" operator="greaterThan">
      <formula>0</formula>
    </cfRule>
    <cfRule type="cellIs" dxfId="5261" priority="311" operator="equal">
      <formula>"PMS"</formula>
    </cfRule>
    <cfRule type="containsText" dxfId="5260" priority="312" operator="containsText" text="CMS">
      <formula>NOT(ISERROR(SEARCH("CMS",G82)))</formula>
    </cfRule>
    <cfRule type="cellIs" dxfId="5259" priority="313" operator="equal">
      <formula>0</formula>
    </cfRule>
    <cfRule type="cellIs" dxfId="5258" priority="314" operator="greaterThan">
      <formula>0</formula>
    </cfRule>
  </conditionalFormatting>
  <conditionalFormatting sqref="G82:AC82">
    <cfRule type="cellIs" dxfId="5257" priority="303" operator="equal">
      <formula>"PMS"</formula>
    </cfRule>
    <cfRule type="containsText" dxfId="5256" priority="304" operator="containsText" text="CMS">
      <formula>NOT(ISERROR(SEARCH("CMS",G82)))</formula>
    </cfRule>
    <cfRule type="cellIs" dxfId="5255" priority="305" operator="equal">
      <formula>0</formula>
    </cfRule>
    <cfRule type="cellIs" dxfId="5254" priority="306" operator="greaterThan">
      <formula>0</formula>
    </cfRule>
  </conditionalFormatting>
  <conditionalFormatting sqref="N24">
    <cfRule type="cellIs" dxfId="5253" priority="295" operator="equal">
      <formula>"PMS"</formula>
    </cfRule>
    <cfRule type="containsText" dxfId="5252" priority="296" operator="containsText" text="CMS">
      <formula>NOT(ISERROR(SEARCH("CMS",N24)))</formula>
    </cfRule>
    <cfRule type="cellIs" dxfId="5251" priority="297" operator="equal">
      <formula>0</formula>
    </cfRule>
    <cfRule type="cellIs" dxfId="5250" priority="298" operator="greaterThan">
      <formula>0</formula>
    </cfRule>
    <cfRule type="cellIs" dxfId="5249" priority="299" operator="equal">
      <formula>"PMS"</formula>
    </cfRule>
    <cfRule type="containsText" dxfId="5248" priority="300" operator="containsText" text="CMS">
      <formula>NOT(ISERROR(SEARCH("CMS",N24)))</formula>
    </cfRule>
    <cfRule type="cellIs" dxfId="5247" priority="301" operator="equal">
      <formula>0</formula>
    </cfRule>
    <cfRule type="cellIs" dxfId="5246" priority="302" operator="greaterThan">
      <formula>0</formula>
    </cfRule>
  </conditionalFormatting>
  <conditionalFormatting sqref="N24">
    <cfRule type="cellIs" dxfId="5245" priority="291" operator="equal">
      <formula>"PMS"</formula>
    </cfRule>
    <cfRule type="containsText" dxfId="5244" priority="292" operator="containsText" text="CMS">
      <formula>NOT(ISERROR(SEARCH("CMS",N24)))</formula>
    </cfRule>
    <cfRule type="cellIs" dxfId="5243" priority="293" operator="equal">
      <formula>0</formula>
    </cfRule>
    <cfRule type="cellIs" dxfId="5242" priority="294" operator="greaterThan">
      <formula>0</formula>
    </cfRule>
  </conditionalFormatting>
  <conditionalFormatting sqref="U24">
    <cfRule type="cellIs" dxfId="5241" priority="283" operator="equal">
      <formula>"PMS"</formula>
    </cfRule>
    <cfRule type="containsText" dxfId="5240" priority="284" operator="containsText" text="CMS">
      <formula>NOT(ISERROR(SEARCH("CMS",U24)))</formula>
    </cfRule>
    <cfRule type="cellIs" dxfId="5239" priority="285" operator="equal">
      <formula>0</formula>
    </cfRule>
    <cfRule type="cellIs" dxfId="5238" priority="286" operator="greaterThan">
      <formula>0</formula>
    </cfRule>
    <cfRule type="cellIs" dxfId="5237" priority="287" operator="equal">
      <formula>"PMS"</formula>
    </cfRule>
    <cfRule type="containsText" dxfId="5236" priority="288" operator="containsText" text="CMS">
      <formula>NOT(ISERROR(SEARCH("CMS",U24)))</formula>
    </cfRule>
    <cfRule type="cellIs" dxfId="5235" priority="289" operator="equal">
      <formula>0</formula>
    </cfRule>
    <cfRule type="cellIs" dxfId="5234" priority="290" operator="greaterThan">
      <formula>0</formula>
    </cfRule>
  </conditionalFormatting>
  <conditionalFormatting sqref="U24">
    <cfRule type="cellIs" dxfId="5233" priority="279" operator="equal">
      <formula>"PMS"</formula>
    </cfRule>
    <cfRule type="containsText" dxfId="5232" priority="280" operator="containsText" text="CMS">
      <formula>NOT(ISERROR(SEARCH("CMS",U24)))</formula>
    </cfRule>
    <cfRule type="cellIs" dxfId="5231" priority="281" operator="equal">
      <formula>0</formula>
    </cfRule>
    <cfRule type="cellIs" dxfId="5230" priority="282" operator="greaterThan">
      <formula>0</formula>
    </cfRule>
  </conditionalFormatting>
  <conditionalFormatting sqref="H14:P14">
    <cfRule type="cellIs" dxfId="5229" priority="271" operator="equal">
      <formula>"PMS"</formula>
    </cfRule>
    <cfRule type="containsText" dxfId="5228" priority="272" operator="containsText" text="CMS">
      <formula>NOT(ISERROR(SEARCH("CMS",H14)))</formula>
    </cfRule>
    <cfRule type="cellIs" dxfId="5227" priority="273" operator="equal">
      <formula>0</formula>
    </cfRule>
    <cfRule type="cellIs" dxfId="5226" priority="274" operator="greaterThan">
      <formula>0</formula>
    </cfRule>
    <cfRule type="cellIs" dxfId="5225" priority="275" operator="equal">
      <formula>"PMS"</formula>
    </cfRule>
    <cfRule type="containsText" dxfId="5224" priority="276" operator="containsText" text="CMS">
      <formula>NOT(ISERROR(SEARCH("CMS",H14)))</formula>
    </cfRule>
    <cfRule type="cellIs" dxfId="5223" priority="277" operator="equal">
      <formula>0</formula>
    </cfRule>
    <cfRule type="cellIs" dxfId="5222" priority="278" operator="greaterThan">
      <formula>0</formula>
    </cfRule>
  </conditionalFormatting>
  <conditionalFormatting sqref="H14:P14">
    <cfRule type="cellIs" dxfId="5221" priority="267" operator="equal">
      <formula>"PMS"</formula>
    </cfRule>
    <cfRule type="containsText" dxfId="5220" priority="268" operator="containsText" text="CMS">
      <formula>NOT(ISERROR(SEARCH("CMS",H14)))</formula>
    </cfRule>
    <cfRule type="cellIs" dxfId="5219" priority="269" operator="equal">
      <formula>0</formula>
    </cfRule>
    <cfRule type="cellIs" dxfId="5218" priority="270" operator="greaterThan">
      <formula>0</formula>
    </cfRule>
  </conditionalFormatting>
  <conditionalFormatting sqref="F82">
    <cfRule type="cellIs" dxfId="5217" priority="259" operator="equal">
      <formula>"PMS"</formula>
    </cfRule>
    <cfRule type="containsText" dxfId="5216" priority="260" operator="containsText" text="CMS">
      <formula>NOT(ISERROR(SEARCH("CMS",F82)))</formula>
    </cfRule>
    <cfRule type="cellIs" dxfId="5215" priority="261" operator="equal">
      <formula>0</formula>
    </cfRule>
    <cfRule type="cellIs" dxfId="5214" priority="262" operator="greaterThan">
      <formula>0</formula>
    </cfRule>
    <cfRule type="cellIs" dxfId="5213" priority="263" operator="equal">
      <formula>"PMS"</formula>
    </cfRule>
    <cfRule type="containsText" dxfId="5212" priority="264" operator="containsText" text="CMS">
      <formula>NOT(ISERROR(SEARCH("CMS",F82)))</formula>
    </cfRule>
    <cfRule type="cellIs" dxfId="5211" priority="265" operator="equal">
      <formula>0</formula>
    </cfRule>
    <cfRule type="cellIs" dxfId="5210" priority="266" operator="greaterThan">
      <formula>0</formula>
    </cfRule>
  </conditionalFormatting>
  <conditionalFormatting sqref="F82">
    <cfRule type="cellIs" dxfId="5209" priority="255" operator="equal">
      <formula>"PMS"</formula>
    </cfRule>
    <cfRule type="containsText" dxfId="5208" priority="256" operator="containsText" text="CMS">
      <formula>NOT(ISERROR(SEARCH("CMS",F82)))</formula>
    </cfRule>
    <cfRule type="cellIs" dxfId="5207" priority="257" operator="equal">
      <formula>0</formula>
    </cfRule>
    <cfRule type="cellIs" dxfId="5206" priority="258" operator="greaterThan">
      <formula>0</formula>
    </cfRule>
  </conditionalFormatting>
  <conditionalFormatting sqref="R19:T19">
    <cfRule type="cellIs" dxfId="5205" priority="247" operator="equal">
      <formula>"PMS"</formula>
    </cfRule>
    <cfRule type="containsText" dxfId="5204" priority="248" operator="containsText" text="CMS">
      <formula>NOT(ISERROR(SEARCH("CMS",R19)))</formula>
    </cfRule>
    <cfRule type="cellIs" dxfId="5203" priority="249" operator="equal">
      <formula>0</formula>
    </cfRule>
    <cfRule type="cellIs" dxfId="5202" priority="250" operator="greaterThan">
      <formula>0</formula>
    </cfRule>
    <cfRule type="cellIs" dxfId="5201" priority="251" operator="equal">
      <formula>"PMS"</formula>
    </cfRule>
    <cfRule type="containsText" dxfId="5200" priority="252" operator="containsText" text="CMS">
      <formula>NOT(ISERROR(SEARCH("CMS",R19)))</formula>
    </cfRule>
    <cfRule type="cellIs" dxfId="5199" priority="253" operator="equal">
      <formula>0</formula>
    </cfRule>
    <cfRule type="cellIs" dxfId="5198" priority="254" operator="greaterThan">
      <formula>0</formula>
    </cfRule>
  </conditionalFormatting>
  <conditionalFormatting sqref="R19:T19">
    <cfRule type="cellIs" dxfId="5197" priority="243" operator="equal">
      <formula>"PMS"</formula>
    </cfRule>
    <cfRule type="containsText" dxfId="5196" priority="244" operator="containsText" text="CMS">
      <formula>NOT(ISERROR(SEARCH("CMS",R19)))</formula>
    </cfRule>
    <cfRule type="cellIs" dxfId="5195" priority="245" operator="equal">
      <formula>0</formula>
    </cfRule>
    <cfRule type="cellIs" dxfId="5194" priority="246" operator="greaterThan">
      <formula>0</formula>
    </cfRule>
  </conditionalFormatting>
  <conditionalFormatting sqref="G13:G16">
    <cfRule type="cellIs" dxfId="5193" priority="235" operator="equal">
      <formula>"PMS"</formula>
    </cfRule>
    <cfRule type="containsText" dxfId="5192" priority="236" operator="containsText" text="CMS">
      <formula>NOT(ISERROR(SEARCH("CMS",G13)))</formula>
    </cfRule>
    <cfRule type="cellIs" dxfId="5191" priority="237" operator="equal">
      <formula>0</formula>
    </cfRule>
    <cfRule type="cellIs" dxfId="5190" priority="238" operator="greaterThan">
      <formula>0</formula>
    </cfRule>
    <cfRule type="cellIs" dxfId="5189" priority="239" operator="equal">
      <formula>"PMS"</formula>
    </cfRule>
    <cfRule type="containsText" dxfId="5188" priority="240" operator="containsText" text="CMS">
      <formula>NOT(ISERROR(SEARCH("CMS",G13)))</formula>
    </cfRule>
    <cfRule type="cellIs" dxfId="5187" priority="241" operator="equal">
      <formula>0</formula>
    </cfRule>
    <cfRule type="cellIs" dxfId="5186" priority="242" operator="greaterThan">
      <formula>0</formula>
    </cfRule>
  </conditionalFormatting>
  <conditionalFormatting sqref="G13:G16">
    <cfRule type="cellIs" dxfId="5185" priority="231" operator="equal">
      <formula>"PMS"</formula>
    </cfRule>
    <cfRule type="containsText" dxfId="5184" priority="232" operator="containsText" text="CMS">
      <formula>NOT(ISERROR(SEARCH("CMS",G13)))</formula>
    </cfRule>
    <cfRule type="cellIs" dxfId="5183" priority="233" operator="equal">
      <formula>0</formula>
    </cfRule>
    <cfRule type="cellIs" dxfId="5182" priority="234" operator="greaterThan">
      <formula>0</formula>
    </cfRule>
  </conditionalFormatting>
  <conditionalFormatting sqref="M13">
    <cfRule type="cellIs" dxfId="5181" priority="223" operator="equal">
      <formula>"PMS"</formula>
    </cfRule>
    <cfRule type="containsText" dxfId="5180" priority="224" operator="containsText" text="CMS">
      <formula>NOT(ISERROR(SEARCH("CMS",M13)))</formula>
    </cfRule>
    <cfRule type="cellIs" dxfId="5179" priority="225" operator="equal">
      <formula>0</formula>
    </cfRule>
    <cfRule type="cellIs" dxfId="5178" priority="226" operator="greaterThan">
      <formula>0</formula>
    </cfRule>
    <cfRule type="cellIs" dxfId="5177" priority="227" operator="equal">
      <formula>"PMS"</formula>
    </cfRule>
    <cfRule type="containsText" dxfId="5176" priority="228" operator="containsText" text="CMS">
      <formula>NOT(ISERROR(SEARCH("CMS",M13)))</formula>
    </cfRule>
    <cfRule type="cellIs" dxfId="5175" priority="229" operator="equal">
      <formula>0</formula>
    </cfRule>
    <cfRule type="cellIs" dxfId="5174" priority="230" operator="greaterThan">
      <formula>0</formula>
    </cfRule>
  </conditionalFormatting>
  <conditionalFormatting sqref="M13">
    <cfRule type="cellIs" dxfId="5173" priority="219" operator="equal">
      <formula>"PMS"</formula>
    </cfRule>
    <cfRule type="containsText" dxfId="5172" priority="220" operator="containsText" text="CMS">
      <formula>NOT(ISERROR(SEARCH("CMS",M13)))</formula>
    </cfRule>
    <cfRule type="cellIs" dxfId="5171" priority="221" operator="equal">
      <formula>0</formula>
    </cfRule>
    <cfRule type="cellIs" dxfId="5170" priority="222" operator="greaterThan">
      <formula>0</formula>
    </cfRule>
  </conditionalFormatting>
  <conditionalFormatting sqref="O15">
    <cfRule type="cellIs" dxfId="5169" priority="199" operator="equal">
      <formula>"PMS"</formula>
    </cfRule>
    <cfRule type="containsText" dxfId="5168" priority="200" operator="containsText" text="CMS">
      <formula>NOT(ISERROR(SEARCH("CMS",O15)))</formula>
    </cfRule>
    <cfRule type="cellIs" dxfId="5167" priority="201" operator="equal">
      <formula>0</formula>
    </cfRule>
    <cfRule type="cellIs" dxfId="5166" priority="202" operator="greaterThan">
      <formula>0</formula>
    </cfRule>
    <cfRule type="cellIs" dxfId="5165" priority="203" operator="equal">
      <formula>"PMS"</formula>
    </cfRule>
    <cfRule type="containsText" dxfId="5164" priority="204" operator="containsText" text="CMS">
      <formula>NOT(ISERROR(SEARCH("CMS",O15)))</formula>
    </cfRule>
    <cfRule type="cellIs" dxfId="5163" priority="205" operator="equal">
      <formula>0</formula>
    </cfRule>
    <cfRule type="cellIs" dxfId="5162" priority="206" operator="greaterThan">
      <formula>0</formula>
    </cfRule>
  </conditionalFormatting>
  <conditionalFormatting sqref="O15">
    <cfRule type="cellIs" dxfId="5161" priority="195" operator="equal">
      <formula>"PMS"</formula>
    </cfRule>
    <cfRule type="containsText" dxfId="5160" priority="196" operator="containsText" text="CMS">
      <formula>NOT(ISERROR(SEARCH("CMS",O15)))</formula>
    </cfRule>
    <cfRule type="cellIs" dxfId="5159" priority="197" operator="equal">
      <formula>0</formula>
    </cfRule>
    <cfRule type="cellIs" dxfId="5158" priority="198" operator="greaterThan">
      <formula>0</formula>
    </cfRule>
  </conditionalFormatting>
  <conditionalFormatting sqref="O16">
    <cfRule type="cellIs" dxfId="5157" priority="187" operator="equal">
      <formula>"PMS"</formula>
    </cfRule>
    <cfRule type="containsText" dxfId="5156" priority="188" operator="containsText" text="CMS">
      <formula>NOT(ISERROR(SEARCH("CMS",O16)))</formula>
    </cfRule>
    <cfRule type="cellIs" dxfId="5155" priority="189" operator="equal">
      <formula>0</formula>
    </cfRule>
    <cfRule type="cellIs" dxfId="5154" priority="190" operator="greaterThan">
      <formula>0</formula>
    </cfRule>
    <cfRule type="cellIs" dxfId="5153" priority="191" operator="equal">
      <formula>"PMS"</formula>
    </cfRule>
    <cfRule type="containsText" dxfId="5152" priority="192" operator="containsText" text="CMS">
      <formula>NOT(ISERROR(SEARCH("CMS",O16)))</formula>
    </cfRule>
    <cfRule type="cellIs" dxfId="5151" priority="193" operator="equal">
      <formula>0</formula>
    </cfRule>
    <cfRule type="cellIs" dxfId="5150" priority="194" operator="greaterThan">
      <formula>0</formula>
    </cfRule>
  </conditionalFormatting>
  <conditionalFormatting sqref="O16">
    <cfRule type="cellIs" dxfId="5149" priority="183" operator="equal">
      <formula>"PMS"</formula>
    </cfRule>
    <cfRule type="containsText" dxfId="5148" priority="184" operator="containsText" text="CMS">
      <formula>NOT(ISERROR(SEARCH("CMS",O16)))</formula>
    </cfRule>
    <cfRule type="cellIs" dxfId="5147" priority="185" operator="equal">
      <formula>0</formula>
    </cfRule>
    <cfRule type="cellIs" dxfId="5146" priority="186" operator="greaterThan">
      <formula>0</formula>
    </cfRule>
  </conditionalFormatting>
  <conditionalFormatting sqref="N15">
    <cfRule type="cellIs" dxfId="5145" priority="175" operator="equal">
      <formula>"PMS"</formula>
    </cfRule>
    <cfRule type="containsText" dxfId="5144" priority="176" operator="containsText" text="CMS">
      <formula>NOT(ISERROR(SEARCH("CMS",N15)))</formula>
    </cfRule>
    <cfRule type="cellIs" dxfId="5143" priority="177" operator="equal">
      <formula>0</formula>
    </cfRule>
    <cfRule type="cellIs" dxfId="5142" priority="178" operator="greaterThan">
      <formula>0</formula>
    </cfRule>
    <cfRule type="cellIs" dxfId="5141" priority="179" operator="equal">
      <formula>"PMS"</formula>
    </cfRule>
    <cfRule type="containsText" dxfId="5140" priority="180" operator="containsText" text="CMS">
      <formula>NOT(ISERROR(SEARCH("CMS",N15)))</formula>
    </cfRule>
    <cfRule type="cellIs" dxfId="5139" priority="181" operator="equal">
      <formula>0</formula>
    </cfRule>
    <cfRule type="cellIs" dxfId="5138" priority="182" operator="greaterThan">
      <formula>0</formula>
    </cfRule>
  </conditionalFormatting>
  <conditionalFormatting sqref="N15">
    <cfRule type="cellIs" dxfId="5137" priority="171" operator="equal">
      <formula>"PMS"</formula>
    </cfRule>
    <cfRule type="containsText" dxfId="5136" priority="172" operator="containsText" text="CMS">
      <formula>NOT(ISERROR(SEARCH("CMS",N15)))</formula>
    </cfRule>
    <cfRule type="cellIs" dxfId="5135" priority="173" operator="equal">
      <formula>0</formula>
    </cfRule>
    <cfRule type="cellIs" dxfId="5134" priority="174" operator="greaterThan">
      <formula>0</formula>
    </cfRule>
  </conditionalFormatting>
  <conditionalFormatting sqref="N16">
    <cfRule type="cellIs" dxfId="5133" priority="163" operator="equal">
      <formula>"PMS"</formula>
    </cfRule>
    <cfRule type="containsText" dxfId="5132" priority="164" operator="containsText" text="CMS">
      <formula>NOT(ISERROR(SEARCH("CMS",N16)))</formula>
    </cfRule>
    <cfRule type="cellIs" dxfId="5131" priority="165" operator="equal">
      <formula>0</formula>
    </cfRule>
    <cfRule type="cellIs" dxfId="5130" priority="166" operator="greaterThan">
      <formula>0</formula>
    </cfRule>
    <cfRule type="cellIs" dxfId="5129" priority="167" operator="equal">
      <formula>"PMS"</formula>
    </cfRule>
    <cfRule type="containsText" dxfId="5128" priority="168" operator="containsText" text="CMS">
      <formula>NOT(ISERROR(SEARCH("CMS",N16)))</formula>
    </cfRule>
    <cfRule type="cellIs" dxfId="5127" priority="169" operator="equal">
      <formula>0</formula>
    </cfRule>
    <cfRule type="cellIs" dxfId="5126" priority="170" operator="greaterThan">
      <formula>0</formula>
    </cfRule>
  </conditionalFormatting>
  <conditionalFormatting sqref="N16">
    <cfRule type="cellIs" dxfId="5125" priority="159" operator="equal">
      <formula>"PMS"</formula>
    </cfRule>
    <cfRule type="containsText" dxfId="5124" priority="160" operator="containsText" text="CMS">
      <formula>NOT(ISERROR(SEARCH("CMS",N16)))</formula>
    </cfRule>
    <cfRule type="cellIs" dxfId="5123" priority="161" operator="equal">
      <formula>0</formula>
    </cfRule>
    <cfRule type="cellIs" dxfId="5122" priority="162" operator="greaterThan">
      <formula>0</formula>
    </cfRule>
  </conditionalFormatting>
  <conditionalFormatting sqref="N21:O21">
    <cfRule type="cellIs" dxfId="5121" priority="151" operator="equal">
      <formula>"PMS"</formula>
    </cfRule>
    <cfRule type="containsText" dxfId="5120" priority="152" operator="containsText" text="CMS">
      <formula>NOT(ISERROR(SEARCH("CMS",N21)))</formula>
    </cfRule>
    <cfRule type="cellIs" dxfId="5119" priority="153" operator="equal">
      <formula>0</formula>
    </cfRule>
    <cfRule type="cellIs" dxfId="5118" priority="154" operator="greaterThan">
      <formula>0</formula>
    </cfRule>
    <cfRule type="cellIs" dxfId="5117" priority="155" operator="equal">
      <formula>"PMS"</formula>
    </cfRule>
    <cfRule type="containsText" dxfId="5116" priority="156" operator="containsText" text="CMS">
      <formula>NOT(ISERROR(SEARCH("CMS",N21)))</formula>
    </cfRule>
    <cfRule type="cellIs" dxfId="5115" priority="157" operator="equal">
      <formula>0</formula>
    </cfRule>
    <cfRule type="cellIs" dxfId="5114" priority="158" operator="greaterThan">
      <formula>0</formula>
    </cfRule>
  </conditionalFormatting>
  <conditionalFormatting sqref="N21:O21">
    <cfRule type="cellIs" dxfId="5113" priority="147" operator="equal">
      <formula>"PMS"</formula>
    </cfRule>
    <cfRule type="containsText" dxfId="5112" priority="148" operator="containsText" text="CMS">
      <formula>NOT(ISERROR(SEARCH("CMS",N21)))</formula>
    </cfRule>
    <cfRule type="cellIs" dxfId="5111" priority="149" operator="equal">
      <formula>0</formula>
    </cfRule>
    <cfRule type="cellIs" dxfId="5110" priority="150" operator="greaterThan">
      <formula>0</formula>
    </cfRule>
  </conditionalFormatting>
  <conditionalFormatting sqref="G28">
    <cfRule type="cellIs" dxfId="5109" priority="139" operator="equal">
      <formula>"PMS"</formula>
    </cfRule>
    <cfRule type="containsText" dxfId="5108" priority="140" operator="containsText" text="CMS">
      <formula>NOT(ISERROR(SEARCH("CMS",G28)))</formula>
    </cfRule>
    <cfRule type="cellIs" dxfId="5107" priority="141" operator="equal">
      <formula>0</formula>
    </cfRule>
    <cfRule type="cellIs" dxfId="5106" priority="142" operator="greaterThan">
      <formula>0</formula>
    </cfRule>
    <cfRule type="cellIs" dxfId="5105" priority="143" operator="equal">
      <formula>"PMS"</formula>
    </cfRule>
    <cfRule type="containsText" dxfId="5104" priority="144" operator="containsText" text="CMS">
      <formula>NOT(ISERROR(SEARCH("CMS",G28)))</formula>
    </cfRule>
    <cfRule type="cellIs" dxfId="5103" priority="145" operator="equal">
      <formula>0</formula>
    </cfRule>
    <cfRule type="cellIs" dxfId="5102" priority="146" operator="greaterThan">
      <formula>0</formula>
    </cfRule>
  </conditionalFormatting>
  <conditionalFormatting sqref="G28">
    <cfRule type="cellIs" dxfId="5101" priority="135" operator="equal">
      <formula>"PMS"</formula>
    </cfRule>
    <cfRule type="containsText" dxfId="5100" priority="136" operator="containsText" text="CMS">
      <formula>NOT(ISERROR(SEARCH("CMS",G28)))</formula>
    </cfRule>
    <cfRule type="cellIs" dxfId="5099" priority="137" operator="equal">
      <formula>0</formula>
    </cfRule>
    <cfRule type="cellIs" dxfId="5098" priority="138" operator="greaterThan">
      <formula>0</formula>
    </cfRule>
  </conditionalFormatting>
  <conditionalFormatting sqref="K13">
    <cfRule type="cellIs" dxfId="5097" priority="127" operator="equal">
      <formula>"PMS"</formula>
    </cfRule>
    <cfRule type="containsText" dxfId="5096" priority="128" operator="containsText" text="CMS">
      <formula>NOT(ISERROR(SEARCH("CMS",K13)))</formula>
    </cfRule>
    <cfRule type="cellIs" dxfId="5095" priority="129" operator="equal">
      <formula>0</formula>
    </cfRule>
    <cfRule type="cellIs" dxfId="5094" priority="130" operator="greaterThan">
      <formula>0</formula>
    </cfRule>
    <cfRule type="cellIs" dxfId="5093" priority="131" operator="equal">
      <formula>"PMS"</formula>
    </cfRule>
    <cfRule type="containsText" dxfId="5092" priority="132" operator="containsText" text="CMS">
      <formula>NOT(ISERROR(SEARCH("CMS",K13)))</formula>
    </cfRule>
    <cfRule type="cellIs" dxfId="5091" priority="133" operator="equal">
      <formula>0</formula>
    </cfRule>
    <cfRule type="cellIs" dxfId="5090" priority="134" operator="greaterThan">
      <formula>0</formula>
    </cfRule>
  </conditionalFormatting>
  <conditionalFormatting sqref="K13">
    <cfRule type="cellIs" dxfId="5089" priority="123" operator="equal">
      <formula>"PMS"</formula>
    </cfRule>
    <cfRule type="containsText" dxfId="5088" priority="124" operator="containsText" text="CMS">
      <formula>NOT(ISERROR(SEARCH("CMS",K13)))</formula>
    </cfRule>
    <cfRule type="cellIs" dxfId="5087" priority="125" operator="equal">
      <formula>0</formula>
    </cfRule>
    <cfRule type="cellIs" dxfId="5086" priority="126" operator="greaterThan">
      <formula>0</formula>
    </cfRule>
  </conditionalFormatting>
  <conditionalFormatting sqref="F67:F75">
    <cfRule type="cellIs" dxfId="5085" priority="115" operator="equal">
      <formula>"PMS"</formula>
    </cfRule>
    <cfRule type="containsText" dxfId="5084" priority="116" operator="containsText" text="CMS">
      <formula>NOT(ISERROR(SEARCH("CMS",F67)))</formula>
    </cfRule>
    <cfRule type="cellIs" dxfId="5083" priority="117" operator="equal">
      <formula>0</formula>
    </cfRule>
    <cfRule type="cellIs" dxfId="5082" priority="118" operator="greaterThan">
      <formula>0</formula>
    </cfRule>
    <cfRule type="cellIs" dxfId="5081" priority="119" operator="equal">
      <formula>"PMS"</formula>
    </cfRule>
    <cfRule type="containsText" dxfId="5080" priority="120" operator="containsText" text="CMS">
      <formula>NOT(ISERROR(SEARCH("CMS",F67)))</formula>
    </cfRule>
    <cfRule type="cellIs" dxfId="5079" priority="121" operator="equal">
      <formula>0</formula>
    </cfRule>
    <cfRule type="cellIs" dxfId="5078" priority="122" operator="greaterThan">
      <formula>0</formula>
    </cfRule>
  </conditionalFormatting>
  <conditionalFormatting sqref="F67:F75">
    <cfRule type="cellIs" dxfId="5077" priority="111" operator="equal">
      <formula>"PMS"</formula>
    </cfRule>
    <cfRule type="containsText" dxfId="5076" priority="112" operator="containsText" text="CMS">
      <formula>NOT(ISERROR(SEARCH("CMS",F67)))</formula>
    </cfRule>
    <cfRule type="cellIs" dxfId="5075" priority="113" operator="equal">
      <formula>0</formula>
    </cfRule>
    <cfRule type="cellIs" dxfId="5074" priority="114" operator="greaterThan">
      <formula>0</formula>
    </cfRule>
  </conditionalFormatting>
  <conditionalFormatting sqref="E113:AC113 F112:N112">
    <cfRule type="cellIs" dxfId="5073" priority="110" operator="greaterThan">
      <formula>60.3</formula>
    </cfRule>
  </conditionalFormatting>
  <conditionalFormatting sqref="O112:AC112">
    <cfRule type="cellIs" dxfId="5072" priority="109" operator="greaterThan">
      <formula>60.3</formula>
    </cfRule>
  </conditionalFormatting>
  <conditionalFormatting sqref="F13:F16">
    <cfRule type="cellIs" dxfId="5071" priority="101" operator="equal">
      <formula>"PMS"</formula>
    </cfRule>
    <cfRule type="containsText" dxfId="5070" priority="102" operator="containsText" text="CMS">
      <formula>NOT(ISERROR(SEARCH("CMS",F13)))</formula>
    </cfRule>
    <cfRule type="cellIs" dxfId="5069" priority="103" operator="equal">
      <formula>0</formula>
    </cfRule>
    <cfRule type="cellIs" dxfId="5068" priority="104" operator="greaterThan">
      <formula>0</formula>
    </cfRule>
    <cfRule type="cellIs" dxfId="5067" priority="105" operator="equal">
      <formula>"PMS"</formula>
    </cfRule>
    <cfRule type="containsText" dxfId="5066" priority="106" operator="containsText" text="CMS">
      <formula>NOT(ISERROR(SEARCH("CMS",F13)))</formula>
    </cfRule>
    <cfRule type="cellIs" dxfId="5065" priority="107" operator="equal">
      <formula>0</formula>
    </cfRule>
    <cfRule type="cellIs" dxfId="5064" priority="108" operator="greaterThan">
      <formula>0</formula>
    </cfRule>
  </conditionalFormatting>
  <conditionalFormatting sqref="F13:F16">
    <cfRule type="cellIs" dxfId="5063" priority="97" operator="equal">
      <formula>"PMS"</formula>
    </cfRule>
    <cfRule type="containsText" dxfId="5062" priority="98" operator="containsText" text="CMS">
      <formula>NOT(ISERROR(SEARCH("CMS",F13)))</formula>
    </cfRule>
    <cfRule type="cellIs" dxfId="5061" priority="99" operator="equal">
      <formula>0</formula>
    </cfRule>
    <cfRule type="cellIs" dxfId="5060" priority="100" operator="greaterThan">
      <formula>0</formula>
    </cfRule>
  </conditionalFormatting>
  <conditionalFormatting sqref="F24">
    <cfRule type="cellIs" dxfId="5059" priority="77" operator="equal">
      <formula>"PMS"</formula>
    </cfRule>
    <cfRule type="containsText" dxfId="5058" priority="78" operator="containsText" text="CMS">
      <formula>NOT(ISERROR(SEARCH("CMS",F24)))</formula>
    </cfRule>
    <cfRule type="cellIs" dxfId="5057" priority="79" operator="equal">
      <formula>0</formula>
    </cfRule>
    <cfRule type="cellIs" dxfId="5056" priority="80" operator="greaterThan">
      <formula>0</formula>
    </cfRule>
    <cfRule type="cellIs" dxfId="5055" priority="81" operator="equal">
      <formula>"PMS"</formula>
    </cfRule>
    <cfRule type="containsText" dxfId="5054" priority="82" operator="containsText" text="CMS">
      <formula>NOT(ISERROR(SEARCH("CMS",F24)))</formula>
    </cfRule>
    <cfRule type="cellIs" dxfId="5053" priority="83" operator="equal">
      <formula>0</formula>
    </cfRule>
    <cfRule type="cellIs" dxfId="5052" priority="84" operator="greaterThan">
      <formula>0</formula>
    </cfRule>
  </conditionalFormatting>
  <conditionalFormatting sqref="F24">
    <cfRule type="cellIs" dxfId="5051" priority="73" operator="equal">
      <formula>"PMS"</formula>
    </cfRule>
    <cfRule type="containsText" dxfId="5050" priority="74" operator="containsText" text="CMS">
      <formula>NOT(ISERROR(SEARCH("CMS",F24)))</formula>
    </cfRule>
    <cfRule type="cellIs" dxfId="5049" priority="75" operator="equal">
      <formula>0</formula>
    </cfRule>
    <cfRule type="cellIs" dxfId="5048" priority="76" operator="greaterThan">
      <formula>0</formula>
    </cfRule>
  </conditionalFormatting>
  <conditionalFormatting sqref="F30">
    <cfRule type="cellIs" dxfId="5047" priority="65" operator="equal">
      <formula>"PMS"</formula>
    </cfRule>
    <cfRule type="containsText" dxfId="5046" priority="66" operator="containsText" text="CMS">
      <formula>NOT(ISERROR(SEARCH("CMS",F30)))</formula>
    </cfRule>
    <cfRule type="cellIs" dxfId="5045" priority="67" operator="equal">
      <formula>0</formula>
    </cfRule>
    <cfRule type="cellIs" dxfId="5044" priority="68" operator="greaterThan">
      <formula>0</formula>
    </cfRule>
    <cfRule type="cellIs" dxfId="5043" priority="69" operator="equal">
      <formula>"PMS"</formula>
    </cfRule>
    <cfRule type="containsText" dxfId="5042" priority="70" operator="containsText" text="CMS">
      <formula>NOT(ISERROR(SEARCH("CMS",F30)))</formula>
    </cfRule>
    <cfRule type="cellIs" dxfId="5041" priority="71" operator="equal">
      <formula>0</formula>
    </cfRule>
    <cfRule type="cellIs" dxfId="5040" priority="72" operator="greaterThan">
      <formula>0</formula>
    </cfRule>
  </conditionalFormatting>
  <conditionalFormatting sqref="F30">
    <cfRule type="cellIs" dxfId="5039" priority="61" operator="equal">
      <formula>"PMS"</formula>
    </cfRule>
    <cfRule type="containsText" dxfId="5038" priority="62" operator="containsText" text="CMS">
      <formula>NOT(ISERROR(SEARCH("CMS",F30)))</formula>
    </cfRule>
    <cfRule type="cellIs" dxfId="5037" priority="63" operator="equal">
      <formula>0</formula>
    </cfRule>
    <cfRule type="cellIs" dxfId="5036" priority="64" operator="greaterThan">
      <formula>0</formula>
    </cfRule>
  </conditionalFormatting>
  <conditionalFormatting sqref="F33">
    <cfRule type="cellIs" dxfId="5035" priority="53" operator="equal">
      <formula>"PMS"</formula>
    </cfRule>
    <cfRule type="containsText" dxfId="5034" priority="54" operator="containsText" text="CMS">
      <formula>NOT(ISERROR(SEARCH("CMS",F33)))</formula>
    </cfRule>
    <cfRule type="cellIs" dxfId="5033" priority="55" operator="equal">
      <formula>0</formula>
    </cfRule>
    <cfRule type="cellIs" dxfId="5032" priority="56" operator="greaterThan">
      <formula>0</formula>
    </cfRule>
    <cfRule type="cellIs" dxfId="5031" priority="57" operator="equal">
      <formula>"PMS"</formula>
    </cfRule>
    <cfRule type="containsText" dxfId="5030" priority="58" operator="containsText" text="CMS">
      <formula>NOT(ISERROR(SEARCH("CMS",F33)))</formula>
    </cfRule>
    <cfRule type="cellIs" dxfId="5029" priority="59" operator="equal">
      <formula>0</formula>
    </cfRule>
    <cfRule type="cellIs" dxfId="5028" priority="60" operator="greaterThan">
      <formula>0</formula>
    </cfRule>
  </conditionalFormatting>
  <conditionalFormatting sqref="F33">
    <cfRule type="cellIs" dxfId="5027" priority="49" operator="equal">
      <formula>"PMS"</formula>
    </cfRule>
    <cfRule type="containsText" dxfId="5026" priority="50" operator="containsText" text="CMS">
      <formula>NOT(ISERROR(SEARCH("CMS",F33)))</formula>
    </cfRule>
    <cfRule type="cellIs" dxfId="5025" priority="51" operator="equal">
      <formula>0</formula>
    </cfRule>
    <cfRule type="cellIs" dxfId="5024" priority="52" operator="greaterThan">
      <formula>0</formula>
    </cfRule>
  </conditionalFormatting>
  <conditionalFormatting sqref="F36:F59">
    <cfRule type="cellIs" dxfId="5023" priority="41" operator="equal">
      <formula>"PMS"</formula>
    </cfRule>
    <cfRule type="containsText" dxfId="5022" priority="42" operator="containsText" text="CMS">
      <formula>NOT(ISERROR(SEARCH("CMS",F36)))</formula>
    </cfRule>
    <cfRule type="cellIs" dxfId="5021" priority="43" operator="equal">
      <formula>0</formula>
    </cfRule>
    <cfRule type="cellIs" dxfId="5020" priority="44" operator="greaterThan">
      <formula>0</formula>
    </cfRule>
    <cfRule type="cellIs" dxfId="5019" priority="45" operator="equal">
      <formula>"PMS"</formula>
    </cfRule>
    <cfRule type="containsText" dxfId="5018" priority="46" operator="containsText" text="CMS">
      <formula>NOT(ISERROR(SEARCH("CMS",F36)))</formula>
    </cfRule>
    <cfRule type="cellIs" dxfId="5017" priority="47" operator="equal">
      <formula>0</formula>
    </cfRule>
    <cfRule type="cellIs" dxfId="5016" priority="48" operator="greaterThan">
      <formula>0</formula>
    </cfRule>
  </conditionalFormatting>
  <conditionalFormatting sqref="F36:F59">
    <cfRule type="cellIs" dxfId="5015" priority="37" operator="equal">
      <formula>"PMS"</formula>
    </cfRule>
    <cfRule type="containsText" dxfId="5014" priority="38" operator="containsText" text="CMS">
      <formula>NOT(ISERROR(SEARCH("CMS",F36)))</formula>
    </cfRule>
    <cfRule type="cellIs" dxfId="5013" priority="39" operator="equal">
      <formula>0</formula>
    </cfRule>
    <cfRule type="cellIs" dxfId="5012" priority="40" operator="greaterThan">
      <formula>0</formula>
    </cfRule>
  </conditionalFormatting>
  <conditionalFormatting sqref="F62:F64">
    <cfRule type="cellIs" dxfId="5011" priority="29" operator="equal">
      <formula>"PMS"</formula>
    </cfRule>
    <cfRule type="containsText" dxfId="5010" priority="30" operator="containsText" text="CMS">
      <formula>NOT(ISERROR(SEARCH("CMS",F62)))</formula>
    </cfRule>
    <cfRule type="cellIs" dxfId="5009" priority="31" operator="equal">
      <formula>0</formula>
    </cfRule>
    <cfRule type="cellIs" dxfId="5008" priority="32" operator="greaterThan">
      <formula>0</formula>
    </cfRule>
    <cfRule type="cellIs" dxfId="5007" priority="33" operator="equal">
      <formula>"PMS"</formula>
    </cfRule>
    <cfRule type="containsText" dxfId="5006" priority="34" operator="containsText" text="CMS">
      <formula>NOT(ISERROR(SEARCH("CMS",F62)))</formula>
    </cfRule>
    <cfRule type="cellIs" dxfId="5005" priority="35" operator="equal">
      <formula>0</formula>
    </cfRule>
    <cfRule type="cellIs" dxfId="5004" priority="36" operator="greaterThan">
      <formula>0</formula>
    </cfRule>
  </conditionalFormatting>
  <conditionalFormatting sqref="F62:F64">
    <cfRule type="cellIs" dxfId="5003" priority="25" operator="equal">
      <formula>"PMS"</formula>
    </cfRule>
    <cfRule type="containsText" dxfId="5002" priority="26" operator="containsText" text="CMS">
      <formula>NOT(ISERROR(SEARCH("CMS",F62)))</formula>
    </cfRule>
    <cfRule type="cellIs" dxfId="5001" priority="27" operator="equal">
      <formula>0</formula>
    </cfRule>
    <cfRule type="cellIs" dxfId="5000" priority="28" operator="greaterThan">
      <formula>0</formula>
    </cfRule>
  </conditionalFormatting>
  <conditionalFormatting sqref="F78:F79">
    <cfRule type="cellIs" dxfId="4999" priority="17" operator="equal">
      <formula>"PMS"</formula>
    </cfRule>
    <cfRule type="containsText" dxfId="4998" priority="18" operator="containsText" text="CMS">
      <formula>NOT(ISERROR(SEARCH("CMS",F78)))</formula>
    </cfRule>
    <cfRule type="cellIs" dxfId="4997" priority="19" operator="equal">
      <formula>0</formula>
    </cfRule>
    <cfRule type="cellIs" dxfId="4996" priority="20" operator="greaterThan">
      <formula>0</formula>
    </cfRule>
    <cfRule type="cellIs" dxfId="4995" priority="21" operator="equal">
      <formula>"PMS"</formula>
    </cfRule>
    <cfRule type="containsText" dxfId="4994" priority="22" operator="containsText" text="CMS">
      <formula>NOT(ISERROR(SEARCH("CMS",F78)))</formula>
    </cfRule>
    <cfRule type="cellIs" dxfId="4993" priority="23" operator="equal">
      <formula>0</formula>
    </cfRule>
    <cfRule type="cellIs" dxfId="4992" priority="24" operator="greaterThan">
      <formula>0</formula>
    </cfRule>
  </conditionalFormatting>
  <conditionalFormatting sqref="F78:F79">
    <cfRule type="cellIs" dxfId="4991" priority="13" operator="equal">
      <formula>"PMS"</formula>
    </cfRule>
    <cfRule type="containsText" dxfId="4990" priority="14" operator="containsText" text="CMS">
      <formula>NOT(ISERROR(SEARCH("CMS",F78)))</formula>
    </cfRule>
    <cfRule type="cellIs" dxfId="4989" priority="15" operator="equal">
      <formula>0</formula>
    </cfRule>
    <cfRule type="cellIs" dxfId="4988" priority="16" operator="greaterThan">
      <formula>0</formula>
    </cfRule>
  </conditionalFormatting>
  <conditionalFormatting sqref="F19:F21">
    <cfRule type="cellIs" dxfId="4987" priority="5" operator="equal">
      <formula>"PMS"</formula>
    </cfRule>
    <cfRule type="containsText" dxfId="4986" priority="6" operator="containsText" text="CMS">
      <formula>NOT(ISERROR(SEARCH("CMS",F19)))</formula>
    </cfRule>
    <cfRule type="cellIs" dxfId="4985" priority="7" operator="equal">
      <formula>0</formula>
    </cfRule>
    <cfRule type="cellIs" dxfId="4984" priority="8" operator="greaterThan">
      <formula>0</formula>
    </cfRule>
    <cfRule type="cellIs" dxfId="4983" priority="9" operator="equal">
      <formula>"PMS"</formula>
    </cfRule>
    <cfRule type="containsText" dxfId="4982" priority="10" operator="containsText" text="CMS">
      <formula>NOT(ISERROR(SEARCH("CMS",F19)))</formula>
    </cfRule>
    <cfRule type="cellIs" dxfId="4981" priority="11" operator="equal">
      <formula>0</formula>
    </cfRule>
    <cfRule type="cellIs" dxfId="4980" priority="12" operator="greaterThan">
      <formula>0</formula>
    </cfRule>
  </conditionalFormatting>
  <conditionalFormatting sqref="F19:F21">
    <cfRule type="cellIs" dxfId="4979" priority="1" operator="equal">
      <formula>"PMS"</formula>
    </cfRule>
    <cfRule type="containsText" dxfId="4978" priority="2" operator="containsText" text="CMS">
      <formula>NOT(ISERROR(SEARCH("CMS",F19)))</formula>
    </cfRule>
    <cfRule type="cellIs" dxfId="4977" priority="3" operator="equal">
      <formula>0</formula>
    </cfRule>
    <cfRule type="cellIs" dxfId="4976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2028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E6191B-D9AE-4A96-922E-9420869B1D82}">
  <sheetPr codeName="Sheet171"/>
  <dimension ref="A2:DT141"/>
  <sheetViews>
    <sheetView zoomScale="70" zoomScaleNormal="70" zoomScaleSheetLayoutView="51" zoomScalePageLayoutView="55" workbookViewId="0">
      <pane xSplit="5" ySplit="11" topLeftCell="F18" activePane="bottomRight" state="frozen"/>
      <selection pane="bottomRight" activeCell="Q29" sqref="Q29"/>
      <selection pane="bottomLeft" activeCell="AJ44" sqref="AJ44"/>
      <selection pane="topRight" activeCell="AJ44" sqref="AJ4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23"/>
      <c r="N8" s="523"/>
      <c r="O8" s="52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24" t="e" cm="1">
        <f t="array" aca="1" ref="M9" ca="1">TEXT(TODAY(),"mmmm")&amp;" "&amp;MID(CELL("filename",A1),FIND("]",CELL("filename",A1))+1,255)&amp;", "&amp;TEXT(TODAY(),"yyyy")</f>
        <v>#VALUE!</v>
      </c>
      <c r="N9" s="524"/>
      <c r="O9" s="524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4"/>
      <c r="R10" s="344"/>
      <c r="S10" s="344"/>
      <c r="T10" s="344"/>
      <c r="U10" s="344"/>
      <c r="V10" s="344"/>
      <c r="W10" s="344"/>
      <c r="X10" s="344"/>
      <c r="Y10" s="344"/>
      <c r="Z10" s="344"/>
      <c r="AA10" s="344"/>
      <c r="AB10" s="344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17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451.29999999999995</v>
      </c>
    </row>
    <row r="13" spans="1:41">
      <c r="A13" s="14" t="s">
        <v>22</v>
      </c>
      <c r="B13" s="15"/>
      <c r="C13" s="15">
        <v>7.2</v>
      </c>
      <c r="D13" s="15"/>
      <c r="E13" s="15"/>
      <c r="F13" s="372">
        <v>6.6</v>
      </c>
      <c r="G13" s="372">
        <v>6.7</v>
      </c>
      <c r="H13" s="372">
        <v>6.7</v>
      </c>
      <c r="I13" s="372">
        <v>6.7</v>
      </c>
      <c r="J13" s="372">
        <v>6.8</v>
      </c>
      <c r="K13" s="372">
        <v>6.8</v>
      </c>
      <c r="L13" s="374">
        <v>6.8</v>
      </c>
      <c r="M13" s="372">
        <v>6.2</v>
      </c>
      <c r="N13" s="372">
        <v>6.7</v>
      </c>
      <c r="O13" s="372">
        <v>6.8</v>
      </c>
      <c r="P13" s="372">
        <v>6.7</v>
      </c>
      <c r="Q13" s="372">
        <v>6.2</v>
      </c>
      <c r="R13" s="372">
        <v>6.4</v>
      </c>
      <c r="S13" s="372"/>
      <c r="T13" s="372"/>
      <c r="U13" s="372"/>
      <c r="V13" s="372"/>
      <c r="W13" s="372"/>
      <c r="X13" s="372"/>
      <c r="Y13" s="372"/>
      <c r="Z13" s="372"/>
      <c r="AA13" s="372"/>
      <c r="AB13" s="372"/>
      <c r="AC13" s="372"/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13</v>
      </c>
    </row>
    <row r="14" spans="1:41">
      <c r="A14" s="14" t="s">
        <v>23</v>
      </c>
      <c r="B14" s="15"/>
      <c r="C14" s="15">
        <v>7.2</v>
      </c>
      <c r="D14" s="15"/>
      <c r="E14" s="15"/>
      <c r="F14" s="372">
        <v>0</v>
      </c>
      <c r="G14" s="372">
        <v>0</v>
      </c>
      <c r="H14" s="374">
        <v>0</v>
      </c>
      <c r="I14" s="372">
        <v>0</v>
      </c>
      <c r="J14" s="372">
        <v>0</v>
      </c>
      <c r="K14" s="372">
        <v>0</v>
      </c>
      <c r="L14" s="372">
        <v>0</v>
      </c>
      <c r="M14" s="372">
        <v>0</v>
      </c>
      <c r="N14" s="372">
        <v>0</v>
      </c>
      <c r="O14" s="372">
        <v>0</v>
      </c>
      <c r="P14" s="372">
        <v>0</v>
      </c>
      <c r="Q14" s="372">
        <v>6.2</v>
      </c>
      <c r="R14" s="372">
        <v>6.4</v>
      </c>
      <c r="S14" s="372">
        <v>6.7</v>
      </c>
      <c r="T14" s="372">
        <v>6.7</v>
      </c>
      <c r="U14" s="372">
        <v>6.6</v>
      </c>
      <c r="V14" s="372">
        <v>6.5</v>
      </c>
      <c r="W14" s="372">
        <v>6.3</v>
      </c>
      <c r="X14" s="372">
        <v>6.5</v>
      </c>
      <c r="Y14" s="372">
        <v>6.6</v>
      </c>
      <c r="Z14" s="372">
        <v>6.6</v>
      </c>
      <c r="AA14" s="372">
        <v>6.4</v>
      </c>
      <c r="AB14" s="372">
        <v>6.7</v>
      </c>
      <c r="AC14" s="372">
        <v>6.7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372">
        <v>6.6</v>
      </c>
      <c r="G15" s="372">
        <v>6.4</v>
      </c>
      <c r="H15" s="374">
        <v>6.7</v>
      </c>
      <c r="I15" s="372">
        <v>6.7</v>
      </c>
      <c r="J15" s="372">
        <v>6.7</v>
      </c>
      <c r="K15" s="374">
        <v>6.7</v>
      </c>
      <c r="L15" s="374">
        <v>6.7</v>
      </c>
      <c r="M15" s="374">
        <v>6</v>
      </c>
      <c r="N15" s="372">
        <v>6.7</v>
      </c>
      <c r="O15" s="372">
        <v>6.8</v>
      </c>
      <c r="P15" s="372">
        <v>6.7</v>
      </c>
      <c r="Q15" s="372">
        <v>6.2</v>
      </c>
      <c r="R15" s="372">
        <v>6.4</v>
      </c>
      <c r="S15" s="372">
        <v>6.7</v>
      </c>
      <c r="T15" s="372">
        <v>6.7</v>
      </c>
      <c r="U15" s="372">
        <v>6.6</v>
      </c>
      <c r="V15" s="372">
        <v>6.5</v>
      </c>
      <c r="W15" s="372">
        <v>6.3</v>
      </c>
      <c r="X15" s="372">
        <v>6.5</v>
      </c>
      <c r="Y15" s="372">
        <v>6.6</v>
      </c>
      <c r="Z15" s="372">
        <v>6.6</v>
      </c>
      <c r="AA15" s="372">
        <v>6.3</v>
      </c>
      <c r="AB15" s="372">
        <v>6.5</v>
      </c>
      <c r="AC15" s="372">
        <v>6.5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372">
        <v>6.6</v>
      </c>
      <c r="G16" s="372">
        <v>6.5</v>
      </c>
      <c r="H16" s="374">
        <v>6.7</v>
      </c>
      <c r="I16" s="372">
        <v>0</v>
      </c>
      <c r="J16" s="372">
        <v>0</v>
      </c>
      <c r="K16" s="374">
        <v>0</v>
      </c>
      <c r="L16" s="374">
        <v>0</v>
      </c>
      <c r="M16" s="374">
        <v>0</v>
      </c>
      <c r="N16" s="372">
        <v>5.2</v>
      </c>
      <c r="O16" s="372">
        <v>6.8</v>
      </c>
      <c r="P16" s="372">
        <v>6.7</v>
      </c>
      <c r="Q16" s="372">
        <v>6.2</v>
      </c>
      <c r="R16" s="372">
        <v>6.4</v>
      </c>
      <c r="S16" s="372">
        <v>6.7</v>
      </c>
      <c r="T16" s="372">
        <v>6.7</v>
      </c>
      <c r="U16" s="372">
        <v>6.6</v>
      </c>
      <c r="V16" s="372">
        <v>6.5</v>
      </c>
      <c r="W16" s="372">
        <v>6.3</v>
      </c>
      <c r="X16" s="372">
        <v>6.5</v>
      </c>
      <c r="Y16" s="372">
        <v>6.6</v>
      </c>
      <c r="Z16" s="372">
        <v>6.7</v>
      </c>
      <c r="AA16" s="372">
        <v>6.4</v>
      </c>
      <c r="AB16" s="372">
        <v>6.5</v>
      </c>
      <c r="AC16" s="372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19.799999999999997</v>
      </c>
      <c r="G17" s="19">
        <f t="shared" si="0"/>
        <v>19.600000000000001</v>
      </c>
      <c r="H17" s="19">
        <f t="shared" si="0"/>
        <v>20.100000000000001</v>
      </c>
      <c r="I17" s="19">
        <f t="shared" si="0"/>
        <v>13.4</v>
      </c>
      <c r="J17" s="19">
        <f t="shared" si="0"/>
        <v>13.5</v>
      </c>
      <c r="K17" s="19">
        <f t="shared" si="0"/>
        <v>13.5</v>
      </c>
      <c r="L17" s="19">
        <f t="shared" si="0"/>
        <v>13.5</v>
      </c>
      <c r="M17" s="19">
        <f t="shared" si="0"/>
        <v>12.2</v>
      </c>
      <c r="N17" s="19">
        <f t="shared" si="0"/>
        <v>18.600000000000001</v>
      </c>
      <c r="O17" s="19">
        <f t="shared" si="0"/>
        <v>20.399999999999999</v>
      </c>
      <c r="P17" s="19">
        <f t="shared" si="0"/>
        <v>20.100000000000001</v>
      </c>
      <c r="Q17" s="19">
        <f t="shared" si="0"/>
        <v>24.8</v>
      </c>
      <c r="R17" s="19">
        <f t="shared" si="0"/>
        <v>25.6</v>
      </c>
      <c r="S17" s="19">
        <f t="shared" si="0"/>
        <v>20.100000000000001</v>
      </c>
      <c r="T17" s="19">
        <f t="shared" si="0"/>
        <v>20.100000000000001</v>
      </c>
      <c r="U17" s="19">
        <f t="shared" si="0"/>
        <v>19.799999999999997</v>
      </c>
      <c r="V17" s="19">
        <f t="shared" si="0"/>
        <v>19.5</v>
      </c>
      <c r="W17" s="19">
        <f t="shared" si="0"/>
        <v>18.899999999999999</v>
      </c>
      <c r="X17" s="19">
        <f t="shared" si="0"/>
        <v>19.5</v>
      </c>
      <c r="Y17" s="19">
        <f t="shared" si="0"/>
        <v>19.799999999999997</v>
      </c>
      <c r="Z17" s="19">
        <f t="shared" si="0"/>
        <v>19.899999999999999</v>
      </c>
      <c r="AA17" s="19">
        <f t="shared" si="0"/>
        <v>19.100000000000001</v>
      </c>
      <c r="AB17" s="19">
        <f t="shared" si="0"/>
        <v>19.7</v>
      </c>
      <c r="AC17" s="19">
        <f t="shared" si="0"/>
        <v>19.799999999999997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113.29999999999995</v>
      </c>
    </row>
    <row r="19" spans="1:51">
      <c r="A19" s="14" t="s">
        <v>22</v>
      </c>
      <c r="B19" s="15"/>
      <c r="C19" s="15">
        <v>3</v>
      </c>
      <c r="D19" s="15"/>
      <c r="E19" s="15"/>
      <c r="F19" s="372"/>
      <c r="G19" s="372"/>
      <c r="H19" s="372"/>
      <c r="I19" s="372"/>
      <c r="J19" s="372"/>
      <c r="K19" s="374"/>
      <c r="L19" s="374"/>
      <c r="M19" s="374"/>
      <c r="N19" s="374"/>
      <c r="O19" s="372">
        <v>2.8</v>
      </c>
      <c r="P19" s="374">
        <v>2.8</v>
      </c>
      <c r="Q19" s="372">
        <v>2.5</v>
      </c>
      <c r="R19" s="372">
        <v>2.5</v>
      </c>
      <c r="S19" s="372">
        <v>2.8</v>
      </c>
      <c r="T19" s="372">
        <v>2.8</v>
      </c>
      <c r="U19" s="372">
        <v>2.8</v>
      </c>
      <c r="V19" s="372">
        <v>2.8</v>
      </c>
      <c r="W19" s="372">
        <v>2.6</v>
      </c>
      <c r="X19" s="372">
        <v>2.8</v>
      </c>
      <c r="Y19" s="372">
        <v>2.8</v>
      </c>
      <c r="Z19" s="372">
        <v>2.8</v>
      </c>
      <c r="AA19" s="372">
        <v>2.8</v>
      </c>
      <c r="AB19" s="372">
        <v>2.2999999999999998</v>
      </c>
      <c r="AC19" s="372">
        <v>2.8</v>
      </c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15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372"/>
      <c r="G20" s="372"/>
      <c r="H20" s="372"/>
      <c r="I20" s="372"/>
      <c r="J20" s="372"/>
      <c r="K20" s="374"/>
      <c r="L20" s="374"/>
      <c r="M20" s="374"/>
      <c r="N20" s="372"/>
      <c r="O20" s="372"/>
      <c r="P20" s="372"/>
      <c r="Q20" s="372"/>
      <c r="R20" s="372"/>
      <c r="S20" s="372"/>
      <c r="T20" s="372"/>
      <c r="U20" s="372"/>
      <c r="V20" s="372"/>
      <c r="W20" s="372"/>
      <c r="X20" s="372"/>
      <c r="Y20" s="372"/>
      <c r="Z20" s="372"/>
      <c r="AA20" s="372"/>
      <c r="AB20" s="372"/>
      <c r="AC20" s="372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2">
        <v>3.8</v>
      </c>
      <c r="G21" s="372">
        <v>3.4</v>
      </c>
      <c r="H21" s="372"/>
      <c r="I21" s="372"/>
      <c r="J21" s="372"/>
      <c r="K21" s="372"/>
      <c r="L21" s="374">
        <v>3.8</v>
      </c>
      <c r="M21" s="374">
        <v>3.8</v>
      </c>
      <c r="N21" s="372">
        <v>3</v>
      </c>
      <c r="O21" s="372">
        <v>3.8</v>
      </c>
      <c r="P21" s="372">
        <v>3.8</v>
      </c>
      <c r="Q21" s="372">
        <v>3</v>
      </c>
      <c r="R21" s="372">
        <v>3</v>
      </c>
      <c r="S21" s="372">
        <v>3.8</v>
      </c>
      <c r="T21" s="372">
        <v>3.8</v>
      </c>
      <c r="U21" s="372">
        <v>3.8</v>
      </c>
      <c r="V21" s="372">
        <v>3.8</v>
      </c>
      <c r="W21" s="372">
        <v>3.6</v>
      </c>
      <c r="X21" s="372">
        <v>3.8</v>
      </c>
      <c r="Y21" s="372">
        <v>3.8</v>
      </c>
      <c r="Z21" s="372">
        <v>3.8</v>
      </c>
      <c r="AA21" s="372">
        <v>3.8</v>
      </c>
      <c r="AB21" s="372">
        <v>3.4</v>
      </c>
      <c r="AC21" s="372">
        <v>3.8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3.8</v>
      </c>
      <c r="G22" s="19">
        <f t="shared" si="1"/>
        <v>3.4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3.8</v>
      </c>
      <c r="M22" s="19">
        <f t="shared" si="1"/>
        <v>3.8</v>
      </c>
      <c r="N22" s="19">
        <f t="shared" si="1"/>
        <v>3</v>
      </c>
      <c r="O22" s="19">
        <f t="shared" si="1"/>
        <v>6.6</v>
      </c>
      <c r="P22" s="19">
        <f t="shared" si="1"/>
        <v>6.6</v>
      </c>
      <c r="Q22" s="19">
        <f t="shared" si="1"/>
        <v>5.5</v>
      </c>
      <c r="R22" s="19">
        <f t="shared" si="1"/>
        <v>5.5</v>
      </c>
      <c r="S22" s="19">
        <f>SUM(S19:S21)</f>
        <v>6.6</v>
      </c>
      <c r="T22" s="19">
        <f t="shared" ref="T22" si="2">SUM(T19:T21)</f>
        <v>6.6</v>
      </c>
      <c r="U22" s="19">
        <f t="shared" si="1"/>
        <v>6.6</v>
      </c>
      <c r="V22" s="19">
        <f t="shared" si="1"/>
        <v>6.6</v>
      </c>
      <c r="W22" s="19">
        <f t="shared" si="1"/>
        <v>6.2</v>
      </c>
      <c r="X22" s="19">
        <f t="shared" si="1"/>
        <v>6.6</v>
      </c>
      <c r="Y22" s="19">
        <f t="shared" si="1"/>
        <v>6.6</v>
      </c>
      <c r="Z22" s="19">
        <f t="shared" si="1"/>
        <v>6.6</v>
      </c>
      <c r="AA22" s="19">
        <f t="shared" si="1"/>
        <v>6.6</v>
      </c>
      <c r="AB22" s="19">
        <f>SUM(AB19:AB21)</f>
        <v>5.6999999999999993</v>
      </c>
      <c r="AC22" s="19">
        <f t="shared" si="1"/>
        <v>6.6</v>
      </c>
      <c r="AD22" s="41"/>
      <c r="AE22" s="41"/>
      <c r="AF22" s="11"/>
      <c r="AG22" s="11"/>
      <c r="AH22" s="11"/>
      <c r="AI22" s="400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409">
        <f>SUM(F24:AC24)</f>
        <v>51.599999999999987</v>
      </c>
    </row>
    <row r="24" spans="1:51">
      <c r="A24" s="14" t="s">
        <v>22</v>
      </c>
      <c r="B24" s="20"/>
      <c r="C24" s="15">
        <v>4.5</v>
      </c>
      <c r="D24" s="15"/>
      <c r="E24" s="15"/>
      <c r="F24" s="372" t="s">
        <v>9</v>
      </c>
      <c r="G24" s="372" t="s">
        <v>9</v>
      </c>
      <c r="H24" s="372">
        <v>0</v>
      </c>
      <c r="I24" s="372">
        <v>0</v>
      </c>
      <c r="J24" s="372">
        <v>0</v>
      </c>
      <c r="K24" s="374">
        <v>0</v>
      </c>
      <c r="L24" s="374">
        <v>0</v>
      </c>
      <c r="M24" s="374">
        <v>0</v>
      </c>
      <c r="N24" s="372">
        <v>0</v>
      </c>
      <c r="O24" s="372">
        <v>3.8</v>
      </c>
      <c r="P24" s="372">
        <v>3.8</v>
      </c>
      <c r="Q24" s="374">
        <v>3</v>
      </c>
      <c r="R24" s="372">
        <v>3</v>
      </c>
      <c r="S24" s="372">
        <v>3.8</v>
      </c>
      <c r="T24" s="372">
        <v>3.8</v>
      </c>
      <c r="U24" s="372">
        <v>3.8</v>
      </c>
      <c r="V24" s="372">
        <v>3.8</v>
      </c>
      <c r="W24" s="372">
        <v>3.8</v>
      </c>
      <c r="X24" s="492">
        <v>3.8</v>
      </c>
      <c r="Y24" s="372">
        <v>3.8</v>
      </c>
      <c r="Z24" s="372">
        <v>3.8</v>
      </c>
      <c r="AA24" s="372">
        <v>3.8</v>
      </c>
      <c r="AB24" s="372">
        <v>3.8</v>
      </c>
      <c r="AC24" s="372">
        <v>0</v>
      </c>
      <c r="AD24" s="41"/>
      <c r="AE24" s="41"/>
      <c r="AF24" s="11">
        <f>COUNTIF(F24:AC24,$AJ$8)</f>
        <v>2</v>
      </c>
      <c r="AG24" s="11">
        <f>COUNTIF(G24:AD24,$AJ$7)</f>
        <v>0</v>
      </c>
      <c r="AH24" s="11">
        <f>COUNT(F24:AC24)</f>
        <v>22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3">SUM(F24)</f>
        <v>0</v>
      </c>
      <c r="G25" s="19">
        <f t="shared" ref="G25:AC25" si="4">SUM(G24)</f>
        <v>0</v>
      </c>
      <c r="H25" s="19">
        <f t="shared" si="4"/>
        <v>0</v>
      </c>
      <c r="I25" s="19">
        <f t="shared" si="4"/>
        <v>0</v>
      </c>
      <c r="J25" s="19">
        <f t="shared" si="4"/>
        <v>0</v>
      </c>
      <c r="K25" s="19">
        <f t="shared" si="4"/>
        <v>0</v>
      </c>
      <c r="L25" s="19">
        <f t="shared" si="4"/>
        <v>0</v>
      </c>
      <c r="M25" s="19">
        <f t="shared" si="4"/>
        <v>0</v>
      </c>
      <c r="N25" s="19">
        <f t="shared" si="4"/>
        <v>0</v>
      </c>
      <c r="O25" s="19">
        <f t="shared" si="4"/>
        <v>3.8</v>
      </c>
      <c r="P25" s="19">
        <f t="shared" si="4"/>
        <v>3.8</v>
      </c>
      <c r="Q25" s="19">
        <f t="shared" si="4"/>
        <v>3</v>
      </c>
      <c r="R25" s="19">
        <f t="shared" si="4"/>
        <v>3</v>
      </c>
      <c r="S25" s="19">
        <f t="shared" si="4"/>
        <v>3.8</v>
      </c>
      <c r="T25" s="19">
        <f t="shared" si="4"/>
        <v>3.8</v>
      </c>
      <c r="U25" s="19">
        <f t="shared" si="4"/>
        <v>3.8</v>
      </c>
      <c r="V25" s="19">
        <f t="shared" si="4"/>
        <v>3.8</v>
      </c>
      <c r="W25" s="19">
        <f t="shared" si="4"/>
        <v>3.8</v>
      </c>
      <c r="X25" s="19">
        <f t="shared" si="4"/>
        <v>3.8</v>
      </c>
      <c r="Y25" s="19">
        <f t="shared" si="4"/>
        <v>3.8</v>
      </c>
      <c r="Z25" s="19">
        <f t="shared" si="4"/>
        <v>3.8</v>
      </c>
      <c r="AA25" s="19">
        <f t="shared" si="4"/>
        <v>3.8</v>
      </c>
      <c r="AB25" s="19">
        <f t="shared" si="4"/>
        <v>3.8</v>
      </c>
      <c r="AC25" s="19">
        <f t="shared" si="4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196.80000000000007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2">
        <v>4</v>
      </c>
      <c r="G27" s="372">
        <v>3.4</v>
      </c>
      <c r="H27" s="372">
        <v>3.5</v>
      </c>
      <c r="I27" s="372">
        <v>4</v>
      </c>
      <c r="J27" s="374">
        <v>4</v>
      </c>
      <c r="K27" s="374">
        <v>4</v>
      </c>
      <c r="L27" s="374">
        <v>4.0999999999999996</v>
      </c>
      <c r="M27" s="374">
        <v>3.8</v>
      </c>
      <c r="N27" s="372">
        <v>4.2</v>
      </c>
      <c r="O27" s="372">
        <v>4.2</v>
      </c>
      <c r="P27" s="372">
        <v>4.3</v>
      </c>
      <c r="Q27" s="372">
        <v>4.0999999999999996</v>
      </c>
      <c r="R27" s="372">
        <v>3.8</v>
      </c>
      <c r="S27" s="372">
        <v>4.5</v>
      </c>
      <c r="T27" s="372">
        <v>4.4000000000000004</v>
      </c>
      <c r="U27" s="374">
        <v>4.4000000000000004</v>
      </c>
      <c r="V27" s="372">
        <v>4.4000000000000004</v>
      </c>
      <c r="W27" s="372">
        <v>4.3</v>
      </c>
      <c r="X27" s="372">
        <v>4.4000000000000004</v>
      </c>
      <c r="Y27" s="372">
        <v>4.3</v>
      </c>
      <c r="Z27" s="372">
        <v>4.3</v>
      </c>
      <c r="AA27" s="372">
        <v>4</v>
      </c>
      <c r="AB27" s="372">
        <v>4</v>
      </c>
      <c r="AC27" s="372">
        <v>4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2">
        <v>4</v>
      </c>
      <c r="G28" s="372">
        <v>3.4</v>
      </c>
      <c r="H28" s="372">
        <v>3.5</v>
      </c>
      <c r="I28" s="372">
        <v>4</v>
      </c>
      <c r="J28" s="372">
        <v>4</v>
      </c>
      <c r="K28" s="374">
        <v>4</v>
      </c>
      <c r="L28" s="374">
        <v>4.0999999999999996</v>
      </c>
      <c r="M28" s="374">
        <v>3.8</v>
      </c>
      <c r="N28" s="372">
        <v>4.2</v>
      </c>
      <c r="O28" s="372">
        <v>4.2</v>
      </c>
      <c r="P28" s="372">
        <v>4.3</v>
      </c>
      <c r="Q28" s="372">
        <v>4.0999999999999996</v>
      </c>
      <c r="R28" s="374">
        <v>3.8</v>
      </c>
      <c r="S28" s="374">
        <v>4.5</v>
      </c>
      <c r="T28" s="372">
        <v>4.4000000000000004</v>
      </c>
      <c r="U28" s="374">
        <v>4.4000000000000004</v>
      </c>
      <c r="V28" s="372">
        <v>4.4000000000000004</v>
      </c>
      <c r="W28" s="372">
        <v>4.3</v>
      </c>
      <c r="X28" s="372">
        <v>4.4000000000000004</v>
      </c>
      <c r="Y28" s="372">
        <v>4.3</v>
      </c>
      <c r="Z28" s="372">
        <v>4.3</v>
      </c>
      <c r="AA28" s="372">
        <v>4</v>
      </c>
      <c r="AB28" s="372">
        <v>4</v>
      </c>
      <c r="AC28" s="372">
        <v>4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63.22</v>
      </c>
    </row>
    <row r="29" spans="1:51" ht="15" customHeight="1">
      <c r="A29" s="14" t="s">
        <v>30</v>
      </c>
      <c r="B29" s="369"/>
      <c r="C29" s="370">
        <v>8.8000000000000007</v>
      </c>
      <c r="D29" s="371"/>
      <c r="E29" s="371"/>
      <c r="F29" s="372"/>
      <c r="G29" s="372"/>
      <c r="H29" s="372"/>
      <c r="I29" s="372"/>
      <c r="J29" s="372"/>
      <c r="K29" s="374"/>
      <c r="L29" s="374"/>
      <c r="M29" s="374"/>
      <c r="N29" s="374"/>
      <c r="O29" s="374"/>
      <c r="P29" s="374">
        <v>4.25</v>
      </c>
      <c r="Q29" s="374">
        <v>2.9</v>
      </c>
      <c r="R29" s="374">
        <v>3</v>
      </c>
      <c r="S29" s="374">
        <v>7.05</v>
      </c>
      <c r="T29" s="374">
        <v>7.62</v>
      </c>
      <c r="U29" s="374">
        <v>7.6</v>
      </c>
      <c r="V29" s="374">
        <v>7.44</v>
      </c>
      <c r="W29" s="372">
        <v>6.12</v>
      </c>
      <c r="X29" s="372">
        <v>3.19</v>
      </c>
      <c r="Y29" s="372">
        <v>7.07</v>
      </c>
      <c r="Z29" s="372">
        <v>4.99</v>
      </c>
      <c r="AA29" s="372"/>
      <c r="AB29" s="372"/>
      <c r="AC29" s="372"/>
    </row>
    <row r="30" spans="1:51" ht="15" customHeight="1">
      <c r="A30" s="14" t="s">
        <v>31</v>
      </c>
      <c r="B30" s="369"/>
      <c r="C30" s="370">
        <v>8.8000000000000007</v>
      </c>
      <c r="D30" s="371"/>
      <c r="E30" s="371"/>
      <c r="F30" s="372">
        <v>0</v>
      </c>
      <c r="G30" s="372">
        <v>0</v>
      </c>
      <c r="H30" s="372">
        <v>0</v>
      </c>
      <c r="I30" s="372">
        <v>0</v>
      </c>
      <c r="J30" s="372">
        <v>0</v>
      </c>
      <c r="K30" s="374">
        <v>0</v>
      </c>
      <c r="L30" s="374">
        <v>0</v>
      </c>
      <c r="M30" s="374">
        <v>0</v>
      </c>
      <c r="N30" s="372">
        <v>0</v>
      </c>
      <c r="O30" s="372">
        <v>0</v>
      </c>
      <c r="P30" s="372">
        <v>0</v>
      </c>
      <c r="Q30" s="372">
        <v>0</v>
      </c>
      <c r="R30" s="374">
        <v>0</v>
      </c>
      <c r="S30" s="372">
        <v>0</v>
      </c>
      <c r="T30" s="372">
        <v>0</v>
      </c>
      <c r="U30" s="372">
        <v>0</v>
      </c>
      <c r="V30" s="372">
        <v>0</v>
      </c>
      <c r="W30" s="372">
        <v>0.5</v>
      </c>
      <c r="X30" s="372">
        <v>1.49</v>
      </c>
      <c r="Y30" s="372"/>
      <c r="Z30" s="372"/>
      <c r="AA30" s="372"/>
      <c r="AB30" s="372"/>
      <c r="AC30" s="372"/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:AC31" si="5">SUM(F27:F29)</f>
        <v>8</v>
      </c>
      <c r="G31" s="19">
        <f t="shared" si="5"/>
        <v>6.8</v>
      </c>
      <c r="H31" s="19">
        <f t="shared" si="5"/>
        <v>7</v>
      </c>
      <c r="I31" s="19">
        <f t="shared" si="5"/>
        <v>8</v>
      </c>
      <c r="J31" s="19">
        <f t="shared" si="5"/>
        <v>8</v>
      </c>
      <c r="K31" s="19">
        <f t="shared" si="5"/>
        <v>8</v>
      </c>
      <c r="L31" s="19">
        <f t="shared" si="5"/>
        <v>8.1999999999999993</v>
      </c>
      <c r="M31" s="19">
        <f t="shared" si="5"/>
        <v>7.6</v>
      </c>
      <c r="N31" s="19">
        <f t="shared" si="5"/>
        <v>8.4</v>
      </c>
      <c r="O31" s="19">
        <f t="shared" si="5"/>
        <v>8.4</v>
      </c>
      <c r="P31" s="19">
        <f t="shared" si="5"/>
        <v>12.85</v>
      </c>
      <c r="Q31" s="19">
        <f t="shared" si="5"/>
        <v>11.1</v>
      </c>
      <c r="R31" s="19">
        <f t="shared" si="5"/>
        <v>10.6</v>
      </c>
      <c r="S31" s="19">
        <f t="shared" si="5"/>
        <v>16.05</v>
      </c>
      <c r="T31" s="19">
        <f>SUM(T27:T29)</f>
        <v>16.420000000000002</v>
      </c>
      <c r="U31" s="19">
        <f t="shared" si="5"/>
        <v>16.399999999999999</v>
      </c>
      <c r="V31" s="19">
        <f t="shared" si="5"/>
        <v>16.240000000000002</v>
      </c>
      <c r="W31" s="19">
        <f t="shared" si="5"/>
        <v>14.719999999999999</v>
      </c>
      <c r="X31" s="19">
        <f>SUM(X27:X30)</f>
        <v>13.48</v>
      </c>
      <c r="Y31" s="19">
        <f t="shared" si="5"/>
        <v>15.67</v>
      </c>
      <c r="Z31" s="19">
        <f t="shared" si="5"/>
        <v>13.59</v>
      </c>
      <c r="AA31" s="19">
        <f t="shared" si="5"/>
        <v>8</v>
      </c>
      <c r="AB31" s="19">
        <f t="shared" si="5"/>
        <v>8</v>
      </c>
      <c r="AC31" s="19">
        <f t="shared" si="5"/>
        <v>8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339.76</v>
      </c>
    </row>
    <row r="33" spans="1:36">
      <c r="A33" s="14" t="s">
        <v>22</v>
      </c>
      <c r="B33" s="15"/>
      <c r="C33" s="15">
        <v>15</v>
      </c>
      <c r="D33" s="15"/>
      <c r="E33" s="15"/>
      <c r="F33" s="372">
        <v>14.25</v>
      </c>
      <c r="G33" s="372">
        <v>13.26</v>
      </c>
      <c r="H33" s="374">
        <v>13.29</v>
      </c>
      <c r="I33" s="372">
        <v>14.27</v>
      </c>
      <c r="J33" s="372">
        <v>14.3</v>
      </c>
      <c r="K33" s="374">
        <v>14.28</v>
      </c>
      <c r="L33" s="374">
        <v>14.26</v>
      </c>
      <c r="M33" s="374">
        <v>14.29</v>
      </c>
      <c r="N33" s="372">
        <v>14.3</v>
      </c>
      <c r="O33" s="372">
        <v>14.32</v>
      </c>
      <c r="P33" s="372">
        <v>14.15</v>
      </c>
      <c r="Q33" s="372">
        <v>14.31</v>
      </c>
      <c r="R33" s="372">
        <v>13.32</v>
      </c>
      <c r="S33" s="372">
        <v>14.28</v>
      </c>
      <c r="T33" s="372">
        <v>14.29</v>
      </c>
      <c r="U33" s="372">
        <v>14.28</v>
      </c>
      <c r="V33" s="372">
        <v>14.29</v>
      </c>
      <c r="W33" s="374">
        <v>14.3</v>
      </c>
      <c r="X33" s="372">
        <v>14.31</v>
      </c>
      <c r="Y33" s="372">
        <v>14.29</v>
      </c>
      <c r="Z33" s="372">
        <v>14.3</v>
      </c>
      <c r="AA33" s="372">
        <v>14.26</v>
      </c>
      <c r="AB33" s="372">
        <v>14.27</v>
      </c>
      <c r="AC33" s="372">
        <v>14.29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6">SUM(F33)</f>
        <v>14.25</v>
      </c>
      <c r="G34" s="19">
        <f t="shared" ref="G34:AC34" si="7">SUM(G33)</f>
        <v>13.26</v>
      </c>
      <c r="H34" s="19">
        <f t="shared" si="7"/>
        <v>13.29</v>
      </c>
      <c r="I34" s="19">
        <f t="shared" si="7"/>
        <v>14.27</v>
      </c>
      <c r="J34" s="19">
        <f>SUM(J33)</f>
        <v>14.3</v>
      </c>
      <c r="K34" s="19">
        <f t="shared" si="7"/>
        <v>14.28</v>
      </c>
      <c r="L34" s="19">
        <f t="shared" si="7"/>
        <v>14.26</v>
      </c>
      <c r="M34" s="19">
        <f t="shared" si="7"/>
        <v>14.29</v>
      </c>
      <c r="N34" s="19">
        <f t="shared" si="7"/>
        <v>14.3</v>
      </c>
      <c r="O34" s="19">
        <f t="shared" si="7"/>
        <v>14.32</v>
      </c>
      <c r="P34" s="19">
        <f t="shared" si="7"/>
        <v>14.15</v>
      </c>
      <c r="Q34" s="19">
        <f t="shared" si="7"/>
        <v>14.31</v>
      </c>
      <c r="R34" s="19">
        <f t="shared" si="7"/>
        <v>13.32</v>
      </c>
      <c r="S34" s="19">
        <f t="shared" si="7"/>
        <v>14.28</v>
      </c>
      <c r="T34" s="19">
        <f t="shared" si="7"/>
        <v>14.29</v>
      </c>
      <c r="U34" s="19">
        <f t="shared" si="7"/>
        <v>14.28</v>
      </c>
      <c r="V34" s="19">
        <f t="shared" si="7"/>
        <v>14.29</v>
      </c>
      <c r="W34" s="19">
        <f t="shared" si="7"/>
        <v>14.3</v>
      </c>
      <c r="X34" s="19">
        <f t="shared" si="7"/>
        <v>14.31</v>
      </c>
      <c r="Y34" s="19">
        <f t="shared" si="7"/>
        <v>14.29</v>
      </c>
      <c r="Z34" s="19">
        <f t="shared" si="7"/>
        <v>14.3</v>
      </c>
      <c r="AA34" s="19">
        <f t="shared" si="7"/>
        <v>14.26</v>
      </c>
      <c r="AB34" s="19">
        <f t="shared" si="7"/>
        <v>14.27</v>
      </c>
      <c r="AC34" s="19">
        <f t="shared" si="7"/>
        <v>14.29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55"/>
      <c r="G35" s="455"/>
      <c r="H35" s="455"/>
      <c r="I35" s="455"/>
      <c r="J35" s="455"/>
      <c r="K35" s="455"/>
      <c r="L35" s="455"/>
      <c r="M35" s="455"/>
      <c r="N35" s="455"/>
      <c r="O35" s="455"/>
      <c r="P35" s="455"/>
      <c r="Q35" s="455"/>
      <c r="R35" s="455"/>
      <c r="S35" s="455"/>
      <c r="T35" s="455"/>
      <c r="U35" s="455"/>
      <c r="V35" s="455"/>
      <c r="W35" s="456"/>
      <c r="X35" s="455"/>
      <c r="Y35" s="455"/>
      <c r="Z35" s="455"/>
      <c r="AA35" s="455"/>
      <c r="AB35" s="455"/>
      <c r="AC35" s="455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35</v>
      </c>
    </row>
    <row r="36" spans="1:36">
      <c r="A36" s="70" t="s">
        <v>36</v>
      </c>
      <c r="B36" s="15"/>
      <c r="C36" s="15"/>
      <c r="D36" s="15"/>
      <c r="E36" s="15"/>
      <c r="F36" s="372"/>
      <c r="G36" s="372"/>
      <c r="H36" s="372"/>
      <c r="I36" s="372"/>
      <c r="J36" s="372"/>
      <c r="K36" s="374"/>
      <c r="L36" s="374"/>
      <c r="M36" s="374"/>
      <c r="N36" s="372"/>
      <c r="O36" s="372"/>
      <c r="P36" s="372"/>
      <c r="Q36" s="372"/>
      <c r="R36" s="372"/>
      <c r="S36" s="372"/>
      <c r="T36" s="372"/>
      <c r="U36" s="372"/>
      <c r="V36" s="372"/>
      <c r="W36" s="372"/>
      <c r="X36" s="372"/>
      <c r="Y36" s="372"/>
      <c r="Z36" s="372"/>
      <c r="AA36" s="372"/>
      <c r="AB36" s="372"/>
      <c r="AC36" s="372"/>
      <c r="AD36" s="41"/>
      <c r="AE36" s="41"/>
      <c r="AF36" s="11">
        <f t="shared" ref="AF36:AF59" si="8">COUNTIF(F36:AC36,$AJ$8)</f>
        <v>0</v>
      </c>
      <c r="AG36" s="11">
        <f t="shared" ref="AG36:AG59" si="9">COUNTIF(G36:AD36,$AJ$7)</f>
        <v>0</v>
      </c>
      <c r="AH36" s="11">
        <f t="shared" ref="AH36:AH59" si="10">COUNT(F36:AC36)</f>
        <v>0</v>
      </c>
      <c r="AI36" s="159">
        <f>SUM(F36:AC38,F40:AC40,F45:AC59)</f>
        <v>33.339999999999989</v>
      </c>
      <c r="AJ36" t="s">
        <v>37</v>
      </c>
    </row>
    <row r="37" spans="1:36">
      <c r="A37" s="70" t="s">
        <v>38</v>
      </c>
      <c r="B37" s="15"/>
      <c r="C37" s="15"/>
      <c r="D37" s="15"/>
      <c r="E37" s="15"/>
      <c r="F37" s="372"/>
      <c r="G37" s="372"/>
      <c r="H37" s="372"/>
      <c r="I37" s="372"/>
      <c r="J37" s="372"/>
      <c r="K37" s="374"/>
      <c r="L37" s="374"/>
      <c r="M37" s="374"/>
      <c r="N37" s="372"/>
      <c r="O37" s="372"/>
      <c r="P37" s="372"/>
      <c r="Q37" s="372"/>
      <c r="R37" s="372"/>
      <c r="S37" s="372"/>
      <c r="T37" s="372"/>
      <c r="U37" s="372"/>
      <c r="V37" s="372"/>
      <c r="W37" s="372"/>
      <c r="X37" s="372"/>
      <c r="Y37" s="372"/>
      <c r="Z37" s="372"/>
      <c r="AA37" s="372"/>
      <c r="AB37" s="372"/>
      <c r="AC37" s="372"/>
      <c r="AD37" s="41"/>
      <c r="AE37" s="41"/>
      <c r="AF37" s="11">
        <f t="shared" si="8"/>
        <v>0</v>
      </c>
      <c r="AG37" s="11">
        <f t="shared" si="9"/>
        <v>0</v>
      </c>
      <c r="AH37" s="11">
        <f t="shared" si="10"/>
        <v>0</v>
      </c>
    </row>
    <row r="38" spans="1:36">
      <c r="A38" s="70" t="s">
        <v>39</v>
      </c>
      <c r="B38" s="15"/>
      <c r="C38" s="15"/>
      <c r="D38" s="15"/>
      <c r="E38" s="15"/>
      <c r="F38" s="372"/>
      <c r="G38" s="372"/>
      <c r="H38" s="372"/>
      <c r="I38" s="372"/>
      <c r="J38" s="372"/>
      <c r="K38" s="374"/>
      <c r="L38" s="374"/>
      <c r="M38" s="374"/>
      <c r="N38" s="372"/>
      <c r="O38" s="372"/>
      <c r="P38" s="372"/>
      <c r="Q38" s="372"/>
      <c r="R38" s="372"/>
      <c r="S38" s="372"/>
      <c r="T38" s="372"/>
      <c r="U38" s="372"/>
      <c r="V38" s="372"/>
      <c r="W38" s="372"/>
      <c r="X38" s="372"/>
      <c r="Y38" s="372"/>
      <c r="Z38" s="372"/>
      <c r="AA38" s="372"/>
      <c r="AB38" s="372"/>
      <c r="AC38" s="372"/>
      <c r="AD38" s="41"/>
      <c r="AE38" s="41"/>
      <c r="AF38" s="11">
        <f t="shared" si="8"/>
        <v>0</v>
      </c>
      <c r="AG38" s="11">
        <f t="shared" si="9"/>
        <v>0</v>
      </c>
      <c r="AH38" s="11">
        <f t="shared" si="10"/>
        <v>0</v>
      </c>
    </row>
    <row r="39" spans="1:36">
      <c r="A39" s="70">
        <v>34</v>
      </c>
      <c r="B39" s="15"/>
      <c r="C39" s="15"/>
      <c r="D39" s="15"/>
      <c r="E39" s="15"/>
      <c r="F39" s="372" t="s">
        <v>9</v>
      </c>
      <c r="G39" s="372" t="s">
        <v>9</v>
      </c>
      <c r="H39" s="372" t="s">
        <v>9</v>
      </c>
      <c r="I39" s="372" t="s">
        <v>9</v>
      </c>
      <c r="J39" s="372" t="s">
        <v>9</v>
      </c>
      <c r="K39" s="374" t="s">
        <v>9</v>
      </c>
      <c r="L39" s="374" t="s">
        <v>9</v>
      </c>
      <c r="M39" s="374" t="s">
        <v>9</v>
      </c>
      <c r="N39" s="372" t="s">
        <v>9</v>
      </c>
      <c r="O39" s="372" t="s">
        <v>9</v>
      </c>
      <c r="P39" s="372" t="s">
        <v>9</v>
      </c>
      <c r="Q39" s="372" t="s">
        <v>9</v>
      </c>
      <c r="R39" s="372" t="s">
        <v>9</v>
      </c>
      <c r="S39" s="372" t="s">
        <v>9</v>
      </c>
      <c r="T39" s="372" t="s">
        <v>9</v>
      </c>
      <c r="U39" s="372" t="s">
        <v>9</v>
      </c>
      <c r="V39" s="372" t="s">
        <v>9</v>
      </c>
      <c r="W39" s="372" t="s">
        <v>9</v>
      </c>
      <c r="X39" s="372" t="s">
        <v>9</v>
      </c>
      <c r="Y39" s="372" t="s">
        <v>9</v>
      </c>
      <c r="Z39" s="372" t="s">
        <v>9</v>
      </c>
      <c r="AA39" s="372" t="s">
        <v>9</v>
      </c>
      <c r="AB39" s="372" t="s">
        <v>9</v>
      </c>
      <c r="AC39" s="372" t="s">
        <v>9</v>
      </c>
      <c r="AD39" s="41"/>
      <c r="AE39" s="41"/>
      <c r="AF39" s="11">
        <f t="shared" si="8"/>
        <v>24</v>
      </c>
      <c r="AG39" s="11">
        <f t="shared" si="9"/>
        <v>0</v>
      </c>
      <c r="AH39" s="11">
        <f t="shared" si="10"/>
        <v>0</v>
      </c>
    </row>
    <row r="40" spans="1:36">
      <c r="A40" s="70">
        <v>35</v>
      </c>
      <c r="B40" s="15"/>
      <c r="C40" s="15">
        <v>0.85</v>
      </c>
      <c r="D40" s="15"/>
      <c r="E40" s="15"/>
      <c r="F40" s="372"/>
      <c r="G40" s="372"/>
      <c r="H40" s="372"/>
      <c r="I40" s="372"/>
      <c r="J40" s="372"/>
      <c r="K40" s="374"/>
      <c r="L40" s="374"/>
      <c r="M40" s="374"/>
      <c r="N40" s="372"/>
      <c r="O40" s="372"/>
      <c r="P40" s="372"/>
      <c r="Q40" s="372"/>
      <c r="R40" s="372"/>
      <c r="S40" s="372"/>
      <c r="T40" s="372"/>
      <c r="U40" s="372">
        <v>0.8</v>
      </c>
      <c r="V40" s="372">
        <v>0.8</v>
      </c>
      <c r="W40" s="372"/>
      <c r="X40" s="372"/>
      <c r="Y40" s="372"/>
      <c r="Z40" s="372"/>
      <c r="AA40" s="372"/>
      <c r="AB40" s="372"/>
      <c r="AC40" s="372"/>
      <c r="AD40" s="41"/>
      <c r="AE40" s="41"/>
      <c r="AF40" s="11">
        <f t="shared" si="8"/>
        <v>0</v>
      </c>
      <c r="AG40" s="11">
        <f t="shared" si="9"/>
        <v>0</v>
      </c>
      <c r="AH40" s="11">
        <f t="shared" si="10"/>
        <v>2</v>
      </c>
    </row>
    <row r="41" spans="1:36">
      <c r="A41" s="70">
        <v>36</v>
      </c>
      <c r="B41" s="15"/>
      <c r="C41" s="15">
        <v>1</v>
      </c>
      <c r="D41" s="15"/>
      <c r="E41" s="15"/>
      <c r="F41" s="372"/>
      <c r="G41" s="372"/>
      <c r="H41" s="372"/>
      <c r="I41" s="372"/>
      <c r="J41" s="372"/>
      <c r="K41" s="374"/>
      <c r="L41" s="374"/>
      <c r="M41" s="374"/>
      <c r="N41" s="372"/>
      <c r="O41" s="372"/>
      <c r="P41" s="372"/>
      <c r="Q41" s="372"/>
      <c r="R41" s="372"/>
      <c r="S41" s="372"/>
      <c r="T41" s="372"/>
      <c r="U41" s="372"/>
      <c r="V41" s="372"/>
      <c r="W41" s="372"/>
      <c r="X41" s="372"/>
      <c r="Y41" s="372"/>
      <c r="Z41" s="372"/>
      <c r="AA41" s="372"/>
      <c r="AB41" s="372"/>
      <c r="AC41" s="372"/>
      <c r="AD41" s="41"/>
      <c r="AE41" s="41"/>
      <c r="AF41" s="11">
        <f t="shared" si="8"/>
        <v>0</v>
      </c>
      <c r="AG41" s="11">
        <f t="shared" si="9"/>
        <v>0</v>
      </c>
      <c r="AH41" s="11">
        <f t="shared" si="10"/>
        <v>0</v>
      </c>
    </row>
    <row r="42" spans="1:36">
      <c r="A42" s="70">
        <v>37</v>
      </c>
      <c r="B42" s="15"/>
      <c r="C42" s="15">
        <v>1</v>
      </c>
      <c r="D42" s="15"/>
      <c r="E42" s="15"/>
      <c r="F42" s="372"/>
      <c r="G42" s="372"/>
      <c r="H42" s="372"/>
      <c r="I42" s="372"/>
      <c r="J42" s="372"/>
      <c r="K42" s="374"/>
      <c r="L42" s="374"/>
      <c r="M42" s="374"/>
      <c r="N42" s="372"/>
      <c r="O42" s="372"/>
      <c r="P42" s="372"/>
      <c r="Q42" s="372"/>
      <c r="R42" s="372"/>
      <c r="S42" s="372"/>
      <c r="T42" s="372"/>
      <c r="U42" s="372"/>
      <c r="V42" s="372"/>
      <c r="W42" s="372"/>
      <c r="X42" s="372"/>
      <c r="Y42" s="372"/>
      <c r="Z42" s="372"/>
      <c r="AA42" s="372"/>
      <c r="AB42" s="372"/>
      <c r="AC42" s="372"/>
      <c r="AD42" s="41"/>
      <c r="AE42" s="41"/>
      <c r="AF42" s="11">
        <f t="shared" si="8"/>
        <v>0</v>
      </c>
      <c r="AG42" s="11">
        <f t="shared" si="9"/>
        <v>0</v>
      </c>
      <c r="AH42" s="11">
        <f t="shared" si="10"/>
        <v>0</v>
      </c>
    </row>
    <row r="43" spans="1:36">
      <c r="A43" s="70">
        <v>38</v>
      </c>
      <c r="B43" s="15"/>
      <c r="C43" s="15"/>
      <c r="D43" s="15"/>
      <c r="E43" s="15"/>
      <c r="F43" s="372" t="s">
        <v>9</v>
      </c>
      <c r="G43" s="372" t="s">
        <v>9</v>
      </c>
      <c r="H43" s="372" t="s">
        <v>9</v>
      </c>
      <c r="I43" s="372" t="s">
        <v>9</v>
      </c>
      <c r="J43" s="372" t="s">
        <v>9</v>
      </c>
      <c r="K43" s="374" t="s">
        <v>9</v>
      </c>
      <c r="L43" s="374" t="s">
        <v>9</v>
      </c>
      <c r="M43" s="374" t="s">
        <v>9</v>
      </c>
      <c r="N43" s="372" t="s">
        <v>9</v>
      </c>
      <c r="O43" s="372" t="s">
        <v>9</v>
      </c>
      <c r="P43" s="372" t="s">
        <v>9</v>
      </c>
      <c r="Q43" s="372" t="s">
        <v>9</v>
      </c>
      <c r="R43" s="372" t="s">
        <v>9</v>
      </c>
      <c r="S43" s="372" t="s">
        <v>9</v>
      </c>
      <c r="T43" s="372" t="s">
        <v>9</v>
      </c>
      <c r="U43" s="372" t="s">
        <v>9</v>
      </c>
      <c r="V43" s="372" t="s">
        <v>9</v>
      </c>
      <c r="W43" s="372" t="s">
        <v>9</v>
      </c>
      <c r="X43" s="372" t="s">
        <v>9</v>
      </c>
      <c r="Y43" s="372" t="s">
        <v>9</v>
      </c>
      <c r="Z43" s="372" t="s">
        <v>9</v>
      </c>
      <c r="AA43" s="372" t="s">
        <v>9</v>
      </c>
      <c r="AB43" s="372" t="s">
        <v>9</v>
      </c>
      <c r="AC43" s="372" t="s">
        <v>9</v>
      </c>
      <c r="AD43" s="41"/>
      <c r="AE43" s="41"/>
      <c r="AF43" s="11">
        <f t="shared" si="8"/>
        <v>24</v>
      </c>
      <c r="AG43" s="11">
        <f t="shared" si="9"/>
        <v>0</v>
      </c>
      <c r="AH43" s="11">
        <f t="shared" si="10"/>
        <v>0</v>
      </c>
    </row>
    <row r="44" spans="1:36" ht="16.5" customHeight="1">
      <c r="A44" s="70">
        <v>39</v>
      </c>
      <c r="B44" s="15"/>
      <c r="C44" s="15">
        <v>1</v>
      </c>
      <c r="D44" s="15"/>
      <c r="E44" s="15"/>
      <c r="F44" s="372" t="s">
        <v>9</v>
      </c>
      <c r="G44" s="372" t="s">
        <v>9</v>
      </c>
      <c r="H44" s="372" t="s">
        <v>9</v>
      </c>
      <c r="I44" s="372" t="s">
        <v>9</v>
      </c>
      <c r="J44" s="372" t="s">
        <v>9</v>
      </c>
      <c r="K44" s="372" t="s">
        <v>9</v>
      </c>
      <c r="L44" s="374" t="s">
        <v>9</v>
      </c>
      <c r="M44" s="374" t="s">
        <v>9</v>
      </c>
      <c r="N44" s="372" t="s">
        <v>9</v>
      </c>
      <c r="O44" s="372" t="s">
        <v>9</v>
      </c>
      <c r="P44" s="372" t="s">
        <v>9</v>
      </c>
      <c r="Q44" s="372" t="s">
        <v>9</v>
      </c>
      <c r="R44" s="372" t="s">
        <v>9</v>
      </c>
      <c r="S44" s="372" t="s">
        <v>9</v>
      </c>
      <c r="T44" s="372" t="s">
        <v>9</v>
      </c>
      <c r="U44" s="372" t="s">
        <v>9</v>
      </c>
      <c r="V44" s="372" t="s">
        <v>9</v>
      </c>
      <c r="W44" s="372" t="s">
        <v>9</v>
      </c>
      <c r="X44" s="372" t="s">
        <v>9</v>
      </c>
      <c r="Y44" s="372" t="s">
        <v>9</v>
      </c>
      <c r="Z44" s="372" t="s">
        <v>9</v>
      </c>
      <c r="AA44" s="372" t="s">
        <v>9</v>
      </c>
      <c r="AB44" s="372" t="s">
        <v>9</v>
      </c>
      <c r="AC44" s="372" t="s">
        <v>9</v>
      </c>
      <c r="AD44" s="41"/>
      <c r="AE44" s="41"/>
      <c r="AF44" s="11">
        <f t="shared" si="8"/>
        <v>24</v>
      </c>
      <c r="AG44" s="11">
        <f t="shared" si="9"/>
        <v>0</v>
      </c>
      <c r="AH44" s="11">
        <f t="shared" si="10"/>
        <v>0</v>
      </c>
    </row>
    <row r="45" spans="1:36" ht="16.5" customHeight="1">
      <c r="A45" s="70" t="s">
        <v>40</v>
      </c>
      <c r="B45" s="15"/>
      <c r="C45" s="15">
        <v>0.85</v>
      </c>
      <c r="D45" s="15"/>
      <c r="E45" s="15"/>
      <c r="F45" s="372"/>
      <c r="G45" s="372"/>
      <c r="H45" s="372"/>
      <c r="I45" s="372"/>
      <c r="J45" s="372"/>
      <c r="K45" s="372"/>
      <c r="L45" s="372"/>
      <c r="M45" s="372"/>
      <c r="N45" s="372"/>
      <c r="O45" s="372"/>
      <c r="P45" s="372"/>
      <c r="Q45" s="372"/>
      <c r="R45" s="372"/>
      <c r="S45" s="372"/>
      <c r="T45" s="372"/>
      <c r="U45" s="372"/>
      <c r="V45" s="372"/>
      <c r="W45" s="372"/>
      <c r="X45" s="372"/>
      <c r="Y45" s="372"/>
      <c r="Z45" s="372"/>
      <c r="AA45" s="372"/>
      <c r="AB45" s="372"/>
      <c r="AC45" s="372"/>
      <c r="AD45" s="41"/>
      <c r="AE45" s="41"/>
      <c r="AF45" s="11">
        <f t="shared" si="8"/>
        <v>0</v>
      </c>
      <c r="AG45" s="11">
        <f t="shared" si="9"/>
        <v>0</v>
      </c>
      <c r="AH45" s="11">
        <f t="shared" si="10"/>
        <v>0</v>
      </c>
      <c r="AI45" s="159"/>
    </row>
    <row r="46" spans="1:36">
      <c r="A46" s="70" t="s">
        <v>41</v>
      </c>
      <c r="B46" s="15"/>
      <c r="C46" s="15">
        <v>0.75</v>
      </c>
      <c r="D46" s="15"/>
      <c r="E46" s="15"/>
      <c r="F46" s="372">
        <v>0</v>
      </c>
      <c r="G46" s="372">
        <v>0</v>
      </c>
      <c r="H46" s="372">
        <v>0</v>
      </c>
      <c r="I46" s="372">
        <f>2.8/4</f>
        <v>0.7</v>
      </c>
      <c r="J46" s="372">
        <v>0</v>
      </c>
      <c r="K46" s="372">
        <v>0</v>
      </c>
      <c r="L46" s="374">
        <v>0</v>
      </c>
      <c r="M46" s="374">
        <v>0</v>
      </c>
      <c r="N46" s="372">
        <v>0</v>
      </c>
      <c r="O46" s="372">
        <v>0.8</v>
      </c>
      <c r="P46" s="372">
        <v>0.7</v>
      </c>
      <c r="Q46" s="372"/>
      <c r="R46" s="372"/>
      <c r="S46" s="372"/>
      <c r="T46" s="372">
        <v>0.8</v>
      </c>
      <c r="U46" s="372">
        <v>0.72000000000000008</v>
      </c>
      <c r="V46" s="372">
        <v>0.72000000000000008</v>
      </c>
      <c r="W46" s="372">
        <v>0.76</v>
      </c>
      <c r="X46" s="372"/>
      <c r="Y46" s="372">
        <v>0.75</v>
      </c>
      <c r="Z46" s="372"/>
      <c r="AA46" s="372"/>
      <c r="AB46" s="372"/>
      <c r="AC46" s="372"/>
      <c r="AD46" s="41"/>
      <c r="AE46" s="41"/>
      <c r="AF46" s="11">
        <f t="shared" si="8"/>
        <v>0</v>
      </c>
      <c r="AG46" s="11">
        <f t="shared" si="9"/>
        <v>0</v>
      </c>
      <c r="AH46" s="11">
        <f t="shared" si="10"/>
        <v>16</v>
      </c>
      <c r="AI46" s="159"/>
    </row>
    <row r="47" spans="1:36">
      <c r="A47" s="70" t="s">
        <v>42</v>
      </c>
      <c r="B47" s="15"/>
      <c r="C47" s="15">
        <v>0.75</v>
      </c>
      <c r="D47" s="15"/>
      <c r="E47" s="15"/>
      <c r="F47" s="372"/>
      <c r="G47" s="372"/>
      <c r="H47" s="372"/>
      <c r="I47" s="372">
        <v>0.7</v>
      </c>
      <c r="J47" s="372">
        <v>0.7</v>
      </c>
      <c r="K47" s="372">
        <v>0.7</v>
      </c>
      <c r="L47" s="372">
        <v>0</v>
      </c>
      <c r="M47" s="372">
        <v>0</v>
      </c>
      <c r="N47" s="372">
        <v>0</v>
      </c>
      <c r="O47" s="372">
        <v>0.7</v>
      </c>
      <c r="P47" s="372">
        <v>0.7</v>
      </c>
      <c r="Q47" s="372"/>
      <c r="R47" s="372"/>
      <c r="S47" s="372">
        <v>0.7</v>
      </c>
      <c r="T47" s="372">
        <v>0.8</v>
      </c>
      <c r="U47" s="372">
        <v>0.72000000000000008</v>
      </c>
      <c r="V47" s="372">
        <v>0.72000000000000008</v>
      </c>
      <c r="W47" s="372"/>
      <c r="X47" s="372"/>
      <c r="Y47" s="372">
        <v>0.75</v>
      </c>
      <c r="Z47" s="372"/>
      <c r="AA47" s="372"/>
      <c r="AB47" s="372"/>
      <c r="AC47" s="372"/>
      <c r="AD47" s="41"/>
      <c r="AE47" s="41"/>
      <c r="AF47" s="11">
        <f t="shared" si="8"/>
        <v>0</v>
      </c>
      <c r="AG47" s="11">
        <f t="shared" si="9"/>
        <v>0</v>
      </c>
      <c r="AH47" s="11">
        <f t="shared" si="10"/>
        <v>13</v>
      </c>
    </row>
    <row r="48" spans="1:36">
      <c r="A48" s="70" t="s">
        <v>43</v>
      </c>
      <c r="B48" s="15"/>
      <c r="C48" s="15">
        <v>0.75</v>
      </c>
      <c r="D48" s="15"/>
      <c r="E48" s="15"/>
      <c r="F48" s="372"/>
      <c r="G48" s="372"/>
      <c r="H48" s="372"/>
      <c r="I48" s="372"/>
      <c r="J48" s="372"/>
      <c r="K48" s="372"/>
      <c r="L48" s="374"/>
      <c r="M48" s="372"/>
      <c r="N48" s="372"/>
      <c r="O48" s="372"/>
      <c r="P48" s="372"/>
      <c r="Q48" s="372"/>
      <c r="R48" s="372"/>
      <c r="S48" s="372"/>
      <c r="T48" s="372"/>
      <c r="U48" s="372"/>
      <c r="V48" s="372"/>
      <c r="W48" s="372"/>
      <c r="X48" s="372"/>
      <c r="Y48" s="372"/>
      <c r="Z48" s="372"/>
      <c r="AA48" s="372"/>
      <c r="AB48" s="372"/>
      <c r="AC48" s="372"/>
      <c r="AD48" s="41"/>
      <c r="AE48" s="41"/>
      <c r="AF48" s="11">
        <f t="shared" si="8"/>
        <v>0</v>
      </c>
      <c r="AG48" s="11">
        <f t="shared" si="9"/>
        <v>0</v>
      </c>
      <c r="AH48" s="11">
        <f t="shared" si="10"/>
        <v>0</v>
      </c>
    </row>
    <row r="49" spans="1:124" ht="15" customHeight="1">
      <c r="A49" s="70" t="s">
        <v>44</v>
      </c>
      <c r="B49" s="15"/>
      <c r="C49" s="15">
        <v>0.75</v>
      </c>
      <c r="D49" s="15"/>
      <c r="E49" s="15"/>
      <c r="F49" s="372"/>
      <c r="G49" s="372"/>
      <c r="H49" s="372"/>
      <c r="I49" s="372"/>
      <c r="J49" s="372"/>
      <c r="K49" s="372"/>
      <c r="L49" s="374"/>
      <c r="M49" s="374"/>
      <c r="N49" s="372"/>
      <c r="O49" s="372"/>
      <c r="P49" s="372"/>
      <c r="Q49" s="372"/>
      <c r="R49" s="372"/>
      <c r="S49" s="372"/>
      <c r="T49" s="372"/>
      <c r="U49" s="372"/>
      <c r="V49" s="372"/>
      <c r="W49" s="372"/>
      <c r="X49" s="372"/>
      <c r="Y49" s="372"/>
      <c r="Z49" s="372"/>
      <c r="AA49" s="372"/>
      <c r="AB49" s="372"/>
      <c r="AC49" s="372"/>
      <c r="AD49" s="41"/>
      <c r="AE49" s="41"/>
      <c r="AF49" s="11">
        <f t="shared" si="8"/>
        <v>0</v>
      </c>
      <c r="AG49" s="11">
        <f t="shared" si="9"/>
        <v>0</v>
      </c>
      <c r="AH49" s="11">
        <f t="shared" si="10"/>
        <v>0</v>
      </c>
    </row>
    <row r="50" spans="1:124" ht="16.5" customHeight="1">
      <c r="A50" s="70" t="s">
        <v>45</v>
      </c>
      <c r="B50" s="15"/>
      <c r="C50" s="15">
        <v>0.75</v>
      </c>
      <c r="D50" s="15"/>
      <c r="E50" s="15"/>
      <c r="F50" s="372"/>
      <c r="G50" s="372"/>
      <c r="H50" s="372"/>
      <c r="I50" s="372">
        <v>0.7</v>
      </c>
      <c r="J50" s="372">
        <v>0.7</v>
      </c>
      <c r="K50" s="372">
        <v>0.7</v>
      </c>
      <c r="L50" s="372">
        <v>0</v>
      </c>
      <c r="M50" s="374">
        <v>0</v>
      </c>
      <c r="N50" s="372">
        <v>0</v>
      </c>
      <c r="O50" s="372">
        <v>0</v>
      </c>
      <c r="P50" s="372">
        <v>0</v>
      </c>
      <c r="Q50" s="372">
        <v>0</v>
      </c>
      <c r="R50" s="372">
        <v>0</v>
      </c>
      <c r="S50" s="372">
        <v>0</v>
      </c>
      <c r="T50" s="372">
        <v>0</v>
      </c>
      <c r="U50" s="372">
        <v>0</v>
      </c>
      <c r="V50" s="372">
        <v>0</v>
      </c>
      <c r="W50" s="372">
        <v>0</v>
      </c>
      <c r="X50" s="372">
        <v>0</v>
      </c>
      <c r="Y50" s="372"/>
      <c r="Z50" s="372"/>
      <c r="AA50" s="372"/>
      <c r="AB50" s="372"/>
      <c r="AC50" s="372"/>
      <c r="AD50" s="41"/>
      <c r="AE50" s="41"/>
      <c r="AF50" s="11">
        <f t="shared" si="8"/>
        <v>0</v>
      </c>
      <c r="AG50" s="11">
        <f t="shared" si="9"/>
        <v>0</v>
      </c>
      <c r="AH50" s="11">
        <f t="shared" si="10"/>
        <v>16</v>
      </c>
    </row>
    <row r="51" spans="1:124">
      <c r="A51" s="70" t="s">
        <v>46</v>
      </c>
      <c r="B51" s="15"/>
      <c r="C51" s="15">
        <v>0.85</v>
      </c>
      <c r="D51" s="15"/>
      <c r="E51" s="15"/>
      <c r="F51" s="372">
        <v>0</v>
      </c>
      <c r="G51" s="374">
        <v>0</v>
      </c>
      <c r="H51" s="374">
        <v>0</v>
      </c>
      <c r="I51" s="374">
        <v>0</v>
      </c>
      <c r="J51" s="374">
        <v>0</v>
      </c>
      <c r="K51" s="374">
        <v>0</v>
      </c>
      <c r="L51" s="374">
        <v>0</v>
      </c>
      <c r="M51" s="374">
        <v>0</v>
      </c>
      <c r="N51" s="372">
        <v>0</v>
      </c>
      <c r="O51" s="372">
        <v>0</v>
      </c>
      <c r="P51" s="372">
        <v>0</v>
      </c>
      <c r="Q51" s="372">
        <v>0</v>
      </c>
      <c r="R51" s="372">
        <v>0</v>
      </c>
      <c r="S51" s="372">
        <v>0</v>
      </c>
      <c r="T51" s="372">
        <v>0.8</v>
      </c>
      <c r="U51" s="372">
        <v>0.72000000000000008</v>
      </c>
      <c r="V51" s="372">
        <v>0.72000000000000008</v>
      </c>
      <c r="W51" s="372">
        <v>0.76</v>
      </c>
      <c r="X51" s="372"/>
      <c r="Y51" s="372"/>
      <c r="Z51" s="372"/>
      <c r="AA51" s="372">
        <v>0.8</v>
      </c>
      <c r="AB51" s="372"/>
      <c r="AC51" s="372"/>
      <c r="AD51" s="41"/>
      <c r="AE51" s="41"/>
      <c r="AF51" s="11">
        <f t="shared" si="8"/>
        <v>0</v>
      </c>
      <c r="AG51" s="11">
        <f t="shared" si="9"/>
        <v>0</v>
      </c>
      <c r="AH51" s="11">
        <f t="shared" si="10"/>
        <v>19</v>
      </c>
      <c r="AN51">
        <f>2.6-0.2*3</f>
        <v>2</v>
      </c>
    </row>
    <row r="52" spans="1:124">
      <c r="A52" s="70" t="s">
        <v>47</v>
      </c>
      <c r="B52" s="15"/>
      <c r="C52" s="15">
        <v>0.85</v>
      </c>
      <c r="D52" s="15"/>
      <c r="E52" s="15"/>
      <c r="F52" s="372" t="s">
        <v>9</v>
      </c>
      <c r="G52" s="374" t="s">
        <v>9</v>
      </c>
      <c r="H52" s="374" t="s">
        <v>9</v>
      </c>
      <c r="I52" s="374" t="s">
        <v>9</v>
      </c>
      <c r="J52" s="374" t="s">
        <v>9</v>
      </c>
      <c r="K52" s="374" t="s">
        <v>9</v>
      </c>
      <c r="L52" s="374" t="s">
        <v>9</v>
      </c>
      <c r="M52" s="374" t="s">
        <v>9</v>
      </c>
      <c r="N52" s="372" t="s">
        <v>9</v>
      </c>
      <c r="O52" s="372" t="s">
        <v>9</v>
      </c>
      <c r="P52" s="372" t="s">
        <v>9</v>
      </c>
      <c r="Q52" s="372" t="s">
        <v>9</v>
      </c>
      <c r="R52" s="372" t="s">
        <v>9</v>
      </c>
      <c r="S52" s="372" t="s">
        <v>9</v>
      </c>
      <c r="T52" s="372" t="s">
        <v>9</v>
      </c>
      <c r="U52" s="372" t="s">
        <v>9</v>
      </c>
      <c r="V52" s="372" t="s">
        <v>9</v>
      </c>
      <c r="W52" s="372" t="s">
        <v>9</v>
      </c>
      <c r="X52" s="372" t="s">
        <v>9</v>
      </c>
      <c r="Y52" s="372" t="s">
        <v>9</v>
      </c>
      <c r="Z52" s="372" t="s">
        <v>9</v>
      </c>
      <c r="AA52" s="372" t="s">
        <v>9</v>
      </c>
      <c r="AB52" s="372" t="s">
        <v>9</v>
      </c>
      <c r="AC52" s="372" t="s">
        <v>9</v>
      </c>
      <c r="AD52" s="41"/>
      <c r="AE52" s="41"/>
      <c r="AF52" s="11">
        <f t="shared" si="8"/>
        <v>24</v>
      </c>
      <c r="AG52" s="11">
        <f t="shared" si="9"/>
        <v>0</v>
      </c>
      <c r="AH52" s="11">
        <f t="shared" si="10"/>
        <v>0</v>
      </c>
    </row>
    <row r="53" spans="1:124">
      <c r="A53" s="70" t="s">
        <v>48</v>
      </c>
      <c r="B53" s="15"/>
      <c r="C53" s="15">
        <v>0.85</v>
      </c>
      <c r="D53" s="15"/>
      <c r="E53" s="15"/>
      <c r="F53" s="372"/>
      <c r="G53" s="372"/>
      <c r="H53" s="372"/>
      <c r="I53" s="372"/>
      <c r="J53" s="372"/>
      <c r="K53" s="374"/>
      <c r="L53" s="372"/>
      <c r="M53" s="372"/>
      <c r="N53" s="372"/>
      <c r="O53" s="372"/>
      <c r="P53" s="372"/>
      <c r="Q53" s="372"/>
      <c r="R53" s="372"/>
      <c r="S53" s="372"/>
      <c r="T53" s="372"/>
      <c r="U53" s="372"/>
      <c r="V53" s="372"/>
      <c r="W53" s="372"/>
      <c r="X53" s="372"/>
      <c r="Y53" s="372"/>
      <c r="Z53" s="372"/>
      <c r="AA53" s="372"/>
      <c r="AB53" s="372"/>
      <c r="AC53" s="372"/>
      <c r="AD53" s="41"/>
      <c r="AE53" s="41"/>
      <c r="AF53" s="11">
        <f t="shared" si="8"/>
        <v>0</v>
      </c>
      <c r="AG53" s="11">
        <f t="shared" si="9"/>
        <v>0</v>
      </c>
      <c r="AH53" s="11">
        <f t="shared" si="10"/>
        <v>0</v>
      </c>
    </row>
    <row r="54" spans="1:124" ht="16.5" customHeight="1">
      <c r="A54" s="70" t="s">
        <v>49</v>
      </c>
      <c r="B54" s="15"/>
      <c r="C54" s="15">
        <v>0.85</v>
      </c>
      <c r="D54" s="15"/>
      <c r="E54" s="15"/>
      <c r="F54" s="372"/>
      <c r="G54" s="372"/>
      <c r="H54" s="372"/>
      <c r="I54" s="372"/>
      <c r="J54" s="372"/>
      <c r="K54" s="374"/>
      <c r="L54" s="372"/>
      <c r="M54" s="374"/>
      <c r="N54" s="372"/>
      <c r="O54" s="372"/>
      <c r="P54" s="372"/>
      <c r="Q54" s="372"/>
      <c r="R54" s="372"/>
      <c r="S54" s="372"/>
      <c r="T54" s="372"/>
      <c r="U54" s="372"/>
      <c r="V54" s="372"/>
      <c r="W54" s="372"/>
      <c r="X54" s="372"/>
      <c r="Y54" s="372"/>
      <c r="Z54" s="372"/>
      <c r="AA54" s="372">
        <v>0.8</v>
      </c>
      <c r="AB54" s="372"/>
      <c r="AC54" s="372"/>
      <c r="AD54" s="41"/>
      <c r="AE54" s="41"/>
      <c r="AF54" s="11">
        <f t="shared" si="8"/>
        <v>0</v>
      </c>
      <c r="AG54" s="11">
        <f t="shared" si="9"/>
        <v>0</v>
      </c>
      <c r="AH54" s="11">
        <f t="shared" si="10"/>
        <v>1</v>
      </c>
    </row>
    <row r="55" spans="1:124">
      <c r="A55" s="70" t="s">
        <v>50</v>
      </c>
      <c r="B55" s="15"/>
      <c r="C55" s="15">
        <v>0.85</v>
      </c>
      <c r="D55" s="15"/>
      <c r="E55" s="15"/>
      <c r="F55" s="372"/>
      <c r="G55" s="372"/>
      <c r="H55" s="372"/>
      <c r="I55" s="372"/>
      <c r="J55" s="372"/>
      <c r="K55" s="374"/>
      <c r="L55" s="372"/>
      <c r="M55" s="374"/>
      <c r="N55" s="372"/>
      <c r="O55" s="372"/>
      <c r="P55" s="372"/>
      <c r="Q55" s="372"/>
      <c r="R55" s="372"/>
      <c r="S55" s="372"/>
      <c r="T55" s="372"/>
      <c r="U55" s="372"/>
      <c r="V55" s="372"/>
      <c r="W55" s="372"/>
      <c r="X55" s="372"/>
      <c r="Y55" s="372"/>
      <c r="Z55" s="372"/>
      <c r="AA55" s="372"/>
      <c r="AB55" s="372"/>
      <c r="AC55" s="372"/>
      <c r="AD55" s="41"/>
      <c r="AE55" s="41"/>
      <c r="AF55" s="11">
        <f>COUNTIF(F55:AC55,$AJ$8)</f>
        <v>0</v>
      </c>
      <c r="AG55" s="11">
        <f t="shared" si="9"/>
        <v>0</v>
      </c>
      <c r="AH55" s="11">
        <f>COUNT(F55:AC55)</f>
        <v>0</v>
      </c>
    </row>
    <row r="56" spans="1:124">
      <c r="A56" s="70" t="s">
        <v>51</v>
      </c>
      <c r="B56" s="15"/>
      <c r="C56" s="15">
        <v>0.75</v>
      </c>
      <c r="D56" s="15"/>
      <c r="E56" s="15"/>
      <c r="F56" s="372"/>
      <c r="G56" s="372"/>
      <c r="H56" s="372"/>
      <c r="I56" s="372">
        <v>0.7</v>
      </c>
      <c r="J56" s="372">
        <v>0.7</v>
      </c>
      <c r="K56" s="372">
        <v>0.7</v>
      </c>
      <c r="L56" s="374">
        <v>0</v>
      </c>
      <c r="M56" s="374">
        <v>0</v>
      </c>
      <c r="N56" s="372">
        <v>0</v>
      </c>
      <c r="O56" s="372">
        <v>0</v>
      </c>
      <c r="P56" s="372">
        <v>0</v>
      </c>
      <c r="Q56" s="372">
        <v>0</v>
      </c>
      <c r="R56" s="372">
        <v>0</v>
      </c>
      <c r="S56" s="372">
        <v>0.8</v>
      </c>
      <c r="T56" s="372">
        <v>0.8</v>
      </c>
      <c r="U56" s="372">
        <v>0.72000000000000008</v>
      </c>
      <c r="V56" s="372">
        <v>0.72000000000000008</v>
      </c>
      <c r="W56" s="372">
        <v>0.76</v>
      </c>
      <c r="X56" s="372"/>
      <c r="Y56" s="372"/>
      <c r="Z56" s="372"/>
      <c r="AA56" s="372">
        <v>0.8</v>
      </c>
      <c r="AB56" s="372"/>
      <c r="AC56" s="372"/>
      <c r="AD56" s="41"/>
      <c r="AE56" s="41"/>
      <c r="AF56" s="11">
        <f t="shared" si="8"/>
        <v>0</v>
      </c>
      <c r="AG56" s="11">
        <f t="shared" si="9"/>
        <v>0</v>
      </c>
      <c r="AH56" s="11">
        <f t="shared" si="10"/>
        <v>16</v>
      </c>
    </row>
    <row r="57" spans="1:124">
      <c r="A57" s="70" t="s">
        <v>52</v>
      </c>
      <c r="B57" s="15"/>
      <c r="C57" s="15">
        <v>0.75</v>
      </c>
      <c r="D57" s="15"/>
      <c r="E57" s="15"/>
      <c r="F57" s="372"/>
      <c r="G57" s="372"/>
      <c r="H57" s="372"/>
      <c r="I57" s="372"/>
      <c r="J57" s="372"/>
      <c r="K57" s="372"/>
      <c r="L57" s="374">
        <v>0.7</v>
      </c>
      <c r="M57" s="374"/>
      <c r="N57" s="372"/>
      <c r="O57" s="372"/>
      <c r="P57" s="372">
        <v>0.7</v>
      </c>
      <c r="Q57" s="372"/>
      <c r="R57" s="372"/>
      <c r="S57" s="372"/>
      <c r="T57" s="372">
        <v>0.8</v>
      </c>
      <c r="U57" s="372">
        <v>0.72000000000000008</v>
      </c>
      <c r="V57" s="372">
        <v>0.72000000000000008</v>
      </c>
      <c r="W57" s="372">
        <v>0.76</v>
      </c>
      <c r="X57" s="372"/>
      <c r="Y57" s="372"/>
      <c r="Z57" s="372"/>
      <c r="AA57" s="372">
        <v>0.8</v>
      </c>
      <c r="AB57" s="372"/>
      <c r="AC57" s="372"/>
      <c r="AD57" s="41"/>
      <c r="AE57" s="41"/>
      <c r="AF57" s="11">
        <f t="shared" si="8"/>
        <v>0</v>
      </c>
      <c r="AG57" s="11">
        <f t="shared" si="9"/>
        <v>0</v>
      </c>
      <c r="AH57" s="11">
        <f t="shared" si="10"/>
        <v>7</v>
      </c>
    </row>
    <row r="58" spans="1:124">
      <c r="A58" s="70" t="s">
        <v>53</v>
      </c>
      <c r="B58" s="15"/>
      <c r="C58" s="15">
        <v>0.85</v>
      </c>
      <c r="D58" s="15"/>
      <c r="E58" s="15"/>
      <c r="F58" s="372"/>
      <c r="G58" s="372"/>
      <c r="H58" s="372"/>
      <c r="I58" s="372"/>
      <c r="J58" s="372"/>
      <c r="K58" s="372"/>
      <c r="L58" s="372"/>
      <c r="M58" s="374"/>
      <c r="N58" s="372"/>
      <c r="O58" s="372"/>
      <c r="P58" s="372"/>
      <c r="Q58" s="372"/>
      <c r="R58" s="372"/>
      <c r="S58" s="372"/>
      <c r="T58" s="372"/>
      <c r="U58" s="372"/>
      <c r="V58" s="372"/>
      <c r="W58" s="372"/>
      <c r="X58" s="372"/>
      <c r="Y58" s="372"/>
      <c r="Z58" s="372"/>
      <c r="AA58" s="372"/>
      <c r="AB58" s="372"/>
      <c r="AC58" s="372"/>
      <c r="AD58" s="41"/>
      <c r="AE58" s="41"/>
      <c r="AF58" s="11">
        <f t="shared" si="8"/>
        <v>0</v>
      </c>
      <c r="AG58" s="11">
        <f t="shared" si="9"/>
        <v>0</v>
      </c>
      <c r="AH58" s="11">
        <f t="shared" si="10"/>
        <v>0</v>
      </c>
    </row>
    <row r="59" spans="1:124">
      <c r="A59" s="70" t="s">
        <v>54</v>
      </c>
      <c r="B59" s="15"/>
      <c r="C59" s="15">
        <v>0.85</v>
      </c>
      <c r="D59" s="15"/>
      <c r="E59" s="15"/>
      <c r="F59" s="372"/>
      <c r="G59" s="372"/>
      <c r="H59" s="372"/>
      <c r="I59" s="372"/>
      <c r="J59" s="372"/>
      <c r="K59" s="374"/>
      <c r="L59" s="374"/>
      <c r="M59" s="374"/>
      <c r="N59" s="372"/>
      <c r="O59" s="372"/>
      <c r="P59" s="372"/>
      <c r="Q59" s="372"/>
      <c r="R59" s="372"/>
      <c r="S59" s="372"/>
      <c r="T59" s="372"/>
      <c r="U59" s="372"/>
      <c r="V59" s="372"/>
      <c r="W59" s="372"/>
      <c r="X59" s="372"/>
      <c r="Y59" s="372"/>
      <c r="Z59" s="372"/>
      <c r="AA59" s="372"/>
      <c r="AB59" s="372"/>
      <c r="AC59" s="372"/>
      <c r="AD59" s="41"/>
      <c r="AE59" s="41"/>
      <c r="AF59" s="11">
        <f t="shared" si="8"/>
        <v>0</v>
      </c>
      <c r="AG59" s="11">
        <f t="shared" si="9"/>
        <v>0</v>
      </c>
      <c r="AH59" s="11">
        <f t="shared" si="10"/>
        <v>0</v>
      </c>
    </row>
    <row r="60" spans="1:124">
      <c r="A60" s="9" t="s">
        <v>26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 t="shared" ref="F60:AC60" si="11">SUM(F36:F59)</f>
        <v>0</v>
      </c>
      <c r="G60" s="19">
        <f t="shared" si="11"/>
        <v>0</v>
      </c>
      <c r="H60" s="19">
        <f t="shared" si="11"/>
        <v>0</v>
      </c>
      <c r="I60" s="19">
        <f t="shared" si="11"/>
        <v>2.8</v>
      </c>
      <c r="J60" s="19">
        <f t="shared" si="11"/>
        <v>2.0999999999999996</v>
      </c>
      <c r="K60" s="19">
        <f t="shared" si="11"/>
        <v>2.0999999999999996</v>
      </c>
      <c r="L60" s="19">
        <f t="shared" si="11"/>
        <v>0.7</v>
      </c>
      <c r="M60" s="19">
        <f t="shared" si="11"/>
        <v>0</v>
      </c>
      <c r="N60" s="19">
        <f t="shared" si="11"/>
        <v>0</v>
      </c>
      <c r="O60" s="19">
        <f>SUM(O36:O59)</f>
        <v>1.5</v>
      </c>
      <c r="P60" s="19">
        <f t="shared" si="11"/>
        <v>2.0999999999999996</v>
      </c>
      <c r="Q60" s="19">
        <f t="shared" si="11"/>
        <v>0</v>
      </c>
      <c r="R60" s="19">
        <f t="shared" si="11"/>
        <v>0</v>
      </c>
      <c r="S60" s="19">
        <f t="shared" si="11"/>
        <v>1.5</v>
      </c>
      <c r="T60" s="19">
        <f>SUM(T36:T59)</f>
        <v>4</v>
      </c>
      <c r="U60" s="19">
        <f t="shared" si="11"/>
        <v>4.4000000000000004</v>
      </c>
      <c r="V60" s="19">
        <f t="shared" si="11"/>
        <v>4.4000000000000004</v>
      </c>
      <c r="W60" s="19">
        <f t="shared" si="11"/>
        <v>3.04</v>
      </c>
      <c r="X60" s="19">
        <f t="shared" si="11"/>
        <v>0</v>
      </c>
      <c r="Y60" s="19">
        <f t="shared" si="11"/>
        <v>1.5</v>
      </c>
      <c r="Z60" s="19">
        <f t="shared" si="11"/>
        <v>0</v>
      </c>
      <c r="AA60" s="19">
        <f t="shared" si="11"/>
        <v>3.2</v>
      </c>
      <c r="AB60" s="19">
        <f t="shared" si="11"/>
        <v>0</v>
      </c>
      <c r="AC60" s="19">
        <f t="shared" si="11"/>
        <v>0</v>
      </c>
      <c r="AD60" s="34"/>
      <c r="AE60" s="34"/>
      <c r="AF60" s="11"/>
      <c r="AG60" s="11"/>
      <c r="AH60" s="11"/>
    </row>
    <row r="61" spans="1:124">
      <c r="A61" s="12" t="s">
        <v>55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22.21</v>
      </c>
      <c r="AN61" s="351"/>
    </row>
    <row r="62" spans="1:124">
      <c r="A62" s="14" t="s">
        <v>56</v>
      </c>
      <c r="B62" s="20"/>
      <c r="C62" s="15">
        <v>0.75</v>
      </c>
      <c r="D62" s="15"/>
      <c r="E62" s="15"/>
      <c r="F62" s="372">
        <v>0.49</v>
      </c>
      <c r="G62" s="372">
        <v>0.47</v>
      </c>
      <c r="H62" s="372">
        <v>0.46</v>
      </c>
      <c r="I62" s="372">
        <f>0.88/2</f>
        <v>0.44</v>
      </c>
      <c r="J62" s="372">
        <v>0</v>
      </c>
      <c r="K62" s="374">
        <v>0</v>
      </c>
      <c r="L62" s="372" t="s">
        <v>9</v>
      </c>
      <c r="M62" s="372" t="s">
        <v>9</v>
      </c>
      <c r="N62" s="372" t="s">
        <v>9</v>
      </c>
      <c r="O62" s="372" t="s">
        <v>9</v>
      </c>
      <c r="P62" s="372" t="s">
        <v>9</v>
      </c>
      <c r="Q62" s="372" t="s">
        <v>9</v>
      </c>
      <c r="R62" s="372" t="s">
        <v>9</v>
      </c>
      <c r="S62" s="372" t="s">
        <v>9</v>
      </c>
      <c r="T62" s="372" t="s">
        <v>9</v>
      </c>
      <c r="U62" s="372">
        <v>0.37</v>
      </c>
      <c r="V62" s="372">
        <v>0.46</v>
      </c>
      <c r="W62" s="372">
        <v>0.64500000000000002</v>
      </c>
      <c r="X62" s="372">
        <v>0.8</v>
      </c>
      <c r="Y62" s="372">
        <v>0.81</v>
      </c>
      <c r="Z62" s="372">
        <f>1.54/2</f>
        <v>0.77</v>
      </c>
      <c r="AA62" s="372">
        <f>1.47/2</f>
        <v>0.73499999999999999</v>
      </c>
      <c r="AB62" s="372">
        <f>1.53/2</f>
        <v>0.76500000000000001</v>
      </c>
      <c r="AC62" s="372">
        <f>1.36/2</f>
        <v>0.68</v>
      </c>
      <c r="AD62" s="32"/>
      <c r="AE62" s="32"/>
      <c r="AF62" s="11">
        <f>COUNTIF(F62:AC62,$AF$11)</f>
        <v>9</v>
      </c>
      <c r="AG62" s="11">
        <f>COUNTIF(G62:AC62,$AG$11)</f>
        <v>0</v>
      </c>
      <c r="AH62" s="11">
        <f>COUNT(F62:AC62)</f>
        <v>15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57</v>
      </c>
      <c r="B63" s="20"/>
      <c r="C63" s="15">
        <v>0.75</v>
      </c>
      <c r="D63" s="15"/>
      <c r="E63" s="15"/>
      <c r="F63" s="372">
        <v>0.49</v>
      </c>
      <c r="G63" s="372">
        <v>0.47</v>
      </c>
      <c r="H63" s="372">
        <v>0.46</v>
      </c>
      <c r="I63" s="372">
        <f>0.88/2</f>
        <v>0.44</v>
      </c>
      <c r="J63" s="372">
        <v>0</v>
      </c>
      <c r="K63" s="374">
        <v>0</v>
      </c>
      <c r="L63" s="372">
        <v>0.76</v>
      </c>
      <c r="M63" s="372">
        <v>0.55000000000000004</v>
      </c>
      <c r="N63" s="372">
        <v>0.61</v>
      </c>
      <c r="O63" s="372">
        <v>0.79</v>
      </c>
      <c r="P63" s="372">
        <v>0.83</v>
      </c>
      <c r="Q63" s="372">
        <v>0.8</v>
      </c>
      <c r="R63" s="372">
        <v>0.82</v>
      </c>
      <c r="S63" s="372">
        <v>0.64</v>
      </c>
      <c r="T63" s="372">
        <v>0.62</v>
      </c>
      <c r="U63" s="372">
        <v>0.37</v>
      </c>
      <c r="V63" s="372">
        <v>0.46</v>
      </c>
      <c r="W63" s="372">
        <v>0.64500000000000002</v>
      </c>
      <c r="X63" s="372">
        <v>0.8</v>
      </c>
      <c r="Y63" s="372">
        <v>0.81</v>
      </c>
      <c r="Z63" s="372">
        <f>1.54/2</f>
        <v>0.77</v>
      </c>
      <c r="AA63" s="372">
        <f>1.47/2</f>
        <v>0.73499999999999999</v>
      </c>
      <c r="AB63" s="372">
        <f>1.53/2</f>
        <v>0.76500000000000001</v>
      </c>
      <c r="AC63" s="372">
        <f>1.36/2</f>
        <v>0.68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24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58</v>
      </c>
      <c r="B64" s="20"/>
      <c r="C64" s="15">
        <v>0.75</v>
      </c>
      <c r="D64" s="15"/>
      <c r="E64" s="15"/>
      <c r="F64" s="372" t="s">
        <v>9</v>
      </c>
      <c r="G64" s="372" t="s">
        <v>9</v>
      </c>
      <c r="H64" s="372" t="s">
        <v>9</v>
      </c>
      <c r="I64" s="372" t="s">
        <v>9</v>
      </c>
      <c r="J64" s="372" t="s">
        <v>9</v>
      </c>
      <c r="K64" s="374" t="s">
        <v>9</v>
      </c>
      <c r="L64" s="372" t="s">
        <v>9</v>
      </c>
      <c r="M64" s="372" t="s">
        <v>9</v>
      </c>
      <c r="N64" s="372" t="s">
        <v>9</v>
      </c>
      <c r="O64" s="372" t="s">
        <v>9</v>
      </c>
      <c r="P64" s="372" t="s">
        <v>9</v>
      </c>
      <c r="Q64" s="372" t="s">
        <v>9</v>
      </c>
      <c r="R64" s="372" t="s">
        <v>9</v>
      </c>
      <c r="S64" s="372" t="s">
        <v>9</v>
      </c>
      <c r="T64" s="372" t="s">
        <v>9</v>
      </c>
      <c r="U64" s="372" t="s">
        <v>9</v>
      </c>
      <c r="V64" s="372" t="s">
        <v>9</v>
      </c>
      <c r="W64" s="372" t="s">
        <v>9</v>
      </c>
      <c r="X64" s="372" t="s">
        <v>9</v>
      </c>
      <c r="Y64" s="372" t="s">
        <v>9</v>
      </c>
      <c r="Z64" s="372" t="s">
        <v>9</v>
      </c>
      <c r="AA64" s="372" t="s">
        <v>9</v>
      </c>
      <c r="AB64" s="372" t="s">
        <v>9</v>
      </c>
      <c r="AC64" s="372" t="s">
        <v>9</v>
      </c>
      <c r="AD64" s="32"/>
      <c r="AE64" s="32"/>
      <c r="AF64" s="11">
        <f>COUNTIF(F64:AC64,$AF$11)</f>
        <v>24</v>
      </c>
      <c r="AG64" s="11">
        <f>COUNTIF(G64:AC64,$AG$11)</f>
        <v>0</v>
      </c>
      <c r="AH64" s="11">
        <f>COUNT(F64:AC64)</f>
        <v>0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0.98</v>
      </c>
      <c r="G65" s="19">
        <f t="shared" ref="G65" si="12">SUM(G62:G64)</f>
        <v>0.94</v>
      </c>
      <c r="H65" s="19">
        <f>SUM(H62:H64)</f>
        <v>0.92</v>
      </c>
      <c r="I65" s="19">
        <f>SUM(I62:I64)</f>
        <v>0.88</v>
      </c>
      <c r="J65" s="19">
        <f t="shared" ref="J65" si="13">SUM(J62:J64)</f>
        <v>0</v>
      </c>
      <c r="K65" s="19">
        <f>SUM(K62:K64)</f>
        <v>0</v>
      </c>
      <c r="L65" s="19">
        <f>SUM(L62:L64)</f>
        <v>0.76</v>
      </c>
      <c r="M65" s="19">
        <f>SUM(M62:M64)</f>
        <v>0.55000000000000004</v>
      </c>
      <c r="N65" s="19">
        <f>SUM(N62:N64)</f>
        <v>0.61</v>
      </c>
      <c r="O65" s="19">
        <f t="shared" ref="O65:AB65" si="14">SUM(O62:O64)</f>
        <v>0.79</v>
      </c>
      <c r="P65" s="19">
        <f t="shared" si="14"/>
        <v>0.83</v>
      </c>
      <c r="Q65" s="19">
        <f t="shared" si="14"/>
        <v>0.8</v>
      </c>
      <c r="R65" s="19">
        <f t="shared" si="14"/>
        <v>0.82</v>
      </c>
      <c r="S65" s="19">
        <f t="shared" si="14"/>
        <v>0.64</v>
      </c>
      <c r="T65" s="19">
        <f t="shared" si="14"/>
        <v>0.62</v>
      </c>
      <c r="U65" s="19">
        <f t="shared" si="14"/>
        <v>0.74</v>
      </c>
      <c r="V65" s="19">
        <f t="shared" si="14"/>
        <v>0.92</v>
      </c>
      <c r="W65" s="19">
        <f t="shared" si="14"/>
        <v>1.29</v>
      </c>
      <c r="X65" s="19">
        <f t="shared" si="14"/>
        <v>1.6</v>
      </c>
      <c r="Y65" s="19">
        <f>SUM(Y62:Y64)</f>
        <v>1.62</v>
      </c>
      <c r="Z65" s="19">
        <f t="shared" si="14"/>
        <v>1.54</v>
      </c>
      <c r="AA65" s="19">
        <f t="shared" si="14"/>
        <v>1.47</v>
      </c>
      <c r="AB65" s="19">
        <f t="shared" si="14"/>
        <v>1.53</v>
      </c>
      <c r="AC65" s="19">
        <f>SUM(AC62:AC64)</f>
        <v>1.36</v>
      </c>
      <c r="AD65" s="34"/>
      <c r="AE65" s="34"/>
      <c r="AF65" s="11"/>
      <c r="AG65" s="11"/>
      <c r="AH65" s="11"/>
    </row>
    <row r="66" spans="1:124" hidden="1">
      <c r="A66" s="12" t="s">
        <v>59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idden="1">
      <c r="A67" s="14" t="s">
        <v>60</v>
      </c>
      <c r="B67" s="15"/>
      <c r="C67" s="15">
        <v>0.85</v>
      </c>
      <c r="D67" s="15"/>
      <c r="E67" s="15"/>
      <c r="F67" s="372"/>
      <c r="G67" s="372"/>
      <c r="H67" s="372"/>
      <c r="I67" s="372"/>
      <c r="J67" s="372"/>
      <c r="K67" s="374"/>
      <c r="L67" s="374"/>
      <c r="M67" s="374"/>
      <c r="N67" s="372"/>
      <c r="O67" s="372"/>
      <c r="P67" s="372"/>
      <c r="Q67" s="372"/>
      <c r="R67" s="372"/>
      <c r="S67" s="372"/>
      <c r="T67" s="372"/>
      <c r="U67" s="372"/>
      <c r="V67" s="372"/>
      <c r="W67" s="372"/>
      <c r="X67" s="372"/>
      <c r="Y67" s="372"/>
      <c r="Z67" s="372"/>
      <c r="AA67" s="372"/>
      <c r="AB67" s="372"/>
      <c r="AC67" s="372"/>
      <c r="AD67" s="35"/>
      <c r="AE67" s="35"/>
      <c r="AF67" s="11">
        <f t="shared" ref="AF67:AF75" si="15">COUNTIF(F67:AC67,$AF$11)</f>
        <v>0</v>
      </c>
      <c r="AG67" s="11">
        <f t="shared" ref="AG67:AG75" si="16">COUNTIF(G67:AC67,$AG$11)</f>
        <v>0</v>
      </c>
      <c r="AH67" s="11">
        <f t="shared" ref="AH67:AH75" si="17">COUNT(F67:AC67)</f>
        <v>0</v>
      </c>
    </row>
    <row r="68" spans="1:124" hidden="1">
      <c r="A68" s="14" t="s">
        <v>61</v>
      </c>
      <c r="B68" s="15"/>
      <c r="C68" s="15">
        <v>0.85</v>
      </c>
      <c r="D68" s="15"/>
      <c r="E68" s="15"/>
      <c r="F68" s="372"/>
      <c r="G68" s="372"/>
      <c r="H68" s="372"/>
      <c r="I68" s="372"/>
      <c r="J68" s="372"/>
      <c r="K68" s="374"/>
      <c r="L68" s="374"/>
      <c r="M68" s="374"/>
      <c r="N68" s="372"/>
      <c r="O68" s="372"/>
      <c r="P68" s="372"/>
      <c r="Q68" s="372"/>
      <c r="R68" s="372"/>
      <c r="S68" s="372"/>
      <c r="T68" s="372"/>
      <c r="U68" s="372"/>
      <c r="V68" s="372"/>
      <c r="W68" s="372"/>
      <c r="X68" s="372"/>
      <c r="Y68" s="372"/>
      <c r="Z68" s="372"/>
      <c r="AA68" s="372"/>
      <c r="AB68" s="372"/>
      <c r="AC68" s="372"/>
      <c r="AD68" s="35"/>
      <c r="AE68" s="35"/>
      <c r="AF68" s="11">
        <f t="shared" si="15"/>
        <v>0</v>
      </c>
      <c r="AG68" s="11">
        <f t="shared" si="16"/>
        <v>0</v>
      </c>
      <c r="AH68" s="11">
        <f t="shared" si="17"/>
        <v>0</v>
      </c>
    </row>
    <row r="69" spans="1:124" hidden="1">
      <c r="A69" s="14" t="s">
        <v>62</v>
      </c>
      <c r="B69" s="15"/>
      <c r="C69" s="15">
        <v>0.85</v>
      </c>
      <c r="D69" s="15"/>
      <c r="E69" s="15"/>
      <c r="F69" s="372"/>
      <c r="G69" s="372"/>
      <c r="H69" s="372"/>
      <c r="I69" s="372"/>
      <c r="J69" s="372"/>
      <c r="K69" s="374"/>
      <c r="L69" s="374"/>
      <c r="M69" s="374"/>
      <c r="N69" s="372"/>
      <c r="O69" s="372"/>
      <c r="P69" s="372"/>
      <c r="Q69" s="372"/>
      <c r="R69" s="372"/>
      <c r="S69" s="372"/>
      <c r="T69" s="372"/>
      <c r="U69" s="372"/>
      <c r="V69" s="372"/>
      <c r="W69" s="372"/>
      <c r="X69" s="372"/>
      <c r="Y69" s="372"/>
      <c r="Z69" s="372"/>
      <c r="AA69" s="372"/>
      <c r="AB69" s="372"/>
      <c r="AC69" s="372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7"/>
        <v>0</v>
      </c>
    </row>
    <row r="70" spans="1:124" hidden="1">
      <c r="A70" s="14" t="s">
        <v>63</v>
      </c>
      <c r="B70" s="15"/>
      <c r="C70" s="15">
        <v>0.85</v>
      </c>
      <c r="D70" s="15"/>
      <c r="E70" s="15"/>
      <c r="F70" s="372"/>
      <c r="G70" s="372"/>
      <c r="H70" s="372"/>
      <c r="I70" s="372"/>
      <c r="J70" s="372"/>
      <c r="K70" s="374"/>
      <c r="L70" s="374"/>
      <c r="M70" s="374"/>
      <c r="N70" s="372"/>
      <c r="O70" s="372"/>
      <c r="P70" s="372"/>
      <c r="Q70" s="372"/>
      <c r="R70" s="372"/>
      <c r="S70" s="372"/>
      <c r="T70" s="372"/>
      <c r="U70" s="372"/>
      <c r="V70" s="372"/>
      <c r="W70" s="372"/>
      <c r="X70" s="372"/>
      <c r="Y70" s="372"/>
      <c r="Z70" s="372"/>
      <c r="AA70" s="372"/>
      <c r="AB70" s="372"/>
      <c r="AC70" s="372"/>
      <c r="AD70" s="35"/>
      <c r="AE70" s="35"/>
      <c r="AF70" s="11">
        <f t="shared" si="15"/>
        <v>0</v>
      </c>
      <c r="AG70" s="11">
        <f t="shared" si="16"/>
        <v>0</v>
      </c>
      <c r="AH70" s="11">
        <f t="shared" si="17"/>
        <v>0</v>
      </c>
      <c r="AI70" s="5"/>
      <c r="AJ70" s="5"/>
      <c r="AK70" s="5"/>
      <c r="AL70" s="5"/>
    </row>
    <row r="71" spans="1:124" hidden="1">
      <c r="A71" s="14" t="s">
        <v>64</v>
      </c>
      <c r="B71" s="15"/>
      <c r="C71" s="15">
        <v>0.85</v>
      </c>
      <c r="D71" s="15"/>
      <c r="E71" s="15"/>
      <c r="F71" s="372"/>
      <c r="G71" s="372"/>
      <c r="H71" s="372"/>
      <c r="I71" s="372"/>
      <c r="J71" s="372"/>
      <c r="K71" s="374"/>
      <c r="L71" s="374"/>
      <c r="M71" s="374"/>
      <c r="N71" s="372"/>
      <c r="O71" s="372"/>
      <c r="P71" s="372"/>
      <c r="Q71" s="372"/>
      <c r="R71" s="372"/>
      <c r="S71" s="372"/>
      <c r="T71" s="372"/>
      <c r="U71" s="372"/>
      <c r="V71" s="372"/>
      <c r="W71" s="372"/>
      <c r="X71" s="372"/>
      <c r="Y71" s="372"/>
      <c r="Z71" s="372"/>
      <c r="AA71" s="372"/>
      <c r="AB71" s="372"/>
      <c r="AC71" s="372"/>
      <c r="AD71" s="35"/>
      <c r="AE71" s="35"/>
      <c r="AF71" s="11">
        <f t="shared" si="15"/>
        <v>0</v>
      </c>
      <c r="AG71" s="11">
        <f t="shared" si="16"/>
        <v>0</v>
      </c>
      <c r="AH71" s="11">
        <f t="shared" si="17"/>
        <v>0</v>
      </c>
    </row>
    <row r="72" spans="1:124" hidden="1">
      <c r="A72" s="14" t="s">
        <v>65</v>
      </c>
      <c r="B72" s="15"/>
      <c r="C72" s="15">
        <v>0.85</v>
      </c>
      <c r="D72" s="15"/>
      <c r="E72" s="15"/>
      <c r="F72" s="372"/>
      <c r="G72" s="372"/>
      <c r="H72" s="372"/>
      <c r="I72" s="372"/>
      <c r="J72" s="372"/>
      <c r="K72" s="374"/>
      <c r="L72" s="374"/>
      <c r="M72" s="374"/>
      <c r="N72" s="372"/>
      <c r="O72" s="372"/>
      <c r="P72" s="372"/>
      <c r="Q72" s="372"/>
      <c r="R72" s="372"/>
      <c r="S72" s="372"/>
      <c r="T72" s="372"/>
      <c r="U72" s="372"/>
      <c r="V72" s="372"/>
      <c r="W72" s="372"/>
      <c r="X72" s="372"/>
      <c r="Y72" s="372"/>
      <c r="Z72" s="372"/>
      <c r="AA72" s="372"/>
      <c r="AB72" s="372"/>
      <c r="AC72" s="372"/>
      <c r="AD72" s="35"/>
      <c r="AE72" s="35"/>
      <c r="AF72" s="11">
        <f t="shared" si="15"/>
        <v>0</v>
      </c>
      <c r="AG72" s="11">
        <f t="shared" si="16"/>
        <v>0</v>
      </c>
      <c r="AH72" s="11">
        <f t="shared" si="17"/>
        <v>0</v>
      </c>
    </row>
    <row r="73" spans="1:124" hidden="1">
      <c r="A73" s="14" t="s">
        <v>66</v>
      </c>
      <c r="B73" s="15"/>
      <c r="C73" s="15">
        <v>0.85</v>
      </c>
      <c r="D73" s="15"/>
      <c r="E73" s="15"/>
      <c r="F73" s="372"/>
      <c r="G73" s="372"/>
      <c r="H73" s="372"/>
      <c r="I73" s="372"/>
      <c r="J73" s="372"/>
      <c r="K73" s="374"/>
      <c r="L73" s="374"/>
      <c r="M73" s="374"/>
      <c r="N73" s="372"/>
      <c r="O73" s="372"/>
      <c r="P73" s="372"/>
      <c r="Q73" s="372"/>
      <c r="R73" s="372"/>
      <c r="S73" s="372"/>
      <c r="T73" s="372"/>
      <c r="U73" s="372"/>
      <c r="V73" s="372"/>
      <c r="W73" s="372"/>
      <c r="X73" s="372"/>
      <c r="Y73" s="372"/>
      <c r="Z73" s="372"/>
      <c r="AA73" s="372"/>
      <c r="AB73" s="372"/>
      <c r="AC73" s="372"/>
      <c r="AD73" s="35"/>
      <c r="AE73" s="35"/>
      <c r="AF73" s="11">
        <f t="shared" si="15"/>
        <v>0</v>
      </c>
      <c r="AG73" s="11">
        <f t="shared" si="16"/>
        <v>0</v>
      </c>
      <c r="AH73" s="11">
        <f t="shared" si="17"/>
        <v>0</v>
      </c>
    </row>
    <row r="74" spans="1:124" hidden="1">
      <c r="A74" s="14" t="s">
        <v>67</v>
      </c>
      <c r="B74" s="19"/>
      <c r="C74" s="15">
        <v>0.85</v>
      </c>
      <c r="D74" s="15"/>
      <c r="E74" s="15"/>
      <c r="F74" s="372"/>
      <c r="G74" s="372"/>
      <c r="H74" s="372"/>
      <c r="I74" s="372"/>
      <c r="J74" s="372"/>
      <c r="K74" s="374"/>
      <c r="L74" s="374"/>
      <c r="M74" s="374"/>
      <c r="N74" s="372"/>
      <c r="O74" s="372"/>
      <c r="P74" s="372"/>
      <c r="Q74" s="372"/>
      <c r="R74" s="372"/>
      <c r="S74" s="372"/>
      <c r="T74" s="372"/>
      <c r="U74" s="372"/>
      <c r="V74" s="372"/>
      <c r="W74" s="372"/>
      <c r="X74" s="372"/>
      <c r="Y74" s="372"/>
      <c r="Z74" s="372"/>
      <c r="AA74" s="372"/>
      <c r="AB74" s="372"/>
      <c r="AC74" s="372"/>
      <c r="AD74" s="29"/>
      <c r="AE74" s="29"/>
      <c r="AF74" s="11">
        <f t="shared" si="15"/>
        <v>0</v>
      </c>
      <c r="AG74" s="11">
        <f t="shared" si="16"/>
        <v>0</v>
      </c>
      <c r="AH74" s="11">
        <f t="shared" si="17"/>
        <v>0</v>
      </c>
    </row>
    <row r="75" spans="1:124" ht="15.75" hidden="1" customHeight="1">
      <c r="A75" s="14" t="s">
        <v>68</v>
      </c>
      <c r="B75" s="9"/>
      <c r="C75" s="15">
        <v>0.85</v>
      </c>
      <c r="D75" s="15"/>
      <c r="E75" s="15"/>
      <c r="F75" s="372"/>
      <c r="G75" s="372"/>
      <c r="H75" s="372"/>
      <c r="I75" s="372"/>
      <c r="J75" s="372"/>
      <c r="K75" s="374"/>
      <c r="L75" s="374"/>
      <c r="M75" s="374"/>
      <c r="N75" s="372"/>
      <c r="O75" s="372"/>
      <c r="P75" s="372"/>
      <c r="Q75" s="372"/>
      <c r="R75" s="372"/>
      <c r="S75" s="372"/>
      <c r="T75" s="372"/>
      <c r="U75" s="372"/>
      <c r="V75" s="372"/>
      <c r="W75" s="372"/>
      <c r="X75" s="372"/>
      <c r="Y75" s="372"/>
      <c r="Z75" s="372"/>
      <c r="AA75" s="372"/>
      <c r="AB75" s="372"/>
      <c r="AC75" s="372"/>
      <c r="AD75" s="31"/>
      <c r="AE75" s="31"/>
      <c r="AF75" s="11">
        <f t="shared" si="15"/>
        <v>0</v>
      </c>
      <c r="AG75" s="11">
        <f t="shared" si="16"/>
        <v>0</v>
      </c>
      <c r="AH75" s="11">
        <f t="shared" si="17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18">SUM(F67:F75)</f>
        <v>0</v>
      </c>
      <c r="G76" s="19">
        <f t="shared" si="18"/>
        <v>0</v>
      </c>
      <c r="H76" s="19">
        <f t="shared" si="18"/>
        <v>0</v>
      </c>
      <c r="I76" s="19">
        <f t="shared" si="18"/>
        <v>0</v>
      </c>
      <c r="J76" s="19">
        <f t="shared" si="18"/>
        <v>0</v>
      </c>
      <c r="K76" s="19">
        <f t="shared" si="18"/>
        <v>0</v>
      </c>
      <c r="L76" s="19">
        <f>SUM(L67:L75)</f>
        <v>0</v>
      </c>
      <c r="M76" s="19">
        <f t="shared" si="18"/>
        <v>0</v>
      </c>
      <c r="N76" s="19">
        <f t="shared" si="18"/>
        <v>0</v>
      </c>
      <c r="O76" s="19">
        <f t="shared" si="18"/>
        <v>0</v>
      </c>
      <c r="P76" s="19">
        <f t="shared" si="18"/>
        <v>0</v>
      </c>
      <c r="Q76" s="19">
        <f>SUM(Q67:Q75)</f>
        <v>0</v>
      </c>
      <c r="R76" s="19">
        <f t="shared" si="18"/>
        <v>0</v>
      </c>
      <c r="S76" s="19">
        <f t="shared" si="18"/>
        <v>0</v>
      </c>
      <c r="T76" s="19">
        <f t="shared" si="18"/>
        <v>0</v>
      </c>
      <c r="U76" s="19">
        <f t="shared" si="18"/>
        <v>0</v>
      </c>
      <c r="V76" s="19">
        <f t="shared" si="18"/>
        <v>0</v>
      </c>
      <c r="W76" s="19">
        <f t="shared" si="18"/>
        <v>0</v>
      </c>
      <c r="X76" s="19">
        <f t="shared" si="18"/>
        <v>0</v>
      </c>
      <c r="Y76" s="19">
        <f t="shared" si="18"/>
        <v>0</v>
      </c>
      <c r="Z76" s="19">
        <f t="shared" si="18"/>
        <v>0</v>
      </c>
      <c r="AA76" s="19">
        <f t="shared" si="18"/>
        <v>0</v>
      </c>
      <c r="AB76" s="19">
        <f t="shared" si="18"/>
        <v>0</v>
      </c>
      <c r="AC76" s="19">
        <f t="shared" si="18"/>
        <v>0</v>
      </c>
      <c r="AD76" s="34"/>
      <c r="AE76" s="34"/>
      <c r="AF76" s="11"/>
      <c r="AG76" s="11"/>
      <c r="AH76" s="11"/>
    </row>
    <row r="77" spans="1:124">
      <c r="A77" s="12" t="s">
        <v>69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 t="s">
        <v>21</v>
      </c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20.309999999999999</v>
      </c>
    </row>
    <row r="78" spans="1:124">
      <c r="A78" s="14" t="s">
        <v>70</v>
      </c>
      <c r="B78" s="20"/>
      <c r="C78" s="15">
        <v>1</v>
      </c>
      <c r="D78" s="15"/>
      <c r="E78" s="15"/>
      <c r="F78" s="372"/>
      <c r="G78" s="372"/>
      <c r="H78" s="372"/>
      <c r="I78" s="372"/>
      <c r="J78" s="372"/>
      <c r="K78" s="374"/>
      <c r="L78" s="374"/>
      <c r="M78" s="374"/>
      <c r="N78" s="372"/>
      <c r="O78" s="372"/>
      <c r="P78" s="372">
        <v>0.85</v>
      </c>
      <c r="Q78" s="372">
        <v>0.88</v>
      </c>
      <c r="R78" s="372">
        <v>0.88</v>
      </c>
      <c r="S78" s="372">
        <v>0.89</v>
      </c>
      <c r="T78" s="372">
        <v>0.9</v>
      </c>
      <c r="U78" s="372">
        <v>0.88</v>
      </c>
      <c r="V78" s="372">
        <v>0.87</v>
      </c>
      <c r="W78" s="372">
        <v>0.9</v>
      </c>
      <c r="X78" s="372">
        <v>0.92</v>
      </c>
      <c r="Y78" s="372">
        <v>0.98</v>
      </c>
      <c r="Z78" s="372">
        <v>0.94</v>
      </c>
      <c r="AA78" s="372"/>
      <c r="AB78" s="372"/>
      <c r="AC78" s="372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11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71</v>
      </c>
      <c r="B79" s="20"/>
      <c r="C79" s="15">
        <v>1</v>
      </c>
      <c r="D79" s="15"/>
      <c r="E79" s="15"/>
      <c r="F79" s="372">
        <v>0.82</v>
      </c>
      <c r="G79" s="372">
        <v>0.79</v>
      </c>
      <c r="H79" s="372">
        <v>0.78</v>
      </c>
      <c r="I79" s="372">
        <v>0.74</v>
      </c>
      <c r="J79" s="372">
        <v>0.72</v>
      </c>
      <c r="K79" s="374">
        <v>0.76</v>
      </c>
      <c r="L79" s="374">
        <v>0.77</v>
      </c>
      <c r="M79" s="374">
        <v>0.77</v>
      </c>
      <c r="N79" s="374">
        <v>0.77</v>
      </c>
      <c r="O79" s="374">
        <v>0.82</v>
      </c>
      <c r="P79" s="374"/>
      <c r="Q79" s="374"/>
      <c r="R79" s="374"/>
      <c r="S79" s="374"/>
      <c r="T79" s="374"/>
      <c r="U79" s="374"/>
      <c r="V79" s="374"/>
      <c r="W79" s="374"/>
      <c r="X79" s="374"/>
      <c r="Y79" s="372"/>
      <c r="Z79" s="372"/>
      <c r="AA79" s="372">
        <v>0.93</v>
      </c>
      <c r="AB79" s="372">
        <v>0.89</v>
      </c>
      <c r="AC79" s="372">
        <v>0.86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13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>SUM(F78:F79)</f>
        <v>0.82</v>
      </c>
      <c r="G80" s="19">
        <f t="shared" ref="G80" si="19">SUM(G78:G79)</f>
        <v>0.79</v>
      </c>
      <c r="H80" s="19">
        <f>SUM(H78:H79)</f>
        <v>0.78</v>
      </c>
      <c r="I80" s="19">
        <f>SUM(I78:I79)</f>
        <v>0.74</v>
      </c>
      <c r="J80" s="19">
        <f t="shared" ref="J80:AC80" si="20">SUM(J78:J79)</f>
        <v>0.72</v>
      </c>
      <c r="K80" s="19">
        <f t="shared" si="20"/>
        <v>0.76</v>
      </c>
      <c r="L80" s="19">
        <f>SUM(L78:L79)</f>
        <v>0.77</v>
      </c>
      <c r="M80" s="19">
        <f t="shared" si="20"/>
        <v>0.77</v>
      </c>
      <c r="N80" s="19">
        <f t="shared" si="20"/>
        <v>0.77</v>
      </c>
      <c r="O80" s="19">
        <f>SUM(O78:O79)</f>
        <v>0.82</v>
      </c>
      <c r="P80" s="19">
        <f t="shared" si="20"/>
        <v>0.85</v>
      </c>
      <c r="Q80" s="19">
        <f t="shared" si="20"/>
        <v>0.88</v>
      </c>
      <c r="R80" s="19">
        <f t="shared" si="20"/>
        <v>0.88</v>
      </c>
      <c r="S80" s="19">
        <f t="shared" si="20"/>
        <v>0.89</v>
      </c>
      <c r="T80" s="19">
        <f t="shared" si="20"/>
        <v>0.9</v>
      </c>
      <c r="U80" s="19">
        <f t="shared" si="20"/>
        <v>0.88</v>
      </c>
      <c r="V80" s="19">
        <f t="shared" si="20"/>
        <v>0.87</v>
      </c>
      <c r="W80" s="19">
        <f t="shared" si="20"/>
        <v>0.9</v>
      </c>
      <c r="X80" s="19">
        <f t="shared" si="20"/>
        <v>0.92</v>
      </c>
      <c r="Y80" s="19">
        <f t="shared" si="20"/>
        <v>0.98</v>
      </c>
      <c r="Z80" s="19">
        <f t="shared" si="20"/>
        <v>0.94</v>
      </c>
      <c r="AA80" s="19">
        <f t="shared" si="20"/>
        <v>0.93</v>
      </c>
      <c r="AB80" s="19">
        <f t="shared" si="20"/>
        <v>0.89</v>
      </c>
      <c r="AC80" s="19">
        <f t="shared" si="20"/>
        <v>0.86</v>
      </c>
      <c r="AD80" s="34"/>
      <c r="AE80" s="34"/>
      <c r="AF80" s="11"/>
      <c r="AG80" s="11"/>
      <c r="AH80" s="11"/>
    </row>
    <row r="81" spans="1:40" ht="17.45" hidden="1">
      <c r="A81" s="366" t="s">
        <v>72</v>
      </c>
      <c r="B81" s="365"/>
      <c r="C81" s="367">
        <v>2</v>
      </c>
      <c r="D81" s="363"/>
      <c r="E81" s="363"/>
      <c r="F81" s="364"/>
      <c r="G81" s="364"/>
      <c r="H81" s="364"/>
      <c r="I81" s="364"/>
      <c r="J81" s="364"/>
      <c r="K81" s="364"/>
      <c r="L81" s="364"/>
      <c r="M81" s="364"/>
      <c r="N81" s="364"/>
      <c r="O81" s="364"/>
      <c r="P81" s="364"/>
      <c r="Q81" s="364"/>
      <c r="R81" s="364"/>
      <c r="S81" s="364"/>
      <c r="T81" s="364"/>
      <c r="U81" s="364"/>
      <c r="V81" s="364"/>
      <c r="W81" s="364"/>
      <c r="X81" s="364"/>
      <c r="Y81" s="364"/>
      <c r="Z81" s="364"/>
      <c r="AA81" s="364"/>
      <c r="AB81" s="364"/>
      <c r="AC81" s="364"/>
    </row>
    <row r="82" spans="1:40" ht="17.45" hidden="1">
      <c r="A82" s="368"/>
      <c r="B82" s="369"/>
      <c r="C82" s="370"/>
      <c r="D82" s="371"/>
      <c r="E82" s="371"/>
      <c r="F82" s="372"/>
      <c r="G82" s="372"/>
      <c r="H82" s="372"/>
      <c r="I82" s="372"/>
      <c r="J82" s="372"/>
      <c r="K82" s="374"/>
      <c r="L82" s="374"/>
      <c r="M82" s="374"/>
      <c r="N82" s="372"/>
      <c r="O82" s="372"/>
      <c r="P82" s="372"/>
      <c r="Q82" s="372"/>
      <c r="R82" s="372"/>
      <c r="S82" s="372"/>
      <c r="T82" s="372"/>
      <c r="U82" s="372"/>
      <c r="V82" s="372"/>
      <c r="W82" s="372"/>
      <c r="X82" s="372"/>
      <c r="Y82" s="372"/>
      <c r="Z82" s="372"/>
      <c r="AA82" s="372"/>
      <c r="AB82" s="372"/>
      <c r="AC82" s="372"/>
    </row>
    <row r="83" spans="1:40">
      <c r="A83" s="21" t="s">
        <v>73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:AC83" si="21">SUM(F17,F22,F25,F31,F34,F60,F65,F76,F80,F82)</f>
        <v>47.649999999999991</v>
      </c>
      <c r="G83" s="28">
        <f t="shared" si="21"/>
        <v>44.79</v>
      </c>
      <c r="H83" s="28">
        <f t="shared" si="21"/>
        <v>42.09</v>
      </c>
      <c r="I83" s="28">
        <f t="shared" si="21"/>
        <v>40.090000000000003</v>
      </c>
      <c r="J83" s="28">
        <f t="shared" si="21"/>
        <v>38.619999999999997</v>
      </c>
      <c r="K83" s="28">
        <f t="shared" si="21"/>
        <v>38.64</v>
      </c>
      <c r="L83" s="28">
        <f t="shared" si="21"/>
        <v>41.99</v>
      </c>
      <c r="M83" s="28">
        <f t="shared" si="21"/>
        <v>39.21</v>
      </c>
      <c r="N83" s="28">
        <f>SUM(N17,N22,N25,N31,N34,N60,N65,N76,N80,N82)</f>
        <v>45.68</v>
      </c>
      <c r="O83" s="28">
        <f>SUM(O17,O22,O25,O31,O34,O60,O65,O76,O80,O82)</f>
        <v>56.63</v>
      </c>
      <c r="P83" s="28">
        <f t="shared" si="21"/>
        <v>61.28</v>
      </c>
      <c r="Q83" s="28">
        <f t="shared" si="21"/>
        <v>60.39</v>
      </c>
      <c r="R83" s="28">
        <f t="shared" si="21"/>
        <v>59.720000000000006</v>
      </c>
      <c r="S83" s="28">
        <f t="shared" si="21"/>
        <v>63.860000000000007</v>
      </c>
      <c r="T83" s="28">
        <f t="shared" si="21"/>
        <v>66.730000000000018</v>
      </c>
      <c r="U83" s="28">
        <f>SUM(U17,U22,U25,U31,U34,U60,U65,U76,U80,U82)</f>
        <v>66.899999999999991</v>
      </c>
      <c r="V83" s="28">
        <f t="shared" si="21"/>
        <v>66.62</v>
      </c>
      <c r="W83" s="28">
        <f t="shared" si="21"/>
        <v>63.15</v>
      </c>
      <c r="X83" s="28">
        <f t="shared" si="21"/>
        <v>60.210000000000008</v>
      </c>
      <c r="Y83" s="28">
        <f t="shared" si="21"/>
        <v>64.259999999999991</v>
      </c>
      <c r="Z83" s="28">
        <f t="shared" si="21"/>
        <v>60.669999999999995</v>
      </c>
      <c r="AA83" s="28">
        <f t="shared" si="21"/>
        <v>57.36</v>
      </c>
      <c r="AB83" s="28">
        <f t="shared" si="21"/>
        <v>53.89</v>
      </c>
      <c r="AC83" s="28">
        <f t="shared" si="21"/>
        <v>50.91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25" t="s">
        <v>74</v>
      </c>
      <c r="B85" s="525"/>
      <c r="C85" s="525"/>
      <c r="D85" s="525"/>
      <c r="E85" s="525"/>
      <c r="F85" s="525"/>
      <c r="G85" s="525"/>
      <c r="H85" s="525"/>
      <c r="I85" s="525"/>
      <c r="J85" s="525"/>
      <c r="K85" s="525"/>
      <c r="L85" s="525"/>
      <c r="M85" s="525"/>
      <c r="N85" s="525"/>
      <c r="O85" s="525"/>
      <c r="P85" s="525"/>
      <c r="Q85" s="525"/>
      <c r="R85" s="525"/>
      <c r="S85" s="525"/>
      <c r="T85" s="525"/>
      <c r="U85" s="525"/>
      <c r="V85" s="525"/>
      <c r="W85" s="525"/>
      <c r="X85" s="525"/>
      <c r="Y85" s="525"/>
      <c r="Z85" s="525"/>
      <c r="AA85" s="525"/>
      <c r="AB85" s="525"/>
      <c r="AC85" s="525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</row>
    <row r="87" spans="1:40" ht="17.45">
      <c r="A87" s="500" t="s">
        <v>75</v>
      </c>
      <c r="B87" s="501"/>
      <c r="C87" s="502"/>
      <c r="D87" s="49"/>
      <c r="E87" s="49"/>
      <c r="F87" s="506" t="s">
        <v>76</v>
      </c>
      <c r="G87" s="506"/>
      <c r="H87" s="506"/>
      <c r="I87" s="506"/>
      <c r="J87" s="506"/>
      <c r="K87" s="506"/>
      <c r="L87" s="506"/>
      <c r="M87" s="506"/>
      <c r="N87" s="506"/>
      <c r="O87" s="506"/>
      <c r="P87" s="506"/>
      <c r="Q87" s="506"/>
      <c r="R87" s="506"/>
      <c r="S87" s="506"/>
      <c r="T87" s="506"/>
      <c r="U87" s="506"/>
      <c r="V87" s="506"/>
      <c r="W87" s="506"/>
      <c r="X87" s="506"/>
      <c r="Y87" s="506"/>
      <c r="Z87" s="506"/>
      <c r="AA87" s="506"/>
      <c r="AB87" s="506"/>
      <c r="AC87" s="506"/>
      <c r="AD87" s="5"/>
      <c r="AE87" s="5"/>
      <c r="AF87" s="5"/>
      <c r="AG87" s="5"/>
      <c r="AH87" s="5"/>
    </row>
    <row r="88" spans="1:40" ht="15.6" customHeight="1">
      <c r="A88" s="503"/>
      <c r="B88" s="504"/>
      <c r="C88" s="505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07" t="s">
        <v>27</v>
      </c>
      <c r="B89" s="508"/>
      <c r="C89" s="509"/>
      <c r="D89" s="45"/>
      <c r="E89" s="45"/>
      <c r="F89" s="64">
        <f t="shared" ref="F89:AC89" si="22">SUM(F22,F25)</f>
        <v>3.8</v>
      </c>
      <c r="G89" s="64">
        <f t="shared" si="22"/>
        <v>3.4</v>
      </c>
      <c r="H89" s="64">
        <f t="shared" si="22"/>
        <v>0</v>
      </c>
      <c r="I89" s="64">
        <f t="shared" si="22"/>
        <v>0</v>
      </c>
      <c r="J89" s="64">
        <f t="shared" si="22"/>
        <v>0</v>
      </c>
      <c r="K89" s="64">
        <f t="shared" si="22"/>
        <v>0</v>
      </c>
      <c r="L89" s="64">
        <f t="shared" si="22"/>
        <v>3.8</v>
      </c>
      <c r="M89" s="64">
        <f t="shared" si="22"/>
        <v>3.8</v>
      </c>
      <c r="N89" s="64">
        <f t="shared" si="22"/>
        <v>3</v>
      </c>
      <c r="O89" s="64">
        <f t="shared" si="22"/>
        <v>10.399999999999999</v>
      </c>
      <c r="P89" s="64">
        <f t="shared" si="22"/>
        <v>10.399999999999999</v>
      </c>
      <c r="Q89" s="64">
        <f t="shared" si="22"/>
        <v>8.5</v>
      </c>
      <c r="R89" s="64">
        <f t="shared" si="22"/>
        <v>8.5</v>
      </c>
      <c r="S89" s="64">
        <f t="shared" si="22"/>
        <v>10.399999999999999</v>
      </c>
      <c r="T89" s="64">
        <f t="shared" si="22"/>
        <v>10.399999999999999</v>
      </c>
      <c r="U89" s="64">
        <f t="shared" si="22"/>
        <v>10.399999999999999</v>
      </c>
      <c r="V89" s="64">
        <f t="shared" si="22"/>
        <v>10.399999999999999</v>
      </c>
      <c r="W89" s="64">
        <f t="shared" si="22"/>
        <v>10</v>
      </c>
      <c r="X89" s="64">
        <f t="shared" si="22"/>
        <v>10.399999999999999</v>
      </c>
      <c r="Y89" s="64">
        <f t="shared" si="22"/>
        <v>10.399999999999999</v>
      </c>
      <c r="Z89" s="64">
        <f t="shared" si="22"/>
        <v>10.399999999999999</v>
      </c>
      <c r="AA89" s="64">
        <f t="shared" si="22"/>
        <v>10.399999999999999</v>
      </c>
      <c r="AB89" s="64">
        <f t="shared" si="22"/>
        <v>9.5</v>
      </c>
      <c r="AC89" s="64">
        <f t="shared" si="22"/>
        <v>6.6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521" t="s">
        <v>77</v>
      </c>
      <c r="B90" s="521"/>
      <c r="C90" s="522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>
        <v>0.20300000000000001</v>
      </c>
      <c r="P90" s="68">
        <v>0.191</v>
      </c>
      <c r="Q90" s="68">
        <v>0.19400000000000001</v>
      </c>
      <c r="R90" s="68">
        <v>0.20399999999999999</v>
      </c>
      <c r="S90" s="68">
        <v>0.29799999999999999</v>
      </c>
      <c r="T90" s="68">
        <v>0.20599999999999999</v>
      </c>
      <c r="U90" s="68">
        <v>0.17</v>
      </c>
      <c r="V90" s="68">
        <v>0.21299999999999999</v>
      </c>
      <c r="W90" s="68"/>
      <c r="X90" s="68"/>
      <c r="Y90" s="68">
        <v>0.23699999999999999</v>
      </c>
      <c r="Z90" s="68">
        <v>0.27900000000000003</v>
      </c>
      <c r="AA90" s="68">
        <v>0.19500000000000001</v>
      </c>
      <c r="AB90" s="68">
        <v>0.20699999999999999</v>
      </c>
      <c r="AC90" s="68"/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07" t="s">
        <v>78</v>
      </c>
      <c r="B91" s="508"/>
      <c r="C91" s="509"/>
      <c r="D91" s="45"/>
      <c r="E91" s="45"/>
      <c r="F91" s="64">
        <f t="shared" ref="F91:AC91" si="23">F17</f>
        <v>19.799999999999997</v>
      </c>
      <c r="G91" s="64">
        <f t="shared" si="23"/>
        <v>19.600000000000001</v>
      </c>
      <c r="H91" s="64">
        <f t="shared" si="23"/>
        <v>20.100000000000001</v>
      </c>
      <c r="I91" s="64">
        <f t="shared" si="23"/>
        <v>13.4</v>
      </c>
      <c r="J91" s="64">
        <f t="shared" si="23"/>
        <v>13.5</v>
      </c>
      <c r="K91" s="64">
        <f t="shared" si="23"/>
        <v>13.5</v>
      </c>
      <c r="L91" s="64">
        <f t="shared" si="23"/>
        <v>13.5</v>
      </c>
      <c r="M91" s="64">
        <f t="shared" si="23"/>
        <v>12.2</v>
      </c>
      <c r="N91" s="64">
        <f t="shared" si="23"/>
        <v>18.600000000000001</v>
      </c>
      <c r="O91" s="64">
        <f t="shared" si="23"/>
        <v>20.399999999999999</v>
      </c>
      <c r="P91" s="64">
        <f t="shared" si="23"/>
        <v>20.100000000000001</v>
      </c>
      <c r="Q91" s="64">
        <f t="shared" si="23"/>
        <v>24.8</v>
      </c>
      <c r="R91" s="64">
        <f t="shared" si="23"/>
        <v>25.6</v>
      </c>
      <c r="S91" s="64">
        <f t="shared" si="23"/>
        <v>20.100000000000001</v>
      </c>
      <c r="T91" s="64">
        <f t="shared" si="23"/>
        <v>20.100000000000001</v>
      </c>
      <c r="U91" s="64">
        <f t="shared" si="23"/>
        <v>19.799999999999997</v>
      </c>
      <c r="V91" s="64">
        <f t="shared" si="23"/>
        <v>19.5</v>
      </c>
      <c r="W91" s="64">
        <f t="shared" si="23"/>
        <v>18.899999999999999</v>
      </c>
      <c r="X91" s="64">
        <f t="shared" si="23"/>
        <v>19.5</v>
      </c>
      <c r="Y91" s="64">
        <f t="shared" si="23"/>
        <v>19.799999999999997</v>
      </c>
      <c r="Z91" s="64">
        <f t="shared" si="23"/>
        <v>19.899999999999999</v>
      </c>
      <c r="AA91" s="64">
        <f t="shared" si="23"/>
        <v>19.100000000000001</v>
      </c>
      <c r="AB91" s="64">
        <f t="shared" si="23"/>
        <v>19.7</v>
      </c>
      <c r="AC91" s="64">
        <f t="shared" si="23"/>
        <v>19.799999999999997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21" t="s">
        <v>79</v>
      </c>
      <c r="B92" s="521"/>
      <c r="C92" s="522"/>
      <c r="D92" s="45"/>
      <c r="E92" s="45"/>
      <c r="F92" s="68">
        <v>0.67500000000000004</v>
      </c>
      <c r="G92" s="68">
        <v>0.629</v>
      </c>
      <c r="H92" s="68">
        <v>0.60299999999999998</v>
      </c>
      <c r="I92" s="68">
        <v>0.66200000000000003</v>
      </c>
      <c r="J92" s="68">
        <v>0.72499999999999998</v>
      </c>
      <c r="K92" s="68">
        <v>0.70199999999999996</v>
      </c>
      <c r="L92" s="68">
        <v>0.76900000000000002</v>
      </c>
      <c r="M92" s="68">
        <v>0.64100000000000001</v>
      </c>
      <c r="N92" s="68">
        <v>0.66900000000000004</v>
      </c>
      <c r="O92" s="68">
        <v>0.77100000000000002</v>
      </c>
      <c r="P92" s="68">
        <v>0.89600000000000002</v>
      </c>
      <c r="Q92" s="68">
        <v>0.98599999999999999</v>
      </c>
      <c r="R92" s="68">
        <v>0.76700000000000002</v>
      </c>
      <c r="S92" s="68">
        <v>0.92</v>
      </c>
      <c r="T92" s="68">
        <v>0.92500000000000004</v>
      </c>
      <c r="U92" s="68">
        <v>0.96</v>
      </c>
      <c r="V92" s="68">
        <v>0.71499999999999997</v>
      </c>
      <c r="W92" s="68"/>
      <c r="X92" s="68"/>
      <c r="Y92" s="68">
        <v>0.81100000000000005</v>
      </c>
      <c r="Z92" s="68">
        <v>0.82799999999999996</v>
      </c>
      <c r="AA92" s="68">
        <v>0.90600000000000003</v>
      </c>
      <c r="AB92" s="68">
        <v>0.78500000000000003</v>
      </c>
      <c r="AC92" s="68">
        <v>0.66800000000000004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07" t="s">
        <v>29</v>
      </c>
      <c r="B93" s="508"/>
      <c r="C93" s="509"/>
      <c r="D93" s="45"/>
      <c r="E93" s="45"/>
      <c r="F93" s="65">
        <f t="shared" ref="F93:AC93" si="24">F31</f>
        <v>8</v>
      </c>
      <c r="G93" s="65">
        <f t="shared" si="24"/>
        <v>6.8</v>
      </c>
      <c r="H93" s="65">
        <f t="shared" si="24"/>
        <v>7</v>
      </c>
      <c r="I93" s="65">
        <f t="shared" si="24"/>
        <v>8</v>
      </c>
      <c r="J93" s="65">
        <f t="shared" si="24"/>
        <v>8</v>
      </c>
      <c r="K93" s="65">
        <f t="shared" si="24"/>
        <v>8</v>
      </c>
      <c r="L93" s="65">
        <f t="shared" si="24"/>
        <v>8.1999999999999993</v>
      </c>
      <c r="M93" s="65">
        <f t="shared" si="24"/>
        <v>7.6</v>
      </c>
      <c r="N93" s="65">
        <f t="shared" si="24"/>
        <v>8.4</v>
      </c>
      <c r="O93" s="65">
        <f t="shared" si="24"/>
        <v>8.4</v>
      </c>
      <c r="P93" s="65">
        <f t="shared" si="24"/>
        <v>12.85</v>
      </c>
      <c r="Q93" s="65">
        <f t="shared" si="24"/>
        <v>11.1</v>
      </c>
      <c r="R93" s="65">
        <f t="shared" si="24"/>
        <v>10.6</v>
      </c>
      <c r="S93" s="65">
        <f t="shared" si="24"/>
        <v>16.05</v>
      </c>
      <c r="T93" s="65">
        <f>T31</f>
        <v>16.420000000000002</v>
      </c>
      <c r="U93" s="65">
        <f t="shared" si="24"/>
        <v>16.399999999999999</v>
      </c>
      <c r="V93" s="65">
        <f t="shared" si="24"/>
        <v>16.240000000000002</v>
      </c>
      <c r="W93" s="65">
        <f t="shared" si="24"/>
        <v>14.719999999999999</v>
      </c>
      <c r="X93" s="65">
        <f t="shared" si="24"/>
        <v>13.48</v>
      </c>
      <c r="Y93" s="65">
        <f t="shared" si="24"/>
        <v>15.67</v>
      </c>
      <c r="Z93" s="65">
        <f t="shared" si="24"/>
        <v>13.59</v>
      </c>
      <c r="AA93" s="65">
        <f t="shared" si="24"/>
        <v>8</v>
      </c>
      <c r="AB93" s="65">
        <f t="shared" si="24"/>
        <v>8</v>
      </c>
      <c r="AC93" s="65">
        <f t="shared" si="24"/>
        <v>8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21" t="s">
        <v>102</v>
      </c>
      <c r="B94" s="521"/>
      <c r="C94" s="522"/>
      <c r="D94" s="45"/>
      <c r="E94" s="45"/>
      <c r="F94" s="68">
        <v>0.245</v>
      </c>
      <c r="G94" s="68">
        <v>0.247</v>
      </c>
      <c r="H94" s="68">
        <v>0.23200000000000001</v>
      </c>
      <c r="I94" s="68">
        <v>0.21</v>
      </c>
      <c r="J94" s="68">
        <v>0.26300000000000001</v>
      </c>
      <c r="K94" s="68">
        <v>0.247</v>
      </c>
      <c r="L94" s="68">
        <v>0.23</v>
      </c>
      <c r="M94" s="68">
        <v>0.23599999999999999</v>
      </c>
      <c r="N94" s="68">
        <v>0.26</v>
      </c>
      <c r="O94" s="68">
        <v>0.27300000000000002</v>
      </c>
      <c r="P94" s="68">
        <v>0.27700000000000002</v>
      </c>
      <c r="Q94" s="68">
        <v>0.28000000000000003</v>
      </c>
      <c r="R94" s="68">
        <v>0.27100000000000002</v>
      </c>
      <c r="S94" s="68">
        <v>0.27100000000000002</v>
      </c>
      <c r="T94" s="68">
        <v>0.27300000000000002</v>
      </c>
      <c r="U94" s="68">
        <v>0.26900000000000002</v>
      </c>
      <c r="V94" s="68">
        <v>0.27700000000000002</v>
      </c>
      <c r="W94" s="68"/>
      <c r="X94" s="68"/>
      <c r="Y94" s="68">
        <v>0.28100000000000003</v>
      </c>
      <c r="Z94" s="68">
        <v>0.27</v>
      </c>
      <c r="AA94" s="68">
        <v>0.27400000000000002</v>
      </c>
      <c r="AB94" s="68">
        <v>0.27</v>
      </c>
      <c r="AC94" s="68">
        <v>0.252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21" t="s">
        <v>104</v>
      </c>
      <c r="B95" s="521"/>
      <c r="C95" s="522"/>
      <c r="D95" s="45"/>
      <c r="E95" s="45"/>
      <c r="F95" s="68" t="s">
        <v>1</v>
      </c>
      <c r="G95" s="68" t="s">
        <v>1</v>
      </c>
      <c r="H95" s="68" t="s">
        <v>1</v>
      </c>
      <c r="I95" s="68" t="s">
        <v>1</v>
      </c>
      <c r="J95" s="68" t="s">
        <v>1</v>
      </c>
      <c r="K95" s="68" t="s">
        <v>1</v>
      </c>
      <c r="L95" s="68" t="s">
        <v>1</v>
      </c>
      <c r="M95" s="68" t="s">
        <v>1</v>
      </c>
      <c r="N95" s="68" t="s">
        <v>1</v>
      </c>
      <c r="O95" s="68" t="s">
        <v>1</v>
      </c>
      <c r="P95" s="68">
        <v>0.14460000000000001</v>
      </c>
      <c r="Q95" s="68">
        <v>0.18260000000000001</v>
      </c>
      <c r="R95" s="68">
        <v>0.187</v>
      </c>
      <c r="S95" s="68">
        <v>0.19040000000000001</v>
      </c>
      <c r="T95" s="68">
        <v>0.18959999999999999</v>
      </c>
      <c r="U95" s="68">
        <v>0.2034</v>
      </c>
      <c r="V95" s="68">
        <v>0.24959999999999999</v>
      </c>
      <c r="W95" s="68"/>
      <c r="X95" s="68"/>
      <c r="Y95" s="68">
        <v>0.25319999999999998</v>
      </c>
      <c r="Z95" s="68">
        <v>0.25319999999999998</v>
      </c>
      <c r="AA95" s="68"/>
      <c r="AB95" s="68"/>
      <c r="AC95" s="68"/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07" t="s">
        <v>32</v>
      </c>
      <c r="B96" s="508"/>
      <c r="C96" s="509"/>
      <c r="D96" s="45"/>
      <c r="E96" s="45"/>
      <c r="F96" s="65">
        <f t="shared" ref="F96:AC96" si="25">F34</f>
        <v>14.25</v>
      </c>
      <c r="G96" s="65">
        <f t="shared" si="25"/>
        <v>13.26</v>
      </c>
      <c r="H96" s="65">
        <f t="shared" si="25"/>
        <v>13.29</v>
      </c>
      <c r="I96" s="65">
        <f t="shared" si="25"/>
        <v>14.27</v>
      </c>
      <c r="J96" s="65">
        <f t="shared" si="25"/>
        <v>14.3</v>
      </c>
      <c r="K96" s="65">
        <f t="shared" si="25"/>
        <v>14.28</v>
      </c>
      <c r="L96" s="65">
        <f t="shared" si="25"/>
        <v>14.26</v>
      </c>
      <c r="M96" s="65">
        <f t="shared" si="25"/>
        <v>14.29</v>
      </c>
      <c r="N96" s="65">
        <f t="shared" si="25"/>
        <v>14.3</v>
      </c>
      <c r="O96" s="65">
        <f t="shared" si="25"/>
        <v>14.32</v>
      </c>
      <c r="P96" s="65">
        <f t="shared" si="25"/>
        <v>14.15</v>
      </c>
      <c r="Q96" s="65">
        <f t="shared" si="25"/>
        <v>14.31</v>
      </c>
      <c r="R96" s="65">
        <f t="shared" si="25"/>
        <v>13.32</v>
      </c>
      <c r="S96" s="65">
        <f t="shared" si="25"/>
        <v>14.28</v>
      </c>
      <c r="T96" s="65">
        <f t="shared" si="25"/>
        <v>14.29</v>
      </c>
      <c r="U96" s="65">
        <f t="shared" si="25"/>
        <v>14.28</v>
      </c>
      <c r="V96" s="65">
        <f t="shared" si="25"/>
        <v>14.29</v>
      </c>
      <c r="W96" s="65">
        <f t="shared" si="25"/>
        <v>14.3</v>
      </c>
      <c r="X96" s="65">
        <f t="shared" si="25"/>
        <v>14.31</v>
      </c>
      <c r="Y96" s="65">
        <f t="shared" si="25"/>
        <v>14.29</v>
      </c>
      <c r="Z96" s="65">
        <f t="shared" si="25"/>
        <v>14.3</v>
      </c>
      <c r="AA96" s="65">
        <f t="shared" si="25"/>
        <v>14.26</v>
      </c>
      <c r="AB96" s="65">
        <f t="shared" si="25"/>
        <v>14.27</v>
      </c>
      <c r="AC96" s="65">
        <f t="shared" si="25"/>
        <v>14.29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21" t="s">
        <v>81</v>
      </c>
      <c r="B97" s="521"/>
      <c r="C97" s="522"/>
      <c r="D97" s="68"/>
      <c r="E97" s="68"/>
      <c r="F97" s="68">
        <v>0.75</v>
      </c>
      <c r="G97" s="68">
        <v>0.74</v>
      </c>
      <c r="H97" s="68">
        <v>0.71</v>
      </c>
      <c r="I97" s="68">
        <v>0.73</v>
      </c>
      <c r="J97" s="68">
        <v>0.7</v>
      </c>
      <c r="K97" s="68">
        <v>0.72</v>
      </c>
      <c r="L97" s="68">
        <v>0.74</v>
      </c>
      <c r="M97" s="68">
        <v>0.71</v>
      </c>
      <c r="N97" s="68">
        <v>0.7</v>
      </c>
      <c r="O97" s="68">
        <v>0.68</v>
      </c>
      <c r="P97" s="68">
        <v>0.71</v>
      </c>
      <c r="Q97" s="68">
        <v>0.68</v>
      </c>
      <c r="R97" s="68">
        <v>0.68</v>
      </c>
      <c r="S97" s="68">
        <v>0.72</v>
      </c>
      <c r="T97" s="68">
        <v>0.71</v>
      </c>
      <c r="U97" s="68">
        <v>0.72</v>
      </c>
      <c r="V97" s="68">
        <v>0.71</v>
      </c>
      <c r="W97" s="68"/>
      <c r="X97" s="68"/>
      <c r="Y97" s="68">
        <v>0.71</v>
      </c>
      <c r="Z97" s="68">
        <v>0.7</v>
      </c>
      <c r="AA97" s="68">
        <v>0.74</v>
      </c>
      <c r="AB97" s="68">
        <v>0.73</v>
      </c>
      <c r="AC97" s="68">
        <v>0.71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07" t="s">
        <v>33</v>
      </c>
      <c r="B98" s="508"/>
      <c r="C98" s="509"/>
      <c r="D98" s="45"/>
      <c r="E98" s="45"/>
      <c r="F98" s="64">
        <f t="shared" ref="F98:AC98" si="26">F60</f>
        <v>0</v>
      </c>
      <c r="G98" s="64">
        <f t="shared" si="26"/>
        <v>0</v>
      </c>
      <c r="H98" s="64">
        <f t="shared" si="26"/>
        <v>0</v>
      </c>
      <c r="I98" s="64">
        <f t="shared" si="26"/>
        <v>2.8</v>
      </c>
      <c r="J98" s="64">
        <f t="shared" si="26"/>
        <v>2.0999999999999996</v>
      </c>
      <c r="K98" s="64">
        <f t="shared" si="26"/>
        <v>2.0999999999999996</v>
      </c>
      <c r="L98" s="64">
        <f t="shared" si="26"/>
        <v>0.7</v>
      </c>
      <c r="M98" s="64">
        <f t="shared" si="26"/>
        <v>0</v>
      </c>
      <c r="N98" s="64">
        <f t="shared" si="26"/>
        <v>0</v>
      </c>
      <c r="O98" s="64">
        <f t="shared" si="26"/>
        <v>1.5</v>
      </c>
      <c r="P98" s="64">
        <f t="shared" si="26"/>
        <v>2.0999999999999996</v>
      </c>
      <c r="Q98" s="64">
        <f t="shared" si="26"/>
        <v>0</v>
      </c>
      <c r="R98" s="64">
        <f t="shared" si="26"/>
        <v>0</v>
      </c>
      <c r="S98" s="64">
        <f t="shared" si="26"/>
        <v>1.5</v>
      </c>
      <c r="T98" s="64">
        <f t="shared" si="26"/>
        <v>4</v>
      </c>
      <c r="U98" s="64">
        <f t="shared" si="26"/>
        <v>4.4000000000000004</v>
      </c>
      <c r="V98" s="64">
        <f t="shared" si="26"/>
        <v>4.4000000000000004</v>
      </c>
      <c r="W98" s="64">
        <f t="shared" si="26"/>
        <v>3.04</v>
      </c>
      <c r="X98" s="64">
        <f t="shared" si="26"/>
        <v>0</v>
      </c>
      <c r="Y98" s="64">
        <f t="shared" si="26"/>
        <v>1.5</v>
      </c>
      <c r="Z98" s="64">
        <f t="shared" si="26"/>
        <v>0</v>
      </c>
      <c r="AA98" s="64">
        <f t="shared" si="26"/>
        <v>3.2</v>
      </c>
      <c r="AB98" s="64">
        <f t="shared" si="26"/>
        <v>0</v>
      </c>
      <c r="AC98" s="64">
        <f t="shared" si="26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07" t="s">
        <v>55</v>
      </c>
      <c r="B99" s="508"/>
      <c r="C99" s="509"/>
      <c r="D99" s="45"/>
      <c r="E99" s="45"/>
      <c r="F99" s="64">
        <f t="shared" ref="F99:AC99" si="27">F65</f>
        <v>0.98</v>
      </c>
      <c r="G99" s="64">
        <f t="shared" si="27"/>
        <v>0.94</v>
      </c>
      <c r="H99" s="64">
        <f t="shared" si="27"/>
        <v>0.92</v>
      </c>
      <c r="I99" s="64">
        <f t="shared" si="27"/>
        <v>0.88</v>
      </c>
      <c r="J99" s="64">
        <f t="shared" si="27"/>
        <v>0</v>
      </c>
      <c r="K99" s="64">
        <f t="shared" si="27"/>
        <v>0</v>
      </c>
      <c r="L99" s="64">
        <f t="shared" si="27"/>
        <v>0.76</v>
      </c>
      <c r="M99" s="64">
        <f t="shared" si="27"/>
        <v>0.55000000000000004</v>
      </c>
      <c r="N99" s="64">
        <f t="shared" si="27"/>
        <v>0.61</v>
      </c>
      <c r="O99" s="64">
        <f t="shared" si="27"/>
        <v>0.79</v>
      </c>
      <c r="P99" s="64">
        <f t="shared" si="27"/>
        <v>0.83</v>
      </c>
      <c r="Q99" s="64">
        <f t="shared" si="27"/>
        <v>0.8</v>
      </c>
      <c r="R99" s="64">
        <f t="shared" si="27"/>
        <v>0.82</v>
      </c>
      <c r="S99" s="64">
        <f t="shared" si="27"/>
        <v>0.64</v>
      </c>
      <c r="T99" s="64">
        <f t="shared" si="27"/>
        <v>0.62</v>
      </c>
      <c r="U99" s="64">
        <f t="shared" si="27"/>
        <v>0.74</v>
      </c>
      <c r="V99" s="64">
        <f t="shared" si="27"/>
        <v>0.92</v>
      </c>
      <c r="W99" s="64">
        <f t="shared" si="27"/>
        <v>1.29</v>
      </c>
      <c r="X99" s="64">
        <f t="shared" si="27"/>
        <v>1.6</v>
      </c>
      <c r="Y99" s="64">
        <f t="shared" si="27"/>
        <v>1.62</v>
      </c>
      <c r="Z99" s="64">
        <f t="shared" si="27"/>
        <v>1.54</v>
      </c>
      <c r="AA99" s="64">
        <f t="shared" si="27"/>
        <v>1.47</v>
      </c>
      <c r="AB99" s="64">
        <f t="shared" si="27"/>
        <v>1.53</v>
      </c>
      <c r="AC99" s="64">
        <f t="shared" si="27"/>
        <v>1.36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07" t="s">
        <v>59</v>
      </c>
      <c r="B100" s="508"/>
      <c r="C100" s="509"/>
      <c r="D100" s="45"/>
      <c r="E100" s="45"/>
      <c r="F100" s="64">
        <f t="shared" ref="F100:AC100" si="28">F76</f>
        <v>0</v>
      </c>
      <c r="G100" s="64">
        <f t="shared" si="28"/>
        <v>0</v>
      </c>
      <c r="H100" s="64">
        <f t="shared" si="28"/>
        <v>0</v>
      </c>
      <c r="I100" s="64">
        <f t="shared" si="28"/>
        <v>0</v>
      </c>
      <c r="J100" s="64">
        <f t="shared" si="28"/>
        <v>0</v>
      </c>
      <c r="K100" s="64">
        <f t="shared" si="28"/>
        <v>0</v>
      </c>
      <c r="L100" s="64">
        <f t="shared" si="28"/>
        <v>0</v>
      </c>
      <c r="M100" s="64">
        <f t="shared" si="28"/>
        <v>0</v>
      </c>
      <c r="N100" s="64">
        <f t="shared" si="28"/>
        <v>0</v>
      </c>
      <c r="O100" s="64">
        <f t="shared" si="28"/>
        <v>0</v>
      </c>
      <c r="P100" s="64">
        <f t="shared" si="28"/>
        <v>0</v>
      </c>
      <c r="Q100" s="64">
        <f t="shared" si="28"/>
        <v>0</v>
      </c>
      <c r="R100" s="64">
        <f t="shared" si="28"/>
        <v>0</v>
      </c>
      <c r="S100" s="64">
        <f t="shared" si="28"/>
        <v>0</v>
      </c>
      <c r="T100" s="64">
        <f t="shared" si="28"/>
        <v>0</v>
      </c>
      <c r="U100" s="64">
        <f t="shared" si="28"/>
        <v>0</v>
      </c>
      <c r="V100" s="64">
        <f t="shared" si="28"/>
        <v>0</v>
      </c>
      <c r="W100" s="64">
        <f t="shared" si="28"/>
        <v>0</v>
      </c>
      <c r="X100" s="64">
        <f t="shared" si="28"/>
        <v>0</v>
      </c>
      <c r="Y100" s="64">
        <f t="shared" si="28"/>
        <v>0</v>
      </c>
      <c r="Z100" s="64">
        <f t="shared" si="28"/>
        <v>0</v>
      </c>
      <c r="AA100" s="64">
        <f t="shared" si="28"/>
        <v>0</v>
      </c>
      <c r="AB100" s="64">
        <f t="shared" si="28"/>
        <v>0</v>
      </c>
      <c r="AC100" s="64">
        <f t="shared" si="28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07" t="s">
        <v>69</v>
      </c>
      <c r="B101" s="508"/>
      <c r="C101" s="509"/>
      <c r="D101" s="45"/>
      <c r="E101" s="45"/>
      <c r="F101" s="64">
        <f t="shared" ref="F101:AC101" si="29">F80</f>
        <v>0.82</v>
      </c>
      <c r="G101" s="64">
        <f t="shared" si="29"/>
        <v>0.79</v>
      </c>
      <c r="H101" s="64">
        <f t="shared" si="29"/>
        <v>0.78</v>
      </c>
      <c r="I101" s="64">
        <f t="shared" si="29"/>
        <v>0.74</v>
      </c>
      <c r="J101" s="64">
        <f t="shared" si="29"/>
        <v>0.72</v>
      </c>
      <c r="K101" s="64">
        <f t="shared" si="29"/>
        <v>0.76</v>
      </c>
      <c r="L101" s="64">
        <f t="shared" si="29"/>
        <v>0.77</v>
      </c>
      <c r="M101" s="64">
        <f t="shared" si="29"/>
        <v>0.77</v>
      </c>
      <c r="N101" s="64">
        <f t="shared" si="29"/>
        <v>0.77</v>
      </c>
      <c r="O101" s="64">
        <f t="shared" si="29"/>
        <v>0.82</v>
      </c>
      <c r="P101" s="64">
        <f t="shared" si="29"/>
        <v>0.85</v>
      </c>
      <c r="Q101" s="64">
        <f t="shared" si="29"/>
        <v>0.88</v>
      </c>
      <c r="R101" s="64">
        <f t="shared" si="29"/>
        <v>0.88</v>
      </c>
      <c r="S101" s="64">
        <f t="shared" si="29"/>
        <v>0.89</v>
      </c>
      <c r="T101" s="64">
        <f t="shared" si="29"/>
        <v>0.9</v>
      </c>
      <c r="U101" s="64">
        <f t="shared" si="29"/>
        <v>0.88</v>
      </c>
      <c r="V101" s="64">
        <f t="shared" si="29"/>
        <v>0.87</v>
      </c>
      <c r="W101" s="64">
        <f t="shared" si="29"/>
        <v>0.9</v>
      </c>
      <c r="X101" s="64">
        <f t="shared" si="29"/>
        <v>0.92</v>
      </c>
      <c r="Y101" s="64">
        <f t="shared" si="29"/>
        <v>0.98</v>
      </c>
      <c r="Z101" s="64">
        <f t="shared" si="29"/>
        <v>0.94</v>
      </c>
      <c r="AA101" s="64">
        <f t="shared" si="29"/>
        <v>0.93</v>
      </c>
      <c r="AB101" s="64">
        <f t="shared" si="29"/>
        <v>0.89</v>
      </c>
      <c r="AC101" s="64">
        <f t="shared" si="29"/>
        <v>0.86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07" t="s">
        <v>72</v>
      </c>
      <c r="B102" s="508"/>
      <c r="C102" s="509"/>
      <c r="D102" s="45"/>
      <c r="E102" s="45"/>
      <c r="F102" s="64">
        <f t="shared" ref="F102:AC102" si="30">F82</f>
        <v>0</v>
      </c>
      <c r="G102" s="64">
        <f t="shared" si="30"/>
        <v>0</v>
      </c>
      <c r="H102" s="64">
        <f t="shared" si="30"/>
        <v>0</v>
      </c>
      <c r="I102" s="64">
        <f t="shared" si="30"/>
        <v>0</v>
      </c>
      <c r="J102" s="64">
        <f t="shared" si="30"/>
        <v>0</v>
      </c>
      <c r="K102" s="64">
        <f t="shared" si="30"/>
        <v>0</v>
      </c>
      <c r="L102" s="64">
        <f t="shared" si="30"/>
        <v>0</v>
      </c>
      <c r="M102" s="64">
        <f t="shared" si="30"/>
        <v>0</v>
      </c>
      <c r="N102" s="64">
        <f t="shared" si="30"/>
        <v>0</v>
      </c>
      <c r="O102" s="64">
        <f t="shared" si="30"/>
        <v>0</v>
      </c>
      <c r="P102" s="64">
        <f t="shared" si="30"/>
        <v>0</v>
      </c>
      <c r="Q102" s="64">
        <f t="shared" si="30"/>
        <v>0</v>
      </c>
      <c r="R102" s="64">
        <f t="shared" si="30"/>
        <v>0</v>
      </c>
      <c r="S102" s="64">
        <f t="shared" si="30"/>
        <v>0</v>
      </c>
      <c r="T102" s="64">
        <f t="shared" si="30"/>
        <v>0</v>
      </c>
      <c r="U102" s="64">
        <f t="shared" si="30"/>
        <v>0</v>
      </c>
      <c r="V102" s="64">
        <f t="shared" si="30"/>
        <v>0</v>
      </c>
      <c r="W102" s="64">
        <f t="shared" si="30"/>
        <v>0</v>
      </c>
      <c r="X102" s="64">
        <f t="shared" si="30"/>
        <v>0</v>
      </c>
      <c r="Y102" s="64">
        <f t="shared" si="30"/>
        <v>0</v>
      </c>
      <c r="Z102" s="64">
        <f t="shared" si="30"/>
        <v>0</v>
      </c>
      <c r="AA102" s="64">
        <f t="shared" si="30"/>
        <v>0</v>
      </c>
      <c r="AB102" s="64">
        <f t="shared" si="30"/>
        <v>0</v>
      </c>
      <c r="AC102" s="64">
        <f t="shared" si="30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11" t="s">
        <v>82</v>
      </c>
      <c r="B103" s="511"/>
      <c r="C103" s="511"/>
      <c r="D103" s="47"/>
      <c r="E103" s="47"/>
      <c r="F103" s="61">
        <f t="shared" ref="F103:AC103" si="31">SUM(F89,F91,F93,F96,F98:F102,F81)</f>
        <v>47.649999999999991</v>
      </c>
      <c r="G103" s="61">
        <f t="shared" si="31"/>
        <v>44.79</v>
      </c>
      <c r="H103" s="61">
        <f t="shared" si="31"/>
        <v>42.09</v>
      </c>
      <c r="I103" s="61">
        <f t="shared" si="31"/>
        <v>40.090000000000003</v>
      </c>
      <c r="J103" s="61">
        <f t="shared" si="31"/>
        <v>38.619999999999997</v>
      </c>
      <c r="K103" s="61">
        <f t="shared" si="31"/>
        <v>38.64</v>
      </c>
      <c r="L103" s="61">
        <f t="shared" si="31"/>
        <v>41.99</v>
      </c>
      <c r="M103" s="61">
        <f t="shared" si="31"/>
        <v>39.21</v>
      </c>
      <c r="N103" s="61">
        <f t="shared" si="31"/>
        <v>45.68</v>
      </c>
      <c r="O103" s="61">
        <f t="shared" si="31"/>
        <v>56.629999999999995</v>
      </c>
      <c r="P103" s="61">
        <f t="shared" si="31"/>
        <v>61.28</v>
      </c>
      <c r="Q103" s="61">
        <f t="shared" si="31"/>
        <v>60.39</v>
      </c>
      <c r="R103" s="61">
        <f t="shared" si="31"/>
        <v>59.720000000000006</v>
      </c>
      <c r="S103" s="61">
        <f t="shared" si="31"/>
        <v>63.86</v>
      </c>
      <c r="T103" s="61">
        <f t="shared" si="31"/>
        <v>66.730000000000018</v>
      </c>
      <c r="U103" s="61">
        <f t="shared" si="31"/>
        <v>66.899999999999991</v>
      </c>
      <c r="V103" s="61">
        <f t="shared" si="31"/>
        <v>66.62</v>
      </c>
      <c r="W103" s="61">
        <f t="shared" si="31"/>
        <v>63.15</v>
      </c>
      <c r="X103" s="61">
        <f t="shared" si="31"/>
        <v>60.21</v>
      </c>
      <c r="Y103" s="61">
        <f t="shared" si="31"/>
        <v>64.259999999999991</v>
      </c>
      <c r="Z103" s="61">
        <f t="shared" si="31"/>
        <v>60.669999999999995</v>
      </c>
      <c r="AA103" s="61">
        <f t="shared" si="31"/>
        <v>57.36</v>
      </c>
      <c r="AB103" s="61">
        <f t="shared" si="31"/>
        <v>53.89</v>
      </c>
      <c r="AC103" s="61">
        <f t="shared" si="31"/>
        <v>50.91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12" t="s">
        <v>83</v>
      </c>
      <c r="B104" s="512"/>
      <c r="C104" s="512"/>
      <c r="D104" s="46"/>
      <c r="E104" s="46"/>
      <c r="F104" s="76"/>
      <c r="G104" s="76"/>
      <c r="H104" s="76"/>
      <c r="I104" s="76"/>
      <c r="J104" s="76"/>
      <c r="K104" s="76"/>
      <c r="L104" s="76">
        <v>0.31</v>
      </c>
      <c r="M104" s="76">
        <v>0.59</v>
      </c>
      <c r="N104" s="76">
        <v>0.55000000000000004</v>
      </c>
      <c r="O104" s="76">
        <v>0.56000000000000005</v>
      </c>
      <c r="P104" s="76">
        <v>0.56000000000000005</v>
      </c>
      <c r="Q104" s="76">
        <v>0.69</v>
      </c>
      <c r="R104" s="76">
        <v>0.71</v>
      </c>
      <c r="S104" s="76">
        <v>0.88</v>
      </c>
      <c r="T104" s="76">
        <v>0.9</v>
      </c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12" t="s">
        <v>84</v>
      </c>
      <c r="B105" s="512"/>
      <c r="C105" s="512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12" t="s">
        <v>85</v>
      </c>
      <c r="B106" s="512"/>
      <c r="C106" s="512"/>
      <c r="D106" s="46"/>
      <c r="E106" s="46"/>
      <c r="F106" s="76"/>
      <c r="G106" s="76"/>
      <c r="H106" s="76"/>
      <c r="I106" s="76"/>
      <c r="J106" s="76"/>
      <c r="K106" s="76"/>
      <c r="L106" s="76"/>
      <c r="M106" s="76">
        <v>1.53</v>
      </c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11" t="s">
        <v>86</v>
      </c>
      <c r="B107" s="511"/>
      <c r="C107" s="511"/>
      <c r="D107" s="47"/>
      <c r="E107" s="47"/>
      <c r="F107" s="61">
        <f t="shared" ref="F107:AC107" si="32">SUM(F104:F106)</f>
        <v>0</v>
      </c>
      <c r="G107" s="61">
        <f t="shared" si="32"/>
        <v>0</v>
      </c>
      <c r="H107" s="61">
        <f t="shared" si="32"/>
        <v>0</v>
      </c>
      <c r="I107" s="61">
        <f t="shared" si="32"/>
        <v>0</v>
      </c>
      <c r="J107" s="61">
        <f t="shared" si="32"/>
        <v>0</v>
      </c>
      <c r="K107" s="61">
        <f t="shared" si="32"/>
        <v>0</v>
      </c>
      <c r="L107" s="61">
        <f t="shared" si="32"/>
        <v>0.31</v>
      </c>
      <c r="M107" s="61">
        <f t="shared" si="32"/>
        <v>2.12</v>
      </c>
      <c r="N107" s="61">
        <f t="shared" si="32"/>
        <v>0.55000000000000004</v>
      </c>
      <c r="O107" s="61">
        <f t="shared" si="32"/>
        <v>0.56000000000000005</v>
      </c>
      <c r="P107" s="61">
        <f t="shared" si="32"/>
        <v>0.56000000000000005</v>
      </c>
      <c r="Q107" s="61">
        <f t="shared" si="32"/>
        <v>0.69</v>
      </c>
      <c r="R107" s="61">
        <f t="shared" si="32"/>
        <v>0.71</v>
      </c>
      <c r="S107" s="61">
        <f t="shared" si="32"/>
        <v>0.88</v>
      </c>
      <c r="T107" s="61">
        <f t="shared" si="32"/>
        <v>0.9</v>
      </c>
      <c r="U107" s="61">
        <f t="shared" si="32"/>
        <v>0</v>
      </c>
      <c r="V107" s="61">
        <f t="shared" si="32"/>
        <v>0</v>
      </c>
      <c r="W107" s="61">
        <f t="shared" si="32"/>
        <v>0</v>
      </c>
      <c r="X107" s="61">
        <f t="shared" si="32"/>
        <v>0</v>
      </c>
      <c r="Y107" s="61">
        <f t="shared" si="32"/>
        <v>0</v>
      </c>
      <c r="Z107" s="61">
        <f t="shared" si="32"/>
        <v>0</v>
      </c>
      <c r="AA107" s="61">
        <f t="shared" si="32"/>
        <v>0</v>
      </c>
      <c r="AB107" s="61">
        <f t="shared" si="32"/>
        <v>0</v>
      </c>
      <c r="AC107" s="61">
        <f t="shared" si="32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13" t="s">
        <v>87</v>
      </c>
      <c r="B108" s="513"/>
      <c r="C108" s="513"/>
      <c r="D108" s="48"/>
      <c r="E108" s="48"/>
      <c r="F108" s="62">
        <f t="shared" ref="F108:AC108" si="33">F103+F107</f>
        <v>47.649999999999991</v>
      </c>
      <c r="G108" s="62">
        <f t="shared" si="33"/>
        <v>44.79</v>
      </c>
      <c r="H108" s="62">
        <f t="shared" si="33"/>
        <v>42.09</v>
      </c>
      <c r="I108" s="62">
        <f t="shared" si="33"/>
        <v>40.090000000000003</v>
      </c>
      <c r="J108" s="62">
        <f t="shared" si="33"/>
        <v>38.619999999999997</v>
      </c>
      <c r="K108" s="62">
        <f t="shared" si="33"/>
        <v>38.64</v>
      </c>
      <c r="L108" s="62">
        <f t="shared" si="33"/>
        <v>42.300000000000004</v>
      </c>
      <c r="M108" s="62">
        <f t="shared" si="33"/>
        <v>41.33</v>
      </c>
      <c r="N108" s="62">
        <f t="shared" si="33"/>
        <v>46.23</v>
      </c>
      <c r="O108" s="62">
        <f t="shared" si="33"/>
        <v>57.19</v>
      </c>
      <c r="P108" s="62">
        <f t="shared" si="33"/>
        <v>61.84</v>
      </c>
      <c r="Q108" s="62">
        <f t="shared" si="33"/>
        <v>61.08</v>
      </c>
      <c r="R108" s="62">
        <f t="shared" si="33"/>
        <v>60.430000000000007</v>
      </c>
      <c r="S108" s="62">
        <f t="shared" si="33"/>
        <v>64.739999999999995</v>
      </c>
      <c r="T108" s="62">
        <f>T103+T107</f>
        <v>67.630000000000024</v>
      </c>
      <c r="U108" s="62">
        <f t="shared" si="33"/>
        <v>66.899999999999991</v>
      </c>
      <c r="V108" s="62">
        <f t="shared" si="33"/>
        <v>66.62</v>
      </c>
      <c r="W108" s="62">
        <f>W103+W107</f>
        <v>63.15</v>
      </c>
      <c r="X108" s="62">
        <f t="shared" si="33"/>
        <v>60.21</v>
      </c>
      <c r="Y108" s="62">
        <f t="shared" si="33"/>
        <v>64.259999999999991</v>
      </c>
      <c r="Z108" s="62">
        <f t="shared" si="33"/>
        <v>60.669999999999995</v>
      </c>
      <c r="AA108" s="62">
        <f t="shared" si="33"/>
        <v>57.36</v>
      </c>
      <c r="AB108" s="62">
        <f t="shared" si="33"/>
        <v>53.89</v>
      </c>
      <c r="AC108" s="62">
        <f t="shared" si="33"/>
        <v>50.91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14" t="s">
        <v>88</v>
      </c>
      <c r="B109" s="514"/>
      <c r="C109" s="514"/>
      <c r="D109" s="52"/>
      <c r="E109" s="52"/>
      <c r="F109" s="63">
        <f t="shared" ref="F109:AC109" si="34">(COUNT(F13:F16))*7.2+(COUNT(F27:F28)*4.9)+(COUNT(F19:F21)*4.5)-F91-F93</f>
        <v>15.300000000000004</v>
      </c>
      <c r="G109" s="63">
        <f t="shared" si="34"/>
        <v>16.7</v>
      </c>
      <c r="H109" s="63">
        <f t="shared" si="34"/>
        <v>11.5</v>
      </c>
      <c r="I109" s="63">
        <f t="shared" si="34"/>
        <v>17.200000000000003</v>
      </c>
      <c r="J109" s="63">
        <f t="shared" si="34"/>
        <v>17.100000000000001</v>
      </c>
      <c r="K109" s="63">
        <f t="shared" si="34"/>
        <v>17.100000000000001</v>
      </c>
      <c r="L109" s="63">
        <f t="shared" si="34"/>
        <v>21.400000000000002</v>
      </c>
      <c r="M109" s="63">
        <f t="shared" si="34"/>
        <v>23.300000000000004</v>
      </c>
      <c r="N109" s="63">
        <f t="shared" si="34"/>
        <v>16.100000000000001</v>
      </c>
      <c r="O109" s="63">
        <f t="shared" si="34"/>
        <v>18.800000000000004</v>
      </c>
      <c r="P109" s="63">
        <f t="shared" si="34"/>
        <v>14.65</v>
      </c>
      <c r="Q109" s="63">
        <f t="shared" si="34"/>
        <v>11.700000000000001</v>
      </c>
      <c r="R109" s="63">
        <f t="shared" si="34"/>
        <v>11.4</v>
      </c>
      <c r="S109" s="63">
        <f t="shared" si="34"/>
        <v>4.2500000000000036</v>
      </c>
      <c r="T109" s="63">
        <f t="shared" si="34"/>
        <v>3.8800000000000026</v>
      </c>
      <c r="U109" s="63">
        <f t="shared" si="34"/>
        <v>4.2000000000000099</v>
      </c>
      <c r="V109" s="63">
        <f t="shared" si="34"/>
        <v>4.6600000000000037</v>
      </c>
      <c r="W109" s="63">
        <f t="shared" si="34"/>
        <v>6.7800000000000082</v>
      </c>
      <c r="X109" s="63">
        <f t="shared" si="34"/>
        <v>7.4200000000000053</v>
      </c>
      <c r="Y109" s="63">
        <f t="shared" si="34"/>
        <v>4.9300000000000086</v>
      </c>
      <c r="Z109" s="63">
        <f t="shared" si="34"/>
        <v>6.9100000000000072</v>
      </c>
      <c r="AA109" s="63">
        <f t="shared" si="34"/>
        <v>13.300000000000004</v>
      </c>
      <c r="AB109" s="63">
        <f t="shared" si="34"/>
        <v>12.700000000000006</v>
      </c>
      <c r="AC109" s="63">
        <f t="shared" si="34"/>
        <v>12.600000000000009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15" t="s">
        <v>89</v>
      </c>
      <c r="B110" s="516"/>
      <c r="C110" s="517"/>
      <c r="D110" s="204"/>
      <c r="E110" s="204"/>
      <c r="F110" s="205">
        <f t="shared" ref="F110:P110" si="35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2.9000000000000048</v>
      </c>
      <c r="G110" s="205">
        <f t="shared" si="35"/>
        <v>4.7000000000000011</v>
      </c>
      <c r="H110" s="205">
        <f t="shared" si="35"/>
        <v>2.9000000000000004</v>
      </c>
      <c r="I110" s="205">
        <f t="shared" si="35"/>
        <v>1.4000000000000004</v>
      </c>
      <c r="J110" s="205">
        <f t="shared" si="35"/>
        <v>1.3000000000000007</v>
      </c>
      <c r="K110" s="205">
        <f t="shared" si="35"/>
        <v>1.3000000000000007</v>
      </c>
      <c r="L110" s="205">
        <f t="shared" si="35"/>
        <v>1.8000000000000016</v>
      </c>
      <c r="M110" s="205">
        <f t="shared" si="35"/>
        <v>3.700000000000002</v>
      </c>
      <c r="N110" s="205">
        <f t="shared" si="35"/>
        <v>4.5</v>
      </c>
      <c r="O110" s="205">
        <f t="shared" si="35"/>
        <v>3.3000000000000025</v>
      </c>
      <c r="P110" s="205">
        <f t="shared" si="35"/>
        <v>-0.84999999999999876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6.7000000000000011</v>
      </c>
      <c r="R110" s="205">
        <f t="shared" ref="R110:AC110" si="36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5.6</v>
      </c>
      <c r="S110" s="205">
        <f t="shared" si="36"/>
        <v>-3.45</v>
      </c>
      <c r="T110" s="205">
        <f t="shared" si="36"/>
        <v>-3.8200000000000012</v>
      </c>
      <c r="U110" s="205">
        <f t="shared" si="36"/>
        <v>-3.4999999999999938</v>
      </c>
      <c r="V110" s="205">
        <f t="shared" si="36"/>
        <v>-3.04</v>
      </c>
      <c r="W110" s="205">
        <f t="shared" si="36"/>
        <v>-0.51999999999999602</v>
      </c>
      <c r="X110" s="205">
        <f t="shared" si="36"/>
        <v>-0.27999999999999847</v>
      </c>
      <c r="Y110" s="205">
        <f t="shared" si="36"/>
        <v>-2.7699999999999951</v>
      </c>
      <c r="Z110" s="205">
        <f t="shared" si="36"/>
        <v>-0.78999999999999648</v>
      </c>
      <c r="AA110" s="205">
        <f t="shared" si="36"/>
        <v>5.6</v>
      </c>
      <c r="AB110" s="205">
        <f t="shared" si="36"/>
        <v>5.9000000000000021</v>
      </c>
      <c r="AC110" s="205">
        <f t="shared" si="36"/>
        <v>4.2000000000000046</v>
      </c>
      <c r="AD110" s="26"/>
      <c r="AE110" s="26"/>
      <c r="AF110" s="466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10" t="s">
        <v>91</v>
      </c>
      <c r="B111" s="510"/>
      <c r="C111" s="510"/>
      <c r="D111" s="60"/>
      <c r="E111" s="72"/>
      <c r="F111" s="74">
        <v>60.26</v>
      </c>
      <c r="G111" s="74">
        <v>60.26</v>
      </c>
      <c r="H111" s="74">
        <v>60.15</v>
      </c>
      <c r="I111" s="74">
        <v>60.13</v>
      </c>
      <c r="J111" s="74">
        <v>60.08</v>
      </c>
      <c r="K111" s="74">
        <v>60.11</v>
      </c>
      <c r="L111" s="74">
        <v>60.04</v>
      </c>
      <c r="M111" s="74">
        <v>60.39</v>
      </c>
      <c r="N111" s="74">
        <v>60.16</v>
      </c>
      <c r="O111" s="74">
        <v>60.11</v>
      </c>
      <c r="P111" s="83">
        <v>60.12</v>
      </c>
      <c r="Q111" s="83">
        <v>60.34</v>
      </c>
      <c r="R111" s="83">
        <v>60.29</v>
      </c>
      <c r="S111" s="83">
        <v>60.14</v>
      </c>
      <c r="T111" s="83">
        <v>60.14</v>
      </c>
      <c r="U111" s="74">
        <v>60.11</v>
      </c>
      <c r="V111" s="74">
        <v>60.2</v>
      </c>
      <c r="W111" s="74">
        <v>60.28</v>
      </c>
      <c r="X111" s="74">
        <v>60.07</v>
      </c>
      <c r="Y111" s="74">
        <v>60.2</v>
      </c>
      <c r="Z111" s="74">
        <v>60.17</v>
      </c>
      <c r="AA111" s="74">
        <v>60.08</v>
      </c>
      <c r="AB111" s="74">
        <v>60.2</v>
      </c>
      <c r="AC111" s="74">
        <v>60.15</v>
      </c>
      <c r="AD111" s="26"/>
      <c r="AE111" s="26"/>
      <c r="AF111" s="467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18" t="s">
        <v>93</v>
      </c>
      <c r="B112" s="519"/>
      <c r="C112" s="520"/>
      <c r="D112" s="60"/>
      <c r="E112" s="72"/>
      <c r="F112" s="74"/>
      <c r="G112" s="74"/>
      <c r="H112" s="74"/>
      <c r="I112" s="74"/>
      <c r="J112" s="74"/>
      <c r="K112" s="74"/>
      <c r="L112" s="74"/>
      <c r="M112" s="74"/>
      <c r="N112" s="74"/>
      <c r="O112" s="74"/>
      <c r="P112" s="74"/>
      <c r="Q112" s="74"/>
      <c r="R112" s="74"/>
      <c r="S112" s="74"/>
      <c r="T112" s="74"/>
      <c r="U112" s="74"/>
      <c r="V112" s="74"/>
      <c r="W112" s="74"/>
      <c r="X112" s="74"/>
      <c r="Y112" s="74"/>
      <c r="Z112" s="74"/>
      <c r="AA112" s="74"/>
      <c r="AB112" s="74"/>
      <c r="AC112" s="74"/>
      <c r="AD112" s="26"/>
      <c r="AE112" s="26"/>
      <c r="AF112" s="469"/>
      <c r="AG112" s="472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18" t="s">
        <v>95</v>
      </c>
      <c r="B113" s="519"/>
      <c r="C113" s="520"/>
      <c r="D113" s="60"/>
      <c r="E113" s="74"/>
      <c r="F113" s="74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10" t="s">
        <v>96</v>
      </c>
      <c r="B114" s="510"/>
      <c r="C114" s="510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 t="s">
        <v>101</v>
      </c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10" t="s">
        <v>97</v>
      </c>
      <c r="B115" s="510"/>
      <c r="C115" s="510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499" t="s">
        <v>98</v>
      </c>
      <c r="B117" s="499"/>
      <c r="C117" s="499"/>
      <c r="D117" s="499"/>
      <c r="E117" s="499"/>
      <c r="F117" s="499"/>
      <c r="G117" s="499"/>
      <c r="H117" s="499"/>
      <c r="I117" s="499"/>
      <c r="J117" s="499"/>
      <c r="K117" s="499"/>
      <c r="L117" s="499"/>
      <c r="M117" s="499"/>
      <c r="N117" s="499"/>
      <c r="O117" s="499"/>
      <c r="P117" s="499"/>
      <c r="Q117" s="499"/>
      <c r="R117" s="499"/>
      <c r="S117" s="499"/>
      <c r="T117" s="499"/>
      <c r="U117" s="499"/>
      <c r="V117" s="499"/>
      <c r="W117" s="499"/>
      <c r="X117" s="499"/>
      <c r="Y117" s="499"/>
      <c r="Z117" s="499"/>
      <c r="AA117" s="499"/>
      <c r="AB117" s="499"/>
      <c r="AC117" s="499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00" t="s">
        <v>75</v>
      </c>
      <c r="B119" s="501"/>
      <c r="C119" s="502"/>
      <c r="D119" s="49"/>
      <c r="E119" s="49"/>
      <c r="F119" s="506" t="s">
        <v>76</v>
      </c>
      <c r="G119" s="506"/>
      <c r="H119" s="506"/>
      <c r="I119" s="506"/>
      <c r="J119" s="506"/>
      <c r="K119" s="506"/>
      <c r="L119" s="506"/>
      <c r="M119" s="506"/>
      <c r="N119" s="506"/>
      <c r="O119" s="506"/>
      <c r="P119" s="506"/>
      <c r="Q119" s="506"/>
      <c r="R119" s="506"/>
      <c r="S119" s="506"/>
      <c r="T119" s="506"/>
      <c r="U119" s="506"/>
      <c r="V119" s="506"/>
      <c r="W119" s="506"/>
      <c r="X119" s="506"/>
      <c r="Y119" s="506"/>
      <c r="Z119" s="506"/>
      <c r="AA119" s="506"/>
      <c r="AB119" s="506"/>
      <c r="AC119" s="506"/>
      <c r="AD119" s="5"/>
      <c r="AE119" s="5"/>
      <c r="AF119" s="5"/>
      <c r="AG119" s="5"/>
      <c r="AH119" s="5"/>
    </row>
    <row r="120" spans="1:124" ht="15.6" hidden="1" customHeight="1">
      <c r="A120" s="503"/>
      <c r="B120" s="504"/>
      <c r="C120" s="505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07" t="s">
        <v>27</v>
      </c>
      <c r="B121" s="508"/>
      <c r="C121" s="509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07" t="s">
        <v>78</v>
      </c>
      <c r="B122" s="508"/>
      <c r="C122" s="509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07" t="s">
        <v>29</v>
      </c>
      <c r="B123" s="508"/>
      <c r="C123" s="509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07" t="s">
        <v>32</v>
      </c>
      <c r="B124" s="508"/>
      <c r="C124" s="509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07" t="s">
        <v>33</v>
      </c>
      <c r="B125" s="508"/>
      <c r="C125" s="509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07" t="s">
        <v>55</v>
      </c>
      <c r="B126" s="508"/>
      <c r="C126" s="509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07" t="s">
        <v>59</v>
      </c>
      <c r="B127" s="508"/>
      <c r="C127" s="509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07" t="s">
        <v>69</v>
      </c>
      <c r="B128" s="508"/>
      <c r="C128" s="509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496" t="s">
        <v>99</v>
      </c>
      <c r="B129" s="497"/>
      <c r="C129" s="498"/>
      <c r="D129" s="51"/>
      <c r="E129" s="51"/>
      <c r="F129" s="44">
        <f>SUM(F121:F128)</f>
        <v>0</v>
      </c>
      <c r="G129" s="44">
        <f t="shared" ref="G129:AB129" si="37">SUM(G121:G128)</f>
        <v>0</v>
      </c>
      <c r="H129" s="44">
        <f t="shared" si="37"/>
        <v>0</v>
      </c>
      <c r="I129" s="44">
        <f t="shared" si="37"/>
        <v>0</v>
      </c>
      <c r="J129" s="44">
        <f t="shared" si="37"/>
        <v>0</v>
      </c>
      <c r="K129" s="44">
        <f t="shared" si="37"/>
        <v>0</v>
      </c>
      <c r="L129" s="44">
        <f t="shared" si="37"/>
        <v>0</v>
      </c>
      <c r="M129" s="44">
        <f t="shared" si="37"/>
        <v>0</v>
      </c>
      <c r="N129" s="44">
        <f t="shared" si="37"/>
        <v>0</v>
      </c>
      <c r="O129" s="44">
        <f t="shared" si="37"/>
        <v>0</v>
      </c>
      <c r="P129" s="44">
        <f t="shared" si="37"/>
        <v>0</v>
      </c>
      <c r="Q129" s="44">
        <f t="shared" si="37"/>
        <v>0</v>
      </c>
      <c r="R129" s="44">
        <f t="shared" si="37"/>
        <v>0</v>
      </c>
      <c r="S129" s="44">
        <f t="shared" si="37"/>
        <v>0</v>
      </c>
      <c r="T129" s="44">
        <f t="shared" si="37"/>
        <v>0</v>
      </c>
      <c r="U129" s="44">
        <f t="shared" si="37"/>
        <v>0</v>
      </c>
      <c r="V129" s="44">
        <f t="shared" si="37"/>
        <v>0</v>
      </c>
      <c r="W129" s="44">
        <f t="shared" si="37"/>
        <v>0</v>
      </c>
      <c r="X129" s="44">
        <f t="shared" si="37"/>
        <v>0</v>
      </c>
      <c r="Y129" s="44">
        <f t="shared" si="37"/>
        <v>0</v>
      </c>
      <c r="Z129" s="44">
        <f t="shared" si="37"/>
        <v>0</v>
      </c>
      <c r="AA129" s="44">
        <f t="shared" si="37"/>
        <v>0</v>
      </c>
      <c r="AB129" s="44">
        <f t="shared" si="37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128:C128"/>
    <mergeCell ref="A129:C129"/>
    <mergeCell ref="A122:C122"/>
    <mergeCell ref="A123:C123"/>
    <mergeCell ref="A124:C124"/>
    <mergeCell ref="A125:C125"/>
    <mergeCell ref="A126:C126"/>
    <mergeCell ref="A127:C127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G111:AC111">
    <cfRule type="cellIs" dxfId="4975" priority="472" operator="greaterThan">
      <formula>60.3</formula>
    </cfRule>
  </conditionalFormatting>
  <conditionalFormatting sqref="F111">
    <cfRule type="cellIs" dxfId="4974" priority="471" operator="greaterThan">
      <formula>60.3</formula>
    </cfRule>
  </conditionalFormatting>
  <conditionalFormatting sqref="H13:J13 H15:M16 P15:P16 N13:Q13 L13 Q14:Q16 R13:AC16 G36:AC59 G62:AC64">
    <cfRule type="cellIs" dxfId="4973" priority="463" operator="equal">
      <formula>"PMS"</formula>
    </cfRule>
    <cfRule type="containsText" dxfId="4972" priority="464" operator="containsText" text="CMS">
      <formula>NOT(ISERROR(SEARCH("CMS",G13)))</formula>
    </cfRule>
    <cfRule type="cellIs" dxfId="4971" priority="465" operator="equal">
      <formula>0</formula>
    </cfRule>
    <cfRule type="cellIs" dxfId="4970" priority="466" operator="greaterThan">
      <formula>0</formula>
    </cfRule>
    <cfRule type="cellIs" dxfId="4969" priority="467" operator="equal">
      <formula>"PMS"</formula>
    </cfRule>
    <cfRule type="containsText" dxfId="4968" priority="468" operator="containsText" text="CMS">
      <formula>NOT(ISERROR(SEARCH("CMS",G13)))</formula>
    </cfRule>
    <cfRule type="cellIs" dxfId="4967" priority="469" operator="equal">
      <formula>0</formula>
    </cfRule>
    <cfRule type="cellIs" dxfId="4966" priority="470" operator="greaterThan">
      <formula>0</formula>
    </cfRule>
  </conditionalFormatting>
  <conditionalFormatting sqref="H13:J13 H15:M16 P15:P16 N13:Q13 L13 Q14:Q16 R13:AC16 G36:AC59 G62:AC64">
    <cfRule type="cellIs" dxfId="4965" priority="459" operator="equal">
      <formula>"PMS"</formula>
    </cfRule>
    <cfRule type="containsText" dxfId="4964" priority="460" operator="containsText" text="CMS">
      <formula>NOT(ISERROR(SEARCH("CMS",G13)))</formula>
    </cfRule>
    <cfRule type="cellIs" dxfId="4963" priority="461" operator="equal">
      <formula>0</formula>
    </cfRule>
    <cfRule type="cellIs" dxfId="4962" priority="462" operator="greaterThan">
      <formula>0</formula>
    </cfRule>
  </conditionalFormatting>
  <conditionalFormatting sqref="G20:S20 U19:AC21 T20:T21 G19:Q19 G21:M21 P21:S21">
    <cfRule type="cellIs" dxfId="4961" priority="451" operator="equal">
      <formula>"PMS"</formula>
    </cfRule>
    <cfRule type="containsText" dxfId="4960" priority="452" operator="containsText" text="CMS">
      <formula>NOT(ISERROR(SEARCH("CMS",G19)))</formula>
    </cfRule>
    <cfRule type="cellIs" dxfId="4959" priority="453" operator="equal">
      <formula>0</formula>
    </cfRule>
    <cfRule type="cellIs" dxfId="4958" priority="454" operator="greaterThan">
      <formula>0</formula>
    </cfRule>
    <cfRule type="cellIs" dxfId="4957" priority="455" operator="equal">
      <formula>"PMS"</formula>
    </cfRule>
    <cfRule type="containsText" dxfId="4956" priority="456" operator="containsText" text="CMS">
      <formula>NOT(ISERROR(SEARCH("CMS",G19)))</formula>
    </cfRule>
    <cfRule type="cellIs" dxfId="4955" priority="457" operator="equal">
      <formula>0</formula>
    </cfRule>
    <cfRule type="cellIs" dxfId="4954" priority="458" operator="greaterThan">
      <formula>0</formula>
    </cfRule>
  </conditionalFormatting>
  <conditionalFormatting sqref="G20:S20 U19:AC21 T20:T21 G19:Q19 G21:M21 P21:S21">
    <cfRule type="cellIs" dxfId="4953" priority="447" operator="equal">
      <formula>"PMS"</formula>
    </cfRule>
    <cfRule type="containsText" dxfId="4952" priority="448" operator="containsText" text="CMS">
      <formula>NOT(ISERROR(SEARCH("CMS",G19)))</formula>
    </cfRule>
    <cfRule type="cellIs" dxfId="4951" priority="449" operator="equal">
      <formula>0</formula>
    </cfRule>
    <cfRule type="cellIs" dxfId="4950" priority="450" operator="greaterThan">
      <formula>0</formula>
    </cfRule>
  </conditionalFormatting>
  <conditionalFormatting sqref="V24:AC24 O24:T24 G24:M24">
    <cfRule type="cellIs" dxfId="4949" priority="439" operator="equal">
      <formula>"PMS"</formula>
    </cfRule>
    <cfRule type="containsText" dxfId="4948" priority="440" operator="containsText" text="CMS">
      <formula>NOT(ISERROR(SEARCH("CMS",G24)))</formula>
    </cfRule>
    <cfRule type="cellIs" dxfId="4947" priority="441" operator="equal">
      <formula>0</formula>
    </cfRule>
    <cfRule type="cellIs" dxfId="4946" priority="442" operator="greaterThan">
      <formula>0</formula>
    </cfRule>
    <cfRule type="cellIs" dxfId="4945" priority="443" operator="equal">
      <formula>"PMS"</formula>
    </cfRule>
    <cfRule type="containsText" dxfId="4944" priority="444" operator="containsText" text="CMS">
      <formula>NOT(ISERROR(SEARCH("CMS",G24)))</formula>
    </cfRule>
    <cfRule type="cellIs" dxfId="4943" priority="445" operator="equal">
      <formula>0</formula>
    </cfRule>
    <cfRule type="cellIs" dxfId="4942" priority="446" operator="greaterThan">
      <formula>0</formula>
    </cfRule>
  </conditionalFormatting>
  <conditionalFormatting sqref="V24:AC24 O24:T24 G24:M24">
    <cfRule type="cellIs" dxfId="4941" priority="435" operator="equal">
      <formula>"PMS"</formula>
    </cfRule>
    <cfRule type="containsText" dxfId="4940" priority="436" operator="containsText" text="CMS">
      <formula>NOT(ISERROR(SEARCH("CMS",G24)))</formula>
    </cfRule>
    <cfRule type="cellIs" dxfId="4939" priority="437" operator="equal">
      <formula>0</formula>
    </cfRule>
    <cfRule type="cellIs" dxfId="4938" priority="438" operator="greaterThan">
      <formula>0</formula>
    </cfRule>
  </conditionalFormatting>
  <conditionalFormatting sqref="G27:Q27 H28:Q28 G30:AC30 G29:Q29 R27:AC29">
    <cfRule type="cellIs" dxfId="4937" priority="427" operator="equal">
      <formula>"PMS"</formula>
    </cfRule>
    <cfRule type="containsText" dxfId="4936" priority="428" operator="containsText" text="CMS">
      <formula>NOT(ISERROR(SEARCH("CMS",G27)))</formula>
    </cfRule>
    <cfRule type="cellIs" dxfId="4935" priority="429" operator="equal">
      <formula>0</formula>
    </cfRule>
    <cfRule type="cellIs" dxfId="4934" priority="430" operator="greaterThan">
      <formula>0</formula>
    </cfRule>
    <cfRule type="cellIs" dxfId="4933" priority="431" operator="equal">
      <formula>"PMS"</formula>
    </cfRule>
    <cfRule type="containsText" dxfId="4932" priority="432" operator="containsText" text="CMS">
      <formula>NOT(ISERROR(SEARCH("CMS",G27)))</formula>
    </cfRule>
    <cfRule type="cellIs" dxfId="4931" priority="433" operator="equal">
      <formula>0</formula>
    </cfRule>
    <cfRule type="cellIs" dxfId="4930" priority="434" operator="greaterThan">
      <formula>0</formula>
    </cfRule>
  </conditionalFormatting>
  <conditionalFormatting sqref="G27:Q27 H28:Q28 G30:AC30 G29:Q29 R27:AC29">
    <cfRule type="cellIs" dxfId="4929" priority="423" operator="equal">
      <formula>"PMS"</formula>
    </cfRule>
    <cfRule type="containsText" dxfId="4928" priority="424" operator="containsText" text="CMS">
      <formula>NOT(ISERROR(SEARCH("CMS",G27)))</formula>
    </cfRule>
    <cfRule type="cellIs" dxfId="4927" priority="425" operator="equal">
      <formula>0</formula>
    </cfRule>
    <cfRule type="cellIs" dxfId="4926" priority="426" operator="greaterThan">
      <formula>0</formula>
    </cfRule>
  </conditionalFormatting>
  <conditionalFormatting sqref="G33:AC33">
    <cfRule type="cellIs" dxfId="4925" priority="415" operator="equal">
      <formula>"PMS"</formula>
    </cfRule>
    <cfRule type="containsText" dxfId="4924" priority="416" operator="containsText" text="CMS">
      <formula>NOT(ISERROR(SEARCH("CMS",G33)))</formula>
    </cfRule>
    <cfRule type="cellIs" dxfId="4923" priority="417" operator="equal">
      <formula>0</formula>
    </cfRule>
    <cfRule type="cellIs" dxfId="4922" priority="418" operator="greaterThan">
      <formula>0</formula>
    </cfRule>
    <cfRule type="cellIs" dxfId="4921" priority="419" operator="equal">
      <formula>"PMS"</formula>
    </cfRule>
    <cfRule type="containsText" dxfId="4920" priority="420" operator="containsText" text="CMS">
      <formula>NOT(ISERROR(SEARCH("CMS",G33)))</formula>
    </cfRule>
    <cfRule type="cellIs" dxfId="4919" priority="421" operator="equal">
      <formula>0</formula>
    </cfRule>
    <cfRule type="cellIs" dxfId="4918" priority="422" operator="greaterThan">
      <formula>0</formula>
    </cfRule>
  </conditionalFormatting>
  <conditionalFormatting sqref="G33:AC33">
    <cfRule type="cellIs" dxfId="4917" priority="411" operator="equal">
      <formula>"PMS"</formula>
    </cfRule>
    <cfRule type="containsText" dxfId="4916" priority="412" operator="containsText" text="CMS">
      <formula>NOT(ISERROR(SEARCH("CMS",G33)))</formula>
    </cfRule>
    <cfRule type="cellIs" dxfId="4915" priority="413" operator="equal">
      <formula>0</formula>
    </cfRule>
    <cfRule type="cellIs" dxfId="4914" priority="414" operator="greaterThan">
      <formula>0</formula>
    </cfRule>
  </conditionalFormatting>
  <conditionalFormatting sqref="G67:AC75 G78:AC79">
    <cfRule type="cellIs" dxfId="4913" priority="403" operator="equal">
      <formula>"PMS"</formula>
    </cfRule>
    <cfRule type="containsText" dxfId="4912" priority="404" operator="containsText" text="CMS">
      <formula>NOT(ISERROR(SEARCH("CMS",G67)))</formula>
    </cfRule>
    <cfRule type="cellIs" dxfId="4911" priority="405" operator="equal">
      <formula>0</formula>
    </cfRule>
    <cfRule type="cellIs" dxfId="4910" priority="406" operator="greaterThan">
      <formula>0</formula>
    </cfRule>
    <cfRule type="cellIs" dxfId="4909" priority="407" operator="equal">
      <formula>"PMS"</formula>
    </cfRule>
    <cfRule type="containsText" dxfId="4908" priority="408" operator="containsText" text="CMS">
      <formula>NOT(ISERROR(SEARCH("CMS",G67)))</formula>
    </cfRule>
    <cfRule type="cellIs" dxfId="4907" priority="409" operator="equal">
      <formula>0</formula>
    </cfRule>
    <cfRule type="cellIs" dxfId="4906" priority="410" operator="greaterThan">
      <formula>0</formula>
    </cfRule>
  </conditionalFormatting>
  <conditionalFormatting sqref="G67:AC75 G78:AC79">
    <cfRule type="cellIs" dxfId="4905" priority="399" operator="equal">
      <formula>"PMS"</formula>
    </cfRule>
    <cfRule type="containsText" dxfId="4904" priority="400" operator="containsText" text="CMS">
      <formula>NOT(ISERROR(SEARCH("CMS",G67)))</formula>
    </cfRule>
    <cfRule type="cellIs" dxfId="4903" priority="401" operator="equal">
      <formula>0</formula>
    </cfRule>
    <cfRule type="cellIs" dxfId="4902" priority="402" operator="greaterThan">
      <formula>0</formula>
    </cfRule>
  </conditionalFormatting>
  <conditionalFormatting sqref="G82:AC82">
    <cfRule type="cellIs" dxfId="4901" priority="391" operator="equal">
      <formula>"PMS"</formula>
    </cfRule>
    <cfRule type="containsText" dxfId="4900" priority="392" operator="containsText" text="CMS">
      <formula>NOT(ISERROR(SEARCH("CMS",G82)))</formula>
    </cfRule>
    <cfRule type="cellIs" dxfId="4899" priority="393" operator="equal">
      <formula>0</formula>
    </cfRule>
    <cfRule type="cellIs" dxfId="4898" priority="394" operator="greaterThan">
      <formula>0</formula>
    </cfRule>
    <cfRule type="cellIs" dxfId="4897" priority="395" operator="equal">
      <formula>"PMS"</formula>
    </cfRule>
    <cfRule type="containsText" dxfId="4896" priority="396" operator="containsText" text="CMS">
      <formula>NOT(ISERROR(SEARCH("CMS",G82)))</formula>
    </cfRule>
    <cfRule type="cellIs" dxfId="4895" priority="397" operator="equal">
      <formula>0</formula>
    </cfRule>
    <cfRule type="cellIs" dxfId="4894" priority="398" operator="greaterThan">
      <formula>0</formula>
    </cfRule>
  </conditionalFormatting>
  <conditionalFormatting sqref="G82:AC82">
    <cfRule type="cellIs" dxfId="4893" priority="387" operator="equal">
      <formula>"PMS"</formula>
    </cfRule>
    <cfRule type="containsText" dxfId="4892" priority="388" operator="containsText" text="CMS">
      <formula>NOT(ISERROR(SEARCH("CMS",G82)))</formula>
    </cfRule>
    <cfRule type="cellIs" dxfId="4891" priority="389" operator="equal">
      <formula>0</formula>
    </cfRule>
    <cfRule type="cellIs" dxfId="4890" priority="390" operator="greaterThan">
      <formula>0</formula>
    </cfRule>
  </conditionalFormatting>
  <conditionalFormatting sqref="N24">
    <cfRule type="cellIs" dxfId="4889" priority="379" operator="equal">
      <formula>"PMS"</formula>
    </cfRule>
    <cfRule type="containsText" dxfId="4888" priority="380" operator="containsText" text="CMS">
      <formula>NOT(ISERROR(SEARCH("CMS",N24)))</formula>
    </cfRule>
    <cfRule type="cellIs" dxfId="4887" priority="381" operator="equal">
      <formula>0</formula>
    </cfRule>
    <cfRule type="cellIs" dxfId="4886" priority="382" operator="greaterThan">
      <formula>0</formula>
    </cfRule>
    <cfRule type="cellIs" dxfId="4885" priority="383" operator="equal">
      <formula>"PMS"</formula>
    </cfRule>
    <cfRule type="containsText" dxfId="4884" priority="384" operator="containsText" text="CMS">
      <formula>NOT(ISERROR(SEARCH("CMS",N24)))</formula>
    </cfRule>
    <cfRule type="cellIs" dxfId="4883" priority="385" operator="equal">
      <formula>0</formula>
    </cfRule>
    <cfRule type="cellIs" dxfId="4882" priority="386" operator="greaterThan">
      <formula>0</formula>
    </cfRule>
  </conditionalFormatting>
  <conditionalFormatting sqref="N24">
    <cfRule type="cellIs" dxfId="4881" priority="375" operator="equal">
      <formula>"PMS"</formula>
    </cfRule>
    <cfRule type="containsText" dxfId="4880" priority="376" operator="containsText" text="CMS">
      <formula>NOT(ISERROR(SEARCH("CMS",N24)))</formula>
    </cfRule>
    <cfRule type="cellIs" dxfId="4879" priority="377" operator="equal">
      <formula>0</formula>
    </cfRule>
    <cfRule type="cellIs" dxfId="4878" priority="378" operator="greaterThan">
      <formula>0</formula>
    </cfRule>
  </conditionalFormatting>
  <conditionalFormatting sqref="U24">
    <cfRule type="cellIs" dxfId="4877" priority="367" operator="equal">
      <formula>"PMS"</formula>
    </cfRule>
    <cfRule type="containsText" dxfId="4876" priority="368" operator="containsText" text="CMS">
      <formula>NOT(ISERROR(SEARCH("CMS",U24)))</formula>
    </cfRule>
    <cfRule type="cellIs" dxfId="4875" priority="369" operator="equal">
      <formula>0</formula>
    </cfRule>
    <cfRule type="cellIs" dxfId="4874" priority="370" operator="greaterThan">
      <formula>0</formula>
    </cfRule>
    <cfRule type="cellIs" dxfId="4873" priority="371" operator="equal">
      <formula>"PMS"</formula>
    </cfRule>
    <cfRule type="containsText" dxfId="4872" priority="372" operator="containsText" text="CMS">
      <formula>NOT(ISERROR(SEARCH("CMS",U24)))</formula>
    </cfRule>
    <cfRule type="cellIs" dxfId="4871" priority="373" operator="equal">
      <formula>0</formula>
    </cfRule>
    <cfRule type="cellIs" dxfId="4870" priority="374" operator="greaterThan">
      <formula>0</formula>
    </cfRule>
  </conditionalFormatting>
  <conditionalFormatting sqref="U24">
    <cfRule type="cellIs" dxfId="4869" priority="363" operator="equal">
      <formula>"PMS"</formula>
    </cfRule>
    <cfRule type="containsText" dxfId="4868" priority="364" operator="containsText" text="CMS">
      <formula>NOT(ISERROR(SEARCH("CMS",U24)))</formula>
    </cfRule>
    <cfRule type="cellIs" dxfId="4867" priority="365" operator="equal">
      <formula>0</formula>
    </cfRule>
    <cfRule type="cellIs" dxfId="4866" priority="366" operator="greaterThan">
      <formula>0</formula>
    </cfRule>
  </conditionalFormatting>
  <conditionalFormatting sqref="H14:P14">
    <cfRule type="cellIs" dxfId="4865" priority="355" operator="equal">
      <formula>"PMS"</formula>
    </cfRule>
    <cfRule type="containsText" dxfId="4864" priority="356" operator="containsText" text="CMS">
      <formula>NOT(ISERROR(SEARCH("CMS",H14)))</formula>
    </cfRule>
    <cfRule type="cellIs" dxfId="4863" priority="357" operator="equal">
      <formula>0</formula>
    </cfRule>
    <cfRule type="cellIs" dxfId="4862" priority="358" operator="greaterThan">
      <formula>0</formula>
    </cfRule>
    <cfRule type="cellIs" dxfId="4861" priority="359" operator="equal">
      <formula>"PMS"</formula>
    </cfRule>
    <cfRule type="containsText" dxfId="4860" priority="360" operator="containsText" text="CMS">
      <formula>NOT(ISERROR(SEARCH("CMS",H14)))</formula>
    </cfRule>
    <cfRule type="cellIs" dxfId="4859" priority="361" operator="equal">
      <formula>0</formula>
    </cfRule>
    <cfRule type="cellIs" dxfId="4858" priority="362" operator="greaterThan">
      <formula>0</formula>
    </cfRule>
  </conditionalFormatting>
  <conditionalFormatting sqref="H14:P14">
    <cfRule type="cellIs" dxfId="4857" priority="351" operator="equal">
      <formula>"PMS"</formula>
    </cfRule>
    <cfRule type="containsText" dxfId="4856" priority="352" operator="containsText" text="CMS">
      <formula>NOT(ISERROR(SEARCH("CMS",H14)))</formula>
    </cfRule>
    <cfRule type="cellIs" dxfId="4855" priority="353" operator="equal">
      <formula>0</formula>
    </cfRule>
    <cfRule type="cellIs" dxfId="4854" priority="354" operator="greaterThan">
      <formula>0</formula>
    </cfRule>
  </conditionalFormatting>
  <conditionalFormatting sqref="F82">
    <cfRule type="cellIs" dxfId="4853" priority="343" operator="equal">
      <formula>"PMS"</formula>
    </cfRule>
    <cfRule type="containsText" dxfId="4852" priority="344" operator="containsText" text="CMS">
      <formula>NOT(ISERROR(SEARCH("CMS",F82)))</formula>
    </cfRule>
    <cfRule type="cellIs" dxfId="4851" priority="345" operator="equal">
      <formula>0</formula>
    </cfRule>
    <cfRule type="cellIs" dxfId="4850" priority="346" operator="greaterThan">
      <formula>0</formula>
    </cfRule>
    <cfRule type="cellIs" dxfId="4849" priority="347" operator="equal">
      <formula>"PMS"</formula>
    </cfRule>
    <cfRule type="containsText" dxfId="4848" priority="348" operator="containsText" text="CMS">
      <formula>NOT(ISERROR(SEARCH("CMS",F82)))</formula>
    </cfRule>
    <cfRule type="cellIs" dxfId="4847" priority="349" operator="equal">
      <formula>0</formula>
    </cfRule>
    <cfRule type="cellIs" dxfId="4846" priority="350" operator="greaterThan">
      <formula>0</formula>
    </cfRule>
  </conditionalFormatting>
  <conditionalFormatting sqref="F82">
    <cfRule type="cellIs" dxfId="4845" priority="339" operator="equal">
      <formula>"PMS"</formula>
    </cfRule>
    <cfRule type="containsText" dxfId="4844" priority="340" operator="containsText" text="CMS">
      <formula>NOT(ISERROR(SEARCH("CMS",F82)))</formula>
    </cfRule>
    <cfRule type="cellIs" dxfId="4843" priority="341" operator="equal">
      <formula>0</formula>
    </cfRule>
    <cfRule type="cellIs" dxfId="4842" priority="342" operator="greaterThan">
      <formula>0</formula>
    </cfRule>
  </conditionalFormatting>
  <conditionalFormatting sqref="R19:T19">
    <cfRule type="cellIs" dxfId="4841" priority="331" operator="equal">
      <formula>"PMS"</formula>
    </cfRule>
    <cfRule type="containsText" dxfId="4840" priority="332" operator="containsText" text="CMS">
      <formula>NOT(ISERROR(SEARCH("CMS",R19)))</formula>
    </cfRule>
    <cfRule type="cellIs" dxfId="4839" priority="333" operator="equal">
      <formula>0</formula>
    </cfRule>
    <cfRule type="cellIs" dxfId="4838" priority="334" operator="greaterThan">
      <formula>0</formula>
    </cfRule>
    <cfRule type="cellIs" dxfId="4837" priority="335" operator="equal">
      <formula>"PMS"</formula>
    </cfRule>
    <cfRule type="containsText" dxfId="4836" priority="336" operator="containsText" text="CMS">
      <formula>NOT(ISERROR(SEARCH("CMS",R19)))</formula>
    </cfRule>
    <cfRule type="cellIs" dxfId="4835" priority="337" operator="equal">
      <formula>0</formula>
    </cfRule>
    <cfRule type="cellIs" dxfId="4834" priority="338" operator="greaterThan">
      <formula>0</formula>
    </cfRule>
  </conditionalFormatting>
  <conditionalFormatting sqref="R19:T19">
    <cfRule type="cellIs" dxfId="4833" priority="327" operator="equal">
      <formula>"PMS"</formula>
    </cfRule>
    <cfRule type="containsText" dxfId="4832" priority="328" operator="containsText" text="CMS">
      <formula>NOT(ISERROR(SEARCH("CMS",R19)))</formula>
    </cfRule>
    <cfRule type="cellIs" dxfId="4831" priority="329" operator="equal">
      <formula>0</formula>
    </cfRule>
    <cfRule type="cellIs" dxfId="4830" priority="330" operator="greaterThan">
      <formula>0</formula>
    </cfRule>
  </conditionalFormatting>
  <conditionalFormatting sqref="G13:G16">
    <cfRule type="cellIs" dxfId="4829" priority="319" operator="equal">
      <formula>"PMS"</formula>
    </cfRule>
    <cfRule type="containsText" dxfId="4828" priority="320" operator="containsText" text="CMS">
      <formula>NOT(ISERROR(SEARCH("CMS",G13)))</formula>
    </cfRule>
    <cfRule type="cellIs" dxfId="4827" priority="321" operator="equal">
      <formula>0</formula>
    </cfRule>
    <cfRule type="cellIs" dxfId="4826" priority="322" operator="greaterThan">
      <formula>0</formula>
    </cfRule>
    <cfRule type="cellIs" dxfId="4825" priority="323" operator="equal">
      <formula>"PMS"</formula>
    </cfRule>
    <cfRule type="containsText" dxfId="4824" priority="324" operator="containsText" text="CMS">
      <formula>NOT(ISERROR(SEARCH("CMS",G13)))</formula>
    </cfRule>
    <cfRule type="cellIs" dxfId="4823" priority="325" operator="equal">
      <formula>0</formula>
    </cfRule>
    <cfRule type="cellIs" dxfId="4822" priority="326" operator="greaterThan">
      <formula>0</formula>
    </cfRule>
  </conditionalFormatting>
  <conditionalFormatting sqref="G13:G16">
    <cfRule type="cellIs" dxfId="4821" priority="315" operator="equal">
      <formula>"PMS"</formula>
    </cfRule>
    <cfRule type="containsText" dxfId="4820" priority="316" operator="containsText" text="CMS">
      <formula>NOT(ISERROR(SEARCH("CMS",G13)))</formula>
    </cfRule>
    <cfRule type="cellIs" dxfId="4819" priority="317" operator="equal">
      <formula>0</formula>
    </cfRule>
    <cfRule type="cellIs" dxfId="4818" priority="318" operator="greaterThan">
      <formula>0</formula>
    </cfRule>
  </conditionalFormatting>
  <conditionalFormatting sqref="M13">
    <cfRule type="cellIs" dxfId="4817" priority="307" operator="equal">
      <formula>"PMS"</formula>
    </cfRule>
    <cfRule type="containsText" dxfId="4816" priority="308" operator="containsText" text="CMS">
      <formula>NOT(ISERROR(SEARCH("CMS",M13)))</formula>
    </cfRule>
    <cfRule type="cellIs" dxfId="4815" priority="309" operator="equal">
      <formula>0</formula>
    </cfRule>
    <cfRule type="cellIs" dxfId="4814" priority="310" operator="greaterThan">
      <formula>0</formula>
    </cfRule>
    <cfRule type="cellIs" dxfId="4813" priority="311" operator="equal">
      <formula>"PMS"</formula>
    </cfRule>
    <cfRule type="containsText" dxfId="4812" priority="312" operator="containsText" text="CMS">
      <formula>NOT(ISERROR(SEARCH("CMS",M13)))</formula>
    </cfRule>
    <cfRule type="cellIs" dxfId="4811" priority="313" operator="equal">
      <formula>0</formula>
    </cfRule>
    <cfRule type="cellIs" dxfId="4810" priority="314" operator="greaterThan">
      <formula>0</formula>
    </cfRule>
  </conditionalFormatting>
  <conditionalFormatting sqref="M13">
    <cfRule type="cellIs" dxfId="4809" priority="303" operator="equal">
      <formula>"PMS"</formula>
    </cfRule>
    <cfRule type="containsText" dxfId="4808" priority="304" operator="containsText" text="CMS">
      <formula>NOT(ISERROR(SEARCH("CMS",M13)))</formula>
    </cfRule>
    <cfRule type="cellIs" dxfId="4807" priority="305" operator="equal">
      <formula>0</formula>
    </cfRule>
    <cfRule type="cellIs" dxfId="4806" priority="306" operator="greaterThan">
      <formula>0</formula>
    </cfRule>
  </conditionalFormatting>
  <conditionalFormatting sqref="O15">
    <cfRule type="cellIs" dxfId="4805" priority="295" operator="equal">
      <formula>"PMS"</formula>
    </cfRule>
    <cfRule type="containsText" dxfId="4804" priority="296" operator="containsText" text="CMS">
      <formula>NOT(ISERROR(SEARCH("CMS",O15)))</formula>
    </cfRule>
    <cfRule type="cellIs" dxfId="4803" priority="297" operator="equal">
      <formula>0</formula>
    </cfRule>
    <cfRule type="cellIs" dxfId="4802" priority="298" operator="greaterThan">
      <formula>0</formula>
    </cfRule>
    <cfRule type="cellIs" dxfId="4801" priority="299" operator="equal">
      <formula>"PMS"</formula>
    </cfRule>
    <cfRule type="containsText" dxfId="4800" priority="300" operator="containsText" text="CMS">
      <formula>NOT(ISERROR(SEARCH("CMS",O15)))</formula>
    </cfRule>
    <cfRule type="cellIs" dxfId="4799" priority="301" operator="equal">
      <formula>0</formula>
    </cfRule>
    <cfRule type="cellIs" dxfId="4798" priority="302" operator="greaterThan">
      <formula>0</formula>
    </cfRule>
  </conditionalFormatting>
  <conditionalFormatting sqref="O15">
    <cfRule type="cellIs" dxfId="4797" priority="291" operator="equal">
      <formula>"PMS"</formula>
    </cfRule>
    <cfRule type="containsText" dxfId="4796" priority="292" operator="containsText" text="CMS">
      <formula>NOT(ISERROR(SEARCH("CMS",O15)))</formula>
    </cfRule>
    <cfRule type="cellIs" dxfId="4795" priority="293" operator="equal">
      <formula>0</formula>
    </cfRule>
    <cfRule type="cellIs" dxfId="4794" priority="294" operator="greaterThan">
      <formula>0</formula>
    </cfRule>
  </conditionalFormatting>
  <conditionalFormatting sqref="O16">
    <cfRule type="cellIs" dxfId="4793" priority="283" operator="equal">
      <formula>"PMS"</formula>
    </cfRule>
    <cfRule type="containsText" dxfId="4792" priority="284" operator="containsText" text="CMS">
      <formula>NOT(ISERROR(SEARCH("CMS",O16)))</formula>
    </cfRule>
    <cfRule type="cellIs" dxfId="4791" priority="285" operator="equal">
      <formula>0</formula>
    </cfRule>
    <cfRule type="cellIs" dxfId="4790" priority="286" operator="greaterThan">
      <formula>0</formula>
    </cfRule>
    <cfRule type="cellIs" dxfId="4789" priority="287" operator="equal">
      <formula>"PMS"</formula>
    </cfRule>
    <cfRule type="containsText" dxfId="4788" priority="288" operator="containsText" text="CMS">
      <formula>NOT(ISERROR(SEARCH("CMS",O16)))</formula>
    </cfRule>
    <cfRule type="cellIs" dxfId="4787" priority="289" operator="equal">
      <formula>0</formula>
    </cfRule>
    <cfRule type="cellIs" dxfId="4786" priority="290" operator="greaterThan">
      <formula>0</formula>
    </cfRule>
  </conditionalFormatting>
  <conditionalFormatting sqref="O16">
    <cfRule type="cellIs" dxfId="4785" priority="279" operator="equal">
      <formula>"PMS"</formula>
    </cfRule>
    <cfRule type="containsText" dxfId="4784" priority="280" operator="containsText" text="CMS">
      <formula>NOT(ISERROR(SEARCH("CMS",O16)))</formula>
    </cfRule>
    <cfRule type="cellIs" dxfId="4783" priority="281" operator="equal">
      <formula>0</formula>
    </cfRule>
    <cfRule type="cellIs" dxfId="4782" priority="282" operator="greaterThan">
      <formula>0</formula>
    </cfRule>
  </conditionalFormatting>
  <conditionalFormatting sqref="N15">
    <cfRule type="cellIs" dxfId="4781" priority="271" operator="equal">
      <formula>"PMS"</formula>
    </cfRule>
    <cfRule type="containsText" dxfId="4780" priority="272" operator="containsText" text="CMS">
      <formula>NOT(ISERROR(SEARCH("CMS",N15)))</formula>
    </cfRule>
    <cfRule type="cellIs" dxfId="4779" priority="273" operator="equal">
      <formula>0</formula>
    </cfRule>
    <cfRule type="cellIs" dxfId="4778" priority="274" operator="greaterThan">
      <formula>0</formula>
    </cfRule>
    <cfRule type="cellIs" dxfId="4777" priority="275" operator="equal">
      <formula>"PMS"</formula>
    </cfRule>
    <cfRule type="containsText" dxfId="4776" priority="276" operator="containsText" text="CMS">
      <formula>NOT(ISERROR(SEARCH("CMS",N15)))</formula>
    </cfRule>
    <cfRule type="cellIs" dxfId="4775" priority="277" operator="equal">
      <formula>0</formula>
    </cfRule>
    <cfRule type="cellIs" dxfId="4774" priority="278" operator="greaterThan">
      <formula>0</formula>
    </cfRule>
  </conditionalFormatting>
  <conditionalFormatting sqref="N15">
    <cfRule type="cellIs" dxfId="4773" priority="267" operator="equal">
      <formula>"PMS"</formula>
    </cfRule>
    <cfRule type="containsText" dxfId="4772" priority="268" operator="containsText" text="CMS">
      <formula>NOT(ISERROR(SEARCH("CMS",N15)))</formula>
    </cfRule>
    <cfRule type="cellIs" dxfId="4771" priority="269" operator="equal">
      <formula>0</formula>
    </cfRule>
    <cfRule type="cellIs" dxfId="4770" priority="270" operator="greaterThan">
      <formula>0</formula>
    </cfRule>
  </conditionalFormatting>
  <conditionalFormatting sqref="N16">
    <cfRule type="cellIs" dxfId="4769" priority="259" operator="equal">
      <formula>"PMS"</formula>
    </cfRule>
    <cfRule type="containsText" dxfId="4768" priority="260" operator="containsText" text="CMS">
      <formula>NOT(ISERROR(SEARCH("CMS",N16)))</formula>
    </cfRule>
    <cfRule type="cellIs" dxfId="4767" priority="261" operator="equal">
      <formula>0</formula>
    </cfRule>
    <cfRule type="cellIs" dxfId="4766" priority="262" operator="greaterThan">
      <formula>0</formula>
    </cfRule>
    <cfRule type="cellIs" dxfId="4765" priority="263" operator="equal">
      <formula>"PMS"</formula>
    </cfRule>
    <cfRule type="containsText" dxfId="4764" priority="264" operator="containsText" text="CMS">
      <formula>NOT(ISERROR(SEARCH("CMS",N16)))</formula>
    </cfRule>
    <cfRule type="cellIs" dxfId="4763" priority="265" operator="equal">
      <formula>0</formula>
    </cfRule>
    <cfRule type="cellIs" dxfId="4762" priority="266" operator="greaterThan">
      <formula>0</formula>
    </cfRule>
  </conditionalFormatting>
  <conditionalFormatting sqref="N16">
    <cfRule type="cellIs" dxfId="4761" priority="255" operator="equal">
      <formula>"PMS"</formula>
    </cfRule>
    <cfRule type="containsText" dxfId="4760" priority="256" operator="containsText" text="CMS">
      <formula>NOT(ISERROR(SEARCH("CMS",N16)))</formula>
    </cfRule>
    <cfRule type="cellIs" dxfId="4759" priority="257" operator="equal">
      <formula>0</formula>
    </cfRule>
    <cfRule type="cellIs" dxfId="4758" priority="258" operator="greaterThan">
      <formula>0</formula>
    </cfRule>
  </conditionalFormatting>
  <conditionalFormatting sqref="N21:O21">
    <cfRule type="cellIs" dxfId="4757" priority="247" operator="equal">
      <formula>"PMS"</formula>
    </cfRule>
    <cfRule type="containsText" dxfId="4756" priority="248" operator="containsText" text="CMS">
      <formula>NOT(ISERROR(SEARCH("CMS",N21)))</formula>
    </cfRule>
    <cfRule type="cellIs" dxfId="4755" priority="249" operator="equal">
      <formula>0</formula>
    </cfRule>
    <cfRule type="cellIs" dxfId="4754" priority="250" operator="greaterThan">
      <formula>0</formula>
    </cfRule>
    <cfRule type="cellIs" dxfId="4753" priority="251" operator="equal">
      <formula>"PMS"</formula>
    </cfRule>
    <cfRule type="containsText" dxfId="4752" priority="252" operator="containsText" text="CMS">
      <formula>NOT(ISERROR(SEARCH("CMS",N21)))</formula>
    </cfRule>
    <cfRule type="cellIs" dxfId="4751" priority="253" operator="equal">
      <formula>0</formula>
    </cfRule>
    <cfRule type="cellIs" dxfId="4750" priority="254" operator="greaterThan">
      <formula>0</formula>
    </cfRule>
  </conditionalFormatting>
  <conditionalFormatting sqref="N21:O21">
    <cfRule type="cellIs" dxfId="4749" priority="243" operator="equal">
      <formula>"PMS"</formula>
    </cfRule>
    <cfRule type="containsText" dxfId="4748" priority="244" operator="containsText" text="CMS">
      <formula>NOT(ISERROR(SEARCH("CMS",N21)))</formula>
    </cfRule>
    <cfRule type="cellIs" dxfId="4747" priority="245" operator="equal">
      <formula>0</formula>
    </cfRule>
    <cfRule type="cellIs" dxfId="4746" priority="246" operator="greaterThan">
      <formula>0</formula>
    </cfRule>
  </conditionalFormatting>
  <conditionalFormatting sqref="G28">
    <cfRule type="cellIs" dxfId="4745" priority="235" operator="equal">
      <formula>"PMS"</formula>
    </cfRule>
    <cfRule type="containsText" dxfId="4744" priority="236" operator="containsText" text="CMS">
      <formula>NOT(ISERROR(SEARCH("CMS",G28)))</formula>
    </cfRule>
    <cfRule type="cellIs" dxfId="4743" priority="237" operator="equal">
      <formula>0</formula>
    </cfRule>
    <cfRule type="cellIs" dxfId="4742" priority="238" operator="greaterThan">
      <formula>0</formula>
    </cfRule>
    <cfRule type="cellIs" dxfId="4741" priority="239" operator="equal">
      <formula>"PMS"</formula>
    </cfRule>
    <cfRule type="containsText" dxfId="4740" priority="240" operator="containsText" text="CMS">
      <formula>NOT(ISERROR(SEARCH("CMS",G28)))</formula>
    </cfRule>
    <cfRule type="cellIs" dxfId="4739" priority="241" operator="equal">
      <formula>0</formula>
    </cfRule>
    <cfRule type="cellIs" dxfId="4738" priority="242" operator="greaterThan">
      <formula>0</formula>
    </cfRule>
  </conditionalFormatting>
  <conditionalFormatting sqref="G28">
    <cfRule type="cellIs" dxfId="4737" priority="231" operator="equal">
      <formula>"PMS"</formula>
    </cfRule>
    <cfRule type="containsText" dxfId="4736" priority="232" operator="containsText" text="CMS">
      <formula>NOT(ISERROR(SEARCH("CMS",G28)))</formula>
    </cfRule>
    <cfRule type="cellIs" dxfId="4735" priority="233" operator="equal">
      <formula>0</formula>
    </cfRule>
    <cfRule type="cellIs" dxfId="4734" priority="234" operator="greaterThan">
      <formula>0</formula>
    </cfRule>
  </conditionalFormatting>
  <conditionalFormatting sqref="K13">
    <cfRule type="cellIs" dxfId="4733" priority="223" operator="equal">
      <formula>"PMS"</formula>
    </cfRule>
    <cfRule type="containsText" dxfId="4732" priority="224" operator="containsText" text="CMS">
      <formula>NOT(ISERROR(SEARCH("CMS",K13)))</formula>
    </cfRule>
    <cfRule type="cellIs" dxfId="4731" priority="225" operator="equal">
      <formula>0</formula>
    </cfRule>
    <cfRule type="cellIs" dxfId="4730" priority="226" operator="greaterThan">
      <formula>0</formula>
    </cfRule>
    <cfRule type="cellIs" dxfId="4729" priority="227" operator="equal">
      <formula>"PMS"</formula>
    </cfRule>
    <cfRule type="containsText" dxfId="4728" priority="228" operator="containsText" text="CMS">
      <formula>NOT(ISERROR(SEARCH("CMS",K13)))</formula>
    </cfRule>
    <cfRule type="cellIs" dxfId="4727" priority="229" operator="equal">
      <formula>0</formula>
    </cfRule>
    <cfRule type="cellIs" dxfId="4726" priority="230" operator="greaterThan">
      <formula>0</formula>
    </cfRule>
  </conditionalFormatting>
  <conditionalFormatting sqref="K13">
    <cfRule type="cellIs" dxfId="4725" priority="219" operator="equal">
      <formula>"PMS"</formula>
    </cfRule>
    <cfRule type="containsText" dxfId="4724" priority="220" operator="containsText" text="CMS">
      <formula>NOT(ISERROR(SEARCH("CMS",K13)))</formula>
    </cfRule>
    <cfRule type="cellIs" dxfId="4723" priority="221" operator="equal">
      <formula>0</formula>
    </cfRule>
    <cfRule type="cellIs" dxfId="4722" priority="222" operator="greaterThan">
      <formula>0</formula>
    </cfRule>
  </conditionalFormatting>
  <conditionalFormatting sqref="F67:F75">
    <cfRule type="cellIs" dxfId="4721" priority="211" operator="equal">
      <formula>"PMS"</formula>
    </cfRule>
    <cfRule type="containsText" dxfId="4720" priority="212" operator="containsText" text="CMS">
      <formula>NOT(ISERROR(SEARCH("CMS",F67)))</formula>
    </cfRule>
    <cfRule type="cellIs" dxfId="4719" priority="213" operator="equal">
      <formula>0</formula>
    </cfRule>
    <cfRule type="cellIs" dxfId="4718" priority="214" operator="greaterThan">
      <formula>0</formula>
    </cfRule>
    <cfRule type="cellIs" dxfId="4717" priority="215" operator="equal">
      <formula>"PMS"</formula>
    </cfRule>
    <cfRule type="containsText" dxfId="4716" priority="216" operator="containsText" text="CMS">
      <formula>NOT(ISERROR(SEARCH("CMS",F67)))</formula>
    </cfRule>
    <cfRule type="cellIs" dxfId="4715" priority="217" operator="equal">
      <formula>0</formula>
    </cfRule>
    <cfRule type="cellIs" dxfId="4714" priority="218" operator="greaterThan">
      <formula>0</formula>
    </cfRule>
  </conditionalFormatting>
  <conditionalFormatting sqref="F67:F75">
    <cfRule type="cellIs" dxfId="4713" priority="207" operator="equal">
      <formula>"PMS"</formula>
    </cfRule>
    <cfRule type="containsText" dxfId="4712" priority="208" operator="containsText" text="CMS">
      <formula>NOT(ISERROR(SEARCH("CMS",F67)))</formula>
    </cfRule>
    <cfRule type="cellIs" dxfId="4711" priority="209" operator="equal">
      <formula>0</formula>
    </cfRule>
    <cfRule type="cellIs" dxfId="4710" priority="210" operator="greaterThan">
      <formula>0</formula>
    </cfRule>
  </conditionalFormatting>
  <conditionalFormatting sqref="E113:AC113 F112:N112">
    <cfRule type="cellIs" dxfId="4709" priority="206" operator="greaterThan">
      <formula>60.3</formula>
    </cfRule>
  </conditionalFormatting>
  <conditionalFormatting sqref="O112:AC112">
    <cfRule type="cellIs" dxfId="4708" priority="205" operator="greaterThan">
      <formula>60.3</formula>
    </cfRule>
  </conditionalFormatting>
  <conditionalFormatting sqref="F13:F16">
    <cfRule type="cellIs" dxfId="4707" priority="101" operator="equal">
      <formula>"PMS"</formula>
    </cfRule>
    <cfRule type="containsText" dxfId="4706" priority="102" operator="containsText" text="CMS">
      <formula>NOT(ISERROR(SEARCH("CMS",F13)))</formula>
    </cfRule>
    <cfRule type="cellIs" dxfId="4705" priority="103" operator="equal">
      <formula>0</formula>
    </cfRule>
    <cfRule type="cellIs" dxfId="4704" priority="104" operator="greaterThan">
      <formula>0</formula>
    </cfRule>
    <cfRule type="cellIs" dxfId="4703" priority="105" operator="equal">
      <formula>"PMS"</formula>
    </cfRule>
    <cfRule type="containsText" dxfId="4702" priority="106" operator="containsText" text="CMS">
      <formula>NOT(ISERROR(SEARCH("CMS",F13)))</formula>
    </cfRule>
    <cfRule type="cellIs" dxfId="4701" priority="107" operator="equal">
      <formula>0</formula>
    </cfRule>
    <cfRule type="cellIs" dxfId="4700" priority="108" operator="greaterThan">
      <formula>0</formula>
    </cfRule>
  </conditionalFormatting>
  <conditionalFormatting sqref="F13:F16">
    <cfRule type="cellIs" dxfId="4699" priority="97" operator="equal">
      <formula>"PMS"</formula>
    </cfRule>
    <cfRule type="containsText" dxfId="4698" priority="98" operator="containsText" text="CMS">
      <formula>NOT(ISERROR(SEARCH("CMS",F13)))</formula>
    </cfRule>
    <cfRule type="cellIs" dxfId="4697" priority="99" operator="equal">
      <formula>0</formula>
    </cfRule>
    <cfRule type="cellIs" dxfId="4696" priority="100" operator="greaterThan">
      <formula>0</formula>
    </cfRule>
  </conditionalFormatting>
  <conditionalFormatting sqref="F19:F21">
    <cfRule type="cellIs" dxfId="4695" priority="89" operator="equal">
      <formula>"PMS"</formula>
    </cfRule>
    <cfRule type="containsText" dxfId="4694" priority="90" operator="containsText" text="CMS">
      <formula>NOT(ISERROR(SEARCH("CMS",F19)))</formula>
    </cfRule>
    <cfRule type="cellIs" dxfId="4693" priority="91" operator="equal">
      <formula>0</formula>
    </cfRule>
    <cfRule type="cellIs" dxfId="4692" priority="92" operator="greaterThan">
      <formula>0</formula>
    </cfRule>
    <cfRule type="cellIs" dxfId="4691" priority="93" operator="equal">
      <formula>"PMS"</formula>
    </cfRule>
    <cfRule type="containsText" dxfId="4690" priority="94" operator="containsText" text="CMS">
      <formula>NOT(ISERROR(SEARCH("CMS",F19)))</formula>
    </cfRule>
    <cfRule type="cellIs" dxfId="4689" priority="95" operator="equal">
      <formula>0</formula>
    </cfRule>
    <cfRule type="cellIs" dxfId="4688" priority="96" operator="greaterThan">
      <formula>0</formula>
    </cfRule>
  </conditionalFormatting>
  <conditionalFormatting sqref="F19:F21">
    <cfRule type="cellIs" dxfId="4687" priority="85" operator="equal">
      <formula>"PMS"</formula>
    </cfRule>
    <cfRule type="containsText" dxfId="4686" priority="86" operator="containsText" text="CMS">
      <formula>NOT(ISERROR(SEARCH("CMS",F19)))</formula>
    </cfRule>
    <cfRule type="cellIs" dxfId="4685" priority="87" operator="equal">
      <formula>0</formula>
    </cfRule>
    <cfRule type="cellIs" dxfId="4684" priority="88" operator="greaterThan">
      <formula>0</formula>
    </cfRule>
  </conditionalFormatting>
  <conditionalFormatting sqref="F24">
    <cfRule type="cellIs" dxfId="4683" priority="77" operator="equal">
      <formula>"PMS"</formula>
    </cfRule>
    <cfRule type="containsText" dxfId="4682" priority="78" operator="containsText" text="CMS">
      <formula>NOT(ISERROR(SEARCH("CMS",F24)))</formula>
    </cfRule>
    <cfRule type="cellIs" dxfId="4681" priority="79" operator="equal">
      <formula>0</formula>
    </cfRule>
    <cfRule type="cellIs" dxfId="4680" priority="80" operator="greaterThan">
      <formula>0</formula>
    </cfRule>
    <cfRule type="cellIs" dxfId="4679" priority="81" operator="equal">
      <formula>"PMS"</formula>
    </cfRule>
    <cfRule type="containsText" dxfId="4678" priority="82" operator="containsText" text="CMS">
      <formula>NOT(ISERROR(SEARCH("CMS",F24)))</formula>
    </cfRule>
    <cfRule type="cellIs" dxfId="4677" priority="83" operator="equal">
      <formula>0</formula>
    </cfRule>
    <cfRule type="cellIs" dxfId="4676" priority="84" operator="greaterThan">
      <formula>0</formula>
    </cfRule>
  </conditionalFormatting>
  <conditionalFormatting sqref="F24">
    <cfRule type="cellIs" dxfId="4675" priority="73" operator="equal">
      <formula>"PMS"</formula>
    </cfRule>
    <cfRule type="containsText" dxfId="4674" priority="74" operator="containsText" text="CMS">
      <formula>NOT(ISERROR(SEARCH("CMS",F24)))</formula>
    </cfRule>
    <cfRule type="cellIs" dxfId="4673" priority="75" operator="equal">
      <formula>0</formula>
    </cfRule>
    <cfRule type="cellIs" dxfId="4672" priority="76" operator="greaterThan">
      <formula>0</formula>
    </cfRule>
  </conditionalFormatting>
  <conditionalFormatting sqref="F27:F30">
    <cfRule type="cellIs" dxfId="4671" priority="65" operator="equal">
      <formula>"PMS"</formula>
    </cfRule>
    <cfRule type="containsText" dxfId="4670" priority="66" operator="containsText" text="CMS">
      <formula>NOT(ISERROR(SEARCH("CMS",F27)))</formula>
    </cfRule>
    <cfRule type="cellIs" dxfId="4669" priority="67" operator="equal">
      <formula>0</formula>
    </cfRule>
    <cfRule type="cellIs" dxfId="4668" priority="68" operator="greaterThan">
      <formula>0</formula>
    </cfRule>
    <cfRule type="cellIs" dxfId="4667" priority="69" operator="equal">
      <formula>"PMS"</formula>
    </cfRule>
    <cfRule type="containsText" dxfId="4666" priority="70" operator="containsText" text="CMS">
      <formula>NOT(ISERROR(SEARCH("CMS",F27)))</formula>
    </cfRule>
    <cfRule type="cellIs" dxfId="4665" priority="71" operator="equal">
      <formula>0</formula>
    </cfRule>
    <cfRule type="cellIs" dxfId="4664" priority="72" operator="greaterThan">
      <formula>0</formula>
    </cfRule>
  </conditionalFormatting>
  <conditionalFormatting sqref="F27:F30">
    <cfRule type="cellIs" dxfId="4663" priority="61" operator="equal">
      <formula>"PMS"</formula>
    </cfRule>
    <cfRule type="containsText" dxfId="4662" priority="62" operator="containsText" text="CMS">
      <formula>NOT(ISERROR(SEARCH("CMS",F27)))</formula>
    </cfRule>
    <cfRule type="cellIs" dxfId="4661" priority="63" operator="equal">
      <formula>0</formula>
    </cfRule>
    <cfRule type="cellIs" dxfId="4660" priority="64" operator="greaterThan">
      <formula>0</formula>
    </cfRule>
  </conditionalFormatting>
  <conditionalFormatting sqref="F33">
    <cfRule type="cellIs" dxfId="4659" priority="53" operator="equal">
      <formula>"PMS"</formula>
    </cfRule>
    <cfRule type="containsText" dxfId="4658" priority="54" operator="containsText" text="CMS">
      <formula>NOT(ISERROR(SEARCH("CMS",F33)))</formula>
    </cfRule>
    <cfRule type="cellIs" dxfId="4657" priority="55" operator="equal">
      <formula>0</formula>
    </cfRule>
    <cfRule type="cellIs" dxfId="4656" priority="56" operator="greaterThan">
      <formula>0</formula>
    </cfRule>
    <cfRule type="cellIs" dxfId="4655" priority="57" operator="equal">
      <formula>"PMS"</formula>
    </cfRule>
    <cfRule type="containsText" dxfId="4654" priority="58" operator="containsText" text="CMS">
      <formula>NOT(ISERROR(SEARCH("CMS",F33)))</formula>
    </cfRule>
    <cfRule type="cellIs" dxfId="4653" priority="59" operator="equal">
      <formula>0</formula>
    </cfRule>
    <cfRule type="cellIs" dxfId="4652" priority="60" operator="greaterThan">
      <formula>0</formula>
    </cfRule>
  </conditionalFormatting>
  <conditionalFormatting sqref="F33">
    <cfRule type="cellIs" dxfId="4651" priority="49" operator="equal">
      <formula>"PMS"</formula>
    </cfRule>
    <cfRule type="containsText" dxfId="4650" priority="50" operator="containsText" text="CMS">
      <formula>NOT(ISERROR(SEARCH("CMS",F33)))</formula>
    </cfRule>
    <cfRule type="cellIs" dxfId="4649" priority="51" operator="equal">
      <formula>0</formula>
    </cfRule>
    <cfRule type="cellIs" dxfId="4648" priority="52" operator="greaterThan">
      <formula>0</formula>
    </cfRule>
  </conditionalFormatting>
  <conditionalFormatting sqref="F36:F59">
    <cfRule type="cellIs" dxfId="4647" priority="41" operator="equal">
      <formula>"PMS"</formula>
    </cfRule>
    <cfRule type="containsText" dxfId="4646" priority="42" operator="containsText" text="CMS">
      <formula>NOT(ISERROR(SEARCH("CMS",F36)))</formula>
    </cfRule>
    <cfRule type="cellIs" dxfId="4645" priority="43" operator="equal">
      <formula>0</formula>
    </cfRule>
    <cfRule type="cellIs" dxfId="4644" priority="44" operator="greaterThan">
      <formula>0</formula>
    </cfRule>
    <cfRule type="cellIs" dxfId="4643" priority="45" operator="equal">
      <formula>"PMS"</formula>
    </cfRule>
    <cfRule type="containsText" dxfId="4642" priority="46" operator="containsText" text="CMS">
      <formula>NOT(ISERROR(SEARCH("CMS",F36)))</formula>
    </cfRule>
    <cfRule type="cellIs" dxfId="4641" priority="47" operator="equal">
      <formula>0</formula>
    </cfRule>
    <cfRule type="cellIs" dxfId="4640" priority="48" operator="greaterThan">
      <formula>0</formula>
    </cfRule>
  </conditionalFormatting>
  <conditionalFormatting sqref="F36:F59">
    <cfRule type="cellIs" dxfId="4639" priority="37" operator="equal">
      <formula>"PMS"</formula>
    </cfRule>
    <cfRule type="containsText" dxfId="4638" priority="38" operator="containsText" text="CMS">
      <formula>NOT(ISERROR(SEARCH("CMS",F36)))</formula>
    </cfRule>
    <cfRule type="cellIs" dxfId="4637" priority="39" operator="equal">
      <formula>0</formula>
    </cfRule>
    <cfRule type="cellIs" dxfId="4636" priority="40" operator="greaterThan">
      <formula>0</formula>
    </cfRule>
  </conditionalFormatting>
  <conditionalFormatting sqref="F62:F64">
    <cfRule type="cellIs" dxfId="4635" priority="29" operator="equal">
      <formula>"PMS"</formula>
    </cfRule>
    <cfRule type="containsText" dxfId="4634" priority="30" operator="containsText" text="CMS">
      <formula>NOT(ISERROR(SEARCH("CMS",F62)))</formula>
    </cfRule>
    <cfRule type="cellIs" dxfId="4633" priority="31" operator="equal">
      <formula>0</formula>
    </cfRule>
    <cfRule type="cellIs" dxfId="4632" priority="32" operator="greaterThan">
      <formula>0</formula>
    </cfRule>
    <cfRule type="cellIs" dxfId="4631" priority="33" operator="equal">
      <formula>"PMS"</formula>
    </cfRule>
    <cfRule type="containsText" dxfId="4630" priority="34" operator="containsText" text="CMS">
      <formula>NOT(ISERROR(SEARCH("CMS",F62)))</formula>
    </cfRule>
    <cfRule type="cellIs" dxfId="4629" priority="35" operator="equal">
      <formula>0</formula>
    </cfRule>
    <cfRule type="cellIs" dxfId="4628" priority="36" operator="greaterThan">
      <formula>0</formula>
    </cfRule>
  </conditionalFormatting>
  <conditionalFormatting sqref="F62:F64">
    <cfRule type="cellIs" dxfId="4627" priority="25" operator="equal">
      <formula>"PMS"</formula>
    </cfRule>
    <cfRule type="containsText" dxfId="4626" priority="26" operator="containsText" text="CMS">
      <formula>NOT(ISERROR(SEARCH("CMS",F62)))</formula>
    </cfRule>
    <cfRule type="cellIs" dxfId="4625" priority="27" operator="equal">
      <formula>0</formula>
    </cfRule>
    <cfRule type="cellIs" dxfId="4624" priority="28" operator="greaterThan">
      <formula>0</formula>
    </cfRule>
  </conditionalFormatting>
  <conditionalFormatting sqref="F78">
    <cfRule type="cellIs" dxfId="4623" priority="17" operator="equal">
      <formula>"PMS"</formula>
    </cfRule>
    <cfRule type="containsText" dxfId="4622" priority="18" operator="containsText" text="CMS">
      <formula>NOT(ISERROR(SEARCH("CMS",F78)))</formula>
    </cfRule>
    <cfRule type="cellIs" dxfId="4621" priority="19" operator="equal">
      <formula>0</formula>
    </cfRule>
    <cfRule type="cellIs" dxfId="4620" priority="20" operator="greaterThan">
      <formula>0</formula>
    </cfRule>
    <cfRule type="cellIs" dxfId="4619" priority="21" operator="equal">
      <formula>"PMS"</formula>
    </cfRule>
    <cfRule type="containsText" dxfId="4618" priority="22" operator="containsText" text="CMS">
      <formula>NOT(ISERROR(SEARCH("CMS",F78)))</formula>
    </cfRule>
    <cfRule type="cellIs" dxfId="4617" priority="23" operator="equal">
      <formula>0</formula>
    </cfRule>
    <cfRule type="cellIs" dxfId="4616" priority="24" operator="greaterThan">
      <formula>0</formula>
    </cfRule>
  </conditionalFormatting>
  <conditionalFormatting sqref="F78">
    <cfRule type="cellIs" dxfId="4615" priority="13" operator="equal">
      <formula>"PMS"</formula>
    </cfRule>
    <cfRule type="containsText" dxfId="4614" priority="14" operator="containsText" text="CMS">
      <formula>NOT(ISERROR(SEARCH("CMS",F78)))</formula>
    </cfRule>
    <cfRule type="cellIs" dxfId="4613" priority="15" operator="equal">
      <formula>0</formula>
    </cfRule>
    <cfRule type="cellIs" dxfId="4612" priority="16" operator="greaterThan">
      <formula>0</formula>
    </cfRule>
  </conditionalFormatting>
  <conditionalFormatting sqref="F79">
    <cfRule type="cellIs" dxfId="4611" priority="5" operator="equal">
      <formula>"PMS"</formula>
    </cfRule>
    <cfRule type="containsText" dxfId="4610" priority="6" operator="containsText" text="CMS">
      <formula>NOT(ISERROR(SEARCH("CMS",F79)))</formula>
    </cfRule>
    <cfRule type="cellIs" dxfId="4609" priority="7" operator="equal">
      <formula>0</formula>
    </cfRule>
    <cfRule type="cellIs" dxfId="4608" priority="8" operator="greaterThan">
      <formula>0</formula>
    </cfRule>
    <cfRule type="cellIs" dxfId="4607" priority="9" operator="equal">
      <formula>"PMS"</formula>
    </cfRule>
    <cfRule type="containsText" dxfId="4606" priority="10" operator="containsText" text="CMS">
      <formula>NOT(ISERROR(SEARCH("CMS",F79)))</formula>
    </cfRule>
    <cfRule type="cellIs" dxfId="4605" priority="11" operator="equal">
      <formula>0</formula>
    </cfRule>
    <cfRule type="cellIs" dxfId="4604" priority="12" operator="greaterThan">
      <formula>0</formula>
    </cfRule>
  </conditionalFormatting>
  <conditionalFormatting sqref="F79">
    <cfRule type="cellIs" dxfId="4603" priority="1" operator="equal">
      <formula>"PMS"</formula>
    </cfRule>
    <cfRule type="containsText" dxfId="4602" priority="2" operator="containsText" text="CMS">
      <formula>NOT(ISERROR(SEARCH("CMS",F79)))</formula>
    </cfRule>
    <cfRule type="cellIs" dxfId="4601" priority="3" operator="equal">
      <formula>0</formula>
    </cfRule>
    <cfRule type="cellIs" dxfId="4600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872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EFB5E-06EB-4338-9F0F-76D40D509000}">
  <sheetPr codeName="Sheet172"/>
  <dimension ref="A2:DT141"/>
  <sheetViews>
    <sheetView zoomScale="70" zoomScaleNormal="70" zoomScaleSheetLayoutView="51" zoomScalePageLayoutView="55" workbookViewId="0">
      <pane xSplit="5" ySplit="11" topLeftCell="F12" activePane="bottomRight" state="frozen"/>
      <selection pane="bottomRight" activeCell="O83" sqref="O83"/>
      <selection pane="bottomLeft" activeCell="AJ44" sqref="AJ44"/>
      <selection pane="topRight" activeCell="AJ44" sqref="AJ4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23"/>
      <c r="N8" s="523"/>
      <c r="O8" s="52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24" t="e" cm="1">
        <f t="array" aca="1" ref="M9" ca="1">TEXT(TODAY(),"mmmm")&amp;" "&amp;MID(CELL("filename",A1),FIND("]",CELL("filename",A1))+1,255)&amp;", "&amp;TEXT(TODAY(),"yyyy")</f>
        <v>#VALUE!</v>
      </c>
      <c r="N9" s="524"/>
      <c r="O9" s="524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4"/>
      <c r="R10" s="344"/>
      <c r="S10" s="344"/>
      <c r="T10" s="344"/>
      <c r="U10" s="344"/>
      <c r="V10" s="344"/>
      <c r="W10" s="344"/>
      <c r="X10" s="344"/>
      <c r="Y10" s="344"/>
      <c r="Z10" s="344"/>
      <c r="AA10" s="344"/>
      <c r="AB10" s="344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17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441.40000000000003</v>
      </c>
    </row>
    <row r="13" spans="1:41">
      <c r="A13" s="14" t="s">
        <v>22</v>
      </c>
      <c r="B13" s="15"/>
      <c r="C13" s="15">
        <v>7.2</v>
      </c>
      <c r="D13" s="15"/>
      <c r="E13" s="15"/>
      <c r="F13" s="372"/>
      <c r="G13" s="372">
        <v>6.7</v>
      </c>
      <c r="H13" s="372">
        <v>6.7</v>
      </c>
      <c r="I13" s="372">
        <v>6.7</v>
      </c>
      <c r="J13" s="372">
        <v>6.7</v>
      </c>
      <c r="K13" s="372">
        <v>6.6</v>
      </c>
      <c r="L13" s="374">
        <v>6.7</v>
      </c>
      <c r="M13" s="372">
        <v>6.7</v>
      </c>
      <c r="N13" s="372">
        <v>6.8</v>
      </c>
      <c r="O13" s="372">
        <v>6.8</v>
      </c>
      <c r="P13" s="372">
        <v>6.6</v>
      </c>
      <c r="Q13" s="372">
        <v>6.7</v>
      </c>
      <c r="R13" s="372">
        <v>6.7</v>
      </c>
      <c r="S13" s="372">
        <v>6.9</v>
      </c>
      <c r="T13" s="372">
        <v>6.8</v>
      </c>
      <c r="U13" s="372">
        <v>6.8</v>
      </c>
      <c r="V13" s="372">
        <v>6.7</v>
      </c>
      <c r="W13" s="372">
        <v>6.6</v>
      </c>
      <c r="X13" s="372">
        <v>6.7</v>
      </c>
      <c r="Y13" s="372">
        <v>6.8</v>
      </c>
      <c r="Z13" s="372">
        <v>6.6</v>
      </c>
      <c r="AA13" s="372">
        <v>6.5</v>
      </c>
      <c r="AB13" s="372">
        <v>6.5</v>
      </c>
      <c r="AC13" s="372">
        <v>6.5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23</v>
      </c>
    </row>
    <row r="14" spans="1:41">
      <c r="A14" s="14" t="s">
        <v>23</v>
      </c>
      <c r="B14" s="15"/>
      <c r="C14" s="15">
        <v>7.2</v>
      </c>
      <c r="D14" s="15"/>
      <c r="E14" s="15"/>
      <c r="F14" s="372">
        <v>6.7</v>
      </c>
      <c r="G14" s="372">
        <v>6.7</v>
      </c>
      <c r="H14" s="374">
        <v>6.6</v>
      </c>
      <c r="I14" s="372"/>
      <c r="J14" s="372"/>
      <c r="K14" s="372"/>
      <c r="L14" s="372"/>
      <c r="M14" s="372"/>
      <c r="N14" s="372"/>
      <c r="O14" s="372"/>
      <c r="P14" s="372"/>
      <c r="Q14" s="372"/>
      <c r="R14" s="372"/>
      <c r="S14" s="372"/>
      <c r="T14" s="372"/>
      <c r="U14" s="372"/>
      <c r="V14" s="372"/>
      <c r="W14" s="372"/>
      <c r="X14" s="372"/>
      <c r="Y14" s="372"/>
      <c r="Z14" s="372"/>
      <c r="AA14" s="372"/>
      <c r="AB14" s="372">
        <v>6.5</v>
      </c>
      <c r="AC14" s="372">
        <v>6.5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5</v>
      </c>
    </row>
    <row r="15" spans="1:41">
      <c r="A15" s="66" t="s">
        <v>24</v>
      </c>
      <c r="B15" s="15"/>
      <c r="C15" s="15">
        <v>7.2</v>
      </c>
      <c r="D15" s="15"/>
      <c r="E15" s="15"/>
      <c r="F15" s="372">
        <v>6.7</v>
      </c>
      <c r="G15" s="372">
        <v>0</v>
      </c>
      <c r="H15" s="374"/>
      <c r="I15" s="372">
        <v>0</v>
      </c>
      <c r="J15" s="372">
        <v>0</v>
      </c>
      <c r="K15" s="374">
        <v>0</v>
      </c>
      <c r="L15" s="374">
        <v>0</v>
      </c>
      <c r="M15" s="374">
        <v>0</v>
      </c>
      <c r="N15" s="372">
        <v>0</v>
      </c>
      <c r="O15" s="372">
        <v>6.8</v>
      </c>
      <c r="P15" s="372">
        <v>6.6</v>
      </c>
      <c r="Q15" s="372">
        <v>6.7</v>
      </c>
      <c r="R15" s="372">
        <v>6.7</v>
      </c>
      <c r="S15" s="372">
        <v>6.9</v>
      </c>
      <c r="T15" s="372">
        <v>6.8</v>
      </c>
      <c r="U15" s="372">
        <v>6.8</v>
      </c>
      <c r="V15" s="372">
        <v>6.7</v>
      </c>
      <c r="W15" s="372">
        <v>6.6</v>
      </c>
      <c r="X15" s="372">
        <v>6.7</v>
      </c>
      <c r="Y15" s="372">
        <v>6.8</v>
      </c>
      <c r="Z15" s="372">
        <v>6.6</v>
      </c>
      <c r="AA15" s="372">
        <v>6.5</v>
      </c>
      <c r="AB15" s="372"/>
      <c r="AC15" s="372"/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21</v>
      </c>
    </row>
    <row r="16" spans="1:41">
      <c r="A16" s="14" t="s">
        <v>25</v>
      </c>
      <c r="B16" s="15"/>
      <c r="C16" s="15">
        <v>7.2</v>
      </c>
      <c r="D16" s="15"/>
      <c r="E16" s="15"/>
      <c r="F16" s="372">
        <v>6.7</v>
      </c>
      <c r="G16" s="372">
        <v>6.7</v>
      </c>
      <c r="H16" s="374">
        <v>6.6</v>
      </c>
      <c r="I16" s="372">
        <v>6.7</v>
      </c>
      <c r="J16" s="372">
        <v>6.7</v>
      </c>
      <c r="K16" s="374">
        <v>6.7</v>
      </c>
      <c r="L16" s="374">
        <v>6.8</v>
      </c>
      <c r="M16" s="374">
        <v>6.8</v>
      </c>
      <c r="N16" s="372">
        <v>6.8</v>
      </c>
      <c r="O16" s="372">
        <v>6.8</v>
      </c>
      <c r="P16" s="372">
        <v>6.6</v>
      </c>
      <c r="Q16" s="372">
        <v>6.7</v>
      </c>
      <c r="R16" s="372">
        <v>6.7</v>
      </c>
      <c r="S16" s="372">
        <v>6.9</v>
      </c>
      <c r="T16" s="372">
        <v>6.8</v>
      </c>
      <c r="U16" s="372">
        <v>6.8</v>
      </c>
      <c r="V16" s="372">
        <v>6.7</v>
      </c>
      <c r="W16" s="372">
        <v>6.6</v>
      </c>
      <c r="X16" s="372">
        <v>6.7</v>
      </c>
      <c r="Y16" s="372">
        <v>6.8</v>
      </c>
      <c r="Z16" s="372">
        <v>6.6</v>
      </c>
      <c r="AA16" s="372">
        <v>6.5</v>
      </c>
      <c r="AB16" s="372">
        <v>6.5</v>
      </c>
      <c r="AC16" s="372">
        <v>6.5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20.100000000000001</v>
      </c>
      <c r="G17" s="19">
        <f t="shared" si="0"/>
        <v>20.100000000000001</v>
      </c>
      <c r="H17" s="19">
        <f>SUM(H13:H16)</f>
        <v>19.899999999999999</v>
      </c>
      <c r="I17" s="19">
        <f t="shared" si="0"/>
        <v>13.4</v>
      </c>
      <c r="J17" s="19">
        <f t="shared" si="0"/>
        <v>13.4</v>
      </c>
      <c r="K17" s="19">
        <f t="shared" si="0"/>
        <v>13.3</v>
      </c>
      <c r="L17" s="19">
        <f t="shared" si="0"/>
        <v>13.5</v>
      </c>
      <c r="M17" s="19">
        <f t="shared" si="0"/>
        <v>13.5</v>
      </c>
      <c r="N17" s="19">
        <f t="shared" si="0"/>
        <v>13.6</v>
      </c>
      <c r="O17" s="19">
        <f t="shared" si="0"/>
        <v>20.399999999999999</v>
      </c>
      <c r="P17" s="19">
        <f t="shared" si="0"/>
        <v>19.799999999999997</v>
      </c>
      <c r="Q17" s="19">
        <f t="shared" si="0"/>
        <v>20.100000000000001</v>
      </c>
      <c r="R17" s="19">
        <f t="shared" si="0"/>
        <v>20.100000000000001</v>
      </c>
      <c r="S17" s="19">
        <f t="shared" si="0"/>
        <v>20.700000000000003</v>
      </c>
      <c r="T17" s="19">
        <f t="shared" si="0"/>
        <v>20.399999999999999</v>
      </c>
      <c r="U17" s="19">
        <f t="shared" si="0"/>
        <v>20.399999999999999</v>
      </c>
      <c r="V17" s="19">
        <f t="shared" si="0"/>
        <v>20.100000000000001</v>
      </c>
      <c r="W17" s="19">
        <f t="shared" si="0"/>
        <v>19.799999999999997</v>
      </c>
      <c r="X17" s="19">
        <f t="shared" si="0"/>
        <v>20.100000000000001</v>
      </c>
      <c r="Y17" s="19">
        <f t="shared" si="0"/>
        <v>20.399999999999999</v>
      </c>
      <c r="Z17" s="19">
        <f t="shared" si="0"/>
        <v>19.799999999999997</v>
      </c>
      <c r="AA17" s="19">
        <f t="shared" si="0"/>
        <v>19.5</v>
      </c>
      <c r="AB17" s="19">
        <f t="shared" si="0"/>
        <v>19.5</v>
      </c>
      <c r="AC17" s="19">
        <f t="shared" si="0"/>
        <v>19.5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107.49999999999996</v>
      </c>
    </row>
    <row r="19" spans="1:51">
      <c r="A19" s="14" t="s">
        <v>22</v>
      </c>
      <c r="B19" s="15"/>
      <c r="C19" s="15">
        <v>3</v>
      </c>
      <c r="D19" s="15"/>
      <c r="E19" s="15"/>
      <c r="F19" s="372">
        <v>0</v>
      </c>
      <c r="G19" s="372">
        <v>0</v>
      </c>
      <c r="H19" s="372">
        <v>0</v>
      </c>
      <c r="I19" s="372">
        <v>0</v>
      </c>
      <c r="J19" s="372">
        <v>0</v>
      </c>
      <c r="K19" s="374">
        <v>0</v>
      </c>
      <c r="L19" s="374">
        <v>0</v>
      </c>
      <c r="M19" s="374">
        <v>0</v>
      </c>
      <c r="N19" s="374">
        <v>0</v>
      </c>
      <c r="O19" s="372">
        <v>0</v>
      </c>
      <c r="P19" s="374">
        <v>2.8</v>
      </c>
      <c r="Q19" s="372">
        <v>2.8</v>
      </c>
      <c r="R19" s="372">
        <v>2.8</v>
      </c>
      <c r="S19" s="372">
        <v>2.8</v>
      </c>
      <c r="T19" s="372">
        <v>2.8</v>
      </c>
      <c r="U19" s="372">
        <v>2.8</v>
      </c>
      <c r="V19" s="372">
        <v>2.8</v>
      </c>
      <c r="W19" s="372">
        <v>2.8</v>
      </c>
      <c r="X19" s="372">
        <v>2.8</v>
      </c>
      <c r="Y19" s="372">
        <v>2.8</v>
      </c>
      <c r="Z19" s="372">
        <v>2.8</v>
      </c>
      <c r="AA19" s="372">
        <v>2.8</v>
      </c>
      <c r="AB19" s="372">
        <v>2.2000000000000002</v>
      </c>
      <c r="AC19" s="372">
        <v>2.5</v>
      </c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24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372"/>
      <c r="G20" s="372"/>
      <c r="H20" s="372"/>
      <c r="I20" s="372"/>
      <c r="J20" s="372"/>
      <c r="K20" s="374"/>
      <c r="L20" s="374"/>
      <c r="M20" s="374"/>
      <c r="N20" s="372"/>
      <c r="O20" s="372"/>
      <c r="P20" s="372"/>
      <c r="Q20" s="372"/>
      <c r="R20" s="372"/>
      <c r="S20" s="372"/>
      <c r="T20" s="372"/>
      <c r="U20" s="372"/>
      <c r="V20" s="372"/>
      <c r="W20" s="372"/>
      <c r="X20" s="372"/>
      <c r="Y20" s="372"/>
      <c r="Z20" s="372"/>
      <c r="AA20" s="372"/>
      <c r="AB20" s="372"/>
      <c r="AC20" s="372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2">
        <v>3.8</v>
      </c>
      <c r="G21" s="372">
        <v>0</v>
      </c>
      <c r="H21" s="372">
        <v>0</v>
      </c>
      <c r="I21" s="372">
        <v>0</v>
      </c>
      <c r="J21" s="372">
        <v>0</v>
      </c>
      <c r="K21" s="372">
        <v>0</v>
      </c>
      <c r="L21" s="374">
        <v>3</v>
      </c>
      <c r="M21" s="374">
        <v>3</v>
      </c>
      <c r="N21" s="372">
        <v>3.8</v>
      </c>
      <c r="O21" s="372">
        <v>3.9</v>
      </c>
      <c r="P21" s="372">
        <v>3.8</v>
      </c>
      <c r="Q21" s="372">
        <v>3.8</v>
      </c>
      <c r="R21" s="372">
        <v>3.8</v>
      </c>
      <c r="S21" s="372">
        <v>3.8</v>
      </c>
      <c r="T21" s="372">
        <v>3.8</v>
      </c>
      <c r="U21" s="372">
        <v>3.8</v>
      </c>
      <c r="V21" s="372">
        <v>3.8</v>
      </c>
      <c r="W21" s="372">
        <v>3.8</v>
      </c>
      <c r="X21" s="372">
        <v>3.3</v>
      </c>
      <c r="Y21" s="372">
        <v>3.8</v>
      </c>
      <c r="Z21" s="372">
        <v>3.8</v>
      </c>
      <c r="AA21" s="372">
        <v>3.8</v>
      </c>
      <c r="AB21" s="372">
        <v>3.6</v>
      </c>
      <c r="AC21" s="372">
        <v>3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3.8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3</v>
      </c>
      <c r="M22" s="19">
        <f t="shared" si="1"/>
        <v>3</v>
      </c>
      <c r="N22" s="19">
        <f t="shared" si="1"/>
        <v>3.8</v>
      </c>
      <c r="O22" s="19">
        <f t="shared" si="1"/>
        <v>3.9</v>
      </c>
      <c r="P22" s="19">
        <f t="shared" si="1"/>
        <v>6.6</v>
      </c>
      <c r="Q22" s="19">
        <f t="shared" si="1"/>
        <v>6.6</v>
      </c>
      <c r="R22" s="19">
        <f t="shared" si="1"/>
        <v>6.6</v>
      </c>
      <c r="S22" s="19">
        <f>SUM(S19:S21)</f>
        <v>6.6</v>
      </c>
      <c r="T22" s="19">
        <f t="shared" ref="T22" si="2">SUM(T19:T21)</f>
        <v>6.6</v>
      </c>
      <c r="U22" s="19">
        <f t="shared" si="1"/>
        <v>6.6</v>
      </c>
      <c r="V22" s="19">
        <f t="shared" si="1"/>
        <v>6.6</v>
      </c>
      <c r="W22" s="19">
        <f t="shared" si="1"/>
        <v>6.6</v>
      </c>
      <c r="X22" s="19">
        <f t="shared" si="1"/>
        <v>6.1</v>
      </c>
      <c r="Y22" s="19">
        <f t="shared" si="1"/>
        <v>6.6</v>
      </c>
      <c r="Z22" s="19">
        <f t="shared" si="1"/>
        <v>6.6</v>
      </c>
      <c r="AA22" s="19">
        <f t="shared" si="1"/>
        <v>6.6</v>
      </c>
      <c r="AB22" s="19">
        <f>SUM(AB19:AB21)</f>
        <v>5.8000000000000007</v>
      </c>
      <c r="AC22" s="19">
        <f t="shared" si="1"/>
        <v>5.5</v>
      </c>
      <c r="AD22" s="41"/>
      <c r="AE22" s="41"/>
      <c r="AF22" s="11"/>
      <c r="AG22" s="11"/>
      <c r="AH22" s="11"/>
      <c r="AI22" s="400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409">
        <f>SUM(F24:AC24)</f>
        <v>55.899999999999984</v>
      </c>
    </row>
    <row r="24" spans="1:51">
      <c r="A24" s="14" t="s">
        <v>22</v>
      </c>
      <c r="B24" s="20"/>
      <c r="C24" s="15">
        <v>4.5</v>
      </c>
      <c r="D24" s="15"/>
      <c r="E24" s="15"/>
      <c r="F24" s="372">
        <v>0</v>
      </c>
      <c r="G24" s="372">
        <v>0</v>
      </c>
      <c r="H24" s="372">
        <v>0</v>
      </c>
      <c r="I24" s="372">
        <v>0</v>
      </c>
      <c r="J24" s="372">
        <v>0</v>
      </c>
      <c r="K24" s="374">
        <v>0</v>
      </c>
      <c r="L24" s="374">
        <v>0</v>
      </c>
      <c r="M24" s="374">
        <v>0</v>
      </c>
      <c r="N24" s="372">
        <v>3.5</v>
      </c>
      <c r="O24" s="372">
        <v>3.8</v>
      </c>
      <c r="P24" s="372">
        <v>3.8</v>
      </c>
      <c r="Q24" s="374">
        <v>3.8</v>
      </c>
      <c r="R24" s="372">
        <v>3.8</v>
      </c>
      <c r="S24" s="372">
        <v>3.8</v>
      </c>
      <c r="T24" s="372">
        <v>3.8</v>
      </c>
      <c r="U24" s="372">
        <v>3.8</v>
      </c>
      <c r="V24" s="372">
        <v>3.8</v>
      </c>
      <c r="W24" s="372">
        <v>3.8</v>
      </c>
      <c r="X24" s="492">
        <v>3.8</v>
      </c>
      <c r="Y24" s="372">
        <v>3.8</v>
      </c>
      <c r="Z24" s="372">
        <v>3.8</v>
      </c>
      <c r="AA24" s="372">
        <v>3.8</v>
      </c>
      <c r="AB24" s="372">
        <v>3</v>
      </c>
      <c r="AC24" s="372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23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3">SUM(F24)</f>
        <v>0</v>
      </c>
      <c r="G25" s="19">
        <f t="shared" ref="G25:AC25" si="4">SUM(G24)</f>
        <v>0</v>
      </c>
      <c r="H25" s="19">
        <f t="shared" si="4"/>
        <v>0</v>
      </c>
      <c r="I25" s="19">
        <f t="shared" si="4"/>
        <v>0</v>
      </c>
      <c r="J25" s="19">
        <f t="shared" si="4"/>
        <v>0</v>
      </c>
      <c r="K25" s="19">
        <f t="shared" si="4"/>
        <v>0</v>
      </c>
      <c r="L25" s="19">
        <f t="shared" si="4"/>
        <v>0</v>
      </c>
      <c r="M25" s="19">
        <f t="shared" si="4"/>
        <v>0</v>
      </c>
      <c r="N25" s="19">
        <f t="shared" si="4"/>
        <v>3.5</v>
      </c>
      <c r="O25" s="19">
        <f t="shared" si="4"/>
        <v>3.8</v>
      </c>
      <c r="P25" s="19">
        <f t="shared" si="4"/>
        <v>3.8</v>
      </c>
      <c r="Q25" s="19">
        <f t="shared" si="4"/>
        <v>3.8</v>
      </c>
      <c r="R25" s="19">
        <f t="shared" si="4"/>
        <v>3.8</v>
      </c>
      <c r="S25" s="19">
        <f t="shared" si="4"/>
        <v>3.8</v>
      </c>
      <c r="T25" s="19">
        <f t="shared" si="4"/>
        <v>3.8</v>
      </c>
      <c r="U25" s="19">
        <f t="shared" si="4"/>
        <v>3.8</v>
      </c>
      <c r="V25" s="19">
        <f t="shared" si="4"/>
        <v>3.8</v>
      </c>
      <c r="W25" s="19">
        <f t="shared" si="4"/>
        <v>3.8</v>
      </c>
      <c r="X25" s="19">
        <f t="shared" si="4"/>
        <v>3.8</v>
      </c>
      <c r="Y25" s="19">
        <f t="shared" si="4"/>
        <v>3.8</v>
      </c>
      <c r="Z25" s="19">
        <f t="shared" si="4"/>
        <v>3.8</v>
      </c>
      <c r="AA25" s="19">
        <f t="shared" si="4"/>
        <v>3.8</v>
      </c>
      <c r="AB25" s="19">
        <f t="shared" si="4"/>
        <v>3</v>
      </c>
      <c r="AC25" s="19">
        <f t="shared" si="4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187.70000000000005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2">
        <v>3</v>
      </c>
      <c r="G27" s="372">
        <v>3.5</v>
      </c>
      <c r="H27" s="372">
        <v>2.9</v>
      </c>
      <c r="I27" s="372">
        <v>4</v>
      </c>
      <c r="J27" s="374">
        <v>4</v>
      </c>
      <c r="K27" s="374">
        <v>4</v>
      </c>
      <c r="L27" s="374">
        <v>3.8</v>
      </c>
      <c r="M27" s="374">
        <v>3.2</v>
      </c>
      <c r="N27" s="372">
        <v>4</v>
      </c>
      <c r="O27" s="372">
        <v>4.5</v>
      </c>
      <c r="P27" s="372">
        <v>4.2</v>
      </c>
      <c r="Q27" s="372">
        <v>4.4000000000000004</v>
      </c>
      <c r="R27" s="372">
        <v>4.3</v>
      </c>
      <c r="S27" s="372">
        <v>4.4000000000000004</v>
      </c>
      <c r="T27" s="372">
        <v>4.4000000000000004</v>
      </c>
      <c r="U27" s="374">
        <v>4.3</v>
      </c>
      <c r="V27" s="372">
        <v>4.3</v>
      </c>
      <c r="W27" s="372">
        <v>3.4</v>
      </c>
      <c r="X27" s="372">
        <v>3.2</v>
      </c>
      <c r="Y27" s="372">
        <v>4.3</v>
      </c>
      <c r="Z27" s="372">
        <v>4</v>
      </c>
      <c r="AA27" s="372">
        <v>3</v>
      </c>
      <c r="AB27" s="372">
        <v>4</v>
      </c>
      <c r="AC27" s="372">
        <v>4.5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2">
        <v>3</v>
      </c>
      <c r="G28" s="372">
        <v>4</v>
      </c>
      <c r="H28" s="372">
        <v>2.9</v>
      </c>
      <c r="I28" s="372">
        <v>4</v>
      </c>
      <c r="J28" s="372">
        <v>4</v>
      </c>
      <c r="K28" s="374">
        <v>4</v>
      </c>
      <c r="L28" s="374">
        <v>3.8</v>
      </c>
      <c r="M28" s="374">
        <v>3.2</v>
      </c>
      <c r="N28" s="372">
        <v>4</v>
      </c>
      <c r="O28" s="372">
        <v>4.5</v>
      </c>
      <c r="P28" s="372">
        <v>4.2</v>
      </c>
      <c r="Q28" s="372">
        <v>4.4000000000000004</v>
      </c>
      <c r="R28" s="374">
        <v>4.3</v>
      </c>
      <c r="S28" s="374">
        <v>4.4000000000000004</v>
      </c>
      <c r="T28" s="372">
        <v>4.4000000000000004</v>
      </c>
      <c r="U28" s="374">
        <v>4.3</v>
      </c>
      <c r="V28" s="372">
        <v>4.3</v>
      </c>
      <c r="W28" s="372">
        <v>3.4</v>
      </c>
      <c r="X28" s="372">
        <v>3.2</v>
      </c>
      <c r="Y28" s="372">
        <v>4.3</v>
      </c>
      <c r="Z28" s="372">
        <v>4</v>
      </c>
      <c r="AA28" s="372">
        <v>3</v>
      </c>
      <c r="AB28" s="372">
        <v>4</v>
      </c>
      <c r="AC28" s="372">
        <v>4.5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58.670000000000009</v>
      </c>
    </row>
    <row r="29" spans="1:51" ht="15" customHeight="1">
      <c r="A29" s="14" t="s">
        <v>30</v>
      </c>
      <c r="B29" s="369"/>
      <c r="C29" s="370">
        <v>8.8000000000000007</v>
      </c>
      <c r="D29" s="371"/>
      <c r="E29" s="371"/>
      <c r="F29" s="372"/>
      <c r="G29" s="372"/>
      <c r="H29" s="372"/>
      <c r="I29" s="372"/>
      <c r="J29" s="372"/>
      <c r="K29" s="374"/>
      <c r="L29" s="374"/>
      <c r="M29" s="374"/>
      <c r="N29" s="374"/>
      <c r="O29" s="374"/>
      <c r="P29" s="374">
        <v>4.07</v>
      </c>
      <c r="Q29" s="374">
        <v>3.62</v>
      </c>
      <c r="R29" s="374">
        <v>4.45</v>
      </c>
      <c r="S29" s="374">
        <v>4.24</v>
      </c>
      <c r="T29" s="374">
        <v>5.0599999999999996</v>
      </c>
      <c r="U29" s="374">
        <v>5.4</v>
      </c>
      <c r="V29" s="374">
        <v>5.2</v>
      </c>
      <c r="W29" s="372">
        <v>2.81</v>
      </c>
      <c r="X29" s="372">
        <v>2.5</v>
      </c>
      <c r="Y29" s="372">
        <v>5.9</v>
      </c>
      <c r="Z29" s="372">
        <v>5.07</v>
      </c>
      <c r="AA29" s="372">
        <v>4.3</v>
      </c>
      <c r="AB29" s="372"/>
      <c r="AC29" s="372"/>
    </row>
    <row r="30" spans="1:51" ht="15" customHeight="1">
      <c r="A30" s="14" t="s">
        <v>31</v>
      </c>
      <c r="B30" s="369"/>
      <c r="C30" s="370">
        <v>8.8000000000000007</v>
      </c>
      <c r="D30" s="371"/>
      <c r="E30" s="371"/>
      <c r="F30" s="372"/>
      <c r="G30" s="372"/>
      <c r="H30" s="372"/>
      <c r="I30" s="372"/>
      <c r="J30" s="372"/>
      <c r="K30" s="374"/>
      <c r="L30" s="374"/>
      <c r="M30" s="374"/>
      <c r="N30" s="372"/>
      <c r="O30" s="372"/>
      <c r="P30" s="372"/>
      <c r="Q30" s="372"/>
      <c r="R30" s="374"/>
      <c r="S30" s="372"/>
      <c r="T30" s="372"/>
      <c r="U30" s="372"/>
      <c r="V30" s="372">
        <v>0.35</v>
      </c>
      <c r="W30" s="372">
        <v>3</v>
      </c>
      <c r="X30" s="372">
        <v>2.7</v>
      </c>
      <c r="Y30" s="372"/>
      <c r="Z30" s="372"/>
      <c r="AA30" s="372"/>
      <c r="AB30" s="372"/>
      <c r="AC30" s="372"/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:AC31" si="5">SUM(F27:F29)</f>
        <v>6</v>
      </c>
      <c r="G31" s="19">
        <f t="shared" si="5"/>
        <v>7.5</v>
      </c>
      <c r="H31" s="19">
        <f t="shared" si="5"/>
        <v>5.8</v>
      </c>
      <c r="I31" s="19">
        <f t="shared" si="5"/>
        <v>8</v>
      </c>
      <c r="J31" s="19">
        <f t="shared" si="5"/>
        <v>8</v>
      </c>
      <c r="K31" s="19">
        <f t="shared" si="5"/>
        <v>8</v>
      </c>
      <c r="L31" s="19">
        <f t="shared" si="5"/>
        <v>7.6</v>
      </c>
      <c r="M31" s="19">
        <f t="shared" si="5"/>
        <v>6.4</v>
      </c>
      <c r="N31" s="19">
        <f t="shared" si="5"/>
        <v>8</v>
      </c>
      <c r="O31" s="19">
        <f t="shared" si="5"/>
        <v>9</v>
      </c>
      <c r="P31" s="19">
        <f t="shared" si="5"/>
        <v>12.47</v>
      </c>
      <c r="Q31" s="19">
        <f t="shared" si="5"/>
        <v>12.420000000000002</v>
      </c>
      <c r="R31" s="19">
        <f t="shared" si="5"/>
        <v>13.05</v>
      </c>
      <c r="S31" s="19">
        <f t="shared" si="5"/>
        <v>13.040000000000001</v>
      </c>
      <c r="T31" s="19">
        <f>SUM(T27:T29)</f>
        <v>13.86</v>
      </c>
      <c r="U31" s="19">
        <f t="shared" si="5"/>
        <v>14</v>
      </c>
      <c r="V31" s="19">
        <f t="shared" si="5"/>
        <v>13.8</v>
      </c>
      <c r="W31" s="19">
        <f t="shared" si="5"/>
        <v>9.61</v>
      </c>
      <c r="X31" s="19">
        <f>SUM(X27:X30)</f>
        <v>11.600000000000001</v>
      </c>
      <c r="Y31" s="19">
        <f t="shared" si="5"/>
        <v>14.5</v>
      </c>
      <c r="Z31" s="19">
        <f t="shared" si="5"/>
        <v>13.07</v>
      </c>
      <c r="AA31" s="19">
        <f t="shared" si="5"/>
        <v>10.3</v>
      </c>
      <c r="AB31" s="19">
        <f t="shared" si="5"/>
        <v>8</v>
      </c>
      <c r="AC31" s="19">
        <f t="shared" si="5"/>
        <v>9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340.40000000000003</v>
      </c>
    </row>
    <row r="33" spans="1:36">
      <c r="A33" s="14" t="s">
        <v>22</v>
      </c>
      <c r="B33" s="15"/>
      <c r="C33" s="15">
        <v>15</v>
      </c>
      <c r="D33" s="15"/>
      <c r="E33" s="15"/>
      <c r="F33" s="372">
        <v>14.27</v>
      </c>
      <c r="G33" s="372">
        <v>13.76</v>
      </c>
      <c r="H33" s="374">
        <v>13.29</v>
      </c>
      <c r="I33" s="372">
        <v>14.28</v>
      </c>
      <c r="J33" s="372">
        <v>14.27</v>
      </c>
      <c r="K33" s="374">
        <v>14.3</v>
      </c>
      <c r="L33" s="374">
        <v>14.27</v>
      </c>
      <c r="M33" s="374">
        <v>14.27</v>
      </c>
      <c r="N33" s="372">
        <v>14.25</v>
      </c>
      <c r="O33" s="372">
        <v>14.29</v>
      </c>
      <c r="P33" s="372">
        <v>14.27</v>
      </c>
      <c r="Q33" s="372">
        <v>14.25</v>
      </c>
      <c r="R33" s="372">
        <v>14.19</v>
      </c>
      <c r="S33" s="372">
        <v>14.21</v>
      </c>
      <c r="T33" s="372">
        <v>14.2</v>
      </c>
      <c r="U33" s="372">
        <v>14.28</v>
      </c>
      <c r="V33" s="372">
        <v>14.18</v>
      </c>
      <c r="W33" s="374">
        <v>14.25</v>
      </c>
      <c r="X33" s="372">
        <v>14.15</v>
      </c>
      <c r="Y33" s="372">
        <v>14.19</v>
      </c>
      <c r="Z33" s="372">
        <v>14.18</v>
      </c>
      <c r="AA33" s="372">
        <v>14.24</v>
      </c>
      <c r="AB33" s="372">
        <v>14.27</v>
      </c>
      <c r="AC33" s="372">
        <v>14.29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6">SUM(F33)</f>
        <v>14.27</v>
      </c>
      <c r="G34" s="19">
        <f t="shared" ref="G34:AC34" si="7">SUM(G33)</f>
        <v>13.76</v>
      </c>
      <c r="H34" s="19">
        <f t="shared" si="7"/>
        <v>13.29</v>
      </c>
      <c r="I34" s="19">
        <f t="shared" si="7"/>
        <v>14.28</v>
      </c>
      <c r="J34" s="19">
        <f>SUM(J33)</f>
        <v>14.27</v>
      </c>
      <c r="K34" s="19">
        <f t="shared" si="7"/>
        <v>14.3</v>
      </c>
      <c r="L34" s="19">
        <f t="shared" si="7"/>
        <v>14.27</v>
      </c>
      <c r="M34" s="19">
        <f t="shared" si="7"/>
        <v>14.27</v>
      </c>
      <c r="N34" s="19">
        <f t="shared" si="7"/>
        <v>14.25</v>
      </c>
      <c r="O34" s="19">
        <f t="shared" si="7"/>
        <v>14.29</v>
      </c>
      <c r="P34" s="19">
        <f t="shared" si="7"/>
        <v>14.27</v>
      </c>
      <c r="Q34" s="19">
        <f t="shared" si="7"/>
        <v>14.25</v>
      </c>
      <c r="R34" s="19">
        <f t="shared" si="7"/>
        <v>14.19</v>
      </c>
      <c r="S34" s="19">
        <f t="shared" si="7"/>
        <v>14.21</v>
      </c>
      <c r="T34" s="19">
        <f t="shared" si="7"/>
        <v>14.2</v>
      </c>
      <c r="U34" s="19">
        <f t="shared" si="7"/>
        <v>14.28</v>
      </c>
      <c r="V34" s="19">
        <f t="shared" si="7"/>
        <v>14.18</v>
      </c>
      <c r="W34" s="19">
        <f t="shared" si="7"/>
        <v>14.25</v>
      </c>
      <c r="X34" s="19">
        <f t="shared" si="7"/>
        <v>14.15</v>
      </c>
      <c r="Y34" s="19">
        <f t="shared" si="7"/>
        <v>14.19</v>
      </c>
      <c r="Z34" s="19">
        <f t="shared" si="7"/>
        <v>14.18</v>
      </c>
      <c r="AA34" s="19">
        <f t="shared" si="7"/>
        <v>14.24</v>
      </c>
      <c r="AB34" s="19">
        <f t="shared" si="7"/>
        <v>14.27</v>
      </c>
      <c r="AC34" s="19">
        <f t="shared" si="7"/>
        <v>14.29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55"/>
      <c r="G35" s="455"/>
      <c r="H35" s="455"/>
      <c r="I35" s="455"/>
      <c r="J35" s="455"/>
      <c r="K35" s="455"/>
      <c r="L35" s="455"/>
      <c r="M35" s="455"/>
      <c r="N35" s="455"/>
      <c r="O35" s="455"/>
      <c r="P35" s="455"/>
      <c r="Q35" s="455"/>
      <c r="R35" s="455"/>
      <c r="S35" s="455"/>
      <c r="T35" s="455"/>
      <c r="U35" s="455"/>
      <c r="V35" s="455"/>
      <c r="W35" s="456"/>
      <c r="X35" s="455"/>
      <c r="Y35" s="455"/>
      <c r="Z35" s="455"/>
      <c r="AA35" s="455"/>
      <c r="AB35" s="455"/>
      <c r="AC35" s="455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35</v>
      </c>
    </row>
    <row r="36" spans="1:36">
      <c r="A36" s="70" t="s">
        <v>36</v>
      </c>
      <c r="B36" s="15"/>
      <c r="C36" s="15"/>
      <c r="D36" s="15"/>
      <c r="E36" s="15"/>
      <c r="F36" s="372"/>
      <c r="G36" s="372"/>
      <c r="H36" s="372"/>
      <c r="I36" s="372"/>
      <c r="J36" s="372"/>
      <c r="K36" s="374"/>
      <c r="L36" s="374"/>
      <c r="M36" s="374"/>
      <c r="N36" s="372"/>
      <c r="O36" s="372"/>
      <c r="P36" s="372"/>
      <c r="Q36" s="372"/>
      <c r="R36" s="372"/>
      <c r="S36" s="372"/>
      <c r="T36" s="372"/>
      <c r="U36" s="372"/>
      <c r="V36" s="372"/>
      <c r="W36" s="372"/>
      <c r="X36" s="372"/>
      <c r="Y36" s="372"/>
      <c r="Z36" s="372"/>
      <c r="AA36" s="372"/>
      <c r="AB36" s="372"/>
      <c r="AC36" s="372"/>
      <c r="AD36" s="41"/>
      <c r="AE36" s="41"/>
      <c r="AF36" s="11">
        <f t="shared" ref="AF36:AF59" si="8">COUNTIF(F36:AC36,$AJ$8)</f>
        <v>0</v>
      </c>
      <c r="AG36" s="11">
        <f t="shared" ref="AG36:AG59" si="9">COUNTIF(G36:AD36,$AJ$7)</f>
        <v>0</v>
      </c>
      <c r="AH36" s="11">
        <f t="shared" ref="AH36:AH59" si="10">COUNT(F36:AC36)</f>
        <v>0</v>
      </c>
      <c r="AI36" s="159">
        <f>SUM(F36:AC38,F40:AC40,F45:AC59)</f>
        <v>20.500000000000007</v>
      </c>
      <c r="AJ36" t="s">
        <v>37</v>
      </c>
    </row>
    <row r="37" spans="1:36">
      <c r="A37" s="70" t="s">
        <v>38</v>
      </c>
      <c r="B37" s="15"/>
      <c r="C37" s="15"/>
      <c r="D37" s="15"/>
      <c r="E37" s="15"/>
      <c r="F37" s="372"/>
      <c r="G37" s="372"/>
      <c r="H37" s="372"/>
      <c r="I37" s="372"/>
      <c r="J37" s="372"/>
      <c r="K37" s="374"/>
      <c r="L37" s="374"/>
      <c r="M37" s="374"/>
      <c r="N37" s="372"/>
      <c r="O37" s="372"/>
      <c r="P37" s="372"/>
      <c r="Q37" s="372"/>
      <c r="R37" s="372"/>
      <c r="S37" s="372"/>
      <c r="T37" s="372"/>
      <c r="U37" s="372"/>
      <c r="V37" s="372"/>
      <c r="W37" s="372"/>
      <c r="X37" s="372"/>
      <c r="Y37" s="372"/>
      <c r="Z37" s="372"/>
      <c r="AA37" s="372"/>
      <c r="AB37" s="372"/>
      <c r="AC37" s="372"/>
      <c r="AD37" s="41"/>
      <c r="AE37" s="41"/>
      <c r="AF37" s="11">
        <f t="shared" si="8"/>
        <v>0</v>
      </c>
      <c r="AG37" s="11">
        <f t="shared" si="9"/>
        <v>0</v>
      </c>
      <c r="AH37" s="11">
        <f t="shared" si="10"/>
        <v>0</v>
      </c>
    </row>
    <row r="38" spans="1:36">
      <c r="A38" s="70" t="s">
        <v>39</v>
      </c>
      <c r="B38" s="15"/>
      <c r="C38" s="15"/>
      <c r="D38" s="15"/>
      <c r="E38" s="15"/>
      <c r="F38" s="372"/>
      <c r="G38" s="372"/>
      <c r="H38" s="372"/>
      <c r="I38" s="372"/>
      <c r="J38" s="372"/>
      <c r="K38" s="374"/>
      <c r="L38" s="374"/>
      <c r="M38" s="374"/>
      <c r="N38" s="372"/>
      <c r="O38" s="372"/>
      <c r="P38" s="372"/>
      <c r="Q38" s="372"/>
      <c r="R38" s="372"/>
      <c r="S38" s="372"/>
      <c r="T38" s="372"/>
      <c r="U38" s="372"/>
      <c r="V38" s="372"/>
      <c r="W38" s="372"/>
      <c r="X38" s="372"/>
      <c r="Y38" s="372"/>
      <c r="Z38" s="372"/>
      <c r="AA38" s="372"/>
      <c r="AB38" s="372"/>
      <c r="AC38" s="372"/>
      <c r="AD38" s="41"/>
      <c r="AE38" s="41"/>
      <c r="AF38" s="11">
        <f t="shared" si="8"/>
        <v>0</v>
      </c>
      <c r="AG38" s="11">
        <f t="shared" si="9"/>
        <v>0</v>
      </c>
      <c r="AH38" s="11">
        <f t="shared" si="10"/>
        <v>0</v>
      </c>
    </row>
    <row r="39" spans="1:36">
      <c r="A39" s="70">
        <v>34</v>
      </c>
      <c r="B39" s="15"/>
      <c r="C39" s="15"/>
      <c r="D39" s="15"/>
      <c r="E39" s="15"/>
      <c r="F39" s="372" t="s">
        <v>9</v>
      </c>
      <c r="G39" s="372" t="s">
        <v>9</v>
      </c>
      <c r="H39" s="372" t="s">
        <v>9</v>
      </c>
      <c r="I39" s="372" t="s">
        <v>9</v>
      </c>
      <c r="J39" s="372" t="s">
        <v>9</v>
      </c>
      <c r="K39" s="374" t="s">
        <v>9</v>
      </c>
      <c r="L39" s="374" t="s">
        <v>9</v>
      </c>
      <c r="M39" s="374" t="s">
        <v>9</v>
      </c>
      <c r="N39" s="372" t="s">
        <v>9</v>
      </c>
      <c r="O39" s="372" t="s">
        <v>9</v>
      </c>
      <c r="P39" s="372" t="s">
        <v>9</v>
      </c>
      <c r="Q39" s="372" t="s">
        <v>9</v>
      </c>
      <c r="R39" s="372" t="s">
        <v>9</v>
      </c>
      <c r="S39" s="372" t="s">
        <v>9</v>
      </c>
      <c r="T39" s="372" t="s">
        <v>9</v>
      </c>
      <c r="U39" s="372" t="s">
        <v>9</v>
      </c>
      <c r="V39" s="372" t="s">
        <v>9</v>
      </c>
      <c r="W39" s="372" t="s">
        <v>9</v>
      </c>
      <c r="X39" s="372" t="s">
        <v>9</v>
      </c>
      <c r="Y39" s="372" t="s">
        <v>9</v>
      </c>
      <c r="Z39" s="372" t="s">
        <v>9</v>
      </c>
      <c r="AA39" s="372" t="s">
        <v>9</v>
      </c>
      <c r="AB39" s="372" t="s">
        <v>9</v>
      </c>
      <c r="AC39" s="372" t="s">
        <v>9</v>
      </c>
      <c r="AD39" s="41"/>
      <c r="AE39" s="41"/>
      <c r="AF39" s="11">
        <f t="shared" si="8"/>
        <v>24</v>
      </c>
      <c r="AG39" s="11">
        <f t="shared" si="9"/>
        <v>0</v>
      </c>
      <c r="AH39" s="11">
        <f t="shared" si="10"/>
        <v>0</v>
      </c>
    </row>
    <row r="40" spans="1:36">
      <c r="A40" s="70">
        <v>35</v>
      </c>
      <c r="B40" s="15"/>
      <c r="C40" s="15">
        <v>0.85</v>
      </c>
      <c r="D40" s="15"/>
      <c r="E40" s="15"/>
      <c r="F40" s="372"/>
      <c r="G40" s="372"/>
      <c r="H40" s="372"/>
      <c r="I40" s="372"/>
      <c r="J40" s="372"/>
      <c r="K40" s="374"/>
      <c r="L40" s="374"/>
      <c r="M40" s="374"/>
      <c r="N40" s="372"/>
      <c r="O40" s="372"/>
      <c r="P40" s="372"/>
      <c r="Q40" s="372"/>
      <c r="R40" s="372"/>
      <c r="S40" s="372"/>
      <c r="T40" s="372"/>
      <c r="U40" s="372"/>
      <c r="V40" s="372"/>
      <c r="W40" s="372"/>
      <c r="X40" s="372"/>
      <c r="Y40" s="372"/>
      <c r="Z40" s="372"/>
      <c r="AA40" s="372"/>
      <c r="AB40" s="372"/>
      <c r="AC40" s="372"/>
      <c r="AD40" s="41"/>
      <c r="AE40" s="41"/>
      <c r="AF40" s="11">
        <f t="shared" si="8"/>
        <v>0</v>
      </c>
      <c r="AG40" s="11">
        <f t="shared" si="9"/>
        <v>0</v>
      </c>
      <c r="AH40" s="11">
        <f t="shared" si="10"/>
        <v>0</v>
      </c>
    </row>
    <row r="41" spans="1:36">
      <c r="A41" s="70">
        <v>36</v>
      </c>
      <c r="B41" s="15"/>
      <c r="C41" s="15">
        <v>1</v>
      </c>
      <c r="D41" s="15"/>
      <c r="E41" s="15"/>
      <c r="F41" s="372"/>
      <c r="G41" s="372"/>
      <c r="H41" s="372"/>
      <c r="I41" s="372"/>
      <c r="J41" s="372"/>
      <c r="K41" s="374"/>
      <c r="L41" s="374"/>
      <c r="M41" s="374"/>
      <c r="N41" s="372"/>
      <c r="O41" s="372"/>
      <c r="P41" s="372"/>
      <c r="Q41" s="372"/>
      <c r="R41" s="372"/>
      <c r="S41" s="372"/>
      <c r="T41" s="372"/>
      <c r="U41" s="372"/>
      <c r="V41" s="372"/>
      <c r="W41" s="372"/>
      <c r="X41" s="372"/>
      <c r="Y41" s="372"/>
      <c r="Z41" s="372"/>
      <c r="AA41" s="372"/>
      <c r="AB41" s="372"/>
      <c r="AC41" s="372"/>
      <c r="AD41" s="41"/>
      <c r="AE41" s="41"/>
      <c r="AF41" s="11">
        <f t="shared" si="8"/>
        <v>0</v>
      </c>
      <c r="AG41" s="11">
        <f t="shared" si="9"/>
        <v>0</v>
      </c>
      <c r="AH41" s="11">
        <f t="shared" si="10"/>
        <v>0</v>
      </c>
    </row>
    <row r="42" spans="1:36">
      <c r="A42" s="70">
        <v>37</v>
      </c>
      <c r="B42" s="15"/>
      <c r="C42" s="15">
        <v>1</v>
      </c>
      <c r="D42" s="15"/>
      <c r="E42" s="15"/>
      <c r="F42" s="372"/>
      <c r="G42" s="372"/>
      <c r="H42" s="372"/>
      <c r="I42" s="372"/>
      <c r="J42" s="372"/>
      <c r="K42" s="374"/>
      <c r="L42" s="374"/>
      <c r="M42" s="374"/>
      <c r="N42" s="372"/>
      <c r="O42" s="372"/>
      <c r="P42" s="372"/>
      <c r="Q42" s="372"/>
      <c r="R42" s="372"/>
      <c r="S42" s="372"/>
      <c r="T42" s="372"/>
      <c r="U42" s="372"/>
      <c r="V42" s="372"/>
      <c r="W42" s="372"/>
      <c r="X42" s="372"/>
      <c r="Y42" s="372"/>
      <c r="Z42" s="372"/>
      <c r="AA42" s="372"/>
      <c r="AB42" s="372"/>
      <c r="AC42" s="372"/>
      <c r="AD42" s="41"/>
      <c r="AE42" s="41"/>
      <c r="AF42" s="11">
        <f t="shared" si="8"/>
        <v>0</v>
      </c>
      <c r="AG42" s="11">
        <f t="shared" si="9"/>
        <v>0</v>
      </c>
      <c r="AH42" s="11">
        <f t="shared" si="10"/>
        <v>0</v>
      </c>
    </row>
    <row r="43" spans="1:36">
      <c r="A43" s="70">
        <v>38</v>
      </c>
      <c r="B43" s="15"/>
      <c r="C43" s="15"/>
      <c r="D43" s="15"/>
      <c r="E43" s="15"/>
      <c r="F43" s="372" t="s">
        <v>9</v>
      </c>
      <c r="G43" s="372" t="s">
        <v>9</v>
      </c>
      <c r="H43" s="372" t="s">
        <v>9</v>
      </c>
      <c r="I43" s="372" t="s">
        <v>9</v>
      </c>
      <c r="J43" s="372" t="s">
        <v>9</v>
      </c>
      <c r="K43" s="374" t="s">
        <v>9</v>
      </c>
      <c r="L43" s="374" t="s">
        <v>9</v>
      </c>
      <c r="M43" s="374" t="s">
        <v>9</v>
      </c>
      <c r="N43" s="372" t="s">
        <v>9</v>
      </c>
      <c r="O43" s="372" t="s">
        <v>9</v>
      </c>
      <c r="P43" s="372" t="s">
        <v>9</v>
      </c>
      <c r="Q43" s="372" t="s">
        <v>9</v>
      </c>
      <c r="R43" s="372" t="s">
        <v>9</v>
      </c>
      <c r="S43" s="372" t="s">
        <v>9</v>
      </c>
      <c r="T43" s="372" t="s">
        <v>9</v>
      </c>
      <c r="U43" s="372" t="s">
        <v>9</v>
      </c>
      <c r="V43" s="372" t="s">
        <v>9</v>
      </c>
      <c r="W43" s="372" t="s">
        <v>9</v>
      </c>
      <c r="X43" s="372" t="s">
        <v>9</v>
      </c>
      <c r="Y43" s="372" t="s">
        <v>9</v>
      </c>
      <c r="Z43" s="372" t="s">
        <v>9</v>
      </c>
      <c r="AA43" s="372" t="s">
        <v>9</v>
      </c>
      <c r="AB43" s="372" t="s">
        <v>9</v>
      </c>
      <c r="AC43" s="372" t="s">
        <v>9</v>
      </c>
      <c r="AD43" s="41"/>
      <c r="AE43" s="41"/>
      <c r="AF43" s="11">
        <f t="shared" si="8"/>
        <v>24</v>
      </c>
      <c r="AG43" s="11">
        <f t="shared" si="9"/>
        <v>0</v>
      </c>
      <c r="AH43" s="11">
        <f t="shared" si="10"/>
        <v>0</v>
      </c>
    </row>
    <row r="44" spans="1:36" ht="16.5" customHeight="1">
      <c r="A44" s="70">
        <v>39</v>
      </c>
      <c r="B44" s="15"/>
      <c r="C44" s="15">
        <v>1</v>
      </c>
      <c r="D44" s="15"/>
      <c r="E44" s="15"/>
      <c r="F44" s="372" t="s">
        <v>9</v>
      </c>
      <c r="G44" s="372" t="s">
        <v>9</v>
      </c>
      <c r="H44" s="372" t="s">
        <v>9</v>
      </c>
      <c r="I44" s="372" t="s">
        <v>9</v>
      </c>
      <c r="J44" s="372" t="s">
        <v>9</v>
      </c>
      <c r="K44" s="372" t="s">
        <v>9</v>
      </c>
      <c r="L44" s="374" t="s">
        <v>9</v>
      </c>
      <c r="M44" s="374" t="s">
        <v>9</v>
      </c>
      <c r="N44" s="372" t="s">
        <v>9</v>
      </c>
      <c r="O44" s="372" t="s">
        <v>9</v>
      </c>
      <c r="P44" s="372" t="s">
        <v>9</v>
      </c>
      <c r="Q44" s="372" t="s">
        <v>9</v>
      </c>
      <c r="R44" s="372" t="s">
        <v>9</v>
      </c>
      <c r="S44" s="372" t="s">
        <v>9</v>
      </c>
      <c r="T44" s="372" t="s">
        <v>9</v>
      </c>
      <c r="U44" s="372" t="s">
        <v>9</v>
      </c>
      <c r="V44" s="372" t="s">
        <v>9</v>
      </c>
      <c r="W44" s="372" t="s">
        <v>9</v>
      </c>
      <c r="X44" s="372" t="s">
        <v>9</v>
      </c>
      <c r="Y44" s="372" t="s">
        <v>9</v>
      </c>
      <c r="Z44" s="372" t="s">
        <v>9</v>
      </c>
      <c r="AA44" s="372" t="s">
        <v>9</v>
      </c>
      <c r="AB44" s="372" t="s">
        <v>9</v>
      </c>
      <c r="AC44" s="372" t="s">
        <v>9</v>
      </c>
      <c r="AD44" s="41"/>
      <c r="AE44" s="41"/>
      <c r="AF44" s="11">
        <f t="shared" si="8"/>
        <v>24</v>
      </c>
      <c r="AG44" s="11">
        <f t="shared" si="9"/>
        <v>0</v>
      </c>
      <c r="AH44" s="11">
        <f t="shared" si="10"/>
        <v>0</v>
      </c>
    </row>
    <row r="45" spans="1:36" ht="16.5" customHeight="1">
      <c r="A45" s="70" t="s">
        <v>40</v>
      </c>
      <c r="B45" s="15"/>
      <c r="C45" s="15">
        <v>0.85</v>
      </c>
      <c r="D45" s="15"/>
      <c r="E45" s="15"/>
      <c r="F45" s="372"/>
      <c r="G45" s="372"/>
      <c r="H45" s="372"/>
      <c r="I45" s="372"/>
      <c r="J45" s="372"/>
      <c r="K45" s="372"/>
      <c r="L45" s="372"/>
      <c r="M45" s="372"/>
      <c r="N45" s="372"/>
      <c r="O45" s="372"/>
      <c r="P45" s="372"/>
      <c r="Q45" s="372"/>
      <c r="R45" s="372"/>
      <c r="S45" s="372"/>
      <c r="T45" s="372"/>
      <c r="U45" s="372"/>
      <c r="V45" s="372"/>
      <c r="W45" s="372"/>
      <c r="X45" s="372"/>
      <c r="Y45" s="372"/>
      <c r="Z45" s="372"/>
      <c r="AA45" s="372"/>
      <c r="AB45" s="372"/>
      <c r="AC45" s="372"/>
      <c r="AD45" s="41"/>
      <c r="AE45" s="41"/>
      <c r="AF45" s="11">
        <f t="shared" si="8"/>
        <v>0</v>
      </c>
      <c r="AG45" s="11">
        <f t="shared" si="9"/>
        <v>0</v>
      </c>
      <c r="AH45" s="11">
        <f t="shared" si="10"/>
        <v>0</v>
      </c>
      <c r="AI45" s="159"/>
    </row>
    <row r="46" spans="1:36">
      <c r="A46" s="70" t="s">
        <v>41</v>
      </c>
      <c r="B46" s="15"/>
      <c r="C46" s="15">
        <v>0.75</v>
      </c>
      <c r="D46" s="15"/>
      <c r="E46" s="15"/>
      <c r="F46" s="372"/>
      <c r="G46" s="372"/>
      <c r="H46" s="372"/>
      <c r="I46" s="372"/>
      <c r="J46" s="372"/>
      <c r="K46" s="372"/>
      <c r="L46" s="374"/>
      <c r="M46" s="374"/>
      <c r="N46" s="372"/>
      <c r="O46" s="372"/>
      <c r="P46" s="372"/>
      <c r="Q46" s="372"/>
      <c r="R46" s="372"/>
      <c r="S46" s="372"/>
      <c r="T46" s="372"/>
      <c r="U46" s="372"/>
      <c r="V46" s="372"/>
      <c r="W46" s="372"/>
      <c r="X46" s="372"/>
      <c r="Y46" s="372"/>
      <c r="Z46" s="372"/>
      <c r="AA46" s="372"/>
      <c r="AB46" s="372"/>
      <c r="AC46" s="372"/>
      <c r="AD46" s="41"/>
      <c r="AE46" s="41"/>
      <c r="AF46" s="11">
        <f t="shared" si="8"/>
        <v>0</v>
      </c>
      <c r="AG46" s="11">
        <f t="shared" si="9"/>
        <v>0</v>
      </c>
      <c r="AH46" s="11">
        <f t="shared" si="10"/>
        <v>0</v>
      </c>
      <c r="AI46" s="159"/>
    </row>
    <row r="47" spans="1:36">
      <c r="A47" s="70" t="s">
        <v>42</v>
      </c>
      <c r="B47" s="15"/>
      <c r="C47" s="15">
        <v>0.75</v>
      </c>
      <c r="D47" s="15"/>
      <c r="E47" s="15"/>
      <c r="F47" s="372"/>
      <c r="G47" s="372"/>
      <c r="H47" s="372"/>
      <c r="I47" s="372"/>
      <c r="J47" s="372"/>
      <c r="K47" s="372">
        <v>0.7</v>
      </c>
      <c r="L47" s="372"/>
      <c r="M47" s="372"/>
      <c r="N47" s="372"/>
      <c r="O47" s="372"/>
      <c r="P47" s="372"/>
      <c r="Q47" s="372"/>
      <c r="R47" s="372"/>
      <c r="S47" s="372"/>
      <c r="T47" s="372">
        <v>0.7</v>
      </c>
      <c r="U47" s="372">
        <v>0.7</v>
      </c>
      <c r="V47" s="372">
        <v>0.8</v>
      </c>
      <c r="W47" s="372">
        <v>0.75</v>
      </c>
      <c r="X47" s="372"/>
      <c r="Y47" s="372">
        <v>0.75</v>
      </c>
      <c r="Z47" s="372"/>
      <c r="AA47" s="372"/>
      <c r="AB47" s="372"/>
      <c r="AC47" s="372"/>
      <c r="AD47" s="41"/>
      <c r="AE47" s="41"/>
      <c r="AF47" s="11">
        <f t="shared" si="8"/>
        <v>0</v>
      </c>
      <c r="AG47" s="11">
        <f t="shared" si="9"/>
        <v>0</v>
      </c>
      <c r="AH47" s="11">
        <f t="shared" si="10"/>
        <v>6</v>
      </c>
    </row>
    <row r="48" spans="1:36">
      <c r="A48" s="70" t="s">
        <v>43</v>
      </c>
      <c r="B48" s="15"/>
      <c r="C48" s="15">
        <v>0.75</v>
      </c>
      <c r="D48" s="15"/>
      <c r="E48" s="15"/>
      <c r="F48" s="372"/>
      <c r="G48" s="372"/>
      <c r="H48" s="372"/>
      <c r="I48" s="372"/>
      <c r="J48" s="372"/>
      <c r="K48" s="372"/>
      <c r="L48" s="374"/>
      <c r="M48" s="372"/>
      <c r="N48" s="372"/>
      <c r="O48" s="372"/>
      <c r="P48" s="372"/>
      <c r="Q48" s="372"/>
      <c r="R48" s="372"/>
      <c r="S48" s="372"/>
      <c r="T48" s="372"/>
      <c r="U48" s="372"/>
      <c r="V48" s="372"/>
      <c r="W48" s="372"/>
      <c r="X48" s="372"/>
      <c r="Y48" s="372"/>
      <c r="Z48" s="372"/>
      <c r="AA48" s="372"/>
      <c r="AB48" s="372"/>
      <c r="AC48" s="372"/>
      <c r="AD48" s="41"/>
      <c r="AE48" s="41"/>
      <c r="AF48" s="11">
        <f t="shared" si="8"/>
        <v>0</v>
      </c>
      <c r="AG48" s="11">
        <f t="shared" si="9"/>
        <v>0</v>
      </c>
      <c r="AH48" s="11">
        <f t="shared" si="10"/>
        <v>0</v>
      </c>
    </row>
    <row r="49" spans="1:124" ht="15" customHeight="1">
      <c r="A49" s="70" t="s">
        <v>44</v>
      </c>
      <c r="B49" s="15"/>
      <c r="C49" s="15">
        <v>0.75</v>
      </c>
      <c r="D49" s="15"/>
      <c r="E49" s="15"/>
      <c r="F49" s="372"/>
      <c r="G49" s="372"/>
      <c r="H49" s="372"/>
      <c r="I49" s="372"/>
      <c r="J49" s="372"/>
      <c r="K49" s="372"/>
      <c r="L49" s="374"/>
      <c r="M49" s="374"/>
      <c r="N49" s="372"/>
      <c r="O49" s="372"/>
      <c r="P49" s="372"/>
      <c r="Q49" s="372"/>
      <c r="R49" s="372"/>
      <c r="S49" s="372"/>
      <c r="T49" s="372"/>
      <c r="U49" s="372"/>
      <c r="V49" s="372"/>
      <c r="W49" s="372"/>
      <c r="X49" s="372"/>
      <c r="Y49" s="372"/>
      <c r="Z49" s="372"/>
      <c r="AA49" s="372"/>
      <c r="AB49" s="372"/>
      <c r="AC49" s="372"/>
      <c r="AD49" s="41"/>
      <c r="AE49" s="41"/>
      <c r="AF49" s="11">
        <f t="shared" si="8"/>
        <v>0</v>
      </c>
      <c r="AG49" s="11">
        <f t="shared" si="9"/>
        <v>0</v>
      </c>
      <c r="AH49" s="11">
        <f t="shared" si="10"/>
        <v>0</v>
      </c>
    </row>
    <row r="50" spans="1:124" ht="16.5" customHeight="1">
      <c r="A50" s="70" t="s">
        <v>45</v>
      </c>
      <c r="B50" s="15"/>
      <c r="C50" s="15">
        <v>0.75</v>
      </c>
      <c r="D50" s="15"/>
      <c r="E50" s="15"/>
      <c r="F50" s="372"/>
      <c r="G50" s="372"/>
      <c r="H50" s="372"/>
      <c r="I50" s="372"/>
      <c r="J50" s="372"/>
      <c r="K50" s="372"/>
      <c r="L50" s="372"/>
      <c r="M50" s="374"/>
      <c r="N50" s="372"/>
      <c r="O50" s="372"/>
      <c r="P50" s="372"/>
      <c r="Q50" s="372"/>
      <c r="R50" s="372"/>
      <c r="S50" s="372"/>
      <c r="T50" s="372">
        <v>0.7</v>
      </c>
      <c r="U50" s="372">
        <v>0.7</v>
      </c>
      <c r="V50" s="372">
        <v>0.7</v>
      </c>
      <c r="W50" s="372"/>
      <c r="X50" s="372"/>
      <c r="Y50" s="372">
        <v>0.75</v>
      </c>
      <c r="Z50" s="372">
        <v>0.75</v>
      </c>
      <c r="AA50" s="372"/>
      <c r="AB50" s="372"/>
      <c r="AC50" s="372"/>
      <c r="AD50" s="41"/>
      <c r="AE50" s="41"/>
      <c r="AF50" s="11">
        <f t="shared" si="8"/>
        <v>0</v>
      </c>
      <c r="AG50" s="11">
        <f t="shared" si="9"/>
        <v>0</v>
      </c>
      <c r="AH50" s="11">
        <f t="shared" si="10"/>
        <v>5</v>
      </c>
    </row>
    <row r="51" spans="1:124">
      <c r="A51" s="70" t="s">
        <v>46</v>
      </c>
      <c r="B51" s="15"/>
      <c r="C51" s="15">
        <v>0.85</v>
      </c>
      <c r="D51" s="15"/>
      <c r="E51" s="15"/>
      <c r="F51" s="372"/>
      <c r="G51" s="374"/>
      <c r="H51" s="374"/>
      <c r="I51" s="374">
        <v>0.8</v>
      </c>
      <c r="J51" s="374">
        <v>0.8</v>
      </c>
      <c r="K51" s="374">
        <v>0.8</v>
      </c>
      <c r="L51" s="374"/>
      <c r="M51" s="374"/>
      <c r="N51" s="372">
        <v>0.8</v>
      </c>
      <c r="O51" s="372"/>
      <c r="P51" s="372"/>
      <c r="Q51" s="372"/>
      <c r="R51" s="372"/>
      <c r="S51" s="372"/>
      <c r="T51" s="372"/>
      <c r="U51" s="372"/>
      <c r="V51" s="372"/>
      <c r="W51" s="372"/>
      <c r="X51" s="372"/>
      <c r="Y51" s="372"/>
      <c r="Z51" s="372"/>
      <c r="AA51" s="372"/>
      <c r="AB51" s="372"/>
      <c r="AC51" s="372"/>
      <c r="AD51" s="41"/>
      <c r="AE51" s="41"/>
      <c r="AF51" s="11">
        <f t="shared" si="8"/>
        <v>0</v>
      </c>
      <c r="AG51" s="11">
        <f t="shared" si="9"/>
        <v>0</v>
      </c>
      <c r="AH51" s="11">
        <f t="shared" si="10"/>
        <v>4</v>
      </c>
    </row>
    <row r="52" spans="1:124">
      <c r="A52" s="70" t="s">
        <v>47</v>
      </c>
      <c r="B52" s="15"/>
      <c r="C52" s="15">
        <v>0.85</v>
      </c>
      <c r="D52" s="15"/>
      <c r="E52" s="15"/>
      <c r="F52" s="372" t="s">
        <v>9</v>
      </c>
      <c r="G52" s="374" t="s">
        <v>9</v>
      </c>
      <c r="H52" s="374" t="s">
        <v>9</v>
      </c>
      <c r="I52" s="374" t="s">
        <v>9</v>
      </c>
      <c r="J52" s="374" t="s">
        <v>9</v>
      </c>
      <c r="K52" s="374" t="s">
        <v>9</v>
      </c>
      <c r="L52" s="374" t="s">
        <v>9</v>
      </c>
      <c r="M52" s="374" t="s">
        <v>9</v>
      </c>
      <c r="N52" s="372" t="s">
        <v>9</v>
      </c>
      <c r="O52" s="372" t="s">
        <v>9</v>
      </c>
      <c r="P52" s="372" t="s">
        <v>9</v>
      </c>
      <c r="Q52" s="372" t="s">
        <v>9</v>
      </c>
      <c r="R52" s="372" t="s">
        <v>9</v>
      </c>
      <c r="S52" s="372" t="s">
        <v>9</v>
      </c>
      <c r="T52" s="372" t="s">
        <v>9</v>
      </c>
      <c r="U52" s="372" t="s">
        <v>9</v>
      </c>
      <c r="V52" s="372" t="s">
        <v>9</v>
      </c>
      <c r="W52" s="372" t="s">
        <v>9</v>
      </c>
      <c r="X52" s="372" t="s">
        <v>9</v>
      </c>
      <c r="Y52" s="372" t="s">
        <v>9</v>
      </c>
      <c r="Z52" s="372" t="s">
        <v>9</v>
      </c>
      <c r="AA52" s="372" t="s">
        <v>9</v>
      </c>
      <c r="AB52" s="372" t="s">
        <v>9</v>
      </c>
      <c r="AC52" s="372" t="s">
        <v>9</v>
      </c>
      <c r="AD52" s="41"/>
      <c r="AE52" s="41"/>
      <c r="AF52" s="11">
        <f t="shared" si="8"/>
        <v>24</v>
      </c>
      <c r="AG52" s="11">
        <f t="shared" si="9"/>
        <v>0</v>
      </c>
      <c r="AH52" s="11">
        <f t="shared" si="10"/>
        <v>0</v>
      </c>
    </row>
    <row r="53" spans="1:124">
      <c r="A53" s="70" t="s">
        <v>48</v>
      </c>
      <c r="B53" s="15"/>
      <c r="C53" s="15">
        <v>0.85</v>
      </c>
      <c r="D53" s="15"/>
      <c r="E53" s="15"/>
      <c r="F53" s="372"/>
      <c r="G53" s="372"/>
      <c r="H53" s="372"/>
      <c r="I53" s="372"/>
      <c r="J53" s="372"/>
      <c r="K53" s="374"/>
      <c r="L53" s="372"/>
      <c r="M53" s="372"/>
      <c r="N53" s="372"/>
      <c r="O53" s="372"/>
      <c r="P53" s="372"/>
      <c r="Q53" s="372"/>
      <c r="R53" s="372"/>
      <c r="S53" s="372"/>
      <c r="T53" s="372"/>
      <c r="U53" s="372"/>
      <c r="V53" s="372"/>
      <c r="W53" s="372"/>
      <c r="X53" s="372"/>
      <c r="Y53" s="372"/>
      <c r="Z53" s="372"/>
      <c r="AA53" s="372"/>
      <c r="AB53" s="372"/>
      <c r="AC53" s="372"/>
      <c r="AD53" s="41"/>
      <c r="AE53" s="41"/>
      <c r="AF53" s="11">
        <f t="shared" si="8"/>
        <v>0</v>
      </c>
      <c r="AG53" s="11">
        <f t="shared" si="9"/>
        <v>0</v>
      </c>
      <c r="AH53" s="11">
        <f t="shared" si="10"/>
        <v>0</v>
      </c>
    </row>
    <row r="54" spans="1:124" ht="16.5" customHeight="1">
      <c r="A54" s="70" t="s">
        <v>49</v>
      </c>
      <c r="B54" s="15"/>
      <c r="C54" s="15">
        <v>0.85</v>
      </c>
      <c r="D54" s="15"/>
      <c r="E54" s="15"/>
      <c r="F54" s="372"/>
      <c r="G54" s="372"/>
      <c r="H54" s="372"/>
      <c r="I54" s="372">
        <v>0.7</v>
      </c>
      <c r="J54" s="372"/>
      <c r="K54" s="374"/>
      <c r="L54" s="372"/>
      <c r="M54" s="374"/>
      <c r="N54" s="372"/>
      <c r="O54" s="372">
        <v>0.8</v>
      </c>
      <c r="P54" s="372">
        <v>0.8</v>
      </c>
      <c r="Q54" s="372">
        <v>0.8</v>
      </c>
      <c r="R54" s="372">
        <v>0.8</v>
      </c>
      <c r="S54" s="372">
        <v>0</v>
      </c>
      <c r="T54" s="372">
        <v>0</v>
      </c>
      <c r="U54" s="372">
        <v>0</v>
      </c>
      <c r="V54" s="372">
        <v>0</v>
      </c>
      <c r="W54" s="372">
        <v>0</v>
      </c>
      <c r="X54" s="372">
        <v>0</v>
      </c>
      <c r="Y54" s="372">
        <v>0</v>
      </c>
      <c r="Z54" s="372">
        <v>0</v>
      </c>
      <c r="AA54" s="372">
        <v>0</v>
      </c>
      <c r="AB54" s="372">
        <v>0</v>
      </c>
      <c r="AC54" s="372">
        <v>0</v>
      </c>
      <c r="AD54" s="41"/>
      <c r="AE54" s="41"/>
      <c r="AF54" s="11">
        <f t="shared" si="8"/>
        <v>0</v>
      </c>
      <c r="AG54" s="11">
        <f t="shared" si="9"/>
        <v>0</v>
      </c>
      <c r="AH54" s="11">
        <f t="shared" si="10"/>
        <v>16</v>
      </c>
    </row>
    <row r="55" spans="1:124">
      <c r="A55" s="70" t="s">
        <v>50</v>
      </c>
      <c r="B55" s="15"/>
      <c r="C55" s="15">
        <v>0.85</v>
      </c>
      <c r="D55" s="15"/>
      <c r="E55" s="15"/>
      <c r="F55" s="372"/>
      <c r="G55" s="372"/>
      <c r="H55" s="372"/>
      <c r="I55" s="372"/>
      <c r="J55" s="372"/>
      <c r="K55" s="374"/>
      <c r="L55" s="372"/>
      <c r="M55" s="374"/>
      <c r="N55" s="372"/>
      <c r="O55" s="372"/>
      <c r="P55" s="372"/>
      <c r="Q55" s="372"/>
      <c r="R55" s="372"/>
      <c r="S55" s="372"/>
      <c r="T55" s="372"/>
      <c r="U55" s="372"/>
      <c r="V55" s="372"/>
      <c r="W55" s="372"/>
      <c r="X55" s="372"/>
      <c r="Y55" s="372"/>
      <c r="Z55" s="372"/>
      <c r="AA55" s="372"/>
      <c r="AB55" s="372"/>
      <c r="AC55" s="372"/>
      <c r="AD55" s="41"/>
      <c r="AE55" s="41"/>
      <c r="AF55" s="11">
        <f>COUNTIF(F55:AC55,$AJ$8)</f>
        <v>0</v>
      </c>
      <c r="AG55" s="11">
        <f t="shared" si="9"/>
        <v>0</v>
      </c>
      <c r="AH55" s="11">
        <f>COUNT(F55:AC55)</f>
        <v>0</v>
      </c>
    </row>
    <row r="56" spans="1:124">
      <c r="A56" s="70" t="s">
        <v>51</v>
      </c>
      <c r="B56" s="15"/>
      <c r="C56" s="15">
        <v>0.75</v>
      </c>
      <c r="D56" s="15"/>
      <c r="E56" s="15"/>
      <c r="F56" s="372">
        <v>0</v>
      </c>
      <c r="G56" s="372">
        <v>0</v>
      </c>
      <c r="H56" s="372">
        <v>0</v>
      </c>
      <c r="I56" s="372">
        <v>0</v>
      </c>
      <c r="J56" s="372">
        <v>0</v>
      </c>
      <c r="K56" s="372">
        <v>0</v>
      </c>
      <c r="L56" s="374">
        <v>0.8</v>
      </c>
      <c r="M56" s="374"/>
      <c r="N56" s="372"/>
      <c r="O56" s="372">
        <v>0.7</v>
      </c>
      <c r="P56" s="372"/>
      <c r="Q56" s="372"/>
      <c r="R56" s="372"/>
      <c r="S56" s="372"/>
      <c r="T56" s="372">
        <v>0.8</v>
      </c>
      <c r="U56" s="372">
        <v>0.8</v>
      </c>
      <c r="V56" s="372">
        <v>0.8</v>
      </c>
      <c r="W56" s="372">
        <v>0.75</v>
      </c>
      <c r="X56" s="372"/>
      <c r="Y56" s="372"/>
      <c r="Z56" s="372">
        <v>0.75</v>
      </c>
      <c r="AA56" s="372"/>
      <c r="AB56" s="372"/>
      <c r="AC56" s="372"/>
      <c r="AD56" s="41"/>
      <c r="AE56" s="41"/>
      <c r="AF56" s="11">
        <f t="shared" si="8"/>
        <v>0</v>
      </c>
      <c r="AG56" s="11">
        <f t="shared" si="9"/>
        <v>0</v>
      </c>
      <c r="AH56" s="11">
        <f t="shared" si="10"/>
        <v>13</v>
      </c>
    </row>
    <row r="57" spans="1:124">
      <c r="A57" s="70" t="s">
        <v>52</v>
      </c>
      <c r="B57" s="15"/>
      <c r="C57" s="15">
        <v>0.75</v>
      </c>
      <c r="D57" s="15"/>
      <c r="E57" s="15"/>
      <c r="F57" s="372"/>
      <c r="G57" s="372"/>
      <c r="H57" s="372"/>
      <c r="I57" s="372"/>
      <c r="J57" s="372"/>
      <c r="K57" s="372"/>
      <c r="L57" s="374"/>
      <c r="M57" s="374"/>
      <c r="N57" s="372"/>
      <c r="O57" s="372"/>
      <c r="P57" s="372"/>
      <c r="Q57" s="372"/>
      <c r="R57" s="372"/>
      <c r="S57" s="372"/>
      <c r="T57" s="372"/>
      <c r="U57" s="372"/>
      <c r="V57" s="372"/>
      <c r="W57" s="372"/>
      <c r="X57" s="372"/>
      <c r="Y57" s="372"/>
      <c r="Z57" s="372"/>
      <c r="AA57" s="372"/>
      <c r="AB57" s="372"/>
      <c r="AC57" s="372"/>
      <c r="AD57" s="41"/>
      <c r="AE57" s="41"/>
      <c r="AF57" s="11">
        <f t="shared" si="8"/>
        <v>0</v>
      </c>
      <c r="AG57" s="11">
        <f t="shared" si="9"/>
        <v>0</v>
      </c>
      <c r="AH57" s="11">
        <f t="shared" si="10"/>
        <v>0</v>
      </c>
    </row>
    <row r="58" spans="1:124">
      <c r="A58" s="70" t="s">
        <v>53</v>
      </c>
      <c r="B58" s="15"/>
      <c r="C58" s="15">
        <v>0.85</v>
      </c>
      <c r="D58" s="15"/>
      <c r="E58" s="15"/>
      <c r="F58" s="372"/>
      <c r="G58" s="372"/>
      <c r="H58" s="372"/>
      <c r="I58" s="372"/>
      <c r="J58" s="372"/>
      <c r="K58" s="372"/>
      <c r="L58" s="372"/>
      <c r="M58" s="374"/>
      <c r="N58" s="372"/>
      <c r="O58" s="372"/>
      <c r="P58" s="372"/>
      <c r="Q58" s="372"/>
      <c r="R58" s="372"/>
      <c r="S58" s="372"/>
      <c r="T58" s="372"/>
      <c r="U58" s="372"/>
      <c r="V58" s="372"/>
      <c r="W58" s="372"/>
      <c r="X58" s="372"/>
      <c r="Y58" s="372"/>
      <c r="Z58" s="372"/>
      <c r="AA58" s="372"/>
      <c r="AB58" s="372"/>
      <c r="AC58" s="372"/>
      <c r="AD58" s="41"/>
      <c r="AE58" s="41"/>
      <c r="AF58" s="11">
        <f t="shared" si="8"/>
        <v>0</v>
      </c>
      <c r="AG58" s="11">
        <f t="shared" si="9"/>
        <v>0</v>
      </c>
      <c r="AH58" s="11">
        <f t="shared" si="10"/>
        <v>0</v>
      </c>
    </row>
    <row r="59" spans="1:124">
      <c r="A59" s="70" t="s">
        <v>54</v>
      </c>
      <c r="B59" s="15"/>
      <c r="C59" s="15">
        <v>0.85</v>
      </c>
      <c r="D59" s="15"/>
      <c r="E59" s="15"/>
      <c r="F59" s="372"/>
      <c r="G59" s="372"/>
      <c r="H59" s="372"/>
      <c r="I59" s="372"/>
      <c r="J59" s="372"/>
      <c r="K59" s="374"/>
      <c r="L59" s="374"/>
      <c r="M59" s="374"/>
      <c r="N59" s="372"/>
      <c r="O59" s="372"/>
      <c r="P59" s="372"/>
      <c r="Q59" s="372"/>
      <c r="R59" s="372"/>
      <c r="S59" s="372"/>
      <c r="T59" s="372"/>
      <c r="U59" s="372"/>
      <c r="V59" s="372"/>
      <c r="W59" s="372"/>
      <c r="X59" s="372"/>
      <c r="Y59" s="372"/>
      <c r="Z59" s="372"/>
      <c r="AA59" s="372"/>
      <c r="AB59" s="372"/>
      <c r="AC59" s="372"/>
      <c r="AD59" s="41"/>
      <c r="AE59" s="41"/>
      <c r="AF59" s="11">
        <f t="shared" si="8"/>
        <v>0</v>
      </c>
      <c r="AG59" s="11">
        <f t="shared" si="9"/>
        <v>0</v>
      </c>
      <c r="AH59" s="11">
        <f t="shared" si="10"/>
        <v>0</v>
      </c>
    </row>
    <row r="60" spans="1:124">
      <c r="A60" s="9" t="s">
        <v>26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 t="shared" ref="F60:AC60" si="11">SUM(F36:F59)</f>
        <v>0</v>
      </c>
      <c r="G60" s="19">
        <f t="shared" si="11"/>
        <v>0</v>
      </c>
      <c r="H60" s="19">
        <f t="shared" si="11"/>
        <v>0</v>
      </c>
      <c r="I60" s="19">
        <f t="shared" si="11"/>
        <v>1.5</v>
      </c>
      <c r="J60" s="19">
        <f t="shared" si="11"/>
        <v>0.8</v>
      </c>
      <c r="K60" s="19">
        <f t="shared" si="11"/>
        <v>1.5</v>
      </c>
      <c r="L60" s="19">
        <f t="shared" si="11"/>
        <v>0.8</v>
      </c>
      <c r="M60" s="19">
        <f t="shared" si="11"/>
        <v>0</v>
      </c>
      <c r="N60" s="19">
        <f t="shared" si="11"/>
        <v>0.8</v>
      </c>
      <c r="O60" s="19">
        <f>SUM(O36:O59)</f>
        <v>1.5</v>
      </c>
      <c r="P60" s="19">
        <f t="shared" si="11"/>
        <v>0.8</v>
      </c>
      <c r="Q60" s="19">
        <f t="shared" si="11"/>
        <v>0.8</v>
      </c>
      <c r="R60" s="19">
        <f t="shared" si="11"/>
        <v>0.8</v>
      </c>
      <c r="S60" s="19">
        <f t="shared" si="11"/>
        <v>0</v>
      </c>
      <c r="T60" s="19">
        <f>SUM(T36:T59)</f>
        <v>2.2000000000000002</v>
      </c>
      <c r="U60" s="19">
        <f t="shared" si="11"/>
        <v>2.2000000000000002</v>
      </c>
      <c r="V60" s="19">
        <f t="shared" si="11"/>
        <v>2.2999999999999998</v>
      </c>
      <c r="W60" s="19">
        <f t="shared" si="11"/>
        <v>1.5</v>
      </c>
      <c r="X60" s="19">
        <f t="shared" si="11"/>
        <v>0</v>
      </c>
      <c r="Y60" s="19">
        <f t="shared" si="11"/>
        <v>1.5</v>
      </c>
      <c r="Z60" s="19">
        <f t="shared" si="11"/>
        <v>1.5</v>
      </c>
      <c r="AA60" s="19">
        <f t="shared" si="11"/>
        <v>0</v>
      </c>
      <c r="AB60" s="19">
        <f t="shared" si="11"/>
        <v>0</v>
      </c>
      <c r="AC60" s="19">
        <f t="shared" si="11"/>
        <v>0</v>
      </c>
      <c r="AD60" s="34"/>
      <c r="AE60" s="34"/>
      <c r="AF60" s="11"/>
      <c r="AG60" s="11"/>
      <c r="AH60" s="11"/>
    </row>
    <row r="61" spans="1:124">
      <c r="A61" s="12" t="s">
        <v>55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31.009999999999998</v>
      </c>
      <c r="AN61" s="351"/>
    </row>
    <row r="62" spans="1:124">
      <c r="A62" s="14" t="s">
        <v>56</v>
      </c>
      <c r="B62" s="20"/>
      <c r="C62" s="15">
        <v>0.75</v>
      </c>
      <c r="D62" s="15"/>
      <c r="E62" s="15"/>
      <c r="F62" s="372">
        <f>1.23/2</f>
        <v>0.61499999999999999</v>
      </c>
      <c r="G62" s="372">
        <f>1.08/2</f>
        <v>0.54</v>
      </c>
      <c r="H62" s="372">
        <f>1.06/2</f>
        <v>0.53</v>
      </c>
      <c r="I62" s="372">
        <v>0.47499999999999998</v>
      </c>
      <c r="J62" s="372">
        <v>0.44500000000000001</v>
      </c>
      <c r="K62" s="374">
        <v>0.435</v>
      </c>
      <c r="L62" s="372">
        <v>0.5</v>
      </c>
      <c r="M62" s="372">
        <f>1.11/2</f>
        <v>0.55500000000000005</v>
      </c>
      <c r="N62" s="372">
        <f>1.24/2</f>
        <v>0.62</v>
      </c>
      <c r="O62" s="372">
        <f>1.44/2</f>
        <v>0.72</v>
      </c>
      <c r="P62" s="372">
        <f>1.47/2</f>
        <v>0.73499999999999999</v>
      </c>
      <c r="Q62" s="372">
        <f>1.48/2</f>
        <v>0.74</v>
      </c>
      <c r="R62" s="372">
        <f>1.55/2</f>
        <v>0.77500000000000002</v>
      </c>
      <c r="S62" s="372">
        <f>1.44/2</f>
        <v>0.72</v>
      </c>
      <c r="T62" s="372">
        <f>1.45/3</f>
        <v>0.48333333333333334</v>
      </c>
      <c r="U62" s="372">
        <v>0.47333333333333333</v>
      </c>
      <c r="V62" s="372">
        <v>0.68</v>
      </c>
      <c r="W62" s="372">
        <v>0.67</v>
      </c>
      <c r="X62" s="372">
        <v>0.65</v>
      </c>
      <c r="Y62" s="372">
        <v>0.54</v>
      </c>
      <c r="Z62" s="372">
        <v>0.53333333333333333</v>
      </c>
      <c r="AA62" s="372">
        <v>0.755</v>
      </c>
      <c r="AB62" s="372">
        <v>0.68500000000000005</v>
      </c>
      <c r="AC62" s="372">
        <f>1.23/2</f>
        <v>0.61499999999999999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24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57</v>
      </c>
      <c r="B63" s="20"/>
      <c r="C63" s="15">
        <v>0.75</v>
      </c>
      <c r="D63" s="15"/>
      <c r="E63" s="15"/>
      <c r="F63" s="372">
        <f>1.23/2</f>
        <v>0.61499999999999999</v>
      </c>
      <c r="G63" s="372">
        <f>1.08/2</f>
        <v>0.54</v>
      </c>
      <c r="H63" s="372">
        <f>1.06/2</f>
        <v>0.53</v>
      </c>
      <c r="I63" s="372">
        <v>0.47499999999999998</v>
      </c>
      <c r="J63" s="372">
        <v>0.44500000000000001</v>
      </c>
      <c r="K63" s="374">
        <v>0.435</v>
      </c>
      <c r="L63" s="372">
        <v>0.5</v>
      </c>
      <c r="M63" s="372">
        <f>1.11/2</f>
        <v>0.55500000000000005</v>
      </c>
      <c r="N63" s="372">
        <f>1.24/2</f>
        <v>0.62</v>
      </c>
      <c r="O63" s="372">
        <f>1.44/2</f>
        <v>0.72</v>
      </c>
      <c r="P63" s="372">
        <f>1.47/2</f>
        <v>0.73499999999999999</v>
      </c>
      <c r="Q63" s="372">
        <f>1.48/2</f>
        <v>0.74</v>
      </c>
      <c r="R63" s="372">
        <f>1.55/2</f>
        <v>0.77500000000000002</v>
      </c>
      <c r="S63" s="372">
        <f>1.44/2</f>
        <v>0.72</v>
      </c>
      <c r="T63" s="372">
        <f t="shared" ref="T63:T64" si="12">1.45/3</f>
        <v>0.48333333333333334</v>
      </c>
      <c r="U63" s="372">
        <v>0.47333333333333333</v>
      </c>
      <c r="V63" s="372"/>
      <c r="W63" s="372"/>
      <c r="X63" s="372"/>
      <c r="Y63" s="372">
        <v>0.54</v>
      </c>
      <c r="Z63" s="372">
        <v>0.53333333333333333</v>
      </c>
      <c r="AA63" s="372"/>
      <c r="AB63" s="372"/>
      <c r="AC63" s="372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18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58</v>
      </c>
      <c r="B64" s="20"/>
      <c r="C64" s="15">
        <v>0.75</v>
      </c>
      <c r="D64" s="15"/>
      <c r="E64" s="15"/>
      <c r="F64" s="372" t="s">
        <v>9</v>
      </c>
      <c r="G64" s="372" t="s">
        <v>9</v>
      </c>
      <c r="H64" s="372" t="s">
        <v>9</v>
      </c>
      <c r="I64" s="372" t="s">
        <v>9</v>
      </c>
      <c r="J64" s="372" t="s">
        <v>9</v>
      </c>
      <c r="K64" s="374" t="s">
        <v>9</v>
      </c>
      <c r="L64" s="372" t="s">
        <v>9</v>
      </c>
      <c r="M64" s="372" t="s">
        <v>9</v>
      </c>
      <c r="N64" s="372" t="s">
        <v>9</v>
      </c>
      <c r="O64" s="372" t="s">
        <v>9</v>
      </c>
      <c r="P64" s="372" t="s">
        <v>9</v>
      </c>
      <c r="Q64" s="372" t="s">
        <v>9</v>
      </c>
      <c r="R64" s="372" t="s">
        <v>9</v>
      </c>
      <c r="S64" s="372" t="s">
        <v>9</v>
      </c>
      <c r="T64" s="372">
        <f t="shared" si="12"/>
        <v>0.48333333333333334</v>
      </c>
      <c r="U64" s="372">
        <v>0.47333333333333333</v>
      </c>
      <c r="V64" s="372">
        <v>0.68</v>
      </c>
      <c r="W64" s="372">
        <v>0.67</v>
      </c>
      <c r="X64" s="372">
        <v>0.65</v>
      </c>
      <c r="Y64" s="372">
        <v>0.54</v>
      </c>
      <c r="Z64" s="372">
        <v>0.53333333333333333</v>
      </c>
      <c r="AA64" s="372">
        <v>0.755</v>
      </c>
      <c r="AB64" s="372">
        <v>0.68500000000000005</v>
      </c>
      <c r="AC64" s="372">
        <f>1.23/2</f>
        <v>0.61499999999999999</v>
      </c>
      <c r="AD64" s="32"/>
      <c r="AE64" s="32"/>
      <c r="AF64" s="11">
        <f>COUNTIF(F64:AC64,$AF$11)</f>
        <v>14</v>
      </c>
      <c r="AG64" s="11">
        <f>COUNTIF(G64:AC64,$AG$11)</f>
        <v>0</v>
      </c>
      <c r="AH64" s="11">
        <f>COUNT(F64:AC64)</f>
        <v>10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1.23</v>
      </c>
      <c r="G65" s="19">
        <f t="shared" ref="G65" si="13">SUM(G62:G64)</f>
        <v>1.08</v>
      </c>
      <c r="H65" s="19">
        <f>SUM(H62:H64)</f>
        <v>1.06</v>
      </c>
      <c r="I65" s="19">
        <f>SUM(I62:I64)</f>
        <v>0.95</v>
      </c>
      <c r="J65" s="19">
        <f t="shared" ref="J65" si="14">SUM(J62:J64)</f>
        <v>0.89</v>
      </c>
      <c r="K65" s="19">
        <f>SUM(K62:K64)</f>
        <v>0.87</v>
      </c>
      <c r="L65" s="19">
        <f>SUM(L62:L64)</f>
        <v>1</v>
      </c>
      <c r="M65" s="19">
        <f>SUM(M62:M64)</f>
        <v>1.1100000000000001</v>
      </c>
      <c r="N65" s="19">
        <f>SUM(N62:N64)</f>
        <v>1.24</v>
      </c>
      <c r="O65" s="19">
        <f t="shared" ref="O65:AB65" si="15">SUM(O62:O64)</f>
        <v>1.44</v>
      </c>
      <c r="P65" s="19">
        <f t="shared" si="15"/>
        <v>1.47</v>
      </c>
      <c r="Q65" s="19">
        <f t="shared" si="15"/>
        <v>1.48</v>
      </c>
      <c r="R65" s="19">
        <f t="shared" si="15"/>
        <v>1.55</v>
      </c>
      <c r="S65" s="19">
        <f t="shared" si="15"/>
        <v>1.44</v>
      </c>
      <c r="T65" s="19">
        <f t="shared" si="15"/>
        <v>1.45</v>
      </c>
      <c r="U65" s="19">
        <f t="shared" si="15"/>
        <v>1.42</v>
      </c>
      <c r="V65" s="19">
        <f t="shared" si="15"/>
        <v>1.36</v>
      </c>
      <c r="W65" s="19">
        <f t="shared" si="15"/>
        <v>1.34</v>
      </c>
      <c r="X65" s="19">
        <f t="shared" si="15"/>
        <v>1.3</v>
      </c>
      <c r="Y65" s="19">
        <f>SUM(Y62:Y64)</f>
        <v>1.62</v>
      </c>
      <c r="Z65" s="19">
        <f t="shared" si="15"/>
        <v>1.6</v>
      </c>
      <c r="AA65" s="19">
        <f t="shared" si="15"/>
        <v>1.51</v>
      </c>
      <c r="AB65" s="19">
        <f t="shared" si="15"/>
        <v>1.37</v>
      </c>
      <c r="AC65" s="19">
        <f>SUM(AC62:AC64)</f>
        <v>1.23</v>
      </c>
      <c r="AD65" s="34"/>
      <c r="AE65" s="34"/>
      <c r="AF65" s="11"/>
      <c r="AG65" s="11"/>
      <c r="AH65" s="11"/>
    </row>
    <row r="66" spans="1:124" hidden="1">
      <c r="A66" s="12" t="s">
        <v>59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idden="1">
      <c r="A67" s="14" t="s">
        <v>60</v>
      </c>
      <c r="B67" s="15"/>
      <c r="C67" s="15">
        <v>0.85</v>
      </c>
      <c r="D67" s="15"/>
      <c r="E67" s="15"/>
      <c r="F67" s="372"/>
      <c r="G67" s="372"/>
      <c r="H67" s="372"/>
      <c r="I67" s="372"/>
      <c r="J67" s="372"/>
      <c r="K67" s="374"/>
      <c r="L67" s="374"/>
      <c r="M67" s="374"/>
      <c r="N67" s="372"/>
      <c r="O67" s="372"/>
      <c r="P67" s="372"/>
      <c r="Q67" s="372"/>
      <c r="R67" s="372"/>
      <c r="S67" s="372"/>
      <c r="T67" s="372"/>
      <c r="U67" s="372"/>
      <c r="V67" s="372"/>
      <c r="W67" s="372"/>
      <c r="X67" s="372"/>
      <c r="Y67" s="372"/>
      <c r="Z67" s="372"/>
      <c r="AA67" s="372"/>
      <c r="AB67" s="372"/>
      <c r="AC67" s="372"/>
      <c r="AD67" s="35"/>
      <c r="AE67" s="35"/>
      <c r="AF67" s="11">
        <f t="shared" ref="AF67:AF75" si="16">COUNTIF(F67:AC67,$AF$11)</f>
        <v>0</v>
      </c>
      <c r="AG67" s="11">
        <f t="shared" ref="AG67:AG75" si="17">COUNTIF(G67:AC67,$AG$11)</f>
        <v>0</v>
      </c>
      <c r="AH67" s="11">
        <f t="shared" ref="AH67:AH75" si="18">COUNT(F67:AC67)</f>
        <v>0</v>
      </c>
    </row>
    <row r="68" spans="1:124" hidden="1">
      <c r="A68" s="14" t="s">
        <v>61</v>
      </c>
      <c r="B68" s="15"/>
      <c r="C68" s="15">
        <v>0.85</v>
      </c>
      <c r="D68" s="15"/>
      <c r="E68" s="15"/>
      <c r="F68" s="372"/>
      <c r="G68" s="372"/>
      <c r="H68" s="372"/>
      <c r="I68" s="372"/>
      <c r="J68" s="372"/>
      <c r="K68" s="374"/>
      <c r="L68" s="374"/>
      <c r="M68" s="374"/>
      <c r="N68" s="372"/>
      <c r="O68" s="372"/>
      <c r="P68" s="372"/>
      <c r="Q68" s="372"/>
      <c r="R68" s="372"/>
      <c r="S68" s="372"/>
      <c r="T68" s="372"/>
      <c r="U68" s="372"/>
      <c r="V68" s="372"/>
      <c r="W68" s="372"/>
      <c r="X68" s="372"/>
      <c r="Y68" s="372"/>
      <c r="Z68" s="372"/>
      <c r="AA68" s="372"/>
      <c r="AB68" s="372"/>
      <c r="AC68" s="372"/>
      <c r="AD68" s="35"/>
      <c r="AE68" s="35"/>
      <c r="AF68" s="11">
        <f t="shared" si="16"/>
        <v>0</v>
      </c>
      <c r="AG68" s="11">
        <f t="shared" si="17"/>
        <v>0</v>
      </c>
      <c r="AH68" s="11">
        <f t="shared" si="18"/>
        <v>0</v>
      </c>
    </row>
    <row r="69" spans="1:124" hidden="1">
      <c r="A69" s="14" t="s">
        <v>62</v>
      </c>
      <c r="B69" s="15"/>
      <c r="C69" s="15">
        <v>0.85</v>
      </c>
      <c r="D69" s="15"/>
      <c r="E69" s="15"/>
      <c r="F69" s="372"/>
      <c r="G69" s="372"/>
      <c r="H69" s="372"/>
      <c r="I69" s="372"/>
      <c r="J69" s="372"/>
      <c r="K69" s="374"/>
      <c r="L69" s="374"/>
      <c r="M69" s="374"/>
      <c r="N69" s="372"/>
      <c r="O69" s="372"/>
      <c r="P69" s="372"/>
      <c r="Q69" s="372"/>
      <c r="R69" s="372"/>
      <c r="S69" s="372"/>
      <c r="T69" s="372"/>
      <c r="U69" s="372"/>
      <c r="V69" s="372"/>
      <c r="W69" s="372"/>
      <c r="X69" s="372"/>
      <c r="Y69" s="372"/>
      <c r="Z69" s="372"/>
      <c r="AA69" s="372"/>
      <c r="AB69" s="372"/>
      <c r="AC69" s="372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8"/>
        <v>0</v>
      </c>
    </row>
    <row r="70" spans="1:124" hidden="1">
      <c r="A70" s="14" t="s">
        <v>63</v>
      </c>
      <c r="B70" s="15"/>
      <c r="C70" s="15">
        <v>0.85</v>
      </c>
      <c r="D70" s="15"/>
      <c r="E70" s="15"/>
      <c r="F70" s="372"/>
      <c r="G70" s="372"/>
      <c r="H70" s="372"/>
      <c r="I70" s="372"/>
      <c r="J70" s="372"/>
      <c r="K70" s="374"/>
      <c r="L70" s="374"/>
      <c r="M70" s="374"/>
      <c r="N70" s="372"/>
      <c r="O70" s="372"/>
      <c r="P70" s="372"/>
      <c r="Q70" s="372"/>
      <c r="R70" s="372"/>
      <c r="S70" s="372"/>
      <c r="T70" s="372"/>
      <c r="U70" s="372"/>
      <c r="V70" s="372"/>
      <c r="W70" s="372"/>
      <c r="X70" s="372"/>
      <c r="Y70" s="372"/>
      <c r="Z70" s="372"/>
      <c r="AA70" s="372"/>
      <c r="AB70" s="372"/>
      <c r="AC70" s="372"/>
      <c r="AD70" s="35"/>
      <c r="AE70" s="35"/>
      <c r="AF70" s="11">
        <f t="shared" si="16"/>
        <v>0</v>
      </c>
      <c r="AG70" s="11">
        <f t="shared" si="17"/>
        <v>0</v>
      </c>
      <c r="AH70" s="11">
        <f t="shared" si="18"/>
        <v>0</v>
      </c>
      <c r="AI70" s="5"/>
      <c r="AJ70" s="5"/>
      <c r="AK70" s="5"/>
      <c r="AL70" s="5"/>
    </row>
    <row r="71" spans="1:124" hidden="1">
      <c r="A71" s="14" t="s">
        <v>64</v>
      </c>
      <c r="B71" s="15"/>
      <c r="C71" s="15">
        <v>0.85</v>
      </c>
      <c r="D71" s="15"/>
      <c r="E71" s="15"/>
      <c r="F71" s="372"/>
      <c r="G71" s="372"/>
      <c r="H71" s="372"/>
      <c r="I71" s="372"/>
      <c r="J71" s="372"/>
      <c r="K71" s="374"/>
      <c r="L71" s="374"/>
      <c r="M71" s="374"/>
      <c r="N71" s="372"/>
      <c r="O71" s="372"/>
      <c r="P71" s="372"/>
      <c r="Q71" s="372"/>
      <c r="R71" s="372"/>
      <c r="S71" s="372"/>
      <c r="T71" s="372"/>
      <c r="U71" s="372"/>
      <c r="V71" s="372"/>
      <c r="W71" s="372"/>
      <c r="X71" s="372"/>
      <c r="Y71" s="372"/>
      <c r="Z71" s="372"/>
      <c r="AA71" s="372"/>
      <c r="AB71" s="372"/>
      <c r="AC71" s="372"/>
      <c r="AD71" s="35"/>
      <c r="AE71" s="35"/>
      <c r="AF71" s="11">
        <f t="shared" si="16"/>
        <v>0</v>
      </c>
      <c r="AG71" s="11">
        <f t="shared" si="17"/>
        <v>0</v>
      </c>
      <c r="AH71" s="11">
        <f t="shared" si="18"/>
        <v>0</v>
      </c>
    </row>
    <row r="72" spans="1:124" hidden="1">
      <c r="A72" s="14" t="s">
        <v>65</v>
      </c>
      <c r="B72" s="15"/>
      <c r="C72" s="15">
        <v>0.85</v>
      </c>
      <c r="D72" s="15"/>
      <c r="E72" s="15"/>
      <c r="F72" s="372"/>
      <c r="G72" s="372"/>
      <c r="H72" s="372"/>
      <c r="I72" s="372"/>
      <c r="J72" s="372"/>
      <c r="K72" s="374"/>
      <c r="L72" s="374"/>
      <c r="M72" s="374"/>
      <c r="N72" s="372"/>
      <c r="O72" s="372"/>
      <c r="P72" s="372"/>
      <c r="Q72" s="372"/>
      <c r="R72" s="372"/>
      <c r="S72" s="372"/>
      <c r="T72" s="372"/>
      <c r="U72" s="372"/>
      <c r="V72" s="372"/>
      <c r="W72" s="372"/>
      <c r="X72" s="372"/>
      <c r="Y72" s="372"/>
      <c r="Z72" s="372"/>
      <c r="AA72" s="372"/>
      <c r="AB72" s="372"/>
      <c r="AC72" s="372"/>
      <c r="AD72" s="35"/>
      <c r="AE72" s="35"/>
      <c r="AF72" s="11">
        <f t="shared" si="16"/>
        <v>0</v>
      </c>
      <c r="AG72" s="11">
        <f t="shared" si="17"/>
        <v>0</v>
      </c>
      <c r="AH72" s="11">
        <f t="shared" si="18"/>
        <v>0</v>
      </c>
    </row>
    <row r="73" spans="1:124" hidden="1">
      <c r="A73" s="14" t="s">
        <v>66</v>
      </c>
      <c r="B73" s="15"/>
      <c r="C73" s="15">
        <v>0.85</v>
      </c>
      <c r="D73" s="15"/>
      <c r="E73" s="15"/>
      <c r="F73" s="372"/>
      <c r="G73" s="372"/>
      <c r="H73" s="372"/>
      <c r="I73" s="372"/>
      <c r="J73" s="372"/>
      <c r="K73" s="374"/>
      <c r="L73" s="374"/>
      <c r="M73" s="374"/>
      <c r="N73" s="372"/>
      <c r="O73" s="372"/>
      <c r="P73" s="372"/>
      <c r="Q73" s="372"/>
      <c r="R73" s="372"/>
      <c r="S73" s="372"/>
      <c r="T73" s="372"/>
      <c r="U73" s="372"/>
      <c r="V73" s="372"/>
      <c r="W73" s="372"/>
      <c r="X73" s="372"/>
      <c r="Y73" s="372"/>
      <c r="Z73" s="372"/>
      <c r="AA73" s="372"/>
      <c r="AB73" s="372"/>
      <c r="AC73" s="372"/>
      <c r="AD73" s="35"/>
      <c r="AE73" s="35"/>
      <c r="AF73" s="11">
        <f t="shared" si="16"/>
        <v>0</v>
      </c>
      <c r="AG73" s="11">
        <f t="shared" si="17"/>
        <v>0</v>
      </c>
      <c r="AH73" s="11">
        <f t="shared" si="18"/>
        <v>0</v>
      </c>
    </row>
    <row r="74" spans="1:124" hidden="1">
      <c r="A74" s="14" t="s">
        <v>67</v>
      </c>
      <c r="B74" s="19"/>
      <c r="C74" s="15">
        <v>0.85</v>
      </c>
      <c r="D74" s="15"/>
      <c r="E74" s="15"/>
      <c r="F74" s="372"/>
      <c r="G74" s="372"/>
      <c r="H74" s="372"/>
      <c r="I74" s="372"/>
      <c r="J74" s="372"/>
      <c r="K74" s="374"/>
      <c r="L74" s="374"/>
      <c r="M74" s="374"/>
      <c r="N74" s="372"/>
      <c r="O74" s="372"/>
      <c r="P74" s="372"/>
      <c r="Q74" s="372"/>
      <c r="R74" s="372"/>
      <c r="S74" s="372"/>
      <c r="T74" s="372"/>
      <c r="U74" s="372"/>
      <c r="V74" s="372"/>
      <c r="W74" s="372"/>
      <c r="X74" s="372"/>
      <c r="Y74" s="372"/>
      <c r="Z74" s="372"/>
      <c r="AA74" s="372"/>
      <c r="AB74" s="372"/>
      <c r="AC74" s="372"/>
      <c r="AD74" s="29"/>
      <c r="AE74" s="29"/>
      <c r="AF74" s="11">
        <f t="shared" si="16"/>
        <v>0</v>
      </c>
      <c r="AG74" s="11">
        <f t="shared" si="17"/>
        <v>0</v>
      </c>
      <c r="AH74" s="11">
        <f t="shared" si="18"/>
        <v>0</v>
      </c>
    </row>
    <row r="75" spans="1:124" ht="15.75" hidden="1" customHeight="1">
      <c r="A75" s="14" t="s">
        <v>68</v>
      </c>
      <c r="B75" s="9"/>
      <c r="C75" s="15">
        <v>0.85</v>
      </c>
      <c r="D75" s="15"/>
      <c r="E75" s="15"/>
      <c r="F75" s="372"/>
      <c r="G75" s="372"/>
      <c r="H75" s="372"/>
      <c r="I75" s="372"/>
      <c r="J75" s="372"/>
      <c r="K75" s="374"/>
      <c r="L75" s="374"/>
      <c r="M75" s="374"/>
      <c r="N75" s="372"/>
      <c r="O75" s="372"/>
      <c r="P75" s="372"/>
      <c r="Q75" s="372"/>
      <c r="R75" s="372"/>
      <c r="S75" s="372"/>
      <c r="T75" s="372"/>
      <c r="U75" s="372"/>
      <c r="V75" s="372"/>
      <c r="W75" s="372"/>
      <c r="X75" s="372"/>
      <c r="Y75" s="372"/>
      <c r="Z75" s="372"/>
      <c r="AA75" s="372"/>
      <c r="AB75" s="372"/>
      <c r="AC75" s="372"/>
      <c r="AD75" s="31"/>
      <c r="AE75" s="31"/>
      <c r="AF75" s="11">
        <f t="shared" si="16"/>
        <v>0</v>
      </c>
      <c r="AG75" s="11">
        <f t="shared" si="17"/>
        <v>0</v>
      </c>
      <c r="AH75" s="11">
        <f t="shared" si="18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19">SUM(F67:F75)</f>
        <v>0</v>
      </c>
      <c r="G76" s="19">
        <f t="shared" si="19"/>
        <v>0</v>
      </c>
      <c r="H76" s="19">
        <f t="shared" si="19"/>
        <v>0</v>
      </c>
      <c r="I76" s="19">
        <f t="shared" si="19"/>
        <v>0</v>
      </c>
      <c r="J76" s="19">
        <f t="shared" si="19"/>
        <v>0</v>
      </c>
      <c r="K76" s="19">
        <f t="shared" si="19"/>
        <v>0</v>
      </c>
      <c r="L76" s="19">
        <f>SUM(L67:L75)</f>
        <v>0</v>
      </c>
      <c r="M76" s="19">
        <f t="shared" si="19"/>
        <v>0</v>
      </c>
      <c r="N76" s="19">
        <f t="shared" si="19"/>
        <v>0</v>
      </c>
      <c r="O76" s="19">
        <f t="shared" si="19"/>
        <v>0</v>
      </c>
      <c r="P76" s="19">
        <f t="shared" si="19"/>
        <v>0</v>
      </c>
      <c r="Q76" s="19">
        <f>SUM(Q67:Q75)</f>
        <v>0</v>
      </c>
      <c r="R76" s="19">
        <f t="shared" si="19"/>
        <v>0</v>
      </c>
      <c r="S76" s="19">
        <f t="shared" si="19"/>
        <v>0</v>
      </c>
      <c r="T76" s="19">
        <f t="shared" si="19"/>
        <v>0</v>
      </c>
      <c r="U76" s="19">
        <f t="shared" si="19"/>
        <v>0</v>
      </c>
      <c r="V76" s="19">
        <f t="shared" si="19"/>
        <v>0</v>
      </c>
      <c r="W76" s="19">
        <f t="shared" si="19"/>
        <v>0</v>
      </c>
      <c r="X76" s="19">
        <f t="shared" si="19"/>
        <v>0</v>
      </c>
      <c r="Y76" s="19">
        <f t="shared" si="19"/>
        <v>0</v>
      </c>
      <c r="Z76" s="19">
        <f t="shared" si="19"/>
        <v>0</v>
      </c>
      <c r="AA76" s="19">
        <f t="shared" si="19"/>
        <v>0</v>
      </c>
      <c r="AB76" s="19">
        <f t="shared" si="19"/>
        <v>0</v>
      </c>
      <c r="AC76" s="19">
        <f t="shared" si="19"/>
        <v>0</v>
      </c>
      <c r="AD76" s="34"/>
      <c r="AE76" s="34"/>
      <c r="AF76" s="11"/>
      <c r="AG76" s="11"/>
      <c r="AH76" s="11"/>
    </row>
    <row r="77" spans="1:124">
      <c r="A77" s="12" t="s">
        <v>69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 t="s">
        <v>21</v>
      </c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18.390000000000004</v>
      </c>
    </row>
    <row r="78" spans="1:124">
      <c r="A78" s="14" t="s">
        <v>70</v>
      </c>
      <c r="B78" s="20"/>
      <c r="C78" s="15">
        <v>1</v>
      </c>
      <c r="D78" s="15"/>
      <c r="E78" s="15"/>
      <c r="F78" s="372"/>
      <c r="G78" s="372"/>
      <c r="H78" s="372"/>
      <c r="I78" s="372"/>
      <c r="J78" s="372"/>
      <c r="K78" s="374"/>
      <c r="L78" s="374"/>
      <c r="M78" s="374">
        <v>0.72</v>
      </c>
      <c r="N78" s="372">
        <v>0.77</v>
      </c>
      <c r="O78" s="372">
        <v>0.78</v>
      </c>
      <c r="P78" s="372">
        <v>0.84</v>
      </c>
      <c r="Q78" s="372">
        <v>0.84</v>
      </c>
      <c r="R78" s="372">
        <v>0.89</v>
      </c>
      <c r="S78" s="372">
        <v>0</v>
      </c>
      <c r="T78" s="372"/>
      <c r="U78" s="372">
        <v>0.77</v>
      </c>
      <c r="V78" s="372">
        <v>0.91</v>
      </c>
      <c r="W78" s="372">
        <v>0.85</v>
      </c>
      <c r="X78" s="372">
        <v>0.9</v>
      </c>
      <c r="Y78" s="372"/>
      <c r="Z78" s="372"/>
      <c r="AA78" s="372"/>
      <c r="AB78" s="372"/>
      <c r="AC78" s="372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11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71</v>
      </c>
      <c r="B79" s="20"/>
      <c r="C79" s="15">
        <v>1</v>
      </c>
      <c r="D79" s="15"/>
      <c r="E79" s="15"/>
      <c r="F79" s="372">
        <v>0.82</v>
      </c>
      <c r="G79" s="372">
        <v>0.78</v>
      </c>
      <c r="H79" s="372">
        <v>0.75</v>
      </c>
      <c r="I79" s="372">
        <v>0.72</v>
      </c>
      <c r="J79" s="372">
        <v>0.71</v>
      </c>
      <c r="K79" s="374">
        <v>0.73</v>
      </c>
      <c r="L79" s="374">
        <v>0.75</v>
      </c>
      <c r="M79" s="374"/>
      <c r="N79" s="374"/>
      <c r="O79" s="374"/>
      <c r="P79" s="374"/>
      <c r="Q79" s="374"/>
      <c r="R79" s="374"/>
      <c r="S79" s="374"/>
      <c r="T79" s="374"/>
      <c r="U79" s="374"/>
      <c r="V79" s="374"/>
      <c r="W79" s="374"/>
      <c r="X79" s="374"/>
      <c r="Y79" s="372">
        <v>1</v>
      </c>
      <c r="Z79" s="372">
        <v>1.05</v>
      </c>
      <c r="AA79" s="372">
        <v>0.97</v>
      </c>
      <c r="AB79" s="372">
        <v>0.92</v>
      </c>
      <c r="AC79" s="372">
        <v>0.92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>SUM(F78:F79)</f>
        <v>0.82</v>
      </c>
      <c r="G80" s="19">
        <f t="shared" ref="G80" si="20">SUM(G78:G79)</f>
        <v>0.78</v>
      </c>
      <c r="H80" s="19">
        <f>SUM(H78:H79)</f>
        <v>0.75</v>
      </c>
      <c r="I80" s="19">
        <f>SUM(I78:I79)</f>
        <v>0.72</v>
      </c>
      <c r="J80" s="19">
        <f t="shared" ref="J80:AC80" si="21">SUM(J78:J79)</f>
        <v>0.71</v>
      </c>
      <c r="K80" s="19">
        <f t="shared" si="21"/>
        <v>0.73</v>
      </c>
      <c r="L80" s="19">
        <f>SUM(L78:L79)</f>
        <v>0.75</v>
      </c>
      <c r="M80" s="19">
        <f t="shared" si="21"/>
        <v>0.72</v>
      </c>
      <c r="N80" s="19">
        <f t="shared" si="21"/>
        <v>0.77</v>
      </c>
      <c r="O80" s="19">
        <f>SUM(O78:O79)</f>
        <v>0.78</v>
      </c>
      <c r="P80" s="19">
        <f t="shared" si="21"/>
        <v>0.84</v>
      </c>
      <c r="Q80" s="19">
        <f t="shared" si="21"/>
        <v>0.84</v>
      </c>
      <c r="R80" s="19">
        <f t="shared" si="21"/>
        <v>0.89</v>
      </c>
      <c r="S80" s="19">
        <f t="shared" si="21"/>
        <v>0</v>
      </c>
      <c r="T80" s="19">
        <f t="shared" si="21"/>
        <v>0</v>
      </c>
      <c r="U80" s="19">
        <f t="shared" si="21"/>
        <v>0.77</v>
      </c>
      <c r="V80" s="19">
        <f t="shared" si="21"/>
        <v>0.91</v>
      </c>
      <c r="W80" s="19">
        <f t="shared" si="21"/>
        <v>0.85</v>
      </c>
      <c r="X80" s="19">
        <f t="shared" si="21"/>
        <v>0.9</v>
      </c>
      <c r="Y80" s="19">
        <f t="shared" si="21"/>
        <v>1</v>
      </c>
      <c r="Z80" s="19">
        <f t="shared" si="21"/>
        <v>1.05</v>
      </c>
      <c r="AA80" s="19">
        <f t="shared" si="21"/>
        <v>0.97</v>
      </c>
      <c r="AB80" s="19">
        <f t="shared" si="21"/>
        <v>0.92</v>
      </c>
      <c r="AC80" s="19">
        <f t="shared" si="21"/>
        <v>0.92</v>
      </c>
      <c r="AD80" s="34"/>
      <c r="AE80" s="34"/>
      <c r="AF80" s="11"/>
      <c r="AG80" s="11"/>
      <c r="AH80" s="11"/>
    </row>
    <row r="81" spans="1:40" ht="17.45" hidden="1">
      <c r="A81" s="366" t="s">
        <v>72</v>
      </c>
      <c r="B81" s="365"/>
      <c r="C81" s="367">
        <v>2</v>
      </c>
      <c r="D81" s="363"/>
      <c r="E81" s="363"/>
      <c r="F81" s="364"/>
      <c r="G81" s="364"/>
      <c r="H81" s="364"/>
      <c r="I81" s="364"/>
      <c r="J81" s="364"/>
      <c r="K81" s="364"/>
      <c r="L81" s="364"/>
      <c r="M81" s="364"/>
      <c r="N81" s="364"/>
      <c r="O81" s="364"/>
      <c r="P81" s="364"/>
      <c r="Q81" s="364"/>
      <c r="R81" s="364"/>
      <c r="S81" s="364"/>
      <c r="T81" s="364"/>
      <c r="U81" s="364"/>
      <c r="V81" s="364"/>
      <c r="W81" s="364"/>
      <c r="X81" s="364"/>
      <c r="Y81" s="364"/>
      <c r="Z81" s="364"/>
      <c r="AA81" s="364"/>
      <c r="AB81" s="364"/>
      <c r="AC81" s="364"/>
    </row>
    <row r="82" spans="1:40" ht="17.45" hidden="1">
      <c r="A82" s="368"/>
      <c r="B82" s="369"/>
      <c r="C82" s="370"/>
      <c r="D82" s="371"/>
      <c r="E82" s="371"/>
      <c r="F82" s="372"/>
      <c r="G82" s="372"/>
      <c r="H82" s="372"/>
      <c r="I82" s="372"/>
      <c r="J82" s="372"/>
      <c r="K82" s="374"/>
      <c r="L82" s="374"/>
      <c r="M82" s="374"/>
      <c r="N82" s="372"/>
      <c r="O82" s="372"/>
      <c r="P82" s="372"/>
      <c r="Q82" s="372"/>
      <c r="R82" s="372"/>
      <c r="S82" s="372"/>
      <c r="T82" s="372"/>
      <c r="U82" s="372"/>
      <c r="V82" s="372"/>
      <c r="W82" s="372"/>
      <c r="X82" s="372"/>
      <c r="Y82" s="372"/>
      <c r="Z82" s="372"/>
      <c r="AA82" s="372"/>
      <c r="AB82" s="372"/>
      <c r="AC82" s="372"/>
    </row>
    <row r="83" spans="1:40">
      <c r="A83" s="21" t="s">
        <v>73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:AC83" si="22">SUM(F17,F22,F25,F31,F34,F60,F65,F76,F80,F82)</f>
        <v>46.22</v>
      </c>
      <c r="G83" s="28">
        <f t="shared" si="22"/>
        <v>43.22</v>
      </c>
      <c r="H83" s="28">
        <f t="shared" si="22"/>
        <v>40.799999999999997</v>
      </c>
      <c r="I83" s="28">
        <f t="shared" si="22"/>
        <v>38.85</v>
      </c>
      <c r="J83" s="28">
        <f t="shared" si="22"/>
        <v>38.07</v>
      </c>
      <c r="K83" s="28">
        <f t="shared" si="22"/>
        <v>38.699999999999996</v>
      </c>
      <c r="L83" s="28">
        <f t="shared" si="22"/>
        <v>40.92</v>
      </c>
      <c r="M83" s="28">
        <f t="shared" si="22"/>
        <v>39</v>
      </c>
      <c r="N83" s="28">
        <f>SUM(N17,N22,N25,N31,N34,N60,N65,N76,N80,N82)</f>
        <v>45.96</v>
      </c>
      <c r="O83" s="28">
        <f>SUM(O17,O22,O25,O31,O34,O60,O65,O76,O80,O82)</f>
        <v>55.109999999999992</v>
      </c>
      <c r="P83" s="28">
        <f t="shared" si="22"/>
        <v>60.05</v>
      </c>
      <c r="Q83" s="28">
        <f t="shared" si="22"/>
        <v>60.29</v>
      </c>
      <c r="R83" s="28">
        <f t="shared" si="22"/>
        <v>60.98</v>
      </c>
      <c r="S83" s="28">
        <f t="shared" si="22"/>
        <v>59.790000000000006</v>
      </c>
      <c r="T83" s="28">
        <f t="shared" si="22"/>
        <v>62.510000000000005</v>
      </c>
      <c r="U83" s="28">
        <f>SUM(U17,U22,U25,U31,U34,U60,U65,U76,U80,U82)</f>
        <v>63.470000000000006</v>
      </c>
      <c r="V83" s="28">
        <f t="shared" si="22"/>
        <v>63.05</v>
      </c>
      <c r="W83" s="28">
        <f t="shared" si="22"/>
        <v>57.750000000000007</v>
      </c>
      <c r="X83" s="28">
        <f t="shared" si="22"/>
        <v>57.95</v>
      </c>
      <c r="Y83" s="28">
        <f t="shared" si="22"/>
        <v>63.609999999999992</v>
      </c>
      <c r="Z83" s="28">
        <f t="shared" si="22"/>
        <v>61.599999999999994</v>
      </c>
      <c r="AA83" s="28">
        <f t="shared" si="22"/>
        <v>56.92</v>
      </c>
      <c r="AB83" s="28">
        <f t="shared" si="22"/>
        <v>52.859999999999992</v>
      </c>
      <c r="AC83" s="28">
        <f t="shared" si="22"/>
        <v>50.44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25" t="s">
        <v>74</v>
      </c>
      <c r="B85" s="525"/>
      <c r="C85" s="525"/>
      <c r="D85" s="525"/>
      <c r="E85" s="525"/>
      <c r="F85" s="525"/>
      <c r="G85" s="525"/>
      <c r="H85" s="525"/>
      <c r="I85" s="525"/>
      <c r="J85" s="525"/>
      <c r="K85" s="525"/>
      <c r="L85" s="525"/>
      <c r="M85" s="525"/>
      <c r="N85" s="525"/>
      <c r="O85" s="525"/>
      <c r="P85" s="525"/>
      <c r="Q85" s="525"/>
      <c r="R85" s="525"/>
      <c r="S85" s="525"/>
      <c r="T85" s="525"/>
      <c r="U85" s="525"/>
      <c r="V85" s="525"/>
      <c r="W85" s="525"/>
      <c r="X85" s="525"/>
      <c r="Y85" s="525"/>
      <c r="Z85" s="525"/>
      <c r="AA85" s="525"/>
      <c r="AB85" s="525"/>
      <c r="AC85" s="525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</row>
    <row r="87" spans="1:40" ht="17.45">
      <c r="A87" s="500" t="s">
        <v>75</v>
      </c>
      <c r="B87" s="501"/>
      <c r="C87" s="502"/>
      <c r="D87" s="49"/>
      <c r="E87" s="49"/>
      <c r="F87" s="506" t="s">
        <v>76</v>
      </c>
      <c r="G87" s="506"/>
      <c r="H87" s="506"/>
      <c r="I87" s="506"/>
      <c r="J87" s="506"/>
      <c r="K87" s="506"/>
      <c r="L87" s="506"/>
      <c r="M87" s="506"/>
      <c r="N87" s="506"/>
      <c r="O87" s="506"/>
      <c r="P87" s="506"/>
      <c r="Q87" s="506"/>
      <c r="R87" s="506"/>
      <c r="S87" s="506"/>
      <c r="T87" s="506"/>
      <c r="U87" s="506"/>
      <c r="V87" s="506"/>
      <c r="W87" s="506"/>
      <c r="X87" s="506"/>
      <c r="Y87" s="506"/>
      <c r="Z87" s="506"/>
      <c r="AA87" s="506"/>
      <c r="AB87" s="506"/>
      <c r="AC87" s="506"/>
      <c r="AD87" s="5"/>
      <c r="AE87" s="5"/>
      <c r="AF87" s="5"/>
      <c r="AG87" s="5"/>
      <c r="AH87" s="5"/>
    </row>
    <row r="88" spans="1:40" ht="15.6" customHeight="1">
      <c r="A88" s="503"/>
      <c r="B88" s="504"/>
      <c r="C88" s="505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07" t="s">
        <v>27</v>
      </c>
      <c r="B89" s="508"/>
      <c r="C89" s="509"/>
      <c r="D89" s="45"/>
      <c r="E89" s="45"/>
      <c r="F89" s="64">
        <f t="shared" ref="F89:AC89" si="23">SUM(F22,F25)</f>
        <v>3.8</v>
      </c>
      <c r="G89" s="64">
        <f t="shared" si="23"/>
        <v>0</v>
      </c>
      <c r="H89" s="64">
        <f t="shared" si="23"/>
        <v>0</v>
      </c>
      <c r="I89" s="64">
        <f t="shared" si="23"/>
        <v>0</v>
      </c>
      <c r="J89" s="64">
        <f t="shared" si="23"/>
        <v>0</v>
      </c>
      <c r="K89" s="64">
        <f t="shared" si="23"/>
        <v>0</v>
      </c>
      <c r="L89" s="64">
        <f t="shared" si="23"/>
        <v>3</v>
      </c>
      <c r="M89" s="64">
        <f t="shared" si="23"/>
        <v>3</v>
      </c>
      <c r="N89" s="64">
        <f t="shared" si="23"/>
        <v>7.3</v>
      </c>
      <c r="O89" s="64">
        <f t="shared" si="23"/>
        <v>7.6999999999999993</v>
      </c>
      <c r="P89" s="64">
        <f t="shared" si="23"/>
        <v>10.399999999999999</v>
      </c>
      <c r="Q89" s="64">
        <f t="shared" si="23"/>
        <v>10.399999999999999</v>
      </c>
      <c r="R89" s="64">
        <f t="shared" si="23"/>
        <v>10.399999999999999</v>
      </c>
      <c r="S89" s="64">
        <f t="shared" si="23"/>
        <v>10.399999999999999</v>
      </c>
      <c r="T89" s="64">
        <f t="shared" si="23"/>
        <v>10.399999999999999</v>
      </c>
      <c r="U89" s="64">
        <f t="shared" si="23"/>
        <v>10.399999999999999</v>
      </c>
      <c r="V89" s="64">
        <f t="shared" si="23"/>
        <v>10.399999999999999</v>
      </c>
      <c r="W89" s="64">
        <f t="shared" si="23"/>
        <v>10.399999999999999</v>
      </c>
      <c r="X89" s="64">
        <f t="shared" si="23"/>
        <v>9.8999999999999986</v>
      </c>
      <c r="Y89" s="64">
        <f t="shared" si="23"/>
        <v>10.399999999999999</v>
      </c>
      <c r="Z89" s="64">
        <f t="shared" si="23"/>
        <v>10.399999999999999</v>
      </c>
      <c r="AA89" s="64">
        <f t="shared" si="23"/>
        <v>10.399999999999999</v>
      </c>
      <c r="AB89" s="64">
        <f t="shared" si="23"/>
        <v>8.8000000000000007</v>
      </c>
      <c r="AC89" s="64">
        <f t="shared" si="23"/>
        <v>5.5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521" t="s">
        <v>77</v>
      </c>
      <c r="B90" s="521"/>
      <c r="C90" s="522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>
        <v>0.20599999999999999</v>
      </c>
      <c r="O90" s="68">
        <v>0.2</v>
      </c>
      <c r="P90" s="68">
        <v>0.11799999999999999</v>
      </c>
      <c r="Q90" s="68">
        <v>0.191</v>
      </c>
      <c r="R90" s="68">
        <v>0.26100000000000001</v>
      </c>
      <c r="S90" s="68">
        <v>0.23699999999999999</v>
      </c>
      <c r="T90" s="68">
        <v>0.247</v>
      </c>
      <c r="U90" s="68">
        <v>0.28299999999999997</v>
      </c>
      <c r="V90" s="68">
        <v>0.248</v>
      </c>
      <c r="W90" s="68">
        <v>0.26400000000000001</v>
      </c>
      <c r="X90" s="68">
        <v>0.223</v>
      </c>
      <c r="Y90" s="68">
        <v>0.23</v>
      </c>
      <c r="Z90" s="68">
        <v>0.20599999999999999</v>
      </c>
      <c r="AA90" s="68">
        <v>0.24299999999999999</v>
      </c>
      <c r="AB90" s="68">
        <v>0.26900000000000002</v>
      </c>
      <c r="AC90" s="68"/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07" t="s">
        <v>78</v>
      </c>
      <c r="B91" s="508"/>
      <c r="C91" s="509"/>
      <c r="D91" s="45"/>
      <c r="E91" s="45"/>
      <c r="F91" s="64">
        <f t="shared" ref="F91:AC91" si="24">F17</f>
        <v>20.100000000000001</v>
      </c>
      <c r="G91" s="64">
        <f t="shared" si="24"/>
        <v>20.100000000000001</v>
      </c>
      <c r="H91" s="64">
        <f t="shared" si="24"/>
        <v>19.899999999999999</v>
      </c>
      <c r="I91" s="64">
        <f t="shared" si="24"/>
        <v>13.4</v>
      </c>
      <c r="J91" s="64">
        <f t="shared" si="24"/>
        <v>13.4</v>
      </c>
      <c r="K91" s="64">
        <f t="shared" si="24"/>
        <v>13.3</v>
      </c>
      <c r="L91" s="64">
        <f t="shared" si="24"/>
        <v>13.5</v>
      </c>
      <c r="M91" s="64">
        <f t="shared" si="24"/>
        <v>13.5</v>
      </c>
      <c r="N91" s="64">
        <f t="shared" si="24"/>
        <v>13.6</v>
      </c>
      <c r="O91" s="64">
        <f t="shared" si="24"/>
        <v>20.399999999999999</v>
      </c>
      <c r="P91" s="64">
        <f t="shared" si="24"/>
        <v>19.799999999999997</v>
      </c>
      <c r="Q91" s="64">
        <f t="shared" si="24"/>
        <v>20.100000000000001</v>
      </c>
      <c r="R91" s="64">
        <f t="shared" si="24"/>
        <v>20.100000000000001</v>
      </c>
      <c r="S91" s="64">
        <f t="shared" si="24"/>
        <v>20.700000000000003</v>
      </c>
      <c r="T91" s="64">
        <f t="shared" si="24"/>
        <v>20.399999999999999</v>
      </c>
      <c r="U91" s="64">
        <f t="shared" si="24"/>
        <v>20.399999999999999</v>
      </c>
      <c r="V91" s="64">
        <f t="shared" si="24"/>
        <v>20.100000000000001</v>
      </c>
      <c r="W91" s="64">
        <f t="shared" si="24"/>
        <v>19.799999999999997</v>
      </c>
      <c r="X91" s="64">
        <f t="shared" si="24"/>
        <v>20.100000000000001</v>
      </c>
      <c r="Y91" s="64">
        <f t="shared" si="24"/>
        <v>20.399999999999999</v>
      </c>
      <c r="Z91" s="64">
        <f t="shared" si="24"/>
        <v>19.799999999999997</v>
      </c>
      <c r="AA91" s="64">
        <f t="shared" si="24"/>
        <v>19.5</v>
      </c>
      <c r="AB91" s="64">
        <f t="shared" si="24"/>
        <v>19.5</v>
      </c>
      <c r="AC91" s="64">
        <f t="shared" si="24"/>
        <v>19.5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21" t="s">
        <v>79</v>
      </c>
      <c r="B92" s="521"/>
      <c r="C92" s="522"/>
      <c r="D92" s="45"/>
      <c r="E92" s="45"/>
      <c r="F92" s="68">
        <v>0.73599999999999999</v>
      </c>
      <c r="G92" s="68">
        <v>0.73199999999999998</v>
      </c>
      <c r="H92" s="68">
        <v>0.68500000000000005</v>
      </c>
      <c r="I92" s="68">
        <v>0.64800000000000002</v>
      </c>
      <c r="J92" s="68">
        <v>0.61</v>
      </c>
      <c r="K92" s="68">
        <v>0.83899999999999997</v>
      </c>
      <c r="L92" s="68">
        <v>0.91</v>
      </c>
      <c r="M92" s="68">
        <v>0.86699999999999999</v>
      </c>
      <c r="N92" s="68">
        <v>0.68</v>
      </c>
      <c r="O92" s="68">
        <v>0.72499999999999998</v>
      </c>
      <c r="P92" s="68">
        <v>0.68400000000000005</v>
      </c>
      <c r="Q92" s="68">
        <v>0.58399999999999996</v>
      </c>
      <c r="R92" s="68">
        <v>0.59799999999999998</v>
      </c>
      <c r="S92" s="68">
        <v>0.82</v>
      </c>
      <c r="T92" s="68">
        <v>0.82399999999999995</v>
      </c>
      <c r="U92" s="68">
        <v>0.67100000000000004</v>
      </c>
      <c r="V92" s="68">
        <v>0.82599999999999996</v>
      </c>
      <c r="W92" s="68">
        <v>0.72099999999999997</v>
      </c>
      <c r="X92" s="68">
        <v>0.71599999999999997</v>
      </c>
      <c r="Y92" s="68">
        <v>0.65400000000000003</v>
      </c>
      <c r="Z92" s="68">
        <v>0.77</v>
      </c>
      <c r="AA92" s="68">
        <v>0.84499999999999997</v>
      </c>
      <c r="AB92" s="68">
        <v>0.66500000000000004</v>
      </c>
      <c r="AC92" s="68">
        <v>0.748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07" t="s">
        <v>29</v>
      </c>
      <c r="B93" s="508"/>
      <c r="C93" s="509"/>
      <c r="D93" s="45"/>
      <c r="E93" s="45"/>
      <c r="F93" s="65">
        <f t="shared" ref="F93:AC93" si="25">F31</f>
        <v>6</v>
      </c>
      <c r="G93" s="65">
        <f t="shared" si="25"/>
        <v>7.5</v>
      </c>
      <c r="H93" s="65">
        <f t="shared" si="25"/>
        <v>5.8</v>
      </c>
      <c r="I93" s="65">
        <f t="shared" si="25"/>
        <v>8</v>
      </c>
      <c r="J93" s="65">
        <f t="shared" si="25"/>
        <v>8</v>
      </c>
      <c r="K93" s="65">
        <f t="shared" si="25"/>
        <v>8</v>
      </c>
      <c r="L93" s="65">
        <f t="shared" si="25"/>
        <v>7.6</v>
      </c>
      <c r="M93" s="65">
        <f t="shared" si="25"/>
        <v>6.4</v>
      </c>
      <c r="N93" s="65">
        <f t="shared" si="25"/>
        <v>8</v>
      </c>
      <c r="O93" s="65">
        <f t="shared" si="25"/>
        <v>9</v>
      </c>
      <c r="P93" s="65">
        <f t="shared" si="25"/>
        <v>12.47</v>
      </c>
      <c r="Q93" s="65">
        <f t="shared" si="25"/>
        <v>12.420000000000002</v>
      </c>
      <c r="R93" s="65">
        <f t="shared" si="25"/>
        <v>13.05</v>
      </c>
      <c r="S93" s="65">
        <f t="shared" si="25"/>
        <v>13.040000000000001</v>
      </c>
      <c r="T93" s="65">
        <f>T31</f>
        <v>13.86</v>
      </c>
      <c r="U93" s="65">
        <f t="shared" si="25"/>
        <v>14</v>
      </c>
      <c r="V93" s="65">
        <f t="shared" si="25"/>
        <v>13.8</v>
      </c>
      <c r="W93" s="65">
        <f t="shared" si="25"/>
        <v>9.61</v>
      </c>
      <c r="X93" s="65">
        <f t="shared" si="25"/>
        <v>11.600000000000001</v>
      </c>
      <c r="Y93" s="65">
        <f t="shared" si="25"/>
        <v>14.5</v>
      </c>
      <c r="Z93" s="65">
        <f t="shared" si="25"/>
        <v>13.07</v>
      </c>
      <c r="AA93" s="65">
        <f t="shared" si="25"/>
        <v>10.3</v>
      </c>
      <c r="AB93" s="65">
        <f t="shared" si="25"/>
        <v>8</v>
      </c>
      <c r="AC93" s="65">
        <f t="shared" si="25"/>
        <v>9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21" t="s">
        <v>102</v>
      </c>
      <c r="B94" s="521"/>
      <c r="C94" s="522"/>
      <c r="D94" s="45"/>
      <c r="E94" s="45"/>
      <c r="F94" s="68">
        <v>0.248</v>
      </c>
      <c r="G94" s="68">
        <v>0.23499999999999999</v>
      </c>
      <c r="H94" s="68">
        <v>0.255</v>
      </c>
      <c r="I94" s="68">
        <v>0.254</v>
      </c>
      <c r="J94" s="68">
        <v>0.245</v>
      </c>
      <c r="K94" s="68">
        <v>0.26</v>
      </c>
      <c r="L94" s="68">
        <v>0.24199999999999999</v>
      </c>
      <c r="M94" s="68">
        <v>0.26200000000000001</v>
      </c>
      <c r="N94" s="68">
        <v>0.27500000000000002</v>
      </c>
      <c r="O94" s="68">
        <v>0.28499999999999998</v>
      </c>
      <c r="P94" s="68">
        <v>0.27900000000000003</v>
      </c>
      <c r="Q94" s="68">
        <v>0.28499999999999998</v>
      </c>
      <c r="R94" s="68">
        <v>0.28299999999999997</v>
      </c>
      <c r="S94" s="68">
        <v>0.27900000000000003</v>
      </c>
      <c r="T94" s="68">
        <v>0.27500000000000002</v>
      </c>
      <c r="U94" s="68">
        <v>0.28799999999999998</v>
      </c>
      <c r="V94" s="68">
        <v>0.251</v>
      </c>
      <c r="W94" s="68">
        <v>0.26300000000000001</v>
      </c>
      <c r="X94" s="68">
        <v>0.28000000000000003</v>
      </c>
      <c r="Y94" s="68">
        <v>0.28499999999999998</v>
      </c>
      <c r="Z94" s="68">
        <v>0.26600000000000001</v>
      </c>
      <c r="AA94" s="68">
        <v>0.249</v>
      </c>
      <c r="AB94" s="68">
        <v>0.255</v>
      </c>
      <c r="AC94" s="68">
        <v>0.27700000000000002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21" t="s">
        <v>104</v>
      </c>
      <c r="B95" s="521"/>
      <c r="C95" s="522"/>
      <c r="D95" s="45"/>
      <c r="E95" s="45"/>
      <c r="F95" s="68" t="s">
        <v>1</v>
      </c>
      <c r="G95" s="68" t="s">
        <v>1</v>
      </c>
      <c r="H95" s="68" t="s">
        <v>1</v>
      </c>
      <c r="I95" s="68" t="s">
        <v>1</v>
      </c>
      <c r="J95" s="68" t="s">
        <v>1</v>
      </c>
      <c r="K95" s="68" t="s">
        <v>1</v>
      </c>
      <c r="L95" s="68" t="s">
        <v>1</v>
      </c>
      <c r="M95" s="68" t="s">
        <v>1</v>
      </c>
      <c r="N95" s="68" t="s">
        <v>1</v>
      </c>
      <c r="O95" s="68" t="s">
        <v>1</v>
      </c>
      <c r="P95" s="68">
        <v>0.193</v>
      </c>
      <c r="Q95" s="68">
        <v>0.193</v>
      </c>
      <c r="R95" s="68">
        <v>0.24959999999999999</v>
      </c>
      <c r="S95" s="68">
        <v>0.2329</v>
      </c>
      <c r="T95" s="68">
        <v>0.20949999999999999</v>
      </c>
      <c r="U95" s="68">
        <v>0.22020000000000001</v>
      </c>
      <c r="V95" s="68">
        <v>0.37040000000000001</v>
      </c>
      <c r="W95" s="68">
        <v>0.35210000000000002</v>
      </c>
      <c r="X95" s="68">
        <v>0.36209999999999998</v>
      </c>
      <c r="Y95" s="68">
        <v>0.2414</v>
      </c>
      <c r="Z95" s="68">
        <v>0.20780000000000001</v>
      </c>
      <c r="AA95" s="68">
        <v>0.18820000000000001</v>
      </c>
      <c r="AB95" s="68"/>
      <c r="AC95" s="68"/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07" t="s">
        <v>32</v>
      </c>
      <c r="B96" s="508"/>
      <c r="C96" s="509"/>
      <c r="D96" s="45"/>
      <c r="E96" s="45"/>
      <c r="F96" s="65">
        <f t="shared" ref="F96:AC96" si="26">F34</f>
        <v>14.27</v>
      </c>
      <c r="G96" s="65">
        <f t="shared" si="26"/>
        <v>13.76</v>
      </c>
      <c r="H96" s="65">
        <f t="shared" si="26"/>
        <v>13.29</v>
      </c>
      <c r="I96" s="65">
        <f t="shared" si="26"/>
        <v>14.28</v>
      </c>
      <c r="J96" s="65">
        <f t="shared" si="26"/>
        <v>14.27</v>
      </c>
      <c r="K96" s="65">
        <f t="shared" si="26"/>
        <v>14.3</v>
      </c>
      <c r="L96" s="65">
        <f t="shared" si="26"/>
        <v>14.27</v>
      </c>
      <c r="M96" s="65">
        <f t="shared" si="26"/>
        <v>14.27</v>
      </c>
      <c r="N96" s="65">
        <f t="shared" si="26"/>
        <v>14.25</v>
      </c>
      <c r="O96" s="65">
        <f t="shared" si="26"/>
        <v>14.29</v>
      </c>
      <c r="P96" s="65">
        <f t="shared" si="26"/>
        <v>14.27</v>
      </c>
      <c r="Q96" s="65">
        <f t="shared" si="26"/>
        <v>14.25</v>
      </c>
      <c r="R96" s="65">
        <f t="shared" si="26"/>
        <v>14.19</v>
      </c>
      <c r="S96" s="65">
        <f t="shared" si="26"/>
        <v>14.21</v>
      </c>
      <c r="T96" s="65">
        <f t="shared" si="26"/>
        <v>14.2</v>
      </c>
      <c r="U96" s="65">
        <f t="shared" si="26"/>
        <v>14.28</v>
      </c>
      <c r="V96" s="65">
        <f t="shared" si="26"/>
        <v>14.18</v>
      </c>
      <c r="W96" s="65">
        <f t="shared" si="26"/>
        <v>14.25</v>
      </c>
      <c r="X96" s="65">
        <f t="shared" si="26"/>
        <v>14.15</v>
      </c>
      <c r="Y96" s="65">
        <f t="shared" si="26"/>
        <v>14.19</v>
      </c>
      <c r="Z96" s="65">
        <f t="shared" si="26"/>
        <v>14.18</v>
      </c>
      <c r="AA96" s="65">
        <f t="shared" si="26"/>
        <v>14.24</v>
      </c>
      <c r="AB96" s="65">
        <f t="shared" si="26"/>
        <v>14.27</v>
      </c>
      <c r="AC96" s="65">
        <f t="shared" si="26"/>
        <v>14.29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21" t="s">
        <v>81</v>
      </c>
      <c r="B97" s="521"/>
      <c r="C97" s="522"/>
      <c r="D97" s="68"/>
      <c r="E97" s="68"/>
      <c r="F97" s="68">
        <v>0.73</v>
      </c>
      <c r="G97" s="68">
        <v>0.74</v>
      </c>
      <c r="H97" s="68">
        <v>0.71</v>
      </c>
      <c r="I97" s="68">
        <v>0.72</v>
      </c>
      <c r="J97" s="68">
        <v>0.73</v>
      </c>
      <c r="K97" s="68">
        <v>0.7</v>
      </c>
      <c r="L97" s="68">
        <v>0.73</v>
      </c>
      <c r="M97" s="68">
        <v>0.73</v>
      </c>
      <c r="N97" s="68">
        <v>0.75</v>
      </c>
      <c r="O97" s="68">
        <v>0.71</v>
      </c>
      <c r="P97" s="68">
        <v>0.73</v>
      </c>
      <c r="Q97" s="68">
        <v>0.75</v>
      </c>
      <c r="R97" s="68">
        <v>0.81</v>
      </c>
      <c r="S97" s="68">
        <v>0.79</v>
      </c>
      <c r="T97" s="68">
        <v>0.8</v>
      </c>
      <c r="U97" s="68">
        <v>0.72</v>
      </c>
      <c r="V97" s="68">
        <v>0.82</v>
      </c>
      <c r="W97" s="68">
        <v>0.75</v>
      </c>
      <c r="X97" s="68">
        <v>0.85</v>
      </c>
      <c r="Y97" s="68">
        <v>0.81</v>
      </c>
      <c r="Z97" s="68">
        <v>0.82</v>
      </c>
      <c r="AA97" s="68">
        <v>0.76</v>
      </c>
      <c r="AB97" s="68">
        <v>0.73</v>
      </c>
      <c r="AC97" s="68">
        <v>0.71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07" t="s">
        <v>33</v>
      </c>
      <c r="B98" s="508"/>
      <c r="C98" s="509"/>
      <c r="D98" s="45"/>
      <c r="E98" s="45"/>
      <c r="F98" s="64">
        <f t="shared" ref="F98:AC98" si="27">F60</f>
        <v>0</v>
      </c>
      <c r="G98" s="64">
        <f t="shared" si="27"/>
        <v>0</v>
      </c>
      <c r="H98" s="64">
        <f t="shared" si="27"/>
        <v>0</v>
      </c>
      <c r="I98" s="64">
        <f t="shared" si="27"/>
        <v>1.5</v>
      </c>
      <c r="J98" s="64">
        <f t="shared" si="27"/>
        <v>0.8</v>
      </c>
      <c r="K98" s="64">
        <f t="shared" si="27"/>
        <v>1.5</v>
      </c>
      <c r="L98" s="64">
        <f t="shared" si="27"/>
        <v>0.8</v>
      </c>
      <c r="M98" s="64">
        <f t="shared" si="27"/>
        <v>0</v>
      </c>
      <c r="N98" s="64">
        <f t="shared" si="27"/>
        <v>0.8</v>
      </c>
      <c r="O98" s="64">
        <f t="shared" si="27"/>
        <v>1.5</v>
      </c>
      <c r="P98" s="64">
        <f t="shared" si="27"/>
        <v>0.8</v>
      </c>
      <c r="Q98" s="64">
        <f t="shared" si="27"/>
        <v>0.8</v>
      </c>
      <c r="R98" s="64">
        <f t="shared" si="27"/>
        <v>0.8</v>
      </c>
      <c r="S98" s="64">
        <f t="shared" si="27"/>
        <v>0</v>
      </c>
      <c r="T98" s="64">
        <f t="shared" si="27"/>
        <v>2.2000000000000002</v>
      </c>
      <c r="U98" s="64">
        <f t="shared" si="27"/>
        <v>2.2000000000000002</v>
      </c>
      <c r="V98" s="64">
        <f t="shared" si="27"/>
        <v>2.2999999999999998</v>
      </c>
      <c r="W98" s="64">
        <f t="shared" si="27"/>
        <v>1.5</v>
      </c>
      <c r="X98" s="64">
        <f t="shared" si="27"/>
        <v>0</v>
      </c>
      <c r="Y98" s="64">
        <f t="shared" si="27"/>
        <v>1.5</v>
      </c>
      <c r="Z98" s="64">
        <f t="shared" si="27"/>
        <v>1.5</v>
      </c>
      <c r="AA98" s="64">
        <f t="shared" si="27"/>
        <v>0</v>
      </c>
      <c r="AB98" s="64">
        <f t="shared" si="27"/>
        <v>0</v>
      </c>
      <c r="AC98" s="64">
        <f t="shared" si="27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07" t="s">
        <v>55</v>
      </c>
      <c r="B99" s="508"/>
      <c r="C99" s="509"/>
      <c r="D99" s="45"/>
      <c r="E99" s="45"/>
      <c r="F99" s="64">
        <f t="shared" ref="F99:AC99" si="28">F65</f>
        <v>1.23</v>
      </c>
      <c r="G99" s="64">
        <f t="shared" si="28"/>
        <v>1.08</v>
      </c>
      <c r="H99" s="64">
        <f t="shared" si="28"/>
        <v>1.06</v>
      </c>
      <c r="I99" s="64">
        <f t="shared" si="28"/>
        <v>0.95</v>
      </c>
      <c r="J99" s="64">
        <f t="shared" si="28"/>
        <v>0.89</v>
      </c>
      <c r="K99" s="64">
        <f t="shared" si="28"/>
        <v>0.87</v>
      </c>
      <c r="L99" s="64">
        <f t="shared" si="28"/>
        <v>1</v>
      </c>
      <c r="M99" s="64">
        <f t="shared" si="28"/>
        <v>1.1100000000000001</v>
      </c>
      <c r="N99" s="64">
        <f t="shared" si="28"/>
        <v>1.24</v>
      </c>
      <c r="O99" s="64">
        <f t="shared" si="28"/>
        <v>1.44</v>
      </c>
      <c r="P99" s="64">
        <f t="shared" si="28"/>
        <v>1.47</v>
      </c>
      <c r="Q99" s="64">
        <f t="shared" si="28"/>
        <v>1.48</v>
      </c>
      <c r="R99" s="64">
        <f t="shared" si="28"/>
        <v>1.55</v>
      </c>
      <c r="S99" s="64">
        <f t="shared" si="28"/>
        <v>1.44</v>
      </c>
      <c r="T99" s="64">
        <f t="shared" si="28"/>
        <v>1.45</v>
      </c>
      <c r="U99" s="64">
        <f t="shared" si="28"/>
        <v>1.42</v>
      </c>
      <c r="V99" s="64">
        <f t="shared" si="28"/>
        <v>1.36</v>
      </c>
      <c r="W99" s="64">
        <f t="shared" si="28"/>
        <v>1.34</v>
      </c>
      <c r="X99" s="64">
        <f t="shared" si="28"/>
        <v>1.3</v>
      </c>
      <c r="Y99" s="64">
        <f t="shared" si="28"/>
        <v>1.62</v>
      </c>
      <c r="Z99" s="64">
        <f t="shared" si="28"/>
        <v>1.6</v>
      </c>
      <c r="AA99" s="64">
        <f t="shared" si="28"/>
        <v>1.51</v>
      </c>
      <c r="AB99" s="64">
        <f t="shared" si="28"/>
        <v>1.37</v>
      </c>
      <c r="AC99" s="64">
        <f t="shared" si="28"/>
        <v>1.23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07" t="s">
        <v>59</v>
      </c>
      <c r="B100" s="508"/>
      <c r="C100" s="509"/>
      <c r="D100" s="45"/>
      <c r="E100" s="45"/>
      <c r="F100" s="64">
        <f t="shared" ref="F100:AC100" si="29">F76</f>
        <v>0</v>
      </c>
      <c r="G100" s="64">
        <f t="shared" si="29"/>
        <v>0</v>
      </c>
      <c r="H100" s="64">
        <f t="shared" si="29"/>
        <v>0</v>
      </c>
      <c r="I100" s="64">
        <f t="shared" si="29"/>
        <v>0</v>
      </c>
      <c r="J100" s="64">
        <f t="shared" si="29"/>
        <v>0</v>
      </c>
      <c r="K100" s="64">
        <f t="shared" si="29"/>
        <v>0</v>
      </c>
      <c r="L100" s="64">
        <f t="shared" si="29"/>
        <v>0</v>
      </c>
      <c r="M100" s="64">
        <f t="shared" si="29"/>
        <v>0</v>
      </c>
      <c r="N100" s="64">
        <f t="shared" si="29"/>
        <v>0</v>
      </c>
      <c r="O100" s="64">
        <f t="shared" si="29"/>
        <v>0</v>
      </c>
      <c r="P100" s="64">
        <f t="shared" si="29"/>
        <v>0</v>
      </c>
      <c r="Q100" s="64">
        <f t="shared" si="29"/>
        <v>0</v>
      </c>
      <c r="R100" s="64">
        <f t="shared" si="29"/>
        <v>0</v>
      </c>
      <c r="S100" s="64">
        <f t="shared" si="29"/>
        <v>0</v>
      </c>
      <c r="T100" s="64">
        <f t="shared" si="29"/>
        <v>0</v>
      </c>
      <c r="U100" s="64">
        <f t="shared" si="29"/>
        <v>0</v>
      </c>
      <c r="V100" s="64">
        <f t="shared" si="29"/>
        <v>0</v>
      </c>
      <c r="W100" s="64">
        <f t="shared" si="29"/>
        <v>0</v>
      </c>
      <c r="X100" s="64">
        <f t="shared" si="29"/>
        <v>0</v>
      </c>
      <c r="Y100" s="64">
        <f t="shared" si="29"/>
        <v>0</v>
      </c>
      <c r="Z100" s="64">
        <f t="shared" si="29"/>
        <v>0</v>
      </c>
      <c r="AA100" s="64">
        <f t="shared" si="29"/>
        <v>0</v>
      </c>
      <c r="AB100" s="64">
        <f t="shared" si="29"/>
        <v>0</v>
      </c>
      <c r="AC100" s="64">
        <f t="shared" si="29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07" t="s">
        <v>69</v>
      </c>
      <c r="B101" s="508"/>
      <c r="C101" s="509"/>
      <c r="D101" s="45"/>
      <c r="E101" s="45"/>
      <c r="F101" s="64">
        <f t="shared" ref="F101:AC101" si="30">F80</f>
        <v>0.82</v>
      </c>
      <c r="G101" s="64">
        <f t="shared" si="30"/>
        <v>0.78</v>
      </c>
      <c r="H101" s="64">
        <f t="shared" si="30"/>
        <v>0.75</v>
      </c>
      <c r="I101" s="64">
        <f t="shared" si="30"/>
        <v>0.72</v>
      </c>
      <c r="J101" s="64">
        <f t="shared" si="30"/>
        <v>0.71</v>
      </c>
      <c r="K101" s="64">
        <f t="shared" si="30"/>
        <v>0.73</v>
      </c>
      <c r="L101" s="64">
        <f t="shared" si="30"/>
        <v>0.75</v>
      </c>
      <c r="M101" s="64">
        <f t="shared" si="30"/>
        <v>0.72</v>
      </c>
      <c r="N101" s="64">
        <f t="shared" si="30"/>
        <v>0.77</v>
      </c>
      <c r="O101" s="64">
        <f t="shared" si="30"/>
        <v>0.78</v>
      </c>
      <c r="P101" s="64">
        <f t="shared" si="30"/>
        <v>0.84</v>
      </c>
      <c r="Q101" s="64">
        <f t="shared" si="30"/>
        <v>0.84</v>
      </c>
      <c r="R101" s="64">
        <f t="shared" si="30"/>
        <v>0.89</v>
      </c>
      <c r="S101" s="64">
        <f t="shared" si="30"/>
        <v>0</v>
      </c>
      <c r="T101" s="64">
        <f t="shared" si="30"/>
        <v>0</v>
      </c>
      <c r="U101" s="64">
        <f t="shared" si="30"/>
        <v>0.77</v>
      </c>
      <c r="V101" s="64">
        <f t="shared" si="30"/>
        <v>0.91</v>
      </c>
      <c r="W101" s="64">
        <f t="shared" si="30"/>
        <v>0.85</v>
      </c>
      <c r="X101" s="64">
        <f t="shared" si="30"/>
        <v>0.9</v>
      </c>
      <c r="Y101" s="64">
        <f t="shared" si="30"/>
        <v>1</v>
      </c>
      <c r="Z101" s="64">
        <f t="shared" si="30"/>
        <v>1.05</v>
      </c>
      <c r="AA101" s="64">
        <f t="shared" si="30"/>
        <v>0.97</v>
      </c>
      <c r="AB101" s="64">
        <f t="shared" si="30"/>
        <v>0.92</v>
      </c>
      <c r="AC101" s="64">
        <f t="shared" si="30"/>
        <v>0.92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07" t="s">
        <v>72</v>
      </c>
      <c r="B102" s="508"/>
      <c r="C102" s="509"/>
      <c r="D102" s="45"/>
      <c r="E102" s="45"/>
      <c r="F102" s="64">
        <f t="shared" ref="F102:AC102" si="31">F82</f>
        <v>0</v>
      </c>
      <c r="G102" s="64">
        <f t="shared" si="31"/>
        <v>0</v>
      </c>
      <c r="H102" s="64">
        <f t="shared" si="31"/>
        <v>0</v>
      </c>
      <c r="I102" s="64">
        <f t="shared" si="31"/>
        <v>0</v>
      </c>
      <c r="J102" s="64">
        <f t="shared" si="31"/>
        <v>0</v>
      </c>
      <c r="K102" s="64">
        <f t="shared" si="31"/>
        <v>0</v>
      </c>
      <c r="L102" s="64">
        <f t="shared" si="31"/>
        <v>0</v>
      </c>
      <c r="M102" s="64">
        <f t="shared" si="31"/>
        <v>0</v>
      </c>
      <c r="N102" s="64">
        <f t="shared" si="31"/>
        <v>0</v>
      </c>
      <c r="O102" s="64">
        <f t="shared" si="31"/>
        <v>0</v>
      </c>
      <c r="P102" s="64">
        <f t="shared" si="31"/>
        <v>0</v>
      </c>
      <c r="Q102" s="64">
        <f t="shared" si="31"/>
        <v>0</v>
      </c>
      <c r="R102" s="64">
        <f t="shared" si="31"/>
        <v>0</v>
      </c>
      <c r="S102" s="64">
        <f t="shared" si="31"/>
        <v>0</v>
      </c>
      <c r="T102" s="64">
        <f t="shared" si="31"/>
        <v>0</v>
      </c>
      <c r="U102" s="64">
        <f t="shared" si="31"/>
        <v>0</v>
      </c>
      <c r="V102" s="64">
        <f t="shared" si="31"/>
        <v>0</v>
      </c>
      <c r="W102" s="64">
        <f t="shared" si="31"/>
        <v>0</v>
      </c>
      <c r="X102" s="64">
        <f t="shared" si="31"/>
        <v>0</v>
      </c>
      <c r="Y102" s="64">
        <f t="shared" si="31"/>
        <v>0</v>
      </c>
      <c r="Z102" s="64">
        <f t="shared" si="31"/>
        <v>0</v>
      </c>
      <c r="AA102" s="64">
        <f t="shared" si="31"/>
        <v>0</v>
      </c>
      <c r="AB102" s="64">
        <f t="shared" si="31"/>
        <v>0</v>
      </c>
      <c r="AC102" s="64">
        <f t="shared" si="31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11" t="s">
        <v>82</v>
      </c>
      <c r="B103" s="511"/>
      <c r="C103" s="511"/>
      <c r="D103" s="47"/>
      <c r="E103" s="47"/>
      <c r="F103" s="61">
        <f t="shared" ref="F103:AC103" si="32">SUM(F89,F91,F93,F96,F98:F102,F81)</f>
        <v>46.22</v>
      </c>
      <c r="G103" s="61">
        <f t="shared" si="32"/>
        <v>43.22</v>
      </c>
      <c r="H103" s="61">
        <f t="shared" si="32"/>
        <v>40.799999999999997</v>
      </c>
      <c r="I103" s="61">
        <f t="shared" si="32"/>
        <v>38.85</v>
      </c>
      <c r="J103" s="61">
        <f t="shared" si="32"/>
        <v>38.07</v>
      </c>
      <c r="K103" s="61">
        <f t="shared" si="32"/>
        <v>38.699999999999996</v>
      </c>
      <c r="L103" s="61">
        <f t="shared" si="32"/>
        <v>40.92</v>
      </c>
      <c r="M103" s="61">
        <f t="shared" si="32"/>
        <v>39</v>
      </c>
      <c r="N103" s="61">
        <f t="shared" si="32"/>
        <v>45.96</v>
      </c>
      <c r="O103" s="61">
        <f t="shared" si="32"/>
        <v>55.109999999999992</v>
      </c>
      <c r="P103" s="61">
        <f t="shared" si="32"/>
        <v>60.05</v>
      </c>
      <c r="Q103" s="61">
        <f t="shared" si="32"/>
        <v>60.29</v>
      </c>
      <c r="R103" s="61">
        <f t="shared" si="32"/>
        <v>60.97999999999999</v>
      </c>
      <c r="S103" s="61">
        <f t="shared" si="32"/>
        <v>59.79</v>
      </c>
      <c r="T103" s="61">
        <f t="shared" si="32"/>
        <v>62.510000000000005</v>
      </c>
      <c r="U103" s="61">
        <f t="shared" si="32"/>
        <v>63.470000000000006</v>
      </c>
      <c r="V103" s="61">
        <f t="shared" si="32"/>
        <v>63.04999999999999</v>
      </c>
      <c r="W103" s="61">
        <f t="shared" si="32"/>
        <v>57.75</v>
      </c>
      <c r="X103" s="61">
        <f t="shared" si="32"/>
        <v>57.949999999999996</v>
      </c>
      <c r="Y103" s="61">
        <f t="shared" si="32"/>
        <v>63.609999999999992</v>
      </c>
      <c r="Z103" s="61">
        <f t="shared" si="32"/>
        <v>61.599999999999994</v>
      </c>
      <c r="AA103" s="61">
        <f t="shared" si="32"/>
        <v>56.92</v>
      </c>
      <c r="AB103" s="61">
        <f t="shared" si="32"/>
        <v>52.859999999999992</v>
      </c>
      <c r="AC103" s="61">
        <f t="shared" si="32"/>
        <v>50.44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12" t="s">
        <v>83</v>
      </c>
      <c r="B104" s="512"/>
      <c r="C104" s="512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12" t="s">
        <v>84</v>
      </c>
      <c r="B105" s="512"/>
      <c r="C105" s="512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12" t="s">
        <v>85</v>
      </c>
      <c r="B106" s="512"/>
      <c r="C106" s="512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>
        <v>0.89</v>
      </c>
      <c r="T106" s="76">
        <v>0.89</v>
      </c>
      <c r="U106" s="76"/>
      <c r="V106" s="76"/>
      <c r="W106" s="76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11" t="s">
        <v>86</v>
      </c>
      <c r="B107" s="511"/>
      <c r="C107" s="511"/>
      <c r="D107" s="47"/>
      <c r="E107" s="47"/>
      <c r="F107" s="61">
        <f t="shared" ref="F107:AC107" si="33">SUM(F104:F106)</f>
        <v>0</v>
      </c>
      <c r="G107" s="61">
        <f t="shared" si="33"/>
        <v>0</v>
      </c>
      <c r="H107" s="61">
        <f t="shared" si="33"/>
        <v>0</v>
      </c>
      <c r="I107" s="61">
        <f t="shared" si="33"/>
        <v>0</v>
      </c>
      <c r="J107" s="61">
        <f t="shared" si="33"/>
        <v>0</v>
      </c>
      <c r="K107" s="61">
        <f t="shared" si="33"/>
        <v>0</v>
      </c>
      <c r="L107" s="61">
        <f t="shared" si="33"/>
        <v>0</v>
      </c>
      <c r="M107" s="61">
        <f t="shared" si="33"/>
        <v>0</v>
      </c>
      <c r="N107" s="61">
        <f t="shared" si="33"/>
        <v>0</v>
      </c>
      <c r="O107" s="61">
        <f t="shared" si="33"/>
        <v>0</v>
      </c>
      <c r="P107" s="61">
        <f t="shared" si="33"/>
        <v>0</v>
      </c>
      <c r="Q107" s="61">
        <f t="shared" si="33"/>
        <v>0</v>
      </c>
      <c r="R107" s="61">
        <f t="shared" si="33"/>
        <v>0</v>
      </c>
      <c r="S107" s="61">
        <f t="shared" si="33"/>
        <v>0.89</v>
      </c>
      <c r="T107" s="61">
        <f t="shared" si="33"/>
        <v>0.89</v>
      </c>
      <c r="U107" s="61">
        <f t="shared" si="33"/>
        <v>0</v>
      </c>
      <c r="V107" s="61">
        <f t="shared" si="33"/>
        <v>0</v>
      </c>
      <c r="W107" s="61">
        <f t="shared" si="33"/>
        <v>0</v>
      </c>
      <c r="X107" s="61">
        <f t="shared" si="33"/>
        <v>0</v>
      </c>
      <c r="Y107" s="61">
        <f t="shared" si="33"/>
        <v>0</v>
      </c>
      <c r="Z107" s="61">
        <f t="shared" si="33"/>
        <v>0</v>
      </c>
      <c r="AA107" s="61">
        <f t="shared" si="33"/>
        <v>0</v>
      </c>
      <c r="AB107" s="61">
        <f t="shared" si="33"/>
        <v>0</v>
      </c>
      <c r="AC107" s="61">
        <f t="shared" si="33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13" t="s">
        <v>87</v>
      </c>
      <c r="B108" s="513"/>
      <c r="C108" s="513"/>
      <c r="D108" s="48"/>
      <c r="E108" s="48"/>
      <c r="F108" s="62">
        <f t="shared" ref="F108:AC108" si="34">F103+F107</f>
        <v>46.22</v>
      </c>
      <c r="G108" s="62">
        <f t="shared" si="34"/>
        <v>43.22</v>
      </c>
      <c r="H108" s="62">
        <f t="shared" si="34"/>
        <v>40.799999999999997</v>
      </c>
      <c r="I108" s="62">
        <f t="shared" si="34"/>
        <v>38.85</v>
      </c>
      <c r="J108" s="62">
        <f t="shared" si="34"/>
        <v>38.07</v>
      </c>
      <c r="K108" s="62">
        <f t="shared" si="34"/>
        <v>38.699999999999996</v>
      </c>
      <c r="L108" s="62">
        <f t="shared" si="34"/>
        <v>40.92</v>
      </c>
      <c r="M108" s="62">
        <f t="shared" si="34"/>
        <v>39</v>
      </c>
      <c r="N108" s="62">
        <f t="shared" si="34"/>
        <v>45.96</v>
      </c>
      <c r="O108" s="62">
        <f t="shared" si="34"/>
        <v>55.109999999999992</v>
      </c>
      <c r="P108" s="62">
        <f t="shared" si="34"/>
        <v>60.05</v>
      </c>
      <c r="Q108" s="62">
        <f t="shared" si="34"/>
        <v>60.29</v>
      </c>
      <c r="R108" s="62">
        <f t="shared" si="34"/>
        <v>60.97999999999999</v>
      </c>
      <c r="S108" s="62">
        <f t="shared" si="34"/>
        <v>60.68</v>
      </c>
      <c r="T108" s="62">
        <f>T103+T107</f>
        <v>63.400000000000006</v>
      </c>
      <c r="U108" s="62">
        <f t="shared" si="34"/>
        <v>63.470000000000006</v>
      </c>
      <c r="V108" s="62">
        <f t="shared" si="34"/>
        <v>63.04999999999999</v>
      </c>
      <c r="W108" s="62">
        <f>W103+W107</f>
        <v>57.75</v>
      </c>
      <c r="X108" s="62">
        <f t="shared" si="34"/>
        <v>57.949999999999996</v>
      </c>
      <c r="Y108" s="62">
        <f t="shared" si="34"/>
        <v>63.609999999999992</v>
      </c>
      <c r="Z108" s="62">
        <f t="shared" si="34"/>
        <v>61.599999999999994</v>
      </c>
      <c r="AA108" s="62">
        <f t="shared" si="34"/>
        <v>56.92</v>
      </c>
      <c r="AB108" s="62">
        <f t="shared" si="34"/>
        <v>52.859999999999992</v>
      </c>
      <c r="AC108" s="62">
        <f t="shared" si="34"/>
        <v>50.44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14" t="s">
        <v>88</v>
      </c>
      <c r="B109" s="514"/>
      <c r="C109" s="514"/>
      <c r="D109" s="52"/>
      <c r="E109" s="52"/>
      <c r="F109" s="63">
        <f t="shared" ref="F109:AC109" si="35">(COUNT(F13:F16))*7.2+(COUNT(F27:F28)*4.9)+(COUNT(F19:F21)*4.5)-F91-F93</f>
        <v>14.300000000000004</v>
      </c>
      <c r="G109" s="63">
        <f t="shared" si="35"/>
        <v>20</v>
      </c>
      <c r="H109" s="63">
        <f t="shared" si="35"/>
        <v>14.700000000000006</v>
      </c>
      <c r="I109" s="63">
        <f t="shared" si="35"/>
        <v>19.000000000000007</v>
      </c>
      <c r="J109" s="63">
        <f t="shared" si="35"/>
        <v>19.000000000000007</v>
      </c>
      <c r="K109" s="63">
        <f t="shared" si="35"/>
        <v>19.100000000000005</v>
      </c>
      <c r="L109" s="63">
        <f t="shared" si="35"/>
        <v>19.300000000000004</v>
      </c>
      <c r="M109" s="63">
        <f t="shared" si="35"/>
        <v>20.500000000000007</v>
      </c>
      <c r="N109" s="63">
        <f t="shared" si="35"/>
        <v>18.800000000000004</v>
      </c>
      <c r="O109" s="63">
        <f t="shared" si="35"/>
        <v>11.000000000000007</v>
      </c>
      <c r="P109" s="63">
        <f t="shared" si="35"/>
        <v>8.1300000000000079</v>
      </c>
      <c r="Q109" s="63">
        <f t="shared" si="35"/>
        <v>7.8800000000000026</v>
      </c>
      <c r="R109" s="63">
        <f t="shared" si="35"/>
        <v>7.2500000000000036</v>
      </c>
      <c r="S109" s="63">
        <f t="shared" si="35"/>
        <v>6.6600000000000019</v>
      </c>
      <c r="T109" s="63">
        <f t="shared" si="35"/>
        <v>6.1400000000000077</v>
      </c>
      <c r="U109" s="63">
        <f t="shared" si="35"/>
        <v>6.0000000000000071</v>
      </c>
      <c r="V109" s="63">
        <f t="shared" si="35"/>
        <v>6.5000000000000036</v>
      </c>
      <c r="W109" s="63">
        <f t="shared" si="35"/>
        <v>10.990000000000009</v>
      </c>
      <c r="X109" s="63">
        <f t="shared" si="35"/>
        <v>8.7000000000000028</v>
      </c>
      <c r="Y109" s="63">
        <f t="shared" si="35"/>
        <v>5.5000000000000071</v>
      </c>
      <c r="Z109" s="63">
        <f t="shared" si="35"/>
        <v>7.5300000000000082</v>
      </c>
      <c r="AA109" s="63">
        <f t="shared" si="35"/>
        <v>10.600000000000005</v>
      </c>
      <c r="AB109" s="63">
        <f t="shared" si="35"/>
        <v>12.900000000000006</v>
      </c>
      <c r="AC109" s="63">
        <f t="shared" si="35"/>
        <v>11.900000000000006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15" t="s">
        <v>89</v>
      </c>
      <c r="B110" s="516"/>
      <c r="C110" s="517"/>
      <c r="D110" s="204"/>
      <c r="E110" s="204"/>
      <c r="F110" s="205">
        <f t="shared" ref="F110:P110" si="36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4.6000000000000005</v>
      </c>
      <c r="G110" s="205">
        <f t="shared" si="36"/>
        <v>2.4000000000000004</v>
      </c>
      <c r="H110" s="205">
        <f t="shared" si="36"/>
        <v>4.3000000000000034</v>
      </c>
      <c r="I110" s="205">
        <f t="shared" si="36"/>
        <v>1.4000000000000004</v>
      </c>
      <c r="J110" s="205">
        <f t="shared" si="36"/>
        <v>1.4000000000000004</v>
      </c>
      <c r="K110" s="205">
        <f t="shared" si="36"/>
        <v>1.5</v>
      </c>
      <c r="L110" s="205">
        <f t="shared" si="36"/>
        <v>3.2000000000000011</v>
      </c>
      <c r="M110" s="205">
        <f t="shared" si="36"/>
        <v>4.4000000000000004</v>
      </c>
      <c r="N110" s="205">
        <f t="shared" si="36"/>
        <v>2.9000000000000012</v>
      </c>
      <c r="O110" s="205">
        <f t="shared" si="36"/>
        <v>1.9000000000000035</v>
      </c>
      <c r="P110" s="205">
        <f t="shared" si="36"/>
        <v>-0.16999999999999549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0.97999999999999954</v>
      </c>
      <c r="R110" s="205">
        <f t="shared" ref="R110:AC110" si="37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-0.45000000000000018</v>
      </c>
      <c r="S110" s="205">
        <f t="shared" si="37"/>
        <v>-1.0400000000000018</v>
      </c>
      <c r="T110" s="205">
        <f t="shared" si="37"/>
        <v>-1.5599999999999961</v>
      </c>
      <c r="U110" s="205">
        <f t="shared" si="37"/>
        <v>-1.6999999999999966</v>
      </c>
      <c r="V110" s="205">
        <f t="shared" si="37"/>
        <v>-1.2000000000000002</v>
      </c>
      <c r="W110" s="205">
        <f t="shared" si="37"/>
        <v>3.2900000000000045</v>
      </c>
      <c r="X110" s="205">
        <f t="shared" si="37"/>
        <v>1.4999999999999991</v>
      </c>
      <c r="Y110" s="205">
        <f t="shared" si="37"/>
        <v>-2.1999999999999966</v>
      </c>
      <c r="Z110" s="205">
        <f t="shared" si="37"/>
        <v>-0.16999999999999549</v>
      </c>
      <c r="AA110" s="205">
        <f t="shared" si="37"/>
        <v>2.9000000000000004</v>
      </c>
      <c r="AB110" s="205">
        <f t="shared" si="37"/>
        <v>6.8000000000000007</v>
      </c>
      <c r="AC110" s="205">
        <f t="shared" si="37"/>
        <v>4.6000000000000014</v>
      </c>
      <c r="AD110" s="26"/>
      <c r="AE110" s="26"/>
      <c r="AF110" s="466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10" t="s">
        <v>91</v>
      </c>
      <c r="B111" s="510"/>
      <c r="C111" s="510"/>
      <c r="D111" s="60"/>
      <c r="E111" s="72"/>
      <c r="F111" s="74">
        <v>60.14</v>
      </c>
      <c r="G111" s="74">
        <v>60.09</v>
      </c>
      <c r="H111" s="74">
        <v>60.14</v>
      </c>
      <c r="I111" s="74">
        <v>60.15</v>
      </c>
      <c r="J111" s="74">
        <v>60.16</v>
      </c>
      <c r="K111" s="74">
        <v>60.21</v>
      </c>
      <c r="L111" s="74">
        <v>60.11</v>
      </c>
      <c r="M111" s="74">
        <v>60.13</v>
      </c>
      <c r="N111" s="74">
        <v>60.13</v>
      </c>
      <c r="O111" s="74">
        <v>60.07</v>
      </c>
      <c r="P111" s="83">
        <v>60.18</v>
      </c>
      <c r="Q111" s="83">
        <v>60.14</v>
      </c>
      <c r="R111" s="83">
        <v>60.18</v>
      </c>
      <c r="S111" s="83">
        <v>60.01</v>
      </c>
      <c r="T111" s="83">
        <v>60.13</v>
      </c>
      <c r="U111" s="74">
        <v>60.13</v>
      </c>
      <c r="V111" s="74">
        <v>60.19</v>
      </c>
      <c r="W111" s="74">
        <v>60.23</v>
      </c>
      <c r="X111" s="74">
        <v>60.17</v>
      </c>
      <c r="Y111" s="74">
        <v>60.03</v>
      </c>
      <c r="Z111" s="74">
        <v>60.23</v>
      </c>
      <c r="AA111" s="74">
        <v>60.21</v>
      </c>
      <c r="AB111" s="74">
        <v>60.17</v>
      </c>
      <c r="AC111" s="74">
        <v>60.19</v>
      </c>
      <c r="AD111" s="26"/>
      <c r="AE111" s="26"/>
      <c r="AF111" s="467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18" t="s">
        <v>93</v>
      </c>
      <c r="B112" s="519"/>
      <c r="C112" s="520"/>
      <c r="D112" s="60"/>
      <c r="E112" s="72"/>
      <c r="F112" s="74"/>
      <c r="G112" s="74"/>
      <c r="H112" s="74"/>
      <c r="I112" s="74"/>
      <c r="J112" s="74"/>
      <c r="K112" s="74"/>
      <c r="L112" s="74"/>
      <c r="M112" s="74"/>
      <c r="N112" s="74"/>
      <c r="O112" s="74"/>
      <c r="P112" s="74"/>
      <c r="Q112" s="74"/>
      <c r="R112" s="74"/>
      <c r="S112" s="74"/>
      <c r="T112" s="74"/>
      <c r="U112" s="74"/>
      <c r="V112" s="74"/>
      <c r="W112" s="74"/>
      <c r="X112" s="74"/>
      <c r="Y112" s="74"/>
      <c r="Z112" s="74"/>
      <c r="AA112" s="74"/>
      <c r="AB112" s="74"/>
      <c r="AC112" s="74"/>
      <c r="AD112" s="26"/>
      <c r="AE112" s="26"/>
      <c r="AF112" s="469"/>
      <c r="AG112" s="472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18" t="s">
        <v>95</v>
      </c>
      <c r="B113" s="519"/>
      <c r="C113" s="520"/>
      <c r="D113" s="60"/>
      <c r="E113" s="74"/>
      <c r="F113" s="74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10" t="s">
        <v>96</v>
      </c>
      <c r="B114" s="510"/>
      <c r="C114" s="510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 t="s">
        <v>101</v>
      </c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10" t="s">
        <v>97</v>
      </c>
      <c r="B115" s="510"/>
      <c r="C115" s="510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499" t="s">
        <v>98</v>
      </c>
      <c r="B117" s="499"/>
      <c r="C117" s="499"/>
      <c r="D117" s="499"/>
      <c r="E117" s="499"/>
      <c r="F117" s="499"/>
      <c r="G117" s="499"/>
      <c r="H117" s="499"/>
      <c r="I117" s="499"/>
      <c r="J117" s="499"/>
      <c r="K117" s="499"/>
      <c r="L117" s="499"/>
      <c r="M117" s="499"/>
      <c r="N117" s="499"/>
      <c r="O117" s="499"/>
      <c r="P117" s="499"/>
      <c r="Q117" s="499"/>
      <c r="R117" s="499"/>
      <c r="S117" s="499"/>
      <c r="T117" s="499"/>
      <c r="U117" s="499"/>
      <c r="V117" s="499"/>
      <c r="W117" s="499"/>
      <c r="X117" s="499"/>
      <c r="Y117" s="499"/>
      <c r="Z117" s="499"/>
      <c r="AA117" s="499"/>
      <c r="AB117" s="499"/>
      <c r="AC117" s="499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00" t="s">
        <v>75</v>
      </c>
      <c r="B119" s="501"/>
      <c r="C119" s="502"/>
      <c r="D119" s="49"/>
      <c r="E119" s="49"/>
      <c r="F119" s="506" t="s">
        <v>76</v>
      </c>
      <c r="G119" s="506"/>
      <c r="H119" s="506"/>
      <c r="I119" s="506"/>
      <c r="J119" s="506"/>
      <c r="K119" s="506"/>
      <c r="L119" s="506"/>
      <c r="M119" s="506"/>
      <c r="N119" s="506"/>
      <c r="O119" s="506"/>
      <c r="P119" s="506"/>
      <c r="Q119" s="506"/>
      <c r="R119" s="506"/>
      <c r="S119" s="506"/>
      <c r="T119" s="506"/>
      <c r="U119" s="506"/>
      <c r="V119" s="506"/>
      <c r="W119" s="506"/>
      <c r="X119" s="506"/>
      <c r="Y119" s="506"/>
      <c r="Z119" s="506"/>
      <c r="AA119" s="506"/>
      <c r="AB119" s="506"/>
      <c r="AC119" s="506"/>
      <c r="AD119" s="5"/>
      <c r="AE119" s="5"/>
      <c r="AF119" s="5"/>
      <c r="AG119" s="5"/>
      <c r="AH119" s="5"/>
    </row>
    <row r="120" spans="1:124" ht="15.6" hidden="1" customHeight="1">
      <c r="A120" s="503"/>
      <c r="B120" s="504"/>
      <c r="C120" s="505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07" t="s">
        <v>27</v>
      </c>
      <c r="B121" s="508"/>
      <c r="C121" s="509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07" t="s">
        <v>78</v>
      </c>
      <c r="B122" s="508"/>
      <c r="C122" s="509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07" t="s">
        <v>29</v>
      </c>
      <c r="B123" s="508"/>
      <c r="C123" s="509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07" t="s">
        <v>32</v>
      </c>
      <c r="B124" s="508"/>
      <c r="C124" s="509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07" t="s">
        <v>33</v>
      </c>
      <c r="B125" s="508"/>
      <c r="C125" s="509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07" t="s">
        <v>55</v>
      </c>
      <c r="B126" s="508"/>
      <c r="C126" s="509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07" t="s">
        <v>59</v>
      </c>
      <c r="B127" s="508"/>
      <c r="C127" s="509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07" t="s">
        <v>69</v>
      </c>
      <c r="B128" s="508"/>
      <c r="C128" s="509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496" t="s">
        <v>99</v>
      </c>
      <c r="B129" s="497"/>
      <c r="C129" s="498"/>
      <c r="D129" s="51"/>
      <c r="E129" s="51"/>
      <c r="F129" s="44">
        <f>SUM(F121:F128)</f>
        <v>0</v>
      </c>
      <c r="G129" s="44">
        <f t="shared" ref="G129:AB129" si="38">SUM(G121:G128)</f>
        <v>0</v>
      </c>
      <c r="H129" s="44">
        <f t="shared" si="38"/>
        <v>0</v>
      </c>
      <c r="I129" s="44">
        <f t="shared" si="38"/>
        <v>0</v>
      </c>
      <c r="J129" s="44">
        <f t="shared" si="38"/>
        <v>0</v>
      </c>
      <c r="K129" s="44">
        <f t="shared" si="38"/>
        <v>0</v>
      </c>
      <c r="L129" s="44">
        <f t="shared" si="38"/>
        <v>0</v>
      </c>
      <c r="M129" s="44">
        <f t="shared" si="38"/>
        <v>0</v>
      </c>
      <c r="N129" s="44">
        <f t="shared" si="38"/>
        <v>0</v>
      </c>
      <c r="O129" s="44">
        <f t="shared" si="38"/>
        <v>0</v>
      </c>
      <c r="P129" s="44">
        <f t="shared" si="38"/>
        <v>0</v>
      </c>
      <c r="Q129" s="44">
        <f t="shared" si="38"/>
        <v>0</v>
      </c>
      <c r="R129" s="44">
        <f t="shared" si="38"/>
        <v>0</v>
      </c>
      <c r="S129" s="44">
        <f t="shared" si="38"/>
        <v>0</v>
      </c>
      <c r="T129" s="44">
        <f t="shared" si="38"/>
        <v>0</v>
      </c>
      <c r="U129" s="44">
        <f t="shared" si="38"/>
        <v>0</v>
      </c>
      <c r="V129" s="44">
        <f t="shared" si="38"/>
        <v>0</v>
      </c>
      <c r="W129" s="44">
        <f t="shared" si="38"/>
        <v>0</v>
      </c>
      <c r="X129" s="44">
        <f t="shared" si="38"/>
        <v>0</v>
      </c>
      <c r="Y129" s="44">
        <f t="shared" si="38"/>
        <v>0</v>
      </c>
      <c r="Z129" s="44">
        <f t="shared" si="38"/>
        <v>0</v>
      </c>
      <c r="AA129" s="44">
        <f t="shared" si="38"/>
        <v>0</v>
      </c>
      <c r="AB129" s="44">
        <f t="shared" si="38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4599" priority="436" operator="greaterThan">
      <formula>60.3</formula>
    </cfRule>
  </conditionalFormatting>
  <conditionalFormatting sqref="F111">
    <cfRule type="cellIs" dxfId="4598" priority="435" operator="greaterThan">
      <formula>60.3</formula>
    </cfRule>
  </conditionalFormatting>
  <conditionalFormatting sqref="H13:J13 H15:M16 P15:P16 N13:Q13 L13 Q14:Q16 R13:AC16 G36:AC59 G62:AC64">
    <cfRule type="cellIs" dxfId="4597" priority="427" operator="equal">
      <formula>"PMS"</formula>
    </cfRule>
    <cfRule type="containsText" dxfId="4596" priority="428" operator="containsText" text="CMS">
      <formula>NOT(ISERROR(SEARCH("CMS",G13)))</formula>
    </cfRule>
    <cfRule type="cellIs" dxfId="4595" priority="429" operator="equal">
      <formula>0</formula>
    </cfRule>
    <cfRule type="cellIs" dxfId="4594" priority="430" operator="greaterThan">
      <formula>0</formula>
    </cfRule>
    <cfRule type="cellIs" dxfId="4593" priority="431" operator="equal">
      <formula>"PMS"</formula>
    </cfRule>
    <cfRule type="containsText" dxfId="4592" priority="432" operator="containsText" text="CMS">
      <formula>NOT(ISERROR(SEARCH("CMS",G13)))</formula>
    </cfRule>
    <cfRule type="cellIs" dxfId="4591" priority="433" operator="equal">
      <formula>0</formula>
    </cfRule>
    <cfRule type="cellIs" dxfId="4590" priority="434" operator="greaterThan">
      <formula>0</formula>
    </cfRule>
  </conditionalFormatting>
  <conditionalFormatting sqref="H13:J13 H15:M16 P15:P16 N13:Q13 L13 Q14:Q16 R13:AC16 G36:AC59 G62:AC64">
    <cfRule type="cellIs" dxfId="4589" priority="423" operator="equal">
      <formula>"PMS"</formula>
    </cfRule>
    <cfRule type="containsText" dxfId="4588" priority="424" operator="containsText" text="CMS">
      <formula>NOT(ISERROR(SEARCH("CMS",G13)))</formula>
    </cfRule>
    <cfRule type="cellIs" dxfId="4587" priority="425" operator="equal">
      <formula>0</formula>
    </cfRule>
    <cfRule type="cellIs" dxfId="4586" priority="426" operator="greaterThan">
      <formula>0</formula>
    </cfRule>
  </conditionalFormatting>
  <conditionalFormatting sqref="G20:S20 U19:AC21 T20:T21 G19:Q19 G21:M21 P21:S21">
    <cfRule type="cellIs" dxfId="4585" priority="415" operator="equal">
      <formula>"PMS"</formula>
    </cfRule>
    <cfRule type="containsText" dxfId="4584" priority="416" operator="containsText" text="CMS">
      <formula>NOT(ISERROR(SEARCH("CMS",G19)))</formula>
    </cfRule>
    <cfRule type="cellIs" dxfId="4583" priority="417" operator="equal">
      <formula>0</formula>
    </cfRule>
    <cfRule type="cellIs" dxfId="4582" priority="418" operator="greaterThan">
      <formula>0</formula>
    </cfRule>
    <cfRule type="cellIs" dxfId="4581" priority="419" operator="equal">
      <formula>"PMS"</formula>
    </cfRule>
    <cfRule type="containsText" dxfId="4580" priority="420" operator="containsText" text="CMS">
      <formula>NOT(ISERROR(SEARCH("CMS",G19)))</formula>
    </cfRule>
    <cfRule type="cellIs" dxfId="4579" priority="421" operator="equal">
      <formula>0</formula>
    </cfRule>
    <cfRule type="cellIs" dxfId="4578" priority="422" operator="greaterThan">
      <formula>0</formula>
    </cfRule>
  </conditionalFormatting>
  <conditionalFormatting sqref="G20:S20 U19:AC21 T20:T21 G19:Q19 G21:M21 P21:S21">
    <cfRule type="cellIs" dxfId="4577" priority="411" operator="equal">
      <formula>"PMS"</formula>
    </cfRule>
    <cfRule type="containsText" dxfId="4576" priority="412" operator="containsText" text="CMS">
      <formula>NOT(ISERROR(SEARCH("CMS",G19)))</formula>
    </cfRule>
    <cfRule type="cellIs" dxfId="4575" priority="413" operator="equal">
      <formula>0</formula>
    </cfRule>
    <cfRule type="cellIs" dxfId="4574" priority="414" operator="greaterThan">
      <formula>0</formula>
    </cfRule>
  </conditionalFormatting>
  <conditionalFormatting sqref="V24:AC24 O24:T24 F24:M24">
    <cfRule type="cellIs" dxfId="4573" priority="403" operator="equal">
      <formula>"PMS"</formula>
    </cfRule>
    <cfRule type="containsText" dxfId="4572" priority="404" operator="containsText" text="CMS">
      <formula>NOT(ISERROR(SEARCH("CMS",F24)))</formula>
    </cfRule>
    <cfRule type="cellIs" dxfId="4571" priority="405" operator="equal">
      <formula>0</formula>
    </cfRule>
    <cfRule type="cellIs" dxfId="4570" priority="406" operator="greaterThan">
      <formula>0</formula>
    </cfRule>
    <cfRule type="cellIs" dxfId="4569" priority="407" operator="equal">
      <formula>"PMS"</formula>
    </cfRule>
    <cfRule type="containsText" dxfId="4568" priority="408" operator="containsText" text="CMS">
      <formula>NOT(ISERROR(SEARCH("CMS",F24)))</formula>
    </cfRule>
    <cfRule type="cellIs" dxfId="4567" priority="409" operator="equal">
      <formula>0</formula>
    </cfRule>
    <cfRule type="cellIs" dxfId="4566" priority="410" operator="greaterThan">
      <formula>0</formula>
    </cfRule>
  </conditionalFormatting>
  <conditionalFormatting sqref="V24:AC24 O24:T24 F24:M24">
    <cfRule type="cellIs" dxfId="4565" priority="399" operator="equal">
      <formula>"PMS"</formula>
    </cfRule>
    <cfRule type="containsText" dxfId="4564" priority="400" operator="containsText" text="CMS">
      <formula>NOT(ISERROR(SEARCH("CMS",F24)))</formula>
    </cfRule>
    <cfRule type="cellIs" dxfId="4563" priority="401" operator="equal">
      <formula>0</formula>
    </cfRule>
    <cfRule type="cellIs" dxfId="4562" priority="402" operator="greaterThan">
      <formula>0</formula>
    </cfRule>
  </conditionalFormatting>
  <conditionalFormatting sqref="G27:Q27 H28:Q28 R27:AC28 F27:F30 G29:AC30">
    <cfRule type="cellIs" dxfId="4561" priority="391" operator="equal">
      <formula>"PMS"</formula>
    </cfRule>
    <cfRule type="containsText" dxfId="4560" priority="392" operator="containsText" text="CMS">
      <formula>NOT(ISERROR(SEARCH("CMS",F27)))</formula>
    </cfRule>
    <cfRule type="cellIs" dxfId="4559" priority="393" operator="equal">
      <formula>0</formula>
    </cfRule>
    <cfRule type="cellIs" dxfId="4558" priority="394" operator="greaterThan">
      <formula>0</formula>
    </cfRule>
    <cfRule type="cellIs" dxfId="4557" priority="395" operator="equal">
      <formula>"PMS"</formula>
    </cfRule>
    <cfRule type="containsText" dxfId="4556" priority="396" operator="containsText" text="CMS">
      <formula>NOT(ISERROR(SEARCH("CMS",F27)))</formula>
    </cfRule>
    <cfRule type="cellIs" dxfId="4555" priority="397" operator="equal">
      <formula>0</formula>
    </cfRule>
    <cfRule type="cellIs" dxfId="4554" priority="398" operator="greaterThan">
      <formula>0</formula>
    </cfRule>
  </conditionalFormatting>
  <conditionalFormatting sqref="G27:Q27 H28:Q28 R27:AC28 F27:F30 G29:AC30">
    <cfRule type="cellIs" dxfId="4553" priority="387" operator="equal">
      <formula>"PMS"</formula>
    </cfRule>
    <cfRule type="containsText" dxfId="4552" priority="388" operator="containsText" text="CMS">
      <formula>NOT(ISERROR(SEARCH("CMS",F27)))</formula>
    </cfRule>
    <cfRule type="cellIs" dxfId="4551" priority="389" operator="equal">
      <formula>0</formula>
    </cfRule>
    <cfRule type="cellIs" dxfId="4550" priority="390" operator="greaterThan">
      <formula>0</formula>
    </cfRule>
  </conditionalFormatting>
  <conditionalFormatting sqref="G33:AC33">
    <cfRule type="cellIs" dxfId="4549" priority="379" operator="equal">
      <formula>"PMS"</formula>
    </cfRule>
    <cfRule type="containsText" dxfId="4548" priority="380" operator="containsText" text="CMS">
      <formula>NOT(ISERROR(SEARCH("CMS",G33)))</formula>
    </cfRule>
    <cfRule type="cellIs" dxfId="4547" priority="381" operator="equal">
      <formula>0</formula>
    </cfRule>
    <cfRule type="cellIs" dxfId="4546" priority="382" operator="greaterThan">
      <formula>0</formula>
    </cfRule>
    <cfRule type="cellIs" dxfId="4545" priority="383" operator="equal">
      <formula>"PMS"</formula>
    </cfRule>
    <cfRule type="containsText" dxfId="4544" priority="384" operator="containsText" text="CMS">
      <formula>NOT(ISERROR(SEARCH("CMS",G33)))</formula>
    </cfRule>
    <cfRule type="cellIs" dxfId="4543" priority="385" operator="equal">
      <formula>0</formula>
    </cfRule>
    <cfRule type="cellIs" dxfId="4542" priority="386" operator="greaterThan">
      <formula>0</formula>
    </cfRule>
  </conditionalFormatting>
  <conditionalFormatting sqref="G33:AC33">
    <cfRule type="cellIs" dxfId="4541" priority="375" operator="equal">
      <formula>"PMS"</formula>
    </cfRule>
    <cfRule type="containsText" dxfId="4540" priority="376" operator="containsText" text="CMS">
      <formula>NOT(ISERROR(SEARCH("CMS",G33)))</formula>
    </cfRule>
    <cfRule type="cellIs" dxfId="4539" priority="377" operator="equal">
      <formula>0</formula>
    </cfRule>
    <cfRule type="cellIs" dxfId="4538" priority="378" operator="greaterThan">
      <formula>0</formula>
    </cfRule>
  </conditionalFormatting>
  <conditionalFormatting sqref="G67:AC75 G78:AC79">
    <cfRule type="cellIs" dxfId="4537" priority="367" operator="equal">
      <formula>"PMS"</formula>
    </cfRule>
    <cfRule type="containsText" dxfId="4536" priority="368" operator="containsText" text="CMS">
      <formula>NOT(ISERROR(SEARCH("CMS",G67)))</formula>
    </cfRule>
    <cfRule type="cellIs" dxfId="4535" priority="369" operator="equal">
      <formula>0</formula>
    </cfRule>
    <cfRule type="cellIs" dxfId="4534" priority="370" operator="greaterThan">
      <formula>0</formula>
    </cfRule>
    <cfRule type="cellIs" dxfId="4533" priority="371" operator="equal">
      <formula>"PMS"</formula>
    </cfRule>
    <cfRule type="containsText" dxfId="4532" priority="372" operator="containsText" text="CMS">
      <formula>NOT(ISERROR(SEARCH("CMS",G67)))</formula>
    </cfRule>
    <cfRule type="cellIs" dxfId="4531" priority="373" operator="equal">
      <formula>0</formula>
    </cfRule>
    <cfRule type="cellIs" dxfId="4530" priority="374" operator="greaterThan">
      <formula>0</formula>
    </cfRule>
  </conditionalFormatting>
  <conditionalFormatting sqref="G67:AC75 G78:AC79">
    <cfRule type="cellIs" dxfId="4529" priority="363" operator="equal">
      <formula>"PMS"</formula>
    </cfRule>
    <cfRule type="containsText" dxfId="4528" priority="364" operator="containsText" text="CMS">
      <formula>NOT(ISERROR(SEARCH("CMS",G67)))</formula>
    </cfRule>
    <cfRule type="cellIs" dxfId="4527" priority="365" operator="equal">
      <formula>0</formula>
    </cfRule>
    <cfRule type="cellIs" dxfId="4526" priority="366" operator="greaterThan">
      <formula>0</formula>
    </cfRule>
  </conditionalFormatting>
  <conditionalFormatting sqref="G82:AC82">
    <cfRule type="cellIs" dxfId="4525" priority="355" operator="equal">
      <formula>"PMS"</formula>
    </cfRule>
    <cfRule type="containsText" dxfId="4524" priority="356" operator="containsText" text="CMS">
      <formula>NOT(ISERROR(SEARCH("CMS",G82)))</formula>
    </cfRule>
    <cfRule type="cellIs" dxfId="4523" priority="357" operator="equal">
      <formula>0</formula>
    </cfRule>
    <cfRule type="cellIs" dxfId="4522" priority="358" operator="greaterThan">
      <formula>0</formula>
    </cfRule>
    <cfRule type="cellIs" dxfId="4521" priority="359" operator="equal">
      <formula>"PMS"</formula>
    </cfRule>
    <cfRule type="containsText" dxfId="4520" priority="360" operator="containsText" text="CMS">
      <formula>NOT(ISERROR(SEARCH("CMS",G82)))</formula>
    </cfRule>
    <cfRule type="cellIs" dxfId="4519" priority="361" operator="equal">
      <formula>0</formula>
    </cfRule>
    <cfRule type="cellIs" dxfId="4518" priority="362" operator="greaterThan">
      <formula>0</formula>
    </cfRule>
  </conditionalFormatting>
  <conditionalFormatting sqref="G82:AC82">
    <cfRule type="cellIs" dxfId="4517" priority="351" operator="equal">
      <formula>"PMS"</formula>
    </cfRule>
    <cfRule type="containsText" dxfId="4516" priority="352" operator="containsText" text="CMS">
      <formula>NOT(ISERROR(SEARCH("CMS",G82)))</formula>
    </cfRule>
    <cfRule type="cellIs" dxfId="4515" priority="353" operator="equal">
      <formula>0</formula>
    </cfRule>
    <cfRule type="cellIs" dxfId="4514" priority="354" operator="greaterThan">
      <formula>0</formula>
    </cfRule>
  </conditionalFormatting>
  <conditionalFormatting sqref="N24">
    <cfRule type="cellIs" dxfId="4513" priority="343" operator="equal">
      <formula>"PMS"</formula>
    </cfRule>
    <cfRule type="containsText" dxfId="4512" priority="344" operator="containsText" text="CMS">
      <formula>NOT(ISERROR(SEARCH("CMS",N24)))</formula>
    </cfRule>
    <cfRule type="cellIs" dxfId="4511" priority="345" operator="equal">
      <formula>0</formula>
    </cfRule>
    <cfRule type="cellIs" dxfId="4510" priority="346" operator="greaterThan">
      <formula>0</formula>
    </cfRule>
    <cfRule type="cellIs" dxfId="4509" priority="347" operator="equal">
      <formula>"PMS"</formula>
    </cfRule>
    <cfRule type="containsText" dxfId="4508" priority="348" operator="containsText" text="CMS">
      <formula>NOT(ISERROR(SEARCH("CMS",N24)))</formula>
    </cfRule>
    <cfRule type="cellIs" dxfId="4507" priority="349" operator="equal">
      <formula>0</formula>
    </cfRule>
    <cfRule type="cellIs" dxfId="4506" priority="350" operator="greaterThan">
      <formula>0</formula>
    </cfRule>
  </conditionalFormatting>
  <conditionalFormatting sqref="N24">
    <cfRule type="cellIs" dxfId="4505" priority="339" operator="equal">
      <formula>"PMS"</formula>
    </cfRule>
    <cfRule type="containsText" dxfId="4504" priority="340" operator="containsText" text="CMS">
      <formula>NOT(ISERROR(SEARCH("CMS",N24)))</formula>
    </cfRule>
    <cfRule type="cellIs" dxfId="4503" priority="341" operator="equal">
      <formula>0</formula>
    </cfRule>
    <cfRule type="cellIs" dxfId="4502" priority="342" operator="greaterThan">
      <formula>0</formula>
    </cfRule>
  </conditionalFormatting>
  <conditionalFormatting sqref="U24">
    <cfRule type="cellIs" dxfId="4501" priority="331" operator="equal">
      <formula>"PMS"</formula>
    </cfRule>
    <cfRule type="containsText" dxfId="4500" priority="332" operator="containsText" text="CMS">
      <formula>NOT(ISERROR(SEARCH("CMS",U24)))</formula>
    </cfRule>
    <cfRule type="cellIs" dxfId="4499" priority="333" operator="equal">
      <formula>0</formula>
    </cfRule>
    <cfRule type="cellIs" dxfId="4498" priority="334" operator="greaterThan">
      <formula>0</formula>
    </cfRule>
    <cfRule type="cellIs" dxfId="4497" priority="335" operator="equal">
      <formula>"PMS"</formula>
    </cfRule>
    <cfRule type="containsText" dxfId="4496" priority="336" operator="containsText" text="CMS">
      <formula>NOT(ISERROR(SEARCH("CMS",U24)))</formula>
    </cfRule>
    <cfRule type="cellIs" dxfId="4495" priority="337" operator="equal">
      <formula>0</formula>
    </cfRule>
    <cfRule type="cellIs" dxfId="4494" priority="338" operator="greaterThan">
      <formula>0</formula>
    </cfRule>
  </conditionalFormatting>
  <conditionalFormatting sqref="U24">
    <cfRule type="cellIs" dxfId="4493" priority="327" operator="equal">
      <formula>"PMS"</formula>
    </cfRule>
    <cfRule type="containsText" dxfId="4492" priority="328" operator="containsText" text="CMS">
      <formula>NOT(ISERROR(SEARCH("CMS",U24)))</formula>
    </cfRule>
    <cfRule type="cellIs" dxfId="4491" priority="329" operator="equal">
      <formula>0</formula>
    </cfRule>
    <cfRule type="cellIs" dxfId="4490" priority="330" operator="greaterThan">
      <formula>0</formula>
    </cfRule>
  </conditionalFormatting>
  <conditionalFormatting sqref="H14:P14">
    <cfRule type="cellIs" dxfId="4489" priority="319" operator="equal">
      <formula>"PMS"</formula>
    </cfRule>
    <cfRule type="containsText" dxfId="4488" priority="320" operator="containsText" text="CMS">
      <formula>NOT(ISERROR(SEARCH("CMS",H14)))</formula>
    </cfRule>
    <cfRule type="cellIs" dxfId="4487" priority="321" operator="equal">
      <formula>0</formula>
    </cfRule>
    <cfRule type="cellIs" dxfId="4486" priority="322" operator="greaterThan">
      <formula>0</formula>
    </cfRule>
    <cfRule type="cellIs" dxfId="4485" priority="323" operator="equal">
      <formula>"PMS"</formula>
    </cfRule>
    <cfRule type="containsText" dxfId="4484" priority="324" operator="containsText" text="CMS">
      <formula>NOT(ISERROR(SEARCH("CMS",H14)))</formula>
    </cfRule>
    <cfRule type="cellIs" dxfId="4483" priority="325" operator="equal">
      <formula>0</formula>
    </cfRule>
    <cfRule type="cellIs" dxfId="4482" priority="326" operator="greaterThan">
      <formula>0</formula>
    </cfRule>
  </conditionalFormatting>
  <conditionalFormatting sqref="H14:P14">
    <cfRule type="cellIs" dxfId="4481" priority="315" operator="equal">
      <formula>"PMS"</formula>
    </cfRule>
    <cfRule type="containsText" dxfId="4480" priority="316" operator="containsText" text="CMS">
      <formula>NOT(ISERROR(SEARCH("CMS",H14)))</formula>
    </cfRule>
    <cfRule type="cellIs" dxfId="4479" priority="317" operator="equal">
      <formula>0</formula>
    </cfRule>
    <cfRule type="cellIs" dxfId="4478" priority="318" operator="greaterThan">
      <formula>0</formula>
    </cfRule>
  </conditionalFormatting>
  <conditionalFormatting sqref="F82">
    <cfRule type="cellIs" dxfId="4477" priority="307" operator="equal">
      <formula>"PMS"</formula>
    </cfRule>
    <cfRule type="containsText" dxfId="4476" priority="308" operator="containsText" text="CMS">
      <formula>NOT(ISERROR(SEARCH("CMS",F82)))</formula>
    </cfRule>
    <cfRule type="cellIs" dxfId="4475" priority="309" operator="equal">
      <formula>0</formula>
    </cfRule>
    <cfRule type="cellIs" dxfId="4474" priority="310" operator="greaterThan">
      <formula>0</formula>
    </cfRule>
    <cfRule type="cellIs" dxfId="4473" priority="311" operator="equal">
      <formula>"PMS"</formula>
    </cfRule>
    <cfRule type="containsText" dxfId="4472" priority="312" operator="containsText" text="CMS">
      <formula>NOT(ISERROR(SEARCH("CMS",F82)))</formula>
    </cfRule>
    <cfRule type="cellIs" dxfId="4471" priority="313" operator="equal">
      <formula>0</formula>
    </cfRule>
    <cfRule type="cellIs" dxfId="4470" priority="314" operator="greaterThan">
      <formula>0</formula>
    </cfRule>
  </conditionalFormatting>
  <conditionalFormatting sqref="F82">
    <cfRule type="cellIs" dxfId="4469" priority="303" operator="equal">
      <formula>"PMS"</formula>
    </cfRule>
    <cfRule type="containsText" dxfId="4468" priority="304" operator="containsText" text="CMS">
      <formula>NOT(ISERROR(SEARCH("CMS",F82)))</formula>
    </cfRule>
    <cfRule type="cellIs" dxfId="4467" priority="305" operator="equal">
      <formula>0</formula>
    </cfRule>
    <cfRule type="cellIs" dxfId="4466" priority="306" operator="greaterThan">
      <formula>0</formula>
    </cfRule>
  </conditionalFormatting>
  <conditionalFormatting sqref="R19:T19">
    <cfRule type="cellIs" dxfId="4465" priority="295" operator="equal">
      <formula>"PMS"</formula>
    </cfRule>
    <cfRule type="containsText" dxfId="4464" priority="296" operator="containsText" text="CMS">
      <formula>NOT(ISERROR(SEARCH("CMS",R19)))</formula>
    </cfRule>
    <cfRule type="cellIs" dxfId="4463" priority="297" operator="equal">
      <formula>0</formula>
    </cfRule>
    <cfRule type="cellIs" dxfId="4462" priority="298" operator="greaterThan">
      <formula>0</formula>
    </cfRule>
    <cfRule type="cellIs" dxfId="4461" priority="299" operator="equal">
      <formula>"PMS"</formula>
    </cfRule>
    <cfRule type="containsText" dxfId="4460" priority="300" operator="containsText" text="CMS">
      <formula>NOT(ISERROR(SEARCH("CMS",R19)))</formula>
    </cfRule>
    <cfRule type="cellIs" dxfId="4459" priority="301" operator="equal">
      <formula>0</formula>
    </cfRule>
    <cfRule type="cellIs" dxfId="4458" priority="302" operator="greaterThan">
      <formula>0</formula>
    </cfRule>
  </conditionalFormatting>
  <conditionalFormatting sqref="R19:T19">
    <cfRule type="cellIs" dxfId="4457" priority="291" operator="equal">
      <formula>"PMS"</formula>
    </cfRule>
    <cfRule type="containsText" dxfId="4456" priority="292" operator="containsText" text="CMS">
      <formula>NOT(ISERROR(SEARCH("CMS",R19)))</formula>
    </cfRule>
    <cfRule type="cellIs" dxfId="4455" priority="293" operator="equal">
      <formula>0</formula>
    </cfRule>
    <cfRule type="cellIs" dxfId="4454" priority="294" operator="greaterThan">
      <formula>0</formula>
    </cfRule>
  </conditionalFormatting>
  <conditionalFormatting sqref="G13:G16">
    <cfRule type="cellIs" dxfId="4453" priority="283" operator="equal">
      <formula>"PMS"</formula>
    </cfRule>
    <cfRule type="containsText" dxfId="4452" priority="284" operator="containsText" text="CMS">
      <formula>NOT(ISERROR(SEARCH("CMS",G13)))</formula>
    </cfRule>
    <cfRule type="cellIs" dxfId="4451" priority="285" operator="equal">
      <formula>0</formula>
    </cfRule>
    <cfRule type="cellIs" dxfId="4450" priority="286" operator="greaterThan">
      <formula>0</formula>
    </cfRule>
    <cfRule type="cellIs" dxfId="4449" priority="287" operator="equal">
      <formula>"PMS"</formula>
    </cfRule>
    <cfRule type="containsText" dxfId="4448" priority="288" operator="containsText" text="CMS">
      <formula>NOT(ISERROR(SEARCH("CMS",G13)))</formula>
    </cfRule>
    <cfRule type="cellIs" dxfId="4447" priority="289" operator="equal">
      <formula>0</formula>
    </cfRule>
    <cfRule type="cellIs" dxfId="4446" priority="290" operator="greaterThan">
      <formula>0</formula>
    </cfRule>
  </conditionalFormatting>
  <conditionalFormatting sqref="G13:G16">
    <cfRule type="cellIs" dxfId="4445" priority="279" operator="equal">
      <formula>"PMS"</formula>
    </cfRule>
    <cfRule type="containsText" dxfId="4444" priority="280" operator="containsText" text="CMS">
      <formula>NOT(ISERROR(SEARCH("CMS",G13)))</formula>
    </cfRule>
    <cfRule type="cellIs" dxfId="4443" priority="281" operator="equal">
      <formula>0</formula>
    </cfRule>
    <cfRule type="cellIs" dxfId="4442" priority="282" operator="greaterThan">
      <formula>0</formula>
    </cfRule>
  </conditionalFormatting>
  <conditionalFormatting sqref="M13">
    <cfRule type="cellIs" dxfId="4441" priority="271" operator="equal">
      <formula>"PMS"</formula>
    </cfRule>
    <cfRule type="containsText" dxfId="4440" priority="272" operator="containsText" text="CMS">
      <formula>NOT(ISERROR(SEARCH("CMS",M13)))</formula>
    </cfRule>
    <cfRule type="cellIs" dxfId="4439" priority="273" operator="equal">
      <formula>0</formula>
    </cfRule>
    <cfRule type="cellIs" dxfId="4438" priority="274" operator="greaterThan">
      <formula>0</formula>
    </cfRule>
    <cfRule type="cellIs" dxfId="4437" priority="275" operator="equal">
      <formula>"PMS"</formula>
    </cfRule>
    <cfRule type="containsText" dxfId="4436" priority="276" operator="containsText" text="CMS">
      <formula>NOT(ISERROR(SEARCH("CMS",M13)))</formula>
    </cfRule>
    <cfRule type="cellIs" dxfId="4435" priority="277" operator="equal">
      <formula>0</formula>
    </cfRule>
    <cfRule type="cellIs" dxfId="4434" priority="278" operator="greaterThan">
      <formula>0</formula>
    </cfRule>
  </conditionalFormatting>
  <conditionalFormatting sqref="M13">
    <cfRule type="cellIs" dxfId="4433" priority="267" operator="equal">
      <formula>"PMS"</formula>
    </cfRule>
    <cfRule type="containsText" dxfId="4432" priority="268" operator="containsText" text="CMS">
      <formula>NOT(ISERROR(SEARCH("CMS",M13)))</formula>
    </cfRule>
    <cfRule type="cellIs" dxfId="4431" priority="269" operator="equal">
      <formula>0</formula>
    </cfRule>
    <cfRule type="cellIs" dxfId="4430" priority="270" operator="greaterThan">
      <formula>0</formula>
    </cfRule>
  </conditionalFormatting>
  <conditionalFormatting sqref="O15">
    <cfRule type="cellIs" dxfId="4429" priority="259" operator="equal">
      <formula>"PMS"</formula>
    </cfRule>
    <cfRule type="containsText" dxfId="4428" priority="260" operator="containsText" text="CMS">
      <formula>NOT(ISERROR(SEARCH("CMS",O15)))</formula>
    </cfRule>
    <cfRule type="cellIs" dxfId="4427" priority="261" operator="equal">
      <formula>0</formula>
    </cfRule>
    <cfRule type="cellIs" dxfId="4426" priority="262" operator="greaterThan">
      <formula>0</formula>
    </cfRule>
    <cfRule type="cellIs" dxfId="4425" priority="263" operator="equal">
      <formula>"PMS"</formula>
    </cfRule>
    <cfRule type="containsText" dxfId="4424" priority="264" operator="containsText" text="CMS">
      <formula>NOT(ISERROR(SEARCH("CMS",O15)))</formula>
    </cfRule>
    <cfRule type="cellIs" dxfId="4423" priority="265" operator="equal">
      <formula>0</formula>
    </cfRule>
    <cfRule type="cellIs" dxfId="4422" priority="266" operator="greaterThan">
      <formula>0</formula>
    </cfRule>
  </conditionalFormatting>
  <conditionalFormatting sqref="O15">
    <cfRule type="cellIs" dxfId="4421" priority="255" operator="equal">
      <formula>"PMS"</formula>
    </cfRule>
    <cfRule type="containsText" dxfId="4420" priority="256" operator="containsText" text="CMS">
      <formula>NOT(ISERROR(SEARCH("CMS",O15)))</formula>
    </cfRule>
    <cfRule type="cellIs" dxfId="4419" priority="257" operator="equal">
      <formula>0</formula>
    </cfRule>
    <cfRule type="cellIs" dxfId="4418" priority="258" operator="greaterThan">
      <formula>0</formula>
    </cfRule>
  </conditionalFormatting>
  <conditionalFormatting sqref="O16">
    <cfRule type="cellIs" dxfId="4417" priority="247" operator="equal">
      <formula>"PMS"</formula>
    </cfRule>
    <cfRule type="containsText" dxfId="4416" priority="248" operator="containsText" text="CMS">
      <formula>NOT(ISERROR(SEARCH("CMS",O16)))</formula>
    </cfRule>
    <cfRule type="cellIs" dxfId="4415" priority="249" operator="equal">
      <formula>0</formula>
    </cfRule>
    <cfRule type="cellIs" dxfId="4414" priority="250" operator="greaterThan">
      <formula>0</formula>
    </cfRule>
    <cfRule type="cellIs" dxfId="4413" priority="251" operator="equal">
      <formula>"PMS"</formula>
    </cfRule>
    <cfRule type="containsText" dxfId="4412" priority="252" operator="containsText" text="CMS">
      <formula>NOT(ISERROR(SEARCH("CMS",O16)))</formula>
    </cfRule>
    <cfRule type="cellIs" dxfId="4411" priority="253" operator="equal">
      <formula>0</formula>
    </cfRule>
    <cfRule type="cellIs" dxfId="4410" priority="254" operator="greaterThan">
      <formula>0</formula>
    </cfRule>
  </conditionalFormatting>
  <conditionalFormatting sqref="O16">
    <cfRule type="cellIs" dxfId="4409" priority="243" operator="equal">
      <formula>"PMS"</formula>
    </cfRule>
    <cfRule type="containsText" dxfId="4408" priority="244" operator="containsText" text="CMS">
      <formula>NOT(ISERROR(SEARCH("CMS",O16)))</formula>
    </cfRule>
    <cfRule type="cellIs" dxfId="4407" priority="245" operator="equal">
      <formula>0</formula>
    </cfRule>
    <cfRule type="cellIs" dxfId="4406" priority="246" operator="greaterThan">
      <formula>0</formula>
    </cfRule>
  </conditionalFormatting>
  <conditionalFormatting sqref="N15">
    <cfRule type="cellIs" dxfId="4405" priority="235" operator="equal">
      <formula>"PMS"</formula>
    </cfRule>
    <cfRule type="containsText" dxfId="4404" priority="236" operator="containsText" text="CMS">
      <formula>NOT(ISERROR(SEARCH("CMS",N15)))</formula>
    </cfRule>
    <cfRule type="cellIs" dxfId="4403" priority="237" operator="equal">
      <formula>0</formula>
    </cfRule>
    <cfRule type="cellIs" dxfId="4402" priority="238" operator="greaterThan">
      <formula>0</formula>
    </cfRule>
    <cfRule type="cellIs" dxfId="4401" priority="239" operator="equal">
      <formula>"PMS"</formula>
    </cfRule>
    <cfRule type="containsText" dxfId="4400" priority="240" operator="containsText" text="CMS">
      <formula>NOT(ISERROR(SEARCH("CMS",N15)))</formula>
    </cfRule>
    <cfRule type="cellIs" dxfId="4399" priority="241" operator="equal">
      <formula>0</formula>
    </cfRule>
    <cfRule type="cellIs" dxfId="4398" priority="242" operator="greaterThan">
      <formula>0</formula>
    </cfRule>
  </conditionalFormatting>
  <conditionalFormatting sqref="N15">
    <cfRule type="cellIs" dxfId="4397" priority="231" operator="equal">
      <formula>"PMS"</formula>
    </cfRule>
    <cfRule type="containsText" dxfId="4396" priority="232" operator="containsText" text="CMS">
      <formula>NOT(ISERROR(SEARCH("CMS",N15)))</formula>
    </cfRule>
    <cfRule type="cellIs" dxfId="4395" priority="233" operator="equal">
      <formula>0</formula>
    </cfRule>
    <cfRule type="cellIs" dxfId="4394" priority="234" operator="greaterThan">
      <formula>0</formula>
    </cfRule>
  </conditionalFormatting>
  <conditionalFormatting sqref="N16">
    <cfRule type="cellIs" dxfId="4393" priority="223" operator="equal">
      <formula>"PMS"</formula>
    </cfRule>
    <cfRule type="containsText" dxfId="4392" priority="224" operator="containsText" text="CMS">
      <formula>NOT(ISERROR(SEARCH("CMS",N16)))</formula>
    </cfRule>
    <cfRule type="cellIs" dxfId="4391" priority="225" operator="equal">
      <formula>0</formula>
    </cfRule>
    <cfRule type="cellIs" dxfId="4390" priority="226" operator="greaterThan">
      <formula>0</formula>
    </cfRule>
    <cfRule type="cellIs" dxfId="4389" priority="227" operator="equal">
      <formula>"PMS"</formula>
    </cfRule>
    <cfRule type="containsText" dxfId="4388" priority="228" operator="containsText" text="CMS">
      <formula>NOT(ISERROR(SEARCH("CMS",N16)))</formula>
    </cfRule>
    <cfRule type="cellIs" dxfId="4387" priority="229" operator="equal">
      <formula>0</formula>
    </cfRule>
    <cfRule type="cellIs" dxfId="4386" priority="230" operator="greaterThan">
      <formula>0</formula>
    </cfRule>
  </conditionalFormatting>
  <conditionalFormatting sqref="N16">
    <cfRule type="cellIs" dxfId="4385" priority="219" operator="equal">
      <formula>"PMS"</formula>
    </cfRule>
    <cfRule type="containsText" dxfId="4384" priority="220" operator="containsText" text="CMS">
      <formula>NOT(ISERROR(SEARCH("CMS",N16)))</formula>
    </cfRule>
    <cfRule type="cellIs" dxfId="4383" priority="221" operator="equal">
      <formula>0</formula>
    </cfRule>
    <cfRule type="cellIs" dxfId="4382" priority="222" operator="greaterThan">
      <formula>0</formula>
    </cfRule>
  </conditionalFormatting>
  <conditionalFormatting sqref="N21:O21">
    <cfRule type="cellIs" dxfId="4381" priority="211" operator="equal">
      <formula>"PMS"</formula>
    </cfRule>
    <cfRule type="containsText" dxfId="4380" priority="212" operator="containsText" text="CMS">
      <formula>NOT(ISERROR(SEARCH("CMS",N21)))</formula>
    </cfRule>
    <cfRule type="cellIs" dxfId="4379" priority="213" operator="equal">
      <formula>0</formula>
    </cfRule>
    <cfRule type="cellIs" dxfId="4378" priority="214" operator="greaterThan">
      <formula>0</formula>
    </cfRule>
    <cfRule type="cellIs" dxfId="4377" priority="215" operator="equal">
      <formula>"PMS"</formula>
    </cfRule>
    <cfRule type="containsText" dxfId="4376" priority="216" operator="containsText" text="CMS">
      <formula>NOT(ISERROR(SEARCH("CMS",N21)))</formula>
    </cfRule>
    <cfRule type="cellIs" dxfId="4375" priority="217" operator="equal">
      <formula>0</formula>
    </cfRule>
    <cfRule type="cellIs" dxfId="4374" priority="218" operator="greaterThan">
      <formula>0</formula>
    </cfRule>
  </conditionalFormatting>
  <conditionalFormatting sqref="N21:O21">
    <cfRule type="cellIs" dxfId="4373" priority="207" operator="equal">
      <formula>"PMS"</formula>
    </cfRule>
    <cfRule type="containsText" dxfId="4372" priority="208" operator="containsText" text="CMS">
      <formula>NOT(ISERROR(SEARCH("CMS",N21)))</formula>
    </cfRule>
    <cfRule type="cellIs" dxfId="4371" priority="209" operator="equal">
      <formula>0</formula>
    </cfRule>
    <cfRule type="cellIs" dxfId="4370" priority="210" operator="greaterThan">
      <formula>0</formula>
    </cfRule>
  </conditionalFormatting>
  <conditionalFormatting sqref="G28">
    <cfRule type="cellIs" dxfId="4369" priority="199" operator="equal">
      <formula>"PMS"</formula>
    </cfRule>
    <cfRule type="containsText" dxfId="4368" priority="200" operator="containsText" text="CMS">
      <formula>NOT(ISERROR(SEARCH("CMS",G28)))</formula>
    </cfRule>
    <cfRule type="cellIs" dxfId="4367" priority="201" operator="equal">
      <formula>0</formula>
    </cfRule>
    <cfRule type="cellIs" dxfId="4366" priority="202" operator="greaterThan">
      <formula>0</formula>
    </cfRule>
    <cfRule type="cellIs" dxfId="4365" priority="203" operator="equal">
      <formula>"PMS"</formula>
    </cfRule>
    <cfRule type="containsText" dxfId="4364" priority="204" operator="containsText" text="CMS">
      <formula>NOT(ISERROR(SEARCH("CMS",G28)))</formula>
    </cfRule>
    <cfRule type="cellIs" dxfId="4363" priority="205" operator="equal">
      <formula>0</formula>
    </cfRule>
    <cfRule type="cellIs" dxfId="4362" priority="206" operator="greaterThan">
      <formula>0</formula>
    </cfRule>
  </conditionalFormatting>
  <conditionalFormatting sqref="G28">
    <cfRule type="cellIs" dxfId="4361" priority="195" operator="equal">
      <formula>"PMS"</formula>
    </cfRule>
    <cfRule type="containsText" dxfId="4360" priority="196" operator="containsText" text="CMS">
      <formula>NOT(ISERROR(SEARCH("CMS",G28)))</formula>
    </cfRule>
    <cfRule type="cellIs" dxfId="4359" priority="197" operator="equal">
      <formula>0</formula>
    </cfRule>
    <cfRule type="cellIs" dxfId="4358" priority="198" operator="greaterThan">
      <formula>0</formula>
    </cfRule>
  </conditionalFormatting>
  <conditionalFormatting sqref="K13">
    <cfRule type="cellIs" dxfId="4357" priority="187" operator="equal">
      <formula>"PMS"</formula>
    </cfRule>
    <cfRule type="containsText" dxfId="4356" priority="188" operator="containsText" text="CMS">
      <formula>NOT(ISERROR(SEARCH("CMS",K13)))</formula>
    </cfRule>
    <cfRule type="cellIs" dxfId="4355" priority="189" operator="equal">
      <formula>0</formula>
    </cfRule>
    <cfRule type="cellIs" dxfId="4354" priority="190" operator="greaterThan">
      <formula>0</formula>
    </cfRule>
    <cfRule type="cellIs" dxfId="4353" priority="191" operator="equal">
      <formula>"PMS"</formula>
    </cfRule>
    <cfRule type="containsText" dxfId="4352" priority="192" operator="containsText" text="CMS">
      <formula>NOT(ISERROR(SEARCH("CMS",K13)))</formula>
    </cfRule>
    <cfRule type="cellIs" dxfId="4351" priority="193" operator="equal">
      <formula>0</formula>
    </cfRule>
    <cfRule type="cellIs" dxfId="4350" priority="194" operator="greaterThan">
      <formula>0</formula>
    </cfRule>
  </conditionalFormatting>
  <conditionalFormatting sqref="K13">
    <cfRule type="cellIs" dxfId="4349" priority="183" operator="equal">
      <formula>"PMS"</formula>
    </cfRule>
    <cfRule type="containsText" dxfId="4348" priority="184" operator="containsText" text="CMS">
      <formula>NOT(ISERROR(SEARCH("CMS",K13)))</formula>
    </cfRule>
    <cfRule type="cellIs" dxfId="4347" priority="185" operator="equal">
      <formula>0</formula>
    </cfRule>
    <cfRule type="cellIs" dxfId="4346" priority="186" operator="greaterThan">
      <formula>0</formula>
    </cfRule>
  </conditionalFormatting>
  <conditionalFormatting sqref="F67:F75">
    <cfRule type="cellIs" dxfId="4345" priority="175" operator="equal">
      <formula>"PMS"</formula>
    </cfRule>
    <cfRule type="containsText" dxfId="4344" priority="176" operator="containsText" text="CMS">
      <formula>NOT(ISERROR(SEARCH("CMS",F67)))</formula>
    </cfRule>
    <cfRule type="cellIs" dxfId="4343" priority="177" operator="equal">
      <formula>0</formula>
    </cfRule>
    <cfRule type="cellIs" dxfId="4342" priority="178" operator="greaterThan">
      <formula>0</formula>
    </cfRule>
    <cfRule type="cellIs" dxfId="4341" priority="179" operator="equal">
      <formula>"PMS"</formula>
    </cfRule>
    <cfRule type="containsText" dxfId="4340" priority="180" operator="containsText" text="CMS">
      <formula>NOT(ISERROR(SEARCH("CMS",F67)))</formula>
    </cfRule>
    <cfRule type="cellIs" dxfId="4339" priority="181" operator="equal">
      <formula>0</formula>
    </cfRule>
    <cfRule type="cellIs" dxfId="4338" priority="182" operator="greaterThan">
      <formula>0</formula>
    </cfRule>
  </conditionalFormatting>
  <conditionalFormatting sqref="F67:F75">
    <cfRule type="cellIs" dxfId="4337" priority="171" operator="equal">
      <formula>"PMS"</formula>
    </cfRule>
    <cfRule type="containsText" dxfId="4336" priority="172" operator="containsText" text="CMS">
      <formula>NOT(ISERROR(SEARCH("CMS",F67)))</formula>
    </cfRule>
    <cfRule type="cellIs" dxfId="4335" priority="173" operator="equal">
      <formula>0</formula>
    </cfRule>
    <cfRule type="cellIs" dxfId="4334" priority="174" operator="greaterThan">
      <formula>0</formula>
    </cfRule>
  </conditionalFormatting>
  <conditionalFormatting sqref="E113:AC113 F112:N112">
    <cfRule type="cellIs" dxfId="4333" priority="170" operator="greaterThan">
      <formula>60.3</formula>
    </cfRule>
  </conditionalFormatting>
  <conditionalFormatting sqref="O112:AC112">
    <cfRule type="cellIs" dxfId="4332" priority="169" operator="greaterThan">
      <formula>60.3</formula>
    </cfRule>
  </conditionalFormatting>
  <conditionalFormatting sqref="F33">
    <cfRule type="cellIs" dxfId="4331" priority="113" operator="equal">
      <formula>"PMS"</formula>
    </cfRule>
    <cfRule type="containsText" dxfId="4330" priority="114" operator="containsText" text="CMS">
      <formula>NOT(ISERROR(SEARCH("CMS",F33)))</formula>
    </cfRule>
    <cfRule type="cellIs" dxfId="4329" priority="115" operator="equal">
      <formula>0</formula>
    </cfRule>
    <cfRule type="cellIs" dxfId="4328" priority="116" operator="greaterThan">
      <formula>0</formula>
    </cfRule>
    <cfRule type="cellIs" dxfId="4327" priority="117" operator="equal">
      <formula>"PMS"</formula>
    </cfRule>
    <cfRule type="containsText" dxfId="4326" priority="118" operator="containsText" text="CMS">
      <formula>NOT(ISERROR(SEARCH("CMS",F33)))</formula>
    </cfRule>
    <cfRule type="cellIs" dxfId="4325" priority="119" operator="equal">
      <formula>0</formula>
    </cfRule>
    <cfRule type="cellIs" dxfId="4324" priority="120" operator="greaterThan">
      <formula>0</formula>
    </cfRule>
  </conditionalFormatting>
  <conditionalFormatting sqref="F33">
    <cfRule type="cellIs" dxfId="4323" priority="109" operator="equal">
      <formula>"PMS"</formula>
    </cfRule>
    <cfRule type="containsText" dxfId="4322" priority="110" operator="containsText" text="CMS">
      <formula>NOT(ISERROR(SEARCH("CMS",F33)))</formula>
    </cfRule>
    <cfRule type="cellIs" dxfId="4321" priority="111" operator="equal">
      <formula>0</formula>
    </cfRule>
    <cfRule type="cellIs" dxfId="4320" priority="112" operator="greaterThan">
      <formula>0</formula>
    </cfRule>
  </conditionalFormatting>
  <conditionalFormatting sqref="F78">
    <cfRule type="cellIs" dxfId="4319" priority="77" operator="equal">
      <formula>"PMS"</formula>
    </cfRule>
    <cfRule type="containsText" dxfId="4318" priority="78" operator="containsText" text="CMS">
      <formula>NOT(ISERROR(SEARCH("CMS",F78)))</formula>
    </cfRule>
    <cfRule type="cellIs" dxfId="4317" priority="79" operator="equal">
      <formula>0</formula>
    </cfRule>
    <cfRule type="cellIs" dxfId="4316" priority="80" operator="greaterThan">
      <formula>0</formula>
    </cfRule>
    <cfRule type="cellIs" dxfId="4315" priority="81" operator="equal">
      <formula>"PMS"</formula>
    </cfRule>
    <cfRule type="containsText" dxfId="4314" priority="82" operator="containsText" text="CMS">
      <formula>NOT(ISERROR(SEARCH("CMS",F78)))</formula>
    </cfRule>
    <cfRule type="cellIs" dxfId="4313" priority="83" operator="equal">
      <formula>0</formula>
    </cfRule>
    <cfRule type="cellIs" dxfId="4312" priority="84" operator="greaterThan">
      <formula>0</formula>
    </cfRule>
  </conditionalFormatting>
  <conditionalFormatting sqref="F78">
    <cfRule type="cellIs" dxfId="4311" priority="73" operator="equal">
      <formula>"PMS"</formula>
    </cfRule>
    <cfRule type="containsText" dxfId="4310" priority="74" operator="containsText" text="CMS">
      <formula>NOT(ISERROR(SEARCH("CMS",F78)))</formula>
    </cfRule>
    <cfRule type="cellIs" dxfId="4309" priority="75" operator="equal">
      <formula>0</formula>
    </cfRule>
    <cfRule type="cellIs" dxfId="4308" priority="76" operator="greaterThan">
      <formula>0</formula>
    </cfRule>
  </conditionalFormatting>
  <conditionalFormatting sqref="F13:F16">
    <cfRule type="cellIs" dxfId="4307" priority="53" operator="equal">
      <formula>"PMS"</formula>
    </cfRule>
    <cfRule type="containsText" dxfId="4306" priority="54" operator="containsText" text="CMS">
      <formula>NOT(ISERROR(SEARCH("CMS",F13)))</formula>
    </cfRule>
    <cfRule type="cellIs" dxfId="4305" priority="55" operator="equal">
      <formula>0</formula>
    </cfRule>
    <cfRule type="cellIs" dxfId="4304" priority="56" operator="greaterThan">
      <formula>0</formula>
    </cfRule>
    <cfRule type="cellIs" dxfId="4303" priority="57" operator="equal">
      <formula>"PMS"</formula>
    </cfRule>
    <cfRule type="containsText" dxfId="4302" priority="58" operator="containsText" text="CMS">
      <formula>NOT(ISERROR(SEARCH("CMS",F13)))</formula>
    </cfRule>
    <cfRule type="cellIs" dxfId="4301" priority="59" operator="equal">
      <formula>0</formula>
    </cfRule>
    <cfRule type="cellIs" dxfId="4300" priority="60" operator="greaterThan">
      <formula>0</formula>
    </cfRule>
  </conditionalFormatting>
  <conditionalFormatting sqref="F13:F16">
    <cfRule type="cellIs" dxfId="4299" priority="49" operator="equal">
      <formula>"PMS"</formula>
    </cfRule>
    <cfRule type="containsText" dxfId="4298" priority="50" operator="containsText" text="CMS">
      <formula>NOT(ISERROR(SEARCH("CMS",F13)))</formula>
    </cfRule>
    <cfRule type="cellIs" dxfId="4297" priority="51" operator="equal">
      <formula>0</formula>
    </cfRule>
    <cfRule type="cellIs" dxfId="4296" priority="52" operator="greaterThan">
      <formula>0</formula>
    </cfRule>
  </conditionalFormatting>
  <conditionalFormatting sqref="F19:F21">
    <cfRule type="cellIs" dxfId="4295" priority="41" operator="equal">
      <formula>"PMS"</formula>
    </cfRule>
    <cfRule type="containsText" dxfId="4294" priority="42" operator="containsText" text="CMS">
      <formula>NOT(ISERROR(SEARCH("CMS",F19)))</formula>
    </cfRule>
    <cfRule type="cellIs" dxfId="4293" priority="43" operator="equal">
      <formula>0</formula>
    </cfRule>
    <cfRule type="cellIs" dxfId="4292" priority="44" operator="greaterThan">
      <formula>0</formula>
    </cfRule>
    <cfRule type="cellIs" dxfId="4291" priority="45" operator="equal">
      <formula>"PMS"</formula>
    </cfRule>
    <cfRule type="containsText" dxfId="4290" priority="46" operator="containsText" text="CMS">
      <formula>NOT(ISERROR(SEARCH("CMS",F19)))</formula>
    </cfRule>
    <cfRule type="cellIs" dxfId="4289" priority="47" operator="equal">
      <formula>0</formula>
    </cfRule>
    <cfRule type="cellIs" dxfId="4288" priority="48" operator="greaterThan">
      <formula>0</formula>
    </cfRule>
  </conditionalFormatting>
  <conditionalFormatting sqref="F19:F21">
    <cfRule type="cellIs" dxfId="4287" priority="37" operator="equal">
      <formula>"PMS"</formula>
    </cfRule>
    <cfRule type="containsText" dxfId="4286" priority="38" operator="containsText" text="CMS">
      <formula>NOT(ISERROR(SEARCH("CMS",F19)))</formula>
    </cfRule>
    <cfRule type="cellIs" dxfId="4285" priority="39" operator="equal">
      <formula>0</formula>
    </cfRule>
    <cfRule type="cellIs" dxfId="4284" priority="40" operator="greaterThan">
      <formula>0</formula>
    </cfRule>
  </conditionalFormatting>
  <conditionalFormatting sqref="F36:F59">
    <cfRule type="cellIs" dxfId="4283" priority="29" operator="equal">
      <formula>"PMS"</formula>
    </cfRule>
    <cfRule type="containsText" dxfId="4282" priority="30" operator="containsText" text="CMS">
      <formula>NOT(ISERROR(SEARCH("CMS",F36)))</formula>
    </cfRule>
    <cfRule type="cellIs" dxfId="4281" priority="31" operator="equal">
      <formula>0</formula>
    </cfRule>
    <cfRule type="cellIs" dxfId="4280" priority="32" operator="greaterThan">
      <formula>0</formula>
    </cfRule>
    <cfRule type="cellIs" dxfId="4279" priority="33" operator="equal">
      <formula>"PMS"</formula>
    </cfRule>
    <cfRule type="containsText" dxfId="4278" priority="34" operator="containsText" text="CMS">
      <formula>NOT(ISERROR(SEARCH("CMS",F36)))</formula>
    </cfRule>
    <cfRule type="cellIs" dxfId="4277" priority="35" operator="equal">
      <formula>0</formula>
    </cfRule>
    <cfRule type="cellIs" dxfId="4276" priority="36" operator="greaterThan">
      <formula>0</formula>
    </cfRule>
  </conditionalFormatting>
  <conditionalFormatting sqref="F36:F59">
    <cfRule type="cellIs" dxfId="4275" priority="25" operator="equal">
      <formula>"PMS"</formula>
    </cfRule>
    <cfRule type="containsText" dxfId="4274" priority="26" operator="containsText" text="CMS">
      <formula>NOT(ISERROR(SEARCH("CMS",F36)))</formula>
    </cfRule>
    <cfRule type="cellIs" dxfId="4273" priority="27" operator="equal">
      <formula>0</formula>
    </cfRule>
    <cfRule type="cellIs" dxfId="4272" priority="28" operator="greaterThan">
      <formula>0</formula>
    </cfRule>
  </conditionalFormatting>
  <conditionalFormatting sqref="F62:F64">
    <cfRule type="cellIs" dxfId="4271" priority="17" operator="equal">
      <formula>"PMS"</formula>
    </cfRule>
    <cfRule type="containsText" dxfId="4270" priority="18" operator="containsText" text="CMS">
      <formula>NOT(ISERROR(SEARCH("CMS",F62)))</formula>
    </cfRule>
    <cfRule type="cellIs" dxfId="4269" priority="19" operator="equal">
      <formula>0</formula>
    </cfRule>
    <cfRule type="cellIs" dxfId="4268" priority="20" operator="greaterThan">
      <formula>0</formula>
    </cfRule>
    <cfRule type="cellIs" dxfId="4267" priority="21" operator="equal">
      <formula>"PMS"</formula>
    </cfRule>
    <cfRule type="containsText" dxfId="4266" priority="22" operator="containsText" text="CMS">
      <formula>NOT(ISERROR(SEARCH("CMS",F62)))</formula>
    </cfRule>
    <cfRule type="cellIs" dxfId="4265" priority="23" operator="equal">
      <formula>0</formula>
    </cfRule>
    <cfRule type="cellIs" dxfId="4264" priority="24" operator="greaterThan">
      <formula>0</formula>
    </cfRule>
  </conditionalFormatting>
  <conditionalFormatting sqref="F62:F64">
    <cfRule type="cellIs" dxfId="4263" priority="13" operator="equal">
      <formula>"PMS"</formula>
    </cfRule>
    <cfRule type="containsText" dxfId="4262" priority="14" operator="containsText" text="CMS">
      <formula>NOT(ISERROR(SEARCH("CMS",F62)))</formula>
    </cfRule>
    <cfRule type="cellIs" dxfId="4261" priority="15" operator="equal">
      <formula>0</formula>
    </cfRule>
    <cfRule type="cellIs" dxfId="4260" priority="16" operator="greaterThan">
      <formula>0</formula>
    </cfRule>
  </conditionalFormatting>
  <conditionalFormatting sqref="F79">
    <cfRule type="cellIs" dxfId="4259" priority="5" operator="equal">
      <formula>"PMS"</formula>
    </cfRule>
    <cfRule type="containsText" dxfId="4258" priority="6" operator="containsText" text="CMS">
      <formula>NOT(ISERROR(SEARCH("CMS",F79)))</formula>
    </cfRule>
    <cfRule type="cellIs" dxfId="4257" priority="7" operator="equal">
      <formula>0</formula>
    </cfRule>
    <cfRule type="cellIs" dxfId="4256" priority="8" operator="greaterThan">
      <formula>0</formula>
    </cfRule>
    <cfRule type="cellIs" dxfId="4255" priority="9" operator="equal">
      <formula>"PMS"</formula>
    </cfRule>
    <cfRule type="containsText" dxfId="4254" priority="10" operator="containsText" text="CMS">
      <formula>NOT(ISERROR(SEARCH("CMS",F79)))</formula>
    </cfRule>
    <cfRule type="cellIs" dxfId="4253" priority="11" operator="equal">
      <formula>0</formula>
    </cfRule>
    <cfRule type="cellIs" dxfId="4252" priority="12" operator="greaterThan">
      <formula>0</formula>
    </cfRule>
  </conditionalFormatting>
  <conditionalFormatting sqref="F79">
    <cfRule type="cellIs" dxfId="4251" priority="1" operator="equal">
      <formula>"PMS"</formula>
    </cfRule>
    <cfRule type="containsText" dxfId="4250" priority="2" operator="containsText" text="CMS">
      <formula>NOT(ISERROR(SEARCH("CMS",F79)))</formula>
    </cfRule>
    <cfRule type="cellIs" dxfId="4249" priority="3" operator="equal">
      <formula>0</formula>
    </cfRule>
    <cfRule type="cellIs" dxfId="4248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5612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FF0BD-CC55-422F-993E-F06A3F82022F}">
  <sheetPr codeName="Sheet173"/>
  <dimension ref="A2:DT141"/>
  <sheetViews>
    <sheetView zoomScale="70" zoomScaleNormal="70" zoomScaleSheetLayoutView="51" zoomScalePageLayoutView="55" workbookViewId="0">
      <pane xSplit="5" ySplit="11" topLeftCell="F42" activePane="bottomRight" state="frozen"/>
      <selection pane="bottomRight" activeCell="N19" sqref="N19"/>
      <selection pane="bottomLeft" activeCell="AJ44" sqref="AJ44"/>
      <selection pane="topRight" activeCell="AJ44" sqref="AJ4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23"/>
      <c r="N8" s="523"/>
      <c r="O8" s="52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24" t="e" cm="1">
        <f t="array" aca="1" ref="M9" ca="1">TEXT(TODAY(),"mmmm")&amp;" "&amp;MID(CELL("filename",A1),FIND("]",CELL("filename",A1))+1,255)&amp;", "&amp;TEXT(TODAY(),"yyyy")</f>
        <v>#VALUE!</v>
      </c>
      <c r="N9" s="524"/>
      <c r="O9" s="524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4"/>
      <c r="R10" s="344"/>
      <c r="S10" s="344"/>
      <c r="T10" s="344"/>
      <c r="U10" s="344"/>
      <c r="V10" s="344"/>
      <c r="W10" s="344"/>
      <c r="X10" s="344"/>
      <c r="Y10" s="344"/>
      <c r="Z10" s="344"/>
      <c r="AA10" s="344"/>
      <c r="AB10" s="344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17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443.79999999999978</v>
      </c>
    </row>
    <row r="13" spans="1:41">
      <c r="A13" s="14" t="s">
        <v>22</v>
      </c>
      <c r="B13" s="15"/>
      <c r="C13" s="15">
        <v>7.2</v>
      </c>
      <c r="D13" s="15"/>
      <c r="E13" s="15"/>
      <c r="F13" s="372">
        <v>6.5</v>
      </c>
      <c r="G13" s="372">
        <v>6.6</v>
      </c>
      <c r="H13" s="372">
        <v>6.7</v>
      </c>
      <c r="I13" s="372">
        <v>6.5</v>
      </c>
      <c r="J13" s="372">
        <v>6.7</v>
      </c>
      <c r="K13" s="374">
        <v>6.7</v>
      </c>
      <c r="L13" s="374">
        <v>6.7</v>
      </c>
      <c r="M13" s="374">
        <v>6.7</v>
      </c>
      <c r="N13" s="372">
        <v>6.5</v>
      </c>
      <c r="O13" s="372">
        <v>6.7</v>
      </c>
      <c r="P13" s="372">
        <v>6.7</v>
      </c>
      <c r="Q13" s="372">
        <v>6.7</v>
      </c>
      <c r="R13" s="372">
        <v>6.8</v>
      </c>
      <c r="S13" s="372">
        <v>6.7</v>
      </c>
      <c r="T13" s="372">
        <v>6.7</v>
      </c>
      <c r="U13" s="372">
        <v>6.7</v>
      </c>
      <c r="V13" s="372">
        <v>6.7</v>
      </c>
      <c r="W13" s="372">
        <v>6.6</v>
      </c>
      <c r="X13" s="372">
        <v>6.7</v>
      </c>
      <c r="Y13" s="372">
        <v>6.4</v>
      </c>
      <c r="Z13" s="372">
        <v>6.4</v>
      </c>
      <c r="AA13" s="372">
        <v>6</v>
      </c>
      <c r="AB13" s="372">
        <v>6.5</v>
      </c>
      <c r="AC13" s="372">
        <v>6.7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1">
      <c r="A14" s="14" t="s">
        <v>23</v>
      </c>
      <c r="B14" s="15"/>
      <c r="C14" s="15">
        <v>7.2</v>
      </c>
      <c r="D14" s="15"/>
      <c r="E14" s="15"/>
      <c r="F14" s="372">
        <v>6.5</v>
      </c>
      <c r="G14" s="372">
        <v>6.6</v>
      </c>
      <c r="H14" s="372">
        <v>6.7</v>
      </c>
      <c r="I14" s="372">
        <v>6.5</v>
      </c>
      <c r="J14" s="372">
        <v>6.7</v>
      </c>
      <c r="K14" s="374">
        <v>6.7</v>
      </c>
      <c r="L14" s="374">
        <v>6.7</v>
      </c>
      <c r="M14" s="374">
        <v>6.7</v>
      </c>
      <c r="N14" s="372">
        <v>6.5</v>
      </c>
      <c r="O14" s="372">
        <v>6.7</v>
      </c>
      <c r="P14" s="372">
        <v>6.7</v>
      </c>
      <c r="Q14" s="372">
        <v>6.7</v>
      </c>
      <c r="R14" s="372">
        <v>6.8</v>
      </c>
      <c r="S14" s="372">
        <v>6.7</v>
      </c>
      <c r="T14" s="372">
        <v>6.7</v>
      </c>
      <c r="U14" s="372">
        <v>6.7</v>
      </c>
      <c r="V14" s="372">
        <v>6.7</v>
      </c>
      <c r="W14" s="372">
        <v>6.6</v>
      </c>
      <c r="X14" s="372">
        <v>6.7</v>
      </c>
      <c r="Y14" s="372">
        <v>6.4</v>
      </c>
      <c r="Z14" s="372">
        <v>6.4</v>
      </c>
      <c r="AA14" s="372">
        <v>6</v>
      </c>
      <c r="AB14" s="372">
        <v>6.5</v>
      </c>
      <c r="AC14" s="372">
        <v>6.7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372"/>
      <c r="G15" s="372"/>
      <c r="H15" s="372"/>
      <c r="I15" s="372"/>
      <c r="J15" s="372"/>
      <c r="K15" s="374"/>
      <c r="L15" s="374"/>
      <c r="M15" s="374"/>
      <c r="N15" s="372">
        <v>1</v>
      </c>
      <c r="O15" s="372" t="s">
        <v>9</v>
      </c>
      <c r="P15" s="372" t="s">
        <v>9</v>
      </c>
      <c r="Q15" s="372">
        <v>3.5</v>
      </c>
      <c r="R15" s="372">
        <v>6.8</v>
      </c>
      <c r="S15" s="372">
        <v>6.7</v>
      </c>
      <c r="T15" s="372">
        <v>6.7</v>
      </c>
      <c r="U15" s="372">
        <v>6.7</v>
      </c>
      <c r="V15" s="372">
        <v>6.7</v>
      </c>
      <c r="W15" s="372">
        <v>6.6</v>
      </c>
      <c r="X15" s="372">
        <v>6.7</v>
      </c>
      <c r="Y15" s="372">
        <v>6.4</v>
      </c>
      <c r="Z15" s="372">
        <v>6.4</v>
      </c>
      <c r="AA15" s="372">
        <v>6</v>
      </c>
      <c r="AB15" s="372">
        <v>6.5</v>
      </c>
      <c r="AC15" s="372">
        <v>6.7</v>
      </c>
      <c r="AD15" s="41"/>
      <c r="AE15" s="41"/>
      <c r="AF15" s="11">
        <f>COUNTIF(F15:AC15,$AJ$8)</f>
        <v>2</v>
      </c>
      <c r="AG15" s="11">
        <f>COUNTIF(G15:AD15,$AJ$7)</f>
        <v>0</v>
      </c>
      <c r="AH15" s="11">
        <f>COUNT(F15:AC15)</f>
        <v>14</v>
      </c>
    </row>
    <row r="16" spans="1:41">
      <c r="A16" s="14" t="s">
        <v>25</v>
      </c>
      <c r="B16" s="15"/>
      <c r="C16" s="15">
        <v>7.2</v>
      </c>
      <c r="D16" s="15"/>
      <c r="E16" s="15"/>
      <c r="F16" s="372">
        <v>6.5</v>
      </c>
      <c r="G16" s="372">
        <v>6.6</v>
      </c>
      <c r="H16" s="372">
        <v>6.7</v>
      </c>
      <c r="I16" s="372">
        <v>6.5</v>
      </c>
      <c r="J16" s="372">
        <v>0</v>
      </c>
      <c r="K16" s="374">
        <v>0</v>
      </c>
      <c r="L16" s="374">
        <v>0</v>
      </c>
      <c r="M16" s="374">
        <v>0</v>
      </c>
      <c r="N16" s="372">
        <v>0</v>
      </c>
      <c r="O16" s="372">
        <v>6.7</v>
      </c>
      <c r="P16" s="372">
        <v>6.7</v>
      </c>
      <c r="Q16" s="372">
        <v>3.5</v>
      </c>
      <c r="R16" s="372"/>
      <c r="S16" s="372"/>
      <c r="T16" s="372"/>
      <c r="U16" s="372"/>
      <c r="V16" s="372"/>
      <c r="W16" s="372"/>
      <c r="X16" s="372"/>
      <c r="Y16" s="372"/>
      <c r="Z16" s="372"/>
      <c r="AA16" s="372"/>
      <c r="AB16" s="372"/>
      <c r="AC16" s="372"/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12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19.5</v>
      </c>
      <c r="G17" s="19">
        <f t="shared" ref="G17:AC17" si="1">SUM(G13:G16)</f>
        <v>19.799999999999997</v>
      </c>
      <c r="H17" s="19">
        <f>SUM(H13:H16)</f>
        <v>20.100000000000001</v>
      </c>
      <c r="I17" s="19">
        <f t="shared" si="1"/>
        <v>19.5</v>
      </c>
      <c r="J17" s="19">
        <f t="shared" si="1"/>
        <v>13.4</v>
      </c>
      <c r="K17" s="19">
        <f t="shared" si="1"/>
        <v>13.4</v>
      </c>
      <c r="L17" s="19">
        <f t="shared" si="1"/>
        <v>13.4</v>
      </c>
      <c r="M17" s="19">
        <f t="shared" si="1"/>
        <v>13.4</v>
      </c>
      <c r="N17" s="19">
        <f t="shared" si="1"/>
        <v>14</v>
      </c>
      <c r="O17" s="19">
        <f t="shared" si="1"/>
        <v>20.100000000000001</v>
      </c>
      <c r="P17" s="19">
        <f t="shared" si="1"/>
        <v>20.100000000000001</v>
      </c>
      <c r="Q17" s="19">
        <f t="shared" si="1"/>
        <v>20.399999999999999</v>
      </c>
      <c r="R17" s="19">
        <f t="shared" si="1"/>
        <v>20.399999999999999</v>
      </c>
      <c r="S17" s="19">
        <f t="shared" si="1"/>
        <v>20.100000000000001</v>
      </c>
      <c r="T17" s="19">
        <f t="shared" si="1"/>
        <v>20.100000000000001</v>
      </c>
      <c r="U17" s="19">
        <f t="shared" si="1"/>
        <v>20.100000000000001</v>
      </c>
      <c r="V17" s="19">
        <f t="shared" si="1"/>
        <v>20.100000000000001</v>
      </c>
      <c r="W17" s="19">
        <f t="shared" si="1"/>
        <v>19.799999999999997</v>
      </c>
      <c r="X17" s="19">
        <f t="shared" si="1"/>
        <v>20.100000000000001</v>
      </c>
      <c r="Y17" s="19">
        <f t="shared" si="1"/>
        <v>19.200000000000003</v>
      </c>
      <c r="Z17" s="19">
        <f t="shared" si="1"/>
        <v>19.200000000000003</v>
      </c>
      <c r="AA17" s="19">
        <f t="shared" si="1"/>
        <v>18</v>
      </c>
      <c r="AB17" s="19">
        <f t="shared" si="1"/>
        <v>19.5</v>
      </c>
      <c r="AC17" s="19">
        <f t="shared" si="1"/>
        <v>20.100000000000001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93.69999999999996</v>
      </c>
    </row>
    <row r="19" spans="1:51">
      <c r="A19" s="14" t="s">
        <v>22</v>
      </c>
      <c r="B19" s="15"/>
      <c r="C19" s="15">
        <v>3</v>
      </c>
      <c r="D19" s="15"/>
      <c r="E19" s="15"/>
      <c r="F19" s="372"/>
      <c r="G19" s="372"/>
      <c r="H19" s="372"/>
      <c r="I19" s="372"/>
      <c r="J19" s="372"/>
      <c r="K19" s="374"/>
      <c r="L19" s="374"/>
      <c r="M19" s="374"/>
      <c r="N19" s="372"/>
      <c r="O19" s="372"/>
      <c r="P19" s="372">
        <v>2.8</v>
      </c>
      <c r="Q19" s="372">
        <v>2.7</v>
      </c>
      <c r="R19" s="372">
        <v>2.7</v>
      </c>
      <c r="S19" s="372">
        <v>2.7</v>
      </c>
      <c r="T19" s="372">
        <v>2.8</v>
      </c>
      <c r="U19" s="372">
        <v>2.7</v>
      </c>
      <c r="V19" s="372">
        <v>2.7</v>
      </c>
      <c r="W19" s="372">
        <v>2.5</v>
      </c>
      <c r="X19" s="372">
        <v>2.7</v>
      </c>
      <c r="Y19" s="372">
        <v>2.2999999999999998</v>
      </c>
      <c r="Z19" s="372"/>
      <c r="AA19" s="372"/>
      <c r="AB19" s="372"/>
      <c r="AC19" s="372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10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372"/>
      <c r="G20" s="372"/>
      <c r="H20" s="372"/>
      <c r="I20" s="372"/>
      <c r="J20" s="372"/>
      <c r="K20" s="374"/>
      <c r="L20" s="374"/>
      <c r="M20" s="374"/>
      <c r="N20" s="372"/>
      <c r="O20" s="372"/>
      <c r="P20" s="372"/>
      <c r="Q20" s="372"/>
      <c r="R20" s="372"/>
      <c r="S20" s="372"/>
      <c r="T20" s="372"/>
      <c r="U20" s="372"/>
      <c r="V20" s="372"/>
      <c r="W20" s="372"/>
      <c r="X20" s="372"/>
      <c r="Y20" s="372"/>
      <c r="Z20" s="372"/>
      <c r="AA20" s="372"/>
      <c r="AB20" s="372"/>
      <c r="AC20" s="372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2">
        <v>3</v>
      </c>
      <c r="G21" s="372"/>
      <c r="H21" s="372"/>
      <c r="I21" s="372"/>
      <c r="J21" s="372"/>
      <c r="K21" s="374">
        <v>1.2</v>
      </c>
      <c r="L21" s="374">
        <v>3</v>
      </c>
      <c r="M21" s="374">
        <v>3</v>
      </c>
      <c r="N21" s="372">
        <v>3.8</v>
      </c>
      <c r="O21" s="372">
        <v>3.8</v>
      </c>
      <c r="P21" s="372">
        <v>3.8</v>
      </c>
      <c r="Q21" s="372">
        <v>3.8</v>
      </c>
      <c r="R21" s="372">
        <v>3.8</v>
      </c>
      <c r="S21" s="372">
        <v>3.8</v>
      </c>
      <c r="T21" s="372">
        <v>3.8</v>
      </c>
      <c r="U21" s="372">
        <v>3.6</v>
      </c>
      <c r="V21" s="372">
        <v>3.8</v>
      </c>
      <c r="W21" s="372">
        <v>3</v>
      </c>
      <c r="X21" s="372">
        <v>3.5</v>
      </c>
      <c r="Y21" s="372">
        <v>3</v>
      </c>
      <c r="Z21" s="372">
        <v>3</v>
      </c>
      <c r="AA21" s="372">
        <v>3</v>
      </c>
      <c r="AB21" s="372">
        <v>3.6</v>
      </c>
      <c r="AC21" s="372">
        <v>3.8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3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1.2</v>
      </c>
      <c r="L22" s="19">
        <f t="shared" si="3"/>
        <v>3</v>
      </c>
      <c r="M22" s="19">
        <f t="shared" si="3"/>
        <v>3</v>
      </c>
      <c r="N22" s="19">
        <f t="shared" si="3"/>
        <v>3.8</v>
      </c>
      <c r="O22" s="19">
        <f t="shared" si="3"/>
        <v>3.8</v>
      </c>
      <c r="P22" s="19">
        <f t="shared" si="3"/>
        <v>6.6</v>
      </c>
      <c r="Q22" s="19">
        <f t="shared" si="3"/>
        <v>6.5</v>
      </c>
      <c r="R22" s="19">
        <f t="shared" si="3"/>
        <v>6.5</v>
      </c>
      <c r="S22" s="19">
        <f>SUM(S19:S21)</f>
        <v>6.5</v>
      </c>
      <c r="T22" s="19">
        <f t="shared" ref="T22" si="4">SUM(T19:T21)</f>
        <v>6.6</v>
      </c>
      <c r="U22" s="19">
        <f t="shared" si="3"/>
        <v>6.3000000000000007</v>
      </c>
      <c r="V22" s="19">
        <f t="shared" si="3"/>
        <v>6.5</v>
      </c>
      <c r="W22" s="19">
        <f t="shared" si="3"/>
        <v>5.5</v>
      </c>
      <c r="X22" s="19">
        <f t="shared" si="3"/>
        <v>6.2</v>
      </c>
      <c r="Y22" s="19">
        <f t="shared" si="3"/>
        <v>5.3</v>
      </c>
      <c r="Z22" s="19">
        <f t="shared" si="3"/>
        <v>3</v>
      </c>
      <c r="AA22" s="19">
        <f t="shared" si="3"/>
        <v>3</v>
      </c>
      <c r="AB22" s="19">
        <f>SUM(AB19:AB21)</f>
        <v>3.6</v>
      </c>
      <c r="AC22" s="19">
        <f t="shared" si="3"/>
        <v>3.8</v>
      </c>
      <c r="AD22" s="41"/>
      <c r="AE22" s="41"/>
      <c r="AF22" s="11"/>
      <c r="AG22" s="11"/>
      <c r="AH22" s="11"/>
      <c r="AI22" s="400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409">
        <f>SUM(F24:AC24)</f>
        <v>37.5</v>
      </c>
    </row>
    <row r="24" spans="1:51">
      <c r="A24" s="14" t="s">
        <v>22</v>
      </c>
      <c r="B24" s="20"/>
      <c r="C24" s="15">
        <v>4.5</v>
      </c>
      <c r="D24" s="15"/>
      <c r="E24" s="15"/>
      <c r="F24" s="372"/>
      <c r="G24" s="372"/>
      <c r="H24" s="372"/>
      <c r="I24" s="372"/>
      <c r="J24" s="372"/>
      <c r="K24" s="374"/>
      <c r="L24" s="374"/>
      <c r="M24" s="374"/>
      <c r="N24" s="372"/>
      <c r="O24" s="372"/>
      <c r="P24" s="372"/>
      <c r="Q24" s="372"/>
      <c r="R24" s="372"/>
      <c r="S24" s="372">
        <v>2.7</v>
      </c>
      <c r="T24" s="372">
        <v>3.8</v>
      </c>
      <c r="U24" s="372">
        <v>3.8</v>
      </c>
      <c r="V24" s="372">
        <v>3.8</v>
      </c>
      <c r="W24" s="372">
        <v>3.8</v>
      </c>
      <c r="X24" s="372">
        <v>3.8</v>
      </c>
      <c r="Y24" s="372">
        <v>3.8</v>
      </c>
      <c r="Z24" s="372">
        <v>3</v>
      </c>
      <c r="AA24" s="372">
        <v>3</v>
      </c>
      <c r="AB24" s="372">
        <v>3</v>
      </c>
      <c r="AC24" s="372">
        <v>3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11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0</v>
      </c>
      <c r="P25" s="19">
        <f t="shared" si="6"/>
        <v>0</v>
      </c>
      <c r="Q25" s="19">
        <f t="shared" si="6"/>
        <v>0</v>
      </c>
      <c r="R25" s="19">
        <f t="shared" si="6"/>
        <v>0</v>
      </c>
      <c r="S25" s="19">
        <f t="shared" si="6"/>
        <v>2.7</v>
      </c>
      <c r="T25" s="19">
        <f t="shared" si="6"/>
        <v>3.8</v>
      </c>
      <c r="U25" s="19">
        <f t="shared" si="6"/>
        <v>3.8</v>
      </c>
      <c r="V25" s="19">
        <f t="shared" si="6"/>
        <v>3.8</v>
      </c>
      <c r="W25" s="19">
        <f t="shared" si="6"/>
        <v>3.8</v>
      </c>
      <c r="X25" s="19">
        <f t="shared" si="6"/>
        <v>3.8</v>
      </c>
      <c r="Y25" s="19">
        <f t="shared" si="6"/>
        <v>3.8</v>
      </c>
      <c r="Z25" s="19">
        <f t="shared" si="6"/>
        <v>3</v>
      </c>
      <c r="AA25" s="19">
        <f t="shared" si="6"/>
        <v>3</v>
      </c>
      <c r="AB25" s="19">
        <f t="shared" si="6"/>
        <v>3</v>
      </c>
      <c r="AC25" s="19">
        <f t="shared" si="6"/>
        <v>3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176.79999999999995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2">
        <v>4</v>
      </c>
      <c r="G27" s="372">
        <v>4</v>
      </c>
      <c r="H27" s="372">
        <v>3.2</v>
      </c>
      <c r="I27" s="372">
        <v>3</v>
      </c>
      <c r="J27" s="372">
        <v>4</v>
      </c>
      <c r="K27" s="374">
        <v>4</v>
      </c>
      <c r="L27" s="374">
        <v>3.5</v>
      </c>
      <c r="M27" s="374">
        <v>3</v>
      </c>
      <c r="N27" s="372">
        <v>4</v>
      </c>
      <c r="O27" s="372">
        <v>4.0999999999999996</v>
      </c>
      <c r="P27" s="372">
        <v>4.0999999999999996</v>
      </c>
      <c r="Q27" s="372">
        <v>4</v>
      </c>
      <c r="R27" s="372">
        <v>4.0999999999999996</v>
      </c>
      <c r="S27" s="372">
        <v>4</v>
      </c>
      <c r="T27" s="372">
        <v>4</v>
      </c>
      <c r="U27" s="372">
        <v>4</v>
      </c>
      <c r="V27" s="372">
        <v>4</v>
      </c>
      <c r="W27" s="372">
        <v>4.0999999999999996</v>
      </c>
      <c r="X27" s="372">
        <v>3.5</v>
      </c>
      <c r="Y27" s="372">
        <v>3.1</v>
      </c>
      <c r="Z27" s="372">
        <v>2.9</v>
      </c>
      <c r="AA27" s="372">
        <v>3</v>
      </c>
      <c r="AB27" s="372">
        <v>3.7</v>
      </c>
      <c r="AC27" s="372">
        <v>3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2">
        <v>4</v>
      </c>
      <c r="G28" s="372">
        <v>4</v>
      </c>
      <c r="H28" s="372">
        <v>3.2</v>
      </c>
      <c r="I28" s="372">
        <v>3</v>
      </c>
      <c r="J28" s="372">
        <v>4</v>
      </c>
      <c r="K28" s="374">
        <v>4</v>
      </c>
      <c r="L28" s="374">
        <v>3.5</v>
      </c>
      <c r="M28" s="374">
        <v>3</v>
      </c>
      <c r="N28" s="372">
        <v>4</v>
      </c>
      <c r="O28" s="372">
        <v>4.0999999999999996</v>
      </c>
      <c r="P28" s="372">
        <v>4.0999999999999996</v>
      </c>
      <c r="Q28" s="372">
        <v>4.0999999999999996</v>
      </c>
      <c r="R28" s="372">
        <v>4.2</v>
      </c>
      <c r="S28" s="372">
        <v>4</v>
      </c>
      <c r="T28" s="372">
        <v>4</v>
      </c>
      <c r="U28" s="372">
        <v>4</v>
      </c>
      <c r="V28" s="372">
        <v>4</v>
      </c>
      <c r="W28" s="372">
        <v>4.0999999999999996</v>
      </c>
      <c r="X28" s="372">
        <v>3.5</v>
      </c>
      <c r="Y28" s="372">
        <v>3.1</v>
      </c>
      <c r="Z28" s="372">
        <v>2.9</v>
      </c>
      <c r="AA28" s="372">
        <v>3</v>
      </c>
      <c r="AB28" s="372">
        <v>3.7</v>
      </c>
      <c r="AC28" s="372">
        <v>3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0</v>
      </c>
    </row>
    <row r="29" spans="1:51" ht="15" customHeight="1">
      <c r="A29" s="14" t="s">
        <v>30</v>
      </c>
      <c r="B29" s="369"/>
      <c r="C29" s="370">
        <v>8.8000000000000007</v>
      </c>
      <c r="D29" s="371"/>
      <c r="E29" s="371"/>
      <c r="F29" s="372"/>
      <c r="G29" s="372"/>
      <c r="H29" s="372"/>
      <c r="I29" s="372"/>
      <c r="J29" s="372"/>
      <c r="K29" s="374"/>
      <c r="L29" s="374"/>
      <c r="M29" s="374"/>
      <c r="N29" s="372"/>
      <c r="O29" s="372"/>
      <c r="P29" s="372"/>
      <c r="Q29" s="372"/>
      <c r="R29" s="372"/>
      <c r="S29" s="372"/>
      <c r="T29" s="372"/>
      <c r="U29" s="372"/>
      <c r="V29" s="372"/>
      <c r="W29" s="372"/>
      <c r="X29" s="372"/>
      <c r="Y29" s="372"/>
      <c r="Z29" s="372"/>
      <c r="AA29" s="372"/>
      <c r="AB29" s="372"/>
      <c r="AC29" s="372"/>
    </row>
    <row r="30" spans="1:51" ht="15" customHeight="1">
      <c r="A30" s="14" t="s">
        <v>31</v>
      </c>
      <c r="B30" s="369"/>
      <c r="C30" s="370">
        <v>8.8000000000000007</v>
      </c>
      <c r="D30" s="371"/>
      <c r="E30" s="371"/>
      <c r="F30" s="372"/>
      <c r="G30" s="372"/>
      <c r="H30" s="372"/>
      <c r="I30" s="372"/>
      <c r="J30" s="372"/>
      <c r="K30" s="374"/>
      <c r="L30" s="374"/>
      <c r="M30" s="374"/>
      <c r="N30" s="372"/>
      <c r="O30" s="372"/>
      <c r="P30" s="372"/>
      <c r="Q30" s="372"/>
      <c r="R30" s="372"/>
      <c r="S30" s="372"/>
      <c r="T30" s="372"/>
      <c r="U30" s="372"/>
      <c r="V30" s="372"/>
      <c r="W30" s="372"/>
      <c r="X30" s="372"/>
      <c r="Y30" s="372"/>
      <c r="Z30" s="372"/>
      <c r="AA30" s="372"/>
      <c r="AB30" s="372"/>
      <c r="AC30" s="372"/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SUM(F27:F29)</f>
        <v>8</v>
      </c>
      <c r="G31" s="19">
        <f t="shared" ref="G31:AC31" si="8">SUM(G27:G29)</f>
        <v>8</v>
      </c>
      <c r="H31" s="19">
        <f t="shared" si="8"/>
        <v>6.4</v>
      </c>
      <c r="I31" s="19">
        <f t="shared" si="8"/>
        <v>6</v>
      </c>
      <c r="J31" s="19">
        <f t="shared" si="8"/>
        <v>8</v>
      </c>
      <c r="K31" s="19">
        <f t="shared" si="8"/>
        <v>8</v>
      </c>
      <c r="L31" s="19">
        <f t="shared" si="8"/>
        <v>7</v>
      </c>
      <c r="M31" s="19">
        <f t="shared" si="8"/>
        <v>6</v>
      </c>
      <c r="N31" s="19">
        <f t="shared" si="8"/>
        <v>8</v>
      </c>
      <c r="O31" s="19">
        <f t="shared" si="8"/>
        <v>8.1999999999999993</v>
      </c>
      <c r="P31" s="19">
        <f t="shared" si="8"/>
        <v>8.1999999999999993</v>
      </c>
      <c r="Q31" s="19">
        <f t="shared" si="8"/>
        <v>8.1</v>
      </c>
      <c r="R31" s="19">
        <f t="shared" si="8"/>
        <v>8.3000000000000007</v>
      </c>
      <c r="S31" s="19">
        <f t="shared" si="8"/>
        <v>8</v>
      </c>
      <c r="T31" s="19">
        <f>SUM(T27:T29)</f>
        <v>8</v>
      </c>
      <c r="U31" s="19">
        <f t="shared" si="8"/>
        <v>8</v>
      </c>
      <c r="V31" s="19">
        <f t="shared" si="8"/>
        <v>8</v>
      </c>
      <c r="W31" s="19">
        <f t="shared" si="8"/>
        <v>8.1999999999999993</v>
      </c>
      <c r="X31" s="19">
        <f>SUM(X27:X30)</f>
        <v>7</v>
      </c>
      <c r="Y31" s="19">
        <f t="shared" si="8"/>
        <v>6.2</v>
      </c>
      <c r="Z31" s="19">
        <f t="shared" si="8"/>
        <v>5.8</v>
      </c>
      <c r="AA31" s="19">
        <f t="shared" si="8"/>
        <v>6</v>
      </c>
      <c r="AB31" s="19">
        <f t="shared" si="8"/>
        <v>7.4</v>
      </c>
      <c r="AC31" s="19">
        <f t="shared" si="8"/>
        <v>6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338.18999999999994</v>
      </c>
    </row>
    <row r="33" spans="1:36">
      <c r="A33" s="14" t="s">
        <v>22</v>
      </c>
      <c r="B33" s="15"/>
      <c r="C33" s="15">
        <v>15</v>
      </c>
      <c r="D33" s="15"/>
      <c r="E33" s="15"/>
      <c r="F33" s="372">
        <v>14.3</v>
      </c>
      <c r="G33" s="372">
        <v>14.26</v>
      </c>
      <c r="H33" s="372">
        <v>13.24</v>
      </c>
      <c r="I33" s="372">
        <v>12.75</v>
      </c>
      <c r="J33" s="372">
        <v>14.26</v>
      </c>
      <c r="K33" s="374">
        <v>14.29</v>
      </c>
      <c r="L33" s="374">
        <v>14.26</v>
      </c>
      <c r="M33" s="374">
        <v>14.3</v>
      </c>
      <c r="N33" s="372">
        <v>14.29</v>
      </c>
      <c r="O33" s="372">
        <v>14.25</v>
      </c>
      <c r="P33" s="372">
        <v>14.2</v>
      </c>
      <c r="Q33" s="372">
        <v>14.16</v>
      </c>
      <c r="R33" s="372">
        <v>14.22</v>
      </c>
      <c r="S33" s="372">
        <v>14.17</v>
      </c>
      <c r="T33" s="372">
        <v>14.22</v>
      </c>
      <c r="U33" s="372">
        <v>14.22</v>
      </c>
      <c r="V33" s="372">
        <v>14.13</v>
      </c>
      <c r="W33" s="372">
        <v>14.23</v>
      </c>
      <c r="X33" s="372">
        <v>14.11</v>
      </c>
      <c r="Y33" s="372">
        <v>14.22</v>
      </c>
      <c r="Z33" s="372">
        <v>14.25</v>
      </c>
      <c r="AA33" s="372">
        <v>14.27</v>
      </c>
      <c r="AB33" s="372">
        <v>14.28</v>
      </c>
      <c r="AC33" s="372">
        <v>13.31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9">SUM(F33)</f>
        <v>14.3</v>
      </c>
      <c r="G34" s="19">
        <f t="shared" ref="G34:AC34" si="10">SUM(G33)</f>
        <v>14.26</v>
      </c>
      <c r="H34" s="19">
        <f t="shared" si="10"/>
        <v>13.24</v>
      </c>
      <c r="I34" s="19">
        <f t="shared" si="10"/>
        <v>12.75</v>
      </c>
      <c r="J34" s="19">
        <f>SUM(J33)</f>
        <v>14.26</v>
      </c>
      <c r="K34" s="19">
        <f t="shared" si="10"/>
        <v>14.29</v>
      </c>
      <c r="L34" s="19">
        <f t="shared" si="10"/>
        <v>14.26</v>
      </c>
      <c r="M34" s="19">
        <f t="shared" si="10"/>
        <v>14.3</v>
      </c>
      <c r="N34" s="19">
        <f t="shared" si="10"/>
        <v>14.29</v>
      </c>
      <c r="O34" s="19">
        <f t="shared" si="10"/>
        <v>14.25</v>
      </c>
      <c r="P34" s="19">
        <f t="shared" si="10"/>
        <v>14.2</v>
      </c>
      <c r="Q34" s="19">
        <f t="shared" si="10"/>
        <v>14.16</v>
      </c>
      <c r="R34" s="19">
        <f t="shared" si="10"/>
        <v>14.22</v>
      </c>
      <c r="S34" s="19">
        <f t="shared" si="10"/>
        <v>14.17</v>
      </c>
      <c r="T34" s="19">
        <f t="shared" si="10"/>
        <v>14.22</v>
      </c>
      <c r="U34" s="19">
        <f t="shared" si="10"/>
        <v>14.22</v>
      </c>
      <c r="V34" s="19">
        <f t="shared" si="10"/>
        <v>14.13</v>
      </c>
      <c r="W34" s="19">
        <f t="shared" si="10"/>
        <v>14.23</v>
      </c>
      <c r="X34" s="19">
        <f t="shared" si="10"/>
        <v>14.11</v>
      </c>
      <c r="Y34" s="19">
        <f t="shared" si="10"/>
        <v>14.22</v>
      </c>
      <c r="Z34" s="19">
        <f t="shared" si="10"/>
        <v>14.25</v>
      </c>
      <c r="AA34" s="19">
        <f t="shared" si="10"/>
        <v>14.27</v>
      </c>
      <c r="AB34" s="19">
        <f t="shared" si="10"/>
        <v>14.28</v>
      </c>
      <c r="AC34" s="19">
        <f t="shared" si="10"/>
        <v>13.31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55"/>
      <c r="G35" s="455"/>
      <c r="H35" s="455"/>
      <c r="I35" s="455"/>
      <c r="J35" s="455"/>
      <c r="K35" s="455"/>
      <c r="L35" s="455"/>
      <c r="M35" s="455"/>
      <c r="N35" s="455"/>
      <c r="O35" s="455"/>
      <c r="P35" s="455"/>
      <c r="Q35" s="455"/>
      <c r="R35" s="455"/>
      <c r="S35" s="455"/>
      <c r="T35" s="455"/>
      <c r="U35" s="455"/>
      <c r="V35" s="455"/>
      <c r="W35" s="456"/>
      <c r="X35" s="455"/>
      <c r="Y35" s="455"/>
      <c r="Z35" s="455"/>
      <c r="AA35" s="455"/>
      <c r="AB35" s="455"/>
      <c r="AC35" s="455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35</v>
      </c>
    </row>
    <row r="36" spans="1:36">
      <c r="A36" s="70" t="s">
        <v>36</v>
      </c>
      <c r="B36" s="15"/>
      <c r="C36" s="15"/>
      <c r="D36" s="15"/>
      <c r="E36" s="15"/>
      <c r="F36" s="372"/>
      <c r="G36" s="372"/>
      <c r="H36" s="372"/>
      <c r="I36" s="372"/>
      <c r="J36" s="372"/>
      <c r="K36" s="374"/>
      <c r="L36" s="374"/>
      <c r="M36" s="374"/>
      <c r="N36" s="372"/>
      <c r="O36" s="372"/>
      <c r="P36" s="372"/>
      <c r="Q36" s="372"/>
      <c r="R36" s="372"/>
      <c r="S36" s="372"/>
      <c r="T36" s="372"/>
      <c r="U36" s="372"/>
      <c r="V36" s="372"/>
      <c r="W36" s="372"/>
      <c r="X36" s="372"/>
      <c r="Y36" s="372"/>
      <c r="Z36" s="372"/>
      <c r="AA36" s="372"/>
      <c r="AB36" s="372"/>
      <c r="AC36" s="372"/>
      <c r="AD36" s="41"/>
      <c r="AE36" s="41"/>
      <c r="AF36" s="11">
        <f t="shared" ref="AF36:AF59" si="11">COUNTIF(F36:AC36,$AJ$8)</f>
        <v>0</v>
      </c>
      <c r="AG36" s="11">
        <f t="shared" ref="AG36:AG59" si="12">COUNTIF(G36:AD36,$AJ$7)</f>
        <v>0</v>
      </c>
      <c r="AH36" s="11">
        <f t="shared" ref="AH36:AH59" si="13">COUNT(F36:AC36)</f>
        <v>0</v>
      </c>
      <c r="AI36" s="159">
        <f>SUM(F36:AC38,F40:AC40,F45:AC59)</f>
        <v>12.299999999999997</v>
      </c>
      <c r="AJ36" t="s">
        <v>37</v>
      </c>
    </row>
    <row r="37" spans="1:36">
      <c r="A37" s="70" t="s">
        <v>38</v>
      </c>
      <c r="B37" s="15"/>
      <c r="C37" s="15"/>
      <c r="D37" s="15"/>
      <c r="E37" s="15"/>
      <c r="F37" s="372"/>
      <c r="G37" s="372"/>
      <c r="H37" s="372"/>
      <c r="I37" s="372"/>
      <c r="J37" s="372"/>
      <c r="K37" s="374"/>
      <c r="L37" s="374"/>
      <c r="M37" s="374"/>
      <c r="N37" s="372"/>
      <c r="O37" s="372"/>
      <c r="P37" s="372"/>
      <c r="Q37" s="372"/>
      <c r="R37" s="372"/>
      <c r="S37" s="372"/>
      <c r="T37" s="372"/>
      <c r="U37" s="372"/>
      <c r="V37" s="372"/>
      <c r="W37" s="372"/>
      <c r="X37" s="372"/>
      <c r="Y37" s="372"/>
      <c r="Z37" s="372"/>
      <c r="AA37" s="372"/>
      <c r="AB37" s="372"/>
      <c r="AC37" s="372"/>
      <c r="AD37" s="41"/>
      <c r="AE37" s="41"/>
      <c r="AF37" s="11">
        <f t="shared" si="11"/>
        <v>0</v>
      </c>
      <c r="AG37" s="11">
        <f t="shared" si="12"/>
        <v>0</v>
      </c>
      <c r="AH37" s="11">
        <f t="shared" si="13"/>
        <v>0</v>
      </c>
    </row>
    <row r="38" spans="1:36">
      <c r="A38" s="70" t="s">
        <v>39</v>
      </c>
      <c r="B38" s="15"/>
      <c r="C38" s="15"/>
      <c r="D38" s="15"/>
      <c r="E38" s="15"/>
      <c r="F38" s="372"/>
      <c r="G38" s="372"/>
      <c r="H38" s="372"/>
      <c r="I38" s="372"/>
      <c r="J38" s="372"/>
      <c r="K38" s="374"/>
      <c r="L38" s="374"/>
      <c r="M38" s="374"/>
      <c r="N38" s="372"/>
      <c r="O38" s="372"/>
      <c r="P38" s="372"/>
      <c r="Q38" s="372"/>
      <c r="R38" s="372"/>
      <c r="S38" s="372"/>
      <c r="T38" s="372"/>
      <c r="U38" s="372"/>
      <c r="V38" s="372"/>
      <c r="W38" s="372"/>
      <c r="X38" s="372"/>
      <c r="Y38" s="372"/>
      <c r="Z38" s="372"/>
      <c r="AA38" s="372"/>
      <c r="AB38" s="372"/>
      <c r="AC38" s="372"/>
      <c r="AD38" s="41"/>
      <c r="AE38" s="41"/>
      <c r="AF38" s="11">
        <f t="shared" si="11"/>
        <v>0</v>
      </c>
      <c r="AG38" s="11">
        <f t="shared" si="12"/>
        <v>0</v>
      </c>
      <c r="AH38" s="11">
        <f t="shared" si="13"/>
        <v>0</v>
      </c>
    </row>
    <row r="39" spans="1:36">
      <c r="A39" s="70">
        <v>34</v>
      </c>
      <c r="B39" s="15"/>
      <c r="C39" s="15"/>
      <c r="D39" s="15"/>
      <c r="E39" s="15"/>
      <c r="F39" s="372" t="s">
        <v>9</v>
      </c>
      <c r="G39" s="372" t="s">
        <v>9</v>
      </c>
      <c r="H39" s="372" t="s">
        <v>9</v>
      </c>
      <c r="I39" s="372" t="s">
        <v>9</v>
      </c>
      <c r="J39" s="372" t="s">
        <v>9</v>
      </c>
      <c r="K39" s="374" t="s">
        <v>9</v>
      </c>
      <c r="L39" s="374" t="s">
        <v>9</v>
      </c>
      <c r="M39" s="374" t="s">
        <v>9</v>
      </c>
      <c r="N39" s="372" t="s">
        <v>9</v>
      </c>
      <c r="O39" s="372" t="s">
        <v>9</v>
      </c>
      <c r="P39" s="372" t="s">
        <v>9</v>
      </c>
      <c r="Q39" s="372" t="s">
        <v>9</v>
      </c>
      <c r="R39" s="372" t="s">
        <v>9</v>
      </c>
      <c r="S39" s="372" t="s">
        <v>9</v>
      </c>
      <c r="T39" s="372" t="s">
        <v>9</v>
      </c>
      <c r="U39" s="372" t="s">
        <v>9</v>
      </c>
      <c r="V39" s="372" t="s">
        <v>9</v>
      </c>
      <c r="W39" s="372" t="s">
        <v>9</v>
      </c>
      <c r="X39" s="372" t="s">
        <v>9</v>
      </c>
      <c r="Y39" s="372" t="s">
        <v>9</v>
      </c>
      <c r="Z39" s="372" t="s">
        <v>9</v>
      </c>
      <c r="AA39" s="372" t="s">
        <v>9</v>
      </c>
      <c r="AB39" s="372" t="s">
        <v>9</v>
      </c>
      <c r="AC39" s="372" t="s">
        <v>9</v>
      </c>
      <c r="AD39" s="41"/>
      <c r="AE39" s="41"/>
      <c r="AF39" s="11">
        <f t="shared" si="11"/>
        <v>24</v>
      </c>
      <c r="AG39" s="11">
        <f t="shared" si="12"/>
        <v>0</v>
      </c>
      <c r="AH39" s="11">
        <f t="shared" si="13"/>
        <v>0</v>
      </c>
    </row>
    <row r="40" spans="1:36">
      <c r="A40" s="70">
        <v>35</v>
      </c>
      <c r="B40" s="15"/>
      <c r="C40" s="15">
        <v>0.85</v>
      </c>
      <c r="D40" s="15"/>
      <c r="E40" s="15"/>
      <c r="F40" s="372"/>
      <c r="G40" s="372"/>
      <c r="H40" s="372"/>
      <c r="I40" s="372"/>
      <c r="J40" s="372"/>
      <c r="K40" s="374"/>
      <c r="L40" s="374"/>
      <c r="M40" s="374"/>
      <c r="N40" s="372"/>
      <c r="O40" s="372"/>
      <c r="P40" s="372"/>
      <c r="Q40" s="372"/>
      <c r="R40" s="372"/>
      <c r="S40" s="372"/>
      <c r="T40" s="372"/>
      <c r="U40" s="372"/>
      <c r="V40" s="372"/>
      <c r="W40" s="372"/>
      <c r="X40" s="372"/>
      <c r="Y40" s="372"/>
      <c r="Z40" s="372"/>
      <c r="AA40" s="372"/>
      <c r="AB40" s="372"/>
      <c r="AC40" s="372"/>
      <c r="AD40" s="41"/>
      <c r="AE40" s="41"/>
      <c r="AF40" s="11">
        <f t="shared" si="11"/>
        <v>0</v>
      </c>
      <c r="AG40" s="11">
        <f t="shared" si="12"/>
        <v>0</v>
      </c>
      <c r="AH40" s="11">
        <f t="shared" si="13"/>
        <v>0</v>
      </c>
    </row>
    <row r="41" spans="1:36">
      <c r="A41" s="70">
        <v>36</v>
      </c>
      <c r="B41" s="15"/>
      <c r="C41" s="15">
        <v>1</v>
      </c>
      <c r="D41" s="15"/>
      <c r="E41" s="15"/>
      <c r="F41" s="372"/>
      <c r="G41" s="372"/>
      <c r="H41" s="372"/>
      <c r="I41" s="372"/>
      <c r="J41" s="372"/>
      <c r="K41" s="374"/>
      <c r="L41" s="374"/>
      <c r="M41" s="374"/>
      <c r="N41" s="372"/>
      <c r="O41" s="372"/>
      <c r="P41" s="372"/>
      <c r="Q41" s="372"/>
      <c r="R41" s="372"/>
      <c r="S41" s="372"/>
      <c r="T41" s="372"/>
      <c r="U41" s="372"/>
      <c r="V41" s="372"/>
      <c r="W41" s="372"/>
      <c r="X41" s="372"/>
      <c r="Y41" s="372"/>
      <c r="Z41" s="372"/>
      <c r="AA41" s="372"/>
      <c r="AB41" s="372"/>
      <c r="AC41" s="372"/>
      <c r="AD41" s="41"/>
      <c r="AE41" s="41"/>
      <c r="AF41" s="11">
        <f t="shared" si="11"/>
        <v>0</v>
      </c>
      <c r="AG41" s="11">
        <f t="shared" si="12"/>
        <v>0</v>
      </c>
      <c r="AH41" s="11">
        <f t="shared" si="13"/>
        <v>0</v>
      </c>
    </row>
    <row r="42" spans="1:36">
      <c r="A42" s="70">
        <v>37</v>
      </c>
      <c r="B42" s="15"/>
      <c r="C42" s="15">
        <v>1</v>
      </c>
      <c r="D42" s="15"/>
      <c r="E42" s="15"/>
      <c r="F42" s="372"/>
      <c r="G42" s="372"/>
      <c r="H42" s="372"/>
      <c r="I42" s="372"/>
      <c r="J42" s="372"/>
      <c r="K42" s="374"/>
      <c r="L42" s="374"/>
      <c r="M42" s="374"/>
      <c r="N42" s="372"/>
      <c r="O42" s="372"/>
      <c r="P42" s="372"/>
      <c r="Q42" s="372"/>
      <c r="R42" s="372"/>
      <c r="S42" s="372"/>
      <c r="T42" s="372"/>
      <c r="U42" s="372"/>
      <c r="V42" s="372"/>
      <c r="W42" s="372"/>
      <c r="X42" s="372"/>
      <c r="Y42" s="372"/>
      <c r="Z42" s="372"/>
      <c r="AA42" s="372"/>
      <c r="AB42" s="372"/>
      <c r="AC42" s="372"/>
      <c r="AD42" s="41"/>
      <c r="AE42" s="41"/>
      <c r="AF42" s="11">
        <f t="shared" si="11"/>
        <v>0</v>
      </c>
      <c r="AG42" s="11">
        <f t="shared" si="12"/>
        <v>0</v>
      </c>
      <c r="AH42" s="11">
        <f t="shared" si="13"/>
        <v>0</v>
      </c>
    </row>
    <row r="43" spans="1:36">
      <c r="A43" s="70">
        <v>38</v>
      </c>
      <c r="B43" s="15"/>
      <c r="C43" s="15"/>
      <c r="D43" s="15"/>
      <c r="E43" s="15"/>
      <c r="F43" s="372" t="s">
        <v>9</v>
      </c>
      <c r="G43" s="372" t="s">
        <v>9</v>
      </c>
      <c r="H43" s="372" t="s">
        <v>9</v>
      </c>
      <c r="I43" s="372" t="s">
        <v>9</v>
      </c>
      <c r="J43" s="372" t="s">
        <v>9</v>
      </c>
      <c r="K43" s="374" t="s">
        <v>9</v>
      </c>
      <c r="L43" s="374" t="s">
        <v>9</v>
      </c>
      <c r="M43" s="374" t="s">
        <v>9</v>
      </c>
      <c r="N43" s="372" t="s">
        <v>9</v>
      </c>
      <c r="O43" s="372" t="s">
        <v>9</v>
      </c>
      <c r="P43" s="372" t="s">
        <v>9</v>
      </c>
      <c r="Q43" s="372" t="s">
        <v>9</v>
      </c>
      <c r="R43" s="372" t="s">
        <v>9</v>
      </c>
      <c r="S43" s="372" t="s">
        <v>9</v>
      </c>
      <c r="T43" s="372" t="s">
        <v>9</v>
      </c>
      <c r="U43" s="372" t="s">
        <v>9</v>
      </c>
      <c r="V43" s="372" t="s">
        <v>9</v>
      </c>
      <c r="W43" s="372" t="s">
        <v>9</v>
      </c>
      <c r="X43" s="372" t="s">
        <v>9</v>
      </c>
      <c r="Y43" s="372" t="s">
        <v>9</v>
      </c>
      <c r="Z43" s="372" t="s">
        <v>9</v>
      </c>
      <c r="AA43" s="372" t="s">
        <v>9</v>
      </c>
      <c r="AB43" s="372" t="s">
        <v>9</v>
      </c>
      <c r="AC43" s="372" t="s">
        <v>9</v>
      </c>
      <c r="AD43" s="41"/>
      <c r="AE43" s="41"/>
      <c r="AF43" s="11">
        <f t="shared" si="11"/>
        <v>24</v>
      </c>
      <c r="AG43" s="11">
        <f t="shared" si="12"/>
        <v>0</v>
      </c>
      <c r="AH43" s="11">
        <f t="shared" si="13"/>
        <v>0</v>
      </c>
    </row>
    <row r="44" spans="1:36" ht="16.5" customHeight="1">
      <c r="A44" s="70">
        <v>39</v>
      </c>
      <c r="B44" s="15"/>
      <c r="C44" s="15">
        <v>1</v>
      </c>
      <c r="D44" s="15"/>
      <c r="E44" s="15"/>
      <c r="F44" s="372" t="s">
        <v>9</v>
      </c>
      <c r="G44" s="372" t="s">
        <v>9</v>
      </c>
      <c r="H44" s="372" t="s">
        <v>9</v>
      </c>
      <c r="I44" s="372" t="s">
        <v>9</v>
      </c>
      <c r="J44" s="372" t="s">
        <v>9</v>
      </c>
      <c r="K44" s="374" t="s">
        <v>9</v>
      </c>
      <c r="L44" s="374" t="s">
        <v>9</v>
      </c>
      <c r="M44" s="374" t="s">
        <v>9</v>
      </c>
      <c r="N44" s="372" t="s">
        <v>9</v>
      </c>
      <c r="O44" s="372" t="s">
        <v>9</v>
      </c>
      <c r="P44" s="372" t="s">
        <v>9</v>
      </c>
      <c r="Q44" s="372" t="s">
        <v>9</v>
      </c>
      <c r="R44" s="372" t="s">
        <v>9</v>
      </c>
      <c r="S44" s="372" t="s">
        <v>9</v>
      </c>
      <c r="T44" s="372" t="s">
        <v>9</v>
      </c>
      <c r="U44" s="372" t="s">
        <v>9</v>
      </c>
      <c r="V44" s="372" t="s">
        <v>9</v>
      </c>
      <c r="W44" s="372" t="s">
        <v>9</v>
      </c>
      <c r="X44" s="372" t="s">
        <v>9</v>
      </c>
      <c r="Y44" s="372" t="s">
        <v>9</v>
      </c>
      <c r="Z44" s="372" t="s">
        <v>9</v>
      </c>
      <c r="AA44" s="372" t="s">
        <v>9</v>
      </c>
      <c r="AB44" s="372" t="s">
        <v>9</v>
      </c>
      <c r="AC44" s="372" t="s">
        <v>9</v>
      </c>
      <c r="AD44" s="41"/>
      <c r="AE44" s="41"/>
      <c r="AF44" s="11">
        <f t="shared" si="11"/>
        <v>24</v>
      </c>
      <c r="AG44" s="11">
        <f t="shared" si="12"/>
        <v>0</v>
      </c>
      <c r="AH44" s="11">
        <f t="shared" si="13"/>
        <v>0</v>
      </c>
    </row>
    <row r="45" spans="1:36" ht="16.5" customHeight="1">
      <c r="A45" s="70" t="s">
        <v>40</v>
      </c>
      <c r="B45" s="15"/>
      <c r="C45" s="15">
        <v>0.85</v>
      </c>
      <c r="D45" s="15"/>
      <c r="E45" s="15"/>
      <c r="F45" s="372"/>
      <c r="G45" s="372"/>
      <c r="H45" s="372"/>
      <c r="I45" s="372"/>
      <c r="J45" s="372"/>
      <c r="K45" s="374"/>
      <c r="L45" s="374"/>
      <c r="M45" s="374"/>
      <c r="N45" s="372"/>
      <c r="O45" s="372"/>
      <c r="P45" s="372"/>
      <c r="Q45" s="372"/>
      <c r="R45" s="372"/>
      <c r="S45" s="372"/>
      <c r="T45" s="372"/>
      <c r="U45" s="372"/>
      <c r="V45" s="372"/>
      <c r="W45" s="372"/>
      <c r="X45" s="372"/>
      <c r="Y45" s="372"/>
      <c r="Z45" s="372"/>
      <c r="AA45" s="372"/>
      <c r="AB45" s="372"/>
      <c r="AC45" s="372"/>
      <c r="AD45" s="41"/>
      <c r="AE45" s="41"/>
      <c r="AF45" s="11">
        <f t="shared" si="11"/>
        <v>0</v>
      </c>
      <c r="AG45" s="11">
        <f t="shared" si="12"/>
        <v>0</v>
      </c>
      <c r="AH45" s="11">
        <f t="shared" si="13"/>
        <v>0</v>
      </c>
      <c r="AI45" s="159"/>
    </row>
    <row r="46" spans="1:36">
      <c r="A46" s="70" t="s">
        <v>41</v>
      </c>
      <c r="B46" s="15"/>
      <c r="C46" s="15">
        <v>0.75</v>
      </c>
      <c r="D46" s="15"/>
      <c r="E46" s="15"/>
      <c r="F46" s="372"/>
      <c r="G46" s="372"/>
      <c r="H46" s="372"/>
      <c r="I46" s="372"/>
      <c r="J46" s="372"/>
      <c r="K46" s="374"/>
      <c r="L46" s="374"/>
      <c r="M46" s="374"/>
      <c r="N46" s="372"/>
      <c r="O46" s="372"/>
      <c r="P46" s="372"/>
      <c r="Q46" s="372"/>
      <c r="R46" s="372"/>
      <c r="S46" s="372"/>
      <c r="T46" s="372"/>
      <c r="U46" s="372"/>
      <c r="V46" s="372"/>
      <c r="W46" s="372"/>
      <c r="X46" s="372"/>
      <c r="Y46" s="372"/>
      <c r="Z46" s="372"/>
      <c r="AA46" s="372"/>
      <c r="AB46" s="372"/>
      <c r="AC46" s="372"/>
      <c r="AD46" s="41"/>
      <c r="AE46" s="41"/>
      <c r="AF46" s="11">
        <f t="shared" si="11"/>
        <v>0</v>
      </c>
      <c r="AG46" s="11">
        <f t="shared" si="12"/>
        <v>0</v>
      </c>
      <c r="AH46" s="11">
        <f t="shared" si="13"/>
        <v>0</v>
      </c>
      <c r="AI46" s="159"/>
    </row>
    <row r="47" spans="1:36">
      <c r="A47" s="70" t="s">
        <v>42</v>
      </c>
      <c r="B47" s="15"/>
      <c r="C47" s="15">
        <v>0.75</v>
      </c>
      <c r="D47" s="15"/>
      <c r="E47" s="15"/>
      <c r="F47" s="372"/>
      <c r="G47" s="372"/>
      <c r="H47" s="372"/>
      <c r="I47" s="372"/>
      <c r="J47" s="372">
        <v>0</v>
      </c>
      <c r="K47" s="374">
        <v>0</v>
      </c>
      <c r="L47" s="374">
        <v>0</v>
      </c>
      <c r="M47" s="374">
        <v>0</v>
      </c>
      <c r="N47" s="372">
        <v>0.75</v>
      </c>
      <c r="O47" s="372">
        <v>0</v>
      </c>
      <c r="P47" s="372">
        <v>0</v>
      </c>
      <c r="Q47" s="372">
        <v>0</v>
      </c>
      <c r="R47" s="372">
        <v>0</v>
      </c>
      <c r="S47" s="372">
        <v>0.7</v>
      </c>
      <c r="T47" s="372">
        <v>0.7</v>
      </c>
      <c r="U47" s="372"/>
      <c r="V47" s="372"/>
      <c r="W47" s="372"/>
      <c r="X47" s="372"/>
      <c r="Y47" s="372"/>
      <c r="Z47" s="372"/>
      <c r="AA47" s="372"/>
      <c r="AB47" s="372"/>
      <c r="AC47" s="372"/>
      <c r="AD47" s="41"/>
      <c r="AE47" s="41"/>
      <c r="AF47" s="11">
        <f t="shared" si="11"/>
        <v>0</v>
      </c>
      <c r="AG47" s="11">
        <f t="shared" si="12"/>
        <v>0</v>
      </c>
      <c r="AH47" s="11">
        <f t="shared" si="13"/>
        <v>11</v>
      </c>
    </row>
    <row r="48" spans="1:36">
      <c r="A48" s="70" t="s">
        <v>43</v>
      </c>
      <c r="B48" s="15"/>
      <c r="C48" s="15">
        <v>0.75</v>
      </c>
      <c r="D48" s="15"/>
      <c r="E48" s="15"/>
      <c r="F48" s="372"/>
      <c r="G48" s="372"/>
      <c r="H48" s="372"/>
      <c r="I48" s="372"/>
      <c r="J48" s="372"/>
      <c r="K48" s="374"/>
      <c r="L48" s="374"/>
      <c r="M48" s="374"/>
      <c r="N48" s="372"/>
      <c r="O48" s="372"/>
      <c r="P48" s="372"/>
      <c r="Q48" s="372"/>
      <c r="R48" s="372"/>
      <c r="S48" s="372"/>
      <c r="T48" s="372"/>
      <c r="U48" s="372"/>
      <c r="V48" s="372"/>
      <c r="W48" s="372"/>
      <c r="X48" s="372"/>
      <c r="Y48" s="372"/>
      <c r="Z48" s="372"/>
      <c r="AA48" s="372"/>
      <c r="AB48" s="372"/>
      <c r="AC48" s="372"/>
      <c r="AD48" s="41"/>
      <c r="AE48" s="41"/>
      <c r="AF48" s="11">
        <f t="shared" si="11"/>
        <v>0</v>
      </c>
      <c r="AG48" s="11">
        <f t="shared" si="12"/>
        <v>0</v>
      </c>
      <c r="AH48" s="11">
        <f t="shared" si="13"/>
        <v>0</v>
      </c>
    </row>
    <row r="49" spans="1:124" ht="15" customHeight="1">
      <c r="A49" s="70" t="s">
        <v>44</v>
      </c>
      <c r="B49" s="15"/>
      <c r="C49" s="15">
        <v>0.75</v>
      </c>
      <c r="D49" s="15"/>
      <c r="E49" s="15"/>
      <c r="F49" s="372"/>
      <c r="G49" s="372"/>
      <c r="H49" s="372"/>
      <c r="I49" s="372"/>
      <c r="J49" s="372"/>
      <c r="K49" s="374"/>
      <c r="L49" s="374"/>
      <c r="M49" s="374"/>
      <c r="N49" s="372"/>
      <c r="O49" s="372"/>
      <c r="P49" s="372"/>
      <c r="Q49" s="372"/>
      <c r="R49" s="372"/>
      <c r="S49" s="372"/>
      <c r="T49" s="372"/>
      <c r="U49" s="372"/>
      <c r="V49" s="372"/>
      <c r="W49" s="372"/>
      <c r="X49" s="372"/>
      <c r="Y49" s="372"/>
      <c r="Z49" s="372"/>
      <c r="AA49" s="372"/>
      <c r="AB49" s="372"/>
      <c r="AC49" s="372"/>
      <c r="AD49" s="41"/>
      <c r="AE49" s="41"/>
      <c r="AF49" s="11">
        <f t="shared" si="11"/>
        <v>0</v>
      </c>
      <c r="AG49" s="11">
        <f t="shared" si="12"/>
        <v>0</v>
      </c>
      <c r="AH49" s="11">
        <f t="shared" si="13"/>
        <v>0</v>
      </c>
    </row>
    <row r="50" spans="1:124" ht="16.5" customHeight="1">
      <c r="A50" s="70" t="s">
        <v>45</v>
      </c>
      <c r="B50" s="15"/>
      <c r="C50" s="15">
        <v>0.75</v>
      </c>
      <c r="D50" s="15"/>
      <c r="E50" s="15"/>
      <c r="F50" s="372"/>
      <c r="G50" s="372"/>
      <c r="H50" s="372"/>
      <c r="I50" s="372"/>
      <c r="J50" s="372">
        <f>2.2/3</f>
        <v>0.73333333333333339</v>
      </c>
      <c r="K50" s="374">
        <v>0</v>
      </c>
      <c r="L50" s="374">
        <v>0</v>
      </c>
      <c r="M50" s="374">
        <v>0</v>
      </c>
      <c r="N50" s="372">
        <v>0.75</v>
      </c>
      <c r="O50" s="372">
        <v>0</v>
      </c>
      <c r="P50" s="372">
        <v>0</v>
      </c>
      <c r="Q50" s="372">
        <v>0</v>
      </c>
      <c r="R50" s="372">
        <v>0</v>
      </c>
      <c r="S50" s="372">
        <v>0.7</v>
      </c>
      <c r="T50" s="372">
        <v>0.7</v>
      </c>
      <c r="U50" s="372">
        <v>0.7</v>
      </c>
      <c r="V50" s="372">
        <v>0.7</v>
      </c>
      <c r="W50" s="372"/>
      <c r="X50" s="372"/>
      <c r="Y50" s="372"/>
      <c r="Z50" s="372"/>
      <c r="AA50" s="372"/>
      <c r="AB50" s="372"/>
      <c r="AC50" s="372"/>
      <c r="AD50" s="41"/>
      <c r="AE50" s="41"/>
      <c r="AF50" s="11">
        <f t="shared" si="11"/>
        <v>0</v>
      </c>
      <c r="AG50" s="11">
        <f t="shared" si="12"/>
        <v>0</v>
      </c>
      <c r="AH50" s="11">
        <f t="shared" si="13"/>
        <v>13</v>
      </c>
    </row>
    <row r="51" spans="1:124">
      <c r="A51" s="70" t="s">
        <v>46</v>
      </c>
      <c r="B51" s="15"/>
      <c r="C51" s="15">
        <v>0.85</v>
      </c>
      <c r="D51" s="15"/>
      <c r="E51" s="15"/>
      <c r="F51" s="372"/>
      <c r="G51" s="372"/>
      <c r="H51" s="372"/>
      <c r="I51" s="372"/>
      <c r="J51" s="372">
        <f>2.2/3</f>
        <v>0.73333333333333339</v>
      </c>
      <c r="K51" s="374">
        <v>0.8</v>
      </c>
      <c r="L51" s="374">
        <v>0</v>
      </c>
      <c r="M51" s="374">
        <v>0</v>
      </c>
      <c r="N51" s="372">
        <v>0</v>
      </c>
      <c r="O51" s="372">
        <v>0</v>
      </c>
      <c r="P51" s="372">
        <v>0</v>
      </c>
      <c r="Q51" s="372">
        <v>0</v>
      </c>
      <c r="R51" s="372">
        <v>0.7</v>
      </c>
      <c r="S51" s="372"/>
      <c r="T51" s="372"/>
      <c r="U51" s="372"/>
      <c r="V51" s="372"/>
      <c r="W51" s="372"/>
      <c r="X51" s="372"/>
      <c r="Y51" s="372"/>
      <c r="Z51" s="372"/>
      <c r="AA51" s="372"/>
      <c r="AB51" s="372"/>
      <c r="AC51" s="372"/>
      <c r="AD51" s="41"/>
      <c r="AE51" s="41"/>
      <c r="AF51" s="11">
        <f t="shared" si="11"/>
        <v>0</v>
      </c>
      <c r="AG51" s="11">
        <f t="shared" si="12"/>
        <v>0</v>
      </c>
      <c r="AH51" s="11">
        <f t="shared" si="13"/>
        <v>9</v>
      </c>
    </row>
    <row r="52" spans="1:124">
      <c r="A52" s="70" t="s">
        <v>47</v>
      </c>
      <c r="B52" s="15"/>
      <c r="C52" s="15">
        <v>0.85</v>
      </c>
      <c r="D52" s="15"/>
      <c r="E52" s="15"/>
      <c r="F52" s="372" t="s">
        <v>9</v>
      </c>
      <c r="G52" s="372" t="s">
        <v>9</v>
      </c>
      <c r="H52" s="372" t="s">
        <v>9</v>
      </c>
      <c r="I52" s="372" t="s">
        <v>9</v>
      </c>
      <c r="J52" s="372" t="s">
        <v>9</v>
      </c>
      <c r="K52" s="374" t="s">
        <v>9</v>
      </c>
      <c r="L52" s="374" t="s">
        <v>9</v>
      </c>
      <c r="M52" s="374" t="s">
        <v>9</v>
      </c>
      <c r="N52" s="372" t="s">
        <v>9</v>
      </c>
      <c r="O52" s="372" t="s">
        <v>9</v>
      </c>
      <c r="P52" s="372" t="s">
        <v>9</v>
      </c>
      <c r="Q52" s="372" t="s">
        <v>9</v>
      </c>
      <c r="R52" s="372" t="s">
        <v>9</v>
      </c>
      <c r="S52" s="372" t="s">
        <v>9</v>
      </c>
      <c r="T52" s="372" t="s">
        <v>9</v>
      </c>
      <c r="U52" s="372" t="s">
        <v>9</v>
      </c>
      <c r="V52" s="372" t="s">
        <v>9</v>
      </c>
      <c r="W52" s="372" t="s">
        <v>9</v>
      </c>
      <c r="X52" s="372" t="s">
        <v>9</v>
      </c>
      <c r="Y52" s="372" t="s">
        <v>9</v>
      </c>
      <c r="Z52" s="372" t="s">
        <v>9</v>
      </c>
      <c r="AA52" s="372" t="s">
        <v>9</v>
      </c>
      <c r="AB52" s="372" t="s">
        <v>9</v>
      </c>
      <c r="AC52" s="372" t="s">
        <v>9</v>
      </c>
      <c r="AD52" s="41"/>
      <c r="AE52" s="41"/>
      <c r="AF52" s="11">
        <f t="shared" si="11"/>
        <v>24</v>
      </c>
      <c r="AG52" s="11">
        <f t="shared" si="12"/>
        <v>0</v>
      </c>
      <c r="AH52" s="11">
        <f t="shared" si="13"/>
        <v>0</v>
      </c>
    </row>
    <row r="53" spans="1:124">
      <c r="A53" s="70" t="s">
        <v>48</v>
      </c>
      <c r="B53" s="15"/>
      <c r="C53" s="15">
        <v>0.85</v>
      </c>
      <c r="D53" s="15"/>
      <c r="E53" s="15"/>
      <c r="F53" s="372"/>
      <c r="G53" s="372"/>
      <c r="H53" s="372"/>
      <c r="I53" s="372"/>
      <c r="J53" s="372"/>
      <c r="K53" s="374"/>
      <c r="L53" s="374"/>
      <c r="M53" s="374"/>
      <c r="N53" s="372"/>
      <c r="O53" s="372"/>
      <c r="P53" s="372"/>
      <c r="Q53" s="372"/>
      <c r="R53" s="372"/>
      <c r="S53" s="372"/>
      <c r="T53" s="372"/>
      <c r="U53" s="372"/>
      <c r="V53" s="372"/>
      <c r="W53" s="372"/>
      <c r="X53" s="372"/>
      <c r="Y53" s="372"/>
      <c r="Z53" s="372"/>
      <c r="AA53" s="372"/>
      <c r="AB53" s="372"/>
      <c r="AC53" s="372"/>
      <c r="AD53" s="41"/>
      <c r="AE53" s="41"/>
      <c r="AF53" s="11">
        <f t="shared" si="11"/>
        <v>0</v>
      </c>
      <c r="AG53" s="11">
        <f t="shared" si="12"/>
        <v>0</v>
      </c>
      <c r="AH53" s="11">
        <f t="shared" si="13"/>
        <v>0</v>
      </c>
    </row>
    <row r="54" spans="1:124" ht="16.5" customHeight="1">
      <c r="A54" s="70" t="s">
        <v>49</v>
      </c>
      <c r="B54" s="15"/>
      <c r="C54" s="15">
        <v>0.85</v>
      </c>
      <c r="D54" s="15"/>
      <c r="E54" s="15"/>
      <c r="F54" s="372">
        <v>0</v>
      </c>
      <c r="G54" s="372">
        <v>0</v>
      </c>
      <c r="H54" s="372">
        <v>0</v>
      </c>
      <c r="I54" s="372">
        <v>0</v>
      </c>
      <c r="J54" s="372">
        <v>0</v>
      </c>
      <c r="K54" s="374">
        <v>0</v>
      </c>
      <c r="L54" s="374">
        <v>0</v>
      </c>
      <c r="M54" s="374">
        <v>0</v>
      </c>
      <c r="N54" s="372">
        <v>0</v>
      </c>
      <c r="O54" s="372"/>
      <c r="P54" s="372">
        <v>0</v>
      </c>
      <c r="Q54" s="372">
        <v>0.8</v>
      </c>
      <c r="R54" s="372">
        <v>0.7</v>
      </c>
      <c r="S54" s="372"/>
      <c r="T54" s="372"/>
      <c r="U54" s="372"/>
      <c r="V54" s="372"/>
      <c r="W54" s="372"/>
      <c r="X54" s="372"/>
      <c r="Y54" s="372"/>
      <c r="Z54" s="372"/>
      <c r="AA54" s="372"/>
      <c r="AB54" s="372"/>
      <c r="AC54" s="372"/>
      <c r="AD54" s="41"/>
      <c r="AE54" s="41"/>
      <c r="AF54" s="11">
        <f t="shared" si="11"/>
        <v>0</v>
      </c>
      <c r="AG54" s="11">
        <f t="shared" si="12"/>
        <v>0</v>
      </c>
      <c r="AH54" s="11">
        <f t="shared" si="13"/>
        <v>12</v>
      </c>
    </row>
    <row r="55" spans="1:124">
      <c r="A55" s="70" t="s">
        <v>50</v>
      </c>
      <c r="B55" s="15"/>
      <c r="C55" s="15">
        <v>0.85</v>
      </c>
      <c r="D55" s="15"/>
      <c r="E55" s="15"/>
      <c r="F55" s="372"/>
      <c r="G55" s="372"/>
      <c r="H55" s="372"/>
      <c r="I55" s="372"/>
      <c r="J55" s="372"/>
      <c r="K55" s="374"/>
      <c r="L55" s="374"/>
      <c r="M55" s="374"/>
      <c r="N55" s="372"/>
      <c r="O55" s="372"/>
      <c r="P55" s="372"/>
      <c r="Q55" s="372"/>
      <c r="R55" s="372"/>
      <c r="S55" s="372"/>
      <c r="T55" s="372"/>
      <c r="U55" s="372"/>
      <c r="V55" s="372"/>
      <c r="W55" s="372"/>
      <c r="X55" s="372"/>
      <c r="Y55" s="372"/>
      <c r="Z55" s="372"/>
      <c r="AA55" s="372"/>
      <c r="AB55" s="372"/>
      <c r="AC55" s="372"/>
      <c r="AD55" s="41"/>
      <c r="AE55" s="41"/>
      <c r="AF55" s="11">
        <f>COUNTIF(F55:AC55,$AJ$8)</f>
        <v>0</v>
      </c>
      <c r="AG55" s="11">
        <f t="shared" si="12"/>
        <v>0</v>
      </c>
      <c r="AH55" s="11">
        <f>COUNT(F55:AC55)</f>
        <v>0</v>
      </c>
    </row>
    <row r="56" spans="1:124">
      <c r="A56" s="70" t="s">
        <v>51</v>
      </c>
      <c r="B56" s="15"/>
      <c r="C56" s="15">
        <v>0.75</v>
      </c>
      <c r="D56" s="15"/>
      <c r="E56" s="15"/>
      <c r="F56" s="372"/>
      <c r="G56" s="372"/>
      <c r="H56" s="372"/>
      <c r="I56" s="372"/>
      <c r="J56" s="372">
        <f>2.2/3</f>
        <v>0.73333333333333339</v>
      </c>
      <c r="K56" s="374">
        <v>0</v>
      </c>
      <c r="L56" s="374">
        <v>0</v>
      </c>
      <c r="M56" s="374">
        <v>0</v>
      </c>
      <c r="N56" s="372">
        <v>0</v>
      </c>
      <c r="O56" s="372">
        <v>0</v>
      </c>
      <c r="P56" s="372">
        <v>0</v>
      </c>
      <c r="Q56" s="372">
        <v>0</v>
      </c>
      <c r="R56" s="372">
        <v>0</v>
      </c>
      <c r="S56" s="372">
        <v>0</v>
      </c>
      <c r="T56" s="372">
        <v>0</v>
      </c>
      <c r="U56" s="372">
        <v>0.7</v>
      </c>
      <c r="V56" s="372">
        <v>0.7</v>
      </c>
      <c r="W56" s="372"/>
      <c r="X56" s="372"/>
      <c r="Y56" s="372"/>
      <c r="Z56" s="372"/>
      <c r="AA56" s="372"/>
      <c r="AB56" s="372"/>
      <c r="AC56" s="372"/>
      <c r="AD56" s="41"/>
      <c r="AE56" s="41"/>
      <c r="AF56" s="11">
        <f t="shared" si="11"/>
        <v>0</v>
      </c>
      <c r="AG56" s="11">
        <f t="shared" si="12"/>
        <v>0</v>
      </c>
      <c r="AH56" s="11">
        <f t="shared" si="13"/>
        <v>13</v>
      </c>
    </row>
    <row r="57" spans="1:124">
      <c r="A57" s="70" t="s">
        <v>52</v>
      </c>
      <c r="B57" s="15"/>
      <c r="C57" s="15">
        <v>0.75</v>
      </c>
      <c r="D57" s="15"/>
      <c r="E57" s="15"/>
      <c r="F57" s="372"/>
      <c r="G57" s="372"/>
      <c r="H57" s="372"/>
      <c r="I57" s="372"/>
      <c r="J57" s="372"/>
      <c r="K57" s="374"/>
      <c r="L57" s="374"/>
      <c r="M57" s="374"/>
      <c r="N57" s="372"/>
      <c r="O57" s="372"/>
      <c r="P57" s="372"/>
      <c r="Q57" s="372"/>
      <c r="R57" s="372"/>
      <c r="S57" s="372"/>
      <c r="T57" s="372"/>
      <c r="U57" s="372"/>
      <c r="V57" s="372"/>
      <c r="W57" s="372"/>
      <c r="X57" s="372"/>
      <c r="Y57" s="372"/>
      <c r="Z57" s="372"/>
      <c r="AA57" s="372"/>
      <c r="AB57" s="372"/>
      <c r="AC57" s="372"/>
      <c r="AD57" s="41"/>
      <c r="AE57" s="41"/>
      <c r="AF57" s="11">
        <f t="shared" si="11"/>
        <v>0</v>
      </c>
      <c r="AG57" s="11">
        <f t="shared" si="12"/>
        <v>0</v>
      </c>
      <c r="AH57" s="11">
        <f t="shared" si="13"/>
        <v>0</v>
      </c>
    </row>
    <row r="58" spans="1:124">
      <c r="A58" s="70" t="s">
        <v>53</v>
      </c>
      <c r="B58" s="15"/>
      <c r="C58" s="15">
        <v>0.85</v>
      </c>
      <c r="D58" s="15"/>
      <c r="E58" s="15"/>
      <c r="F58" s="372"/>
      <c r="G58" s="372"/>
      <c r="H58" s="372"/>
      <c r="I58" s="372"/>
      <c r="J58" s="372"/>
      <c r="K58" s="374"/>
      <c r="L58" s="374"/>
      <c r="M58" s="374"/>
      <c r="N58" s="372"/>
      <c r="O58" s="372"/>
      <c r="P58" s="372"/>
      <c r="Q58" s="372"/>
      <c r="R58" s="372"/>
      <c r="S58" s="372"/>
      <c r="T58" s="372"/>
      <c r="U58" s="372"/>
      <c r="V58" s="372"/>
      <c r="W58" s="372"/>
      <c r="X58" s="372"/>
      <c r="Y58" s="372"/>
      <c r="Z58" s="372"/>
      <c r="AA58" s="372"/>
      <c r="AB58" s="372"/>
      <c r="AC58" s="372"/>
      <c r="AD58" s="41"/>
      <c r="AE58" s="41"/>
      <c r="AF58" s="11">
        <f t="shared" si="11"/>
        <v>0</v>
      </c>
      <c r="AG58" s="11">
        <f t="shared" si="12"/>
        <v>0</v>
      </c>
      <c r="AH58" s="11">
        <f t="shared" si="13"/>
        <v>0</v>
      </c>
    </row>
    <row r="59" spans="1:124">
      <c r="A59" s="70" t="s">
        <v>54</v>
      </c>
      <c r="B59" s="15"/>
      <c r="C59" s="15">
        <v>0.85</v>
      </c>
      <c r="D59" s="15"/>
      <c r="E59" s="15"/>
      <c r="F59" s="372"/>
      <c r="G59" s="372"/>
      <c r="H59" s="372"/>
      <c r="I59" s="372"/>
      <c r="J59" s="372"/>
      <c r="K59" s="374"/>
      <c r="L59" s="374"/>
      <c r="M59" s="374"/>
      <c r="N59" s="372"/>
      <c r="O59" s="372"/>
      <c r="P59" s="372"/>
      <c r="Q59" s="372"/>
      <c r="R59" s="372"/>
      <c r="S59" s="372"/>
      <c r="T59" s="372"/>
      <c r="U59" s="372"/>
      <c r="V59" s="372"/>
      <c r="W59" s="372"/>
      <c r="X59" s="372"/>
      <c r="Y59" s="372"/>
      <c r="Z59" s="372"/>
      <c r="AA59" s="372"/>
      <c r="AB59" s="372"/>
      <c r="AC59" s="372"/>
      <c r="AD59" s="41"/>
      <c r="AE59" s="41"/>
      <c r="AF59" s="11">
        <f t="shared" si="11"/>
        <v>0</v>
      </c>
      <c r="AG59" s="11">
        <f t="shared" si="12"/>
        <v>0</v>
      </c>
      <c r="AH59" s="11">
        <f t="shared" si="13"/>
        <v>0</v>
      </c>
    </row>
    <row r="60" spans="1:124">
      <c r="A60" s="9" t="s">
        <v>26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 t="shared" ref="F60" si="14">SUM(F36:F59)</f>
        <v>0</v>
      </c>
      <c r="G60" s="19">
        <f t="shared" ref="G60:AC60" si="15">SUM(G36:G59)</f>
        <v>0</v>
      </c>
      <c r="H60" s="19">
        <f t="shared" si="15"/>
        <v>0</v>
      </c>
      <c r="I60" s="19">
        <f t="shared" si="15"/>
        <v>0</v>
      </c>
      <c r="J60" s="19">
        <f t="shared" si="15"/>
        <v>2.2000000000000002</v>
      </c>
      <c r="K60" s="19">
        <f t="shared" si="15"/>
        <v>0.8</v>
      </c>
      <c r="L60" s="19">
        <f t="shared" si="15"/>
        <v>0</v>
      </c>
      <c r="M60" s="19">
        <f t="shared" si="15"/>
        <v>0</v>
      </c>
      <c r="N60" s="19">
        <f t="shared" si="15"/>
        <v>1.5</v>
      </c>
      <c r="O60" s="19">
        <f>SUM(O36:O59)</f>
        <v>0</v>
      </c>
      <c r="P60" s="19">
        <f t="shared" si="15"/>
        <v>0</v>
      </c>
      <c r="Q60" s="19">
        <f t="shared" si="15"/>
        <v>0.8</v>
      </c>
      <c r="R60" s="19">
        <f t="shared" si="15"/>
        <v>1.4</v>
      </c>
      <c r="S60" s="19">
        <f t="shared" si="15"/>
        <v>1.4</v>
      </c>
      <c r="T60" s="19">
        <f>SUM(T36:T59)</f>
        <v>1.4</v>
      </c>
      <c r="U60" s="19">
        <f t="shared" si="15"/>
        <v>1.4</v>
      </c>
      <c r="V60" s="19">
        <f t="shared" si="15"/>
        <v>1.4</v>
      </c>
      <c r="W60" s="19">
        <f t="shared" si="15"/>
        <v>0</v>
      </c>
      <c r="X60" s="19">
        <f t="shared" si="15"/>
        <v>0</v>
      </c>
      <c r="Y60" s="19">
        <f t="shared" si="15"/>
        <v>0</v>
      </c>
      <c r="Z60" s="19">
        <f t="shared" si="15"/>
        <v>0</v>
      </c>
      <c r="AA60" s="19">
        <f t="shared" si="15"/>
        <v>0</v>
      </c>
      <c r="AB60" s="19">
        <f t="shared" si="15"/>
        <v>0</v>
      </c>
      <c r="AC60" s="19">
        <f t="shared" si="15"/>
        <v>0</v>
      </c>
      <c r="AD60" s="34"/>
      <c r="AE60" s="34"/>
      <c r="AF60" s="11"/>
      <c r="AG60" s="11"/>
      <c r="AH60" s="11"/>
    </row>
    <row r="61" spans="1:124">
      <c r="A61" s="12" t="s">
        <v>55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28.305</v>
      </c>
      <c r="AN61" s="351"/>
    </row>
    <row r="62" spans="1:124">
      <c r="A62" s="14" t="s">
        <v>56</v>
      </c>
      <c r="B62" s="20"/>
      <c r="C62" s="15">
        <v>0.75</v>
      </c>
      <c r="D62" s="15"/>
      <c r="E62" s="15"/>
      <c r="F62" s="372"/>
      <c r="G62" s="372"/>
      <c r="H62" s="372"/>
      <c r="I62" s="372"/>
      <c r="J62" s="372"/>
      <c r="K62" s="374"/>
      <c r="L62" s="374">
        <v>0.47</v>
      </c>
      <c r="M62" s="374">
        <v>0.5</v>
      </c>
      <c r="N62" s="372">
        <f>1.19/2</f>
        <v>0.59499999999999997</v>
      </c>
      <c r="O62" s="372">
        <f>1.23/2</f>
        <v>0.61499999999999999</v>
      </c>
      <c r="P62" s="372">
        <f>1.27/2</f>
        <v>0.63500000000000001</v>
      </c>
      <c r="Q62" s="372">
        <f>1.29/2</f>
        <v>0.64500000000000002</v>
      </c>
      <c r="R62" s="372">
        <f>1.31/2</f>
        <v>0.65500000000000003</v>
      </c>
      <c r="S62" s="372">
        <f>1.29/2</f>
        <v>0.64500000000000002</v>
      </c>
      <c r="T62" s="372">
        <f>1.31/2</f>
        <v>0.65500000000000003</v>
      </c>
      <c r="U62" s="372">
        <f>1.17/2</f>
        <v>0.58499999999999996</v>
      </c>
      <c r="V62" s="372">
        <f>1.1/2</f>
        <v>0.55000000000000004</v>
      </c>
      <c r="W62" s="372">
        <f>1.19/2</f>
        <v>0.59499999999999997</v>
      </c>
      <c r="X62" s="372">
        <f>1.32/2</f>
        <v>0.66</v>
      </c>
      <c r="Y62" s="372"/>
      <c r="Z62" s="372"/>
      <c r="AA62" s="372"/>
      <c r="AB62" s="372"/>
      <c r="AC62" s="372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13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57</v>
      </c>
      <c r="B63" s="20"/>
      <c r="C63" s="15">
        <v>0.75</v>
      </c>
      <c r="D63" s="15"/>
      <c r="E63" s="15"/>
      <c r="F63" s="372">
        <v>0.56000000000000005</v>
      </c>
      <c r="G63" s="372">
        <v>0.51</v>
      </c>
      <c r="H63" s="372">
        <f>0.97/2</f>
        <v>0.48499999999999999</v>
      </c>
      <c r="I63" s="372">
        <f>0.92/2</f>
        <v>0.46</v>
      </c>
      <c r="J63" s="372">
        <f>0.89/2</f>
        <v>0.44500000000000001</v>
      </c>
      <c r="K63" s="374">
        <f>0.89/2</f>
        <v>0.44500000000000001</v>
      </c>
      <c r="L63" s="374">
        <f>0.94/2</f>
        <v>0.47</v>
      </c>
      <c r="M63" s="374">
        <v>0.5</v>
      </c>
      <c r="N63" s="372">
        <f>1.19/2</f>
        <v>0.59499999999999997</v>
      </c>
      <c r="O63" s="372">
        <f>1.23/2</f>
        <v>0.61499999999999999</v>
      </c>
      <c r="P63" s="372">
        <f>1.27/2</f>
        <v>0.63500000000000001</v>
      </c>
      <c r="Q63" s="372">
        <f>1.29/2</f>
        <v>0.64500000000000002</v>
      </c>
      <c r="R63" s="372">
        <f>1.31/2</f>
        <v>0.65500000000000003</v>
      </c>
      <c r="S63" s="372"/>
      <c r="T63" s="372"/>
      <c r="U63" s="372"/>
      <c r="V63" s="372"/>
      <c r="W63" s="372"/>
      <c r="X63" s="372"/>
      <c r="Y63" s="372">
        <f>1.51/2</f>
        <v>0.755</v>
      </c>
      <c r="Z63" s="372">
        <f>1.53/2</f>
        <v>0.76500000000000001</v>
      </c>
      <c r="AA63" s="372">
        <f>1.43/2</f>
        <v>0.71499999999999997</v>
      </c>
      <c r="AB63" s="372">
        <f>1.3/2</f>
        <v>0.65</v>
      </c>
      <c r="AC63" s="372">
        <f>1.12/2</f>
        <v>0.56000000000000005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18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58</v>
      </c>
      <c r="B64" s="20"/>
      <c r="C64" s="15">
        <v>0.75</v>
      </c>
      <c r="D64" s="15"/>
      <c r="E64" s="15"/>
      <c r="F64" s="372">
        <f>1.11/2</f>
        <v>0.55500000000000005</v>
      </c>
      <c r="G64" s="372">
        <v>0.51</v>
      </c>
      <c r="H64" s="372">
        <f>0.97/2</f>
        <v>0.48499999999999999</v>
      </c>
      <c r="I64" s="372">
        <f>0.92/2</f>
        <v>0.46</v>
      </c>
      <c r="J64" s="372">
        <f>0.89/2</f>
        <v>0.44500000000000001</v>
      </c>
      <c r="K64" s="374">
        <f>0.89/2</f>
        <v>0.44500000000000001</v>
      </c>
      <c r="L64" s="374"/>
      <c r="M64" s="374"/>
      <c r="N64" s="372"/>
      <c r="O64" s="372"/>
      <c r="P64" s="372"/>
      <c r="Q64" s="372"/>
      <c r="R64" s="372"/>
      <c r="S64" s="372">
        <f>1.29/2</f>
        <v>0.64500000000000002</v>
      </c>
      <c r="T64" s="372">
        <f>1.31/2</f>
        <v>0.65500000000000003</v>
      </c>
      <c r="U64" s="372">
        <f>1.17/2</f>
        <v>0.58499999999999996</v>
      </c>
      <c r="V64" s="372">
        <f>1.1/2</f>
        <v>0.55000000000000004</v>
      </c>
      <c r="W64" s="372">
        <f>1.19/2</f>
        <v>0.59499999999999997</v>
      </c>
      <c r="X64" s="372">
        <f>1.32/2</f>
        <v>0.66</v>
      </c>
      <c r="Y64" s="372">
        <f>1.51/2</f>
        <v>0.755</v>
      </c>
      <c r="Z64" s="372">
        <f>1.53/2</f>
        <v>0.76500000000000001</v>
      </c>
      <c r="AA64" s="372">
        <f>1.43/2</f>
        <v>0.71499999999999997</v>
      </c>
      <c r="AB64" s="372">
        <f>1.3/2</f>
        <v>0.65</v>
      </c>
      <c r="AC64" s="372">
        <f>1.12/2</f>
        <v>0.56000000000000005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17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1.1150000000000002</v>
      </c>
      <c r="G65" s="19">
        <f t="shared" ref="G65" si="16">SUM(G62:G64)</f>
        <v>1.02</v>
      </c>
      <c r="H65" s="19">
        <f>SUM(H62:H64)</f>
        <v>0.97</v>
      </c>
      <c r="I65" s="19">
        <f>SUM(I62:I64)</f>
        <v>0.92</v>
      </c>
      <c r="J65" s="19">
        <f t="shared" ref="J65" si="17">SUM(J62:J64)</f>
        <v>0.89</v>
      </c>
      <c r="K65" s="19">
        <f>SUM(K62:K64)</f>
        <v>0.89</v>
      </c>
      <c r="L65" s="19">
        <f>SUM(L62:L64)</f>
        <v>0.94</v>
      </c>
      <c r="M65" s="19">
        <f>SUM(M62:M64)</f>
        <v>1</v>
      </c>
      <c r="N65" s="19">
        <f>SUM(N62:N64)</f>
        <v>1.19</v>
      </c>
      <c r="O65" s="19">
        <f t="shared" ref="O65:AB65" si="18">SUM(O62:O64)</f>
        <v>1.23</v>
      </c>
      <c r="P65" s="19">
        <f t="shared" si="18"/>
        <v>1.27</v>
      </c>
      <c r="Q65" s="19">
        <f t="shared" si="18"/>
        <v>1.29</v>
      </c>
      <c r="R65" s="19">
        <f t="shared" si="18"/>
        <v>1.31</v>
      </c>
      <c r="S65" s="19">
        <f t="shared" si="18"/>
        <v>1.29</v>
      </c>
      <c r="T65" s="19">
        <f t="shared" si="18"/>
        <v>1.31</v>
      </c>
      <c r="U65" s="19">
        <f t="shared" si="18"/>
        <v>1.17</v>
      </c>
      <c r="V65" s="19">
        <f t="shared" si="18"/>
        <v>1.1000000000000001</v>
      </c>
      <c r="W65" s="19">
        <f t="shared" si="18"/>
        <v>1.19</v>
      </c>
      <c r="X65" s="19">
        <f t="shared" si="18"/>
        <v>1.32</v>
      </c>
      <c r="Y65" s="19">
        <f>SUM(Y62:Y64)</f>
        <v>1.51</v>
      </c>
      <c r="Z65" s="19">
        <f t="shared" si="18"/>
        <v>1.53</v>
      </c>
      <c r="AA65" s="19">
        <f t="shared" si="18"/>
        <v>1.43</v>
      </c>
      <c r="AB65" s="19">
        <f t="shared" si="18"/>
        <v>1.3</v>
      </c>
      <c r="AC65" s="19">
        <f>SUM(AC62:AC64)</f>
        <v>1.1200000000000001</v>
      </c>
      <c r="AD65" s="34"/>
      <c r="AE65" s="34"/>
      <c r="AF65" s="11"/>
      <c r="AG65" s="11"/>
      <c r="AH65" s="11"/>
    </row>
    <row r="66" spans="1:124" hidden="1">
      <c r="A66" s="12" t="s">
        <v>59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idden="1">
      <c r="A67" s="14" t="s">
        <v>60</v>
      </c>
      <c r="B67" s="15"/>
      <c r="C67" s="15">
        <v>0.85</v>
      </c>
      <c r="D67" s="15"/>
      <c r="E67" s="15"/>
      <c r="F67" s="372"/>
      <c r="G67" s="372"/>
      <c r="H67" s="372"/>
      <c r="I67" s="372"/>
      <c r="J67" s="372"/>
      <c r="K67" s="374"/>
      <c r="L67" s="374"/>
      <c r="M67" s="374"/>
      <c r="N67" s="372"/>
      <c r="O67" s="372"/>
      <c r="P67" s="372"/>
      <c r="Q67" s="372"/>
      <c r="R67" s="372"/>
      <c r="S67" s="372"/>
      <c r="T67" s="372"/>
      <c r="U67" s="372"/>
      <c r="V67" s="372"/>
      <c r="W67" s="372"/>
      <c r="X67" s="372"/>
      <c r="Y67" s="372"/>
      <c r="Z67" s="372"/>
      <c r="AA67" s="372"/>
      <c r="AB67" s="372"/>
      <c r="AC67" s="372"/>
      <c r="AD67" s="35"/>
      <c r="AE67" s="35"/>
      <c r="AF67" s="11">
        <f t="shared" ref="AF67:AF75" si="19">COUNTIF(F67:AC67,$AF$11)</f>
        <v>0</v>
      </c>
      <c r="AG67" s="11">
        <f t="shared" ref="AG67:AG75" si="20">COUNTIF(G67:AC67,$AG$11)</f>
        <v>0</v>
      </c>
      <c r="AH67" s="11">
        <f t="shared" ref="AH67:AH75" si="21">COUNT(F67:AC67)</f>
        <v>0</v>
      </c>
    </row>
    <row r="68" spans="1:124" hidden="1">
      <c r="A68" s="14" t="s">
        <v>61</v>
      </c>
      <c r="B68" s="15"/>
      <c r="C68" s="15">
        <v>0.85</v>
      </c>
      <c r="D68" s="15"/>
      <c r="E68" s="15"/>
      <c r="F68" s="372"/>
      <c r="G68" s="372"/>
      <c r="H68" s="372"/>
      <c r="I68" s="372"/>
      <c r="J68" s="372"/>
      <c r="K68" s="374"/>
      <c r="L68" s="374"/>
      <c r="M68" s="374"/>
      <c r="N68" s="372"/>
      <c r="O68" s="372"/>
      <c r="P68" s="372"/>
      <c r="Q68" s="372"/>
      <c r="R68" s="372"/>
      <c r="S68" s="372"/>
      <c r="T68" s="372"/>
      <c r="U68" s="372"/>
      <c r="V68" s="372"/>
      <c r="W68" s="372"/>
      <c r="X68" s="372"/>
      <c r="Y68" s="372"/>
      <c r="Z68" s="372"/>
      <c r="AA68" s="372"/>
      <c r="AB68" s="372"/>
      <c r="AC68" s="372"/>
      <c r="AD68" s="35"/>
      <c r="AE68" s="35"/>
      <c r="AF68" s="11">
        <f t="shared" si="19"/>
        <v>0</v>
      </c>
      <c r="AG68" s="11">
        <f t="shared" si="20"/>
        <v>0</v>
      </c>
      <c r="AH68" s="11">
        <f t="shared" si="21"/>
        <v>0</v>
      </c>
    </row>
    <row r="69" spans="1:124" hidden="1">
      <c r="A69" s="14" t="s">
        <v>62</v>
      </c>
      <c r="B69" s="15"/>
      <c r="C69" s="15">
        <v>0.85</v>
      </c>
      <c r="D69" s="15"/>
      <c r="E69" s="15"/>
      <c r="F69" s="372"/>
      <c r="G69" s="372"/>
      <c r="H69" s="372"/>
      <c r="I69" s="372"/>
      <c r="J69" s="372"/>
      <c r="K69" s="374"/>
      <c r="L69" s="374"/>
      <c r="M69" s="374"/>
      <c r="N69" s="372"/>
      <c r="O69" s="372"/>
      <c r="P69" s="372"/>
      <c r="Q69" s="372"/>
      <c r="R69" s="372"/>
      <c r="S69" s="372"/>
      <c r="T69" s="372"/>
      <c r="U69" s="372"/>
      <c r="V69" s="372"/>
      <c r="W69" s="372"/>
      <c r="X69" s="372"/>
      <c r="Y69" s="372"/>
      <c r="Z69" s="372"/>
      <c r="AA69" s="372"/>
      <c r="AB69" s="372"/>
      <c r="AC69" s="372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1"/>
        <v>0</v>
      </c>
    </row>
    <row r="70" spans="1:124" hidden="1">
      <c r="A70" s="14" t="s">
        <v>63</v>
      </c>
      <c r="B70" s="15"/>
      <c r="C70" s="15">
        <v>0.85</v>
      </c>
      <c r="D70" s="15"/>
      <c r="E70" s="15"/>
      <c r="F70" s="372"/>
      <c r="G70" s="372"/>
      <c r="H70" s="372"/>
      <c r="I70" s="372"/>
      <c r="J70" s="372"/>
      <c r="K70" s="374"/>
      <c r="L70" s="374"/>
      <c r="M70" s="374"/>
      <c r="N70" s="372"/>
      <c r="O70" s="372"/>
      <c r="P70" s="372"/>
      <c r="Q70" s="372"/>
      <c r="R70" s="372"/>
      <c r="S70" s="372"/>
      <c r="T70" s="372"/>
      <c r="U70" s="372"/>
      <c r="V70" s="372"/>
      <c r="W70" s="372"/>
      <c r="X70" s="372"/>
      <c r="Y70" s="372"/>
      <c r="Z70" s="372"/>
      <c r="AA70" s="372"/>
      <c r="AB70" s="372"/>
      <c r="AC70" s="372"/>
      <c r="AD70" s="35"/>
      <c r="AE70" s="35"/>
      <c r="AF70" s="11">
        <f t="shared" si="19"/>
        <v>0</v>
      </c>
      <c r="AG70" s="11">
        <f t="shared" si="20"/>
        <v>0</v>
      </c>
      <c r="AH70" s="11">
        <f t="shared" si="21"/>
        <v>0</v>
      </c>
      <c r="AI70" s="5"/>
      <c r="AJ70" s="5"/>
      <c r="AK70" s="5"/>
      <c r="AL70" s="5"/>
    </row>
    <row r="71" spans="1:124" hidden="1">
      <c r="A71" s="14" t="s">
        <v>64</v>
      </c>
      <c r="B71" s="15"/>
      <c r="C71" s="15">
        <v>0.85</v>
      </c>
      <c r="D71" s="15"/>
      <c r="E71" s="15"/>
      <c r="F71" s="372"/>
      <c r="G71" s="372"/>
      <c r="H71" s="372"/>
      <c r="I71" s="372"/>
      <c r="J71" s="372"/>
      <c r="K71" s="374"/>
      <c r="L71" s="374"/>
      <c r="M71" s="374"/>
      <c r="N71" s="372"/>
      <c r="O71" s="372"/>
      <c r="P71" s="372"/>
      <c r="Q71" s="372"/>
      <c r="R71" s="372"/>
      <c r="S71" s="372"/>
      <c r="T71" s="372"/>
      <c r="U71" s="372"/>
      <c r="V71" s="372"/>
      <c r="W71" s="372"/>
      <c r="X71" s="372"/>
      <c r="Y71" s="372"/>
      <c r="Z71" s="372"/>
      <c r="AA71" s="372"/>
      <c r="AB71" s="372"/>
      <c r="AC71" s="372"/>
      <c r="AD71" s="35"/>
      <c r="AE71" s="35"/>
      <c r="AF71" s="11">
        <f t="shared" si="19"/>
        <v>0</v>
      </c>
      <c r="AG71" s="11">
        <f t="shared" si="20"/>
        <v>0</v>
      </c>
      <c r="AH71" s="11">
        <f t="shared" si="21"/>
        <v>0</v>
      </c>
    </row>
    <row r="72" spans="1:124" hidden="1">
      <c r="A72" s="14" t="s">
        <v>65</v>
      </c>
      <c r="B72" s="15"/>
      <c r="C72" s="15">
        <v>0.85</v>
      </c>
      <c r="D72" s="15"/>
      <c r="E72" s="15"/>
      <c r="F72" s="372"/>
      <c r="G72" s="372"/>
      <c r="H72" s="372"/>
      <c r="I72" s="372"/>
      <c r="J72" s="372"/>
      <c r="K72" s="374"/>
      <c r="L72" s="374"/>
      <c r="M72" s="374"/>
      <c r="N72" s="372"/>
      <c r="O72" s="372"/>
      <c r="P72" s="372"/>
      <c r="Q72" s="372"/>
      <c r="R72" s="372"/>
      <c r="S72" s="372"/>
      <c r="T72" s="372"/>
      <c r="U72" s="372"/>
      <c r="V72" s="372"/>
      <c r="W72" s="372"/>
      <c r="X72" s="372"/>
      <c r="Y72" s="372"/>
      <c r="Z72" s="372"/>
      <c r="AA72" s="372"/>
      <c r="AB72" s="372"/>
      <c r="AC72" s="372"/>
      <c r="AD72" s="35"/>
      <c r="AE72" s="35"/>
      <c r="AF72" s="11">
        <f t="shared" si="19"/>
        <v>0</v>
      </c>
      <c r="AG72" s="11">
        <f t="shared" si="20"/>
        <v>0</v>
      </c>
      <c r="AH72" s="11">
        <f t="shared" si="21"/>
        <v>0</v>
      </c>
    </row>
    <row r="73" spans="1:124" hidden="1">
      <c r="A73" s="14" t="s">
        <v>66</v>
      </c>
      <c r="B73" s="15"/>
      <c r="C73" s="15">
        <v>0.85</v>
      </c>
      <c r="D73" s="15"/>
      <c r="E73" s="15"/>
      <c r="F73" s="372"/>
      <c r="G73" s="372"/>
      <c r="H73" s="372"/>
      <c r="I73" s="372"/>
      <c r="J73" s="372"/>
      <c r="K73" s="374"/>
      <c r="L73" s="374"/>
      <c r="M73" s="374"/>
      <c r="N73" s="372"/>
      <c r="O73" s="372"/>
      <c r="P73" s="372"/>
      <c r="Q73" s="372"/>
      <c r="R73" s="372"/>
      <c r="S73" s="372"/>
      <c r="T73" s="372"/>
      <c r="U73" s="372"/>
      <c r="V73" s="372"/>
      <c r="W73" s="372"/>
      <c r="X73" s="372"/>
      <c r="Y73" s="372"/>
      <c r="Z73" s="372"/>
      <c r="AA73" s="372"/>
      <c r="AB73" s="372"/>
      <c r="AC73" s="372"/>
      <c r="AD73" s="35"/>
      <c r="AE73" s="35"/>
      <c r="AF73" s="11">
        <f t="shared" si="19"/>
        <v>0</v>
      </c>
      <c r="AG73" s="11">
        <f t="shared" si="20"/>
        <v>0</v>
      </c>
      <c r="AH73" s="11">
        <f t="shared" si="21"/>
        <v>0</v>
      </c>
    </row>
    <row r="74" spans="1:124" hidden="1">
      <c r="A74" s="14" t="s">
        <v>67</v>
      </c>
      <c r="B74" s="19"/>
      <c r="C74" s="15">
        <v>0.85</v>
      </c>
      <c r="D74" s="15"/>
      <c r="E74" s="15"/>
      <c r="F74" s="372"/>
      <c r="G74" s="372"/>
      <c r="H74" s="372"/>
      <c r="I74" s="372"/>
      <c r="J74" s="372"/>
      <c r="K74" s="374"/>
      <c r="L74" s="374"/>
      <c r="M74" s="374"/>
      <c r="N74" s="372"/>
      <c r="O74" s="372"/>
      <c r="P74" s="372"/>
      <c r="Q74" s="372"/>
      <c r="R74" s="372"/>
      <c r="S74" s="372"/>
      <c r="T74" s="372"/>
      <c r="U74" s="372"/>
      <c r="V74" s="372"/>
      <c r="W74" s="372"/>
      <c r="X74" s="372"/>
      <c r="Y74" s="372"/>
      <c r="Z74" s="372"/>
      <c r="AA74" s="372"/>
      <c r="AB74" s="372"/>
      <c r="AC74" s="372"/>
      <c r="AD74" s="29"/>
      <c r="AE74" s="29"/>
      <c r="AF74" s="11">
        <f t="shared" si="19"/>
        <v>0</v>
      </c>
      <c r="AG74" s="11">
        <f t="shared" si="20"/>
        <v>0</v>
      </c>
      <c r="AH74" s="11">
        <f t="shared" si="21"/>
        <v>0</v>
      </c>
    </row>
    <row r="75" spans="1:124" ht="15.75" hidden="1" customHeight="1">
      <c r="A75" s="14" t="s">
        <v>68</v>
      </c>
      <c r="B75" s="9"/>
      <c r="C75" s="15">
        <v>0.85</v>
      </c>
      <c r="D75" s="15"/>
      <c r="E75" s="15"/>
      <c r="F75" s="372"/>
      <c r="G75" s="372"/>
      <c r="H75" s="372"/>
      <c r="I75" s="372"/>
      <c r="J75" s="372"/>
      <c r="K75" s="374"/>
      <c r="L75" s="374"/>
      <c r="M75" s="374"/>
      <c r="N75" s="372"/>
      <c r="O75" s="372"/>
      <c r="P75" s="372"/>
      <c r="Q75" s="372"/>
      <c r="R75" s="372"/>
      <c r="S75" s="372"/>
      <c r="T75" s="372"/>
      <c r="U75" s="372"/>
      <c r="V75" s="372"/>
      <c r="W75" s="372"/>
      <c r="X75" s="372"/>
      <c r="Y75" s="372"/>
      <c r="Z75" s="372"/>
      <c r="AA75" s="372"/>
      <c r="AB75" s="372"/>
      <c r="AC75" s="372"/>
      <c r="AD75" s="31"/>
      <c r="AE75" s="31"/>
      <c r="AF75" s="11">
        <f t="shared" si="19"/>
        <v>0</v>
      </c>
      <c r="AG75" s="11">
        <f t="shared" si="20"/>
        <v>0</v>
      </c>
      <c r="AH75" s="11">
        <f t="shared" si="21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2">SUM(F67:F75)</f>
        <v>0</v>
      </c>
      <c r="G76" s="19">
        <f t="shared" ref="G76:AC76" si="23">SUM(G67:G75)</f>
        <v>0</v>
      </c>
      <c r="H76" s="19">
        <f t="shared" si="23"/>
        <v>0</v>
      </c>
      <c r="I76" s="19">
        <f t="shared" si="23"/>
        <v>0</v>
      </c>
      <c r="J76" s="19">
        <f t="shared" si="23"/>
        <v>0</v>
      </c>
      <c r="K76" s="19">
        <f t="shared" si="23"/>
        <v>0</v>
      </c>
      <c r="L76" s="19">
        <f>SUM(L67:L75)</f>
        <v>0</v>
      </c>
      <c r="M76" s="19">
        <f t="shared" si="23"/>
        <v>0</v>
      </c>
      <c r="N76" s="19">
        <f t="shared" si="23"/>
        <v>0</v>
      </c>
      <c r="O76" s="19">
        <f t="shared" si="23"/>
        <v>0</v>
      </c>
      <c r="P76" s="19">
        <f t="shared" si="23"/>
        <v>0</v>
      </c>
      <c r="Q76" s="19">
        <f>SUM(Q67:Q75)</f>
        <v>0</v>
      </c>
      <c r="R76" s="19">
        <f t="shared" si="23"/>
        <v>0</v>
      </c>
      <c r="S76" s="19">
        <f t="shared" si="23"/>
        <v>0</v>
      </c>
      <c r="T76" s="19">
        <f t="shared" si="23"/>
        <v>0</v>
      </c>
      <c r="U76" s="19">
        <f t="shared" si="23"/>
        <v>0</v>
      </c>
      <c r="V76" s="19">
        <f t="shared" si="23"/>
        <v>0</v>
      </c>
      <c r="W76" s="19">
        <f t="shared" si="23"/>
        <v>0</v>
      </c>
      <c r="X76" s="19">
        <f t="shared" si="23"/>
        <v>0</v>
      </c>
      <c r="Y76" s="19">
        <f t="shared" si="23"/>
        <v>0</v>
      </c>
      <c r="Z76" s="19">
        <f t="shared" si="23"/>
        <v>0</v>
      </c>
      <c r="AA76" s="19">
        <f t="shared" si="23"/>
        <v>0</v>
      </c>
      <c r="AB76" s="19">
        <f t="shared" si="23"/>
        <v>0</v>
      </c>
      <c r="AC76" s="19">
        <f t="shared" si="23"/>
        <v>0</v>
      </c>
      <c r="AD76" s="34"/>
      <c r="AE76" s="34"/>
      <c r="AF76" s="11"/>
      <c r="AG76" s="11"/>
      <c r="AH76" s="11"/>
    </row>
    <row r="77" spans="1:124">
      <c r="A77" s="12" t="s">
        <v>69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 t="s">
        <v>21</v>
      </c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19.690000000000001</v>
      </c>
    </row>
    <row r="78" spans="1:124">
      <c r="A78" s="14" t="s">
        <v>70</v>
      </c>
      <c r="B78" s="20"/>
      <c r="C78" s="15">
        <v>1</v>
      </c>
      <c r="D78" s="15"/>
      <c r="E78" s="15"/>
      <c r="F78" s="372"/>
      <c r="G78" s="372"/>
      <c r="H78" s="372"/>
      <c r="I78" s="372"/>
      <c r="J78" s="372"/>
      <c r="K78" s="374"/>
      <c r="L78" s="374"/>
      <c r="M78" s="374">
        <v>0.72</v>
      </c>
      <c r="N78" s="374">
        <v>0.75</v>
      </c>
      <c r="O78" s="374">
        <v>0.77</v>
      </c>
      <c r="P78" s="374">
        <v>0.8</v>
      </c>
      <c r="Q78" s="374">
        <v>0.86</v>
      </c>
      <c r="R78" s="374">
        <v>0.84</v>
      </c>
      <c r="S78" s="374">
        <v>0.85</v>
      </c>
      <c r="T78" s="374">
        <v>0.86</v>
      </c>
      <c r="U78" s="374">
        <v>0.88</v>
      </c>
      <c r="V78" s="374">
        <v>0.86</v>
      </c>
      <c r="W78" s="374">
        <v>0.83</v>
      </c>
      <c r="X78" s="374">
        <v>0.85</v>
      </c>
      <c r="Y78" s="372"/>
      <c r="Z78" s="372"/>
      <c r="AA78" s="372"/>
      <c r="AB78" s="372"/>
      <c r="AC78" s="372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71</v>
      </c>
      <c r="B79" s="20"/>
      <c r="C79" s="15">
        <v>1</v>
      </c>
      <c r="D79" s="15"/>
      <c r="E79" s="15"/>
      <c r="F79" s="372">
        <v>0.82</v>
      </c>
      <c r="G79" s="372">
        <v>0.77</v>
      </c>
      <c r="H79" s="372">
        <v>0.75</v>
      </c>
      <c r="I79" s="372">
        <v>0.73</v>
      </c>
      <c r="J79" s="372">
        <v>0.72</v>
      </c>
      <c r="K79" s="374">
        <v>0.73</v>
      </c>
      <c r="L79" s="374">
        <v>0.74</v>
      </c>
      <c r="M79" s="374"/>
      <c r="N79" s="374"/>
      <c r="O79" s="374"/>
      <c r="P79" s="374"/>
      <c r="Q79" s="374"/>
      <c r="R79" s="374"/>
      <c r="S79" s="374"/>
      <c r="T79" s="374"/>
      <c r="U79" s="374"/>
      <c r="V79" s="374"/>
      <c r="W79" s="374"/>
      <c r="X79" s="374"/>
      <c r="Y79" s="374">
        <v>0.94</v>
      </c>
      <c r="Z79" s="374">
        <v>0.94</v>
      </c>
      <c r="AA79" s="372">
        <v>0.93</v>
      </c>
      <c r="AB79" s="372">
        <v>0.89</v>
      </c>
      <c r="AC79" s="372">
        <v>0.86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" si="24">SUM(F78:F79)</f>
        <v>0.82</v>
      </c>
      <c r="G80" s="19">
        <f t="shared" ref="G80" si="25">SUM(G78:G79)</f>
        <v>0.77</v>
      </c>
      <c r="H80" s="19">
        <f>SUM(H78:H79)</f>
        <v>0.75</v>
      </c>
      <c r="I80" s="19">
        <f>SUM(I78:I79)</f>
        <v>0.73</v>
      </c>
      <c r="J80" s="19">
        <f t="shared" ref="J80:AC80" si="26">SUM(J78:J79)</f>
        <v>0.72</v>
      </c>
      <c r="K80" s="19">
        <f t="shared" si="26"/>
        <v>0.73</v>
      </c>
      <c r="L80" s="19">
        <f>SUM(L78:L79)</f>
        <v>0.74</v>
      </c>
      <c r="M80" s="19">
        <f t="shared" si="26"/>
        <v>0.72</v>
      </c>
      <c r="N80" s="19">
        <f t="shared" si="26"/>
        <v>0.75</v>
      </c>
      <c r="O80" s="19">
        <f>SUM(O78:O79)</f>
        <v>0.77</v>
      </c>
      <c r="P80" s="19">
        <f t="shared" si="26"/>
        <v>0.8</v>
      </c>
      <c r="Q80" s="19">
        <f t="shared" si="26"/>
        <v>0.86</v>
      </c>
      <c r="R80" s="19">
        <f t="shared" si="26"/>
        <v>0.84</v>
      </c>
      <c r="S80" s="19">
        <f t="shared" si="26"/>
        <v>0.85</v>
      </c>
      <c r="T80" s="19">
        <f t="shared" si="26"/>
        <v>0.86</v>
      </c>
      <c r="U80" s="19">
        <f t="shared" si="26"/>
        <v>0.88</v>
      </c>
      <c r="V80" s="19">
        <f t="shared" si="26"/>
        <v>0.86</v>
      </c>
      <c r="W80" s="19">
        <f t="shared" si="26"/>
        <v>0.83</v>
      </c>
      <c r="X80" s="19">
        <f t="shared" si="26"/>
        <v>0.85</v>
      </c>
      <c r="Y80" s="19">
        <f t="shared" si="26"/>
        <v>0.94</v>
      </c>
      <c r="Z80" s="19">
        <f t="shared" si="26"/>
        <v>0.94</v>
      </c>
      <c r="AA80" s="19">
        <f t="shared" si="26"/>
        <v>0.93</v>
      </c>
      <c r="AB80" s="19">
        <f t="shared" si="26"/>
        <v>0.89</v>
      </c>
      <c r="AC80" s="19">
        <f t="shared" si="26"/>
        <v>0.86</v>
      </c>
      <c r="AD80" s="34"/>
      <c r="AE80" s="34"/>
      <c r="AF80" s="11"/>
      <c r="AG80" s="11"/>
      <c r="AH80" s="11"/>
    </row>
    <row r="81" spans="1:40" ht="17.45" hidden="1">
      <c r="A81" s="366" t="s">
        <v>72</v>
      </c>
      <c r="B81" s="365"/>
      <c r="C81" s="367">
        <v>2</v>
      </c>
      <c r="D81" s="363"/>
      <c r="E81" s="363"/>
      <c r="F81" s="364"/>
      <c r="G81" s="364"/>
      <c r="H81" s="364"/>
      <c r="I81" s="364"/>
      <c r="J81" s="364"/>
      <c r="K81" s="364"/>
      <c r="L81" s="364"/>
      <c r="M81" s="364"/>
      <c r="N81" s="364"/>
      <c r="O81" s="364"/>
      <c r="P81" s="364"/>
      <c r="Q81" s="364"/>
      <c r="R81" s="364"/>
      <c r="S81" s="364"/>
      <c r="T81" s="364"/>
      <c r="U81" s="364"/>
      <c r="V81" s="364"/>
      <c r="W81" s="364"/>
      <c r="X81" s="364"/>
      <c r="Y81" s="364"/>
      <c r="Z81" s="364"/>
      <c r="AA81" s="364"/>
      <c r="AB81" s="364"/>
      <c r="AC81" s="364"/>
    </row>
    <row r="82" spans="1:40" ht="17.45" hidden="1">
      <c r="A82" s="368"/>
      <c r="B82" s="369"/>
      <c r="C82" s="370"/>
      <c r="D82" s="371"/>
      <c r="E82" s="371"/>
      <c r="F82" s="372"/>
      <c r="G82" s="372"/>
      <c r="H82" s="372"/>
      <c r="I82" s="372"/>
      <c r="J82" s="372"/>
      <c r="K82" s="374"/>
      <c r="L82" s="374"/>
      <c r="M82" s="374"/>
      <c r="N82" s="372"/>
      <c r="O82" s="372"/>
      <c r="P82" s="372"/>
      <c r="Q82" s="372"/>
      <c r="R82" s="372"/>
      <c r="S82" s="372"/>
      <c r="T82" s="372"/>
      <c r="U82" s="372"/>
      <c r="V82" s="372"/>
      <c r="W82" s="372"/>
      <c r="X82" s="372"/>
      <c r="Y82" s="372"/>
      <c r="Z82" s="372"/>
      <c r="AA82" s="372"/>
      <c r="AB82" s="372"/>
      <c r="AC82" s="372"/>
    </row>
    <row r="83" spans="1:40">
      <c r="A83" s="21" t="s">
        <v>73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" si="27">SUM(F17,F22,F25,F31,F34,F60,F65,F76,F80,F82)</f>
        <v>46.734999999999999</v>
      </c>
      <c r="G83" s="28">
        <f t="shared" ref="G83:AC83" si="28">SUM(G17,G22,G25,G31,G34,G60,G65,G76,G80,G82)</f>
        <v>43.85</v>
      </c>
      <c r="H83" s="28">
        <f t="shared" si="28"/>
        <v>41.46</v>
      </c>
      <c r="I83" s="28">
        <f t="shared" si="28"/>
        <v>39.9</v>
      </c>
      <c r="J83" s="28">
        <f t="shared" si="28"/>
        <v>39.47</v>
      </c>
      <c r="K83" s="28">
        <f t="shared" si="28"/>
        <v>39.309999999999995</v>
      </c>
      <c r="L83" s="28">
        <f t="shared" si="28"/>
        <v>39.339999999999996</v>
      </c>
      <c r="M83" s="28">
        <f t="shared" si="28"/>
        <v>38.42</v>
      </c>
      <c r="N83" s="28">
        <f>SUM(N17,N22,N25,N31,N34,N60,N65,N76,N80,N82)</f>
        <v>43.53</v>
      </c>
      <c r="O83" s="28">
        <f>SUM(O17,O22,O25,O31,O34,O60,O65,O76,O80,O82)</f>
        <v>48.35</v>
      </c>
      <c r="P83" s="28">
        <f t="shared" si="28"/>
        <v>51.170000000000009</v>
      </c>
      <c r="Q83" s="28">
        <f t="shared" si="28"/>
        <v>52.109999999999992</v>
      </c>
      <c r="R83" s="28">
        <f t="shared" si="28"/>
        <v>52.970000000000006</v>
      </c>
      <c r="S83" s="28">
        <f t="shared" si="28"/>
        <v>55.01</v>
      </c>
      <c r="T83" s="28">
        <f t="shared" si="28"/>
        <v>56.29</v>
      </c>
      <c r="U83" s="28">
        <f>SUM(U17,U22,U25,U31,U34,U60,U65,U76,U80,U82)</f>
        <v>55.870000000000005</v>
      </c>
      <c r="V83" s="28">
        <f t="shared" si="28"/>
        <v>55.890000000000008</v>
      </c>
      <c r="W83" s="28">
        <f t="shared" si="28"/>
        <v>53.55</v>
      </c>
      <c r="X83" s="28">
        <f t="shared" si="28"/>
        <v>53.38</v>
      </c>
      <c r="Y83" s="28">
        <f t="shared" si="28"/>
        <v>51.17</v>
      </c>
      <c r="Z83" s="28">
        <f t="shared" si="28"/>
        <v>47.72</v>
      </c>
      <c r="AA83" s="28">
        <f t="shared" si="28"/>
        <v>46.629999999999995</v>
      </c>
      <c r="AB83" s="28">
        <f t="shared" si="28"/>
        <v>49.97</v>
      </c>
      <c r="AC83" s="28">
        <f t="shared" si="28"/>
        <v>48.190000000000005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25" t="s">
        <v>74</v>
      </c>
      <c r="B85" s="525"/>
      <c r="C85" s="525"/>
      <c r="D85" s="525"/>
      <c r="E85" s="525"/>
      <c r="F85" s="525"/>
      <c r="G85" s="525"/>
      <c r="H85" s="525"/>
      <c r="I85" s="525"/>
      <c r="J85" s="525"/>
      <c r="K85" s="525"/>
      <c r="L85" s="525"/>
      <c r="M85" s="525"/>
      <c r="N85" s="525"/>
      <c r="O85" s="525"/>
      <c r="P85" s="525"/>
      <c r="Q85" s="525"/>
      <c r="R85" s="525"/>
      <c r="S85" s="525"/>
      <c r="T85" s="525"/>
      <c r="U85" s="525"/>
      <c r="V85" s="525"/>
      <c r="W85" s="525"/>
      <c r="X85" s="525"/>
      <c r="Y85" s="525"/>
      <c r="Z85" s="525"/>
      <c r="AA85" s="525"/>
      <c r="AB85" s="525"/>
      <c r="AC85" s="525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</row>
    <row r="87" spans="1:40" ht="17.45">
      <c r="A87" s="500" t="s">
        <v>75</v>
      </c>
      <c r="B87" s="501"/>
      <c r="C87" s="502"/>
      <c r="D87" s="49"/>
      <c r="E87" s="49"/>
      <c r="F87" s="506" t="s">
        <v>76</v>
      </c>
      <c r="G87" s="506"/>
      <c r="H87" s="506"/>
      <c r="I87" s="506"/>
      <c r="J87" s="506"/>
      <c r="K87" s="506"/>
      <c r="L87" s="506"/>
      <c r="M87" s="506"/>
      <c r="N87" s="506"/>
      <c r="O87" s="506"/>
      <c r="P87" s="506"/>
      <c r="Q87" s="506"/>
      <c r="R87" s="506"/>
      <c r="S87" s="506"/>
      <c r="T87" s="506"/>
      <c r="U87" s="506"/>
      <c r="V87" s="506"/>
      <c r="W87" s="506"/>
      <c r="X87" s="506"/>
      <c r="Y87" s="506"/>
      <c r="Z87" s="506"/>
      <c r="AA87" s="506"/>
      <c r="AB87" s="506"/>
      <c r="AC87" s="506"/>
      <c r="AD87" s="5"/>
      <c r="AE87" s="5"/>
      <c r="AF87" s="5"/>
      <c r="AG87" s="5"/>
      <c r="AH87" s="5"/>
    </row>
    <row r="88" spans="1:40" ht="15.6" customHeight="1">
      <c r="A88" s="503"/>
      <c r="B88" s="504"/>
      <c r="C88" s="505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07" t="s">
        <v>27</v>
      </c>
      <c r="B89" s="508"/>
      <c r="C89" s="509"/>
      <c r="D89" s="45"/>
      <c r="E89" s="45"/>
      <c r="F89" s="64">
        <f t="shared" ref="F89:AC89" si="29">SUM(F22,F25)</f>
        <v>3</v>
      </c>
      <c r="G89" s="64">
        <f t="shared" si="29"/>
        <v>0</v>
      </c>
      <c r="H89" s="64">
        <f t="shared" si="29"/>
        <v>0</v>
      </c>
      <c r="I89" s="64">
        <f t="shared" si="29"/>
        <v>0</v>
      </c>
      <c r="J89" s="64">
        <f t="shared" si="29"/>
        <v>0</v>
      </c>
      <c r="K89" s="64">
        <f t="shared" si="29"/>
        <v>1.2</v>
      </c>
      <c r="L89" s="64">
        <f t="shared" si="29"/>
        <v>3</v>
      </c>
      <c r="M89" s="64">
        <f t="shared" si="29"/>
        <v>3</v>
      </c>
      <c r="N89" s="64">
        <f t="shared" si="29"/>
        <v>3.8</v>
      </c>
      <c r="O89" s="64">
        <f t="shared" si="29"/>
        <v>3.8</v>
      </c>
      <c r="P89" s="64">
        <f t="shared" si="29"/>
        <v>6.6</v>
      </c>
      <c r="Q89" s="64">
        <f t="shared" si="29"/>
        <v>6.5</v>
      </c>
      <c r="R89" s="64">
        <f t="shared" si="29"/>
        <v>6.5</v>
      </c>
      <c r="S89" s="64">
        <f t="shared" si="29"/>
        <v>9.1999999999999993</v>
      </c>
      <c r="T89" s="64">
        <f t="shared" si="29"/>
        <v>10.399999999999999</v>
      </c>
      <c r="U89" s="64">
        <f t="shared" si="29"/>
        <v>10.100000000000001</v>
      </c>
      <c r="V89" s="64">
        <f t="shared" si="29"/>
        <v>10.3</v>
      </c>
      <c r="W89" s="64">
        <f t="shared" si="29"/>
        <v>9.3000000000000007</v>
      </c>
      <c r="X89" s="64">
        <f t="shared" si="29"/>
        <v>10</v>
      </c>
      <c r="Y89" s="64">
        <f t="shared" si="29"/>
        <v>9.1</v>
      </c>
      <c r="Z89" s="64">
        <f t="shared" si="29"/>
        <v>6</v>
      </c>
      <c r="AA89" s="64">
        <f t="shared" si="29"/>
        <v>6</v>
      </c>
      <c r="AB89" s="64">
        <f t="shared" si="29"/>
        <v>6.6</v>
      </c>
      <c r="AC89" s="64">
        <f t="shared" si="29"/>
        <v>6.8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521" t="s">
        <v>77</v>
      </c>
      <c r="B90" s="521"/>
      <c r="C90" s="522"/>
      <c r="D90" s="45"/>
      <c r="E90" s="45"/>
      <c r="F90" s="68"/>
      <c r="G90" s="68"/>
      <c r="H90" s="68"/>
      <c r="I90" s="68"/>
      <c r="J90" s="68"/>
      <c r="K90" s="68"/>
      <c r="L90" s="68"/>
      <c r="M90" s="68"/>
      <c r="N90" s="68"/>
      <c r="O90" s="68"/>
      <c r="P90" s="68"/>
      <c r="Q90" s="68"/>
      <c r="R90" s="68"/>
      <c r="S90" s="68">
        <v>0.189</v>
      </c>
      <c r="T90" s="68">
        <v>0.20200000000000001</v>
      </c>
      <c r="U90" s="68">
        <v>0.19400000000000001</v>
      </c>
      <c r="V90" s="68">
        <v>0.19700000000000001</v>
      </c>
      <c r="W90" s="68">
        <v>0.16800000000000001</v>
      </c>
      <c r="X90" s="68">
        <v>0.22700000000000001</v>
      </c>
      <c r="Y90" s="68">
        <v>0.254</v>
      </c>
      <c r="Z90" s="68">
        <v>0.23100000000000001</v>
      </c>
      <c r="AA90" s="68">
        <v>0.219</v>
      </c>
      <c r="AB90" s="68">
        <v>0.24099999999999999</v>
      </c>
      <c r="AC90" s="68">
        <v>0.27400000000000002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07" t="s">
        <v>78</v>
      </c>
      <c r="B91" s="508"/>
      <c r="C91" s="509"/>
      <c r="D91" s="45"/>
      <c r="E91" s="45"/>
      <c r="F91" s="64">
        <f t="shared" ref="F91:AC91" si="30">F17</f>
        <v>19.5</v>
      </c>
      <c r="G91" s="64">
        <f t="shared" si="30"/>
        <v>19.799999999999997</v>
      </c>
      <c r="H91" s="64">
        <f t="shared" si="30"/>
        <v>20.100000000000001</v>
      </c>
      <c r="I91" s="64">
        <f t="shared" si="30"/>
        <v>19.5</v>
      </c>
      <c r="J91" s="64">
        <f t="shared" si="30"/>
        <v>13.4</v>
      </c>
      <c r="K91" s="64">
        <f t="shared" si="30"/>
        <v>13.4</v>
      </c>
      <c r="L91" s="64">
        <f t="shared" si="30"/>
        <v>13.4</v>
      </c>
      <c r="M91" s="64">
        <f t="shared" si="30"/>
        <v>13.4</v>
      </c>
      <c r="N91" s="64">
        <f t="shared" si="30"/>
        <v>14</v>
      </c>
      <c r="O91" s="64">
        <f t="shared" si="30"/>
        <v>20.100000000000001</v>
      </c>
      <c r="P91" s="64">
        <f t="shared" si="30"/>
        <v>20.100000000000001</v>
      </c>
      <c r="Q91" s="64">
        <f t="shared" si="30"/>
        <v>20.399999999999999</v>
      </c>
      <c r="R91" s="64">
        <f t="shared" si="30"/>
        <v>20.399999999999999</v>
      </c>
      <c r="S91" s="64">
        <f t="shared" si="30"/>
        <v>20.100000000000001</v>
      </c>
      <c r="T91" s="64">
        <f t="shared" si="30"/>
        <v>20.100000000000001</v>
      </c>
      <c r="U91" s="64">
        <f t="shared" si="30"/>
        <v>20.100000000000001</v>
      </c>
      <c r="V91" s="64">
        <f t="shared" si="30"/>
        <v>20.100000000000001</v>
      </c>
      <c r="W91" s="64">
        <f t="shared" si="30"/>
        <v>19.799999999999997</v>
      </c>
      <c r="X91" s="64">
        <f t="shared" si="30"/>
        <v>20.100000000000001</v>
      </c>
      <c r="Y91" s="64">
        <f t="shared" si="30"/>
        <v>19.200000000000003</v>
      </c>
      <c r="Z91" s="64">
        <f t="shared" si="30"/>
        <v>19.200000000000003</v>
      </c>
      <c r="AA91" s="64">
        <f t="shared" si="30"/>
        <v>18</v>
      </c>
      <c r="AB91" s="64">
        <f t="shared" si="30"/>
        <v>19.5</v>
      </c>
      <c r="AC91" s="64">
        <f t="shared" si="30"/>
        <v>20.100000000000001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21" t="s">
        <v>79</v>
      </c>
      <c r="B92" s="521"/>
      <c r="C92" s="522"/>
      <c r="D92" s="45"/>
      <c r="E92" s="45"/>
      <c r="F92" s="68">
        <v>0.74199999999999999</v>
      </c>
      <c r="G92" s="68">
        <v>0.67100000000000004</v>
      </c>
      <c r="H92" s="68">
        <v>0.79800000000000004</v>
      </c>
      <c r="I92" s="68">
        <v>0.89700000000000002</v>
      </c>
      <c r="J92" s="68">
        <v>0.68200000000000005</v>
      </c>
      <c r="K92" s="68">
        <v>0.61599999999999999</v>
      </c>
      <c r="L92" s="68">
        <v>0.57199999999999995</v>
      </c>
      <c r="M92" s="68">
        <v>0.55500000000000005</v>
      </c>
      <c r="N92" s="68">
        <v>0.83</v>
      </c>
      <c r="O92" s="68">
        <v>0.85699999999999998</v>
      </c>
      <c r="P92" s="68">
        <v>0.68500000000000005</v>
      </c>
      <c r="Q92" s="68">
        <v>0.80700000000000005</v>
      </c>
      <c r="R92" s="68">
        <v>0.71</v>
      </c>
      <c r="S92" s="68">
        <v>0.73699999999999999</v>
      </c>
      <c r="T92" s="68">
        <v>0.77100000000000002</v>
      </c>
      <c r="U92" s="68">
        <v>0.7</v>
      </c>
      <c r="V92" s="68">
        <v>0.68799999999999994</v>
      </c>
      <c r="W92" s="68">
        <v>0.80100000000000005</v>
      </c>
      <c r="X92" s="68">
        <v>0.84799999999999998</v>
      </c>
      <c r="Y92" s="68">
        <v>0.67500000000000004</v>
      </c>
      <c r="Z92" s="68">
        <v>0.66800000000000004</v>
      </c>
      <c r="AA92" s="68">
        <v>0.65100000000000002</v>
      </c>
      <c r="AB92" s="68">
        <v>0.85099999999999998</v>
      </c>
      <c r="AC92" s="68">
        <v>0.79400000000000004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07" t="s">
        <v>29</v>
      </c>
      <c r="B93" s="508"/>
      <c r="C93" s="509"/>
      <c r="D93" s="45"/>
      <c r="E93" s="45"/>
      <c r="F93" s="65">
        <f t="shared" ref="F93:AC93" si="31">F31</f>
        <v>8</v>
      </c>
      <c r="G93" s="65">
        <f t="shared" si="31"/>
        <v>8</v>
      </c>
      <c r="H93" s="65">
        <f t="shared" si="31"/>
        <v>6.4</v>
      </c>
      <c r="I93" s="65">
        <f t="shared" si="31"/>
        <v>6</v>
      </c>
      <c r="J93" s="65">
        <f t="shared" si="31"/>
        <v>8</v>
      </c>
      <c r="K93" s="65">
        <f t="shared" si="31"/>
        <v>8</v>
      </c>
      <c r="L93" s="65">
        <f t="shared" si="31"/>
        <v>7</v>
      </c>
      <c r="M93" s="65">
        <f t="shared" si="31"/>
        <v>6</v>
      </c>
      <c r="N93" s="65">
        <f t="shared" si="31"/>
        <v>8</v>
      </c>
      <c r="O93" s="65">
        <f t="shared" si="31"/>
        <v>8.1999999999999993</v>
      </c>
      <c r="P93" s="65">
        <f t="shared" si="31"/>
        <v>8.1999999999999993</v>
      </c>
      <c r="Q93" s="65">
        <f t="shared" si="31"/>
        <v>8.1</v>
      </c>
      <c r="R93" s="65">
        <f t="shared" si="31"/>
        <v>8.3000000000000007</v>
      </c>
      <c r="S93" s="65">
        <f t="shared" si="31"/>
        <v>8</v>
      </c>
      <c r="T93" s="65">
        <f>T31</f>
        <v>8</v>
      </c>
      <c r="U93" s="65">
        <f t="shared" si="31"/>
        <v>8</v>
      </c>
      <c r="V93" s="65">
        <f t="shared" si="31"/>
        <v>8</v>
      </c>
      <c r="W93" s="65">
        <f t="shared" si="31"/>
        <v>8.1999999999999993</v>
      </c>
      <c r="X93" s="65">
        <f t="shared" si="31"/>
        <v>7</v>
      </c>
      <c r="Y93" s="65">
        <f t="shared" si="31"/>
        <v>6.2</v>
      </c>
      <c r="Z93" s="65">
        <f t="shared" si="31"/>
        <v>5.8</v>
      </c>
      <c r="AA93" s="65">
        <f t="shared" si="31"/>
        <v>6</v>
      </c>
      <c r="AB93" s="65">
        <f t="shared" si="31"/>
        <v>7.4</v>
      </c>
      <c r="AC93" s="65">
        <f t="shared" si="31"/>
        <v>6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21" t="s">
        <v>102</v>
      </c>
      <c r="B94" s="521"/>
      <c r="C94" s="522"/>
      <c r="D94" s="45"/>
      <c r="E94" s="45"/>
      <c r="F94" s="68">
        <v>0.26400000000000001</v>
      </c>
      <c r="G94" s="68">
        <v>0.23699999999999999</v>
      </c>
      <c r="H94" s="68">
        <v>0.246</v>
      </c>
      <c r="I94" s="68">
        <v>0.25600000000000001</v>
      </c>
      <c r="J94" s="68">
        <v>0.248</v>
      </c>
      <c r="K94" s="68">
        <v>0.24399999999999999</v>
      </c>
      <c r="L94" s="68">
        <v>0.26900000000000002</v>
      </c>
      <c r="M94" s="68">
        <v>0.27200000000000002</v>
      </c>
      <c r="N94" s="68">
        <v>0.24199999999999999</v>
      </c>
      <c r="O94" s="68">
        <v>0.26300000000000001</v>
      </c>
      <c r="P94" s="68">
        <v>0.27200000000000002</v>
      </c>
      <c r="Q94" s="68">
        <v>0.28199999999999997</v>
      </c>
      <c r="R94" s="68">
        <v>0.26900000000000002</v>
      </c>
      <c r="S94" s="68">
        <v>0.26200000000000001</v>
      </c>
      <c r="T94" s="68">
        <v>0.27500000000000002</v>
      </c>
      <c r="U94" s="68">
        <v>0.28199999999999997</v>
      </c>
      <c r="V94" s="68">
        <v>0.28399999999999997</v>
      </c>
      <c r="W94" s="68">
        <v>0.25</v>
      </c>
      <c r="X94" s="68">
        <v>0.29099999999999998</v>
      </c>
      <c r="Y94" s="68">
        <v>0.28299999999999997</v>
      </c>
      <c r="Z94" s="68">
        <v>0.29099999999999998</v>
      </c>
      <c r="AA94" s="68">
        <v>0.27</v>
      </c>
      <c r="AB94" s="68">
        <v>0.27400000000000002</v>
      </c>
      <c r="AC94" s="68">
        <v>0.28999999999999998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21" t="s">
        <v>104</v>
      </c>
      <c r="B95" s="521"/>
      <c r="C95" s="522"/>
      <c r="D95" s="45"/>
      <c r="E95" s="45"/>
      <c r="F95" s="68"/>
      <c r="G95" s="68"/>
      <c r="H95" s="68"/>
      <c r="I95" s="68"/>
      <c r="J95" s="68"/>
      <c r="K95" s="68"/>
      <c r="L95" s="68"/>
      <c r="M95" s="68"/>
      <c r="N95" s="68"/>
      <c r="O95" s="68"/>
      <c r="P95" s="68"/>
      <c r="Q95" s="68"/>
      <c r="R95" s="68"/>
      <c r="S95" s="68"/>
      <c r="T95" s="68"/>
      <c r="U95" s="68" t="s">
        <v>1</v>
      </c>
      <c r="V95" s="68" t="s">
        <v>1</v>
      </c>
      <c r="W95" s="68" t="s">
        <v>1</v>
      </c>
      <c r="X95" s="68" t="s">
        <v>1</v>
      </c>
      <c r="Y95" s="68" t="s">
        <v>1</v>
      </c>
      <c r="Z95" s="68" t="s">
        <v>1</v>
      </c>
      <c r="AA95" s="68" t="s">
        <v>1</v>
      </c>
      <c r="AB95" s="68" t="s">
        <v>1</v>
      </c>
      <c r="AC95" s="68" t="s">
        <v>1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07" t="s">
        <v>32</v>
      </c>
      <c r="B96" s="508"/>
      <c r="C96" s="509"/>
      <c r="D96" s="45"/>
      <c r="E96" s="45"/>
      <c r="F96" s="65">
        <f t="shared" ref="F96:AC96" si="32">F34</f>
        <v>14.3</v>
      </c>
      <c r="G96" s="65">
        <f t="shared" si="32"/>
        <v>14.26</v>
      </c>
      <c r="H96" s="65">
        <f t="shared" si="32"/>
        <v>13.24</v>
      </c>
      <c r="I96" s="65">
        <f t="shared" si="32"/>
        <v>12.75</v>
      </c>
      <c r="J96" s="65">
        <f t="shared" si="32"/>
        <v>14.26</v>
      </c>
      <c r="K96" s="65">
        <f t="shared" si="32"/>
        <v>14.29</v>
      </c>
      <c r="L96" s="65">
        <f t="shared" si="32"/>
        <v>14.26</v>
      </c>
      <c r="M96" s="65">
        <f t="shared" si="32"/>
        <v>14.3</v>
      </c>
      <c r="N96" s="65">
        <f t="shared" si="32"/>
        <v>14.29</v>
      </c>
      <c r="O96" s="65">
        <f t="shared" si="32"/>
        <v>14.25</v>
      </c>
      <c r="P96" s="65">
        <f t="shared" si="32"/>
        <v>14.2</v>
      </c>
      <c r="Q96" s="65">
        <f t="shared" si="32"/>
        <v>14.16</v>
      </c>
      <c r="R96" s="65">
        <f t="shared" si="32"/>
        <v>14.22</v>
      </c>
      <c r="S96" s="65">
        <f t="shared" si="32"/>
        <v>14.17</v>
      </c>
      <c r="T96" s="65">
        <f t="shared" si="32"/>
        <v>14.22</v>
      </c>
      <c r="U96" s="65">
        <f t="shared" si="32"/>
        <v>14.22</v>
      </c>
      <c r="V96" s="65">
        <f t="shared" si="32"/>
        <v>14.13</v>
      </c>
      <c r="W96" s="65">
        <f t="shared" si="32"/>
        <v>14.23</v>
      </c>
      <c r="X96" s="65">
        <f t="shared" si="32"/>
        <v>14.11</v>
      </c>
      <c r="Y96" s="65">
        <f t="shared" si="32"/>
        <v>14.22</v>
      </c>
      <c r="Z96" s="65">
        <f t="shared" si="32"/>
        <v>14.25</v>
      </c>
      <c r="AA96" s="65">
        <f t="shared" si="32"/>
        <v>14.27</v>
      </c>
      <c r="AB96" s="65">
        <f t="shared" si="32"/>
        <v>14.28</v>
      </c>
      <c r="AC96" s="65">
        <f t="shared" si="32"/>
        <v>13.31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21" t="s">
        <v>81</v>
      </c>
      <c r="B97" s="521"/>
      <c r="C97" s="522"/>
      <c r="D97" s="68"/>
      <c r="E97" s="68"/>
      <c r="F97" s="68">
        <v>0.7</v>
      </c>
      <c r="G97" s="68">
        <v>0.74</v>
      </c>
      <c r="H97" s="68">
        <v>0.76</v>
      </c>
      <c r="I97" s="68">
        <v>0.75</v>
      </c>
      <c r="J97" s="68">
        <v>0.74</v>
      </c>
      <c r="K97" s="68">
        <v>0.71</v>
      </c>
      <c r="L97" s="68">
        <v>0.74</v>
      </c>
      <c r="M97" s="68">
        <v>0.7</v>
      </c>
      <c r="N97" s="68">
        <v>0.71</v>
      </c>
      <c r="O97" s="68">
        <v>0.75</v>
      </c>
      <c r="P97" s="68">
        <v>0.8</v>
      </c>
      <c r="Q97" s="68">
        <v>0.84</v>
      </c>
      <c r="R97" s="68">
        <v>0.78</v>
      </c>
      <c r="S97" s="68">
        <v>0.83</v>
      </c>
      <c r="T97" s="68">
        <v>0.78</v>
      </c>
      <c r="U97" s="68">
        <v>0.78</v>
      </c>
      <c r="V97" s="68">
        <v>0.87</v>
      </c>
      <c r="W97" s="68">
        <v>0.77</v>
      </c>
      <c r="X97" s="68">
        <v>0.89</v>
      </c>
      <c r="Y97" s="68">
        <v>0.78</v>
      </c>
      <c r="Z97" s="68">
        <v>0.75</v>
      </c>
      <c r="AA97" s="68">
        <v>0.73</v>
      </c>
      <c r="AB97" s="68">
        <v>0.72</v>
      </c>
      <c r="AC97" s="68">
        <v>0.69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07" t="s">
        <v>33</v>
      </c>
      <c r="B98" s="508"/>
      <c r="C98" s="509"/>
      <c r="D98" s="45"/>
      <c r="E98" s="45"/>
      <c r="F98" s="64">
        <f t="shared" ref="F98:AC98" si="33">F60</f>
        <v>0</v>
      </c>
      <c r="G98" s="64">
        <f t="shared" si="33"/>
        <v>0</v>
      </c>
      <c r="H98" s="64">
        <f t="shared" si="33"/>
        <v>0</v>
      </c>
      <c r="I98" s="64">
        <f t="shared" si="33"/>
        <v>0</v>
      </c>
      <c r="J98" s="64">
        <f t="shared" si="33"/>
        <v>2.2000000000000002</v>
      </c>
      <c r="K98" s="64">
        <f t="shared" si="33"/>
        <v>0.8</v>
      </c>
      <c r="L98" s="64">
        <f t="shared" si="33"/>
        <v>0</v>
      </c>
      <c r="M98" s="64">
        <f t="shared" si="33"/>
        <v>0</v>
      </c>
      <c r="N98" s="64">
        <f t="shared" si="33"/>
        <v>1.5</v>
      </c>
      <c r="O98" s="64">
        <f t="shared" si="33"/>
        <v>0</v>
      </c>
      <c r="P98" s="64">
        <f t="shared" si="33"/>
        <v>0</v>
      </c>
      <c r="Q98" s="64">
        <f t="shared" si="33"/>
        <v>0.8</v>
      </c>
      <c r="R98" s="64">
        <f t="shared" si="33"/>
        <v>1.4</v>
      </c>
      <c r="S98" s="64">
        <f t="shared" si="33"/>
        <v>1.4</v>
      </c>
      <c r="T98" s="64">
        <f t="shared" si="33"/>
        <v>1.4</v>
      </c>
      <c r="U98" s="64">
        <f t="shared" si="33"/>
        <v>1.4</v>
      </c>
      <c r="V98" s="64">
        <f t="shared" si="33"/>
        <v>1.4</v>
      </c>
      <c r="W98" s="64">
        <f t="shared" si="33"/>
        <v>0</v>
      </c>
      <c r="X98" s="64">
        <f t="shared" si="33"/>
        <v>0</v>
      </c>
      <c r="Y98" s="64">
        <f t="shared" si="33"/>
        <v>0</v>
      </c>
      <c r="Z98" s="64">
        <f t="shared" si="33"/>
        <v>0</v>
      </c>
      <c r="AA98" s="64">
        <f t="shared" si="33"/>
        <v>0</v>
      </c>
      <c r="AB98" s="64">
        <f t="shared" si="33"/>
        <v>0</v>
      </c>
      <c r="AC98" s="64">
        <f t="shared" si="33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07" t="s">
        <v>55</v>
      </c>
      <c r="B99" s="508"/>
      <c r="C99" s="509"/>
      <c r="D99" s="45"/>
      <c r="E99" s="45"/>
      <c r="F99" s="64">
        <f t="shared" ref="F99:AC99" si="34">F65</f>
        <v>1.1150000000000002</v>
      </c>
      <c r="G99" s="64">
        <f t="shared" si="34"/>
        <v>1.02</v>
      </c>
      <c r="H99" s="64">
        <f t="shared" si="34"/>
        <v>0.97</v>
      </c>
      <c r="I99" s="64">
        <f t="shared" si="34"/>
        <v>0.92</v>
      </c>
      <c r="J99" s="64">
        <f t="shared" si="34"/>
        <v>0.89</v>
      </c>
      <c r="K99" s="64">
        <f t="shared" si="34"/>
        <v>0.89</v>
      </c>
      <c r="L99" s="64">
        <f t="shared" si="34"/>
        <v>0.94</v>
      </c>
      <c r="M99" s="64">
        <f t="shared" si="34"/>
        <v>1</v>
      </c>
      <c r="N99" s="64">
        <f t="shared" si="34"/>
        <v>1.19</v>
      </c>
      <c r="O99" s="64">
        <f t="shared" si="34"/>
        <v>1.23</v>
      </c>
      <c r="P99" s="64">
        <f t="shared" si="34"/>
        <v>1.27</v>
      </c>
      <c r="Q99" s="64">
        <f t="shared" si="34"/>
        <v>1.29</v>
      </c>
      <c r="R99" s="64">
        <f t="shared" si="34"/>
        <v>1.31</v>
      </c>
      <c r="S99" s="64">
        <f t="shared" si="34"/>
        <v>1.29</v>
      </c>
      <c r="T99" s="64">
        <f t="shared" si="34"/>
        <v>1.31</v>
      </c>
      <c r="U99" s="64">
        <f t="shared" si="34"/>
        <v>1.17</v>
      </c>
      <c r="V99" s="64">
        <f t="shared" si="34"/>
        <v>1.1000000000000001</v>
      </c>
      <c r="W99" s="64">
        <f t="shared" si="34"/>
        <v>1.19</v>
      </c>
      <c r="X99" s="64">
        <f t="shared" si="34"/>
        <v>1.32</v>
      </c>
      <c r="Y99" s="64">
        <f t="shared" si="34"/>
        <v>1.51</v>
      </c>
      <c r="Z99" s="64">
        <f t="shared" si="34"/>
        <v>1.53</v>
      </c>
      <c r="AA99" s="64">
        <f t="shared" si="34"/>
        <v>1.43</v>
      </c>
      <c r="AB99" s="64">
        <f t="shared" si="34"/>
        <v>1.3</v>
      </c>
      <c r="AC99" s="64">
        <f t="shared" si="34"/>
        <v>1.1200000000000001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07" t="s">
        <v>59</v>
      </c>
      <c r="B100" s="508"/>
      <c r="C100" s="509"/>
      <c r="D100" s="45"/>
      <c r="E100" s="45"/>
      <c r="F100" s="64">
        <f t="shared" ref="F100:AC100" si="35">F76</f>
        <v>0</v>
      </c>
      <c r="G100" s="64">
        <f t="shared" si="35"/>
        <v>0</v>
      </c>
      <c r="H100" s="64">
        <f t="shared" si="35"/>
        <v>0</v>
      </c>
      <c r="I100" s="64">
        <f t="shared" si="35"/>
        <v>0</v>
      </c>
      <c r="J100" s="64">
        <f t="shared" si="35"/>
        <v>0</v>
      </c>
      <c r="K100" s="64">
        <f t="shared" si="35"/>
        <v>0</v>
      </c>
      <c r="L100" s="64">
        <f t="shared" si="35"/>
        <v>0</v>
      </c>
      <c r="M100" s="64">
        <f t="shared" si="35"/>
        <v>0</v>
      </c>
      <c r="N100" s="64">
        <f t="shared" si="35"/>
        <v>0</v>
      </c>
      <c r="O100" s="64">
        <f t="shared" si="35"/>
        <v>0</v>
      </c>
      <c r="P100" s="64">
        <f t="shared" si="35"/>
        <v>0</v>
      </c>
      <c r="Q100" s="64">
        <f t="shared" si="35"/>
        <v>0</v>
      </c>
      <c r="R100" s="64">
        <f t="shared" si="35"/>
        <v>0</v>
      </c>
      <c r="S100" s="64">
        <f t="shared" si="35"/>
        <v>0</v>
      </c>
      <c r="T100" s="64">
        <f t="shared" si="35"/>
        <v>0</v>
      </c>
      <c r="U100" s="64">
        <f t="shared" si="35"/>
        <v>0</v>
      </c>
      <c r="V100" s="64">
        <f t="shared" si="35"/>
        <v>0</v>
      </c>
      <c r="W100" s="64">
        <f t="shared" si="35"/>
        <v>0</v>
      </c>
      <c r="X100" s="64">
        <f t="shared" si="35"/>
        <v>0</v>
      </c>
      <c r="Y100" s="64">
        <f t="shared" si="35"/>
        <v>0</v>
      </c>
      <c r="Z100" s="64">
        <f t="shared" si="35"/>
        <v>0</v>
      </c>
      <c r="AA100" s="64">
        <f t="shared" si="35"/>
        <v>0</v>
      </c>
      <c r="AB100" s="64">
        <f t="shared" si="35"/>
        <v>0</v>
      </c>
      <c r="AC100" s="64">
        <f t="shared" si="35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07" t="s">
        <v>69</v>
      </c>
      <c r="B101" s="508"/>
      <c r="C101" s="509"/>
      <c r="D101" s="45"/>
      <c r="E101" s="45"/>
      <c r="F101" s="64">
        <f t="shared" ref="F101:AC101" si="36">F80</f>
        <v>0.82</v>
      </c>
      <c r="G101" s="64">
        <f t="shared" si="36"/>
        <v>0.77</v>
      </c>
      <c r="H101" s="64">
        <f t="shared" si="36"/>
        <v>0.75</v>
      </c>
      <c r="I101" s="64">
        <f t="shared" si="36"/>
        <v>0.73</v>
      </c>
      <c r="J101" s="64">
        <f t="shared" si="36"/>
        <v>0.72</v>
      </c>
      <c r="K101" s="64">
        <f t="shared" si="36"/>
        <v>0.73</v>
      </c>
      <c r="L101" s="64">
        <f t="shared" si="36"/>
        <v>0.74</v>
      </c>
      <c r="M101" s="64">
        <f t="shared" si="36"/>
        <v>0.72</v>
      </c>
      <c r="N101" s="64">
        <f t="shared" si="36"/>
        <v>0.75</v>
      </c>
      <c r="O101" s="64">
        <f t="shared" si="36"/>
        <v>0.77</v>
      </c>
      <c r="P101" s="64">
        <f t="shared" si="36"/>
        <v>0.8</v>
      </c>
      <c r="Q101" s="64">
        <f t="shared" si="36"/>
        <v>0.86</v>
      </c>
      <c r="R101" s="64">
        <f t="shared" si="36"/>
        <v>0.84</v>
      </c>
      <c r="S101" s="64">
        <f t="shared" si="36"/>
        <v>0.85</v>
      </c>
      <c r="T101" s="64">
        <f t="shared" si="36"/>
        <v>0.86</v>
      </c>
      <c r="U101" s="64">
        <f t="shared" si="36"/>
        <v>0.88</v>
      </c>
      <c r="V101" s="64">
        <f t="shared" si="36"/>
        <v>0.86</v>
      </c>
      <c r="W101" s="64">
        <f t="shared" si="36"/>
        <v>0.83</v>
      </c>
      <c r="X101" s="64">
        <f t="shared" si="36"/>
        <v>0.85</v>
      </c>
      <c r="Y101" s="64">
        <f t="shared" si="36"/>
        <v>0.94</v>
      </c>
      <c r="Z101" s="64">
        <f t="shared" si="36"/>
        <v>0.94</v>
      </c>
      <c r="AA101" s="64">
        <f t="shared" si="36"/>
        <v>0.93</v>
      </c>
      <c r="AB101" s="64">
        <f t="shared" si="36"/>
        <v>0.89</v>
      </c>
      <c r="AC101" s="64">
        <f t="shared" si="36"/>
        <v>0.86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07" t="s">
        <v>72</v>
      </c>
      <c r="B102" s="508"/>
      <c r="C102" s="509"/>
      <c r="D102" s="45"/>
      <c r="E102" s="45"/>
      <c r="F102" s="64">
        <f t="shared" ref="F102:AC102" si="37">F82</f>
        <v>0</v>
      </c>
      <c r="G102" s="64">
        <f t="shared" si="37"/>
        <v>0</v>
      </c>
      <c r="H102" s="64">
        <f t="shared" si="37"/>
        <v>0</v>
      </c>
      <c r="I102" s="64">
        <f t="shared" si="37"/>
        <v>0</v>
      </c>
      <c r="J102" s="64">
        <f t="shared" si="37"/>
        <v>0</v>
      </c>
      <c r="K102" s="64">
        <f t="shared" si="37"/>
        <v>0</v>
      </c>
      <c r="L102" s="64">
        <f t="shared" si="37"/>
        <v>0</v>
      </c>
      <c r="M102" s="64">
        <f t="shared" si="37"/>
        <v>0</v>
      </c>
      <c r="N102" s="64">
        <f t="shared" si="37"/>
        <v>0</v>
      </c>
      <c r="O102" s="64">
        <f t="shared" si="37"/>
        <v>0</v>
      </c>
      <c r="P102" s="64">
        <f t="shared" si="37"/>
        <v>0</v>
      </c>
      <c r="Q102" s="64">
        <f t="shared" si="37"/>
        <v>0</v>
      </c>
      <c r="R102" s="64">
        <f t="shared" si="37"/>
        <v>0</v>
      </c>
      <c r="S102" s="64">
        <f t="shared" si="37"/>
        <v>0</v>
      </c>
      <c r="T102" s="64">
        <f t="shared" si="37"/>
        <v>0</v>
      </c>
      <c r="U102" s="64">
        <f t="shared" si="37"/>
        <v>0</v>
      </c>
      <c r="V102" s="64">
        <f t="shared" si="37"/>
        <v>0</v>
      </c>
      <c r="W102" s="64">
        <f t="shared" si="37"/>
        <v>0</v>
      </c>
      <c r="X102" s="64">
        <f t="shared" si="37"/>
        <v>0</v>
      </c>
      <c r="Y102" s="64">
        <f t="shared" si="37"/>
        <v>0</v>
      </c>
      <c r="Z102" s="64">
        <f t="shared" si="37"/>
        <v>0</v>
      </c>
      <c r="AA102" s="64">
        <f t="shared" si="37"/>
        <v>0</v>
      </c>
      <c r="AB102" s="64">
        <f t="shared" si="37"/>
        <v>0</v>
      </c>
      <c r="AC102" s="64">
        <f t="shared" si="37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11" t="s">
        <v>82</v>
      </c>
      <c r="B103" s="511"/>
      <c r="C103" s="511"/>
      <c r="D103" s="47"/>
      <c r="E103" s="47"/>
      <c r="F103" s="61">
        <f t="shared" ref="F103:AC103" si="38">SUM(F89,F91,F93,F96,F98:F102,F81)</f>
        <v>46.734999999999999</v>
      </c>
      <c r="G103" s="61">
        <f t="shared" si="38"/>
        <v>43.85</v>
      </c>
      <c r="H103" s="61">
        <f t="shared" si="38"/>
        <v>41.46</v>
      </c>
      <c r="I103" s="61">
        <f t="shared" si="38"/>
        <v>39.9</v>
      </c>
      <c r="J103" s="61">
        <f t="shared" si="38"/>
        <v>39.47</v>
      </c>
      <c r="K103" s="61">
        <f t="shared" si="38"/>
        <v>39.309999999999995</v>
      </c>
      <c r="L103" s="61">
        <f t="shared" si="38"/>
        <v>39.339999999999996</v>
      </c>
      <c r="M103" s="61">
        <f t="shared" si="38"/>
        <v>38.42</v>
      </c>
      <c r="N103" s="61">
        <f t="shared" si="38"/>
        <v>43.53</v>
      </c>
      <c r="O103" s="61">
        <f t="shared" si="38"/>
        <v>48.35</v>
      </c>
      <c r="P103" s="61">
        <f t="shared" si="38"/>
        <v>51.170000000000009</v>
      </c>
      <c r="Q103" s="61">
        <f t="shared" si="38"/>
        <v>52.109999999999992</v>
      </c>
      <c r="R103" s="61">
        <f t="shared" si="38"/>
        <v>52.970000000000006</v>
      </c>
      <c r="S103" s="61">
        <f t="shared" si="38"/>
        <v>55.01</v>
      </c>
      <c r="T103" s="61">
        <f t="shared" si="38"/>
        <v>56.29</v>
      </c>
      <c r="U103" s="61">
        <f t="shared" si="38"/>
        <v>55.870000000000005</v>
      </c>
      <c r="V103" s="61">
        <f t="shared" si="38"/>
        <v>55.890000000000008</v>
      </c>
      <c r="W103" s="61">
        <f t="shared" si="38"/>
        <v>53.55</v>
      </c>
      <c r="X103" s="61">
        <f t="shared" si="38"/>
        <v>53.38</v>
      </c>
      <c r="Y103" s="61">
        <f t="shared" si="38"/>
        <v>51.17</v>
      </c>
      <c r="Z103" s="61">
        <f t="shared" si="38"/>
        <v>47.72</v>
      </c>
      <c r="AA103" s="61">
        <f t="shared" si="38"/>
        <v>46.629999999999995</v>
      </c>
      <c r="AB103" s="61">
        <f t="shared" si="38"/>
        <v>49.97</v>
      </c>
      <c r="AC103" s="61">
        <f t="shared" si="38"/>
        <v>48.190000000000005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12" t="s">
        <v>83</v>
      </c>
      <c r="B104" s="512"/>
      <c r="C104" s="512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12" t="s">
        <v>84</v>
      </c>
      <c r="B105" s="512"/>
      <c r="C105" s="512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12" t="s">
        <v>85</v>
      </c>
      <c r="B106" s="512"/>
      <c r="C106" s="512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>
        <v>0.76</v>
      </c>
      <c r="V106" s="76"/>
      <c r="W106" s="76"/>
      <c r="X106" s="76"/>
      <c r="Y106" s="76">
        <v>5.984</v>
      </c>
      <c r="Z106" s="76">
        <f>5.984+1.41</f>
        <v>7.3940000000000001</v>
      </c>
      <c r="AA106" s="76">
        <v>5.984</v>
      </c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11" t="s">
        <v>86</v>
      </c>
      <c r="B107" s="511"/>
      <c r="C107" s="511"/>
      <c r="D107" s="47"/>
      <c r="E107" s="47"/>
      <c r="F107" s="61">
        <f t="shared" ref="F107:AC107" si="39">SUM(F104:F106)</f>
        <v>0</v>
      </c>
      <c r="G107" s="61">
        <f t="shared" si="39"/>
        <v>0</v>
      </c>
      <c r="H107" s="61">
        <f t="shared" si="39"/>
        <v>0</v>
      </c>
      <c r="I107" s="61">
        <f t="shared" si="39"/>
        <v>0</v>
      </c>
      <c r="J107" s="61">
        <f t="shared" si="39"/>
        <v>0</v>
      </c>
      <c r="K107" s="61">
        <f t="shared" si="39"/>
        <v>0</v>
      </c>
      <c r="L107" s="61">
        <f t="shared" si="39"/>
        <v>0</v>
      </c>
      <c r="M107" s="61">
        <f t="shared" si="39"/>
        <v>0</v>
      </c>
      <c r="N107" s="61">
        <f t="shared" si="39"/>
        <v>0</v>
      </c>
      <c r="O107" s="61">
        <f t="shared" si="39"/>
        <v>0</v>
      </c>
      <c r="P107" s="61">
        <f t="shared" si="39"/>
        <v>0</v>
      </c>
      <c r="Q107" s="61">
        <f t="shared" si="39"/>
        <v>0</v>
      </c>
      <c r="R107" s="61">
        <f t="shared" si="39"/>
        <v>0</v>
      </c>
      <c r="S107" s="61">
        <f t="shared" si="39"/>
        <v>0</v>
      </c>
      <c r="T107" s="61">
        <f t="shared" si="39"/>
        <v>0</v>
      </c>
      <c r="U107" s="61">
        <f t="shared" si="39"/>
        <v>0.76</v>
      </c>
      <c r="V107" s="61">
        <f t="shared" si="39"/>
        <v>0</v>
      </c>
      <c r="W107" s="61">
        <f t="shared" si="39"/>
        <v>0</v>
      </c>
      <c r="X107" s="61">
        <f t="shared" si="39"/>
        <v>0</v>
      </c>
      <c r="Y107" s="61">
        <f t="shared" si="39"/>
        <v>5.984</v>
      </c>
      <c r="Z107" s="61">
        <f t="shared" si="39"/>
        <v>7.3940000000000001</v>
      </c>
      <c r="AA107" s="61">
        <f t="shared" si="39"/>
        <v>5.984</v>
      </c>
      <c r="AB107" s="61">
        <f t="shared" si="39"/>
        <v>0</v>
      </c>
      <c r="AC107" s="61">
        <f t="shared" si="39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13" t="s">
        <v>87</v>
      </c>
      <c r="B108" s="513"/>
      <c r="C108" s="513"/>
      <c r="D108" s="48"/>
      <c r="E108" s="48"/>
      <c r="F108" s="62">
        <f t="shared" ref="F108:AC108" si="40">F103+F107</f>
        <v>46.734999999999999</v>
      </c>
      <c r="G108" s="62">
        <f t="shared" si="40"/>
        <v>43.85</v>
      </c>
      <c r="H108" s="62">
        <f t="shared" si="40"/>
        <v>41.46</v>
      </c>
      <c r="I108" s="62">
        <f t="shared" si="40"/>
        <v>39.9</v>
      </c>
      <c r="J108" s="62">
        <f t="shared" si="40"/>
        <v>39.47</v>
      </c>
      <c r="K108" s="62">
        <f t="shared" si="40"/>
        <v>39.309999999999995</v>
      </c>
      <c r="L108" s="62">
        <f t="shared" si="40"/>
        <v>39.339999999999996</v>
      </c>
      <c r="M108" s="62">
        <f t="shared" si="40"/>
        <v>38.42</v>
      </c>
      <c r="N108" s="62">
        <f t="shared" si="40"/>
        <v>43.53</v>
      </c>
      <c r="O108" s="62">
        <f t="shared" si="40"/>
        <v>48.35</v>
      </c>
      <c r="P108" s="62">
        <f t="shared" si="40"/>
        <v>51.170000000000009</v>
      </c>
      <c r="Q108" s="62">
        <f t="shared" si="40"/>
        <v>52.109999999999992</v>
      </c>
      <c r="R108" s="62">
        <f t="shared" si="40"/>
        <v>52.970000000000006</v>
      </c>
      <c r="S108" s="62">
        <f t="shared" si="40"/>
        <v>55.01</v>
      </c>
      <c r="T108" s="62">
        <f>T103+T107</f>
        <v>56.29</v>
      </c>
      <c r="U108" s="62">
        <f t="shared" si="40"/>
        <v>56.63</v>
      </c>
      <c r="V108" s="62">
        <f t="shared" si="40"/>
        <v>55.890000000000008</v>
      </c>
      <c r="W108" s="62">
        <f>W103+W107</f>
        <v>53.55</v>
      </c>
      <c r="X108" s="62">
        <f t="shared" si="40"/>
        <v>53.38</v>
      </c>
      <c r="Y108" s="62">
        <f>Y103+Y107</f>
        <v>57.154000000000003</v>
      </c>
      <c r="Z108" s="62">
        <f t="shared" si="40"/>
        <v>55.113999999999997</v>
      </c>
      <c r="AA108" s="62">
        <f t="shared" si="40"/>
        <v>52.613999999999997</v>
      </c>
      <c r="AB108" s="62">
        <f t="shared" si="40"/>
        <v>49.97</v>
      </c>
      <c r="AC108" s="62">
        <f t="shared" si="40"/>
        <v>48.190000000000005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14" t="s">
        <v>88</v>
      </c>
      <c r="B109" s="514"/>
      <c r="C109" s="514"/>
      <c r="D109" s="52"/>
      <c r="E109" s="52"/>
      <c r="F109" s="63">
        <f t="shared" ref="F109:AC109" si="41">(COUNT(F13:F16))*7.2+(COUNT(F27:F28)*4.9)+(COUNT(F19:F21)*4.5)-F91-F93</f>
        <v>8.4000000000000057</v>
      </c>
      <c r="G109" s="63">
        <f t="shared" si="41"/>
        <v>3.600000000000005</v>
      </c>
      <c r="H109" s="63">
        <f t="shared" si="41"/>
        <v>4.9000000000000004</v>
      </c>
      <c r="I109" s="63">
        <f t="shared" si="41"/>
        <v>5.9000000000000021</v>
      </c>
      <c r="J109" s="63">
        <f t="shared" si="41"/>
        <v>10</v>
      </c>
      <c r="K109" s="63">
        <f t="shared" si="41"/>
        <v>14.500000000000007</v>
      </c>
      <c r="L109" s="63">
        <f t="shared" si="41"/>
        <v>15.500000000000007</v>
      </c>
      <c r="M109" s="63">
        <f t="shared" si="41"/>
        <v>16.500000000000007</v>
      </c>
      <c r="N109" s="63">
        <f t="shared" si="41"/>
        <v>21.1</v>
      </c>
      <c r="O109" s="63">
        <f t="shared" si="41"/>
        <v>7.600000000000005</v>
      </c>
      <c r="P109" s="63">
        <f t="shared" si="41"/>
        <v>12.100000000000005</v>
      </c>
      <c r="Q109" s="63">
        <f t="shared" si="41"/>
        <v>19.100000000000001</v>
      </c>
      <c r="R109" s="63">
        <f t="shared" si="41"/>
        <v>11.700000000000006</v>
      </c>
      <c r="S109" s="63">
        <f t="shared" si="41"/>
        <v>12.300000000000004</v>
      </c>
      <c r="T109" s="63">
        <f t="shared" si="41"/>
        <v>12.300000000000004</v>
      </c>
      <c r="U109" s="63">
        <f t="shared" si="41"/>
        <v>12.300000000000004</v>
      </c>
      <c r="V109" s="63">
        <f t="shared" si="41"/>
        <v>12.300000000000004</v>
      </c>
      <c r="W109" s="63">
        <f t="shared" si="41"/>
        <v>12.400000000000009</v>
      </c>
      <c r="X109" s="63">
        <f t="shared" si="41"/>
        <v>13.300000000000004</v>
      </c>
      <c r="Y109" s="63">
        <f t="shared" si="41"/>
        <v>15.000000000000004</v>
      </c>
      <c r="Z109" s="63">
        <f t="shared" si="41"/>
        <v>10.900000000000002</v>
      </c>
      <c r="AA109" s="63">
        <f t="shared" si="41"/>
        <v>11.900000000000006</v>
      </c>
      <c r="AB109" s="63">
        <f t="shared" si="41"/>
        <v>9.0000000000000053</v>
      </c>
      <c r="AC109" s="63">
        <f t="shared" si="41"/>
        <v>9.8000000000000043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15" t="s">
        <v>89</v>
      </c>
      <c r="B110" s="516"/>
      <c r="C110" s="517"/>
      <c r="D110" s="204"/>
      <c r="E110" s="204"/>
      <c r="F110" s="205">
        <f t="shared" ref="F110:P110" si="42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4.0000000000000018</v>
      </c>
      <c r="G110" s="205">
        <f t="shared" si="42"/>
        <v>2.2000000000000046</v>
      </c>
      <c r="H110" s="205">
        <f t="shared" si="42"/>
        <v>3.5</v>
      </c>
      <c r="I110" s="205">
        <f t="shared" si="42"/>
        <v>4.5000000000000018</v>
      </c>
      <c r="J110" s="205">
        <f t="shared" si="42"/>
        <v>1.4000000000000004</v>
      </c>
      <c r="K110" s="205">
        <f t="shared" si="42"/>
        <v>4.7</v>
      </c>
      <c r="L110" s="205">
        <f t="shared" si="42"/>
        <v>3.9000000000000004</v>
      </c>
      <c r="M110" s="205">
        <f t="shared" si="42"/>
        <v>4.9000000000000004</v>
      </c>
      <c r="N110" s="205">
        <f t="shared" si="42"/>
        <v>8.6999999999999993</v>
      </c>
      <c r="O110" s="205">
        <f t="shared" si="42"/>
        <v>2.4000000000000012</v>
      </c>
      <c r="P110" s="205">
        <f t="shared" si="42"/>
        <v>3.1000000000000014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11.600000000000001</v>
      </c>
      <c r="R110" s="205">
        <f t="shared" ref="R110:AC110" si="43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3.4000000000000021</v>
      </c>
      <c r="S110" s="205">
        <f t="shared" si="43"/>
        <v>5.8000000000000007</v>
      </c>
      <c r="T110" s="205">
        <f t="shared" si="43"/>
        <v>4.5999999999999996</v>
      </c>
      <c r="U110" s="205">
        <f t="shared" si="43"/>
        <v>4.8999999999999986</v>
      </c>
      <c r="V110" s="205">
        <f t="shared" si="43"/>
        <v>4.6999999999999993</v>
      </c>
      <c r="W110" s="205">
        <f t="shared" si="43"/>
        <v>5.8000000000000043</v>
      </c>
      <c r="X110" s="205">
        <f t="shared" si="43"/>
        <v>5.9999999999999991</v>
      </c>
      <c r="Y110" s="205">
        <f t="shared" si="43"/>
        <v>8.5999999999999979</v>
      </c>
      <c r="Z110" s="205">
        <f t="shared" si="43"/>
        <v>8.5999999999999979</v>
      </c>
      <c r="AA110" s="205">
        <f t="shared" si="43"/>
        <v>9.6000000000000014</v>
      </c>
      <c r="AB110" s="205">
        <f t="shared" si="43"/>
        <v>6.1000000000000014</v>
      </c>
      <c r="AC110" s="205">
        <f t="shared" si="43"/>
        <v>6.7</v>
      </c>
      <c r="AD110" s="26"/>
      <c r="AE110" s="26"/>
      <c r="AF110" s="466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10" t="s">
        <v>91</v>
      </c>
      <c r="B111" s="510"/>
      <c r="C111" s="510"/>
      <c r="D111" s="60"/>
      <c r="E111" s="72"/>
      <c r="F111" s="74">
        <v>60.2</v>
      </c>
      <c r="G111" s="74">
        <v>60.18</v>
      </c>
      <c r="H111" s="74">
        <v>60.15</v>
      </c>
      <c r="I111" s="74">
        <v>60.18</v>
      </c>
      <c r="J111" s="74">
        <v>60.1</v>
      </c>
      <c r="K111" s="74">
        <v>60.15</v>
      </c>
      <c r="L111" s="74">
        <v>60.09</v>
      </c>
      <c r="M111" s="74">
        <v>60.18</v>
      </c>
      <c r="N111" s="74">
        <v>60.16</v>
      </c>
      <c r="O111" s="74">
        <v>60.09</v>
      </c>
      <c r="P111" s="83">
        <v>60.12</v>
      </c>
      <c r="Q111" s="83">
        <v>60.15</v>
      </c>
      <c r="R111" s="83">
        <v>60.09</v>
      </c>
      <c r="S111" s="83">
        <v>60.11</v>
      </c>
      <c r="T111" s="83">
        <v>60.19</v>
      </c>
      <c r="U111" s="74">
        <v>60.19</v>
      </c>
      <c r="V111" s="74">
        <v>60.13</v>
      </c>
      <c r="W111" s="74">
        <v>60.14</v>
      </c>
      <c r="X111" s="74">
        <v>60.11</v>
      </c>
      <c r="Y111" s="74">
        <v>60.25</v>
      </c>
      <c r="Z111" s="74">
        <v>60.24</v>
      </c>
      <c r="AA111" s="74">
        <v>60.39</v>
      </c>
      <c r="AB111" s="74">
        <v>60.19</v>
      </c>
      <c r="AC111" s="74">
        <v>60.16</v>
      </c>
      <c r="AD111" s="26"/>
      <c r="AE111" s="26"/>
      <c r="AF111" s="467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18" t="s">
        <v>93</v>
      </c>
      <c r="B112" s="519"/>
      <c r="C112" s="520"/>
      <c r="D112" s="60"/>
      <c r="E112" s="72"/>
      <c r="F112" s="74"/>
      <c r="G112" s="74"/>
      <c r="H112" s="74"/>
      <c r="I112" s="74"/>
      <c r="J112" s="74"/>
      <c r="K112" s="74"/>
      <c r="L112" s="74"/>
      <c r="M112" s="74"/>
      <c r="N112" s="74"/>
      <c r="O112" s="74"/>
      <c r="P112" s="74"/>
      <c r="Q112" s="74"/>
      <c r="R112" s="74"/>
      <c r="S112" s="74"/>
      <c r="T112" s="74"/>
      <c r="U112" s="74"/>
      <c r="V112" s="74"/>
      <c r="W112" s="74"/>
      <c r="X112" s="74"/>
      <c r="Y112" s="74"/>
      <c r="Z112" s="74"/>
      <c r="AA112" s="74"/>
      <c r="AB112" s="74"/>
      <c r="AC112" s="74"/>
      <c r="AD112" s="26"/>
      <c r="AE112" s="26"/>
      <c r="AF112" s="469"/>
      <c r="AG112" s="472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18" t="s">
        <v>95</v>
      </c>
      <c r="B113" s="519"/>
      <c r="C113" s="520"/>
      <c r="D113" s="60"/>
      <c r="E113" s="74"/>
      <c r="F113" s="74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10" t="s">
        <v>96</v>
      </c>
      <c r="B114" s="510"/>
      <c r="C114" s="510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 t="s">
        <v>101</v>
      </c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10" t="s">
        <v>97</v>
      </c>
      <c r="B115" s="510"/>
      <c r="C115" s="510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499" t="s">
        <v>98</v>
      </c>
      <c r="B117" s="499"/>
      <c r="C117" s="499"/>
      <c r="D117" s="499"/>
      <c r="E117" s="499"/>
      <c r="F117" s="499"/>
      <c r="G117" s="499"/>
      <c r="H117" s="499"/>
      <c r="I117" s="499"/>
      <c r="J117" s="499"/>
      <c r="K117" s="499"/>
      <c r="L117" s="499"/>
      <c r="M117" s="499"/>
      <c r="N117" s="499"/>
      <c r="O117" s="499"/>
      <c r="P117" s="499"/>
      <c r="Q117" s="499"/>
      <c r="R117" s="499"/>
      <c r="S117" s="499"/>
      <c r="T117" s="499"/>
      <c r="U117" s="499"/>
      <c r="V117" s="499"/>
      <c r="W117" s="499"/>
      <c r="X117" s="499"/>
      <c r="Y117" s="499"/>
      <c r="Z117" s="499"/>
      <c r="AA117" s="499"/>
      <c r="AB117" s="499"/>
      <c r="AC117" s="499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00" t="s">
        <v>75</v>
      </c>
      <c r="B119" s="501"/>
      <c r="C119" s="502"/>
      <c r="D119" s="49"/>
      <c r="E119" s="49"/>
      <c r="F119" s="506" t="s">
        <v>76</v>
      </c>
      <c r="G119" s="506"/>
      <c r="H119" s="506"/>
      <c r="I119" s="506"/>
      <c r="J119" s="506"/>
      <c r="K119" s="506"/>
      <c r="L119" s="506"/>
      <c r="M119" s="506"/>
      <c r="N119" s="506"/>
      <c r="O119" s="506"/>
      <c r="P119" s="506"/>
      <c r="Q119" s="506"/>
      <c r="R119" s="506"/>
      <c r="S119" s="506"/>
      <c r="T119" s="506"/>
      <c r="U119" s="506"/>
      <c r="V119" s="506"/>
      <c r="W119" s="506"/>
      <c r="X119" s="506"/>
      <c r="Y119" s="506"/>
      <c r="Z119" s="506"/>
      <c r="AA119" s="506"/>
      <c r="AB119" s="506"/>
      <c r="AC119" s="506"/>
      <c r="AD119" s="5"/>
      <c r="AE119" s="5"/>
      <c r="AF119" s="5"/>
      <c r="AG119" s="5"/>
      <c r="AH119" s="5"/>
    </row>
    <row r="120" spans="1:124" ht="15.6" hidden="1" customHeight="1">
      <c r="A120" s="503"/>
      <c r="B120" s="504"/>
      <c r="C120" s="505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07" t="s">
        <v>27</v>
      </c>
      <c r="B121" s="508"/>
      <c r="C121" s="509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07" t="s">
        <v>78</v>
      </c>
      <c r="B122" s="508"/>
      <c r="C122" s="509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07" t="s">
        <v>29</v>
      </c>
      <c r="B123" s="508"/>
      <c r="C123" s="509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07" t="s">
        <v>32</v>
      </c>
      <c r="B124" s="508"/>
      <c r="C124" s="509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07" t="s">
        <v>33</v>
      </c>
      <c r="B125" s="508"/>
      <c r="C125" s="509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07" t="s">
        <v>55</v>
      </c>
      <c r="B126" s="508"/>
      <c r="C126" s="509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07" t="s">
        <v>59</v>
      </c>
      <c r="B127" s="508"/>
      <c r="C127" s="509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07" t="s">
        <v>69</v>
      </c>
      <c r="B128" s="508"/>
      <c r="C128" s="509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496" t="s">
        <v>99</v>
      </c>
      <c r="B129" s="497"/>
      <c r="C129" s="498"/>
      <c r="D129" s="51"/>
      <c r="E129" s="51"/>
      <c r="F129" s="44">
        <f>SUM(F121:F128)</f>
        <v>0</v>
      </c>
      <c r="G129" s="44">
        <f t="shared" ref="G129:AB129" si="44">SUM(G121:G128)</f>
        <v>0</v>
      </c>
      <c r="H129" s="44">
        <f t="shared" si="44"/>
        <v>0</v>
      </c>
      <c r="I129" s="44">
        <f t="shared" si="44"/>
        <v>0</v>
      </c>
      <c r="J129" s="44">
        <f t="shared" si="44"/>
        <v>0</v>
      </c>
      <c r="K129" s="44">
        <f t="shared" si="44"/>
        <v>0</v>
      </c>
      <c r="L129" s="44">
        <f t="shared" si="44"/>
        <v>0</v>
      </c>
      <c r="M129" s="44">
        <f t="shared" si="44"/>
        <v>0</v>
      </c>
      <c r="N129" s="44">
        <f t="shared" si="44"/>
        <v>0</v>
      </c>
      <c r="O129" s="44">
        <f t="shared" si="44"/>
        <v>0</v>
      </c>
      <c r="P129" s="44">
        <f t="shared" si="44"/>
        <v>0</v>
      </c>
      <c r="Q129" s="44">
        <f t="shared" si="44"/>
        <v>0</v>
      </c>
      <c r="R129" s="44">
        <f t="shared" si="44"/>
        <v>0</v>
      </c>
      <c r="S129" s="44">
        <f t="shared" si="44"/>
        <v>0</v>
      </c>
      <c r="T129" s="44">
        <f t="shared" si="44"/>
        <v>0</v>
      </c>
      <c r="U129" s="44">
        <f t="shared" si="44"/>
        <v>0</v>
      </c>
      <c r="V129" s="44">
        <f t="shared" si="44"/>
        <v>0</v>
      </c>
      <c r="W129" s="44">
        <f t="shared" si="44"/>
        <v>0</v>
      </c>
      <c r="X129" s="44">
        <f t="shared" si="44"/>
        <v>0</v>
      </c>
      <c r="Y129" s="44">
        <f t="shared" si="44"/>
        <v>0</v>
      </c>
      <c r="Z129" s="44">
        <f t="shared" si="44"/>
        <v>0</v>
      </c>
      <c r="AA129" s="44">
        <f t="shared" si="44"/>
        <v>0</v>
      </c>
      <c r="AB129" s="44">
        <f t="shared" si="44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4247" priority="604" operator="greaterThan">
      <formula>60.3</formula>
    </cfRule>
  </conditionalFormatting>
  <conditionalFormatting sqref="F111">
    <cfRule type="cellIs" dxfId="4246" priority="603" operator="greaterThan">
      <formula>60.3</formula>
    </cfRule>
  </conditionalFormatting>
  <conditionalFormatting sqref="G67:AC75 G78:AC79">
    <cfRule type="cellIs" dxfId="4245" priority="535" operator="equal">
      <formula>"PMS"</formula>
    </cfRule>
    <cfRule type="containsText" dxfId="4244" priority="536" operator="containsText" text="CMS">
      <formula>NOT(ISERROR(SEARCH("CMS",G67)))</formula>
    </cfRule>
    <cfRule type="cellIs" dxfId="4243" priority="537" operator="equal">
      <formula>0</formula>
    </cfRule>
    <cfRule type="cellIs" dxfId="4242" priority="538" operator="greaterThan">
      <formula>0</formula>
    </cfRule>
    <cfRule type="cellIs" dxfId="4241" priority="539" operator="equal">
      <formula>"PMS"</formula>
    </cfRule>
    <cfRule type="containsText" dxfId="4240" priority="540" operator="containsText" text="CMS">
      <formula>NOT(ISERROR(SEARCH("CMS",G67)))</formula>
    </cfRule>
    <cfRule type="cellIs" dxfId="4239" priority="541" operator="equal">
      <formula>0</formula>
    </cfRule>
    <cfRule type="cellIs" dxfId="4238" priority="542" operator="greaterThan">
      <formula>0</formula>
    </cfRule>
  </conditionalFormatting>
  <conditionalFormatting sqref="G67:AC75 G78:AC79">
    <cfRule type="cellIs" dxfId="4237" priority="531" operator="equal">
      <formula>"PMS"</formula>
    </cfRule>
    <cfRule type="containsText" dxfId="4236" priority="532" operator="containsText" text="CMS">
      <formula>NOT(ISERROR(SEARCH("CMS",G67)))</formula>
    </cfRule>
    <cfRule type="cellIs" dxfId="4235" priority="533" operator="equal">
      <formula>0</formula>
    </cfRule>
    <cfRule type="cellIs" dxfId="4234" priority="534" operator="greaterThan">
      <formula>0</formula>
    </cfRule>
  </conditionalFormatting>
  <conditionalFormatting sqref="G82:AC82">
    <cfRule type="cellIs" dxfId="4233" priority="523" operator="equal">
      <formula>"PMS"</formula>
    </cfRule>
    <cfRule type="containsText" dxfId="4232" priority="524" operator="containsText" text="CMS">
      <formula>NOT(ISERROR(SEARCH("CMS",G82)))</formula>
    </cfRule>
    <cfRule type="cellIs" dxfId="4231" priority="525" operator="equal">
      <formula>0</formula>
    </cfRule>
    <cfRule type="cellIs" dxfId="4230" priority="526" operator="greaterThan">
      <formula>0</formula>
    </cfRule>
    <cfRule type="cellIs" dxfId="4229" priority="527" operator="equal">
      <formula>"PMS"</formula>
    </cfRule>
    <cfRule type="containsText" dxfId="4228" priority="528" operator="containsText" text="CMS">
      <formula>NOT(ISERROR(SEARCH("CMS",G82)))</formula>
    </cfRule>
    <cfRule type="cellIs" dxfId="4227" priority="529" operator="equal">
      <formula>0</formula>
    </cfRule>
    <cfRule type="cellIs" dxfId="4226" priority="530" operator="greaterThan">
      <formula>0</formula>
    </cfRule>
  </conditionalFormatting>
  <conditionalFormatting sqref="G82:AC82">
    <cfRule type="cellIs" dxfId="4225" priority="519" operator="equal">
      <formula>"PMS"</formula>
    </cfRule>
    <cfRule type="containsText" dxfId="4224" priority="520" operator="containsText" text="CMS">
      <formula>NOT(ISERROR(SEARCH("CMS",G82)))</formula>
    </cfRule>
    <cfRule type="cellIs" dxfId="4223" priority="521" operator="equal">
      <formula>0</formula>
    </cfRule>
    <cfRule type="cellIs" dxfId="4222" priority="522" operator="greaterThan">
      <formula>0</formula>
    </cfRule>
  </conditionalFormatting>
  <conditionalFormatting sqref="E113:AC113 F112:N112">
    <cfRule type="cellIs" dxfId="4221" priority="338" operator="greaterThan">
      <formula>60.3</formula>
    </cfRule>
  </conditionalFormatting>
  <conditionalFormatting sqref="O112:AC112">
    <cfRule type="cellIs" dxfId="4220" priority="337" operator="greaterThan">
      <formula>60.3</formula>
    </cfRule>
  </conditionalFormatting>
  <conditionalFormatting sqref="G62:AC64">
    <cfRule type="cellIs" dxfId="4219" priority="245" operator="equal">
      <formula>"PMS"</formula>
    </cfRule>
    <cfRule type="containsText" dxfId="4218" priority="246" operator="containsText" text="CMS">
      <formula>NOT(ISERROR(SEARCH("CMS",G62)))</formula>
    </cfRule>
    <cfRule type="cellIs" dxfId="4217" priority="247" operator="equal">
      <formula>0</formula>
    </cfRule>
    <cfRule type="cellIs" dxfId="4216" priority="248" operator="greaterThan">
      <formula>0</formula>
    </cfRule>
    <cfRule type="cellIs" dxfId="4215" priority="249" operator="equal">
      <formula>"PMS"</formula>
    </cfRule>
    <cfRule type="containsText" dxfId="4214" priority="250" operator="containsText" text="CMS">
      <formula>NOT(ISERROR(SEARCH("CMS",G62)))</formula>
    </cfRule>
    <cfRule type="cellIs" dxfId="4213" priority="251" operator="equal">
      <formula>0</formula>
    </cfRule>
    <cfRule type="cellIs" dxfId="4212" priority="252" operator="greaterThan">
      <formula>0</formula>
    </cfRule>
  </conditionalFormatting>
  <conditionalFormatting sqref="G62:AC64">
    <cfRule type="cellIs" dxfId="4211" priority="241" operator="equal">
      <formula>"PMS"</formula>
    </cfRule>
    <cfRule type="containsText" dxfId="4210" priority="242" operator="containsText" text="CMS">
      <formula>NOT(ISERROR(SEARCH("CMS",G62)))</formula>
    </cfRule>
    <cfRule type="cellIs" dxfId="4209" priority="243" operator="equal">
      <formula>0</formula>
    </cfRule>
    <cfRule type="cellIs" dxfId="4208" priority="244" operator="greaterThan">
      <formula>0</formula>
    </cfRule>
  </conditionalFormatting>
  <conditionalFormatting sqref="G36:AC59">
    <cfRule type="cellIs" dxfId="4207" priority="221" operator="equal">
      <formula>"PMS"</formula>
    </cfRule>
    <cfRule type="containsText" dxfId="4206" priority="222" operator="containsText" text="CMS">
      <formula>NOT(ISERROR(SEARCH("CMS",G36)))</formula>
    </cfRule>
    <cfRule type="cellIs" dxfId="4205" priority="223" operator="equal">
      <formula>0</formula>
    </cfRule>
    <cfRule type="cellIs" dxfId="4204" priority="224" operator="greaterThan">
      <formula>0</formula>
    </cfRule>
    <cfRule type="cellIs" dxfId="4203" priority="225" operator="equal">
      <formula>"PMS"</formula>
    </cfRule>
    <cfRule type="containsText" dxfId="4202" priority="226" operator="containsText" text="CMS">
      <formula>NOT(ISERROR(SEARCH("CMS",G36)))</formula>
    </cfRule>
    <cfRule type="cellIs" dxfId="4201" priority="227" operator="equal">
      <formula>0</formula>
    </cfRule>
    <cfRule type="cellIs" dxfId="4200" priority="228" operator="greaterThan">
      <formula>0</formula>
    </cfRule>
  </conditionalFormatting>
  <conditionalFormatting sqref="G36:AC59">
    <cfRule type="cellIs" dxfId="4199" priority="217" operator="equal">
      <formula>"PMS"</formula>
    </cfRule>
    <cfRule type="containsText" dxfId="4198" priority="218" operator="containsText" text="CMS">
      <formula>NOT(ISERROR(SEARCH("CMS",G36)))</formula>
    </cfRule>
    <cfRule type="cellIs" dxfId="4197" priority="219" operator="equal">
      <formula>0</formula>
    </cfRule>
    <cfRule type="cellIs" dxfId="4196" priority="220" operator="greaterThan">
      <formula>0</formula>
    </cfRule>
  </conditionalFormatting>
  <conditionalFormatting sqref="G33:AC33">
    <cfRule type="cellIs" dxfId="4195" priority="197" operator="equal">
      <formula>"PMS"</formula>
    </cfRule>
    <cfRule type="containsText" dxfId="4194" priority="198" operator="containsText" text="CMS">
      <formula>NOT(ISERROR(SEARCH("CMS",G33)))</formula>
    </cfRule>
    <cfRule type="cellIs" dxfId="4193" priority="199" operator="equal">
      <formula>0</formula>
    </cfRule>
    <cfRule type="cellIs" dxfId="4192" priority="200" operator="greaterThan">
      <formula>0</formula>
    </cfRule>
    <cfRule type="cellIs" dxfId="4191" priority="201" operator="equal">
      <formula>"PMS"</formula>
    </cfRule>
    <cfRule type="containsText" dxfId="4190" priority="202" operator="containsText" text="CMS">
      <formula>NOT(ISERROR(SEARCH("CMS",G33)))</formula>
    </cfRule>
    <cfRule type="cellIs" dxfId="4189" priority="203" operator="equal">
      <formula>0</formula>
    </cfRule>
    <cfRule type="cellIs" dxfId="4188" priority="204" operator="greaterThan">
      <formula>0</formula>
    </cfRule>
  </conditionalFormatting>
  <conditionalFormatting sqref="G33:AC33">
    <cfRule type="cellIs" dxfId="4187" priority="193" operator="equal">
      <formula>"PMS"</formula>
    </cfRule>
    <cfRule type="containsText" dxfId="4186" priority="194" operator="containsText" text="CMS">
      <formula>NOT(ISERROR(SEARCH("CMS",G33)))</formula>
    </cfRule>
    <cfRule type="cellIs" dxfId="4185" priority="195" operator="equal">
      <formula>0</formula>
    </cfRule>
    <cfRule type="cellIs" dxfId="4184" priority="196" operator="greaterThan">
      <formula>0</formula>
    </cfRule>
  </conditionalFormatting>
  <conditionalFormatting sqref="G27:AC30">
    <cfRule type="cellIs" dxfId="4183" priority="173" operator="equal">
      <formula>"PMS"</formula>
    </cfRule>
    <cfRule type="containsText" dxfId="4182" priority="174" operator="containsText" text="CMS">
      <formula>NOT(ISERROR(SEARCH("CMS",G27)))</formula>
    </cfRule>
    <cfRule type="cellIs" dxfId="4181" priority="175" operator="equal">
      <formula>0</formula>
    </cfRule>
    <cfRule type="cellIs" dxfId="4180" priority="176" operator="greaterThan">
      <formula>0</formula>
    </cfRule>
    <cfRule type="cellIs" dxfId="4179" priority="177" operator="equal">
      <formula>"PMS"</formula>
    </cfRule>
    <cfRule type="containsText" dxfId="4178" priority="178" operator="containsText" text="CMS">
      <formula>NOT(ISERROR(SEARCH("CMS",G27)))</formula>
    </cfRule>
    <cfRule type="cellIs" dxfId="4177" priority="179" operator="equal">
      <formula>0</formula>
    </cfRule>
    <cfRule type="cellIs" dxfId="4176" priority="180" operator="greaterThan">
      <formula>0</formula>
    </cfRule>
  </conditionalFormatting>
  <conditionalFormatting sqref="G27:AC30">
    <cfRule type="cellIs" dxfId="4175" priority="169" operator="equal">
      <formula>"PMS"</formula>
    </cfRule>
    <cfRule type="containsText" dxfId="4174" priority="170" operator="containsText" text="CMS">
      <formula>NOT(ISERROR(SEARCH("CMS",G27)))</formula>
    </cfRule>
    <cfRule type="cellIs" dxfId="4173" priority="171" operator="equal">
      <formula>0</formula>
    </cfRule>
    <cfRule type="cellIs" dxfId="4172" priority="172" operator="greaterThan">
      <formula>0</formula>
    </cfRule>
  </conditionalFormatting>
  <conditionalFormatting sqref="G24:AC24">
    <cfRule type="cellIs" dxfId="4171" priority="149" operator="equal">
      <formula>"PMS"</formula>
    </cfRule>
    <cfRule type="containsText" dxfId="4170" priority="150" operator="containsText" text="CMS">
      <formula>NOT(ISERROR(SEARCH("CMS",G24)))</formula>
    </cfRule>
    <cfRule type="cellIs" dxfId="4169" priority="151" operator="equal">
      <formula>0</formula>
    </cfRule>
    <cfRule type="cellIs" dxfId="4168" priority="152" operator="greaterThan">
      <formula>0</formula>
    </cfRule>
    <cfRule type="cellIs" dxfId="4167" priority="153" operator="equal">
      <formula>"PMS"</formula>
    </cfRule>
    <cfRule type="containsText" dxfId="4166" priority="154" operator="containsText" text="CMS">
      <formula>NOT(ISERROR(SEARCH("CMS",G24)))</formula>
    </cfRule>
    <cfRule type="cellIs" dxfId="4165" priority="155" operator="equal">
      <formula>0</formula>
    </cfRule>
    <cfRule type="cellIs" dxfId="4164" priority="156" operator="greaterThan">
      <formula>0</formula>
    </cfRule>
  </conditionalFormatting>
  <conditionalFormatting sqref="G24:AC24">
    <cfRule type="cellIs" dxfId="4163" priority="145" operator="equal">
      <formula>"PMS"</formula>
    </cfRule>
    <cfRule type="containsText" dxfId="4162" priority="146" operator="containsText" text="CMS">
      <formula>NOT(ISERROR(SEARCH("CMS",G24)))</formula>
    </cfRule>
    <cfRule type="cellIs" dxfId="4161" priority="147" operator="equal">
      <formula>0</formula>
    </cfRule>
    <cfRule type="cellIs" dxfId="4160" priority="148" operator="greaterThan">
      <formula>0</formula>
    </cfRule>
  </conditionalFormatting>
  <conditionalFormatting sqref="G19:AC21">
    <cfRule type="cellIs" dxfId="4159" priority="125" operator="equal">
      <formula>"PMS"</formula>
    </cfRule>
    <cfRule type="containsText" dxfId="4158" priority="126" operator="containsText" text="CMS">
      <formula>NOT(ISERROR(SEARCH("CMS",G19)))</formula>
    </cfRule>
    <cfRule type="cellIs" dxfId="4157" priority="127" operator="equal">
      <formula>0</formula>
    </cfRule>
    <cfRule type="cellIs" dxfId="4156" priority="128" operator="greaterThan">
      <formula>0</formula>
    </cfRule>
    <cfRule type="cellIs" dxfId="4155" priority="129" operator="equal">
      <formula>"PMS"</formula>
    </cfRule>
    <cfRule type="containsText" dxfId="4154" priority="130" operator="containsText" text="CMS">
      <formula>NOT(ISERROR(SEARCH("CMS",G19)))</formula>
    </cfRule>
    <cfRule type="cellIs" dxfId="4153" priority="131" operator="equal">
      <formula>0</formula>
    </cfRule>
    <cfRule type="cellIs" dxfId="4152" priority="132" operator="greaterThan">
      <formula>0</formula>
    </cfRule>
  </conditionalFormatting>
  <conditionalFormatting sqref="G19:AC21">
    <cfRule type="cellIs" dxfId="4151" priority="121" operator="equal">
      <formula>"PMS"</formula>
    </cfRule>
    <cfRule type="containsText" dxfId="4150" priority="122" operator="containsText" text="CMS">
      <formula>NOT(ISERROR(SEARCH("CMS",G19)))</formula>
    </cfRule>
    <cfRule type="cellIs" dxfId="4149" priority="123" operator="equal">
      <formula>0</formula>
    </cfRule>
    <cfRule type="cellIs" dxfId="4148" priority="124" operator="greaterThan">
      <formula>0</formula>
    </cfRule>
  </conditionalFormatting>
  <conditionalFormatting sqref="G13:AC16">
    <cfRule type="cellIs" dxfId="4147" priority="101" operator="equal">
      <formula>"PMS"</formula>
    </cfRule>
    <cfRule type="containsText" dxfId="4146" priority="102" operator="containsText" text="CMS">
      <formula>NOT(ISERROR(SEARCH("CMS",G13)))</formula>
    </cfRule>
    <cfRule type="cellIs" dxfId="4145" priority="103" operator="equal">
      <formula>0</formula>
    </cfRule>
    <cfRule type="cellIs" dxfId="4144" priority="104" operator="greaterThan">
      <formula>0</formula>
    </cfRule>
    <cfRule type="cellIs" dxfId="4143" priority="105" operator="equal">
      <formula>"PMS"</formula>
    </cfRule>
    <cfRule type="containsText" dxfId="4142" priority="106" operator="containsText" text="CMS">
      <formula>NOT(ISERROR(SEARCH("CMS",G13)))</formula>
    </cfRule>
    <cfRule type="cellIs" dxfId="4141" priority="107" operator="equal">
      <formula>0</formula>
    </cfRule>
    <cfRule type="cellIs" dxfId="4140" priority="108" operator="greaterThan">
      <formula>0</formula>
    </cfRule>
  </conditionalFormatting>
  <conditionalFormatting sqref="G13:AC16">
    <cfRule type="cellIs" dxfId="4139" priority="97" operator="equal">
      <formula>"PMS"</formula>
    </cfRule>
    <cfRule type="containsText" dxfId="4138" priority="98" operator="containsText" text="CMS">
      <formula>NOT(ISERROR(SEARCH("CMS",G13)))</formula>
    </cfRule>
    <cfRule type="cellIs" dxfId="4137" priority="99" operator="equal">
      <formula>0</formula>
    </cfRule>
    <cfRule type="cellIs" dxfId="4136" priority="100" operator="greaterThan">
      <formula>0</formula>
    </cfRule>
  </conditionalFormatting>
  <conditionalFormatting sqref="F13:F16 F36:F59 F62:F64">
    <cfRule type="cellIs" dxfId="4135" priority="77" operator="equal">
      <formula>"PMS"</formula>
    </cfRule>
    <cfRule type="containsText" dxfId="4134" priority="78" operator="containsText" text="CMS">
      <formula>NOT(ISERROR(SEARCH("CMS",F13)))</formula>
    </cfRule>
    <cfRule type="cellIs" dxfId="4133" priority="79" operator="equal">
      <formula>0</formula>
    </cfRule>
    <cfRule type="cellIs" dxfId="4132" priority="80" operator="greaterThan">
      <formula>0</formula>
    </cfRule>
    <cfRule type="cellIs" dxfId="4131" priority="81" operator="equal">
      <formula>"PMS"</formula>
    </cfRule>
    <cfRule type="containsText" dxfId="4130" priority="82" operator="containsText" text="CMS">
      <formula>NOT(ISERROR(SEARCH("CMS",F13)))</formula>
    </cfRule>
    <cfRule type="cellIs" dxfId="4129" priority="83" operator="equal">
      <formula>0</formula>
    </cfRule>
    <cfRule type="cellIs" dxfId="4128" priority="84" operator="greaterThan">
      <formula>0</formula>
    </cfRule>
  </conditionalFormatting>
  <conditionalFormatting sqref="F13:F16 F36:F59 F62:F64">
    <cfRule type="cellIs" dxfId="4127" priority="73" operator="equal">
      <formula>"PMS"</formula>
    </cfRule>
    <cfRule type="containsText" dxfId="4126" priority="74" operator="containsText" text="CMS">
      <formula>NOT(ISERROR(SEARCH("CMS",F13)))</formula>
    </cfRule>
    <cfRule type="cellIs" dxfId="4125" priority="75" operator="equal">
      <formula>0</formula>
    </cfRule>
    <cfRule type="cellIs" dxfId="4124" priority="76" operator="greaterThan">
      <formula>0</formula>
    </cfRule>
  </conditionalFormatting>
  <conditionalFormatting sqref="F19:F21">
    <cfRule type="cellIs" dxfId="4123" priority="65" operator="equal">
      <formula>"PMS"</formula>
    </cfRule>
    <cfRule type="containsText" dxfId="4122" priority="66" operator="containsText" text="CMS">
      <formula>NOT(ISERROR(SEARCH("CMS",F19)))</formula>
    </cfRule>
    <cfRule type="cellIs" dxfId="4121" priority="67" operator="equal">
      <formula>0</formula>
    </cfRule>
    <cfRule type="cellIs" dxfId="4120" priority="68" operator="greaterThan">
      <formula>0</formula>
    </cfRule>
    <cfRule type="cellIs" dxfId="4119" priority="69" operator="equal">
      <formula>"PMS"</formula>
    </cfRule>
    <cfRule type="containsText" dxfId="4118" priority="70" operator="containsText" text="CMS">
      <formula>NOT(ISERROR(SEARCH("CMS",F19)))</formula>
    </cfRule>
    <cfRule type="cellIs" dxfId="4117" priority="71" operator="equal">
      <formula>0</formula>
    </cfRule>
    <cfRule type="cellIs" dxfId="4116" priority="72" operator="greaterThan">
      <formula>0</formula>
    </cfRule>
  </conditionalFormatting>
  <conditionalFormatting sqref="F19:F21">
    <cfRule type="cellIs" dxfId="4115" priority="61" operator="equal">
      <formula>"PMS"</formula>
    </cfRule>
    <cfRule type="containsText" dxfId="4114" priority="62" operator="containsText" text="CMS">
      <formula>NOT(ISERROR(SEARCH("CMS",F19)))</formula>
    </cfRule>
    <cfRule type="cellIs" dxfId="4113" priority="63" operator="equal">
      <formula>0</formula>
    </cfRule>
    <cfRule type="cellIs" dxfId="4112" priority="64" operator="greaterThan">
      <formula>0</formula>
    </cfRule>
  </conditionalFormatting>
  <conditionalFormatting sqref="F24">
    <cfRule type="cellIs" dxfId="4111" priority="53" operator="equal">
      <formula>"PMS"</formula>
    </cfRule>
    <cfRule type="containsText" dxfId="4110" priority="54" operator="containsText" text="CMS">
      <formula>NOT(ISERROR(SEARCH("CMS",F24)))</formula>
    </cfRule>
    <cfRule type="cellIs" dxfId="4109" priority="55" operator="equal">
      <formula>0</formula>
    </cfRule>
    <cfRule type="cellIs" dxfId="4108" priority="56" operator="greaterThan">
      <formula>0</formula>
    </cfRule>
    <cfRule type="cellIs" dxfId="4107" priority="57" operator="equal">
      <formula>"PMS"</formula>
    </cfRule>
    <cfRule type="containsText" dxfId="4106" priority="58" operator="containsText" text="CMS">
      <formula>NOT(ISERROR(SEARCH("CMS",F24)))</formula>
    </cfRule>
    <cfRule type="cellIs" dxfId="4105" priority="59" operator="equal">
      <formula>0</formula>
    </cfRule>
    <cfRule type="cellIs" dxfId="4104" priority="60" operator="greaterThan">
      <formula>0</formula>
    </cfRule>
  </conditionalFormatting>
  <conditionalFormatting sqref="F24">
    <cfRule type="cellIs" dxfId="4103" priority="49" operator="equal">
      <formula>"PMS"</formula>
    </cfRule>
    <cfRule type="containsText" dxfId="4102" priority="50" operator="containsText" text="CMS">
      <formula>NOT(ISERROR(SEARCH("CMS",F24)))</formula>
    </cfRule>
    <cfRule type="cellIs" dxfId="4101" priority="51" operator="equal">
      <formula>0</formula>
    </cfRule>
    <cfRule type="cellIs" dxfId="4100" priority="52" operator="greaterThan">
      <formula>0</formula>
    </cfRule>
  </conditionalFormatting>
  <conditionalFormatting sqref="F27:F30">
    <cfRule type="cellIs" dxfId="4099" priority="41" operator="equal">
      <formula>"PMS"</formula>
    </cfRule>
    <cfRule type="containsText" dxfId="4098" priority="42" operator="containsText" text="CMS">
      <formula>NOT(ISERROR(SEARCH("CMS",F27)))</formula>
    </cfRule>
    <cfRule type="cellIs" dxfId="4097" priority="43" operator="equal">
      <formula>0</formula>
    </cfRule>
    <cfRule type="cellIs" dxfId="4096" priority="44" operator="greaterThan">
      <formula>0</formula>
    </cfRule>
    <cfRule type="cellIs" dxfId="4095" priority="45" operator="equal">
      <formula>"PMS"</formula>
    </cfRule>
    <cfRule type="containsText" dxfId="4094" priority="46" operator="containsText" text="CMS">
      <formula>NOT(ISERROR(SEARCH("CMS",F27)))</formula>
    </cfRule>
    <cfRule type="cellIs" dxfId="4093" priority="47" operator="equal">
      <formula>0</formula>
    </cfRule>
    <cfRule type="cellIs" dxfId="4092" priority="48" operator="greaterThan">
      <formula>0</formula>
    </cfRule>
  </conditionalFormatting>
  <conditionalFormatting sqref="F27:F30">
    <cfRule type="cellIs" dxfId="4091" priority="37" operator="equal">
      <formula>"PMS"</formula>
    </cfRule>
    <cfRule type="containsText" dxfId="4090" priority="38" operator="containsText" text="CMS">
      <formula>NOT(ISERROR(SEARCH("CMS",F27)))</formula>
    </cfRule>
    <cfRule type="cellIs" dxfId="4089" priority="39" operator="equal">
      <formula>0</formula>
    </cfRule>
    <cfRule type="cellIs" dxfId="4088" priority="40" operator="greaterThan">
      <formula>0</formula>
    </cfRule>
  </conditionalFormatting>
  <conditionalFormatting sqref="F33">
    <cfRule type="cellIs" dxfId="4087" priority="29" operator="equal">
      <formula>"PMS"</formula>
    </cfRule>
    <cfRule type="containsText" dxfId="4086" priority="30" operator="containsText" text="CMS">
      <formula>NOT(ISERROR(SEARCH("CMS",F33)))</formula>
    </cfRule>
    <cfRule type="cellIs" dxfId="4085" priority="31" operator="equal">
      <formula>0</formula>
    </cfRule>
    <cfRule type="cellIs" dxfId="4084" priority="32" operator="greaterThan">
      <formula>0</formula>
    </cfRule>
    <cfRule type="cellIs" dxfId="4083" priority="33" operator="equal">
      <formula>"PMS"</formula>
    </cfRule>
    <cfRule type="containsText" dxfId="4082" priority="34" operator="containsText" text="CMS">
      <formula>NOT(ISERROR(SEARCH("CMS",F33)))</formula>
    </cfRule>
    <cfRule type="cellIs" dxfId="4081" priority="35" operator="equal">
      <formula>0</formula>
    </cfRule>
    <cfRule type="cellIs" dxfId="4080" priority="36" operator="greaterThan">
      <formula>0</formula>
    </cfRule>
  </conditionalFormatting>
  <conditionalFormatting sqref="F33">
    <cfRule type="cellIs" dxfId="4079" priority="25" operator="equal">
      <formula>"PMS"</formula>
    </cfRule>
    <cfRule type="containsText" dxfId="4078" priority="26" operator="containsText" text="CMS">
      <formula>NOT(ISERROR(SEARCH("CMS",F33)))</formula>
    </cfRule>
    <cfRule type="cellIs" dxfId="4077" priority="27" operator="equal">
      <formula>0</formula>
    </cfRule>
    <cfRule type="cellIs" dxfId="4076" priority="28" operator="greaterThan">
      <formula>0</formula>
    </cfRule>
  </conditionalFormatting>
  <conditionalFormatting sqref="F67:F75 F78:F79">
    <cfRule type="cellIs" dxfId="4075" priority="17" operator="equal">
      <formula>"PMS"</formula>
    </cfRule>
    <cfRule type="containsText" dxfId="4074" priority="18" operator="containsText" text="CMS">
      <formula>NOT(ISERROR(SEARCH("CMS",F67)))</formula>
    </cfRule>
    <cfRule type="cellIs" dxfId="4073" priority="19" operator="equal">
      <formula>0</formula>
    </cfRule>
    <cfRule type="cellIs" dxfId="4072" priority="20" operator="greaterThan">
      <formula>0</formula>
    </cfRule>
    <cfRule type="cellIs" dxfId="4071" priority="21" operator="equal">
      <formula>"PMS"</formula>
    </cfRule>
    <cfRule type="containsText" dxfId="4070" priority="22" operator="containsText" text="CMS">
      <formula>NOT(ISERROR(SEARCH("CMS",F67)))</formula>
    </cfRule>
    <cfRule type="cellIs" dxfId="4069" priority="23" operator="equal">
      <formula>0</formula>
    </cfRule>
    <cfRule type="cellIs" dxfId="4068" priority="24" operator="greaterThan">
      <formula>0</formula>
    </cfRule>
  </conditionalFormatting>
  <conditionalFormatting sqref="F67:F75 F78:F79">
    <cfRule type="cellIs" dxfId="4067" priority="13" operator="equal">
      <formula>"PMS"</formula>
    </cfRule>
    <cfRule type="containsText" dxfId="4066" priority="14" operator="containsText" text="CMS">
      <formula>NOT(ISERROR(SEARCH("CMS",F67)))</formula>
    </cfRule>
    <cfRule type="cellIs" dxfId="4065" priority="15" operator="equal">
      <formula>0</formula>
    </cfRule>
    <cfRule type="cellIs" dxfId="4064" priority="16" operator="greaterThan">
      <formula>0</formula>
    </cfRule>
  </conditionalFormatting>
  <conditionalFormatting sqref="F82">
    <cfRule type="cellIs" dxfId="4063" priority="5" operator="equal">
      <formula>"PMS"</formula>
    </cfRule>
    <cfRule type="containsText" dxfId="4062" priority="6" operator="containsText" text="CMS">
      <formula>NOT(ISERROR(SEARCH("CMS",F82)))</formula>
    </cfRule>
    <cfRule type="cellIs" dxfId="4061" priority="7" operator="equal">
      <formula>0</formula>
    </cfRule>
    <cfRule type="cellIs" dxfId="4060" priority="8" operator="greaterThan">
      <formula>0</formula>
    </cfRule>
    <cfRule type="cellIs" dxfId="4059" priority="9" operator="equal">
      <formula>"PMS"</formula>
    </cfRule>
    <cfRule type="containsText" dxfId="4058" priority="10" operator="containsText" text="CMS">
      <formula>NOT(ISERROR(SEARCH("CMS",F82)))</formula>
    </cfRule>
    <cfRule type="cellIs" dxfId="4057" priority="11" operator="equal">
      <formula>0</formula>
    </cfRule>
    <cfRule type="cellIs" dxfId="4056" priority="12" operator="greaterThan">
      <formula>0</formula>
    </cfRule>
  </conditionalFormatting>
  <conditionalFormatting sqref="F82">
    <cfRule type="cellIs" dxfId="4055" priority="1" operator="equal">
      <formula>"PMS"</formula>
    </cfRule>
    <cfRule type="containsText" dxfId="4054" priority="2" operator="containsText" text="CMS">
      <formula>NOT(ISERROR(SEARCH("CMS",F82)))</formula>
    </cfRule>
    <cfRule type="cellIs" dxfId="4053" priority="3" operator="equal">
      <formula>0</formula>
    </cfRule>
    <cfRule type="cellIs" dxfId="4052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7353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2DF15-5CBB-4458-ADAC-E1328A2178EF}">
  <sheetPr codeName="Sheet174"/>
  <dimension ref="A2:DT141"/>
  <sheetViews>
    <sheetView zoomScale="70" zoomScaleNormal="70" zoomScaleSheetLayoutView="51" zoomScalePageLayoutView="55" workbookViewId="0">
      <pane xSplit="5" ySplit="11" topLeftCell="F54" activePane="bottomRight" state="frozen"/>
      <selection pane="bottomRight" activeCell="W83" sqref="W83"/>
      <selection pane="bottomLeft" activeCell="AJ44" sqref="AJ44"/>
      <selection pane="topRight" activeCell="AJ44" sqref="AJ4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23"/>
      <c r="N8" s="523"/>
      <c r="O8" s="52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24" t="e" cm="1">
        <f t="array" aca="1" ref="M9" ca="1">TEXT(TODAY(),"mmmm")&amp;" "&amp;MID(CELL("filename",A1),FIND("]",CELL("filename",A1))+1,255)&amp;", "&amp;TEXT(TODAY(),"yyyy")</f>
        <v>#VALUE!</v>
      </c>
      <c r="N9" s="524"/>
      <c r="O9" s="524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4"/>
      <c r="R10" s="344"/>
      <c r="S10" s="344"/>
      <c r="T10" s="344"/>
      <c r="U10" s="344"/>
      <c r="V10" s="344"/>
      <c r="W10" s="344"/>
      <c r="X10" s="344"/>
      <c r="Y10" s="344"/>
      <c r="Z10" s="344"/>
      <c r="AA10" s="344"/>
      <c r="AB10" s="344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17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367.50000000000006</v>
      </c>
    </row>
    <row r="13" spans="1:41">
      <c r="A13" s="14" t="s">
        <v>22</v>
      </c>
      <c r="B13" s="15"/>
      <c r="C13" s="15">
        <v>7.2</v>
      </c>
      <c r="D13" s="15"/>
      <c r="E13" s="15"/>
      <c r="F13" s="372">
        <v>6.6</v>
      </c>
      <c r="G13" s="372">
        <v>6.6</v>
      </c>
      <c r="H13" s="372">
        <v>6.6</v>
      </c>
      <c r="I13" s="372">
        <v>6.5</v>
      </c>
      <c r="J13" s="372">
        <v>6.7</v>
      </c>
      <c r="K13" s="374">
        <v>6.5</v>
      </c>
      <c r="L13" s="374">
        <v>6.6</v>
      </c>
      <c r="M13" s="374">
        <v>6.7</v>
      </c>
      <c r="N13" s="372">
        <v>6.8</v>
      </c>
      <c r="O13" s="372">
        <v>6.7</v>
      </c>
      <c r="P13" s="372">
        <v>6.9</v>
      </c>
      <c r="Q13" s="372">
        <v>6.6</v>
      </c>
      <c r="R13" s="372">
        <v>6.8</v>
      </c>
      <c r="S13" s="372">
        <v>6.6</v>
      </c>
      <c r="T13" s="372">
        <v>6.8</v>
      </c>
      <c r="U13" s="372">
        <v>6.7</v>
      </c>
      <c r="V13" s="372">
        <v>6.6</v>
      </c>
      <c r="W13" s="372">
        <v>6.6</v>
      </c>
      <c r="X13" s="372">
        <v>6.8</v>
      </c>
      <c r="Y13" s="372">
        <v>6.9</v>
      </c>
      <c r="Z13" s="372">
        <v>6.8</v>
      </c>
      <c r="AA13" s="372">
        <v>6.8</v>
      </c>
      <c r="AB13" s="372">
        <v>6.6</v>
      </c>
      <c r="AC13" s="372">
        <v>6.5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1">
      <c r="A14" s="14" t="s">
        <v>23</v>
      </c>
      <c r="B14" s="15"/>
      <c r="C14" s="15">
        <v>7.2</v>
      </c>
      <c r="D14" s="15"/>
      <c r="E14" s="15"/>
      <c r="F14" s="372">
        <v>6.6</v>
      </c>
      <c r="G14" s="372">
        <v>6.6</v>
      </c>
      <c r="H14" s="372">
        <v>6.6</v>
      </c>
      <c r="I14" s="372">
        <v>6.5</v>
      </c>
      <c r="J14" s="372">
        <v>6.7</v>
      </c>
      <c r="K14" s="374">
        <v>6.5</v>
      </c>
      <c r="L14" s="374">
        <v>6.6</v>
      </c>
      <c r="M14" s="374">
        <v>6.7</v>
      </c>
      <c r="N14" s="372">
        <v>6.8</v>
      </c>
      <c r="O14" s="372">
        <v>6.7</v>
      </c>
      <c r="P14" s="372">
        <v>6.9</v>
      </c>
      <c r="Q14" s="372">
        <v>6.8</v>
      </c>
      <c r="R14" s="372">
        <v>6.8</v>
      </c>
      <c r="S14" s="372">
        <v>6.6</v>
      </c>
      <c r="T14" s="372">
        <v>6.8</v>
      </c>
      <c r="U14" s="372">
        <v>6.7</v>
      </c>
      <c r="V14" s="372">
        <v>6.5</v>
      </c>
      <c r="W14" s="372">
        <v>6.6</v>
      </c>
      <c r="X14" s="372">
        <v>6.8</v>
      </c>
      <c r="Y14" s="372">
        <v>6.9</v>
      </c>
      <c r="Z14" s="372">
        <v>6.8</v>
      </c>
      <c r="AA14" s="372">
        <v>6.8</v>
      </c>
      <c r="AB14" s="372">
        <v>6.6</v>
      </c>
      <c r="AC14" s="372">
        <v>6.5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372">
        <v>6.6</v>
      </c>
      <c r="G15" s="372">
        <v>6.6</v>
      </c>
      <c r="H15" s="372">
        <v>0</v>
      </c>
      <c r="I15" s="372">
        <v>0</v>
      </c>
      <c r="J15" s="372">
        <v>0</v>
      </c>
      <c r="K15" s="374">
        <v>0</v>
      </c>
      <c r="L15" s="374">
        <v>0</v>
      </c>
      <c r="M15" s="374">
        <v>0</v>
      </c>
      <c r="N15" s="372">
        <v>0</v>
      </c>
      <c r="O15" s="372">
        <v>0</v>
      </c>
      <c r="P15" s="372">
        <v>0</v>
      </c>
      <c r="Q15" s="372">
        <v>0</v>
      </c>
      <c r="R15" s="372">
        <v>0</v>
      </c>
      <c r="S15" s="372">
        <v>0</v>
      </c>
      <c r="T15" s="372">
        <v>0</v>
      </c>
      <c r="U15" s="372">
        <v>0</v>
      </c>
      <c r="V15" s="372">
        <v>0</v>
      </c>
      <c r="W15" s="372">
        <v>0</v>
      </c>
      <c r="X15" s="372">
        <v>0</v>
      </c>
      <c r="Y15" s="372">
        <v>6.9</v>
      </c>
      <c r="Z15" s="372">
        <v>6.8</v>
      </c>
      <c r="AA15" s="372">
        <v>6.8</v>
      </c>
      <c r="AB15" s="372">
        <v>6.6</v>
      </c>
      <c r="AC15" s="372">
        <v>6.5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372"/>
      <c r="G16" s="372"/>
      <c r="H16" s="372"/>
      <c r="I16" s="372"/>
      <c r="J16" s="372"/>
      <c r="K16" s="374"/>
      <c r="L16" s="374"/>
      <c r="M16" s="374"/>
      <c r="N16" s="372"/>
      <c r="O16" s="372"/>
      <c r="P16" s="372"/>
      <c r="Q16" s="372"/>
      <c r="R16" s="372"/>
      <c r="S16" s="372"/>
      <c r="T16" s="372"/>
      <c r="U16" s="372"/>
      <c r="V16" s="372"/>
      <c r="W16" s="372"/>
      <c r="X16" s="372"/>
      <c r="Y16" s="372"/>
      <c r="Z16" s="372"/>
      <c r="AA16" s="372"/>
      <c r="AB16" s="372"/>
      <c r="AC16" s="372"/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0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19.799999999999997</v>
      </c>
      <c r="G17" s="19">
        <f t="shared" si="0"/>
        <v>19.799999999999997</v>
      </c>
      <c r="H17" s="19">
        <f>SUM(H13:H16)</f>
        <v>13.2</v>
      </c>
      <c r="I17" s="19">
        <f t="shared" si="0"/>
        <v>13</v>
      </c>
      <c r="J17" s="19">
        <f t="shared" si="0"/>
        <v>13.4</v>
      </c>
      <c r="K17" s="19">
        <f t="shared" si="0"/>
        <v>13</v>
      </c>
      <c r="L17" s="19">
        <f t="shared" si="0"/>
        <v>13.2</v>
      </c>
      <c r="M17" s="19">
        <f t="shared" si="0"/>
        <v>13.4</v>
      </c>
      <c r="N17" s="19">
        <f t="shared" si="0"/>
        <v>13.6</v>
      </c>
      <c r="O17" s="19">
        <f t="shared" si="0"/>
        <v>13.4</v>
      </c>
      <c r="P17" s="19">
        <f t="shared" si="0"/>
        <v>13.8</v>
      </c>
      <c r="Q17" s="19">
        <f t="shared" si="0"/>
        <v>13.399999999999999</v>
      </c>
      <c r="R17" s="19">
        <f t="shared" si="0"/>
        <v>13.6</v>
      </c>
      <c r="S17" s="19">
        <f t="shared" si="0"/>
        <v>13.2</v>
      </c>
      <c r="T17" s="19">
        <f t="shared" si="0"/>
        <v>13.6</v>
      </c>
      <c r="U17" s="19">
        <f t="shared" si="0"/>
        <v>13.4</v>
      </c>
      <c r="V17" s="19">
        <f t="shared" si="0"/>
        <v>13.1</v>
      </c>
      <c r="W17" s="19">
        <f t="shared" si="0"/>
        <v>13.2</v>
      </c>
      <c r="X17" s="19">
        <f t="shared" si="0"/>
        <v>13.6</v>
      </c>
      <c r="Y17" s="19">
        <f t="shared" si="0"/>
        <v>20.700000000000003</v>
      </c>
      <c r="Z17" s="19">
        <f t="shared" si="0"/>
        <v>20.399999999999999</v>
      </c>
      <c r="AA17" s="19">
        <f t="shared" si="0"/>
        <v>20.399999999999999</v>
      </c>
      <c r="AB17" s="19">
        <f t="shared" si="0"/>
        <v>19.799999999999997</v>
      </c>
      <c r="AC17" s="19">
        <f t="shared" si="0"/>
        <v>19.5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57.199999999999996</v>
      </c>
    </row>
    <row r="19" spans="1:51">
      <c r="A19" s="14" t="s">
        <v>22</v>
      </c>
      <c r="B19" s="15"/>
      <c r="C19" s="15">
        <v>3</v>
      </c>
      <c r="D19" s="15"/>
      <c r="E19" s="15"/>
      <c r="F19" s="372"/>
      <c r="G19" s="372"/>
      <c r="H19" s="372"/>
      <c r="I19" s="372"/>
      <c r="J19" s="372"/>
      <c r="K19" s="374"/>
      <c r="L19" s="374"/>
      <c r="M19" s="374"/>
      <c r="N19" s="372"/>
      <c r="O19" s="372"/>
      <c r="P19" s="372"/>
      <c r="Q19" s="372"/>
      <c r="R19" s="372">
        <v>2.8</v>
      </c>
      <c r="S19" s="372">
        <v>2.8</v>
      </c>
      <c r="T19" s="372">
        <v>2.8</v>
      </c>
      <c r="U19" s="372">
        <v>2.8</v>
      </c>
      <c r="V19" s="372">
        <v>2.8</v>
      </c>
      <c r="W19" s="372">
        <v>2.8</v>
      </c>
      <c r="X19" s="372">
        <v>2.8</v>
      </c>
      <c r="Y19" s="372">
        <v>2.8</v>
      </c>
      <c r="Z19" s="372">
        <v>2.8</v>
      </c>
      <c r="AA19" s="372">
        <v>2.8</v>
      </c>
      <c r="AB19" s="372">
        <v>2.8</v>
      </c>
      <c r="AC19" s="372">
        <v>2.1</v>
      </c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12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372"/>
      <c r="G20" s="372"/>
      <c r="H20" s="372"/>
      <c r="I20" s="372"/>
      <c r="J20" s="372"/>
      <c r="K20" s="374"/>
      <c r="L20" s="374"/>
      <c r="M20" s="374"/>
      <c r="N20" s="372"/>
      <c r="O20" s="372"/>
      <c r="P20" s="372"/>
      <c r="Q20" s="372"/>
      <c r="R20" s="372"/>
      <c r="S20" s="372"/>
      <c r="T20" s="372"/>
      <c r="U20" s="372"/>
      <c r="V20" s="372"/>
      <c r="W20" s="372"/>
      <c r="X20" s="372"/>
      <c r="Y20" s="372"/>
      <c r="Z20" s="372"/>
      <c r="AA20" s="372"/>
      <c r="AB20" s="372"/>
      <c r="AC20" s="372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2">
        <v>3</v>
      </c>
      <c r="G21" s="372">
        <v>0</v>
      </c>
      <c r="H21" s="372">
        <v>0</v>
      </c>
      <c r="I21" s="372">
        <v>0</v>
      </c>
      <c r="J21" s="372">
        <v>0</v>
      </c>
      <c r="K21" s="374">
        <v>0</v>
      </c>
      <c r="L21" s="374">
        <v>0</v>
      </c>
      <c r="M21" s="374">
        <v>0</v>
      </c>
      <c r="N21" s="372">
        <v>0</v>
      </c>
      <c r="O21" s="372">
        <v>3</v>
      </c>
      <c r="P21" s="372">
        <v>3.8</v>
      </c>
      <c r="Q21" s="372">
        <v>3.8</v>
      </c>
      <c r="R21" s="372">
        <v>3.8</v>
      </c>
      <c r="S21" s="372">
        <v>3.9</v>
      </c>
      <c r="T21" s="372">
        <v>3</v>
      </c>
      <c r="U21" s="372" t="s">
        <v>9</v>
      </c>
      <c r="V21" s="372" t="s">
        <v>9</v>
      </c>
      <c r="W21" s="372" t="s">
        <v>9</v>
      </c>
      <c r="X21" s="372" t="s">
        <v>9</v>
      </c>
      <c r="Y21" s="372" t="s">
        <v>9</v>
      </c>
      <c r="Z21" s="372" t="s">
        <v>9</v>
      </c>
      <c r="AA21" s="372" t="s">
        <v>9</v>
      </c>
      <c r="AB21" s="372" t="s">
        <v>9</v>
      </c>
      <c r="AC21" s="372" t="s">
        <v>9</v>
      </c>
      <c r="AD21" s="41"/>
      <c r="AE21" s="41"/>
      <c r="AF21" s="11">
        <f>COUNTIF(F21:AC21,$AJ$8)</f>
        <v>9</v>
      </c>
      <c r="AG21" s="11">
        <f>COUNTIF(G21:AD21,$AJ$7)</f>
        <v>0</v>
      </c>
      <c r="AH21" s="11">
        <f>COUNT(F21:AC21)</f>
        <v>15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3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0</v>
      </c>
      <c r="O22" s="19">
        <f t="shared" si="1"/>
        <v>3</v>
      </c>
      <c r="P22" s="19">
        <f t="shared" si="1"/>
        <v>3.8</v>
      </c>
      <c r="Q22" s="19">
        <f t="shared" si="1"/>
        <v>3.8</v>
      </c>
      <c r="R22" s="19">
        <f t="shared" si="1"/>
        <v>6.6</v>
      </c>
      <c r="S22" s="19">
        <f>SUM(S19:S21)</f>
        <v>6.6999999999999993</v>
      </c>
      <c r="T22" s="19">
        <f t="shared" ref="T22" si="2">SUM(T19:T21)</f>
        <v>5.8</v>
      </c>
      <c r="U22" s="19">
        <f t="shared" si="1"/>
        <v>2.8</v>
      </c>
      <c r="V22" s="19">
        <f t="shared" si="1"/>
        <v>2.8</v>
      </c>
      <c r="W22" s="19">
        <f t="shared" si="1"/>
        <v>2.8</v>
      </c>
      <c r="X22" s="19">
        <f t="shared" si="1"/>
        <v>2.8</v>
      </c>
      <c r="Y22" s="19">
        <f t="shared" si="1"/>
        <v>2.8</v>
      </c>
      <c r="Z22" s="19">
        <f t="shared" si="1"/>
        <v>2.8</v>
      </c>
      <c r="AA22" s="19">
        <f t="shared" si="1"/>
        <v>2.8</v>
      </c>
      <c r="AB22" s="19">
        <f>SUM(AB19:AB21)</f>
        <v>2.8</v>
      </c>
      <c r="AC22" s="19">
        <f t="shared" si="1"/>
        <v>2.1</v>
      </c>
      <c r="AD22" s="41"/>
      <c r="AE22" s="41"/>
      <c r="AF22" s="11"/>
      <c r="AG22" s="11"/>
      <c r="AH22" s="11"/>
      <c r="AI22" s="400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409">
        <f>SUM(F24:AC24)</f>
        <v>33.6</v>
      </c>
    </row>
    <row r="24" spans="1:51">
      <c r="A24" s="14" t="s">
        <v>22</v>
      </c>
      <c r="B24" s="20"/>
      <c r="C24" s="15">
        <v>4.5</v>
      </c>
      <c r="D24" s="15"/>
      <c r="E24" s="15"/>
      <c r="F24" s="372">
        <v>0</v>
      </c>
      <c r="G24" s="372">
        <v>0</v>
      </c>
      <c r="H24" s="372">
        <v>0</v>
      </c>
      <c r="I24" s="372">
        <v>0</v>
      </c>
      <c r="J24" s="372">
        <v>0</v>
      </c>
      <c r="K24" s="374">
        <v>0</v>
      </c>
      <c r="L24" s="374">
        <v>0</v>
      </c>
      <c r="M24" s="374">
        <v>0</v>
      </c>
      <c r="N24" s="372">
        <v>0</v>
      </c>
      <c r="O24" s="372">
        <v>0</v>
      </c>
      <c r="P24" s="372">
        <v>0</v>
      </c>
      <c r="Q24" s="372">
        <v>0</v>
      </c>
      <c r="R24" s="372">
        <v>0</v>
      </c>
      <c r="S24" s="372">
        <v>0</v>
      </c>
      <c r="T24" s="372">
        <v>0</v>
      </c>
      <c r="U24" s="372">
        <v>3.8</v>
      </c>
      <c r="V24" s="372">
        <v>3.8</v>
      </c>
      <c r="W24" s="372">
        <v>3.8</v>
      </c>
      <c r="X24" s="372">
        <v>3.8</v>
      </c>
      <c r="Y24" s="372">
        <v>3.8</v>
      </c>
      <c r="Z24" s="372">
        <v>3.8</v>
      </c>
      <c r="AA24" s="372">
        <v>3.8</v>
      </c>
      <c r="AB24" s="372">
        <v>3.8</v>
      </c>
      <c r="AC24" s="372">
        <v>3.2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:AC25" si="3">SUM(F24)</f>
        <v>0</v>
      </c>
      <c r="G25" s="19">
        <f t="shared" si="3"/>
        <v>0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0</v>
      </c>
      <c r="M25" s="19">
        <f t="shared" si="3"/>
        <v>0</v>
      </c>
      <c r="N25" s="19">
        <f t="shared" si="3"/>
        <v>0</v>
      </c>
      <c r="O25" s="19">
        <f t="shared" si="3"/>
        <v>0</v>
      </c>
      <c r="P25" s="19">
        <f t="shared" si="3"/>
        <v>0</v>
      </c>
      <c r="Q25" s="19">
        <f t="shared" si="3"/>
        <v>0</v>
      </c>
      <c r="R25" s="19">
        <f t="shared" si="3"/>
        <v>0</v>
      </c>
      <c r="S25" s="19">
        <f t="shared" si="3"/>
        <v>0</v>
      </c>
      <c r="T25" s="19">
        <f t="shared" si="3"/>
        <v>0</v>
      </c>
      <c r="U25" s="19">
        <f t="shared" si="3"/>
        <v>3.8</v>
      </c>
      <c r="V25" s="19">
        <f t="shared" si="3"/>
        <v>3.8</v>
      </c>
      <c r="W25" s="19">
        <f t="shared" si="3"/>
        <v>3.8</v>
      </c>
      <c r="X25" s="19">
        <f t="shared" si="3"/>
        <v>3.8</v>
      </c>
      <c r="Y25" s="19">
        <f t="shared" si="3"/>
        <v>3.8</v>
      </c>
      <c r="Z25" s="19">
        <f t="shared" si="3"/>
        <v>3.8</v>
      </c>
      <c r="AA25" s="19">
        <f t="shared" si="3"/>
        <v>3.8</v>
      </c>
      <c r="AB25" s="19">
        <f t="shared" si="3"/>
        <v>3.8</v>
      </c>
      <c r="AC25" s="19">
        <f t="shared" si="3"/>
        <v>3.2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190.99999999999994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2">
        <v>3</v>
      </c>
      <c r="G27" s="372">
        <v>3</v>
      </c>
      <c r="H27" s="372">
        <v>4</v>
      </c>
      <c r="I27" s="372">
        <v>4</v>
      </c>
      <c r="J27" s="372">
        <v>4</v>
      </c>
      <c r="K27" s="374">
        <v>3.6</v>
      </c>
      <c r="L27" s="372">
        <v>4</v>
      </c>
      <c r="M27" s="374">
        <v>4</v>
      </c>
      <c r="N27" s="372">
        <v>4</v>
      </c>
      <c r="O27" s="372">
        <v>4.2</v>
      </c>
      <c r="P27" s="372">
        <v>4.3</v>
      </c>
      <c r="Q27" s="372">
        <v>4.0999999999999996</v>
      </c>
      <c r="R27" s="372">
        <v>4.0999999999999996</v>
      </c>
      <c r="S27" s="372">
        <v>4.0999999999999996</v>
      </c>
      <c r="T27" s="372">
        <v>4.0999999999999996</v>
      </c>
      <c r="U27" s="372">
        <v>4.3</v>
      </c>
      <c r="V27" s="372">
        <v>4.0999999999999996</v>
      </c>
      <c r="W27" s="372">
        <v>4</v>
      </c>
      <c r="X27" s="372">
        <v>4.0999999999999996</v>
      </c>
      <c r="Y27" s="372">
        <v>4.2</v>
      </c>
      <c r="Z27" s="372">
        <v>4.0999999999999996</v>
      </c>
      <c r="AA27" s="372">
        <v>4.2</v>
      </c>
      <c r="AB27" s="372">
        <v>4</v>
      </c>
      <c r="AC27" s="372">
        <v>4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2">
        <v>3</v>
      </c>
      <c r="G28" s="372">
        <v>3</v>
      </c>
      <c r="H28" s="372">
        <v>4</v>
      </c>
      <c r="I28" s="372">
        <v>4</v>
      </c>
      <c r="J28" s="372">
        <v>4</v>
      </c>
      <c r="K28" s="374">
        <v>3.6</v>
      </c>
      <c r="L28" s="372">
        <v>4</v>
      </c>
      <c r="M28" s="374">
        <v>4</v>
      </c>
      <c r="N28" s="372">
        <v>4</v>
      </c>
      <c r="O28" s="372">
        <v>4.2</v>
      </c>
      <c r="P28" s="372">
        <v>4.3</v>
      </c>
      <c r="Q28" s="372">
        <v>4.0999999999999996</v>
      </c>
      <c r="R28" s="372">
        <v>4.0999999999999996</v>
      </c>
      <c r="S28" s="372">
        <v>4.0999999999999996</v>
      </c>
      <c r="T28" s="372">
        <v>4.0999999999999996</v>
      </c>
      <c r="U28" s="372">
        <v>4.3</v>
      </c>
      <c r="V28" s="372">
        <v>4.0999999999999996</v>
      </c>
      <c r="W28" s="372">
        <v>4</v>
      </c>
      <c r="X28" s="372">
        <v>4.0999999999999996</v>
      </c>
      <c r="Y28" s="372">
        <v>4.2</v>
      </c>
      <c r="Z28" s="372">
        <v>4.0999999999999996</v>
      </c>
      <c r="AA28" s="372">
        <v>4.2</v>
      </c>
      <c r="AB28" s="372">
        <v>4</v>
      </c>
      <c r="AC28" s="372">
        <v>4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0</v>
      </c>
    </row>
    <row r="29" spans="1:51" ht="15" customHeight="1">
      <c r="A29" s="14" t="s">
        <v>30</v>
      </c>
      <c r="B29" s="369"/>
      <c r="C29" s="370">
        <v>8.8000000000000007</v>
      </c>
      <c r="D29" s="371"/>
      <c r="E29" s="371"/>
      <c r="F29" s="372"/>
      <c r="G29" s="372"/>
      <c r="H29" s="372"/>
      <c r="I29" s="372"/>
      <c r="J29" s="372"/>
      <c r="K29" s="374"/>
      <c r="L29" s="374"/>
      <c r="M29" s="374"/>
      <c r="N29" s="372"/>
      <c r="O29" s="372"/>
      <c r="P29" s="372"/>
      <c r="Q29" s="372"/>
      <c r="R29" s="372"/>
      <c r="S29" s="372"/>
      <c r="T29" s="372"/>
      <c r="U29" s="372"/>
      <c r="V29" s="372"/>
      <c r="W29" s="372"/>
      <c r="X29" s="372"/>
      <c r="Y29" s="372"/>
      <c r="Z29" s="372"/>
      <c r="AA29" s="372"/>
      <c r="AB29" s="372"/>
      <c r="AC29" s="372"/>
    </row>
    <row r="30" spans="1:51" ht="15" customHeight="1">
      <c r="A30" s="14" t="s">
        <v>31</v>
      </c>
      <c r="B30" s="369"/>
      <c r="C30" s="370">
        <v>8.8000000000000007</v>
      </c>
      <c r="D30" s="371"/>
      <c r="E30" s="371"/>
      <c r="F30" s="372"/>
      <c r="G30" s="372"/>
      <c r="H30" s="372"/>
      <c r="I30" s="372"/>
      <c r="J30" s="372"/>
      <c r="K30" s="374"/>
      <c r="L30" s="374"/>
      <c r="M30" s="374"/>
      <c r="N30" s="372"/>
      <c r="O30" s="372"/>
      <c r="P30" s="372"/>
      <c r="Q30" s="372"/>
      <c r="R30" s="372"/>
      <c r="S30" s="372"/>
      <c r="T30" s="372"/>
      <c r="U30" s="372"/>
      <c r="V30" s="372"/>
      <c r="W30" s="372"/>
      <c r="X30" s="372"/>
      <c r="Y30" s="372"/>
      <c r="Z30" s="372"/>
      <c r="AA30" s="372"/>
      <c r="AB30" s="372"/>
      <c r="AC30" s="372"/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:AC31" si="4">SUM(F27:F29)</f>
        <v>6</v>
      </c>
      <c r="G31" s="19">
        <f t="shared" si="4"/>
        <v>6</v>
      </c>
      <c r="H31" s="19">
        <f t="shared" si="4"/>
        <v>8</v>
      </c>
      <c r="I31" s="19">
        <f t="shared" si="4"/>
        <v>8</v>
      </c>
      <c r="J31" s="19">
        <f t="shared" si="4"/>
        <v>8</v>
      </c>
      <c r="K31" s="19">
        <f t="shared" si="4"/>
        <v>7.2</v>
      </c>
      <c r="L31" s="19">
        <f t="shared" si="4"/>
        <v>8</v>
      </c>
      <c r="M31" s="19">
        <f t="shared" si="4"/>
        <v>8</v>
      </c>
      <c r="N31" s="19">
        <f t="shared" si="4"/>
        <v>8</v>
      </c>
      <c r="O31" s="19">
        <f t="shared" si="4"/>
        <v>8.4</v>
      </c>
      <c r="P31" s="19">
        <f t="shared" si="4"/>
        <v>8.6</v>
      </c>
      <c r="Q31" s="19">
        <f t="shared" si="4"/>
        <v>8.1999999999999993</v>
      </c>
      <c r="R31" s="19">
        <f t="shared" si="4"/>
        <v>8.1999999999999993</v>
      </c>
      <c r="S31" s="19">
        <f t="shared" si="4"/>
        <v>8.1999999999999993</v>
      </c>
      <c r="T31" s="19">
        <f>SUM(T27:T29)</f>
        <v>8.1999999999999993</v>
      </c>
      <c r="U31" s="19">
        <f t="shared" si="4"/>
        <v>8.6</v>
      </c>
      <c r="V31" s="19">
        <f t="shared" si="4"/>
        <v>8.1999999999999993</v>
      </c>
      <c r="W31" s="19">
        <f t="shared" si="4"/>
        <v>8</v>
      </c>
      <c r="X31" s="19">
        <f>SUM(X27:X30)</f>
        <v>8.1999999999999993</v>
      </c>
      <c r="Y31" s="19">
        <f t="shared" si="4"/>
        <v>8.4</v>
      </c>
      <c r="Z31" s="19">
        <f t="shared" si="4"/>
        <v>8.1999999999999993</v>
      </c>
      <c r="AA31" s="19">
        <f t="shared" si="4"/>
        <v>8.4</v>
      </c>
      <c r="AB31" s="19">
        <f t="shared" si="4"/>
        <v>8</v>
      </c>
      <c r="AC31" s="19">
        <f t="shared" si="4"/>
        <v>8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341.96</v>
      </c>
    </row>
    <row r="33" spans="1:36">
      <c r="A33" s="14" t="s">
        <v>22</v>
      </c>
      <c r="B33" s="15"/>
      <c r="C33" s="15">
        <v>15</v>
      </c>
      <c r="D33" s="15"/>
      <c r="E33" s="15"/>
      <c r="F33" s="372">
        <v>14.29</v>
      </c>
      <c r="G33" s="372">
        <v>14.32</v>
      </c>
      <c r="H33" s="372">
        <v>14.3</v>
      </c>
      <c r="I33" s="372">
        <v>14.31</v>
      </c>
      <c r="J33" s="372">
        <v>14.31</v>
      </c>
      <c r="K33" s="374">
        <v>14.32</v>
      </c>
      <c r="L33" s="374">
        <v>14.29</v>
      </c>
      <c r="M33" s="374">
        <v>14.3</v>
      </c>
      <c r="N33" s="372">
        <v>14.28</v>
      </c>
      <c r="O33" s="372">
        <v>14.16</v>
      </c>
      <c r="P33" s="372">
        <v>14.15</v>
      </c>
      <c r="Q33" s="372">
        <v>14.1</v>
      </c>
      <c r="R33" s="372">
        <v>14.19</v>
      </c>
      <c r="S33" s="372">
        <v>14.27</v>
      </c>
      <c r="T33" s="372">
        <v>14.36</v>
      </c>
      <c r="U33" s="372">
        <v>14.36</v>
      </c>
      <c r="V33" s="372">
        <v>14.21</v>
      </c>
      <c r="W33" s="374">
        <v>14.22</v>
      </c>
      <c r="X33" s="372">
        <v>14.05</v>
      </c>
      <c r="Y33" s="372">
        <v>14.2</v>
      </c>
      <c r="Z33" s="372">
        <v>14.18</v>
      </c>
      <c r="AA33" s="372">
        <v>14.26</v>
      </c>
      <c r="AB33" s="372">
        <v>14.27</v>
      </c>
      <c r="AC33" s="372">
        <v>14.26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:AC34" si="5">SUM(F33)</f>
        <v>14.29</v>
      </c>
      <c r="G34" s="19">
        <f t="shared" si="5"/>
        <v>14.32</v>
      </c>
      <c r="H34" s="19">
        <f t="shared" si="5"/>
        <v>14.3</v>
      </c>
      <c r="I34" s="19">
        <f t="shared" si="5"/>
        <v>14.31</v>
      </c>
      <c r="J34" s="19">
        <f>SUM(J33)</f>
        <v>14.31</v>
      </c>
      <c r="K34" s="19">
        <f t="shared" si="5"/>
        <v>14.32</v>
      </c>
      <c r="L34" s="19">
        <f t="shared" si="5"/>
        <v>14.29</v>
      </c>
      <c r="M34" s="19">
        <f t="shared" si="5"/>
        <v>14.3</v>
      </c>
      <c r="N34" s="19">
        <f t="shared" si="5"/>
        <v>14.28</v>
      </c>
      <c r="O34" s="19">
        <f t="shared" si="5"/>
        <v>14.16</v>
      </c>
      <c r="P34" s="19">
        <f t="shared" si="5"/>
        <v>14.15</v>
      </c>
      <c r="Q34" s="19">
        <f t="shared" si="5"/>
        <v>14.1</v>
      </c>
      <c r="R34" s="19">
        <f t="shared" si="5"/>
        <v>14.19</v>
      </c>
      <c r="S34" s="19">
        <f t="shared" si="5"/>
        <v>14.27</v>
      </c>
      <c r="T34" s="19">
        <f t="shared" si="5"/>
        <v>14.36</v>
      </c>
      <c r="U34" s="19">
        <f t="shared" si="5"/>
        <v>14.36</v>
      </c>
      <c r="V34" s="19">
        <f t="shared" si="5"/>
        <v>14.21</v>
      </c>
      <c r="W34" s="19">
        <f t="shared" si="5"/>
        <v>14.22</v>
      </c>
      <c r="X34" s="19">
        <f t="shared" si="5"/>
        <v>14.05</v>
      </c>
      <c r="Y34" s="19">
        <f t="shared" si="5"/>
        <v>14.2</v>
      </c>
      <c r="Z34" s="19">
        <f t="shared" si="5"/>
        <v>14.18</v>
      </c>
      <c r="AA34" s="19">
        <f t="shared" si="5"/>
        <v>14.26</v>
      </c>
      <c r="AB34" s="19">
        <f t="shared" si="5"/>
        <v>14.27</v>
      </c>
      <c r="AC34" s="19">
        <f t="shared" si="5"/>
        <v>14.26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55"/>
      <c r="G35" s="455"/>
      <c r="H35" s="455"/>
      <c r="I35" s="455"/>
      <c r="J35" s="455"/>
      <c r="K35" s="455"/>
      <c r="L35" s="455"/>
      <c r="M35" s="455"/>
      <c r="N35" s="455"/>
      <c r="O35" s="455"/>
      <c r="P35" s="455"/>
      <c r="Q35" s="455"/>
      <c r="R35" s="455"/>
      <c r="S35" s="455"/>
      <c r="T35" s="455"/>
      <c r="U35" s="455"/>
      <c r="V35" s="455"/>
      <c r="W35" s="456"/>
      <c r="X35" s="455"/>
      <c r="Y35" s="455"/>
      <c r="Z35" s="455"/>
      <c r="AA35" s="455"/>
      <c r="AB35" s="455"/>
      <c r="AC35" s="455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35</v>
      </c>
    </row>
    <row r="36" spans="1:36">
      <c r="A36" s="70" t="s">
        <v>36</v>
      </c>
      <c r="B36" s="15"/>
      <c r="C36" s="15"/>
      <c r="D36" s="15"/>
      <c r="E36" s="15"/>
      <c r="F36" s="372"/>
      <c r="G36" s="372"/>
      <c r="H36" s="372"/>
      <c r="I36" s="372"/>
      <c r="J36" s="372"/>
      <c r="K36" s="374"/>
      <c r="L36" s="374"/>
      <c r="M36" s="374"/>
      <c r="N36" s="372"/>
      <c r="O36" s="372"/>
      <c r="P36" s="372"/>
      <c r="Q36" s="372"/>
      <c r="R36" s="372"/>
      <c r="S36" s="372"/>
      <c r="T36" s="372"/>
      <c r="U36" s="372"/>
      <c r="V36" s="372"/>
      <c r="W36" s="372"/>
      <c r="X36" s="372"/>
      <c r="Y36" s="372"/>
      <c r="Z36" s="372"/>
      <c r="AA36" s="372"/>
      <c r="AB36" s="372"/>
      <c r="AC36" s="372"/>
      <c r="AD36" s="41"/>
      <c r="AE36" s="41"/>
      <c r="AF36" s="11">
        <f t="shared" ref="AF36:AF59" si="6">COUNTIF(F36:AC36,$AJ$8)</f>
        <v>0</v>
      </c>
      <c r="AG36" s="11">
        <f t="shared" ref="AG36:AG59" si="7">COUNTIF(G36:AD36,$AJ$7)</f>
        <v>0</v>
      </c>
      <c r="AH36" s="11">
        <f t="shared" ref="AH36:AH59" si="8">COUNT(F36:AC36)</f>
        <v>0</v>
      </c>
      <c r="AI36" s="159">
        <f>SUM(F36:AC38,F40:AC40,F45:AC59)</f>
        <v>31.599999999999998</v>
      </c>
      <c r="AJ36" t="s">
        <v>37</v>
      </c>
    </row>
    <row r="37" spans="1:36">
      <c r="A37" s="70" t="s">
        <v>38</v>
      </c>
      <c r="B37" s="15"/>
      <c r="C37" s="15"/>
      <c r="D37" s="15"/>
      <c r="E37" s="15"/>
      <c r="F37" s="372"/>
      <c r="G37" s="372"/>
      <c r="H37" s="372"/>
      <c r="I37" s="372"/>
      <c r="J37" s="372"/>
      <c r="K37" s="374"/>
      <c r="L37" s="374"/>
      <c r="M37" s="374"/>
      <c r="N37" s="372"/>
      <c r="O37" s="372"/>
      <c r="P37" s="372"/>
      <c r="Q37" s="372"/>
      <c r="R37" s="372"/>
      <c r="S37" s="372"/>
      <c r="T37" s="372"/>
      <c r="U37" s="372"/>
      <c r="V37" s="372"/>
      <c r="W37" s="372"/>
      <c r="X37" s="372"/>
      <c r="Y37" s="372"/>
      <c r="Z37" s="372"/>
      <c r="AA37" s="372"/>
      <c r="AB37" s="372"/>
      <c r="AC37" s="372"/>
      <c r="AD37" s="41"/>
      <c r="AE37" s="41"/>
      <c r="AF37" s="11">
        <f t="shared" si="6"/>
        <v>0</v>
      </c>
      <c r="AG37" s="11">
        <f t="shared" si="7"/>
        <v>0</v>
      </c>
      <c r="AH37" s="11">
        <f t="shared" si="8"/>
        <v>0</v>
      </c>
    </row>
    <row r="38" spans="1:36">
      <c r="A38" s="70" t="s">
        <v>39</v>
      </c>
      <c r="B38" s="15"/>
      <c r="C38" s="15"/>
      <c r="D38" s="15"/>
      <c r="E38" s="15"/>
      <c r="F38" s="372"/>
      <c r="G38" s="372"/>
      <c r="H38" s="372"/>
      <c r="I38" s="372"/>
      <c r="J38" s="372"/>
      <c r="K38" s="374"/>
      <c r="L38" s="374"/>
      <c r="M38" s="374"/>
      <c r="N38" s="372"/>
      <c r="O38" s="372"/>
      <c r="P38" s="372"/>
      <c r="Q38" s="372"/>
      <c r="R38" s="372"/>
      <c r="S38" s="372"/>
      <c r="T38" s="372"/>
      <c r="U38" s="372"/>
      <c r="V38" s="372"/>
      <c r="W38" s="372"/>
      <c r="X38" s="372"/>
      <c r="Y38" s="372"/>
      <c r="Z38" s="372"/>
      <c r="AA38" s="372"/>
      <c r="AB38" s="372"/>
      <c r="AC38" s="372"/>
      <c r="AD38" s="41"/>
      <c r="AE38" s="41"/>
      <c r="AF38" s="11">
        <f t="shared" si="6"/>
        <v>0</v>
      </c>
      <c r="AG38" s="11">
        <f t="shared" si="7"/>
        <v>0</v>
      </c>
      <c r="AH38" s="11">
        <f t="shared" si="8"/>
        <v>0</v>
      </c>
    </row>
    <row r="39" spans="1:36">
      <c r="A39" s="70">
        <v>34</v>
      </c>
      <c r="B39" s="15"/>
      <c r="C39" s="15"/>
      <c r="D39" s="15"/>
      <c r="E39" s="15"/>
      <c r="F39" s="372" t="s">
        <v>9</v>
      </c>
      <c r="G39" s="372" t="s">
        <v>9</v>
      </c>
      <c r="H39" s="372" t="s">
        <v>9</v>
      </c>
      <c r="I39" s="372" t="s">
        <v>9</v>
      </c>
      <c r="J39" s="372" t="s">
        <v>9</v>
      </c>
      <c r="K39" s="374" t="s">
        <v>9</v>
      </c>
      <c r="L39" s="374" t="s">
        <v>9</v>
      </c>
      <c r="M39" s="374" t="s">
        <v>9</v>
      </c>
      <c r="N39" s="372" t="s">
        <v>9</v>
      </c>
      <c r="O39" s="372" t="s">
        <v>9</v>
      </c>
      <c r="P39" s="372" t="s">
        <v>9</v>
      </c>
      <c r="Q39" s="372" t="s">
        <v>9</v>
      </c>
      <c r="R39" s="372" t="s">
        <v>9</v>
      </c>
      <c r="S39" s="372" t="s">
        <v>9</v>
      </c>
      <c r="T39" s="372" t="s">
        <v>9</v>
      </c>
      <c r="U39" s="372" t="s">
        <v>9</v>
      </c>
      <c r="V39" s="372" t="s">
        <v>9</v>
      </c>
      <c r="W39" s="372" t="s">
        <v>9</v>
      </c>
      <c r="X39" s="372" t="s">
        <v>9</v>
      </c>
      <c r="Y39" s="372" t="s">
        <v>9</v>
      </c>
      <c r="Z39" s="372" t="s">
        <v>9</v>
      </c>
      <c r="AA39" s="372" t="s">
        <v>9</v>
      </c>
      <c r="AB39" s="372" t="s">
        <v>9</v>
      </c>
      <c r="AC39" s="372" t="s">
        <v>9</v>
      </c>
      <c r="AD39" s="41"/>
      <c r="AE39" s="41"/>
      <c r="AF39" s="11">
        <f t="shared" si="6"/>
        <v>24</v>
      </c>
      <c r="AG39" s="11">
        <f t="shared" si="7"/>
        <v>0</v>
      </c>
      <c r="AH39" s="11">
        <f t="shared" si="8"/>
        <v>0</v>
      </c>
    </row>
    <row r="40" spans="1:36">
      <c r="A40" s="70">
        <v>35</v>
      </c>
      <c r="B40" s="15"/>
      <c r="C40" s="15">
        <v>0.85</v>
      </c>
      <c r="D40" s="15"/>
      <c r="E40" s="15"/>
      <c r="F40" s="372"/>
      <c r="G40" s="372"/>
      <c r="H40" s="372"/>
      <c r="I40" s="372"/>
      <c r="J40" s="372"/>
      <c r="K40" s="374"/>
      <c r="L40" s="374"/>
      <c r="M40" s="374"/>
      <c r="N40" s="372"/>
      <c r="O40" s="372"/>
      <c r="P40" s="372"/>
      <c r="Q40" s="372"/>
      <c r="R40" s="372"/>
      <c r="S40" s="372"/>
      <c r="T40" s="372"/>
      <c r="U40" s="372"/>
      <c r="V40" s="372"/>
      <c r="W40" s="372"/>
      <c r="X40" s="372"/>
      <c r="Y40" s="372"/>
      <c r="Z40" s="372"/>
      <c r="AA40" s="372"/>
      <c r="AB40" s="372"/>
      <c r="AC40" s="372"/>
      <c r="AD40" s="41"/>
      <c r="AE40" s="41"/>
      <c r="AF40" s="11">
        <f t="shared" si="6"/>
        <v>0</v>
      </c>
      <c r="AG40" s="11">
        <f t="shared" si="7"/>
        <v>0</v>
      </c>
      <c r="AH40" s="11">
        <f t="shared" si="8"/>
        <v>0</v>
      </c>
    </row>
    <row r="41" spans="1:36">
      <c r="A41" s="70">
        <v>36</v>
      </c>
      <c r="B41" s="15"/>
      <c r="C41" s="15">
        <v>1</v>
      </c>
      <c r="D41" s="15"/>
      <c r="E41" s="15"/>
      <c r="F41" s="372"/>
      <c r="G41" s="372"/>
      <c r="H41" s="372"/>
      <c r="I41" s="372"/>
      <c r="J41" s="372"/>
      <c r="K41" s="374"/>
      <c r="L41" s="374"/>
      <c r="M41" s="374"/>
      <c r="N41" s="372"/>
      <c r="O41" s="372"/>
      <c r="P41" s="372"/>
      <c r="Q41" s="372"/>
      <c r="R41" s="372"/>
      <c r="S41" s="372"/>
      <c r="T41" s="372"/>
      <c r="U41" s="372"/>
      <c r="V41" s="372"/>
      <c r="W41" s="372"/>
      <c r="X41" s="372"/>
      <c r="Y41" s="372"/>
      <c r="Z41" s="372"/>
      <c r="AA41" s="372"/>
      <c r="AB41" s="372"/>
      <c r="AC41" s="372"/>
      <c r="AD41" s="41"/>
      <c r="AE41" s="41"/>
      <c r="AF41" s="11">
        <f t="shared" si="6"/>
        <v>0</v>
      </c>
      <c r="AG41" s="11">
        <f t="shared" si="7"/>
        <v>0</v>
      </c>
      <c r="AH41" s="11">
        <f t="shared" si="8"/>
        <v>0</v>
      </c>
    </row>
    <row r="42" spans="1:36">
      <c r="A42" s="70">
        <v>37</v>
      </c>
      <c r="B42" s="15"/>
      <c r="C42" s="15">
        <v>1</v>
      </c>
      <c r="D42" s="15"/>
      <c r="E42" s="15"/>
      <c r="F42" s="372"/>
      <c r="G42" s="372"/>
      <c r="H42" s="372"/>
      <c r="I42" s="372"/>
      <c r="J42" s="372"/>
      <c r="K42" s="374"/>
      <c r="L42" s="374"/>
      <c r="M42" s="374"/>
      <c r="N42" s="372"/>
      <c r="O42" s="372"/>
      <c r="P42" s="372"/>
      <c r="Q42" s="372"/>
      <c r="R42" s="372"/>
      <c r="S42" s="372"/>
      <c r="T42" s="372"/>
      <c r="U42" s="372"/>
      <c r="V42" s="372"/>
      <c r="W42" s="372"/>
      <c r="X42" s="372"/>
      <c r="Y42" s="372"/>
      <c r="Z42" s="372"/>
      <c r="AA42" s="372"/>
      <c r="AB42" s="372"/>
      <c r="AC42" s="372"/>
      <c r="AD42" s="41"/>
      <c r="AE42" s="41"/>
      <c r="AF42" s="11">
        <f t="shared" si="6"/>
        <v>0</v>
      </c>
      <c r="AG42" s="11">
        <f t="shared" si="7"/>
        <v>0</v>
      </c>
      <c r="AH42" s="11">
        <f t="shared" si="8"/>
        <v>0</v>
      </c>
    </row>
    <row r="43" spans="1:36">
      <c r="A43" s="70">
        <v>38</v>
      </c>
      <c r="B43" s="15"/>
      <c r="C43" s="15"/>
      <c r="D43" s="15"/>
      <c r="E43" s="15"/>
      <c r="F43" s="372" t="s">
        <v>9</v>
      </c>
      <c r="G43" s="372" t="s">
        <v>9</v>
      </c>
      <c r="H43" s="372" t="s">
        <v>9</v>
      </c>
      <c r="I43" s="372" t="s">
        <v>9</v>
      </c>
      <c r="J43" s="372" t="s">
        <v>9</v>
      </c>
      <c r="K43" s="374" t="s">
        <v>9</v>
      </c>
      <c r="L43" s="374" t="s">
        <v>9</v>
      </c>
      <c r="M43" s="374" t="s">
        <v>9</v>
      </c>
      <c r="N43" s="372" t="s">
        <v>9</v>
      </c>
      <c r="O43" s="372" t="s">
        <v>9</v>
      </c>
      <c r="P43" s="372" t="s">
        <v>9</v>
      </c>
      <c r="Q43" s="372" t="s">
        <v>9</v>
      </c>
      <c r="R43" s="372" t="s">
        <v>9</v>
      </c>
      <c r="S43" s="372" t="s">
        <v>9</v>
      </c>
      <c r="T43" s="372" t="s">
        <v>9</v>
      </c>
      <c r="U43" s="372" t="s">
        <v>9</v>
      </c>
      <c r="V43" s="372" t="s">
        <v>9</v>
      </c>
      <c r="W43" s="372" t="s">
        <v>9</v>
      </c>
      <c r="X43" s="372" t="s">
        <v>9</v>
      </c>
      <c r="Y43" s="372" t="s">
        <v>9</v>
      </c>
      <c r="Z43" s="372" t="s">
        <v>9</v>
      </c>
      <c r="AA43" s="372" t="s">
        <v>9</v>
      </c>
      <c r="AB43" s="372" t="s">
        <v>9</v>
      </c>
      <c r="AC43" s="372" t="s">
        <v>9</v>
      </c>
      <c r="AD43" s="41"/>
      <c r="AE43" s="41"/>
      <c r="AF43" s="11">
        <f t="shared" si="6"/>
        <v>24</v>
      </c>
      <c r="AG43" s="11">
        <f t="shared" si="7"/>
        <v>0</v>
      </c>
      <c r="AH43" s="11">
        <f t="shared" si="8"/>
        <v>0</v>
      </c>
    </row>
    <row r="44" spans="1:36" ht="16.5" customHeight="1">
      <c r="A44" s="70">
        <v>39</v>
      </c>
      <c r="B44" s="15"/>
      <c r="C44" s="15">
        <v>1</v>
      </c>
      <c r="D44" s="15"/>
      <c r="E44" s="15"/>
      <c r="F44" s="372" t="s">
        <v>9</v>
      </c>
      <c r="G44" s="372" t="s">
        <v>9</v>
      </c>
      <c r="H44" s="372" t="s">
        <v>9</v>
      </c>
      <c r="I44" s="372" t="s">
        <v>9</v>
      </c>
      <c r="J44" s="372" t="s">
        <v>9</v>
      </c>
      <c r="K44" s="374" t="s">
        <v>9</v>
      </c>
      <c r="L44" s="374" t="s">
        <v>9</v>
      </c>
      <c r="M44" s="374" t="s">
        <v>9</v>
      </c>
      <c r="N44" s="372" t="s">
        <v>9</v>
      </c>
      <c r="O44" s="372" t="s">
        <v>9</v>
      </c>
      <c r="P44" s="372" t="s">
        <v>9</v>
      </c>
      <c r="Q44" s="372" t="s">
        <v>9</v>
      </c>
      <c r="R44" s="372" t="s">
        <v>9</v>
      </c>
      <c r="S44" s="372" t="s">
        <v>9</v>
      </c>
      <c r="T44" s="372" t="s">
        <v>9</v>
      </c>
      <c r="U44" s="372" t="s">
        <v>9</v>
      </c>
      <c r="V44" s="372" t="s">
        <v>9</v>
      </c>
      <c r="W44" s="372" t="s">
        <v>9</v>
      </c>
      <c r="X44" s="372" t="s">
        <v>9</v>
      </c>
      <c r="Y44" s="372" t="s">
        <v>9</v>
      </c>
      <c r="Z44" s="372" t="s">
        <v>9</v>
      </c>
      <c r="AA44" s="372" t="s">
        <v>9</v>
      </c>
      <c r="AB44" s="372" t="s">
        <v>9</v>
      </c>
      <c r="AC44" s="372" t="s">
        <v>9</v>
      </c>
      <c r="AD44" s="41"/>
      <c r="AE44" s="41"/>
      <c r="AF44" s="11">
        <f t="shared" si="6"/>
        <v>24</v>
      </c>
      <c r="AG44" s="11">
        <f t="shared" si="7"/>
        <v>0</v>
      </c>
      <c r="AH44" s="11">
        <f t="shared" si="8"/>
        <v>0</v>
      </c>
    </row>
    <row r="45" spans="1:36" ht="16.5" customHeight="1">
      <c r="A45" s="70" t="s">
        <v>40</v>
      </c>
      <c r="B45" s="15"/>
      <c r="C45" s="15">
        <v>0.85</v>
      </c>
      <c r="D45" s="15"/>
      <c r="E45" s="15"/>
      <c r="F45" s="372"/>
      <c r="G45" s="372"/>
      <c r="H45" s="372"/>
      <c r="I45" s="372"/>
      <c r="J45" s="372"/>
      <c r="K45" s="374"/>
      <c r="L45" s="374"/>
      <c r="M45" s="374"/>
      <c r="N45" s="372"/>
      <c r="O45" s="372"/>
      <c r="P45" s="372"/>
      <c r="Q45" s="372"/>
      <c r="R45" s="372"/>
      <c r="S45" s="372"/>
      <c r="T45" s="372"/>
      <c r="U45" s="372"/>
      <c r="V45" s="372"/>
      <c r="W45" s="372"/>
      <c r="X45" s="372"/>
      <c r="Y45" s="372"/>
      <c r="Z45" s="372"/>
      <c r="AA45" s="372"/>
      <c r="AB45" s="372"/>
      <c r="AC45" s="372"/>
      <c r="AD45" s="41"/>
      <c r="AE45" s="41"/>
      <c r="AF45" s="11">
        <f t="shared" si="6"/>
        <v>0</v>
      </c>
      <c r="AG45" s="11">
        <f t="shared" si="7"/>
        <v>0</v>
      </c>
      <c r="AH45" s="11">
        <f t="shared" si="8"/>
        <v>0</v>
      </c>
      <c r="AI45" s="159"/>
    </row>
    <row r="46" spans="1:36">
      <c r="A46" s="70" t="s">
        <v>41</v>
      </c>
      <c r="B46" s="15"/>
      <c r="C46" s="15">
        <v>0.75</v>
      </c>
      <c r="D46" s="15"/>
      <c r="E46" s="15"/>
      <c r="F46" s="372"/>
      <c r="G46" s="372"/>
      <c r="H46" s="372"/>
      <c r="I46" s="372"/>
      <c r="J46" s="372"/>
      <c r="K46" s="374"/>
      <c r="L46" s="374"/>
      <c r="M46" s="374"/>
      <c r="N46" s="372"/>
      <c r="O46" s="372"/>
      <c r="P46" s="372"/>
      <c r="Q46" s="372"/>
      <c r="R46" s="372"/>
      <c r="S46" s="372"/>
      <c r="T46" s="372"/>
      <c r="U46" s="372"/>
      <c r="V46" s="372"/>
      <c r="W46" s="372"/>
      <c r="X46" s="372"/>
      <c r="Y46" s="372"/>
      <c r="Z46" s="372"/>
      <c r="AA46" s="372"/>
      <c r="AB46" s="372"/>
      <c r="AC46" s="372"/>
      <c r="AD46" s="41"/>
      <c r="AE46" s="41"/>
      <c r="AF46" s="11">
        <f t="shared" si="6"/>
        <v>0</v>
      </c>
      <c r="AG46" s="11">
        <f t="shared" si="7"/>
        <v>0</v>
      </c>
      <c r="AH46" s="11">
        <f t="shared" si="8"/>
        <v>0</v>
      </c>
      <c r="AI46" s="159"/>
    </row>
    <row r="47" spans="1:36">
      <c r="A47" s="70" t="s">
        <v>42</v>
      </c>
      <c r="B47" s="15"/>
      <c r="C47" s="15">
        <v>0.75</v>
      </c>
      <c r="D47" s="15"/>
      <c r="E47" s="15"/>
      <c r="F47" s="372"/>
      <c r="G47" s="372"/>
      <c r="H47" s="372">
        <f>3.1/4</f>
        <v>0.77500000000000002</v>
      </c>
      <c r="I47" s="372">
        <v>0</v>
      </c>
      <c r="J47" s="372">
        <v>0</v>
      </c>
      <c r="K47" s="374">
        <v>0</v>
      </c>
      <c r="L47" s="374">
        <v>0</v>
      </c>
      <c r="M47" s="374">
        <v>0</v>
      </c>
      <c r="N47" s="372">
        <v>0.8</v>
      </c>
      <c r="O47" s="372">
        <v>0</v>
      </c>
      <c r="P47" s="372">
        <v>0</v>
      </c>
      <c r="Q47" s="372">
        <v>0.7</v>
      </c>
      <c r="R47" s="372"/>
      <c r="S47" s="372"/>
      <c r="T47" s="372">
        <v>0.8</v>
      </c>
      <c r="U47" s="372"/>
      <c r="V47" s="372"/>
      <c r="W47" s="372"/>
      <c r="X47" s="372">
        <v>0.8</v>
      </c>
      <c r="Y47" s="372"/>
      <c r="Z47" s="372"/>
      <c r="AA47" s="372"/>
      <c r="AB47" s="372"/>
      <c r="AC47" s="372"/>
      <c r="AD47" s="41"/>
      <c r="AE47" s="41"/>
      <c r="AF47" s="11">
        <f t="shared" si="6"/>
        <v>0</v>
      </c>
      <c r="AG47" s="11">
        <f t="shared" si="7"/>
        <v>0</v>
      </c>
      <c r="AH47" s="11">
        <f t="shared" si="8"/>
        <v>12</v>
      </c>
    </row>
    <row r="48" spans="1:36">
      <c r="A48" s="70" t="s">
        <v>43</v>
      </c>
      <c r="B48" s="15"/>
      <c r="C48" s="15">
        <v>0.75</v>
      </c>
      <c r="D48" s="15"/>
      <c r="E48" s="15"/>
      <c r="F48" s="372"/>
      <c r="G48" s="372"/>
      <c r="H48" s="372"/>
      <c r="I48" s="372"/>
      <c r="J48" s="372"/>
      <c r="K48" s="374"/>
      <c r="L48" s="374"/>
      <c r="M48" s="374"/>
      <c r="N48" s="372"/>
      <c r="O48" s="372"/>
      <c r="P48" s="372"/>
      <c r="Q48" s="372"/>
      <c r="R48" s="372"/>
      <c r="S48" s="372"/>
      <c r="T48" s="372"/>
      <c r="U48" s="372"/>
      <c r="V48" s="372"/>
      <c r="W48" s="372"/>
      <c r="X48" s="372"/>
      <c r="Y48" s="372"/>
      <c r="Z48" s="372"/>
      <c r="AA48" s="372"/>
      <c r="AB48" s="372"/>
      <c r="AC48" s="372"/>
      <c r="AD48" s="41"/>
      <c r="AE48" s="41"/>
      <c r="AF48" s="11">
        <f t="shared" si="6"/>
        <v>0</v>
      </c>
      <c r="AG48" s="11">
        <f t="shared" si="7"/>
        <v>0</v>
      </c>
      <c r="AH48" s="11">
        <f t="shared" si="8"/>
        <v>0</v>
      </c>
    </row>
    <row r="49" spans="1:124" ht="15" customHeight="1">
      <c r="A49" s="70" t="s">
        <v>44</v>
      </c>
      <c r="B49" s="15"/>
      <c r="C49" s="15">
        <v>0.75</v>
      </c>
      <c r="D49" s="15"/>
      <c r="E49" s="15"/>
      <c r="F49" s="372"/>
      <c r="G49" s="372"/>
      <c r="H49" s="372"/>
      <c r="I49" s="372"/>
      <c r="J49" s="372"/>
      <c r="K49" s="374"/>
      <c r="L49" s="374"/>
      <c r="M49" s="374"/>
      <c r="N49" s="372"/>
      <c r="O49" s="372"/>
      <c r="P49" s="372"/>
      <c r="Q49" s="372"/>
      <c r="R49" s="372"/>
      <c r="S49" s="372"/>
      <c r="T49" s="372"/>
      <c r="U49" s="372"/>
      <c r="V49" s="372"/>
      <c r="W49" s="372"/>
      <c r="X49" s="372"/>
      <c r="Y49" s="372"/>
      <c r="Z49" s="372"/>
      <c r="AA49" s="372"/>
      <c r="AB49" s="372"/>
      <c r="AC49" s="372"/>
      <c r="AD49" s="41"/>
      <c r="AE49" s="41"/>
      <c r="AF49" s="11">
        <f t="shared" si="6"/>
        <v>0</v>
      </c>
      <c r="AG49" s="11">
        <f t="shared" si="7"/>
        <v>0</v>
      </c>
      <c r="AH49" s="11">
        <f t="shared" si="8"/>
        <v>0</v>
      </c>
    </row>
    <row r="50" spans="1:124" ht="16.5" customHeight="1">
      <c r="A50" s="70" t="s">
        <v>45</v>
      </c>
      <c r="B50" s="15"/>
      <c r="C50" s="15">
        <v>0.75</v>
      </c>
      <c r="D50" s="15"/>
      <c r="E50" s="15"/>
      <c r="F50" s="372"/>
      <c r="G50" s="372"/>
      <c r="H50" s="372">
        <f t="shared" ref="H50:H51" si="9">3.1/4</f>
        <v>0.77500000000000002</v>
      </c>
      <c r="I50" s="372"/>
      <c r="J50" s="372"/>
      <c r="K50" s="374"/>
      <c r="L50" s="374"/>
      <c r="M50" s="374"/>
      <c r="N50" s="372"/>
      <c r="O50" s="372">
        <v>0</v>
      </c>
      <c r="P50" s="372">
        <v>0</v>
      </c>
      <c r="Q50" s="372">
        <v>0</v>
      </c>
      <c r="R50" s="372">
        <v>0</v>
      </c>
      <c r="S50" s="372"/>
      <c r="T50" s="372">
        <v>0.8</v>
      </c>
      <c r="U50" s="372">
        <v>0.8</v>
      </c>
      <c r="V50" s="372"/>
      <c r="W50" s="372"/>
      <c r="X50" s="372"/>
      <c r="Y50" s="372"/>
      <c r="Z50" s="372">
        <v>0.7</v>
      </c>
      <c r="AA50" s="372">
        <v>0.7</v>
      </c>
      <c r="AB50" s="372"/>
      <c r="AC50" s="372"/>
      <c r="AD50" s="41"/>
      <c r="AE50" s="41"/>
      <c r="AF50" s="11">
        <f t="shared" si="6"/>
        <v>0</v>
      </c>
      <c r="AG50" s="11">
        <f t="shared" si="7"/>
        <v>0</v>
      </c>
      <c r="AH50" s="11">
        <f t="shared" si="8"/>
        <v>9</v>
      </c>
    </row>
    <row r="51" spans="1:124">
      <c r="A51" s="70" t="s">
        <v>46</v>
      </c>
      <c r="B51" s="15"/>
      <c r="C51" s="15">
        <v>0.85</v>
      </c>
      <c r="D51" s="15"/>
      <c r="E51" s="15"/>
      <c r="F51" s="372"/>
      <c r="G51" s="372"/>
      <c r="H51" s="372">
        <f t="shared" si="9"/>
        <v>0.77500000000000002</v>
      </c>
      <c r="I51" s="372">
        <v>0.75</v>
      </c>
      <c r="J51" s="372">
        <v>0.8</v>
      </c>
      <c r="K51" s="374">
        <v>0.8</v>
      </c>
      <c r="L51" s="374">
        <v>0.8</v>
      </c>
      <c r="M51" s="374"/>
      <c r="N51" s="372"/>
      <c r="O51" s="372"/>
      <c r="P51" s="372"/>
      <c r="Q51" s="372">
        <v>0.7</v>
      </c>
      <c r="R51" s="372"/>
      <c r="S51" s="372">
        <v>0.7</v>
      </c>
      <c r="T51" s="372">
        <v>0.8</v>
      </c>
      <c r="U51" s="372">
        <v>0.8</v>
      </c>
      <c r="V51" s="372">
        <v>0.8</v>
      </c>
      <c r="W51" s="372">
        <v>0.8</v>
      </c>
      <c r="X51" s="372">
        <v>0.7</v>
      </c>
      <c r="Y51" s="372" t="s">
        <v>9</v>
      </c>
      <c r="Z51" s="372" t="s">
        <v>9</v>
      </c>
      <c r="AA51" s="372" t="s">
        <v>9</v>
      </c>
      <c r="AB51" s="372" t="s">
        <v>9</v>
      </c>
      <c r="AC51" s="372" t="s">
        <v>9</v>
      </c>
      <c r="AD51" s="41"/>
      <c r="AE51" s="41"/>
      <c r="AF51" s="11">
        <f t="shared" si="6"/>
        <v>5</v>
      </c>
      <c r="AG51" s="11">
        <f t="shared" si="7"/>
        <v>0</v>
      </c>
      <c r="AH51" s="11">
        <f t="shared" si="8"/>
        <v>12</v>
      </c>
    </row>
    <row r="52" spans="1:124">
      <c r="A52" s="70" t="s">
        <v>47</v>
      </c>
      <c r="B52" s="15"/>
      <c r="C52" s="15">
        <v>0.85</v>
      </c>
      <c r="D52" s="15"/>
      <c r="E52" s="15"/>
      <c r="F52" s="372" t="s">
        <v>9</v>
      </c>
      <c r="G52" s="372" t="s">
        <v>9</v>
      </c>
      <c r="H52" s="372" t="s">
        <v>9</v>
      </c>
      <c r="I52" s="372" t="s">
        <v>9</v>
      </c>
      <c r="J52" s="372" t="s">
        <v>9</v>
      </c>
      <c r="K52" s="374" t="s">
        <v>9</v>
      </c>
      <c r="L52" s="374" t="s">
        <v>9</v>
      </c>
      <c r="M52" s="374" t="s">
        <v>9</v>
      </c>
      <c r="N52" s="372" t="s">
        <v>9</v>
      </c>
      <c r="O52" s="372" t="s">
        <v>9</v>
      </c>
      <c r="P52" s="372" t="s">
        <v>9</v>
      </c>
      <c r="Q52" s="372" t="s">
        <v>9</v>
      </c>
      <c r="R52" s="372" t="s">
        <v>9</v>
      </c>
      <c r="S52" s="372" t="s">
        <v>9</v>
      </c>
      <c r="T52" s="372" t="s">
        <v>9</v>
      </c>
      <c r="U52" s="372" t="s">
        <v>9</v>
      </c>
      <c r="V52" s="372" t="s">
        <v>9</v>
      </c>
      <c r="W52" s="372" t="s">
        <v>9</v>
      </c>
      <c r="X52" s="372" t="s">
        <v>9</v>
      </c>
      <c r="Y52" s="372" t="s">
        <v>9</v>
      </c>
      <c r="Z52" s="372" t="s">
        <v>9</v>
      </c>
      <c r="AA52" s="372" t="s">
        <v>9</v>
      </c>
      <c r="AB52" s="372" t="s">
        <v>9</v>
      </c>
      <c r="AC52" s="372" t="s">
        <v>9</v>
      </c>
      <c r="AD52" s="41"/>
      <c r="AE52" s="41"/>
      <c r="AF52" s="11">
        <f t="shared" si="6"/>
        <v>24</v>
      </c>
      <c r="AG52" s="11">
        <f t="shared" si="7"/>
        <v>0</v>
      </c>
      <c r="AH52" s="11">
        <f t="shared" si="8"/>
        <v>0</v>
      </c>
    </row>
    <row r="53" spans="1:124">
      <c r="A53" s="70" t="s">
        <v>48</v>
      </c>
      <c r="B53" s="15"/>
      <c r="C53" s="15">
        <v>0.85</v>
      </c>
      <c r="D53" s="15"/>
      <c r="E53" s="15"/>
      <c r="F53" s="372"/>
      <c r="G53" s="372"/>
      <c r="H53" s="372"/>
      <c r="I53" s="372"/>
      <c r="J53" s="372"/>
      <c r="K53" s="374"/>
      <c r="L53" s="374"/>
      <c r="M53" s="374"/>
      <c r="N53" s="372"/>
      <c r="O53" s="372"/>
      <c r="P53" s="372"/>
      <c r="Q53" s="372"/>
      <c r="R53" s="372"/>
      <c r="S53" s="372"/>
      <c r="T53" s="372"/>
      <c r="U53" s="372"/>
      <c r="V53" s="372"/>
      <c r="W53" s="372"/>
      <c r="X53" s="372"/>
      <c r="Y53" s="372"/>
      <c r="Z53" s="372"/>
      <c r="AA53" s="372"/>
      <c r="AB53" s="372"/>
      <c r="AC53" s="372"/>
      <c r="AD53" s="41"/>
      <c r="AE53" s="41"/>
      <c r="AF53" s="11">
        <f t="shared" si="6"/>
        <v>0</v>
      </c>
      <c r="AG53" s="11">
        <f t="shared" si="7"/>
        <v>0</v>
      </c>
      <c r="AH53" s="11">
        <f t="shared" si="8"/>
        <v>0</v>
      </c>
    </row>
    <row r="54" spans="1:124" ht="16.5" customHeight="1">
      <c r="A54" s="70" t="s">
        <v>49</v>
      </c>
      <c r="B54" s="15"/>
      <c r="C54" s="15">
        <v>0.85</v>
      </c>
      <c r="D54" s="15"/>
      <c r="E54" s="15"/>
      <c r="F54" s="372">
        <v>0</v>
      </c>
      <c r="G54" s="372">
        <v>0</v>
      </c>
      <c r="H54" s="372">
        <v>0</v>
      </c>
      <c r="I54" s="372">
        <v>0</v>
      </c>
      <c r="J54" s="372">
        <v>0</v>
      </c>
      <c r="K54" s="374">
        <v>0</v>
      </c>
      <c r="L54" s="374">
        <v>0</v>
      </c>
      <c r="M54" s="374">
        <v>0</v>
      </c>
      <c r="N54" s="372">
        <v>0</v>
      </c>
      <c r="O54" s="372">
        <v>0</v>
      </c>
      <c r="P54" s="372">
        <v>0</v>
      </c>
      <c r="Q54" s="372">
        <v>0.7</v>
      </c>
      <c r="R54" s="372"/>
      <c r="S54" s="372">
        <v>0.7</v>
      </c>
      <c r="T54" s="372">
        <v>0.8</v>
      </c>
      <c r="U54" s="372">
        <v>0.8</v>
      </c>
      <c r="V54" s="372">
        <v>0.7</v>
      </c>
      <c r="W54" s="372">
        <v>0.7</v>
      </c>
      <c r="X54" s="372"/>
      <c r="Y54" s="372">
        <v>0.75</v>
      </c>
      <c r="Z54" s="372">
        <v>0.7</v>
      </c>
      <c r="AA54" s="372">
        <v>0.75</v>
      </c>
      <c r="AB54" s="372">
        <v>0.75</v>
      </c>
      <c r="AC54" s="372"/>
      <c r="AD54" s="41"/>
      <c r="AE54" s="41"/>
      <c r="AF54" s="11">
        <f t="shared" si="6"/>
        <v>0</v>
      </c>
      <c r="AG54" s="11">
        <f t="shared" si="7"/>
        <v>0</v>
      </c>
      <c r="AH54" s="11">
        <f t="shared" si="8"/>
        <v>21</v>
      </c>
    </row>
    <row r="55" spans="1:124">
      <c r="A55" s="70" t="s">
        <v>50</v>
      </c>
      <c r="B55" s="15"/>
      <c r="C55" s="15">
        <v>0.85</v>
      </c>
      <c r="D55" s="15"/>
      <c r="E55" s="15"/>
      <c r="F55" s="372"/>
      <c r="G55" s="372"/>
      <c r="H55" s="372"/>
      <c r="I55" s="372"/>
      <c r="J55" s="372"/>
      <c r="K55" s="374"/>
      <c r="L55" s="374"/>
      <c r="M55" s="374"/>
      <c r="N55" s="372"/>
      <c r="O55" s="372"/>
      <c r="P55" s="372"/>
      <c r="Q55" s="372"/>
      <c r="R55" s="372"/>
      <c r="S55" s="372"/>
      <c r="T55" s="372"/>
      <c r="U55" s="372"/>
      <c r="V55" s="372"/>
      <c r="W55" s="372"/>
      <c r="X55" s="372"/>
      <c r="Y55" s="372"/>
      <c r="Z55" s="372"/>
      <c r="AA55" s="372"/>
      <c r="AB55" s="372"/>
      <c r="AC55" s="372"/>
      <c r="AD55" s="41"/>
      <c r="AE55" s="41"/>
      <c r="AF55" s="11">
        <f>COUNTIF(F55:AC55,$AJ$8)</f>
        <v>0</v>
      </c>
      <c r="AG55" s="11">
        <f t="shared" si="7"/>
        <v>0</v>
      </c>
      <c r="AH55" s="11">
        <f>COUNT(F55:AC55)</f>
        <v>0</v>
      </c>
    </row>
    <row r="56" spans="1:124">
      <c r="A56" s="70" t="s">
        <v>51</v>
      </c>
      <c r="B56" s="15"/>
      <c r="C56" s="15">
        <v>0.75</v>
      </c>
      <c r="D56" s="15"/>
      <c r="E56" s="15"/>
      <c r="F56" s="372"/>
      <c r="G56" s="372"/>
      <c r="H56" s="372">
        <f>3.1/4</f>
        <v>0.77500000000000002</v>
      </c>
      <c r="I56" s="372">
        <v>0.75</v>
      </c>
      <c r="J56" s="372"/>
      <c r="K56" s="374"/>
      <c r="L56" s="374"/>
      <c r="M56" s="374"/>
      <c r="N56" s="372"/>
      <c r="O56" s="372">
        <v>0</v>
      </c>
      <c r="P56" s="372">
        <v>0</v>
      </c>
      <c r="Q56" s="372">
        <v>0</v>
      </c>
      <c r="R56" s="372">
        <v>0</v>
      </c>
      <c r="S56" s="372">
        <v>0.8</v>
      </c>
      <c r="T56" s="372">
        <v>0.7</v>
      </c>
      <c r="U56" s="372">
        <v>0.7</v>
      </c>
      <c r="V56" s="372">
        <v>0.7</v>
      </c>
      <c r="W56" s="372"/>
      <c r="X56" s="372"/>
      <c r="Y56" s="372">
        <v>0.75</v>
      </c>
      <c r="Z56" s="372">
        <v>0.7</v>
      </c>
      <c r="AA56" s="372">
        <v>0.75</v>
      </c>
      <c r="AB56" s="372">
        <v>0.75</v>
      </c>
      <c r="AC56" s="372"/>
      <c r="AD56" s="41"/>
      <c r="AE56" s="41"/>
      <c r="AF56" s="11">
        <f t="shared" si="6"/>
        <v>0</v>
      </c>
      <c r="AG56" s="11">
        <f t="shared" si="7"/>
        <v>0</v>
      </c>
      <c r="AH56" s="11">
        <f t="shared" si="8"/>
        <v>14</v>
      </c>
    </row>
    <row r="57" spans="1:124">
      <c r="A57" s="70" t="s">
        <v>52</v>
      </c>
      <c r="B57" s="15"/>
      <c r="C57" s="15">
        <v>0.75</v>
      </c>
      <c r="D57" s="15"/>
      <c r="E57" s="15"/>
      <c r="F57" s="372"/>
      <c r="G57" s="372"/>
      <c r="H57" s="372"/>
      <c r="I57" s="372"/>
      <c r="J57" s="372"/>
      <c r="K57" s="374"/>
      <c r="L57" s="374"/>
      <c r="M57" s="374"/>
      <c r="N57" s="372"/>
      <c r="O57" s="372"/>
      <c r="P57" s="372"/>
      <c r="Q57" s="372"/>
      <c r="R57" s="372"/>
      <c r="S57" s="372"/>
      <c r="T57" s="372"/>
      <c r="U57" s="372"/>
      <c r="V57" s="372"/>
      <c r="W57" s="372"/>
      <c r="X57" s="372"/>
      <c r="Y57" s="372"/>
      <c r="Z57" s="372"/>
      <c r="AA57" s="372"/>
      <c r="AB57" s="372"/>
      <c r="AC57" s="372"/>
      <c r="AD57" s="41"/>
      <c r="AE57" s="41"/>
      <c r="AF57" s="11">
        <f t="shared" si="6"/>
        <v>0</v>
      </c>
      <c r="AG57" s="11">
        <f t="shared" si="7"/>
        <v>0</v>
      </c>
      <c r="AH57" s="11">
        <f t="shared" si="8"/>
        <v>0</v>
      </c>
    </row>
    <row r="58" spans="1:124">
      <c r="A58" s="70" t="s">
        <v>53</v>
      </c>
      <c r="B58" s="15"/>
      <c r="C58" s="15">
        <v>0.85</v>
      </c>
      <c r="D58" s="15"/>
      <c r="E58" s="15"/>
      <c r="F58" s="372"/>
      <c r="G58" s="372"/>
      <c r="H58" s="372"/>
      <c r="I58" s="372"/>
      <c r="J58" s="372"/>
      <c r="K58" s="374"/>
      <c r="L58" s="374"/>
      <c r="M58" s="374"/>
      <c r="N58" s="372"/>
      <c r="O58" s="372"/>
      <c r="P58" s="372"/>
      <c r="Q58" s="372"/>
      <c r="R58" s="372"/>
      <c r="S58" s="372"/>
      <c r="T58" s="372"/>
      <c r="U58" s="372"/>
      <c r="V58" s="372"/>
      <c r="W58" s="372"/>
      <c r="X58" s="372"/>
      <c r="Y58" s="372"/>
      <c r="Z58" s="372"/>
      <c r="AA58" s="372"/>
      <c r="AB58" s="372"/>
      <c r="AC58" s="372"/>
      <c r="AD58" s="41"/>
      <c r="AE58" s="41"/>
      <c r="AF58" s="11">
        <f t="shared" si="6"/>
        <v>0</v>
      </c>
      <c r="AG58" s="11">
        <f t="shared" si="7"/>
        <v>0</v>
      </c>
      <c r="AH58" s="11">
        <f t="shared" si="8"/>
        <v>0</v>
      </c>
    </row>
    <row r="59" spans="1:124">
      <c r="A59" s="70" t="s">
        <v>54</v>
      </c>
      <c r="B59" s="15"/>
      <c r="C59" s="15">
        <v>0.85</v>
      </c>
      <c r="D59" s="15"/>
      <c r="E59" s="15"/>
      <c r="F59" s="372"/>
      <c r="G59" s="372"/>
      <c r="H59" s="372"/>
      <c r="I59" s="372"/>
      <c r="J59" s="372"/>
      <c r="K59" s="374"/>
      <c r="L59" s="374"/>
      <c r="M59" s="374"/>
      <c r="N59" s="372"/>
      <c r="O59" s="372"/>
      <c r="P59" s="372"/>
      <c r="Q59" s="372"/>
      <c r="R59" s="372"/>
      <c r="S59" s="372"/>
      <c r="T59" s="372"/>
      <c r="U59" s="372"/>
      <c r="V59" s="372"/>
      <c r="W59" s="372"/>
      <c r="X59" s="372"/>
      <c r="Y59" s="372"/>
      <c r="Z59" s="372"/>
      <c r="AA59" s="372"/>
      <c r="AB59" s="372"/>
      <c r="AC59" s="372"/>
      <c r="AD59" s="41"/>
      <c r="AE59" s="41"/>
      <c r="AF59" s="11">
        <f t="shared" si="6"/>
        <v>0</v>
      </c>
      <c r="AG59" s="11">
        <f t="shared" si="7"/>
        <v>0</v>
      </c>
      <c r="AH59" s="11">
        <f t="shared" si="8"/>
        <v>0</v>
      </c>
    </row>
    <row r="60" spans="1:124">
      <c r="A60" s="9" t="s">
        <v>26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 t="shared" ref="F60:AC60" si="10">SUM(F36:F59)</f>
        <v>0</v>
      </c>
      <c r="G60" s="19">
        <f t="shared" si="10"/>
        <v>0</v>
      </c>
      <c r="H60" s="19">
        <f t="shared" si="10"/>
        <v>3.1</v>
      </c>
      <c r="I60" s="19">
        <f t="shared" si="10"/>
        <v>1.5</v>
      </c>
      <c r="J60" s="19">
        <f t="shared" si="10"/>
        <v>0.8</v>
      </c>
      <c r="K60" s="19">
        <f t="shared" si="10"/>
        <v>0.8</v>
      </c>
      <c r="L60" s="19">
        <f t="shared" si="10"/>
        <v>0.8</v>
      </c>
      <c r="M60" s="19">
        <f t="shared" si="10"/>
        <v>0</v>
      </c>
      <c r="N60" s="19">
        <f t="shared" si="10"/>
        <v>0.8</v>
      </c>
      <c r="O60" s="19">
        <f>SUM(O36:O59)</f>
        <v>0</v>
      </c>
      <c r="P60" s="19">
        <f t="shared" si="10"/>
        <v>0</v>
      </c>
      <c r="Q60" s="19">
        <f t="shared" si="10"/>
        <v>2.0999999999999996</v>
      </c>
      <c r="R60" s="19">
        <f t="shared" si="10"/>
        <v>0</v>
      </c>
      <c r="S60" s="19">
        <f t="shared" si="10"/>
        <v>2.2000000000000002</v>
      </c>
      <c r="T60" s="19">
        <f>SUM(T36:T59)</f>
        <v>3.9000000000000004</v>
      </c>
      <c r="U60" s="19">
        <f t="shared" si="10"/>
        <v>3.1000000000000005</v>
      </c>
      <c r="V60" s="19">
        <f t="shared" si="10"/>
        <v>2.2000000000000002</v>
      </c>
      <c r="W60" s="19">
        <f t="shared" si="10"/>
        <v>1.5</v>
      </c>
      <c r="X60" s="19">
        <f t="shared" si="10"/>
        <v>1.5</v>
      </c>
      <c r="Y60" s="19">
        <f t="shared" si="10"/>
        <v>1.5</v>
      </c>
      <c r="Z60" s="19">
        <f t="shared" si="10"/>
        <v>2.0999999999999996</v>
      </c>
      <c r="AA60" s="19">
        <f t="shared" si="10"/>
        <v>2.2000000000000002</v>
      </c>
      <c r="AB60" s="19">
        <f t="shared" si="10"/>
        <v>1.5</v>
      </c>
      <c r="AC60" s="19">
        <f t="shared" si="10"/>
        <v>0</v>
      </c>
      <c r="AD60" s="34"/>
      <c r="AE60" s="34"/>
      <c r="AF60" s="11"/>
      <c r="AG60" s="11"/>
      <c r="AH60" s="11"/>
    </row>
    <row r="61" spans="1:124">
      <c r="A61" s="12" t="s">
        <v>55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27.309999999999995</v>
      </c>
      <c r="AN61" s="351"/>
    </row>
    <row r="62" spans="1:124">
      <c r="A62" s="14" t="s">
        <v>56</v>
      </c>
      <c r="B62" s="20"/>
      <c r="C62" s="15">
        <v>0.75</v>
      </c>
      <c r="D62" s="15"/>
      <c r="E62" s="15"/>
      <c r="F62" s="372"/>
      <c r="G62" s="372">
        <f>1.04/2</f>
        <v>0.52</v>
      </c>
      <c r="H62" s="372">
        <f>0.99/2</f>
        <v>0.495</v>
      </c>
      <c r="I62" s="372">
        <v>0.44</v>
      </c>
      <c r="J62" s="372">
        <v>0.43</v>
      </c>
      <c r="K62" s="374">
        <f>0.83/2</f>
        <v>0.41499999999999998</v>
      </c>
      <c r="L62" s="374">
        <f>0.89/2</f>
        <v>0.44500000000000001</v>
      </c>
      <c r="M62" s="374">
        <f>0.94/2</f>
        <v>0.47</v>
      </c>
      <c r="N62" s="372">
        <f>1.06/2</f>
        <v>0.53</v>
      </c>
      <c r="O62" s="372">
        <v>0.54</v>
      </c>
      <c r="P62" s="372">
        <f>1.11/2</f>
        <v>0.55500000000000005</v>
      </c>
      <c r="Q62" s="372">
        <f>1.12/2</f>
        <v>0.56000000000000005</v>
      </c>
      <c r="R62" s="372">
        <f>1.18/2</f>
        <v>0.59</v>
      </c>
      <c r="S62" s="372"/>
      <c r="T62" s="372"/>
      <c r="U62" s="372"/>
      <c r="V62" s="372"/>
      <c r="W62" s="372"/>
      <c r="X62" s="372"/>
      <c r="Y62" s="372">
        <v>0.75</v>
      </c>
      <c r="Z62" s="372">
        <v>0.76</v>
      </c>
      <c r="AA62" s="372">
        <v>0.755</v>
      </c>
      <c r="AB62" s="372">
        <v>0.66500000000000004</v>
      </c>
      <c r="AC62" s="372">
        <f>1.23/2</f>
        <v>0.61499999999999999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17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57</v>
      </c>
      <c r="B63" s="20"/>
      <c r="C63" s="15">
        <v>0.75</v>
      </c>
      <c r="D63" s="15"/>
      <c r="E63" s="15"/>
      <c r="F63" s="372">
        <f>1.11/2</f>
        <v>0.55500000000000005</v>
      </c>
      <c r="G63" s="372">
        <f>1.04/2</f>
        <v>0.52</v>
      </c>
      <c r="H63" s="372">
        <f>0.99/2</f>
        <v>0.495</v>
      </c>
      <c r="I63" s="372">
        <v>0.44</v>
      </c>
      <c r="J63" s="372">
        <v>0.43</v>
      </c>
      <c r="K63" s="374">
        <f>0.83/2</f>
        <v>0.41499999999999998</v>
      </c>
      <c r="L63" s="374">
        <f>0.89/2</f>
        <v>0.44500000000000001</v>
      </c>
      <c r="M63" s="374"/>
      <c r="N63" s="372"/>
      <c r="O63" s="372"/>
      <c r="P63" s="372"/>
      <c r="Q63" s="372"/>
      <c r="R63" s="372"/>
      <c r="S63" s="372">
        <f>1.2/2</f>
        <v>0.6</v>
      </c>
      <c r="T63" s="372">
        <f>1.19/2</f>
        <v>0.59499999999999997</v>
      </c>
      <c r="U63" s="372">
        <f>1.18/2</f>
        <v>0.59</v>
      </c>
      <c r="V63" s="372">
        <f>1.19/2</f>
        <v>0.59499999999999997</v>
      </c>
      <c r="W63" s="372">
        <f>1.19/2</f>
        <v>0.59499999999999997</v>
      </c>
      <c r="X63" s="372">
        <f>1.18/2</f>
        <v>0.59</v>
      </c>
      <c r="Y63" s="372">
        <v>0.75</v>
      </c>
      <c r="Z63" s="372">
        <v>0.76</v>
      </c>
      <c r="AA63" s="372">
        <v>0.755</v>
      </c>
      <c r="AB63" s="372">
        <v>0.66500000000000004</v>
      </c>
      <c r="AC63" s="372">
        <f>1.23/2</f>
        <v>0.61499999999999999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18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58</v>
      </c>
      <c r="B64" s="20"/>
      <c r="C64" s="15">
        <v>0.75</v>
      </c>
      <c r="D64" s="15"/>
      <c r="E64" s="15"/>
      <c r="F64" s="372">
        <f>1.11/2</f>
        <v>0.55500000000000005</v>
      </c>
      <c r="G64" s="372">
        <v>0</v>
      </c>
      <c r="H64" s="372">
        <v>0</v>
      </c>
      <c r="I64" s="372">
        <v>0</v>
      </c>
      <c r="J64" s="372">
        <v>0</v>
      </c>
      <c r="K64" s="374">
        <v>0</v>
      </c>
      <c r="L64" s="374">
        <v>0</v>
      </c>
      <c r="M64" s="374">
        <f>0.94/2</f>
        <v>0.47</v>
      </c>
      <c r="N64" s="372">
        <f>1.06/2</f>
        <v>0.53</v>
      </c>
      <c r="O64" s="372">
        <v>0.54</v>
      </c>
      <c r="P64" s="372">
        <f>1.11/2</f>
        <v>0.55500000000000005</v>
      </c>
      <c r="Q64" s="372">
        <f>1.12/2</f>
        <v>0.56000000000000005</v>
      </c>
      <c r="R64" s="372">
        <f>1.18/2</f>
        <v>0.59</v>
      </c>
      <c r="S64" s="372">
        <f>1.2/2</f>
        <v>0.6</v>
      </c>
      <c r="T64" s="372">
        <f>1.19/2</f>
        <v>0.59499999999999997</v>
      </c>
      <c r="U64" s="372">
        <f>1.18/2</f>
        <v>0.59</v>
      </c>
      <c r="V64" s="372">
        <f>1.19/2</f>
        <v>0.59499999999999997</v>
      </c>
      <c r="W64" s="372">
        <f>1.19/2</f>
        <v>0.59499999999999997</v>
      </c>
      <c r="X64" s="372">
        <f>1.18/2</f>
        <v>0.59</v>
      </c>
      <c r="Y64" s="372"/>
      <c r="Z64" s="372"/>
      <c r="AA64" s="372"/>
      <c r="AB64" s="372"/>
      <c r="AC64" s="372"/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19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1.1100000000000001</v>
      </c>
      <c r="G65" s="19">
        <f t="shared" ref="G65" si="11">SUM(G62:G64)</f>
        <v>1.04</v>
      </c>
      <c r="H65" s="19">
        <f>SUM(H62:H64)</f>
        <v>0.99</v>
      </c>
      <c r="I65" s="19">
        <f>SUM(I62:I64)</f>
        <v>0.88</v>
      </c>
      <c r="J65" s="19">
        <f t="shared" ref="J65" si="12">SUM(J62:J64)</f>
        <v>0.86</v>
      </c>
      <c r="K65" s="19">
        <f>SUM(K62:K64)</f>
        <v>0.83</v>
      </c>
      <c r="L65" s="19">
        <f>SUM(L62:L64)</f>
        <v>0.89</v>
      </c>
      <c r="M65" s="19">
        <f>SUM(M62:M64)</f>
        <v>0.94</v>
      </c>
      <c r="N65" s="19">
        <f>SUM(N62:N64)</f>
        <v>1.06</v>
      </c>
      <c r="O65" s="19">
        <f t="shared" ref="O65:AB65" si="13">SUM(O62:O64)</f>
        <v>1.08</v>
      </c>
      <c r="P65" s="19">
        <f t="shared" si="13"/>
        <v>1.1100000000000001</v>
      </c>
      <c r="Q65" s="19">
        <f t="shared" si="13"/>
        <v>1.1200000000000001</v>
      </c>
      <c r="R65" s="19">
        <f t="shared" si="13"/>
        <v>1.18</v>
      </c>
      <c r="S65" s="19">
        <f t="shared" si="13"/>
        <v>1.2</v>
      </c>
      <c r="T65" s="19">
        <f t="shared" si="13"/>
        <v>1.19</v>
      </c>
      <c r="U65" s="19">
        <f t="shared" si="13"/>
        <v>1.18</v>
      </c>
      <c r="V65" s="19">
        <f t="shared" si="13"/>
        <v>1.19</v>
      </c>
      <c r="W65" s="19">
        <f t="shared" si="13"/>
        <v>1.19</v>
      </c>
      <c r="X65" s="19">
        <f t="shared" si="13"/>
        <v>1.18</v>
      </c>
      <c r="Y65" s="19">
        <f>SUM(Y62:Y64)</f>
        <v>1.5</v>
      </c>
      <c r="Z65" s="19">
        <f t="shared" si="13"/>
        <v>1.52</v>
      </c>
      <c r="AA65" s="19">
        <f t="shared" si="13"/>
        <v>1.51</v>
      </c>
      <c r="AB65" s="19">
        <f t="shared" si="13"/>
        <v>1.33</v>
      </c>
      <c r="AC65" s="19">
        <f>SUM(AC62:AC64)</f>
        <v>1.23</v>
      </c>
      <c r="AD65" s="34"/>
      <c r="AE65" s="34"/>
      <c r="AF65" s="11"/>
      <c r="AG65" s="11"/>
      <c r="AH65" s="11"/>
    </row>
    <row r="66" spans="1:124" hidden="1">
      <c r="A66" s="12" t="s">
        <v>59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idden="1">
      <c r="A67" s="14" t="s">
        <v>60</v>
      </c>
      <c r="B67" s="15"/>
      <c r="C67" s="15">
        <v>0.85</v>
      </c>
      <c r="D67" s="15"/>
      <c r="E67" s="15"/>
      <c r="F67" s="372"/>
      <c r="G67" s="372"/>
      <c r="H67" s="372"/>
      <c r="I67" s="372"/>
      <c r="J67" s="372"/>
      <c r="K67" s="374"/>
      <c r="L67" s="374"/>
      <c r="M67" s="374"/>
      <c r="N67" s="372"/>
      <c r="O67" s="372"/>
      <c r="P67" s="372"/>
      <c r="Q67" s="372"/>
      <c r="R67" s="372"/>
      <c r="S67" s="372"/>
      <c r="T67" s="372"/>
      <c r="U67" s="372"/>
      <c r="V67" s="372"/>
      <c r="W67" s="372"/>
      <c r="X67" s="372"/>
      <c r="Y67" s="372"/>
      <c r="Z67" s="372"/>
      <c r="AA67" s="372"/>
      <c r="AB67" s="372"/>
      <c r="AC67" s="372"/>
      <c r="AD67" s="35"/>
      <c r="AE67" s="35"/>
      <c r="AF67" s="11">
        <f t="shared" ref="AF67:AF75" si="14">COUNTIF(F67:AC67,$AF$11)</f>
        <v>0</v>
      </c>
      <c r="AG67" s="11">
        <f t="shared" ref="AG67:AG75" si="15">COUNTIF(G67:AC67,$AG$11)</f>
        <v>0</v>
      </c>
      <c r="AH67" s="11">
        <f t="shared" ref="AH67:AH75" si="16">COUNT(F67:AC67)</f>
        <v>0</v>
      </c>
    </row>
    <row r="68" spans="1:124" hidden="1">
      <c r="A68" s="14" t="s">
        <v>61</v>
      </c>
      <c r="B68" s="15"/>
      <c r="C68" s="15">
        <v>0.85</v>
      </c>
      <c r="D68" s="15"/>
      <c r="E68" s="15"/>
      <c r="F68" s="372"/>
      <c r="G68" s="372"/>
      <c r="H68" s="372"/>
      <c r="I68" s="372"/>
      <c r="J68" s="372"/>
      <c r="K68" s="374"/>
      <c r="L68" s="374"/>
      <c r="M68" s="374"/>
      <c r="N68" s="372"/>
      <c r="O68" s="372"/>
      <c r="P68" s="372"/>
      <c r="Q68" s="372"/>
      <c r="R68" s="372"/>
      <c r="S68" s="372"/>
      <c r="T68" s="372"/>
      <c r="U68" s="372"/>
      <c r="V68" s="372"/>
      <c r="W68" s="372"/>
      <c r="X68" s="372"/>
      <c r="Y68" s="372"/>
      <c r="Z68" s="372"/>
      <c r="AA68" s="372"/>
      <c r="AB68" s="372"/>
      <c r="AC68" s="372"/>
      <c r="AD68" s="35"/>
      <c r="AE68" s="35"/>
      <c r="AF68" s="11">
        <f t="shared" si="14"/>
        <v>0</v>
      </c>
      <c r="AG68" s="11">
        <f t="shared" si="15"/>
        <v>0</v>
      </c>
      <c r="AH68" s="11">
        <f t="shared" si="16"/>
        <v>0</v>
      </c>
    </row>
    <row r="69" spans="1:124" hidden="1">
      <c r="A69" s="14" t="s">
        <v>62</v>
      </c>
      <c r="B69" s="15"/>
      <c r="C69" s="15">
        <v>0.85</v>
      </c>
      <c r="D69" s="15"/>
      <c r="E69" s="15"/>
      <c r="F69" s="372"/>
      <c r="G69" s="372"/>
      <c r="H69" s="372"/>
      <c r="I69" s="372"/>
      <c r="J69" s="372"/>
      <c r="K69" s="374"/>
      <c r="L69" s="374"/>
      <c r="M69" s="374"/>
      <c r="N69" s="372"/>
      <c r="O69" s="372"/>
      <c r="P69" s="372"/>
      <c r="Q69" s="372"/>
      <c r="R69" s="372"/>
      <c r="S69" s="372"/>
      <c r="T69" s="372"/>
      <c r="U69" s="372"/>
      <c r="V69" s="372"/>
      <c r="W69" s="372"/>
      <c r="X69" s="372"/>
      <c r="Y69" s="372"/>
      <c r="Z69" s="372"/>
      <c r="AA69" s="372"/>
      <c r="AB69" s="372"/>
      <c r="AC69" s="372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6"/>
        <v>0</v>
      </c>
    </row>
    <row r="70" spans="1:124" hidden="1">
      <c r="A70" s="14" t="s">
        <v>63</v>
      </c>
      <c r="B70" s="15"/>
      <c r="C70" s="15">
        <v>0.85</v>
      </c>
      <c r="D70" s="15"/>
      <c r="E70" s="15"/>
      <c r="F70" s="372"/>
      <c r="G70" s="372"/>
      <c r="H70" s="372"/>
      <c r="I70" s="372"/>
      <c r="J70" s="372"/>
      <c r="K70" s="374"/>
      <c r="L70" s="374"/>
      <c r="M70" s="374"/>
      <c r="N70" s="372"/>
      <c r="O70" s="372"/>
      <c r="P70" s="372"/>
      <c r="Q70" s="372"/>
      <c r="R70" s="372"/>
      <c r="S70" s="372"/>
      <c r="T70" s="372"/>
      <c r="U70" s="372"/>
      <c r="V70" s="372"/>
      <c r="W70" s="372"/>
      <c r="X70" s="372"/>
      <c r="Y70" s="372"/>
      <c r="Z70" s="372"/>
      <c r="AA70" s="372"/>
      <c r="AB70" s="372"/>
      <c r="AC70" s="372"/>
      <c r="AD70" s="35"/>
      <c r="AE70" s="35"/>
      <c r="AF70" s="11">
        <f t="shared" si="14"/>
        <v>0</v>
      </c>
      <c r="AG70" s="11">
        <f t="shared" si="15"/>
        <v>0</v>
      </c>
      <c r="AH70" s="11">
        <f t="shared" si="16"/>
        <v>0</v>
      </c>
      <c r="AI70" s="5"/>
      <c r="AJ70" s="5"/>
      <c r="AK70" s="5"/>
      <c r="AL70" s="5"/>
    </row>
    <row r="71" spans="1:124" hidden="1">
      <c r="A71" s="14" t="s">
        <v>64</v>
      </c>
      <c r="B71" s="15"/>
      <c r="C71" s="15">
        <v>0.85</v>
      </c>
      <c r="D71" s="15"/>
      <c r="E71" s="15"/>
      <c r="F71" s="372"/>
      <c r="G71" s="372"/>
      <c r="H71" s="372"/>
      <c r="I71" s="372"/>
      <c r="J71" s="372"/>
      <c r="K71" s="374"/>
      <c r="L71" s="374"/>
      <c r="M71" s="374"/>
      <c r="N71" s="372"/>
      <c r="O71" s="372"/>
      <c r="P71" s="372"/>
      <c r="Q71" s="372"/>
      <c r="R71" s="372"/>
      <c r="S71" s="372"/>
      <c r="T71" s="372"/>
      <c r="U71" s="372"/>
      <c r="V71" s="372"/>
      <c r="W71" s="372"/>
      <c r="X71" s="372"/>
      <c r="Y71" s="372"/>
      <c r="Z71" s="372"/>
      <c r="AA71" s="372"/>
      <c r="AB71" s="372"/>
      <c r="AC71" s="372"/>
      <c r="AD71" s="35"/>
      <c r="AE71" s="35"/>
      <c r="AF71" s="11">
        <f t="shared" si="14"/>
        <v>0</v>
      </c>
      <c r="AG71" s="11">
        <f t="shared" si="15"/>
        <v>0</v>
      </c>
      <c r="AH71" s="11">
        <f t="shared" si="16"/>
        <v>0</v>
      </c>
    </row>
    <row r="72" spans="1:124" hidden="1">
      <c r="A72" s="14" t="s">
        <v>65</v>
      </c>
      <c r="B72" s="15"/>
      <c r="C72" s="15">
        <v>0.85</v>
      </c>
      <c r="D72" s="15"/>
      <c r="E72" s="15"/>
      <c r="F72" s="372"/>
      <c r="G72" s="372"/>
      <c r="H72" s="372"/>
      <c r="I72" s="372"/>
      <c r="J72" s="372"/>
      <c r="K72" s="374"/>
      <c r="L72" s="374"/>
      <c r="M72" s="374"/>
      <c r="N72" s="372"/>
      <c r="O72" s="372"/>
      <c r="P72" s="372"/>
      <c r="Q72" s="372"/>
      <c r="R72" s="372"/>
      <c r="S72" s="372"/>
      <c r="T72" s="372"/>
      <c r="U72" s="372"/>
      <c r="V72" s="372"/>
      <c r="W72" s="372"/>
      <c r="X72" s="372"/>
      <c r="Y72" s="372"/>
      <c r="Z72" s="372"/>
      <c r="AA72" s="372"/>
      <c r="AB72" s="372"/>
      <c r="AC72" s="372"/>
      <c r="AD72" s="35"/>
      <c r="AE72" s="35"/>
      <c r="AF72" s="11">
        <f t="shared" si="14"/>
        <v>0</v>
      </c>
      <c r="AG72" s="11">
        <f t="shared" si="15"/>
        <v>0</v>
      </c>
      <c r="AH72" s="11">
        <f t="shared" si="16"/>
        <v>0</v>
      </c>
    </row>
    <row r="73" spans="1:124" hidden="1">
      <c r="A73" s="14" t="s">
        <v>66</v>
      </c>
      <c r="B73" s="15"/>
      <c r="C73" s="15">
        <v>0.85</v>
      </c>
      <c r="D73" s="15"/>
      <c r="E73" s="15"/>
      <c r="F73" s="372"/>
      <c r="G73" s="372"/>
      <c r="H73" s="372"/>
      <c r="I73" s="372"/>
      <c r="J73" s="372"/>
      <c r="K73" s="374"/>
      <c r="L73" s="374"/>
      <c r="M73" s="374"/>
      <c r="N73" s="372"/>
      <c r="O73" s="372"/>
      <c r="P73" s="372"/>
      <c r="Q73" s="372"/>
      <c r="R73" s="372"/>
      <c r="S73" s="372"/>
      <c r="T73" s="372"/>
      <c r="U73" s="372"/>
      <c r="V73" s="372"/>
      <c r="W73" s="372"/>
      <c r="X73" s="372"/>
      <c r="Y73" s="372"/>
      <c r="Z73" s="372"/>
      <c r="AA73" s="372"/>
      <c r="AB73" s="372"/>
      <c r="AC73" s="372"/>
      <c r="AD73" s="35"/>
      <c r="AE73" s="35"/>
      <c r="AF73" s="11">
        <f t="shared" si="14"/>
        <v>0</v>
      </c>
      <c r="AG73" s="11">
        <f t="shared" si="15"/>
        <v>0</v>
      </c>
      <c r="AH73" s="11">
        <f t="shared" si="16"/>
        <v>0</v>
      </c>
    </row>
    <row r="74" spans="1:124" hidden="1">
      <c r="A74" s="14" t="s">
        <v>67</v>
      </c>
      <c r="B74" s="19"/>
      <c r="C74" s="15">
        <v>0.85</v>
      </c>
      <c r="D74" s="15"/>
      <c r="E74" s="15"/>
      <c r="F74" s="372"/>
      <c r="G74" s="372"/>
      <c r="H74" s="372"/>
      <c r="I74" s="372"/>
      <c r="J74" s="372"/>
      <c r="K74" s="374"/>
      <c r="L74" s="374"/>
      <c r="M74" s="374"/>
      <c r="N74" s="372"/>
      <c r="O74" s="372"/>
      <c r="P74" s="372"/>
      <c r="Q74" s="372"/>
      <c r="R74" s="372"/>
      <c r="S74" s="372"/>
      <c r="T74" s="372"/>
      <c r="U74" s="372"/>
      <c r="V74" s="372"/>
      <c r="W74" s="372"/>
      <c r="X74" s="372"/>
      <c r="Y74" s="372"/>
      <c r="Z74" s="372"/>
      <c r="AA74" s="372"/>
      <c r="AB74" s="372"/>
      <c r="AC74" s="372"/>
      <c r="AD74" s="29"/>
      <c r="AE74" s="29"/>
      <c r="AF74" s="11">
        <f t="shared" si="14"/>
        <v>0</v>
      </c>
      <c r="AG74" s="11">
        <f t="shared" si="15"/>
        <v>0</v>
      </c>
      <c r="AH74" s="11">
        <f t="shared" si="16"/>
        <v>0</v>
      </c>
    </row>
    <row r="75" spans="1:124" ht="15.75" hidden="1" customHeight="1">
      <c r="A75" s="14" t="s">
        <v>68</v>
      </c>
      <c r="B75" s="9"/>
      <c r="C75" s="15">
        <v>0.85</v>
      </c>
      <c r="D75" s="15"/>
      <c r="E75" s="15"/>
      <c r="F75" s="372"/>
      <c r="G75" s="372"/>
      <c r="H75" s="372"/>
      <c r="I75" s="372"/>
      <c r="J75" s="372"/>
      <c r="K75" s="374"/>
      <c r="L75" s="374"/>
      <c r="M75" s="374"/>
      <c r="N75" s="372"/>
      <c r="O75" s="372"/>
      <c r="P75" s="372"/>
      <c r="Q75" s="372"/>
      <c r="R75" s="372"/>
      <c r="S75" s="372"/>
      <c r="T75" s="372"/>
      <c r="U75" s="372"/>
      <c r="V75" s="372"/>
      <c r="W75" s="372"/>
      <c r="X75" s="372"/>
      <c r="Y75" s="372"/>
      <c r="Z75" s="372"/>
      <c r="AA75" s="372"/>
      <c r="AB75" s="372"/>
      <c r="AC75" s="372"/>
      <c r="AD75" s="31"/>
      <c r="AE75" s="31"/>
      <c r="AF75" s="11">
        <f t="shared" si="14"/>
        <v>0</v>
      </c>
      <c r="AG75" s="11">
        <f t="shared" si="15"/>
        <v>0</v>
      </c>
      <c r="AH75" s="11">
        <f t="shared" si="16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17">SUM(F67:F75)</f>
        <v>0</v>
      </c>
      <c r="G76" s="19">
        <f t="shared" si="17"/>
        <v>0</v>
      </c>
      <c r="H76" s="19">
        <f t="shared" si="17"/>
        <v>0</v>
      </c>
      <c r="I76" s="19">
        <f t="shared" si="17"/>
        <v>0</v>
      </c>
      <c r="J76" s="19">
        <f t="shared" si="17"/>
        <v>0</v>
      </c>
      <c r="K76" s="19">
        <f t="shared" si="17"/>
        <v>0</v>
      </c>
      <c r="L76" s="19">
        <f>SUM(L67:L75)</f>
        <v>0</v>
      </c>
      <c r="M76" s="19">
        <f t="shared" si="17"/>
        <v>0</v>
      </c>
      <c r="N76" s="19">
        <f t="shared" si="17"/>
        <v>0</v>
      </c>
      <c r="O76" s="19">
        <f t="shared" si="17"/>
        <v>0</v>
      </c>
      <c r="P76" s="19">
        <f t="shared" si="17"/>
        <v>0</v>
      </c>
      <c r="Q76" s="19">
        <f>SUM(Q67:Q75)</f>
        <v>0</v>
      </c>
      <c r="R76" s="19">
        <f t="shared" si="17"/>
        <v>0</v>
      </c>
      <c r="S76" s="19">
        <f t="shared" si="17"/>
        <v>0</v>
      </c>
      <c r="T76" s="19">
        <f t="shared" si="17"/>
        <v>0</v>
      </c>
      <c r="U76" s="19">
        <f t="shared" si="17"/>
        <v>0</v>
      </c>
      <c r="V76" s="19">
        <f t="shared" si="17"/>
        <v>0</v>
      </c>
      <c r="W76" s="19">
        <f t="shared" si="17"/>
        <v>0</v>
      </c>
      <c r="X76" s="19">
        <f t="shared" si="17"/>
        <v>0</v>
      </c>
      <c r="Y76" s="19">
        <f t="shared" si="17"/>
        <v>0</v>
      </c>
      <c r="Z76" s="19">
        <f t="shared" si="17"/>
        <v>0</v>
      </c>
      <c r="AA76" s="19">
        <f t="shared" si="17"/>
        <v>0</v>
      </c>
      <c r="AB76" s="19">
        <f t="shared" si="17"/>
        <v>0</v>
      </c>
      <c r="AC76" s="19">
        <f t="shared" si="17"/>
        <v>0</v>
      </c>
      <c r="AD76" s="34"/>
      <c r="AE76" s="34"/>
      <c r="AF76" s="11"/>
      <c r="AG76" s="11"/>
      <c r="AH76" s="11"/>
    </row>
    <row r="77" spans="1:124">
      <c r="A77" s="12" t="s">
        <v>69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 t="s">
        <v>21</v>
      </c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19.209999999999997</v>
      </c>
    </row>
    <row r="78" spans="1:124">
      <c r="A78" s="14" t="s">
        <v>70</v>
      </c>
      <c r="B78" s="20"/>
      <c r="C78" s="15">
        <v>1</v>
      </c>
      <c r="D78" s="15"/>
      <c r="E78" s="15"/>
      <c r="F78" s="372"/>
      <c r="G78" s="372"/>
      <c r="H78" s="372"/>
      <c r="I78" s="372"/>
      <c r="J78" s="372"/>
      <c r="K78" s="374"/>
      <c r="L78" s="374"/>
      <c r="M78" s="374"/>
      <c r="N78" s="374"/>
      <c r="O78" s="374"/>
      <c r="P78" s="374">
        <v>0.77</v>
      </c>
      <c r="Q78" s="374">
        <v>0.82</v>
      </c>
      <c r="R78" s="374">
        <v>0.82</v>
      </c>
      <c r="S78" s="374">
        <v>0.8</v>
      </c>
      <c r="T78" s="374">
        <v>0.85</v>
      </c>
      <c r="U78" s="374">
        <v>0.84</v>
      </c>
      <c r="V78" s="374">
        <v>0.84</v>
      </c>
      <c r="W78" s="374">
        <v>0.8</v>
      </c>
      <c r="X78" s="374">
        <v>0.79</v>
      </c>
      <c r="Y78" s="372"/>
      <c r="Z78" s="372"/>
      <c r="AA78" s="372"/>
      <c r="AB78" s="372"/>
      <c r="AC78" s="372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9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71</v>
      </c>
      <c r="B79" s="20"/>
      <c r="C79" s="15">
        <v>1</v>
      </c>
      <c r="D79" s="15"/>
      <c r="E79" s="15"/>
      <c r="F79" s="372">
        <v>0.81</v>
      </c>
      <c r="G79" s="372">
        <v>0.68</v>
      </c>
      <c r="H79" s="372">
        <v>0.76</v>
      </c>
      <c r="I79" s="372">
        <v>0.73</v>
      </c>
      <c r="J79" s="372">
        <v>0.72</v>
      </c>
      <c r="K79" s="374">
        <v>0.71</v>
      </c>
      <c r="L79" s="374">
        <v>0.74</v>
      </c>
      <c r="M79" s="374">
        <v>0.72</v>
      </c>
      <c r="N79" s="374">
        <v>0.75</v>
      </c>
      <c r="O79" s="374">
        <v>0.75</v>
      </c>
      <c r="P79" s="374">
        <v>0</v>
      </c>
      <c r="Q79" s="374">
        <v>0</v>
      </c>
      <c r="R79" s="374">
        <v>0</v>
      </c>
      <c r="S79" s="374">
        <v>0</v>
      </c>
      <c r="T79" s="374">
        <v>0</v>
      </c>
      <c r="U79" s="374">
        <v>0</v>
      </c>
      <c r="V79" s="374">
        <v>0</v>
      </c>
      <c r="W79" s="374">
        <v>0</v>
      </c>
      <c r="X79" s="374">
        <v>0</v>
      </c>
      <c r="Y79" s="374">
        <v>0.93</v>
      </c>
      <c r="Z79" s="374">
        <v>0.97</v>
      </c>
      <c r="AA79" s="372">
        <v>0.91</v>
      </c>
      <c r="AB79" s="372">
        <v>0.87</v>
      </c>
      <c r="AC79" s="372">
        <v>0.83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24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18">SUM(F78:F79)</f>
        <v>0.81</v>
      </c>
      <c r="G80" s="19">
        <f t="shared" si="18"/>
        <v>0.68</v>
      </c>
      <c r="H80" s="19">
        <f>SUM(H78:H79)</f>
        <v>0.76</v>
      </c>
      <c r="I80" s="19">
        <f>SUM(I78:I79)</f>
        <v>0.73</v>
      </c>
      <c r="J80" s="19">
        <f t="shared" ref="J80:AC80" si="19">SUM(J78:J79)</f>
        <v>0.72</v>
      </c>
      <c r="K80" s="19">
        <f t="shared" si="19"/>
        <v>0.71</v>
      </c>
      <c r="L80" s="19">
        <f>SUM(L78:L79)</f>
        <v>0.74</v>
      </c>
      <c r="M80" s="19">
        <f t="shared" si="19"/>
        <v>0.72</v>
      </c>
      <c r="N80" s="19">
        <f t="shared" si="19"/>
        <v>0.75</v>
      </c>
      <c r="O80" s="19">
        <f>SUM(O78:O79)</f>
        <v>0.75</v>
      </c>
      <c r="P80" s="19">
        <f t="shared" si="19"/>
        <v>0.77</v>
      </c>
      <c r="Q80" s="19">
        <f t="shared" si="19"/>
        <v>0.82</v>
      </c>
      <c r="R80" s="19">
        <f t="shared" si="19"/>
        <v>0.82</v>
      </c>
      <c r="S80" s="19">
        <f t="shared" si="19"/>
        <v>0.8</v>
      </c>
      <c r="T80" s="19">
        <f t="shared" si="19"/>
        <v>0.85</v>
      </c>
      <c r="U80" s="19">
        <f t="shared" si="19"/>
        <v>0.84</v>
      </c>
      <c r="V80" s="19">
        <f t="shared" si="19"/>
        <v>0.84</v>
      </c>
      <c r="W80" s="19">
        <f t="shared" si="19"/>
        <v>0.8</v>
      </c>
      <c r="X80" s="19">
        <f t="shared" si="19"/>
        <v>0.79</v>
      </c>
      <c r="Y80" s="19">
        <f t="shared" si="19"/>
        <v>0.93</v>
      </c>
      <c r="Z80" s="19">
        <f t="shared" si="19"/>
        <v>0.97</v>
      </c>
      <c r="AA80" s="19">
        <f t="shared" si="19"/>
        <v>0.91</v>
      </c>
      <c r="AB80" s="19">
        <f t="shared" si="19"/>
        <v>0.87</v>
      </c>
      <c r="AC80" s="19">
        <f t="shared" si="19"/>
        <v>0.83</v>
      </c>
      <c r="AD80" s="34"/>
      <c r="AE80" s="34"/>
      <c r="AF80" s="11"/>
      <c r="AG80" s="11"/>
      <c r="AH80" s="11"/>
    </row>
    <row r="81" spans="1:40" ht="17.45" hidden="1">
      <c r="A81" s="366" t="s">
        <v>72</v>
      </c>
      <c r="B81" s="365"/>
      <c r="C81" s="367">
        <v>2</v>
      </c>
      <c r="D81" s="363"/>
      <c r="E81" s="363"/>
      <c r="F81" s="364"/>
      <c r="G81" s="364"/>
      <c r="H81" s="364"/>
      <c r="I81" s="364"/>
      <c r="J81" s="364"/>
      <c r="K81" s="364"/>
      <c r="L81" s="364"/>
      <c r="M81" s="364"/>
      <c r="N81" s="364"/>
      <c r="O81" s="364"/>
      <c r="P81" s="364"/>
      <c r="Q81" s="364"/>
      <c r="R81" s="364"/>
      <c r="S81" s="364"/>
      <c r="T81" s="364"/>
      <c r="U81" s="364"/>
      <c r="V81" s="364"/>
      <c r="W81" s="364"/>
      <c r="X81" s="364"/>
      <c r="Y81" s="364"/>
      <c r="Z81" s="364"/>
      <c r="AA81" s="364"/>
      <c r="AB81" s="364"/>
      <c r="AC81" s="364"/>
    </row>
    <row r="82" spans="1:40" ht="17.45" hidden="1">
      <c r="A82" s="368"/>
      <c r="B82" s="369"/>
      <c r="C82" s="370"/>
      <c r="D82" s="371"/>
      <c r="E82" s="371"/>
      <c r="F82" s="372"/>
      <c r="G82" s="372"/>
      <c r="H82" s="372"/>
      <c r="I82" s="372"/>
      <c r="J82" s="372"/>
      <c r="K82" s="374"/>
      <c r="L82" s="374"/>
      <c r="M82" s="374"/>
      <c r="N82" s="372"/>
      <c r="O82" s="372"/>
      <c r="P82" s="372"/>
      <c r="Q82" s="372"/>
      <c r="R82" s="372"/>
      <c r="S82" s="372"/>
      <c r="T82" s="372"/>
      <c r="U82" s="372"/>
      <c r="V82" s="372"/>
      <c r="W82" s="372"/>
      <c r="X82" s="372"/>
      <c r="Y82" s="372"/>
      <c r="Z82" s="372"/>
      <c r="AA82" s="372"/>
      <c r="AB82" s="372"/>
      <c r="AC82" s="372"/>
    </row>
    <row r="83" spans="1:40">
      <c r="A83" s="21" t="s">
        <v>73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:AC83" si="20">SUM(F17,F22,F25,F31,F34,F60,F65,F76,F80,F82)</f>
        <v>45.01</v>
      </c>
      <c r="G83" s="28">
        <f t="shared" si="20"/>
        <v>41.839999999999996</v>
      </c>
      <c r="H83" s="28">
        <f t="shared" si="20"/>
        <v>40.35</v>
      </c>
      <c r="I83" s="28">
        <f t="shared" si="20"/>
        <v>38.42</v>
      </c>
      <c r="J83" s="28">
        <f t="shared" si="20"/>
        <v>38.089999999999996</v>
      </c>
      <c r="K83" s="28">
        <f t="shared" si="20"/>
        <v>36.859999999999992</v>
      </c>
      <c r="L83" s="28">
        <f t="shared" si="20"/>
        <v>37.919999999999995</v>
      </c>
      <c r="M83" s="28">
        <f t="shared" si="20"/>
        <v>37.36</v>
      </c>
      <c r="N83" s="28">
        <f>SUM(N17,N22,N25,N31,N34,N60,N65,N76,N80,N82)</f>
        <v>38.49</v>
      </c>
      <c r="O83" s="28">
        <f>SUM(O17,O22,O25,O31,O34,O60,O65,O76,O80,O82)</f>
        <v>40.789999999999992</v>
      </c>
      <c r="P83" s="28">
        <f t="shared" si="20"/>
        <v>42.230000000000004</v>
      </c>
      <c r="Q83" s="28">
        <f t="shared" si="20"/>
        <v>43.54</v>
      </c>
      <c r="R83" s="28">
        <f t="shared" si="20"/>
        <v>44.589999999999996</v>
      </c>
      <c r="S83" s="28">
        <f t="shared" si="20"/>
        <v>46.57</v>
      </c>
      <c r="T83" s="28">
        <f t="shared" si="20"/>
        <v>47.899999999999991</v>
      </c>
      <c r="U83" s="28">
        <f>SUM(U17,U22,U25,U31,U34,U60,U65,U76,U80,U82)</f>
        <v>48.080000000000005</v>
      </c>
      <c r="V83" s="28">
        <f t="shared" si="20"/>
        <v>46.34</v>
      </c>
      <c r="W83" s="28">
        <f t="shared" si="20"/>
        <v>45.51</v>
      </c>
      <c r="X83" s="28">
        <f t="shared" si="20"/>
        <v>45.92</v>
      </c>
      <c r="Y83" s="28">
        <f t="shared" si="20"/>
        <v>53.830000000000005</v>
      </c>
      <c r="Z83" s="28">
        <f t="shared" si="20"/>
        <v>53.970000000000006</v>
      </c>
      <c r="AA83" s="28">
        <f t="shared" si="20"/>
        <v>54.279999999999994</v>
      </c>
      <c r="AB83" s="28">
        <f t="shared" si="20"/>
        <v>52.37</v>
      </c>
      <c r="AC83" s="28">
        <f t="shared" si="20"/>
        <v>49.11999999999999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25" t="s">
        <v>74</v>
      </c>
      <c r="B85" s="525"/>
      <c r="C85" s="525"/>
      <c r="D85" s="525"/>
      <c r="E85" s="525"/>
      <c r="F85" s="525"/>
      <c r="G85" s="525"/>
      <c r="H85" s="525"/>
      <c r="I85" s="525"/>
      <c r="J85" s="525"/>
      <c r="K85" s="525"/>
      <c r="L85" s="525"/>
      <c r="M85" s="525"/>
      <c r="N85" s="525"/>
      <c r="O85" s="525"/>
      <c r="P85" s="525"/>
      <c r="Q85" s="525"/>
      <c r="R85" s="525"/>
      <c r="S85" s="525"/>
      <c r="T85" s="525"/>
      <c r="U85" s="525"/>
      <c r="V85" s="525"/>
      <c r="W85" s="525"/>
      <c r="X85" s="525"/>
      <c r="Y85" s="525"/>
      <c r="Z85" s="525"/>
      <c r="AA85" s="525"/>
      <c r="AB85" s="525"/>
      <c r="AC85" s="525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</row>
    <row r="87" spans="1:40" ht="17.45">
      <c r="A87" s="500" t="s">
        <v>75</v>
      </c>
      <c r="B87" s="501"/>
      <c r="C87" s="502"/>
      <c r="D87" s="49"/>
      <c r="E87" s="49"/>
      <c r="F87" s="506" t="s">
        <v>76</v>
      </c>
      <c r="G87" s="506"/>
      <c r="H87" s="506"/>
      <c r="I87" s="506"/>
      <c r="J87" s="506"/>
      <c r="K87" s="506"/>
      <c r="L87" s="506"/>
      <c r="M87" s="506"/>
      <c r="N87" s="506"/>
      <c r="O87" s="506"/>
      <c r="P87" s="506"/>
      <c r="Q87" s="506"/>
      <c r="R87" s="506"/>
      <c r="S87" s="506"/>
      <c r="T87" s="506"/>
      <c r="U87" s="506"/>
      <c r="V87" s="506"/>
      <c r="W87" s="506"/>
      <c r="X87" s="506"/>
      <c r="Y87" s="506"/>
      <c r="Z87" s="506"/>
      <c r="AA87" s="506"/>
      <c r="AB87" s="506"/>
      <c r="AC87" s="506"/>
      <c r="AD87" s="5"/>
      <c r="AE87" s="5"/>
      <c r="AF87" s="5"/>
      <c r="AG87" s="5"/>
      <c r="AH87" s="5"/>
    </row>
    <row r="88" spans="1:40" ht="15.6" customHeight="1">
      <c r="A88" s="503"/>
      <c r="B88" s="504"/>
      <c r="C88" s="505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07" t="s">
        <v>27</v>
      </c>
      <c r="B89" s="508"/>
      <c r="C89" s="509"/>
      <c r="D89" s="45"/>
      <c r="E89" s="45"/>
      <c r="F89" s="64">
        <f t="shared" ref="F89:AC89" si="21">SUM(F22,F25)</f>
        <v>3</v>
      </c>
      <c r="G89" s="64">
        <f t="shared" si="21"/>
        <v>0</v>
      </c>
      <c r="H89" s="64">
        <f t="shared" si="21"/>
        <v>0</v>
      </c>
      <c r="I89" s="64">
        <f t="shared" si="21"/>
        <v>0</v>
      </c>
      <c r="J89" s="64">
        <f t="shared" si="21"/>
        <v>0</v>
      </c>
      <c r="K89" s="64">
        <f t="shared" si="21"/>
        <v>0</v>
      </c>
      <c r="L89" s="64">
        <f t="shared" si="21"/>
        <v>0</v>
      </c>
      <c r="M89" s="64">
        <f t="shared" si="21"/>
        <v>0</v>
      </c>
      <c r="N89" s="64">
        <f t="shared" si="21"/>
        <v>0</v>
      </c>
      <c r="O89" s="64">
        <f t="shared" si="21"/>
        <v>3</v>
      </c>
      <c r="P89" s="64">
        <f t="shared" si="21"/>
        <v>3.8</v>
      </c>
      <c r="Q89" s="64">
        <f t="shared" si="21"/>
        <v>3.8</v>
      </c>
      <c r="R89" s="64">
        <f t="shared" si="21"/>
        <v>6.6</v>
      </c>
      <c r="S89" s="64">
        <f t="shared" si="21"/>
        <v>6.6999999999999993</v>
      </c>
      <c r="T89" s="64">
        <f t="shared" si="21"/>
        <v>5.8</v>
      </c>
      <c r="U89" s="64">
        <f t="shared" si="21"/>
        <v>6.6</v>
      </c>
      <c r="V89" s="64">
        <f t="shared" si="21"/>
        <v>6.6</v>
      </c>
      <c r="W89" s="64">
        <f t="shared" si="21"/>
        <v>6.6</v>
      </c>
      <c r="X89" s="64">
        <f t="shared" si="21"/>
        <v>6.6</v>
      </c>
      <c r="Y89" s="64">
        <f t="shared" si="21"/>
        <v>6.6</v>
      </c>
      <c r="Z89" s="64">
        <f t="shared" si="21"/>
        <v>6.6</v>
      </c>
      <c r="AA89" s="64">
        <f t="shared" si="21"/>
        <v>6.6</v>
      </c>
      <c r="AB89" s="64">
        <f t="shared" si="21"/>
        <v>6.6</v>
      </c>
      <c r="AC89" s="64">
        <f t="shared" si="21"/>
        <v>5.3000000000000007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521" t="s">
        <v>77</v>
      </c>
      <c r="B90" s="521"/>
      <c r="C90" s="522"/>
      <c r="D90" s="45"/>
      <c r="E90" s="45"/>
      <c r="F90" s="68"/>
      <c r="G90" s="68"/>
      <c r="H90" s="68"/>
      <c r="I90" s="68"/>
      <c r="J90" s="68"/>
      <c r="K90" s="68"/>
      <c r="L90" s="68"/>
      <c r="M90" s="68"/>
      <c r="N90" s="68"/>
      <c r="O90" s="68"/>
      <c r="P90" s="68"/>
      <c r="Q90" s="68"/>
      <c r="R90" s="68"/>
      <c r="S90" s="68"/>
      <c r="T90" s="68"/>
      <c r="U90" s="68">
        <v>0.20899999999999999</v>
      </c>
      <c r="V90" s="68">
        <v>0.193</v>
      </c>
      <c r="W90" s="68">
        <v>0.23799999999999999</v>
      </c>
      <c r="X90" s="68">
        <v>0.2</v>
      </c>
      <c r="Y90" s="68">
        <v>0.23899999999999999</v>
      </c>
      <c r="Z90" s="68">
        <v>0.23599999999999999</v>
      </c>
      <c r="AA90" s="68">
        <v>0.27600000000000002</v>
      </c>
      <c r="AB90" s="68">
        <v>0.23499999999999999</v>
      </c>
      <c r="AC90" s="68">
        <v>0.216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07" t="s">
        <v>78</v>
      </c>
      <c r="B91" s="508"/>
      <c r="C91" s="509"/>
      <c r="D91" s="45"/>
      <c r="E91" s="45"/>
      <c r="F91" s="64">
        <f t="shared" ref="F91:AC91" si="22">F17</f>
        <v>19.799999999999997</v>
      </c>
      <c r="G91" s="64">
        <f t="shared" si="22"/>
        <v>19.799999999999997</v>
      </c>
      <c r="H91" s="64">
        <f t="shared" si="22"/>
        <v>13.2</v>
      </c>
      <c r="I91" s="64">
        <f t="shared" si="22"/>
        <v>13</v>
      </c>
      <c r="J91" s="64">
        <f t="shared" si="22"/>
        <v>13.4</v>
      </c>
      <c r="K91" s="64">
        <f t="shared" si="22"/>
        <v>13</v>
      </c>
      <c r="L91" s="64">
        <f t="shared" si="22"/>
        <v>13.2</v>
      </c>
      <c r="M91" s="64">
        <f t="shared" si="22"/>
        <v>13.4</v>
      </c>
      <c r="N91" s="64">
        <f t="shared" si="22"/>
        <v>13.6</v>
      </c>
      <c r="O91" s="64">
        <f t="shared" si="22"/>
        <v>13.4</v>
      </c>
      <c r="P91" s="64">
        <f t="shared" si="22"/>
        <v>13.8</v>
      </c>
      <c r="Q91" s="64">
        <f t="shared" si="22"/>
        <v>13.399999999999999</v>
      </c>
      <c r="R91" s="64">
        <f t="shared" si="22"/>
        <v>13.6</v>
      </c>
      <c r="S91" s="64">
        <f t="shared" si="22"/>
        <v>13.2</v>
      </c>
      <c r="T91" s="64">
        <f t="shared" si="22"/>
        <v>13.6</v>
      </c>
      <c r="U91" s="64">
        <f t="shared" si="22"/>
        <v>13.4</v>
      </c>
      <c r="V91" s="64">
        <f t="shared" si="22"/>
        <v>13.1</v>
      </c>
      <c r="W91" s="64">
        <f t="shared" si="22"/>
        <v>13.2</v>
      </c>
      <c r="X91" s="64">
        <f t="shared" si="22"/>
        <v>13.6</v>
      </c>
      <c r="Y91" s="64">
        <f t="shared" si="22"/>
        <v>20.700000000000003</v>
      </c>
      <c r="Z91" s="64">
        <f t="shared" si="22"/>
        <v>20.399999999999999</v>
      </c>
      <c r="AA91" s="64">
        <f t="shared" si="22"/>
        <v>20.399999999999999</v>
      </c>
      <c r="AB91" s="64">
        <f t="shared" si="22"/>
        <v>19.799999999999997</v>
      </c>
      <c r="AC91" s="64">
        <f t="shared" si="22"/>
        <v>19.5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21" t="s">
        <v>79</v>
      </c>
      <c r="B92" s="521"/>
      <c r="C92" s="522"/>
      <c r="D92" s="45"/>
      <c r="E92" s="45"/>
      <c r="F92" s="68">
        <v>0.67500000000000004</v>
      </c>
      <c r="G92" s="68">
        <v>0.67500000000000004</v>
      </c>
      <c r="H92" s="68">
        <v>0.65500000000000003</v>
      </c>
      <c r="I92" s="68">
        <v>0.66800000000000004</v>
      </c>
      <c r="J92" s="68">
        <v>0.80600000000000005</v>
      </c>
      <c r="K92" s="68">
        <v>0.87</v>
      </c>
      <c r="L92" s="68">
        <v>0.65</v>
      </c>
      <c r="M92" s="68">
        <v>0.62</v>
      </c>
      <c r="N92" s="68">
        <v>0.63900000000000001</v>
      </c>
      <c r="O92" s="68">
        <v>0.65900000000000003</v>
      </c>
      <c r="P92" s="68">
        <v>0.55500000000000005</v>
      </c>
      <c r="Q92" s="68">
        <v>0.61399999999999999</v>
      </c>
      <c r="R92" s="68">
        <v>0.79300000000000004</v>
      </c>
      <c r="S92" s="68">
        <v>0.83399999999999996</v>
      </c>
      <c r="T92" s="68">
        <v>0.68100000000000005</v>
      </c>
      <c r="U92" s="68">
        <v>0.6</v>
      </c>
      <c r="V92" s="68">
        <v>0.64100000000000001</v>
      </c>
      <c r="W92" s="68">
        <v>0.503</v>
      </c>
      <c r="X92" s="68">
        <v>0.58799999999999997</v>
      </c>
      <c r="Y92" s="68">
        <v>0.82799999999999996</v>
      </c>
      <c r="Z92" s="68">
        <v>0.745</v>
      </c>
      <c r="AA92" s="68">
        <v>0.81499999999999995</v>
      </c>
      <c r="AB92" s="68">
        <v>0.76900000000000002</v>
      </c>
      <c r="AC92" s="68">
        <v>0.61899999999999999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07" t="s">
        <v>29</v>
      </c>
      <c r="B93" s="508"/>
      <c r="C93" s="509"/>
      <c r="D93" s="45"/>
      <c r="E93" s="45"/>
      <c r="F93" s="65">
        <f t="shared" ref="F93:AC93" si="23">F31</f>
        <v>6</v>
      </c>
      <c r="G93" s="65">
        <f t="shared" si="23"/>
        <v>6</v>
      </c>
      <c r="H93" s="65">
        <f t="shared" si="23"/>
        <v>8</v>
      </c>
      <c r="I93" s="65">
        <f t="shared" si="23"/>
        <v>8</v>
      </c>
      <c r="J93" s="65">
        <f t="shared" si="23"/>
        <v>8</v>
      </c>
      <c r="K93" s="65">
        <f t="shared" si="23"/>
        <v>7.2</v>
      </c>
      <c r="L93" s="65">
        <f t="shared" si="23"/>
        <v>8</v>
      </c>
      <c r="M93" s="65">
        <f t="shared" si="23"/>
        <v>8</v>
      </c>
      <c r="N93" s="65">
        <f t="shared" si="23"/>
        <v>8</v>
      </c>
      <c r="O93" s="65">
        <f t="shared" si="23"/>
        <v>8.4</v>
      </c>
      <c r="P93" s="65">
        <f t="shared" si="23"/>
        <v>8.6</v>
      </c>
      <c r="Q93" s="65">
        <f t="shared" si="23"/>
        <v>8.1999999999999993</v>
      </c>
      <c r="R93" s="65">
        <f t="shared" si="23"/>
        <v>8.1999999999999993</v>
      </c>
      <c r="S93" s="65">
        <f t="shared" si="23"/>
        <v>8.1999999999999993</v>
      </c>
      <c r="T93" s="65">
        <f>T31</f>
        <v>8.1999999999999993</v>
      </c>
      <c r="U93" s="65">
        <f t="shared" si="23"/>
        <v>8.6</v>
      </c>
      <c r="V93" s="65">
        <f t="shared" si="23"/>
        <v>8.1999999999999993</v>
      </c>
      <c r="W93" s="65">
        <f t="shared" si="23"/>
        <v>8</v>
      </c>
      <c r="X93" s="65">
        <f t="shared" si="23"/>
        <v>8.1999999999999993</v>
      </c>
      <c r="Y93" s="65">
        <f t="shared" si="23"/>
        <v>8.4</v>
      </c>
      <c r="Z93" s="65">
        <f t="shared" si="23"/>
        <v>8.1999999999999993</v>
      </c>
      <c r="AA93" s="65">
        <f t="shared" si="23"/>
        <v>8.4</v>
      </c>
      <c r="AB93" s="65">
        <f t="shared" si="23"/>
        <v>8</v>
      </c>
      <c r="AC93" s="65">
        <f t="shared" si="23"/>
        <v>8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21" t="s">
        <v>102</v>
      </c>
      <c r="B94" s="521"/>
      <c r="C94" s="522"/>
      <c r="D94" s="45"/>
      <c r="E94" s="45"/>
      <c r="F94" s="68">
        <v>0.26400000000000001</v>
      </c>
      <c r="G94" s="68">
        <v>0.247</v>
      </c>
      <c r="H94" s="68">
        <v>0.252</v>
      </c>
      <c r="I94" s="68">
        <v>0.245</v>
      </c>
      <c r="J94" s="68">
        <v>0.23599999999999999</v>
      </c>
      <c r="K94" s="68">
        <v>0.23200000000000001</v>
      </c>
      <c r="L94" s="68">
        <v>0.25600000000000001</v>
      </c>
      <c r="M94" s="68">
        <v>0.255</v>
      </c>
      <c r="N94" s="68">
        <v>0.27800000000000002</v>
      </c>
      <c r="O94" s="68">
        <v>0.27300000000000002</v>
      </c>
      <c r="P94" s="68">
        <v>0.28599999999999998</v>
      </c>
      <c r="Q94" s="68">
        <v>0.27700000000000002</v>
      </c>
      <c r="R94" s="68">
        <v>0.26800000000000002</v>
      </c>
      <c r="S94" s="68">
        <v>0.27300000000000002</v>
      </c>
      <c r="T94" s="68">
        <v>0.27200000000000002</v>
      </c>
      <c r="U94" s="68">
        <v>0.27800000000000002</v>
      </c>
      <c r="V94" s="68">
        <v>0.29799999999999999</v>
      </c>
      <c r="W94" s="68">
        <v>0.28299999999999997</v>
      </c>
      <c r="X94" s="68">
        <v>0.28699999999999998</v>
      </c>
      <c r="Y94" s="68">
        <v>0.29099999999999998</v>
      </c>
      <c r="Z94" s="68">
        <v>0.27100000000000002</v>
      </c>
      <c r="AA94" s="68">
        <v>0.26300000000000001</v>
      </c>
      <c r="AB94" s="68">
        <v>0.26300000000000001</v>
      </c>
      <c r="AC94" s="68">
        <v>0.26500000000000001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21" t="s">
        <v>104</v>
      </c>
      <c r="B95" s="521"/>
      <c r="C95" s="522"/>
      <c r="D95" s="45"/>
      <c r="E95" s="45"/>
      <c r="F95" s="68"/>
      <c r="G95" s="68"/>
      <c r="H95" s="68"/>
      <c r="I95" s="68"/>
      <c r="J95" s="68"/>
      <c r="K95" s="68"/>
      <c r="L95" s="68"/>
      <c r="M95" s="68"/>
      <c r="N95" s="68"/>
      <c r="O95" s="68"/>
      <c r="P95" s="68"/>
      <c r="Q95" s="68"/>
      <c r="R95" s="68"/>
      <c r="S95" s="68"/>
      <c r="T95" s="68"/>
      <c r="U95" s="68" t="s">
        <v>1</v>
      </c>
      <c r="V95" s="68" t="s">
        <v>1</v>
      </c>
      <c r="W95" s="68" t="s">
        <v>1</v>
      </c>
      <c r="X95" s="68" t="s">
        <v>1</v>
      </c>
      <c r="Y95" s="68" t="s">
        <v>1</v>
      </c>
      <c r="Z95" s="68" t="s">
        <v>1</v>
      </c>
      <c r="AA95" s="68" t="s">
        <v>1</v>
      </c>
      <c r="AB95" s="68"/>
      <c r="AC95" s="68"/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07" t="s">
        <v>32</v>
      </c>
      <c r="B96" s="508"/>
      <c r="C96" s="509"/>
      <c r="D96" s="45"/>
      <c r="E96" s="45"/>
      <c r="F96" s="65">
        <f t="shared" ref="F96:AC96" si="24">F34</f>
        <v>14.29</v>
      </c>
      <c r="G96" s="65">
        <f t="shared" si="24"/>
        <v>14.32</v>
      </c>
      <c r="H96" s="65">
        <f t="shared" si="24"/>
        <v>14.3</v>
      </c>
      <c r="I96" s="65">
        <f t="shared" si="24"/>
        <v>14.31</v>
      </c>
      <c r="J96" s="65">
        <f t="shared" si="24"/>
        <v>14.31</v>
      </c>
      <c r="K96" s="65">
        <f t="shared" si="24"/>
        <v>14.32</v>
      </c>
      <c r="L96" s="65">
        <f t="shared" si="24"/>
        <v>14.29</v>
      </c>
      <c r="M96" s="65">
        <f t="shared" si="24"/>
        <v>14.3</v>
      </c>
      <c r="N96" s="65">
        <f t="shared" si="24"/>
        <v>14.28</v>
      </c>
      <c r="O96" s="65">
        <f t="shared" si="24"/>
        <v>14.16</v>
      </c>
      <c r="P96" s="65">
        <f t="shared" si="24"/>
        <v>14.15</v>
      </c>
      <c r="Q96" s="65">
        <f t="shared" si="24"/>
        <v>14.1</v>
      </c>
      <c r="R96" s="65">
        <f t="shared" si="24"/>
        <v>14.19</v>
      </c>
      <c r="S96" s="65">
        <f t="shared" si="24"/>
        <v>14.27</v>
      </c>
      <c r="T96" s="65">
        <f t="shared" si="24"/>
        <v>14.36</v>
      </c>
      <c r="U96" s="65">
        <f t="shared" si="24"/>
        <v>14.36</v>
      </c>
      <c r="V96" s="65">
        <f t="shared" si="24"/>
        <v>14.21</v>
      </c>
      <c r="W96" s="65">
        <f t="shared" si="24"/>
        <v>14.22</v>
      </c>
      <c r="X96" s="65">
        <f t="shared" si="24"/>
        <v>14.05</v>
      </c>
      <c r="Y96" s="65">
        <f t="shared" si="24"/>
        <v>14.2</v>
      </c>
      <c r="Z96" s="65">
        <f t="shared" si="24"/>
        <v>14.18</v>
      </c>
      <c r="AA96" s="65">
        <f t="shared" si="24"/>
        <v>14.26</v>
      </c>
      <c r="AB96" s="65">
        <f t="shared" si="24"/>
        <v>14.27</v>
      </c>
      <c r="AC96" s="65">
        <f t="shared" si="24"/>
        <v>14.26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21" t="s">
        <v>81</v>
      </c>
      <c r="B97" s="521"/>
      <c r="C97" s="522"/>
      <c r="D97" s="68"/>
      <c r="E97" s="68"/>
      <c r="F97" s="68">
        <v>0.71</v>
      </c>
      <c r="G97" s="68">
        <v>0.68</v>
      </c>
      <c r="H97" s="68">
        <v>0.7</v>
      </c>
      <c r="I97" s="68">
        <v>0.69</v>
      </c>
      <c r="J97" s="68">
        <v>0.7</v>
      </c>
      <c r="K97" s="68">
        <v>0.68</v>
      </c>
      <c r="L97" s="68">
        <v>0.71</v>
      </c>
      <c r="M97" s="68">
        <v>0.7</v>
      </c>
      <c r="N97" s="68">
        <v>0.72</v>
      </c>
      <c r="O97" s="68">
        <v>0.84</v>
      </c>
      <c r="P97" s="68">
        <v>0.85</v>
      </c>
      <c r="Q97" s="68">
        <v>0.9</v>
      </c>
      <c r="R97" s="68">
        <v>0.81</v>
      </c>
      <c r="S97" s="68">
        <v>0.73</v>
      </c>
      <c r="T97" s="68">
        <v>0.64</v>
      </c>
      <c r="U97" s="68">
        <v>0.64</v>
      </c>
      <c r="V97" s="68">
        <v>0.79</v>
      </c>
      <c r="W97" s="68">
        <v>0.78</v>
      </c>
      <c r="X97" s="68">
        <v>0.95</v>
      </c>
      <c r="Y97" s="68">
        <v>0.8</v>
      </c>
      <c r="Z97" s="68">
        <v>0.82</v>
      </c>
      <c r="AA97" s="68">
        <v>0.74</v>
      </c>
      <c r="AB97" s="68">
        <v>0.73</v>
      </c>
      <c r="AC97" s="68">
        <v>0.74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07" t="s">
        <v>33</v>
      </c>
      <c r="B98" s="508"/>
      <c r="C98" s="509"/>
      <c r="D98" s="45"/>
      <c r="E98" s="45"/>
      <c r="F98" s="64">
        <f t="shared" ref="F98:AC98" si="25">F60</f>
        <v>0</v>
      </c>
      <c r="G98" s="64">
        <f t="shared" si="25"/>
        <v>0</v>
      </c>
      <c r="H98" s="64">
        <f t="shared" si="25"/>
        <v>3.1</v>
      </c>
      <c r="I98" s="64">
        <f t="shared" si="25"/>
        <v>1.5</v>
      </c>
      <c r="J98" s="64">
        <f t="shared" si="25"/>
        <v>0.8</v>
      </c>
      <c r="K98" s="64">
        <f t="shared" si="25"/>
        <v>0.8</v>
      </c>
      <c r="L98" s="64">
        <f t="shared" si="25"/>
        <v>0.8</v>
      </c>
      <c r="M98" s="64">
        <f t="shared" si="25"/>
        <v>0</v>
      </c>
      <c r="N98" s="64">
        <f t="shared" si="25"/>
        <v>0.8</v>
      </c>
      <c r="O98" s="64">
        <f t="shared" si="25"/>
        <v>0</v>
      </c>
      <c r="P98" s="64">
        <f t="shared" si="25"/>
        <v>0</v>
      </c>
      <c r="Q98" s="64">
        <f t="shared" si="25"/>
        <v>2.0999999999999996</v>
      </c>
      <c r="R98" s="64">
        <f t="shared" si="25"/>
        <v>0</v>
      </c>
      <c r="S98" s="64">
        <f t="shared" si="25"/>
        <v>2.2000000000000002</v>
      </c>
      <c r="T98" s="64">
        <f t="shared" si="25"/>
        <v>3.9000000000000004</v>
      </c>
      <c r="U98" s="64">
        <f t="shared" si="25"/>
        <v>3.1000000000000005</v>
      </c>
      <c r="V98" s="64">
        <f t="shared" si="25"/>
        <v>2.2000000000000002</v>
      </c>
      <c r="W98" s="64">
        <f t="shared" si="25"/>
        <v>1.5</v>
      </c>
      <c r="X98" s="64">
        <f t="shared" si="25"/>
        <v>1.5</v>
      </c>
      <c r="Y98" s="64">
        <f t="shared" si="25"/>
        <v>1.5</v>
      </c>
      <c r="Z98" s="64">
        <f t="shared" si="25"/>
        <v>2.0999999999999996</v>
      </c>
      <c r="AA98" s="64">
        <f t="shared" si="25"/>
        <v>2.2000000000000002</v>
      </c>
      <c r="AB98" s="64">
        <f t="shared" si="25"/>
        <v>1.5</v>
      </c>
      <c r="AC98" s="64">
        <f t="shared" si="25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07" t="s">
        <v>55</v>
      </c>
      <c r="B99" s="508"/>
      <c r="C99" s="509"/>
      <c r="D99" s="45"/>
      <c r="E99" s="45"/>
      <c r="F99" s="64">
        <f t="shared" ref="F99:AC99" si="26">F65</f>
        <v>1.1100000000000001</v>
      </c>
      <c r="G99" s="64">
        <f t="shared" si="26"/>
        <v>1.04</v>
      </c>
      <c r="H99" s="64">
        <f t="shared" si="26"/>
        <v>0.99</v>
      </c>
      <c r="I99" s="64">
        <f t="shared" si="26"/>
        <v>0.88</v>
      </c>
      <c r="J99" s="64">
        <f t="shared" si="26"/>
        <v>0.86</v>
      </c>
      <c r="K99" s="64">
        <f t="shared" si="26"/>
        <v>0.83</v>
      </c>
      <c r="L99" s="64">
        <f t="shared" si="26"/>
        <v>0.89</v>
      </c>
      <c r="M99" s="64">
        <f t="shared" si="26"/>
        <v>0.94</v>
      </c>
      <c r="N99" s="64">
        <f t="shared" si="26"/>
        <v>1.06</v>
      </c>
      <c r="O99" s="64">
        <f t="shared" si="26"/>
        <v>1.08</v>
      </c>
      <c r="P99" s="64">
        <f t="shared" si="26"/>
        <v>1.1100000000000001</v>
      </c>
      <c r="Q99" s="64">
        <f t="shared" si="26"/>
        <v>1.1200000000000001</v>
      </c>
      <c r="R99" s="64">
        <f t="shared" si="26"/>
        <v>1.18</v>
      </c>
      <c r="S99" s="64">
        <f t="shared" si="26"/>
        <v>1.2</v>
      </c>
      <c r="T99" s="64">
        <f t="shared" si="26"/>
        <v>1.19</v>
      </c>
      <c r="U99" s="64">
        <f t="shared" si="26"/>
        <v>1.18</v>
      </c>
      <c r="V99" s="64">
        <f t="shared" si="26"/>
        <v>1.19</v>
      </c>
      <c r="W99" s="64">
        <f t="shared" si="26"/>
        <v>1.19</v>
      </c>
      <c r="X99" s="64">
        <f t="shared" si="26"/>
        <v>1.18</v>
      </c>
      <c r="Y99" s="64">
        <f t="shared" si="26"/>
        <v>1.5</v>
      </c>
      <c r="Z99" s="64">
        <f t="shared" si="26"/>
        <v>1.52</v>
      </c>
      <c r="AA99" s="64">
        <f t="shared" si="26"/>
        <v>1.51</v>
      </c>
      <c r="AB99" s="64">
        <f t="shared" si="26"/>
        <v>1.33</v>
      </c>
      <c r="AC99" s="64">
        <f t="shared" si="26"/>
        <v>1.23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07" t="s">
        <v>59</v>
      </c>
      <c r="B100" s="508"/>
      <c r="C100" s="509"/>
      <c r="D100" s="45"/>
      <c r="E100" s="45"/>
      <c r="F100" s="64">
        <f t="shared" ref="F100:AC100" si="27">F76</f>
        <v>0</v>
      </c>
      <c r="G100" s="64">
        <f t="shared" si="27"/>
        <v>0</v>
      </c>
      <c r="H100" s="64">
        <f t="shared" si="27"/>
        <v>0</v>
      </c>
      <c r="I100" s="64">
        <f t="shared" si="27"/>
        <v>0</v>
      </c>
      <c r="J100" s="64">
        <f t="shared" si="27"/>
        <v>0</v>
      </c>
      <c r="K100" s="64">
        <f t="shared" si="27"/>
        <v>0</v>
      </c>
      <c r="L100" s="64">
        <f t="shared" si="27"/>
        <v>0</v>
      </c>
      <c r="M100" s="64">
        <f t="shared" si="27"/>
        <v>0</v>
      </c>
      <c r="N100" s="64">
        <f t="shared" si="27"/>
        <v>0</v>
      </c>
      <c r="O100" s="64">
        <f t="shared" si="27"/>
        <v>0</v>
      </c>
      <c r="P100" s="64">
        <f t="shared" si="27"/>
        <v>0</v>
      </c>
      <c r="Q100" s="64">
        <f t="shared" si="27"/>
        <v>0</v>
      </c>
      <c r="R100" s="64">
        <f t="shared" si="27"/>
        <v>0</v>
      </c>
      <c r="S100" s="64">
        <f t="shared" si="27"/>
        <v>0</v>
      </c>
      <c r="T100" s="64">
        <f t="shared" si="27"/>
        <v>0</v>
      </c>
      <c r="U100" s="64">
        <f t="shared" si="27"/>
        <v>0</v>
      </c>
      <c r="V100" s="64">
        <f t="shared" si="27"/>
        <v>0</v>
      </c>
      <c r="W100" s="64">
        <f t="shared" si="27"/>
        <v>0</v>
      </c>
      <c r="X100" s="64">
        <f t="shared" si="27"/>
        <v>0</v>
      </c>
      <c r="Y100" s="64">
        <f t="shared" si="27"/>
        <v>0</v>
      </c>
      <c r="Z100" s="64">
        <f t="shared" si="27"/>
        <v>0</v>
      </c>
      <c r="AA100" s="64">
        <f t="shared" si="27"/>
        <v>0</v>
      </c>
      <c r="AB100" s="64">
        <f t="shared" si="27"/>
        <v>0</v>
      </c>
      <c r="AC100" s="64">
        <f t="shared" si="27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07" t="s">
        <v>69</v>
      </c>
      <c r="B101" s="508"/>
      <c r="C101" s="509"/>
      <c r="D101" s="45"/>
      <c r="E101" s="45"/>
      <c r="F101" s="64">
        <f t="shared" ref="F101:AC101" si="28">F80</f>
        <v>0.81</v>
      </c>
      <c r="G101" s="64">
        <f t="shared" si="28"/>
        <v>0.68</v>
      </c>
      <c r="H101" s="64">
        <f t="shared" si="28"/>
        <v>0.76</v>
      </c>
      <c r="I101" s="64">
        <f t="shared" si="28"/>
        <v>0.73</v>
      </c>
      <c r="J101" s="64">
        <f t="shared" si="28"/>
        <v>0.72</v>
      </c>
      <c r="K101" s="64">
        <f t="shared" si="28"/>
        <v>0.71</v>
      </c>
      <c r="L101" s="64">
        <f t="shared" si="28"/>
        <v>0.74</v>
      </c>
      <c r="M101" s="64">
        <f t="shared" si="28"/>
        <v>0.72</v>
      </c>
      <c r="N101" s="64">
        <f t="shared" si="28"/>
        <v>0.75</v>
      </c>
      <c r="O101" s="64">
        <f t="shared" si="28"/>
        <v>0.75</v>
      </c>
      <c r="P101" s="64">
        <f t="shared" si="28"/>
        <v>0.77</v>
      </c>
      <c r="Q101" s="64">
        <f t="shared" si="28"/>
        <v>0.82</v>
      </c>
      <c r="R101" s="64">
        <f t="shared" si="28"/>
        <v>0.82</v>
      </c>
      <c r="S101" s="64">
        <f t="shared" si="28"/>
        <v>0.8</v>
      </c>
      <c r="T101" s="64">
        <f t="shared" si="28"/>
        <v>0.85</v>
      </c>
      <c r="U101" s="64">
        <f t="shared" si="28"/>
        <v>0.84</v>
      </c>
      <c r="V101" s="64">
        <f t="shared" si="28"/>
        <v>0.84</v>
      </c>
      <c r="W101" s="64">
        <f t="shared" si="28"/>
        <v>0.8</v>
      </c>
      <c r="X101" s="64">
        <f t="shared" si="28"/>
        <v>0.79</v>
      </c>
      <c r="Y101" s="64">
        <f t="shared" si="28"/>
        <v>0.93</v>
      </c>
      <c r="Z101" s="64">
        <f t="shared" si="28"/>
        <v>0.97</v>
      </c>
      <c r="AA101" s="64">
        <f t="shared" si="28"/>
        <v>0.91</v>
      </c>
      <c r="AB101" s="64">
        <f t="shared" si="28"/>
        <v>0.87</v>
      </c>
      <c r="AC101" s="64">
        <f t="shared" si="28"/>
        <v>0.83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07" t="s">
        <v>72</v>
      </c>
      <c r="B102" s="508"/>
      <c r="C102" s="509"/>
      <c r="D102" s="45"/>
      <c r="E102" s="45"/>
      <c r="F102" s="64">
        <f t="shared" ref="F102:AC102" si="29">F82</f>
        <v>0</v>
      </c>
      <c r="G102" s="64">
        <f t="shared" si="29"/>
        <v>0</v>
      </c>
      <c r="H102" s="64">
        <f t="shared" si="29"/>
        <v>0</v>
      </c>
      <c r="I102" s="64">
        <f t="shared" si="29"/>
        <v>0</v>
      </c>
      <c r="J102" s="64">
        <f t="shared" si="29"/>
        <v>0</v>
      </c>
      <c r="K102" s="64">
        <f t="shared" si="29"/>
        <v>0</v>
      </c>
      <c r="L102" s="64">
        <f t="shared" si="29"/>
        <v>0</v>
      </c>
      <c r="M102" s="64">
        <f t="shared" si="29"/>
        <v>0</v>
      </c>
      <c r="N102" s="64">
        <f t="shared" si="29"/>
        <v>0</v>
      </c>
      <c r="O102" s="64">
        <f t="shared" si="29"/>
        <v>0</v>
      </c>
      <c r="P102" s="64">
        <f t="shared" si="29"/>
        <v>0</v>
      </c>
      <c r="Q102" s="64">
        <f t="shared" si="29"/>
        <v>0</v>
      </c>
      <c r="R102" s="64">
        <f t="shared" si="29"/>
        <v>0</v>
      </c>
      <c r="S102" s="64">
        <f t="shared" si="29"/>
        <v>0</v>
      </c>
      <c r="T102" s="64">
        <f t="shared" si="29"/>
        <v>0</v>
      </c>
      <c r="U102" s="64">
        <f t="shared" si="29"/>
        <v>0</v>
      </c>
      <c r="V102" s="64">
        <f t="shared" si="29"/>
        <v>0</v>
      </c>
      <c r="W102" s="64">
        <f t="shared" si="29"/>
        <v>0</v>
      </c>
      <c r="X102" s="64">
        <f t="shared" si="29"/>
        <v>0</v>
      </c>
      <c r="Y102" s="64">
        <f t="shared" si="29"/>
        <v>0</v>
      </c>
      <c r="Z102" s="64">
        <f t="shared" si="29"/>
        <v>0</v>
      </c>
      <c r="AA102" s="64">
        <f t="shared" si="29"/>
        <v>0</v>
      </c>
      <c r="AB102" s="64">
        <f t="shared" si="29"/>
        <v>0</v>
      </c>
      <c r="AC102" s="64">
        <f t="shared" si="29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11" t="s">
        <v>82</v>
      </c>
      <c r="B103" s="511"/>
      <c r="C103" s="511"/>
      <c r="D103" s="47"/>
      <c r="E103" s="47"/>
      <c r="F103" s="61">
        <f t="shared" ref="F103:AC103" si="30">SUM(F89,F91,F93,F96,F98:F102,F81)</f>
        <v>45.01</v>
      </c>
      <c r="G103" s="61">
        <f t="shared" si="30"/>
        <v>41.839999999999996</v>
      </c>
      <c r="H103" s="61">
        <f t="shared" si="30"/>
        <v>40.35</v>
      </c>
      <c r="I103" s="61">
        <f t="shared" si="30"/>
        <v>38.42</v>
      </c>
      <c r="J103" s="61">
        <f t="shared" si="30"/>
        <v>38.089999999999996</v>
      </c>
      <c r="K103" s="61">
        <f t="shared" si="30"/>
        <v>36.859999999999992</v>
      </c>
      <c r="L103" s="61">
        <f t="shared" si="30"/>
        <v>37.919999999999995</v>
      </c>
      <c r="M103" s="61">
        <f t="shared" si="30"/>
        <v>37.36</v>
      </c>
      <c r="N103" s="61">
        <f t="shared" si="30"/>
        <v>38.49</v>
      </c>
      <c r="O103" s="61">
        <f t="shared" si="30"/>
        <v>40.789999999999992</v>
      </c>
      <c r="P103" s="61">
        <f t="shared" si="30"/>
        <v>42.230000000000004</v>
      </c>
      <c r="Q103" s="61">
        <f t="shared" si="30"/>
        <v>43.54</v>
      </c>
      <c r="R103" s="61">
        <f t="shared" si="30"/>
        <v>44.589999999999996</v>
      </c>
      <c r="S103" s="61">
        <f t="shared" si="30"/>
        <v>46.57</v>
      </c>
      <c r="T103" s="61">
        <f t="shared" si="30"/>
        <v>47.899999999999991</v>
      </c>
      <c r="U103" s="61">
        <f t="shared" si="30"/>
        <v>48.080000000000005</v>
      </c>
      <c r="V103" s="61">
        <f t="shared" si="30"/>
        <v>46.34</v>
      </c>
      <c r="W103" s="61">
        <f t="shared" si="30"/>
        <v>45.509999999999991</v>
      </c>
      <c r="X103" s="61">
        <f t="shared" si="30"/>
        <v>45.92</v>
      </c>
      <c r="Y103" s="61">
        <f t="shared" si="30"/>
        <v>53.830000000000005</v>
      </c>
      <c r="Z103" s="61">
        <f t="shared" si="30"/>
        <v>53.970000000000006</v>
      </c>
      <c r="AA103" s="61">
        <f t="shared" si="30"/>
        <v>54.279999999999994</v>
      </c>
      <c r="AB103" s="61">
        <f t="shared" si="30"/>
        <v>52.37</v>
      </c>
      <c r="AC103" s="61">
        <f t="shared" si="30"/>
        <v>49.11999999999999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12" t="s">
        <v>83</v>
      </c>
      <c r="B104" s="512"/>
      <c r="C104" s="512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12" t="s">
        <v>84</v>
      </c>
      <c r="B105" s="512"/>
      <c r="C105" s="512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12" t="s">
        <v>85</v>
      </c>
      <c r="B106" s="512"/>
      <c r="C106" s="512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11" t="s">
        <v>86</v>
      </c>
      <c r="B107" s="511"/>
      <c r="C107" s="511"/>
      <c r="D107" s="47"/>
      <c r="E107" s="47"/>
      <c r="F107" s="61">
        <f t="shared" ref="F107:AC107" si="31">SUM(F104:F106)</f>
        <v>0</v>
      </c>
      <c r="G107" s="61">
        <f t="shared" si="31"/>
        <v>0</v>
      </c>
      <c r="H107" s="61">
        <f t="shared" si="31"/>
        <v>0</v>
      </c>
      <c r="I107" s="61">
        <f t="shared" si="31"/>
        <v>0</v>
      </c>
      <c r="J107" s="61">
        <f t="shared" si="31"/>
        <v>0</v>
      </c>
      <c r="K107" s="61">
        <f t="shared" si="31"/>
        <v>0</v>
      </c>
      <c r="L107" s="61">
        <f t="shared" si="31"/>
        <v>0</v>
      </c>
      <c r="M107" s="61">
        <f t="shared" si="31"/>
        <v>0</v>
      </c>
      <c r="N107" s="61">
        <f t="shared" si="31"/>
        <v>0</v>
      </c>
      <c r="O107" s="61">
        <f t="shared" si="31"/>
        <v>0</v>
      </c>
      <c r="P107" s="61">
        <f t="shared" si="31"/>
        <v>0</v>
      </c>
      <c r="Q107" s="61">
        <f t="shared" si="31"/>
        <v>0</v>
      </c>
      <c r="R107" s="61">
        <f t="shared" si="31"/>
        <v>0</v>
      </c>
      <c r="S107" s="61">
        <f t="shared" si="31"/>
        <v>0</v>
      </c>
      <c r="T107" s="61">
        <f t="shared" si="31"/>
        <v>0</v>
      </c>
      <c r="U107" s="61">
        <f t="shared" si="31"/>
        <v>0</v>
      </c>
      <c r="V107" s="61">
        <f t="shared" si="31"/>
        <v>0</v>
      </c>
      <c r="W107" s="61">
        <f t="shared" si="31"/>
        <v>0</v>
      </c>
      <c r="X107" s="61">
        <f t="shared" si="31"/>
        <v>0</v>
      </c>
      <c r="Y107" s="61">
        <f t="shared" si="31"/>
        <v>0</v>
      </c>
      <c r="Z107" s="61">
        <f t="shared" si="31"/>
        <v>0</v>
      </c>
      <c r="AA107" s="61">
        <f t="shared" si="31"/>
        <v>0</v>
      </c>
      <c r="AB107" s="61">
        <f t="shared" si="31"/>
        <v>0</v>
      </c>
      <c r="AC107" s="61">
        <f t="shared" si="31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13" t="s">
        <v>87</v>
      </c>
      <c r="B108" s="513"/>
      <c r="C108" s="513"/>
      <c r="D108" s="48"/>
      <c r="E108" s="48"/>
      <c r="F108" s="62">
        <f t="shared" ref="F108:AC108" si="32">F103+F107</f>
        <v>45.01</v>
      </c>
      <c r="G108" s="62">
        <f t="shared" si="32"/>
        <v>41.839999999999996</v>
      </c>
      <c r="H108" s="62">
        <f t="shared" si="32"/>
        <v>40.35</v>
      </c>
      <c r="I108" s="62">
        <f t="shared" si="32"/>
        <v>38.42</v>
      </c>
      <c r="J108" s="62">
        <f t="shared" si="32"/>
        <v>38.089999999999996</v>
      </c>
      <c r="K108" s="62">
        <f t="shared" si="32"/>
        <v>36.859999999999992</v>
      </c>
      <c r="L108" s="62">
        <f t="shared" si="32"/>
        <v>37.919999999999995</v>
      </c>
      <c r="M108" s="62">
        <f t="shared" si="32"/>
        <v>37.36</v>
      </c>
      <c r="N108" s="62">
        <f t="shared" si="32"/>
        <v>38.49</v>
      </c>
      <c r="O108" s="62">
        <f t="shared" si="32"/>
        <v>40.789999999999992</v>
      </c>
      <c r="P108" s="62">
        <f t="shared" si="32"/>
        <v>42.230000000000004</v>
      </c>
      <c r="Q108" s="62">
        <f t="shared" si="32"/>
        <v>43.54</v>
      </c>
      <c r="R108" s="62">
        <f t="shared" si="32"/>
        <v>44.589999999999996</v>
      </c>
      <c r="S108" s="62">
        <f t="shared" si="32"/>
        <v>46.57</v>
      </c>
      <c r="T108" s="62">
        <f>T103+T107</f>
        <v>47.899999999999991</v>
      </c>
      <c r="U108" s="62">
        <f t="shared" si="32"/>
        <v>48.080000000000005</v>
      </c>
      <c r="V108" s="62">
        <f t="shared" si="32"/>
        <v>46.34</v>
      </c>
      <c r="W108" s="62">
        <f>W103+W107</f>
        <v>45.509999999999991</v>
      </c>
      <c r="X108" s="62">
        <f t="shared" si="32"/>
        <v>45.92</v>
      </c>
      <c r="Y108" s="62">
        <f t="shared" si="32"/>
        <v>53.830000000000005</v>
      </c>
      <c r="Z108" s="62">
        <f t="shared" si="32"/>
        <v>53.970000000000006</v>
      </c>
      <c r="AA108" s="62">
        <f t="shared" si="32"/>
        <v>54.279999999999994</v>
      </c>
      <c r="AB108" s="62">
        <f t="shared" si="32"/>
        <v>52.37</v>
      </c>
      <c r="AC108" s="62">
        <f t="shared" si="32"/>
        <v>49.11999999999999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14" t="s">
        <v>88</v>
      </c>
      <c r="B109" s="514"/>
      <c r="C109" s="514"/>
      <c r="D109" s="52"/>
      <c r="E109" s="52"/>
      <c r="F109" s="63">
        <f t="shared" ref="F109:AC109" si="33">(COUNT(F13:F16))*7.2+(COUNT(F27:F28)*4.9)+(COUNT(F19:F21)*4.5)-F91-F93</f>
        <v>10.100000000000009</v>
      </c>
      <c r="G109" s="63">
        <f t="shared" si="33"/>
        <v>10.100000000000009</v>
      </c>
      <c r="H109" s="63">
        <f t="shared" si="33"/>
        <v>14.700000000000006</v>
      </c>
      <c r="I109" s="63">
        <f t="shared" si="33"/>
        <v>14.900000000000006</v>
      </c>
      <c r="J109" s="63">
        <f t="shared" si="33"/>
        <v>14.500000000000007</v>
      </c>
      <c r="K109" s="63">
        <f t="shared" si="33"/>
        <v>15.700000000000006</v>
      </c>
      <c r="L109" s="63">
        <f t="shared" si="33"/>
        <v>14.700000000000006</v>
      </c>
      <c r="M109" s="63">
        <f t="shared" si="33"/>
        <v>14.500000000000007</v>
      </c>
      <c r="N109" s="63">
        <f t="shared" si="33"/>
        <v>14.300000000000004</v>
      </c>
      <c r="O109" s="63">
        <f t="shared" si="33"/>
        <v>14.100000000000007</v>
      </c>
      <c r="P109" s="63">
        <f t="shared" si="33"/>
        <v>13.500000000000005</v>
      </c>
      <c r="Q109" s="63">
        <f t="shared" si="33"/>
        <v>14.300000000000008</v>
      </c>
      <c r="R109" s="63">
        <f t="shared" si="33"/>
        <v>18.600000000000005</v>
      </c>
      <c r="S109" s="63">
        <f t="shared" si="33"/>
        <v>19.000000000000007</v>
      </c>
      <c r="T109" s="63">
        <f t="shared" si="33"/>
        <v>18.600000000000005</v>
      </c>
      <c r="U109" s="63">
        <f t="shared" si="33"/>
        <v>13.900000000000007</v>
      </c>
      <c r="V109" s="63">
        <f t="shared" si="33"/>
        <v>14.600000000000005</v>
      </c>
      <c r="W109" s="63">
        <f t="shared" si="33"/>
        <v>14.700000000000006</v>
      </c>
      <c r="X109" s="63">
        <f t="shared" si="33"/>
        <v>14.100000000000005</v>
      </c>
      <c r="Y109" s="63">
        <f t="shared" si="33"/>
        <v>6.8000000000000025</v>
      </c>
      <c r="Z109" s="63">
        <f t="shared" si="33"/>
        <v>7.3000000000000078</v>
      </c>
      <c r="AA109" s="63">
        <f t="shared" si="33"/>
        <v>7.1000000000000068</v>
      </c>
      <c r="AB109" s="63">
        <f t="shared" si="33"/>
        <v>8.1000000000000085</v>
      </c>
      <c r="AC109" s="63">
        <f t="shared" si="33"/>
        <v>8.4000000000000057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15" t="s">
        <v>89</v>
      </c>
      <c r="B110" s="516"/>
      <c r="C110" s="517"/>
      <c r="D110" s="204"/>
      <c r="E110" s="204"/>
      <c r="F110" s="205">
        <f t="shared" ref="F110:P110" si="34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5.7000000000000046</v>
      </c>
      <c r="G110" s="205">
        <f t="shared" si="34"/>
        <v>4.2000000000000046</v>
      </c>
      <c r="H110" s="205">
        <f t="shared" si="34"/>
        <v>1.6000000000000014</v>
      </c>
      <c r="I110" s="205">
        <f t="shared" si="34"/>
        <v>1.8000000000000007</v>
      </c>
      <c r="J110" s="205">
        <f t="shared" si="34"/>
        <v>1.4000000000000004</v>
      </c>
      <c r="K110" s="205">
        <f t="shared" si="34"/>
        <v>2.6000000000000005</v>
      </c>
      <c r="L110" s="205">
        <f t="shared" si="34"/>
        <v>1.6000000000000014</v>
      </c>
      <c r="M110" s="205">
        <f t="shared" si="34"/>
        <v>1.4000000000000004</v>
      </c>
      <c r="N110" s="205">
        <f t="shared" si="34"/>
        <v>1.2000000000000011</v>
      </c>
      <c r="O110" s="205">
        <f t="shared" si="34"/>
        <v>2.5</v>
      </c>
      <c r="P110" s="205">
        <f t="shared" si="34"/>
        <v>1.1000000000000005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3.3000000000000034</v>
      </c>
      <c r="R110" s="205">
        <f t="shared" ref="R110:AC110" si="35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3.0000000000000018</v>
      </c>
      <c r="S110" s="205">
        <f t="shared" si="35"/>
        <v>3.3000000000000025</v>
      </c>
      <c r="T110" s="205">
        <f t="shared" si="35"/>
        <v>3.8000000000000016</v>
      </c>
      <c r="U110" s="205">
        <f t="shared" si="35"/>
        <v>2.8000000000000007</v>
      </c>
      <c r="V110" s="205">
        <f t="shared" si="35"/>
        <v>3.5000000000000018</v>
      </c>
      <c r="W110" s="205">
        <f t="shared" si="35"/>
        <v>3.6000000000000014</v>
      </c>
      <c r="X110" s="205">
        <f t="shared" si="35"/>
        <v>3.0000000000000018</v>
      </c>
      <c r="Y110" s="205">
        <f t="shared" si="35"/>
        <v>2.8999999999999986</v>
      </c>
      <c r="Z110" s="205">
        <f t="shared" si="35"/>
        <v>3.4000000000000039</v>
      </c>
      <c r="AA110" s="205">
        <f t="shared" si="35"/>
        <v>3.2000000000000028</v>
      </c>
      <c r="AB110" s="205">
        <f t="shared" si="35"/>
        <v>4.2000000000000046</v>
      </c>
      <c r="AC110" s="205">
        <f t="shared" si="35"/>
        <v>5.8000000000000007</v>
      </c>
      <c r="AD110" s="26"/>
      <c r="AE110" s="26"/>
      <c r="AF110" s="466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10" t="s">
        <v>91</v>
      </c>
      <c r="B111" s="510"/>
      <c r="C111" s="510"/>
      <c r="D111" s="60"/>
      <c r="E111" s="72"/>
      <c r="F111" s="74">
        <v>60.15</v>
      </c>
      <c r="G111" s="74">
        <v>60.14</v>
      </c>
      <c r="H111" s="74">
        <v>60.13</v>
      </c>
      <c r="I111" s="74">
        <v>60.19</v>
      </c>
      <c r="J111" s="74">
        <v>60.14</v>
      </c>
      <c r="K111" s="74">
        <v>60.2</v>
      </c>
      <c r="L111" s="74">
        <v>60.18</v>
      </c>
      <c r="M111" s="74">
        <v>60.18</v>
      </c>
      <c r="N111" s="74">
        <v>60.06</v>
      </c>
      <c r="O111" s="74">
        <v>60.11</v>
      </c>
      <c r="P111" s="83">
        <v>60.03</v>
      </c>
      <c r="Q111" s="83">
        <v>60.13</v>
      </c>
      <c r="R111" s="83">
        <v>60.1</v>
      </c>
      <c r="S111" s="83">
        <v>60.12</v>
      </c>
      <c r="T111" s="83">
        <v>60.1</v>
      </c>
      <c r="U111" s="74">
        <v>60.07</v>
      </c>
      <c r="V111" s="74">
        <v>60.14</v>
      </c>
      <c r="W111" s="74">
        <v>60.17</v>
      </c>
      <c r="X111" s="74">
        <v>60.14</v>
      </c>
      <c r="Y111" s="74">
        <v>60.05</v>
      </c>
      <c r="Z111" s="74">
        <v>60.11</v>
      </c>
      <c r="AA111" s="74">
        <v>60.13</v>
      </c>
      <c r="AB111" s="74">
        <v>60.17</v>
      </c>
      <c r="AC111" s="74">
        <v>60.21</v>
      </c>
      <c r="AD111" s="26"/>
      <c r="AE111" s="26"/>
      <c r="AF111" s="467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18" t="s">
        <v>93</v>
      </c>
      <c r="B112" s="519"/>
      <c r="C112" s="520"/>
      <c r="D112" s="60"/>
      <c r="E112" s="72"/>
      <c r="F112" s="74"/>
      <c r="G112" s="74"/>
      <c r="H112" s="74"/>
      <c r="I112" s="74"/>
      <c r="J112" s="74"/>
      <c r="K112" s="74"/>
      <c r="L112" s="74"/>
      <c r="M112" s="74"/>
      <c r="N112" s="74"/>
      <c r="O112" s="74"/>
      <c r="P112" s="74"/>
      <c r="Q112" s="74"/>
      <c r="R112" s="74"/>
      <c r="S112" s="74"/>
      <c r="T112" s="74"/>
      <c r="U112" s="74"/>
      <c r="V112" s="74"/>
      <c r="W112" s="74"/>
      <c r="X112" s="74"/>
      <c r="Y112" s="74"/>
      <c r="Z112" s="74"/>
      <c r="AA112" s="74"/>
      <c r="AB112" s="74"/>
      <c r="AC112" s="74"/>
      <c r="AD112" s="26"/>
      <c r="AE112" s="26"/>
      <c r="AF112" s="469"/>
      <c r="AG112" s="472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18" t="s">
        <v>95</v>
      </c>
      <c r="B113" s="519"/>
      <c r="C113" s="520"/>
      <c r="D113" s="60"/>
      <c r="E113" s="74"/>
      <c r="F113" s="74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10" t="s">
        <v>96</v>
      </c>
      <c r="B114" s="510"/>
      <c r="C114" s="510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 t="s">
        <v>101</v>
      </c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10" t="s">
        <v>97</v>
      </c>
      <c r="B115" s="510"/>
      <c r="C115" s="510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499" t="s">
        <v>98</v>
      </c>
      <c r="B117" s="499"/>
      <c r="C117" s="499"/>
      <c r="D117" s="499"/>
      <c r="E117" s="499"/>
      <c r="F117" s="499"/>
      <c r="G117" s="499"/>
      <c r="H117" s="499"/>
      <c r="I117" s="499"/>
      <c r="J117" s="499"/>
      <c r="K117" s="499"/>
      <c r="L117" s="499"/>
      <c r="M117" s="499"/>
      <c r="N117" s="499"/>
      <c r="O117" s="499"/>
      <c r="P117" s="499"/>
      <c r="Q117" s="499"/>
      <c r="R117" s="499"/>
      <c r="S117" s="499"/>
      <c r="T117" s="499"/>
      <c r="U117" s="499"/>
      <c r="V117" s="499"/>
      <c r="W117" s="499"/>
      <c r="X117" s="499"/>
      <c r="Y117" s="499"/>
      <c r="Z117" s="499"/>
      <c r="AA117" s="499"/>
      <c r="AB117" s="499"/>
      <c r="AC117" s="499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00" t="s">
        <v>75</v>
      </c>
      <c r="B119" s="501"/>
      <c r="C119" s="502"/>
      <c r="D119" s="49"/>
      <c r="E119" s="49"/>
      <c r="F119" s="506" t="s">
        <v>76</v>
      </c>
      <c r="G119" s="506"/>
      <c r="H119" s="506"/>
      <c r="I119" s="506"/>
      <c r="J119" s="506"/>
      <c r="K119" s="506"/>
      <c r="L119" s="506"/>
      <c r="M119" s="506"/>
      <c r="N119" s="506"/>
      <c r="O119" s="506"/>
      <c r="P119" s="506"/>
      <c r="Q119" s="506"/>
      <c r="R119" s="506"/>
      <c r="S119" s="506"/>
      <c r="T119" s="506"/>
      <c r="U119" s="506"/>
      <c r="V119" s="506"/>
      <c r="W119" s="506"/>
      <c r="X119" s="506"/>
      <c r="Y119" s="506"/>
      <c r="Z119" s="506"/>
      <c r="AA119" s="506"/>
      <c r="AB119" s="506"/>
      <c r="AC119" s="506"/>
      <c r="AD119" s="5"/>
      <c r="AE119" s="5"/>
      <c r="AF119" s="5"/>
      <c r="AG119" s="5"/>
      <c r="AH119" s="5"/>
    </row>
    <row r="120" spans="1:124" ht="15.6" hidden="1" customHeight="1">
      <c r="A120" s="503"/>
      <c r="B120" s="504"/>
      <c r="C120" s="505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07" t="s">
        <v>27</v>
      </c>
      <c r="B121" s="508"/>
      <c r="C121" s="509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07" t="s">
        <v>78</v>
      </c>
      <c r="B122" s="508"/>
      <c r="C122" s="509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07" t="s">
        <v>29</v>
      </c>
      <c r="B123" s="508"/>
      <c r="C123" s="509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07" t="s">
        <v>32</v>
      </c>
      <c r="B124" s="508"/>
      <c r="C124" s="509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07" t="s">
        <v>33</v>
      </c>
      <c r="B125" s="508"/>
      <c r="C125" s="509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07" t="s">
        <v>55</v>
      </c>
      <c r="B126" s="508"/>
      <c r="C126" s="509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07" t="s">
        <v>59</v>
      </c>
      <c r="B127" s="508"/>
      <c r="C127" s="509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07" t="s">
        <v>69</v>
      </c>
      <c r="B128" s="508"/>
      <c r="C128" s="509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496" t="s">
        <v>99</v>
      </c>
      <c r="B129" s="497"/>
      <c r="C129" s="498"/>
      <c r="D129" s="51"/>
      <c r="E129" s="51"/>
      <c r="F129" s="44">
        <f>SUM(F121:F128)</f>
        <v>0</v>
      </c>
      <c r="G129" s="44">
        <f t="shared" ref="G129:AB129" si="36">SUM(G121:G128)</f>
        <v>0</v>
      </c>
      <c r="H129" s="44">
        <f t="shared" si="36"/>
        <v>0</v>
      </c>
      <c r="I129" s="44">
        <f t="shared" si="36"/>
        <v>0</v>
      </c>
      <c r="J129" s="44">
        <f t="shared" si="36"/>
        <v>0</v>
      </c>
      <c r="K129" s="44">
        <f t="shared" si="36"/>
        <v>0</v>
      </c>
      <c r="L129" s="44">
        <f t="shared" si="36"/>
        <v>0</v>
      </c>
      <c r="M129" s="44">
        <f t="shared" si="36"/>
        <v>0</v>
      </c>
      <c r="N129" s="44">
        <f t="shared" si="36"/>
        <v>0</v>
      </c>
      <c r="O129" s="44">
        <f t="shared" si="36"/>
        <v>0</v>
      </c>
      <c r="P129" s="44">
        <f t="shared" si="36"/>
        <v>0</v>
      </c>
      <c r="Q129" s="44">
        <f t="shared" si="36"/>
        <v>0</v>
      </c>
      <c r="R129" s="44">
        <f t="shared" si="36"/>
        <v>0</v>
      </c>
      <c r="S129" s="44">
        <f t="shared" si="36"/>
        <v>0</v>
      </c>
      <c r="T129" s="44">
        <f t="shared" si="36"/>
        <v>0</v>
      </c>
      <c r="U129" s="44">
        <f t="shared" si="36"/>
        <v>0</v>
      </c>
      <c r="V129" s="44">
        <f t="shared" si="36"/>
        <v>0</v>
      </c>
      <c r="W129" s="44">
        <f t="shared" si="36"/>
        <v>0</v>
      </c>
      <c r="X129" s="44">
        <f t="shared" si="36"/>
        <v>0</v>
      </c>
      <c r="Y129" s="44">
        <f t="shared" si="36"/>
        <v>0</v>
      </c>
      <c r="Z129" s="44">
        <f t="shared" si="36"/>
        <v>0</v>
      </c>
      <c r="AA129" s="44">
        <f t="shared" si="36"/>
        <v>0</v>
      </c>
      <c r="AB129" s="44">
        <f t="shared" si="36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4051" priority="232" operator="greaterThan">
      <formula>60.3</formula>
    </cfRule>
  </conditionalFormatting>
  <conditionalFormatting sqref="F111">
    <cfRule type="cellIs" dxfId="4050" priority="231" operator="greaterThan">
      <formula>60.3</formula>
    </cfRule>
  </conditionalFormatting>
  <conditionalFormatting sqref="G67:AC75 G78:AC79">
    <cfRule type="cellIs" dxfId="4049" priority="223" operator="equal">
      <formula>"PMS"</formula>
    </cfRule>
    <cfRule type="containsText" dxfId="4048" priority="224" operator="containsText" text="CMS">
      <formula>NOT(ISERROR(SEARCH("CMS",G67)))</formula>
    </cfRule>
    <cfRule type="cellIs" dxfId="4047" priority="225" operator="equal">
      <formula>0</formula>
    </cfRule>
    <cfRule type="cellIs" dxfId="4046" priority="226" operator="greaterThan">
      <formula>0</formula>
    </cfRule>
    <cfRule type="cellIs" dxfId="4045" priority="227" operator="equal">
      <formula>"PMS"</formula>
    </cfRule>
    <cfRule type="containsText" dxfId="4044" priority="228" operator="containsText" text="CMS">
      <formula>NOT(ISERROR(SEARCH("CMS",G67)))</formula>
    </cfRule>
    <cfRule type="cellIs" dxfId="4043" priority="229" operator="equal">
      <formula>0</formula>
    </cfRule>
    <cfRule type="cellIs" dxfId="4042" priority="230" operator="greaterThan">
      <formula>0</formula>
    </cfRule>
  </conditionalFormatting>
  <conditionalFormatting sqref="G67:AC75 G78:AC79">
    <cfRule type="cellIs" dxfId="4041" priority="219" operator="equal">
      <formula>"PMS"</formula>
    </cfRule>
    <cfRule type="containsText" dxfId="4040" priority="220" operator="containsText" text="CMS">
      <formula>NOT(ISERROR(SEARCH("CMS",G67)))</formula>
    </cfRule>
    <cfRule type="cellIs" dxfId="4039" priority="221" operator="equal">
      <formula>0</formula>
    </cfRule>
    <cfRule type="cellIs" dxfId="4038" priority="222" operator="greaterThan">
      <formula>0</formula>
    </cfRule>
  </conditionalFormatting>
  <conditionalFormatting sqref="G82:AC82">
    <cfRule type="cellIs" dxfId="4037" priority="211" operator="equal">
      <formula>"PMS"</formula>
    </cfRule>
    <cfRule type="containsText" dxfId="4036" priority="212" operator="containsText" text="CMS">
      <formula>NOT(ISERROR(SEARCH("CMS",G82)))</formula>
    </cfRule>
    <cfRule type="cellIs" dxfId="4035" priority="213" operator="equal">
      <formula>0</formula>
    </cfRule>
    <cfRule type="cellIs" dxfId="4034" priority="214" operator="greaterThan">
      <formula>0</formula>
    </cfRule>
    <cfRule type="cellIs" dxfId="4033" priority="215" operator="equal">
      <formula>"PMS"</formula>
    </cfRule>
    <cfRule type="containsText" dxfId="4032" priority="216" operator="containsText" text="CMS">
      <formula>NOT(ISERROR(SEARCH("CMS",G82)))</formula>
    </cfRule>
    <cfRule type="cellIs" dxfId="4031" priority="217" operator="equal">
      <formula>0</formula>
    </cfRule>
    <cfRule type="cellIs" dxfId="4030" priority="218" operator="greaterThan">
      <formula>0</formula>
    </cfRule>
  </conditionalFormatting>
  <conditionalFormatting sqref="G82:AC82">
    <cfRule type="cellIs" dxfId="4029" priority="207" operator="equal">
      <formula>"PMS"</formula>
    </cfRule>
    <cfRule type="containsText" dxfId="4028" priority="208" operator="containsText" text="CMS">
      <formula>NOT(ISERROR(SEARCH("CMS",G82)))</formula>
    </cfRule>
    <cfRule type="cellIs" dxfId="4027" priority="209" operator="equal">
      <formula>0</formula>
    </cfRule>
    <cfRule type="cellIs" dxfId="4026" priority="210" operator="greaterThan">
      <formula>0</formula>
    </cfRule>
  </conditionalFormatting>
  <conditionalFormatting sqref="E113:AC113 F112:N112">
    <cfRule type="cellIs" dxfId="4025" priority="206" operator="greaterThan">
      <formula>60.3</formula>
    </cfRule>
  </conditionalFormatting>
  <conditionalFormatting sqref="O112:AC112">
    <cfRule type="cellIs" dxfId="4024" priority="205" operator="greaterThan">
      <formula>60.3</formula>
    </cfRule>
  </conditionalFormatting>
  <conditionalFormatting sqref="G62:AC64">
    <cfRule type="cellIs" dxfId="4023" priority="197" operator="equal">
      <formula>"PMS"</formula>
    </cfRule>
    <cfRule type="containsText" dxfId="4022" priority="198" operator="containsText" text="CMS">
      <formula>NOT(ISERROR(SEARCH("CMS",G62)))</formula>
    </cfRule>
    <cfRule type="cellIs" dxfId="4021" priority="199" operator="equal">
      <formula>0</formula>
    </cfRule>
    <cfRule type="cellIs" dxfId="4020" priority="200" operator="greaterThan">
      <formula>0</formula>
    </cfRule>
    <cfRule type="cellIs" dxfId="4019" priority="201" operator="equal">
      <formula>"PMS"</formula>
    </cfRule>
    <cfRule type="containsText" dxfId="4018" priority="202" operator="containsText" text="CMS">
      <formula>NOT(ISERROR(SEARCH("CMS",G62)))</formula>
    </cfRule>
    <cfRule type="cellIs" dxfId="4017" priority="203" operator="equal">
      <formula>0</formula>
    </cfRule>
    <cfRule type="cellIs" dxfId="4016" priority="204" operator="greaterThan">
      <formula>0</formula>
    </cfRule>
  </conditionalFormatting>
  <conditionalFormatting sqref="G62:AC64">
    <cfRule type="cellIs" dxfId="4015" priority="193" operator="equal">
      <formula>"PMS"</formula>
    </cfRule>
    <cfRule type="containsText" dxfId="4014" priority="194" operator="containsText" text="CMS">
      <formula>NOT(ISERROR(SEARCH("CMS",G62)))</formula>
    </cfRule>
    <cfRule type="cellIs" dxfId="4013" priority="195" operator="equal">
      <formula>0</formula>
    </cfRule>
    <cfRule type="cellIs" dxfId="4012" priority="196" operator="greaterThan">
      <formula>0</formula>
    </cfRule>
  </conditionalFormatting>
  <conditionalFormatting sqref="G36:AC59">
    <cfRule type="cellIs" dxfId="4011" priority="185" operator="equal">
      <formula>"PMS"</formula>
    </cfRule>
    <cfRule type="containsText" dxfId="4010" priority="186" operator="containsText" text="CMS">
      <formula>NOT(ISERROR(SEARCH("CMS",G36)))</formula>
    </cfRule>
    <cfRule type="cellIs" dxfId="4009" priority="187" operator="equal">
      <formula>0</formula>
    </cfRule>
    <cfRule type="cellIs" dxfId="4008" priority="188" operator="greaterThan">
      <formula>0</formula>
    </cfRule>
    <cfRule type="cellIs" dxfId="4007" priority="189" operator="equal">
      <formula>"PMS"</formula>
    </cfRule>
    <cfRule type="containsText" dxfId="4006" priority="190" operator="containsText" text="CMS">
      <formula>NOT(ISERROR(SEARCH("CMS",G36)))</formula>
    </cfRule>
    <cfRule type="cellIs" dxfId="4005" priority="191" operator="equal">
      <formula>0</formula>
    </cfRule>
    <cfRule type="cellIs" dxfId="4004" priority="192" operator="greaterThan">
      <formula>0</formula>
    </cfRule>
  </conditionalFormatting>
  <conditionalFormatting sqref="G36:AC59">
    <cfRule type="cellIs" dxfId="4003" priority="181" operator="equal">
      <formula>"PMS"</formula>
    </cfRule>
    <cfRule type="containsText" dxfId="4002" priority="182" operator="containsText" text="CMS">
      <formula>NOT(ISERROR(SEARCH("CMS",G36)))</formula>
    </cfRule>
    <cfRule type="cellIs" dxfId="4001" priority="183" operator="equal">
      <formula>0</formula>
    </cfRule>
    <cfRule type="cellIs" dxfId="4000" priority="184" operator="greaterThan">
      <formula>0</formula>
    </cfRule>
  </conditionalFormatting>
  <conditionalFormatting sqref="G33:AC33">
    <cfRule type="cellIs" dxfId="3999" priority="173" operator="equal">
      <formula>"PMS"</formula>
    </cfRule>
    <cfRule type="containsText" dxfId="3998" priority="174" operator="containsText" text="CMS">
      <formula>NOT(ISERROR(SEARCH("CMS",G33)))</formula>
    </cfRule>
    <cfRule type="cellIs" dxfId="3997" priority="175" operator="equal">
      <formula>0</formula>
    </cfRule>
    <cfRule type="cellIs" dxfId="3996" priority="176" operator="greaterThan">
      <formula>0</formula>
    </cfRule>
    <cfRule type="cellIs" dxfId="3995" priority="177" operator="equal">
      <formula>"PMS"</formula>
    </cfRule>
    <cfRule type="containsText" dxfId="3994" priority="178" operator="containsText" text="CMS">
      <formula>NOT(ISERROR(SEARCH("CMS",G33)))</formula>
    </cfRule>
    <cfRule type="cellIs" dxfId="3993" priority="179" operator="equal">
      <formula>0</formula>
    </cfRule>
    <cfRule type="cellIs" dxfId="3992" priority="180" operator="greaterThan">
      <formula>0</formula>
    </cfRule>
  </conditionalFormatting>
  <conditionalFormatting sqref="G33:AC33">
    <cfRule type="cellIs" dxfId="3991" priority="169" operator="equal">
      <formula>"PMS"</formula>
    </cfRule>
    <cfRule type="containsText" dxfId="3990" priority="170" operator="containsText" text="CMS">
      <formula>NOT(ISERROR(SEARCH("CMS",G33)))</formula>
    </cfRule>
    <cfRule type="cellIs" dxfId="3989" priority="171" operator="equal">
      <formula>0</formula>
    </cfRule>
    <cfRule type="cellIs" dxfId="3988" priority="172" operator="greaterThan">
      <formula>0</formula>
    </cfRule>
  </conditionalFormatting>
  <conditionalFormatting sqref="G29:AC30 G27:J28 L27:AC28">
    <cfRule type="cellIs" dxfId="3987" priority="161" operator="equal">
      <formula>"PMS"</formula>
    </cfRule>
    <cfRule type="containsText" dxfId="3986" priority="162" operator="containsText" text="CMS">
      <formula>NOT(ISERROR(SEARCH("CMS",G27)))</formula>
    </cfRule>
    <cfRule type="cellIs" dxfId="3985" priority="163" operator="equal">
      <formula>0</formula>
    </cfRule>
    <cfRule type="cellIs" dxfId="3984" priority="164" operator="greaterThan">
      <formula>0</formula>
    </cfRule>
    <cfRule type="cellIs" dxfId="3983" priority="165" operator="equal">
      <formula>"PMS"</formula>
    </cfRule>
    <cfRule type="containsText" dxfId="3982" priority="166" operator="containsText" text="CMS">
      <formula>NOT(ISERROR(SEARCH("CMS",G27)))</formula>
    </cfRule>
    <cfRule type="cellIs" dxfId="3981" priority="167" operator="equal">
      <formula>0</formula>
    </cfRule>
    <cfRule type="cellIs" dxfId="3980" priority="168" operator="greaterThan">
      <formula>0</formula>
    </cfRule>
  </conditionalFormatting>
  <conditionalFormatting sqref="G29:AC30 G27:J28 L27:AC28">
    <cfRule type="cellIs" dxfId="3979" priority="157" operator="equal">
      <formula>"PMS"</formula>
    </cfRule>
    <cfRule type="containsText" dxfId="3978" priority="158" operator="containsText" text="CMS">
      <formula>NOT(ISERROR(SEARCH("CMS",G27)))</formula>
    </cfRule>
    <cfRule type="cellIs" dxfId="3977" priority="159" operator="equal">
      <formula>0</formula>
    </cfRule>
    <cfRule type="cellIs" dxfId="3976" priority="160" operator="greaterThan">
      <formula>0</formula>
    </cfRule>
  </conditionalFormatting>
  <conditionalFormatting sqref="G24:AC24">
    <cfRule type="cellIs" dxfId="3975" priority="149" operator="equal">
      <formula>"PMS"</formula>
    </cfRule>
    <cfRule type="containsText" dxfId="3974" priority="150" operator="containsText" text="CMS">
      <formula>NOT(ISERROR(SEARCH("CMS",G24)))</formula>
    </cfRule>
    <cfRule type="cellIs" dxfId="3973" priority="151" operator="equal">
      <formula>0</formula>
    </cfRule>
    <cfRule type="cellIs" dxfId="3972" priority="152" operator="greaterThan">
      <formula>0</formula>
    </cfRule>
    <cfRule type="cellIs" dxfId="3971" priority="153" operator="equal">
      <formula>"PMS"</formula>
    </cfRule>
    <cfRule type="containsText" dxfId="3970" priority="154" operator="containsText" text="CMS">
      <formula>NOT(ISERROR(SEARCH("CMS",G24)))</formula>
    </cfRule>
    <cfRule type="cellIs" dxfId="3969" priority="155" operator="equal">
      <formula>0</formula>
    </cfRule>
    <cfRule type="cellIs" dxfId="3968" priority="156" operator="greaterThan">
      <formula>0</formula>
    </cfRule>
  </conditionalFormatting>
  <conditionalFormatting sqref="G24:AC24">
    <cfRule type="cellIs" dxfId="3967" priority="145" operator="equal">
      <formula>"PMS"</formula>
    </cfRule>
    <cfRule type="containsText" dxfId="3966" priority="146" operator="containsText" text="CMS">
      <formula>NOT(ISERROR(SEARCH("CMS",G24)))</formula>
    </cfRule>
    <cfRule type="cellIs" dxfId="3965" priority="147" operator="equal">
      <formula>0</formula>
    </cfRule>
    <cfRule type="cellIs" dxfId="3964" priority="148" operator="greaterThan">
      <formula>0</formula>
    </cfRule>
  </conditionalFormatting>
  <conditionalFormatting sqref="G19:AC21">
    <cfRule type="cellIs" dxfId="3963" priority="137" operator="equal">
      <formula>"PMS"</formula>
    </cfRule>
    <cfRule type="containsText" dxfId="3962" priority="138" operator="containsText" text="CMS">
      <formula>NOT(ISERROR(SEARCH("CMS",G19)))</formula>
    </cfRule>
    <cfRule type="cellIs" dxfId="3961" priority="139" operator="equal">
      <formula>0</formula>
    </cfRule>
    <cfRule type="cellIs" dxfId="3960" priority="140" operator="greaterThan">
      <formula>0</formula>
    </cfRule>
    <cfRule type="cellIs" dxfId="3959" priority="141" operator="equal">
      <formula>"PMS"</formula>
    </cfRule>
    <cfRule type="containsText" dxfId="3958" priority="142" operator="containsText" text="CMS">
      <formula>NOT(ISERROR(SEARCH("CMS",G19)))</formula>
    </cfRule>
    <cfRule type="cellIs" dxfId="3957" priority="143" operator="equal">
      <formula>0</formula>
    </cfRule>
    <cfRule type="cellIs" dxfId="3956" priority="144" operator="greaterThan">
      <formula>0</formula>
    </cfRule>
  </conditionalFormatting>
  <conditionalFormatting sqref="G19:AC21">
    <cfRule type="cellIs" dxfId="3955" priority="133" operator="equal">
      <formula>"PMS"</formula>
    </cfRule>
    <cfRule type="containsText" dxfId="3954" priority="134" operator="containsText" text="CMS">
      <formula>NOT(ISERROR(SEARCH("CMS",G19)))</formula>
    </cfRule>
    <cfRule type="cellIs" dxfId="3953" priority="135" operator="equal">
      <formula>0</formula>
    </cfRule>
    <cfRule type="cellIs" dxfId="3952" priority="136" operator="greaterThan">
      <formula>0</formula>
    </cfRule>
  </conditionalFormatting>
  <conditionalFormatting sqref="G13:AC16">
    <cfRule type="cellIs" dxfId="3951" priority="125" operator="equal">
      <formula>"PMS"</formula>
    </cfRule>
    <cfRule type="containsText" dxfId="3950" priority="126" operator="containsText" text="CMS">
      <formula>NOT(ISERROR(SEARCH("CMS",G13)))</formula>
    </cfRule>
    <cfRule type="cellIs" dxfId="3949" priority="127" operator="equal">
      <formula>0</formula>
    </cfRule>
    <cfRule type="cellIs" dxfId="3948" priority="128" operator="greaterThan">
      <formula>0</formula>
    </cfRule>
    <cfRule type="cellIs" dxfId="3947" priority="129" operator="equal">
      <formula>"PMS"</formula>
    </cfRule>
    <cfRule type="containsText" dxfId="3946" priority="130" operator="containsText" text="CMS">
      <formula>NOT(ISERROR(SEARCH("CMS",G13)))</formula>
    </cfRule>
    <cfRule type="cellIs" dxfId="3945" priority="131" operator="equal">
      <formula>0</formula>
    </cfRule>
    <cfRule type="cellIs" dxfId="3944" priority="132" operator="greaterThan">
      <formula>0</formula>
    </cfRule>
  </conditionalFormatting>
  <conditionalFormatting sqref="G13:AC16">
    <cfRule type="cellIs" dxfId="3943" priority="121" operator="equal">
      <formula>"PMS"</formula>
    </cfRule>
    <cfRule type="containsText" dxfId="3942" priority="122" operator="containsText" text="CMS">
      <formula>NOT(ISERROR(SEARCH("CMS",G13)))</formula>
    </cfRule>
    <cfRule type="cellIs" dxfId="3941" priority="123" operator="equal">
      <formula>0</formula>
    </cfRule>
    <cfRule type="cellIs" dxfId="3940" priority="124" operator="greaterThan">
      <formula>0</formula>
    </cfRule>
  </conditionalFormatting>
  <conditionalFormatting sqref="F36:F59 F62:F64">
    <cfRule type="cellIs" dxfId="3939" priority="113" operator="equal">
      <formula>"PMS"</formula>
    </cfRule>
    <cfRule type="containsText" dxfId="3938" priority="114" operator="containsText" text="CMS">
      <formula>NOT(ISERROR(SEARCH("CMS",F36)))</formula>
    </cfRule>
    <cfRule type="cellIs" dxfId="3937" priority="115" operator="equal">
      <formula>0</formula>
    </cfRule>
    <cfRule type="cellIs" dxfId="3936" priority="116" operator="greaterThan">
      <formula>0</formula>
    </cfRule>
    <cfRule type="cellIs" dxfId="3935" priority="117" operator="equal">
      <formula>"PMS"</formula>
    </cfRule>
    <cfRule type="containsText" dxfId="3934" priority="118" operator="containsText" text="CMS">
      <formula>NOT(ISERROR(SEARCH("CMS",F36)))</formula>
    </cfRule>
    <cfRule type="cellIs" dxfId="3933" priority="119" operator="equal">
      <formula>0</formula>
    </cfRule>
    <cfRule type="cellIs" dxfId="3932" priority="120" operator="greaterThan">
      <formula>0</formula>
    </cfRule>
  </conditionalFormatting>
  <conditionalFormatting sqref="F36:F59 F62:F64">
    <cfRule type="cellIs" dxfId="3931" priority="109" operator="equal">
      <formula>"PMS"</formula>
    </cfRule>
    <cfRule type="containsText" dxfId="3930" priority="110" operator="containsText" text="CMS">
      <formula>NOT(ISERROR(SEARCH("CMS",F36)))</formula>
    </cfRule>
    <cfRule type="cellIs" dxfId="3929" priority="111" operator="equal">
      <formula>0</formula>
    </cfRule>
    <cfRule type="cellIs" dxfId="3928" priority="112" operator="greaterThan">
      <formula>0</formula>
    </cfRule>
  </conditionalFormatting>
  <conditionalFormatting sqref="F19:F21">
    <cfRule type="cellIs" dxfId="3927" priority="101" operator="equal">
      <formula>"PMS"</formula>
    </cfRule>
    <cfRule type="containsText" dxfId="3926" priority="102" operator="containsText" text="CMS">
      <formula>NOT(ISERROR(SEARCH("CMS",F19)))</formula>
    </cfRule>
    <cfRule type="cellIs" dxfId="3925" priority="103" operator="equal">
      <formula>0</formula>
    </cfRule>
    <cfRule type="cellIs" dxfId="3924" priority="104" operator="greaterThan">
      <formula>0</formula>
    </cfRule>
    <cfRule type="cellIs" dxfId="3923" priority="105" operator="equal">
      <formula>"PMS"</formula>
    </cfRule>
    <cfRule type="containsText" dxfId="3922" priority="106" operator="containsText" text="CMS">
      <formula>NOT(ISERROR(SEARCH("CMS",F19)))</formula>
    </cfRule>
    <cfRule type="cellIs" dxfId="3921" priority="107" operator="equal">
      <formula>0</formula>
    </cfRule>
    <cfRule type="cellIs" dxfId="3920" priority="108" operator="greaterThan">
      <formula>0</formula>
    </cfRule>
  </conditionalFormatting>
  <conditionalFormatting sqref="F19:F21">
    <cfRule type="cellIs" dxfId="3919" priority="97" operator="equal">
      <formula>"PMS"</formula>
    </cfRule>
    <cfRule type="containsText" dxfId="3918" priority="98" operator="containsText" text="CMS">
      <formula>NOT(ISERROR(SEARCH("CMS",F19)))</formula>
    </cfRule>
    <cfRule type="cellIs" dxfId="3917" priority="99" operator="equal">
      <formula>0</formula>
    </cfRule>
    <cfRule type="cellIs" dxfId="3916" priority="100" operator="greaterThan">
      <formula>0</formula>
    </cfRule>
  </conditionalFormatting>
  <conditionalFormatting sqref="F27:F30">
    <cfRule type="cellIs" dxfId="3915" priority="77" operator="equal">
      <formula>"PMS"</formula>
    </cfRule>
    <cfRule type="containsText" dxfId="3914" priority="78" operator="containsText" text="CMS">
      <formula>NOT(ISERROR(SEARCH("CMS",F27)))</formula>
    </cfRule>
    <cfRule type="cellIs" dxfId="3913" priority="79" operator="equal">
      <formula>0</formula>
    </cfRule>
    <cfRule type="cellIs" dxfId="3912" priority="80" operator="greaterThan">
      <formula>0</formula>
    </cfRule>
    <cfRule type="cellIs" dxfId="3911" priority="81" operator="equal">
      <formula>"PMS"</formula>
    </cfRule>
    <cfRule type="containsText" dxfId="3910" priority="82" operator="containsText" text="CMS">
      <formula>NOT(ISERROR(SEARCH("CMS",F27)))</formula>
    </cfRule>
    <cfRule type="cellIs" dxfId="3909" priority="83" operator="equal">
      <formula>0</formula>
    </cfRule>
    <cfRule type="cellIs" dxfId="3908" priority="84" operator="greaterThan">
      <formula>0</formula>
    </cfRule>
  </conditionalFormatting>
  <conditionalFormatting sqref="F27:F30">
    <cfRule type="cellIs" dxfId="3907" priority="73" operator="equal">
      <formula>"PMS"</formula>
    </cfRule>
    <cfRule type="containsText" dxfId="3906" priority="74" operator="containsText" text="CMS">
      <formula>NOT(ISERROR(SEARCH("CMS",F27)))</formula>
    </cfRule>
    <cfRule type="cellIs" dxfId="3905" priority="75" operator="equal">
      <formula>0</formula>
    </cfRule>
    <cfRule type="cellIs" dxfId="3904" priority="76" operator="greaterThan">
      <formula>0</formula>
    </cfRule>
  </conditionalFormatting>
  <conditionalFormatting sqref="F33">
    <cfRule type="cellIs" dxfId="3903" priority="65" operator="equal">
      <formula>"PMS"</formula>
    </cfRule>
    <cfRule type="containsText" dxfId="3902" priority="66" operator="containsText" text="CMS">
      <formula>NOT(ISERROR(SEARCH("CMS",F33)))</formula>
    </cfRule>
    <cfRule type="cellIs" dxfId="3901" priority="67" operator="equal">
      <formula>0</formula>
    </cfRule>
    <cfRule type="cellIs" dxfId="3900" priority="68" operator="greaterThan">
      <formula>0</formula>
    </cfRule>
    <cfRule type="cellIs" dxfId="3899" priority="69" operator="equal">
      <formula>"PMS"</formula>
    </cfRule>
    <cfRule type="containsText" dxfId="3898" priority="70" operator="containsText" text="CMS">
      <formula>NOT(ISERROR(SEARCH("CMS",F33)))</formula>
    </cfRule>
    <cfRule type="cellIs" dxfId="3897" priority="71" operator="equal">
      <formula>0</formula>
    </cfRule>
    <cfRule type="cellIs" dxfId="3896" priority="72" operator="greaterThan">
      <formula>0</formula>
    </cfRule>
  </conditionalFormatting>
  <conditionalFormatting sqref="F33">
    <cfRule type="cellIs" dxfId="3895" priority="61" operator="equal">
      <formula>"PMS"</formula>
    </cfRule>
    <cfRule type="containsText" dxfId="3894" priority="62" operator="containsText" text="CMS">
      <formula>NOT(ISERROR(SEARCH("CMS",F33)))</formula>
    </cfRule>
    <cfRule type="cellIs" dxfId="3893" priority="63" operator="equal">
      <formula>0</formula>
    </cfRule>
    <cfRule type="cellIs" dxfId="3892" priority="64" operator="greaterThan">
      <formula>0</formula>
    </cfRule>
  </conditionalFormatting>
  <conditionalFormatting sqref="F67:F75 F78:F79">
    <cfRule type="cellIs" dxfId="3891" priority="53" operator="equal">
      <formula>"PMS"</formula>
    </cfRule>
    <cfRule type="containsText" dxfId="3890" priority="54" operator="containsText" text="CMS">
      <formula>NOT(ISERROR(SEARCH("CMS",F67)))</formula>
    </cfRule>
    <cfRule type="cellIs" dxfId="3889" priority="55" operator="equal">
      <formula>0</formula>
    </cfRule>
    <cfRule type="cellIs" dxfId="3888" priority="56" operator="greaterThan">
      <formula>0</formula>
    </cfRule>
    <cfRule type="cellIs" dxfId="3887" priority="57" operator="equal">
      <formula>"PMS"</formula>
    </cfRule>
    <cfRule type="containsText" dxfId="3886" priority="58" operator="containsText" text="CMS">
      <formula>NOT(ISERROR(SEARCH("CMS",F67)))</formula>
    </cfRule>
    <cfRule type="cellIs" dxfId="3885" priority="59" operator="equal">
      <formula>0</formula>
    </cfRule>
    <cfRule type="cellIs" dxfId="3884" priority="60" operator="greaterThan">
      <formula>0</formula>
    </cfRule>
  </conditionalFormatting>
  <conditionalFormatting sqref="F67:F75 F78:F79">
    <cfRule type="cellIs" dxfId="3883" priority="49" operator="equal">
      <formula>"PMS"</formula>
    </cfRule>
    <cfRule type="containsText" dxfId="3882" priority="50" operator="containsText" text="CMS">
      <formula>NOT(ISERROR(SEARCH("CMS",F67)))</formula>
    </cfRule>
    <cfRule type="cellIs" dxfId="3881" priority="51" operator="equal">
      <formula>0</formula>
    </cfRule>
    <cfRule type="cellIs" dxfId="3880" priority="52" operator="greaterThan">
      <formula>0</formula>
    </cfRule>
  </conditionalFormatting>
  <conditionalFormatting sqref="F82">
    <cfRule type="cellIs" dxfId="3879" priority="41" operator="equal">
      <formula>"PMS"</formula>
    </cfRule>
    <cfRule type="containsText" dxfId="3878" priority="42" operator="containsText" text="CMS">
      <formula>NOT(ISERROR(SEARCH("CMS",F82)))</formula>
    </cfRule>
    <cfRule type="cellIs" dxfId="3877" priority="43" operator="equal">
      <formula>0</formula>
    </cfRule>
    <cfRule type="cellIs" dxfId="3876" priority="44" operator="greaterThan">
      <formula>0</formula>
    </cfRule>
    <cfRule type="cellIs" dxfId="3875" priority="45" operator="equal">
      <formula>"PMS"</formula>
    </cfRule>
    <cfRule type="containsText" dxfId="3874" priority="46" operator="containsText" text="CMS">
      <formula>NOT(ISERROR(SEARCH("CMS",F82)))</formula>
    </cfRule>
    <cfRule type="cellIs" dxfId="3873" priority="47" operator="equal">
      <formula>0</formula>
    </cfRule>
    <cfRule type="cellIs" dxfId="3872" priority="48" operator="greaterThan">
      <formula>0</formula>
    </cfRule>
  </conditionalFormatting>
  <conditionalFormatting sqref="F82">
    <cfRule type="cellIs" dxfId="3871" priority="37" operator="equal">
      <formula>"PMS"</formula>
    </cfRule>
    <cfRule type="containsText" dxfId="3870" priority="38" operator="containsText" text="CMS">
      <formula>NOT(ISERROR(SEARCH("CMS",F82)))</formula>
    </cfRule>
    <cfRule type="cellIs" dxfId="3869" priority="39" operator="equal">
      <formula>0</formula>
    </cfRule>
    <cfRule type="cellIs" dxfId="3868" priority="40" operator="greaterThan">
      <formula>0</formula>
    </cfRule>
  </conditionalFormatting>
  <conditionalFormatting sqref="F13:F16">
    <cfRule type="cellIs" dxfId="3867" priority="29" operator="equal">
      <formula>"PMS"</formula>
    </cfRule>
    <cfRule type="containsText" dxfId="3866" priority="30" operator="containsText" text="CMS">
      <formula>NOT(ISERROR(SEARCH("CMS",F13)))</formula>
    </cfRule>
    <cfRule type="cellIs" dxfId="3865" priority="31" operator="equal">
      <formula>0</formula>
    </cfRule>
    <cfRule type="cellIs" dxfId="3864" priority="32" operator="greaterThan">
      <formula>0</formula>
    </cfRule>
    <cfRule type="cellIs" dxfId="3863" priority="33" operator="equal">
      <formula>"PMS"</formula>
    </cfRule>
    <cfRule type="containsText" dxfId="3862" priority="34" operator="containsText" text="CMS">
      <formula>NOT(ISERROR(SEARCH("CMS",F13)))</formula>
    </cfRule>
    <cfRule type="cellIs" dxfId="3861" priority="35" operator="equal">
      <formula>0</formula>
    </cfRule>
    <cfRule type="cellIs" dxfId="3860" priority="36" operator="greaterThan">
      <formula>0</formula>
    </cfRule>
  </conditionalFormatting>
  <conditionalFormatting sqref="F13:F16">
    <cfRule type="cellIs" dxfId="3859" priority="25" operator="equal">
      <formula>"PMS"</formula>
    </cfRule>
    <cfRule type="containsText" dxfId="3858" priority="26" operator="containsText" text="CMS">
      <formula>NOT(ISERROR(SEARCH("CMS",F13)))</formula>
    </cfRule>
    <cfRule type="cellIs" dxfId="3857" priority="27" operator="equal">
      <formula>0</formula>
    </cfRule>
    <cfRule type="cellIs" dxfId="3856" priority="28" operator="greaterThan">
      <formula>0</formula>
    </cfRule>
  </conditionalFormatting>
  <conditionalFormatting sqref="F24">
    <cfRule type="cellIs" dxfId="3855" priority="17" operator="equal">
      <formula>"PMS"</formula>
    </cfRule>
    <cfRule type="containsText" dxfId="3854" priority="18" operator="containsText" text="CMS">
      <formula>NOT(ISERROR(SEARCH("CMS",F24)))</formula>
    </cfRule>
    <cfRule type="cellIs" dxfId="3853" priority="19" operator="equal">
      <formula>0</formula>
    </cfRule>
    <cfRule type="cellIs" dxfId="3852" priority="20" operator="greaterThan">
      <formula>0</formula>
    </cfRule>
    <cfRule type="cellIs" dxfId="3851" priority="21" operator="equal">
      <formula>"PMS"</formula>
    </cfRule>
    <cfRule type="containsText" dxfId="3850" priority="22" operator="containsText" text="CMS">
      <formula>NOT(ISERROR(SEARCH("CMS",F24)))</formula>
    </cfRule>
    <cfRule type="cellIs" dxfId="3849" priority="23" operator="equal">
      <formula>0</formula>
    </cfRule>
    <cfRule type="cellIs" dxfId="3848" priority="24" operator="greaterThan">
      <formula>0</formula>
    </cfRule>
  </conditionalFormatting>
  <conditionalFormatting sqref="F24">
    <cfRule type="cellIs" dxfId="3847" priority="13" operator="equal">
      <formula>"PMS"</formula>
    </cfRule>
    <cfRule type="containsText" dxfId="3846" priority="14" operator="containsText" text="CMS">
      <formula>NOT(ISERROR(SEARCH("CMS",F24)))</formula>
    </cfRule>
    <cfRule type="cellIs" dxfId="3845" priority="15" operator="equal">
      <formula>0</formula>
    </cfRule>
    <cfRule type="cellIs" dxfId="3844" priority="16" operator="greaterThan">
      <formula>0</formula>
    </cfRule>
  </conditionalFormatting>
  <conditionalFormatting sqref="K27:K28">
    <cfRule type="cellIs" dxfId="3843" priority="5" operator="equal">
      <formula>"PMS"</formula>
    </cfRule>
    <cfRule type="containsText" dxfId="3842" priority="6" operator="containsText" text="CMS">
      <formula>NOT(ISERROR(SEARCH("CMS",K27)))</formula>
    </cfRule>
    <cfRule type="cellIs" dxfId="3841" priority="7" operator="equal">
      <formula>0</formula>
    </cfRule>
    <cfRule type="cellIs" dxfId="3840" priority="8" operator="greaterThan">
      <formula>0</formula>
    </cfRule>
    <cfRule type="cellIs" dxfId="3839" priority="9" operator="equal">
      <formula>"PMS"</formula>
    </cfRule>
    <cfRule type="containsText" dxfId="3838" priority="10" operator="containsText" text="CMS">
      <formula>NOT(ISERROR(SEARCH("CMS",K27)))</formula>
    </cfRule>
    <cfRule type="cellIs" dxfId="3837" priority="11" operator="equal">
      <formula>0</formula>
    </cfRule>
    <cfRule type="cellIs" dxfId="3836" priority="12" operator="greaterThan">
      <formula>0</formula>
    </cfRule>
  </conditionalFormatting>
  <conditionalFormatting sqref="K27:K28">
    <cfRule type="cellIs" dxfId="3835" priority="1" operator="equal">
      <formula>"PMS"</formula>
    </cfRule>
    <cfRule type="containsText" dxfId="3834" priority="2" operator="containsText" text="CMS">
      <formula>NOT(ISERROR(SEARCH("CMS",K27)))</formula>
    </cfRule>
    <cfRule type="cellIs" dxfId="3833" priority="3" operator="equal">
      <formula>0</formula>
    </cfRule>
    <cfRule type="cellIs" dxfId="3832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7456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B2536-1852-4FCF-B42F-D2AC20413BE2}">
  <sheetPr codeName="Sheet175"/>
  <dimension ref="A2:DT141"/>
  <sheetViews>
    <sheetView zoomScale="70" zoomScaleNormal="70" zoomScaleSheetLayoutView="51" zoomScalePageLayoutView="55" workbookViewId="0">
      <pane xSplit="5" ySplit="11" topLeftCell="F45" activePane="bottomRight" state="frozen"/>
      <selection pane="bottomRight" activeCell="Y108" sqref="Y108"/>
      <selection pane="bottomLeft" activeCell="AJ44" sqref="AJ44"/>
      <selection pane="topRight" activeCell="AJ44" sqref="AJ4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23"/>
      <c r="N8" s="523"/>
      <c r="O8" s="52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24" t="e" cm="1">
        <f t="array" aca="1" ref="M9" ca="1">TEXT(TODAY(),"mmmm")&amp;" "&amp;MID(CELL("filename",A1),FIND("]",CELL("filename",A1))+1,255)&amp;", "&amp;TEXT(TODAY(),"yyyy")</f>
        <v>#VALUE!</v>
      </c>
      <c r="N9" s="524"/>
      <c r="O9" s="524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4"/>
      <c r="R10" s="344"/>
      <c r="S10" s="344"/>
      <c r="T10" s="344"/>
      <c r="U10" s="344"/>
      <c r="V10" s="344"/>
      <c r="W10" s="344"/>
      <c r="X10" s="344"/>
      <c r="Y10" s="344"/>
      <c r="Z10" s="344"/>
      <c r="AA10" s="344"/>
      <c r="AB10" s="344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17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439.0999999999998</v>
      </c>
    </row>
    <row r="13" spans="1:41">
      <c r="A13" s="14" t="s">
        <v>22</v>
      </c>
      <c r="B13" s="15"/>
      <c r="C13" s="15">
        <v>7.2</v>
      </c>
      <c r="D13" s="15"/>
      <c r="E13" s="15"/>
      <c r="F13" s="372">
        <v>6.7</v>
      </c>
      <c r="G13" s="372">
        <v>6.7</v>
      </c>
      <c r="H13" s="372">
        <v>6.6</v>
      </c>
      <c r="I13" s="372">
        <v>0</v>
      </c>
      <c r="J13" s="372">
        <v>6.7</v>
      </c>
      <c r="K13" s="374">
        <v>6.7</v>
      </c>
      <c r="L13" s="374">
        <v>6.4</v>
      </c>
      <c r="M13" s="374">
        <v>6.6</v>
      </c>
      <c r="N13" s="372">
        <v>6.8</v>
      </c>
      <c r="O13" s="372">
        <v>6.7</v>
      </c>
      <c r="P13" s="372">
        <v>6.7</v>
      </c>
      <c r="Q13" s="372">
        <v>6.7</v>
      </c>
      <c r="R13" s="372">
        <v>6.7</v>
      </c>
      <c r="S13" s="372">
        <v>6.6</v>
      </c>
      <c r="T13" s="372">
        <v>6.6</v>
      </c>
      <c r="U13" s="372">
        <v>6.7</v>
      </c>
      <c r="V13" s="372">
        <v>6.7</v>
      </c>
      <c r="W13" s="372">
        <v>6.7</v>
      </c>
      <c r="X13" s="372">
        <v>6.5</v>
      </c>
      <c r="Y13" s="372">
        <v>6.7</v>
      </c>
      <c r="Z13" s="372">
        <v>6.7</v>
      </c>
      <c r="AA13" s="372">
        <v>6.8</v>
      </c>
      <c r="AB13" s="372">
        <v>6.7</v>
      </c>
      <c r="AC13" s="372">
        <v>6.7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1">
      <c r="A14" s="14" t="s">
        <v>23</v>
      </c>
      <c r="B14" s="15"/>
      <c r="C14" s="15">
        <v>7.2</v>
      </c>
      <c r="D14" s="15"/>
      <c r="E14" s="15"/>
      <c r="F14" s="372">
        <v>6.7</v>
      </c>
      <c r="G14" s="372">
        <v>6.7</v>
      </c>
      <c r="H14" s="372">
        <v>6.6</v>
      </c>
      <c r="I14" s="372">
        <v>6.9</v>
      </c>
      <c r="J14" s="372">
        <v>6.7</v>
      </c>
      <c r="K14" s="374">
        <v>6.7</v>
      </c>
      <c r="L14" s="374">
        <v>6.4</v>
      </c>
      <c r="M14" s="374">
        <v>6.6</v>
      </c>
      <c r="N14" s="372">
        <v>6.7</v>
      </c>
      <c r="O14" s="372">
        <v>6.7</v>
      </c>
      <c r="P14" s="372">
        <v>6.7</v>
      </c>
      <c r="Q14" s="372">
        <v>6.7</v>
      </c>
      <c r="R14" s="372">
        <v>6.7</v>
      </c>
      <c r="S14" s="372">
        <v>6.7</v>
      </c>
      <c r="T14" s="372">
        <v>6.6</v>
      </c>
      <c r="U14" s="372">
        <v>6.7</v>
      </c>
      <c r="V14" s="372">
        <v>6.7</v>
      </c>
      <c r="W14" s="372"/>
      <c r="X14" s="372"/>
      <c r="Y14" s="372"/>
      <c r="Z14" s="372"/>
      <c r="AA14" s="372"/>
      <c r="AB14" s="372"/>
      <c r="AC14" s="372"/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17</v>
      </c>
    </row>
    <row r="15" spans="1:41">
      <c r="A15" s="66" t="s">
        <v>24</v>
      </c>
      <c r="B15" s="15"/>
      <c r="C15" s="15">
        <v>7.2</v>
      </c>
      <c r="D15" s="15"/>
      <c r="E15" s="15"/>
      <c r="F15" s="372">
        <v>6.7</v>
      </c>
      <c r="G15" s="372">
        <v>6.7</v>
      </c>
      <c r="H15" s="372">
        <v>6.6</v>
      </c>
      <c r="I15" s="372">
        <v>6.9</v>
      </c>
      <c r="J15" s="372">
        <v>0</v>
      </c>
      <c r="K15" s="374">
        <v>0</v>
      </c>
      <c r="L15" s="374">
        <v>0</v>
      </c>
      <c r="M15" s="374">
        <v>0</v>
      </c>
      <c r="N15" s="372">
        <v>0</v>
      </c>
      <c r="O15" s="372">
        <v>0</v>
      </c>
      <c r="P15" s="372">
        <v>0</v>
      </c>
      <c r="Q15" s="372">
        <v>0</v>
      </c>
      <c r="R15" s="372">
        <v>0</v>
      </c>
      <c r="S15" s="372">
        <v>0</v>
      </c>
      <c r="T15" s="372">
        <v>0</v>
      </c>
      <c r="U15" s="372">
        <v>0</v>
      </c>
      <c r="V15" s="372">
        <v>0</v>
      </c>
      <c r="W15" s="372">
        <v>6.7</v>
      </c>
      <c r="X15" s="372">
        <v>6.5</v>
      </c>
      <c r="Y15" s="372">
        <v>6.7</v>
      </c>
      <c r="Z15" s="372">
        <v>6.7</v>
      </c>
      <c r="AA15" s="372">
        <v>6.8</v>
      </c>
      <c r="AB15" s="372">
        <v>6.7</v>
      </c>
      <c r="AC15" s="372">
        <v>6.7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372"/>
      <c r="G16" s="372"/>
      <c r="H16" s="372"/>
      <c r="I16" s="372"/>
      <c r="J16" s="372"/>
      <c r="K16" s="374"/>
      <c r="L16" s="374"/>
      <c r="M16" s="374"/>
      <c r="N16" s="372"/>
      <c r="O16" s="372">
        <v>4.8</v>
      </c>
      <c r="P16" s="372">
        <v>6.6</v>
      </c>
      <c r="Q16" s="372">
        <v>6.8</v>
      </c>
      <c r="R16" s="372">
        <v>6.8</v>
      </c>
      <c r="S16" s="372">
        <v>6.7</v>
      </c>
      <c r="T16" s="372">
        <v>6.6</v>
      </c>
      <c r="U16" s="372">
        <v>6.7</v>
      </c>
      <c r="V16" s="372">
        <v>6.8</v>
      </c>
      <c r="W16" s="372">
        <v>6.7</v>
      </c>
      <c r="X16" s="372">
        <v>6.4</v>
      </c>
      <c r="Y16" s="372">
        <v>6.7</v>
      </c>
      <c r="Z16" s="372">
        <v>6.7</v>
      </c>
      <c r="AA16" s="372">
        <v>6.8</v>
      </c>
      <c r="AB16" s="372">
        <v>6.7</v>
      </c>
      <c r="AC16" s="372">
        <v>6.7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15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20.100000000000001</v>
      </c>
      <c r="G17" s="19">
        <f t="shared" ref="G17:AC17" si="1">SUM(G13:G16)</f>
        <v>20.100000000000001</v>
      </c>
      <c r="H17" s="19">
        <f>SUM(H13:H16)</f>
        <v>19.799999999999997</v>
      </c>
      <c r="I17" s="19">
        <f t="shared" si="1"/>
        <v>13.8</v>
      </c>
      <c r="J17" s="19">
        <f t="shared" si="1"/>
        <v>13.4</v>
      </c>
      <c r="K17" s="19">
        <f t="shared" si="1"/>
        <v>13.4</v>
      </c>
      <c r="L17" s="19">
        <f t="shared" si="1"/>
        <v>12.8</v>
      </c>
      <c r="M17" s="19">
        <f t="shared" si="1"/>
        <v>13.2</v>
      </c>
      <c r="N17" s="19">
        <f t="shared" si="1"/>
        <v>13.5</v>
      </c>
      <c r="O17" s="19">
        <f t="shared" si="1"/>
        <v>18.2</v>
      </c>
      <c r="P17" s="19">
        <f t="shared" si="1"/>
        <v>20</v>
      </c>
      <c r="Q17" s="19">
        <f t="shared" si="1"/>
        <v>20.2</v>
      </c>
      <c r="R17" s="19">
        <f t="shared" si="1"/>
        <v>20.2</v>
      </c>
      <c r="S17" s="19">
        <f t="shared" si="1"/>
        <v>20</v>
      </c>
      <c r="T17" s="19">
        <f t="shared" si="1"/>
        <v>19.799999999999997</v>
      </c>
      <c r="U17" s="19">
        <f t="shared" si="1"/>
        <v>20.100000000000001</v>
      </c>
      <c r="V17" s="19">
        <f t="shared" si="1"/>
        <v>20.2</v>
      </c>
      <c r="W17" s="19">
        <f t="shared" si="1"/>
        <v>20.100000000000001</v>
      </c>
      <c r="X17" s="19">
        <f t="shared" si="1"/>
        <v>19.399999999999999</v>
      </c>
      <c r="Y17" s="19">
        <f t="shared" si="1"/>
        <v>20.100000000000001</v>
      </c>
      <c r="Z17" s="19">
        <f t="shared" si="1"/>
        <v>20.100000000000001</v>
      </c>
      <c r="AA17" s="19">
        <f t="shared" si="1"/>
        <v>20.399999999999999</v>
      </c>
      <c r="AB17" s="19">
        <f t="shared" si="1"/>
        <v>20.100000000000001</v>
      </c>
      <c r="AC17" s="19">
        <f t="shared" si="1"/>
        <v>20.100000000000001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95.599999999999966</v>
      </c>
    </row>
    <row r="19" spans="1:51">
      <c r="A19" s="14" t="s">
        <v>22</v>
      </c>
      <c r="B19" s="15"/>
      <c r="C19" s="15">
        <v>3</v>
      </c>
      <c r="D19" s="15"/>
      <c r="E19" s="15"/>
      <c r="F19" s="372">
        <v>2</v>
      </c>
      <c r="G19" s="372"/>
      <c r="H19" s="372"/>
      <c r="I19" s="372"/>
      <c r="J19" s="372"/>
      <c r="K19" s="374"/>
      <c r="L19" s="374"/>
      <c r="M19" s="374"/>
      <c r="N19" s="372"/>
      <c r="O19" s="372"/>
      <c r="P19" s="372"/>
      <c r="Q19" s="372"/>
      <c r="R19" s="372"/>
      <c r="S19" s="372">
        <v>2.8</v>
      </c>
      <c r="T19" s="372">
        <v>2.8</v>
      </c>
      <c r="U19" s="372">
        <v>2.8</v>
      </c>
      <c r="V19" s="372">
        <v>2.8</v>
      </c>
      <c r="W19" s="372">
        <v>2.8</v>
      </c>
      <c r="X19" s="372">
        <v>2.8</v>
      </c>
      <c r="Y19" s="372">
        <v>2.8</v>
      </c>
      <c r="Z19" s="372">
        <v>2.8</v>
      </c>
      <c r="AA19" s="372">
        <v>2.8</v>
      </c>
      <c r="AB19" s="372">
        <v>2.4</v>
      </c>
      <c r="AC19" s="372">
        <v>0</v>
      </c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12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372"/>
      <c r="G20" s="372"/>
      <c r="H20" s="372"/>
      <c r="I20" s="372"/>
      <c r="J20" s="372"/>
      <c r="K20" s="374"/>
      <c r="L20" s="374"/>
      <c r="M20" s="374"/>
      <c r="N20" s="372"/>
      <c r="O20" s="372"/>
      <c r="P20" s="372"/>
      <c r="Q20" s="372"/>
      <c r="R20" s="372"/>
      <c r="S20" s="372"/>
      <c r="T20" s="372"/>
      <c r="U20" s="372"/>
      <c r="V20" s="372"/>
      <c r="W20" s="372"/>
      <c r="X20" s="372"/>
      <c r="Y20" s="372"/>
      <c r="Z20" s="372"/>
      <c r="AA20" s="372"/>
      <c r="AB20" s="372"/>
      <c r="AC20" s="372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2" t="s">
        <v>9</v>
      </c>
      <c r="G21" s="372" t="s">
        <v>9</v>
      </c>
      <c r="H21" s="372" t="s">
        <v>9</v>
      </c>
      <c r="I21" s="372" t="s">
        <v>9</v>
      </c>
      <c r="J21" s="372" t="s">
        <v>9</v>
      </c>
      <c r="K21" s="374" t="s">
        <v>9</v>
      </c>
      <c r="L21" s="374">
        <v>3.8</v>
      </c>
      <c r="M21" s="374">
        <v>3</v>
      </c>
      <c r="N21" s="372">
        <v>3.8</v>
      </c>
      <c r="O21" s="372">
        <v>3.8</v>
      </c>
      <c r="P21" s="372">
        <v>3</v>
      </c>
      <c r="Q21" s="372">
        <v>3.8</v>
      </c>
      <c r="R21" s="372">
        <v>3.8</v>
      </c>
      <c r="S21" s="372">
        <v>3.8</v>
      </c>
      <c r="T21" s="372">
        <v>3.8</v>
      </c>
      <c r="U21" s="372">
        <v>3.8</v>
      </c>
      <c r="V21" s="372">
        <v>3.8</v>
      </c>
      <c r="W21" s="372">
        <v>3.8</v>
      </c>
      <c r="X21" s="372">
        <v>3.8</v>
      </c>
      <c r="Y21" s="372">
        <v>3.8</v>
      </c>
      <c r="Z21" s="372">
        <v>3.8</v>
      </c>
      <c r="AA21" s="372">
        <v>3.8</v>
      </c>
      <c r="AB21" s="372">
        <v>3</v>
      </c>
      <c r="AC21" s="372">
        <v>3.8</v>
      </c>
      <c r="AD21" s="41"/>
      <c r="AE21" s="41"/>
      <c r="AF21" s="11">
        <f>COUNTIF(F21:AC21,$AJ$8)</f>
        <v>6</v>
      </c>
      <c r="AG21" s="11">
        <f>COUNTIF(G21:AD21,$AJ$7)</f>
        <v>0</v>
      </c>
      <c r="AH21" s="11">
        <f>COUNT(F21:AC21)</f>
        <v>18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2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3.8</v>
      </c>
      <c r="M22" s="19">
        <f t="shared" si="3"/>
        <v>3</v>
      </c>
      <c r="N22" s="19">
        <f t="shared" si="3"/>
        <v>3.8</v>
      </c>
      <c r="O22" s="19">
        <f t="shared" si="3"/>
        <v>3.8</v>
      </c>
      <c r="P22" s="19">
        <f t="shared" si="3"/>
        <v>3</v>
      </c>
      <c r="Q22" s="19">
        <f t="shared" si="3"/>
        <v>3.8</v>
      </c>
      <c r="R22" s="19">
        <f t="shared" si="3"/>
        <v>3.8</v>
      </c>
      <c r="S22" s="19">
        <f>SUM(S19:S21)</f>
        <v>6.6</v>
      </c>
      <c r="T22" s="19">
        <f t="shared" ref="T22" si="4">SUM(T19:T21)</f>
        <v>6.6</v>
      </c>
      <c r="U22" s="19">
        <f t="shared" si="3"/>
        <v>6.6</v>
      </c>
      <c r="V22" s="19">
        <f t="shared" si="3"/>
        <v>6.6</v>
      </c>
      <c r="W22" s="19">
        <f t="shared" si="3"/>
        <v>6.6</v>
      </c>
      <c r="X22" s="19">
        <f t="shared" si="3"/>
        <v>6.6</v>
      </c>
      <c r="Y22" s="19">
        <f t="shared" si="3"/>
        <v>6.6</v>
      </c>
      <c r="Z22" s="19">
        <f t="shared" si="3"/>
        <v>6.6</v>
      </c>
      <c r="AA22" s="19">
        <f t="shared" si="3"/>
        <v>6.6</v>
      </c>
      <c r="AB22" s="19">
        <f>SUM(AB19:AB21)</f>
        <v>5.4</v>
      </c>
      <c r="AC22" s="19">
        <f t="shared" si="3"/>
        <v>3.8</v>
      </c>
      <c r="AD22" s="41"/>
      <c r="AE22" s="41"/>
      <c r="AF22" s="11"/>
      <c r="AG22" s="11"/>
      <c r="AH22" s="11"/>
      <c r="AI22" s="400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409">
        <f>SUM(F24:AC24)</f>
        <v>50.79999999999999</v>
      </c>
    </row>
    <row r="24" spans="1:51">
      <c r="A24" s="14" t="s">
        <v>22</v>
      </c>
      <c r="B24" s="20"/>
      <c r="C24" s="15">
        <v>4.5</v>
      </c>
      <c r="D24" s="15"/>
      <c r="E24" s="15"/>
      <c r="F24" s="372"/>
      <c r="G24" s="372"/>
      <c r="H24" s="372"/>
      <c r="I24" s="372"/>
      <c r="J24" s="372"/>
      <c r="K24" s="374"/>
      <c r="L24" s="374"/>
      <c r="M24" s="374"/>
      <c r="N24" s="372"/>
      <c r="O24" s="372"/>
      <c r="P24" s="372">
        <v>3</v>
      </c>
      <c r="Q24" s="372">
        <v>3.8</v>
      </c>
      <c r="R24" s="372">
        <v>3.8</v>
      </c>
      <c r="S24" s="372">
        <v>3.8</v>
      </c>
      <c r="T24" s="372">
        <v>3.8</v>
      </c>
      <c r="U24" s="372">
        <v>3.8</v>
      </c>
      <c r="V24" s="372">
        <v>3.8</v>
      </c>
      <c r="W24" s="372">
        <v>3.8</v>
      </c>
      <c r="X24" s="372">
        <v>3.8</v>
      </c>
      <c r="Y24" s="372">
        <v>3.8</v>
      </c>
      <c r="Z24" s="372">
        <v>3.8</v>
      </c>
      <c r="AA24" s="372">
        <v>3.8</v>
      </c>
      <c r="AB24" s="372">
        <v>3</v>
      </c>
      <c r="AC24" s="372">
        <v>3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0</v>
      </c>
      <c r="P25" s="19">
        <f t="shared" si="6"/>
        <v>3</v>
      </c>
      <c r="Q25" s="19">
        <f t="shared" si="6"/>
        <v>3.8</v>
      </c>
      <c r="R25" s="19">
        <f t="shared" si="6"/>
        <v>3.8</v>
      </c>
      <c r="S25" s="19">
        <f t="shared" si="6"/>
        <v>3.8</v>
      </c>
      <c r="T25" s="19">
        <f t="shared" si="6"/>
        <v>3.8</v>
      </c>
      <c r="U25" s="19">
        <f t="shared" si="6"/>
        <v>3.8</v>
      </c>
      <c r="V25" s="19">
        <f t="shared" si="6"/>
        <v>3.8</v>
      </c>
      <c r="W25" s="19">
        <f t="shared" si="6"/>
        <v>3.8</v>
      </c>
      <c r="X25" s="19">
        <f t="shared" si="6"/>
        <v>3.8</v>
      </c>
      <c r="Y25" s="19">
        <f t="shared" si="6"/>
        <v>3.8</v>
      </c>
      <c r="Z25" s="19">
        <f t="shared" si="6"/>
        <v>3.8</v>
      </c>
      <c r="AA25" s="19">
        <f t="shared" si="6"/>
        <v>3.8</v>
      </c>
      <c r="AB25" s="19">
        <f t="shared" si="6"/>
        <v>3</v>
      </c>
      <c r="AC25" s="19">
        <f t="shared" si="6"/>
        <v>3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189.99999999999991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2">
        <v>3.5</v>
      </c>
      <c r="G27" s="372">
        <v>3.5</v>
      </c>
      <c r="H27" s="372">
        <v>3</v>
      </c>
      <c r="I27" s="372">
        <v>4.2</v>
      </c>
      <c r="J27" s="372">
        <v>4</v>
      </c>
      <c r="K27" s="374">
        <v>4</v>
      </c>
      <c r="L27" s="372">
        <v>4</v>
      </c>
      <c r="M27" s="374">
        <v>3.4</v>
      </c>
      <c r="N27" s="372">
        <v>4</v>
      </c>
      <c r="O27" s="372">
        <v>4.0999999999999996</v>
      </c>
      <c r="P27" s="372">
        <v>3.5</v>
      </c>
      <c r="Q27" s="372">
        <v>4.0999999999999996</v>
      </c>
      <c r="R27" s="372">
        <v>4.2</v>
      </c>
      <c r="S27" s="372">
        <v>4.2</v>
      </c>
      <c r="T27" s="372">
        <v>4</v>
      </c>
      <c r="U27" s="372">
        <v>4.0999999999999996</v>
      </c>
      <c r="V27" s="372">
        <v>4.2</v>
      </c>
      <c r="W27" s="372">
        <v>4.0999999999999996</v>
      </c>
      <c r="X27" s="372">
        <v>4</v>
      </c>
      <c r="Y27" s="372">
        <v>4.0999999999999996</v>
      </c>
      <c r="Z27" s="372">
        <v>4.0999999999999996</v>
      </c>
      <c r="AA27" s="372">
        <v>4.4000000000000004</v>
      </c>
      <c r="AB27" s="372">
        <v>4.0999999999999996</v>
      </c>
      <c r="AC27" s="372">
        <v>4.2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2">
        <v>3.5</v>
      </c>
      <c r="G28" s="372">
        <v>3.5</v>
      </c>
      <c r="H28" s="372">
        <v>3</v>
      </c>
      <c r="I28" s="372">
        <v>4.2</v>
      </c>
      <c r="J28" s="372">
        <v>4</v>
      </c>
      <c r="K28" s="374">
        <v>4</v>
      </c>
      <c r="L28" s="372">
        <v>4</v>
      </c>
      <c r="M28" s="374">
        <v>3.4</v>
      </c>
      <c r="N28" s="372">
        <v>4</v>
      </c>
      <c r="O28" s="372">
        <v>4.0999999999999996</v>
      </c>
      <c r="P28" s="372">
        <v>3.5</v>
      </c>
      <c r="Q28" s="372">
        <v>4.0999999999999996</v>
      </c>
      <c r="R28" s="372">
        <v>4.2</v>
      </c>
      <c r="S28" s="372">
        <v>4.2</v>
      </c>
      <c r="T28" s="372">
        <v>4</v>
      </c>
      <c r="U28" s="372">
        <v>4.0999999999999996</v>
      </c>
      <c r="V28" s="372">
        <v>4.2</v>
      </c>
      <c r="W28" s="372">
        <v>4.0999999999999996</v>
      </c>
      <c r="X28" s="372">
        <v>4</v>
      </c>
      <c r="Y28" s="372">
        <v>4.0999999999999996</v>
      </c>
      <c r="Z28" s="372">
        <v>4.0999999999999996</v>
      </c>
      <c r="AA28" s="372">
        <v>4.4000000000000004</v>
      </c>
      <c r="AB28" s="372">
        <v>4.0999999999999996</v>
      </c>
      <c r="AC28" s="372">
        <v>4.2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9.1</v>
      </c>
    </row>
    <row r="29" spans="1:51" ht="15" customHeight="1">
      <c r="A29" s="14" t="s">
        <v>30</v>
      </c>
      <c r="B29" s="369"/>
      <c r="C29" s="370">
        <v>8.8000000000000007</v>
      </c>
      <c r="D29" s="371"/>
      <c r="E29" s="371"/>
      <c r="F29" s="372"/>
      <c r="G29" s="372"/>
      <c r="H29" s="372"/>
      <c r="I29" s="372"/>
      <c r="J29" s="372"/>
      <c r="K29" s="374"/>
      <c r="L29" s="374"/>
      <c r="M29" s="374"/>
      <c r="N29" s="372"/>
      <c r="O29" s="372"/>
      <c r="P29" s="372"/>
      <c r="Q29" s="372"/>
      <c r="R29" s="372"/>
      <c r="S29" s="372"/>
      <c r="T29" s="372"/>
      <c r="U29" s="372"/>
      <c r="V29" s="372"/>
      <c r="W29" s="372"/>
      <c r="X29" s="372"/>
      <c r="Y29" s="372">
        <v>3.9</v>
      </c>
      <c r="Z29" s="372">
        <v>3.7</v>
      </c>
      <c r="AA29" s="372">
        <v>1.5</v>
      </c>
      <c r="AB29" s="372"/>
      <c r="AC29" s="372"/>
    </row>
    <row r="30" spans="1:51" ht="15" customHeight="1">
      <c r="A30" s="14" t="s">
        <v>31</v>
      </c>
      <c r="B30" s="369"/>
      <c r="C30" s="370">
        <v>8.8000000000000007</v>
      </c>
      <c r="D30" s="371"/>
      <c r="E30" s="371"/>
      <c r="F30" s="372"/>
      <c r="G30" s="372"/>
      <c r="H30" s="372"/>
      <c r="I30" s="372"/>
      <c r="J30" s="372"/>
      <c r="K30" s="374"/>
      <c r="L30" s="374"/>
      <c r="M30" s="374"/>
      <c r="N30" s="372"/>
      <c r="O30" s="372"/>
      <c r="P30" s="372"/>
      <c r="Q30" s="372"/>
      <c r="R30" s="372"/>
      <c r="S30" s="372"/>
      <c r="T30" s="372"/>
      <c r="U30" s="372"/>
      <c r="V30" s="372"/>
      <c r="W30" s="372"/>
      <c r="X30" s="372"/>
      <c r="Y30" s="372"/>
      <c r="Z30" s="372"/>
      <c r="AA30" s="372"/>
      <c r="AB30" s="372"/>
      <c r="AC30" s="372"/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SUM(F27:F29)</f>
        <v>7</v>
      </c>
      <c r="G31" s="19">
        <f t="shared" ref="G31:AC31" si="8">SUM(G27:G29)</f>
        <v>7</v>
      </c>
      <c r="H31" s="19">
        <f t="shared" si="8"/>
        <v>6</v>
      </c>
      <c r="I31" s="19">
        <f t="shared" si="8"/>
        <v>8.4</v>
      </c>
      <c r="J31" s="19">
        <f t="shared" si="8"/>
        <v>8</v>
      </c>
      <c r="K31" s="19">
        <f t="shared" si="8"/>
        <v>8</v>
      </c>
      <c r="L31" s="19">
        <f t="shared" si="8"/>
        <v>8</v>
      </c>
      <c r="M31" s="19">
        <f t="shared" si="8"/>
        <v>6.8</v>
      </c>
      <c r="N31" s="19">
        <f t="shared" si="8"/>
        <v>8</v>
      </c>
      <c r="O31" s="19">
        <f t="shared" si="8"/>
        <v>8.1999999999999993</v>
      </c>
      <c r="P31" s="19">
        <f t="shared" si="8"/>
        <v>7</v>
      </c>
      <c r="Q31" s="19">
        <f t="shared" si="8"/>
        <v>8.1999999999999993</v>
      </c>
      <c r="R31" s="19">
        <f t="shared" si="8"/>
        <v>8.4</v>
      </c>
      <c r="S31" s="19">
        <f t="shared" si="8"/>
        <v>8.4</v>
      </c>
      <c r="T31" s="19">
        <f>SUM(T27:T29)</f>
        <v>8</v>
      </c>
      <c r="U31" s="19">
        <f t="shared" si="8"/>
        <v>8.1999999999999993</v>
      </c>
      <c r="V31" s="19">
        <f t="shared" si="8"/>
        <v>8.4</v>
      </c>
      <c r="W31" s="19">
        <f t="shared" si="8"/>
        <v>8.1999999999999993</v>
      </c>
      <c r="X31" s="19">
        <f>SUM(X27:X30)</f>
        <v>8</v>
      </c>
      <c r="Y31" s="19">
        <f t="shared" si="8"/>
        <v>12.1</v>
      </c>
      <c r="Z31" s="19">
        <f t="shared" si="8"/>
        <v>11.899999999999999</v>
      </c>
      <c r="AA31" s="19">
        <f t="shared" si="8"/>
        <v>10.3</v>
      </c>
      <c r="AB31" s="19">
        <f t="shared" si="8"/>
        <v>8.1999999999999993</v>
      </c>
      <c r="AC31" s="19">
        <f t="shared" si="8"/>
        <v>8.4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339.87</v>
      </c>
    </row>
    <row r="33" spans="1:36">
      <c r="A33" s="14" t="s">
        <v>22</v>
      </c>
      <c r="B33" s="15"/>
      <c r="C33" s="15">
        <v>15</v>
      </c>
      <c r="D33" s="15"/>
      <c r="E33" s="15"/>
      <c r="F33" s="372">
        <v>14.29</v>
      </c>
      <c r="G33" s="372">
        <v>13.81</v>
      </c>
      <c r="H33" s="372">
        <v>12.82</v>
      </c>
      <c r="I33" s="372">
        <v>14.31</v>
      </c>
      <c r="J33" s="372">
        <v>14.32</v>
      </c>
      <c r="K33" s="374">
        <v>14.31</v>
      </c>
      <c r="L33" s="374">
        <v>14.28</v>
      </c>
      <c r="M33" s="374">
        <v>14.29</v>
      </c>
      <c r="N33" s="372">
        <v>14.31</v>
      </c>
      <c r="O33" s="372">
        <v>14.02</v>
      </c>
      <c r="P33" s="372">
        <v>14.14</v>
      </c>
      <c r="Q33" s="372">
        <v>14.18</v>
      </c>
      <c r="R33" s="372">
        <v>14.15</v>
      </c>
      <c r="S33" s="372">
        <v>14.23</v>
      </c>
      <c r="T33" s="372">
        <v>14.17</v>
      </c>
      <c r="U33" s="372">
        <v>14.19</v>
      </c>
      <c r="V33" s="372">
        <v>14.1</v>
      </c>
      <c r="W33" s="374">
        <v>14.31</v>
      </c>
      <c r="X33" s="372">
        <v>14.19</v>
      </c>
      <c r="Y33" s="372">
        <v>14.25</v>
      </c>
      <c r="Z33" s="372">
        <v>14.28</v>
      </c>
      <c r="AA33" s="372">
        <v>14.31</v>
      </c>
      <c r="AB33" s="372">
        <v>14.29</v>
      </c>
      <c r="AC33" s="372">
        <v>14.32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9">SUM(F33)</f>
        <v>14.29</v>
      </c>
      <c r="G34" s="19">
        <f t="shared" ref="G34:AC34" si="10">SUM(G33)</f>
        <v>13.81</v>
      </c>
      <c r="H34" s="19">
        <f t="shared" si="10"/>
        <v>12.82</v>
      </c>
      <c r="I34" s="19">
        <f t="shared" si="10"/>
        <v>14.31</v>
      </c>
      <c r="J34" s="19">
        <f>SUM(J33)</f>
        <v>14.32</v>
      </c>
      <c r="K34" s="19">
        <f t="shared" si="10"/>
        <v>14.31</v>
      </c>
      <c r="L34" s="19">
        <f t="shared" si="10"/>
        <v>14.28</v>
      </c>
      <c r="M34" s="19">
        <f t="shared" si="10"/>
        <v>14.29</v>
      </c>
      <c r="N34" s="19">
        <f t="shared" si="10"/>
        <v>14.31</v>
      </c>
      <c r="O34" s="19">
        <f t="shared" si="10"/>
        <v>14.02</v>
      </c>
      <c r="P34" s="19">
        <f t="shared" si="10"/>
        <v>14.14</v>
      </c>
      <c r="Q34" s="19">
        <f t="shared" si="10"/>
        <v>14.18</v>
      </c>
      <c r="R34" s="19">
        <f t="shared" si="10"/>
        <v>14.15</v>
      </c>
      <c r="S34" s="19">
        <f t="shared" si="10"/>
        <v>14.23</v>
      </c>
      <c r="T34" s="19">
        <f t="shared" si="10"/>
        <v>14.17</v>
      </c>
      <c r="U34" s="19">
        <f t="shared" si="10"/>
        <v>14.19</v>
      </c>
      <c r="V34" s="19">
        <f t="shared" si="10"/>
        <v>14.1</v>
      </c>
      <c r="W34" s="19">
        <f t="shared" si="10"/>
        <v>14.31</v>
      </c>
      <c r="X34" s="19">
        <f t="shared" si="10"/>
        <v>14.19</v>
      </c>
      <c r="Y34" s="19">
        <f t="shared" si="10"/>
        <v>14.25</v>
      </c>
      <c r="Z34" s="19">
        <f t="shared" si="10"/>
        <v>14.28</v>
      </c>
      <c r="AA34" s="19">
        <f t="shared" si="10"/>
        <v>14.31</v>
      </c>
      <c r="AB34" s="19">
        <f t="shared" si="10"/>
        <v>14.29</v>
      </c>
      <c r="AC34" s="19">
        <f t="shared" si="10"/>
        <v>14.32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55"/>
      <c r="G35" s="455"/>
      <c r="H35" s="455"/>
      <c r="I35" s="455"/>
      <c r="J35" s="455"/>
      <c r="K35" s="455"/>
      <c r="L35" s="455"/>
      <c r="M35" s="455"/>
      <c r="N35" s="455"/>
      <c r="O35" s="455"/>
      <c r="P35" s="455"/>
      <c r="Q35" s="455"/>
      <c r="R35" s="455"/>
      <c r="S35" s="455"/>
      <c r="T35" s="455"/>
      <c r="U35" s="455"/>
      <c r="V35" s="455"/>
      <c r="W35" s="456"/>
      <c r="X35" s="455"/>
      <c r="Y35" s="455"/>
      <c r="Z35" s="455"/>
      <c r="AA35" s="455"/>
      <c r="AB35" s="455"/>
      <c r="AC35" s="455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35</v>
      </c>
    </row>
    <row r="36" spans="1:36">
      <c r="A36" s="70" t="s">
        <v>36</v>
      </c>
      <c r="B36" s="15"/>
      <c r="C36" s="15"/>
      <c r="D36" s="15"/>
      <c r="E36" s="15"/>
      <c r="F36" s="372"/>
      <c r="G36" s="372"/>
      <c r="H36" s="372"/>
      <c r="I36" s="372"/>
      <c r="J36" s="372"/>
      <c r="K36" s="374"/>
      <c r="L36" s="374"/>
      <c r="M36" s="374"/>
      <c r="N36" s="372"/>
      <c r="O36" s="372"/>
      <c r="P36" s="372"/>
      <c r="Q36" s="372"/>
      <c r="R36" s="372"/>
      <c r="S36" s="372"/>
      <c r="T36" s="372"/>
      <c r="U36" s="372"/>
      <c r="V36" s="372"/>
      <c r="W36" s="372"/>
      <c r="X36" s="372"/>
      <c r="Y36" s="372"/>
      <c r="Z36" s="372"/>
      <c r="AA36" s="372"/>
      <c r="AB36" s="372"/>
      <c r="AC36" s="372"/>
      <c r="AD36" s="41"/>
      <c r="AE36" s="41"/>
      <c r="AF36" s="11">
        <f t="shared" ref="AF36:AF59" si="11">COUNTIF(F36:AC36,$AJ$8)</f>
        <v>0</v>
      </c>
      <c r="AG36" s="11">
        <f t="shared" ref="AG36:AG59" si="12">COUNTIF(G36:AD36,$AJ$7)</f>
        <v>0</v>
      </c>
      <c r="AH36" s="11">
        <f t="shared" ref="AH36:AH59" si="13">COUNT(F36:AC36)</f>
        <v>0</v>
      </c>
      <c r="AI36" s="159">
        <f>SUM(F36:AC38,F40:AC40,F45:AC59)</f>
        <v>26.380000000000006</v>
      </c>
      <c r="AJ36" t="s">
        <v>37</v>
      </c>
    </row>
    <row r="37" spans="1:36">
      <c r="A37" s="70" t="s">
        <v>38</v>
      </c>
      <c r="B37" s="15"/>
      <c r="C37" s="15"/>
      <c r="D37" s="15"/>
      <c r="E37" s="15"/>
      <c r="F37" s="372"/>
      <c r="G37" s="372"/>
      <c r="H37" s="372"/>
      <c r="I37" s="372"/>
      <c r="J37" s="372"/>
      <c r="K37" s="374"/>
      <c r="L37" s="374"/>
      <c r="M37" s="374"/>
      <c r="N37" s="372"/>
      <c r="O37" s="372"/>
      <c r="P37" s="372"/>
      <c r="Q37" s="372"/>
      <c r="R37" s="372"/>
      <c r="S37" s="372"/>
      <c r="T37" s="372"/>
      <c r="U37" s="372"/>
      <c r="V37" s="372"/>
      <c r="W37" s="372"/>
      <c r="X37" s="372"/>
      <c r="Y37" s="372"/>
      <c r="Z37" s="372"/>
      <c r="AA37" s="372"/>
      <c r="AB37" s="372"/>
      <c r="AC37" s="372"/>
      <c r="AD37" s="41"/>
      <c r="AE37" s="41"/>
      <c r="AF37" s="11">
        <f t="shared" si="11"/>
        <v>0</v>
      </c>
      <c r="AG37" s="11">
        <f t="shared" si="12"/>
        <v>0</v>
      </c>
      <c r="AH37" s="11">
        <f t="shared" si="13"/>
        <v>0</v>
      </c>
    </row>
    <row r="38" spans="1:36">
      <c r="A38" s="70" t="s">
        <v>39</v>
      </c>
      <c r="B38" s="15"/>
      <c r="C38" s="15"/>
      <c r="D38" s="15"/>
      <c r="E38" s="15"/>
      <c r="F38" s="372"/>
      <c r="G38" s="372"/>
      <c r="H38" s="372"/>
      <c r="I38" s="372"/>
      <c r="J38" s="372"/>
      <c r="K38" s="374"/>
      <c r="L38" s="374"/>
      <c r="M38" s="374"/>
      <c r="N38" s="372"/>
      <c r="O38" s="372"/>
      <c r="P38" s="372"/>
      <c r="Q38" s="372"/>
      <c r="R38" s="372"/>
      <c r="S38" s="372"/>
      <c r="T38" s="372"/>
      <c r="U38" s="372"/>
      <c r="V38" s="372"/>
      <c r="W38" s="372"/>
      <c r="X38" s="372"/>
      <c r="Y38" s="372"/>
      <c r="Z38" s="372"/>
      <c r="AA38" s="372"/>
      <c r="AB38" s="372"/>
      <c r="AC38" s="372"/>
      <c r="AD38" s="41"/>
      <c r="AE38" s="41"/>
      <c r="AF38" s="11">
        <f t="shared" si="11"/>
        <v>0</v>
      </c>
      <c r="AG38" s="11">
        <f t="shared" si="12"/>
        <v>0</v>
      </c>
      <c r="AH38" s="11">
        <f t="shared" si="13"/>
        <v>0</v>
      </c>
    </row>
    <row r="39" spans="1:36">
      <c r="A39" s="70">
        <v>34</v>
      </c>
      <c r="B39" s="15"/>
      <c r="C39" s="15"/>
      <c r="D39" s="15"/>
      <c r="E39" s="15"/>
      <c r="F39" s="372" t="s">
        <v>9</v>
      </c>
      <c r="G39" s="372" t="s">
        <v>9</v>
      </c>
      <c r="H39" s="372" t="s">
        <v>9</v>
      </c>
      <c r="I39" s="372" t="s">
        <v>9</v>
      </c>
      <c r="J39" s="372" t="s">
        <v>9</v>
      </c>
      <c r="K39" s="374" t="s">
        <v>9</v>
      </c>
      <c r="L39" s="374" t="s">
        <v>9</v>
      </c>
      <c r="M39" s="374" t="s">
        <v>9</v>
      </c>
      <c r="N39" s="372" t="s">
        <v>9</v>
      </c>
      <c r="O39" s="372" t="s">
        <v>9</v>
      </c>
      <c r="P39" s="372" t="s">
        <v>9</v>
      </c>
      <c r="Q39" s="372" t="s">
        <v>9</v>
      </c>
      <c r="R39" s="372" t="s">
        <v>9</v>
      </c>
      <c r="S39" s="372" t="s">
        <v>9</v>
      </c>
      <c r="T39" s="372" t="s">
        <v>9</v>
      </c>
      <c r="U39" s="372" t="s">
        <v>9</v>
      </c>
      <c r="V39" s="372" t="s">
        <v>9</v>
      </c>
      <c r="W39" s="372" t="s">
        <v>9</v>
      </c>
      <c r="X39" s="372" t="s">
        <v>9</v>
      </c>
      <c r="Y39" s="372" t="s">
        <v>9</v>
      </c>
      <c r="Z39" s="372" t="s">
        <v>9</v>
      </c>
      <c r="AA39" s="372" t="s">
        <v>9</v>
      </c>
      <c r="AB39" s="372" t="s">
        <v>9</v>
      </c>
      <c r="AC39" s="372" t="s">
        <v>9</v>
      </c>
      <c r="AD39" s="41"/>
      <c r="AE39" s="41"/>
      <c r="AF39" s="11">
        <f t="shared" si="11"/>
        <v>24</v>
      </c>
      <c r="AG39" s="11">
        <f t="shared" si="12"/>
        <v>0</v>
      </c>
      <c r="AH39" s="11">
        <f t="shared" si="13"/>
        <v>0</v>
      </c>
    </row>
    <row r="40" spans="1:36">
      <c r="A40" s="70">
        <v>35</v>
      </c>
      <c r="B40" s="15"/>
      <c r="C40" s="15">
        <v>0.85</v>
      </c>
      <c r="D40" s="15"/>
      <c r="E40" s="15"/>
      <c r="F40" s="372"/>
      <c r="G40" s="372"/>
      <c r="H40" s="372"/>
      <c r="I40" s="372"/>
      <c r="J40" s="372"/>
      <c r="K40" s="374"/>
      <c r="L40" s="374"/>
      <c r="M40" s="374"/>
      <c r="N40" s="372"/>
      <c r="O40" s="372"/>
      <c r="P40" s="372"/>
      <c r="Q40" s="372"/>
      <c r="R40" s="372"/>
      <c r="S40" s="372"/>
      <c r="T40" s="372"/>
      <c r="U40" s="372"/>
      <c r="V40" s="372"/>
      <c r="W40" s="372"/>
      <c r="X40" s="372"/>
      <c r="Y40" s="372"/>
      <c r="Z40" s="372"/>
      <c r="AA40" s="372"/>
      <c r="AB40" s="372"/>
      <c r="AC40" s="372"/>
      <c r="AD40" s="41"/>
      <c r="AE40" s="41"/>
      <c r="AF40" s="11">
        <f t="shared" si="11"/>
        <v>0</v>
      </c>
      <c r="AG40" s="11">
        <f t="shared" si="12"/>
        <v>0</v>
      </c>
      <c r="AH40" s="11">
        <f t="shared" si="13"/>
        <v>0</v>
      </c>
    </row>
    <row r="41" spans="1:36">
      <c r="A41" s="70">
        <v>36</v>
      </c>
      <c r="B41" s="15"/>
      <c r="C41" s="15">
        <v>1</v>
      </c>
      <c r="D41" s="15"/>
      <c r="E41" s="15"/>
      <c r="F41" s="372"/>
      <c r="G41" s="372"/>
      <c r="H41" s="372"/>
      <c r="I41" s="372"/>
      <c r="J41" s="372"/>
      <c r="K41" s="374"/>
      <c r="L41" s="374"/>
      <c r="M41" s="374"/>
      <c r="N41" s="372"/>
      <c r="O41" s="372"/>
      <c r="P41" s="372"/>
      <c r="Q41" s="372"/>
      <c r="R41" s="372"/>
      <c r="S41" s="372"/>
      <c r="T41" s="372"/>
      <c r="U41" s="372"/>
      <c r="V41" s="372"/>
      <c r="W41" s="372"/>
      <c r="X41" s="372"/>
      <c r="Y41" s="372"/>
      <c r="Z41" s="372"/>
      <c r="AA41" s="372"/>
      <c r="AB41" s="372"/>
      <c r="AC41" s="372"/>
      <c r="AD41" s="41"/>
      <c r="AE41" s="41"/>
      <c r="AF41" s="11">
        <f t="shared" si="11"/>
        <v>0</v>
      </c>
      <c r="AG41" s="11">
        <f t="shared" si="12"/>
        <v>0</v>
      </c>
      <c r="AH41" s="11">
        <f t="shared" si="13"/>
        <v>0</v>
      </c>
    </row>
    <row r="42" spans="1:36">
      <c r="A42" s="70">
        <v>37</v>
      </c>
      <c r="B42" s="15"/>
      <c r="C42" s="15">
        <v>1</v>
      </c>
      <c r="D42" s="15"/>
      <c r="E42" s="15"/>
      <c r="F42" s="372"/>
      <c r="G42" s="372"/>
      <c r="H42" s="372"/>
      <c r="I42" s="372"/>
      <c r="J42" s="372"/>
      <c r="K42" s="374"/>
      <c r="L42" s="374"/>
      <c r="M42" s="374"/>
      <c r="N42" s="372"/>
      <c r="O42" s="372"/>
      <c r="P42" s="372"/>
      <c r="Q42" s="372"/>
      <c r="R42" s="372"/>
      <c r="S42" s="372"/>
      <c r="T42" s="372"/>
      <c r="U42" s="372"/>
      <c r="V42" s="372"/>
      <c r="W42" s="372"/>
      <c r="X42" s="372"/>
      <c r="Y42" s="372"/>
      <c r="Z42" s="372"/>
      <c r="AA42" s="372"/>
      <c r="AB42" s="372"/>
      <c r="AC42" s="372"/>
      <c r="AD42" s="41"/>
      <c r="AE42" s="41"/>
      <c r="AF42" s="11">
        <f t="shared" si="11"/>
        <v>0</v>
      </c>
      <c r="AG42" s="11">
        <f t="shared" si="12"/>
        <v>0</v>
      </c>
      <c r="AH42" s="11">
        <f t="shared" si="13"/>
        <v>0</v>
      </c>
    </row>
    <row r="43" spans="1:36">
      <c r="A43" s="70">
        <v>38</v>
      </c>
      <c r="B43" s="15"/>
      <c r="C43" s="15"/>
      <c r="D43" s="15"/>
      <c r="E43" s="15"/>
      <c r="F43" s="372" t="s">
        <v>9</v>
      </c>
      <c r="G43" s="372" t="s">
        <v>9</v>
      </c>
      <c r="H43" s="372" t="s">
        <v>9</v>
      </c>
      <c r="I43" s="372" t="s">
        <v>9</v>
      </c>
      <c r="J43" s="372" t="s">
        <v>9</v>
      </c>
      <c r="K43" s="374" t="s">
        <v>9</v>
      </c>
      <c r="L43" s="374" t="s">
        <v>9</v>
      </c>
      <c r="M43" s="374" t="s">
        <v>9</v>
      </c>
      <c r="N43" s="372" t="s">
        <v>9</v>
      </c>
      <c r="O43" s="372" t="s">
        <v>9</v>
      </c>
      <c r="P43" s="372" t="s">
        <v>9</v>
      </c>
      <c r="Q43" s="372" t="s">
        <v>9</v>
      </c>
      <c r="R43" s="372" t="s">
        <v>9</v>
      </c>
      <c r="S43" s="372" t="s">
        <v>9</v>
      </c>
      <c r="T43" s="372" t="s">
        <v>9</v>
      </c>
      <c r="U43" s="372" t="s">
        <v>9</v>
      </c>
      <c r="V43" s="372" t="s">
        <v>9</v>
      </c>
      <c r="W43" s="372" t="s">
        <v>9</v>
      </c>
      <c r="X43" s="372" t="s">
        <v>9</v>
      </c>
      <c r="Y43" s="372" t="s">
        <v>9</v>
      </c>
      <c r="Z43" s="372" t="s">
        <v>9</v>
      </c>
      <c r="AA43" s="372" t="s">
        <v>9</v>
      </c>
      <c r="AB43" s="372" t="s">
        <v>9</v>
      </c>
      <c r="AC43" s="372" t="s">
        <v>9</v>
      </c>
      <c r="AD43" s="41"/>
      <c r="AE43" s="41"/>
      <c r="AF43" s="11">
        <f t="shared" si="11"/>
        <v>24</v>
      </c>
      <c r="AG43" s="11">
        <f t="shared" si="12"/>
        <v>0</v>
      </c>
      <c r="AH43" s="11">
        <f t="shared" si="13"/>
        <v>0</v>
      </c>
    </row>
    <row r="44" spans="1:36" ht="16.5" customHeight="1">
      <c r="A44" s="70">
        <v>39</v>
      </c>
      <c r="B44" s="15"/>
      <c r="C44" s="15">
        <v>1</v>
      </c>
      <c r="D44" s="15"/>
      <c r="E44" s="15"/>
      <c r="F44" s="372" t="s">
        <v>9</v>
      </c>
      <c r="G44" s="372" t="s">
        <v>9</v>
      </c>
      <c r="H44" s="372" t="s">
        <v>9</v>
      </c>
      <c r="I44" s="372" t="s">
        <v>9</v>
      </c>
      <c r="J44" s="372" t="s">
        <v>9</v>
      </c>
      <c r="K44" s="374" t="s">
        <v>9</v>
      </c>
      <c r="L44" s="374" t="s">
        <v>9</v>
      </c>
      <c r="M44" s="374" t="s">
        <v>9</v>
      </c>
      <c r="N44" s="372" t="s">
        <v>9</v>
      </c>
      <c r="O44" s="372" t="s">
        <v>9</v>
      </c>
      <c r="P44" s="372" t="s">
        <v>9</v>
      </c>
      <c r="Q44" s="372" t="s">
        <v>9</v>
      </c>
      <c r="R44" s="372" t="s">
        <v>9</v>
      </c>
      <c r="S44" s="372" t="s">
        <v>9</v>
      </c>
      <c r="T44" s="372" t="s">
        <v>9</v>
      </c>
      <c r="U44" s="372" t="s">
        <v>9</v>
      </c>
      <c r="V44" s="372" t="s">
        <v>9</v>
      </c>
      <c r="W44" s="372" t="s">
        <v>9</v>
      </c>
      <c r="X44" s="372" t="s">
        <v>9</v>
      </c>
      <c r="Y44" s="372" t="s">
        <v>9</v>
      </c>
      <c r="Z44" s="372" t="s">
        <v>9</v>
      </c>
      <c r="AA44" s="372" t="s">
        <v>9</v>
      </c>
      <c r="AB44" s="372" t="s">
        <v>9</v>
      </c>
      <c r="AC44" s="372" t="s">
        <v>9</v>
      </c>
      <c r="AD44" s="41"/>
      <c r="AE44" s="41"/>
      <c r="AF44" s="11">
        <f t="shared" si="11"/>
        <v>24</v>
      </c>
      <c r="AG44" s="11">
        <f t="shared" si="12"/>
        <v>0</v>
      </c>
      <c r="AH44" s="11">
        <f t="shared" si="13"/>
        <v>0</v>
      </c>
    </row>
    <row r="45" spans="1:36" ht="16.5" customHeight="1">
      <c r="A45" s="70" t="s">
        <v>40</v>
      </c>
      <c r="B45" s="15"/>
      <c r="C45" s="15">
        <v>0.85</v>
      </c>
      <c r="D45" s="15"/>
      <c r="E45" s="15"/>
      <c r="F45" s="372"/>
      <c r="G45" s="372"/>
      <c r="H45" s="372"/>
      <c r="I45" s="372"/>
      <c r="J45" s="372"/>
      <c r="K45" s="374"/>
      <c r="L45" s="374"/>
      <c r="M45" s="374"/>
      <c r="N45" s="372"/>
      <c r="O45" s="372"/>
      <c r="P45" s="372"/>
      <c r="Q45" s="372"/>
      <c r="R45" s="372"/>
      <c r="S45" s="372"/>
      <c r="T45" s="372"/>
      <c r="U45" s="372"/>
      <c r="V45" s="372"/>
      <c r="W45" s="372"/>
      <c r="X45" s="372"/>
      <c r="Y45" s="372"/>
      <c r="Z45" s="372"/>
      <c r="AA45" s="372"/>
      <c r="AB45" s="372"/>
      <c r="AC45" s="372"/>
      <c r="AD45" s="41"/>
      <c r="AE45" s="41"/>
      <c r="AF45" s="11">
        <f t="shared" si="11"/>
        <v>0</v>
      </c>
      <c r="AG45" s="11">
        <f t="shared" si="12"/>
        <v>0</v>
      </c>
      <c r="AH45" s="11">
        <f t="shared" si="13"/>
        <v>0</v>
      </c>
      <c r="AI45" s="159"/>
    </row>
    <row r="46" spans="1:36">
      <c r="A46" s="70" t="s">
        <v>41</v>
      </c>
      <c r="B46" s="15"/>
      <c r="C46" s="15">
        <v>0.75</v>
      </c>
      <c r="D46" s="15"/>
      <c r="E46" s="15"/>
      <c r="F46" s="372"/>
      <c r="G46" s="372"/>
      <c r="H46" s="372"/>
      <c r="I46" s="372"/>
      <c r="J46" s="372"/>
      <c r="K46" s="374"/>
      <c r="L46" s="374"/>
      <c r="M46" s="374"/>
      <c r="N46" s="372"/>
      <c r="O46" s="372"/>
      <c r="P46" s="372"/>
      <c r="Q46" s="372"/>
      <c r="R46" s="372"/>
      <c r="S46" s="372"/>
      <c r="T46" s="372"/>
      <c r="U46" s="372"/>
      <c r="V46" s="372"/>
      <c r="W46" s="372"/>
      <c r="X46" s="372"/>
      <c r="Y46" s="372"/>
      <c r="Z46" s="372"/>
      <c r="AA46" s="372"/>
      <c r="AB46" s="372"/>
      <c r="AC46" s="372"/>
      <c r="AD46" s="41"/>
      <c r="AE46" s="41"/>
      <c r="AF46" s="11">
        <f t="shared" si="11"/>
        <v>0</v>
      </c>
      <c r="AG46" s="11">
        <f t="shared" si="12"/>
        <v>0</v>
      </c>
      <c r="AH46" s="11">
        <f t="shared" si="13"/>
        <v>0</v>
      </c>
      <c r="AI46" s="159"/>
    </row>
    <row r="47" spans="1:36">
      <c r="A47" s="70" t="s">
        <v>42</v>
      </c>
      <c r="B47" s="15"/>
      <c r="C47" s="15">
        <v>0.75</v>
      </c>
      <c r="D47" s="15"/>
      <c r="E47" s="15"/>
      <c r="F47" s="372"/>
      <c r="G47" s="372"/>
      <c r="H47" s="372"/>
      <c r="I47" s="372">
        <f>2.2/3</f>
        <v>0.73333333333333339</v>
      </c>
      <c r="J47" s="372">
        <v>0</v>
      </c>
      <c r="K47" s="374">
        <v>0</v>
      </c>
      <c r="L47" s="374">
        <v>0</v>
      </c>
      <c r="M47" s="374">
        <v>0</v>
      </c>
      <c r="N47" s="372">
        <v>0.75</v>
      </c>
      <c r="O47" s="372">
        <v>0.8</v>
      </c>
      <c r="P47" s="372"/>
      <c r="Q47" s="372"/>
      <c r="R47" s="372">
        <f>2.48/3</f>
        <v>0.82666666666666666</v>
      </c>
      <c r="S47" s="372">
        <v>0</v>
      </c>
      <c r="T47" s="372">
        <v>0</v>
      </c>
      <c r="U47" s="372">
        <v>0</v>
      </c>
      <c r="V47" s="372">
        <v>0</v>
      </c>
      <c r="W47" s="372">
        <v>0</v>
      </c>
      <c r="X47" s="372">
        <v>0.75</v>
      </c>
      <c r="Y47" s="372"/>
      <c r="Z47" s="372"/>
      <c r="AA47" s="372"/>
      <c r="AB47" s="372"/>
      <c r="AC47" s="372"/>
      <c r="AD47" s="41"/>
      <c r="AE47" s="41"/>
      <c r="AF47" s="11">
        <f t="shared" si="11"/>
        <v>0</v>
      </c>
      <c r="AG47" s="11">
        <f t="shared" si="12"/>
        <v>0</v>
      </c>
      <c r="AH47" s="11">
        <f t="shared" si="13"/>
        <v>14</v>
      </c>
    </row>
    <row r="48" spans="1:36">
      <c r="A48" s="70" t="s">
        <v>43</v>
      </c>
      <c r="B48" s="15"/>
      <c r="C48" s="15">
        <v>0.75</v>
      </c>
      <c r="D48" s="15"/>
      <c r="E48" s="15"/>
      <c r="F48" s="372"/>
      <c r="G48" s="372"/>
      <c r="H48" s="372"/>
      <c r="I48" s="372"/>
      <c r="J48" s="372"/>
      <c r="K48" s="374"/>
      <c r="L48" s="374"/>
      <c r="M48" s="374"/>
      <c r="N48" s="372"/>
      <c r="O48" s="372"/>
      <c r="P48" s="372"/>
      <c r="Q48" s="372"/>
      <c r="R48" s="372"/>
      <c r="S48" s="372"/>
      <c r="T48" s="372"/>
      <c r="U48" s="372"/>
      <c r="V48" s="372"/>
      <c r="W48" s="372"/>
      <c r="X48" s="372"/>
      <c r="Y48" s="372"/>
      <c r="Z48" s="372"/>
      <c r="AA48" s="372"/>
      <c r="AB48" s="372"/>
      <c r="AC48" s="372"/>
      <c r="AD48" s="41"/>
      <c r="AE48" s="41"/>
      <c r="AF48" s="11">
        <f t="shared" si="11"/>
        <v>0</v>
      </c>
      <c r="AG48" s="11">
        <f t="shared" si="12"/>
        <v>0</v>
      </c>
      <c r="AH48" s="11">
        <f t="shared" si="13"/>
        <v>0</v>
      </c>
    </row>
    <row r="49" spans="1:124" ht="15" customHeight="1">
      <c r="A49" s="70" t="s">
        <v>44</v>
      </c>
      <c r="B49" s="15"/>
      <c r="C49" s="15">
        <v>0.75</v>
      </c>
      <c r="D49" s="15"/>
      <c r="E49" s="15"/>
      <c r="F49" s="372"/>
      <c r="G49" s="372"/>
      <c r="H49" s="372"/>
      <c r="I49" s="372"/>
      <c r="J49" s="372"/>
      <c r="K49" s="374"/>
      <c r="L49" s="374"/>
      <c r="M49" s="374"/>
      <c r="N49" s="372"/>
      <c r="O49" s="372"/>
      <c r="P49" s="372"/>
      <c r="Q49" s="372"/>
      <c r="R49" s="372"/>
      <c r="S49" s="372"/>
      <c r="T49" s="372"/>
      <c r="U49" s="372"/>
      <c r="V49" s="372"/>
      <c r="W49" s="372"/>
      <c r="X49" s="372"/>
      <c r="Y49" s="372"/>
      <c r="Z49" s="372"/>
      <c r="AA49" s="372"/>
      <c r="AB49" s="372"/>
      <c r="AC49" s="372"/>
      <c r="AD49" s="41"/>
      <c r="AE49" s="41"/>
      <c r="AF49" s="11">
        <f t="shared" si="11"/>
        <v>0</v>
      </c>
      <c r="AG49" s="11">
        <f t="shared" si="12"/>
        <v>0</v>
      </c>
      <c r="AH49" s="11">
        <f t="shared" si="13"/>
        <v>0</v>
      </c>
    </row>
    <row r="50" spans="1:124" ht="16.5" customHeight="1">
      <c r="A50" s="70" t="s">
        <v>45</v>
      </c>
      <c r="B50" s="15"/>
      <c r="C50" s="15">
        <v>0.75</v>
      </c>
      <c r="D50" s="15"/>
      <c r="E50" s="15"/>
      <c r="F50" s="372"/>
      <c r="G50" s="372"/>
      <c r="H50" s="372"/>
      <c r="I50" s="372">
        <f>2.2/3</f>
        <v>0.73333333333333339</v>
      </c>
      <c r="J50" s="372">
        <f>2.2/3</f>
        <v>0.73333333333333339</v>
      </c>
      <c r="K50" s="374">
        <f>2.2/3</f>
        <v>0.73333333333333339</v>
      </c>
      <c r="L50" s="374">
        <v>0</v>
      </c>
      <c r="M50" s="374">
        <v>0</v>
      </c>
      <c r="N50" s="372">
        <v>0</v>
      </c>
      <c r="O50" s="372">
        <v>0.8</v>
      </c>
      <c r="P50" s="372"/>
      <c r="Q50" s="372"/>
      <c r="R50" s="372">
        <f t="shared" ref="R50:R51" si="14">2.48/3</f>
        <v>0.82666666666666666</v>
      </c>
      <c r="S50" s="372">
        <v>0.8</v>
      </c>
      <c r="T50" s="372">
        <f>3.1/4</f>
        <v>0.77500000000000002</v>
      </c>
      <c r="U50" s="372">
        <f>2.2/3</f>
        <v>0.73333333333333339</v>
      </c>
      <c r="V50" s="372">
        <f>2.2/3</f>
        <v>0.73333333333333339</v>
      </c>
      <c r="W50" s="372">
        <v>0.75</v>
      </c>
      <c r="X50" s="372"/>
      <c r="Y50" s="372"/>
      <c r="Z50" s="372"/>
      <c r="AA50" s="372"/>
      <c r="AB50" s="372"/>
      <c r="AC50" s="372"/>
      <c r="AD50" s="41"/>
      <c r="AE50" s="41"/>
      <c r="AF50" s="11">
        <f t="shared" si="11"/>
        <v>0</v>
      </c>
      <c r="AG50" s="11">
        <f t="shared" si="12"/>
        <v>0</v>
      </c>
      <c r="AH50" s="11">
        <f t="shared" si="13"/>
        <v>13</v>
      </c>
    </row>
    <row r="51" spans="1:124">
      <c r="A51" s="70" t="s">
        <v>46</v>
      </c>
      <c r="B51" s="15"/>
      <c r="C51" s="15">
        <v>0.85</v>
      </c>
      <c r="D51" s="15"/>
      <c r="E51" s="15"/>
      <c r="F51" s="372" t="s">
        <v>9</v>
      </c>
      <c r="G51" s="372" t="s">
        <v>9</v>
      </c>
      <c r="H51" s="372" t="s">
        <v>9</v>
      </c>
      <c r="I51" s="372" t="s">
        <v>9</v>
      </c>
      <c r="J51" s="372" t="s">
        <v>9</v>
      </c>
      <c r="K51" s="374" t="s">
        <v>9</v>
      </c>
      <c r="L51" s="374" t="s">
        <v>9</v>
      </c>
      <c r="M51" s="374" t="s">
        <v>9</v>
      </c>
      <c r="N51" s="372">
        <v>0.75</v>
      </c>
      <c r="O51" s="372"/>
      <c r="P51" s="372"/>
      <c r="Q51" s="372">
        <v>0.7</v>
      </c>
      <c r="R51" s="372">
        <f t="shared" si="14"/>
        <v>0.82666666666666666</v>
      </c>
      <c r="S51" s="372">
        <v>0</v>
      </c>
      <c r="T51" s="372">
        <f>3.1/4</f>
        <v>0.77500000000000002</v>
      </c>
      <c r="U51" s="372"/>
      <c r="V51" s="372"/>
      <c r="W51" s="372"/>
      <c r="X51" s="372"/>
      <c r="Y51" s="372">
        <v>0.75</v>
      </c>
      <c r="Z51" s="372"/>
      <c r="AA51" s="372"/>
      <c r="AB51" s="372"/>
      <c r="AC51" s="372"/>
      <c r="AD51" s="41"/>
      <c r="AE51" s="41"/>
      <c r="AF51" s="11">
        <f t="shared" si="11"/>
        <v>8</v>
      </c>
      <c r="AG51" s="11">
        <f t="shared" si="12"/>
        <v>0</v>
      </c>
      <c r="AH51" s="11">
        <f t="shared" si="13"/>
        <v>6</v>
      </c>
    </row>
    <row r="52" spans="1:124">
      <c r="A52" s="70" t="s">
        <v>47</v>
      </c>
      <c r="B52" s="15"/>
      <c r="C52" s="15">
        <v>0.85</v>
      </c>
      <c r="D52" s="15"/>
      <c r="E52" s="15"/>
      <c r="F52" s="372" t="s">
        <v>9</v>
      </c>
      <c r="G52" s="372" t="s">
        <v>9</v>
      </c>
      <c r="H52" s="372" t="s">
        <v>9</v>
      </c>
      <c r="I52" s="372" t="s">
        <v>9</v>
      </c>
      <c r="J52" s="372" t="s">
        <v>9</v>
      </c>
      <c r="K52" s="374" t="s">
        <v>9</v>
      </c>
      <c r="L52" s="374" t="s">
        <v>9</v>
      </c>
      <c r="M52" s="374" t="s">
        <v>9</v>
      </c>
      <c r="N52" s="372" t="s">
        <v>9</v>
      </c>
      <c r="O52" s="372" t="s">
        <v>9</v>
      </c>
      <c r="P52" s="372" t="s">
        <v>9</v>
      </c>
      <c r="Q52" s="372" t="s">
        <v>9</v>
      </c>
      <c r="R52" s="372" t="s">
        <v>9</v>
      </c>
      <c r="S52" s="372" t="s">
        <v>9</v>
      </c>
      <c r="T52" s="372" t="s">
        <v>9</v>
      </c>
      <c r="U52" s="372" t="s">
        <v>9</v>
      </c>
      <c r="V52" s="372" t="s">
        <v>9</v>
      </c>
      <c r="W52" s="372" t="s">
        <v>9</v>
      </c>
      <c r="X52" s="372" t="s">
        <v>9</v>
      </c>
      <c r="Y52" s="372" t="s">
        <v>9</v>
      </c>
      <c r="Z52" s="372" t="s">
        <v>9</v>
      </c>
      <c r="AA52" s="372" t="s">
        <v>9</v>
      </c>
      <c r="AB52" s="372" t="s">
        <v>9</v>
      </c>
      <c r="AC52" s="372" t="s">
        <v>9</v>
      </c>
      <c r="AD52" s="41"/>
      <c r="AE52" s="41"/>
      <c r="AF52" s="11">
        <f t="shared" si="11"/>
        <v>24</v>
      </c>
      <c r="AG52" s="11">
        <f t="shared" si="12"/>
        <v>0</v>
      </c>
      <c r="AH52" s="11">
        <f t="shared" si="13"/>
        <v>0</v>
      </c>
    </row>
    <row r="53" spans="1:124">
      <c r="A53" s="70" t="s">
        <v>48</v>
      </c>
      <c r="B53" s="15"/>
      <c r="C53" s="15">
        <v>0.85</v>
      </c>
      <c r="D53" s="15"/>
      <c r="E53" s="15"/>
      <c r="F53" s="372"/>
      <c r="G53" s="372"/>
      <c r="H53" s="372"/>
      <c r="I53" s="372"/>
      <c r="J53" s="372"/>
      <c r="K53" s="374"/>
      <c r="L53" s="374"/>
      <c r="M53" s="374"/>
      <c r="N53" s="372"/>
      <c r="O53" s="372"/>
      <c r="P53" s="372"/>
      <c r="Q53" s="372"/>
      <c r="R53" s="372"/>
      <c r="S53" s="372"/>
      <c r="T53" s="372"/>
      <c r="U53" s="372"/>
      <c r="V53" s="372"/>
      <c r="W53" s="372"/>
      <c r="X53" s="372"/>
      <c r="Y53" s="372"/>
      <c r="Z53" s="372"/>
      <c r="AA53" s="372"/>
      <c r="AB53" s="372"/>
      <c r="AC53" s="372"/>
      <c r="AD53" s="41"/>
      <c r="AE53" s="41"/>
      <c r="AF53" s="11">
        <f t="shared" si="11"/>
        <v>0</v>
      </c>
      <c r="AG53" s="11">
        <f t="shared" si="12"/>
        <v>0</v>
      </c>
      <c r="AH53" s="11">
        <f t="shared" si="13"/>
        <v>0</v>
      </c>
    </row>
    <row r="54" spans="1:124" ht="16.5" customHeight="1">
      <c r="A54" s="70" t="s">
        <v>49</v>
      </c>
      <c r="B54" s="15"/>
      <c r="C54" s="15">
        <v>0.85</v>
      </c>
      <c r="D54" s="15"/>
      <c r="E54" s="15"/>
      <c r="F54" s="372"/>
      <c r="G54" s="372"/>
      <c r="H54" s="372"/>
      <c r="I54" s="372"/>
      <c r="J54" s="372">
        <f>2.2/3</f>
        <v>0.73333333333333339</v>
      </c>
      <c r="K54" s="374">
        <f>2.2/3</f>
        <v>0.73333333333333339</v>
      </c>
      <c r="L54" s="374">
        <v>0</v>
      </c>
      <c r="M54" s="374">
        <v>0</v>
      </c>
      <c r="N54" s="372">
        <v>0</v>
      </c>
      <c r="O54" s="372"/>
      <c r="P54" s="372"/>
      <c r="Q54" s="372"/>
      <c r="R54" s="372"/>
      <c r="S54" s="372"/>
      <c r="T54" s="372">
        <f>3.1/4</f>
        <v>0.77500000000000002</v>
      </c>
      <c r="U54" s="372">
        <f>2.2/3</f>
        <v>0.73333333333333339</v>
      </c>
      <c r="V54" s="372">
        <f>2.2/3</f>
        <v>0.73333333333333339</v>
      </c>
      <c r="W54" s="372"/>
      <c r="X54" s="372"/>
      <c r="Y54" s="372">
        <v>0.75</v>
      </c>
      <c r="Z54" s="372"/>
      <c r="AA54" s="372"/>
      <c r="AB54" s="372"/>
      <c r="AC54" s="372"/>
      <c r="AD54" s="41"/>
      <c r="AE54" s="41"/>
      <c r="AF54" s="11">
        <f t="shared" si="11"/>
        <v>0</v>
      </c>
      <c r="AG54" s="11">
        <f t="shared" si="12"/>
        <v>0</v>
      </c>
      <c r="AH54" s="11">
        <f t="shared" si="13"/>
        <v>9</v>
      </c>
    </row>
    <row r="55" spans="1:124">
      <c r="A55" s="70" t="s">
        <v>50</v>
      </c>
      <c r="B55" s="15"/>
      <c r="C55" s="15">
        <v>0.85</v>
      </c>
      <c r="D55" s="15"/>
      <c r="E55" s="15"/>
      <c r="F55" s="372"/>
      <c r="G55" s="372"/>
      <c r="H55" s="372"/>
      <c r="I55" s="372"/>
      <c r="J55" s="372"/>
      <c r="K55" s="374"/>
      <c r="L55" s="374"/>
      <c r="M55" s="374"/>
      <c r="N55" s="372"/>
      <c r="O55" s="372"/>
      <c r="P55" s="372"/>
      <c r="Q55" s="372"/>
      <c r="R55" s="372"/>
      <c r="S55" s="372"/>
      <c r="T55" s="372"/>
      <c r="U55" s="372"/>
      <c r="V55" s="372"/>
      <c r="W55" s="372"/>
      <c r="X55" s="372"/>
      <c r="Y55" s="372"/>
      <c r="Z55" s="372"/>
      <c r="AA55" s="372"/>
      <c r="AB55" s="372"/>
      <c r="AC55" s="372"/>
      <c r="AD55" s="41"/>
      <c r="AE55" s="41"/>
      <c r="AF55" s="11">
        <f>COUNTIF(F55:AC55,$AJ$8)</f>
        <v>0</v>
      </c>
      <c r="AG55" s="11">
        <f t="shared" si="12"/>
        <v>0</v>
      </c>
      <c r="AH55" s="11">
        <f>COUNT(F55:AC55)</f>
        <v>0</v>
      </c>
    </row>
    <row r="56" spans="1:124">
      <c r="A56" s="70" t="s">
        <v>51</v>
      </c>
      <c r="B56" s="15"/>
      <c r="C56" s="15">
        <v>0.75</v>
      </c>
      <c r="D56" s="15"/>
      <c r="E56" s="15"/>
      <c r="F56" s="372"/>
      <c r="G56" s="372"/>
      <c r="H56" s="372"/>
      <c r="I56" s="372">
        <f>2.2/3</f>
        <v>0.73333333333333339</v>
      </c>
      <c r="J56" s="372">
        <f>2.2/3</f>
        <v>0.73333333333333339</v>
      </c>
      <c r="K56" s="374">
        <f>2.2/3</f>
        <v>0.73333333333333339</v>
      </c>
      <c r="L56" s="374">
        <v>0</v>
      </c>
      <c r="M56" s="374">
        <v>0</v>
      </c>
      <c r="N56" s="372">
        <v>0</v>
      </c>
      <c r="O56" s="372">
        <v>0.7</v>
      </c>
      <c r="P56" s="372"/>
      <c r="Q56" s="372"/>
      <c r="R56" s="372"/>
      <c r="S56" s="372"/>
      <c r="T56" s="372">
        <f>3.1/4</f>
        <v>0.77500000000000002</v>
      </c>
      <c r="U56" s="372">
        <f>2.2/3</f>
        <v>0.73333333333333339</v>
      </c>
      <c r="V56" s="372">
        <f>2.2/3</f>
        <v>0.73333333333333339</v>
      </c>
      <c r="W56" s="372">
        <v>0.75</v>
      </c>
      <c r="X56" s="372">
        <v>0.75</v>
      </c>
      <c r="Y56" s="372"/>
      <c r="Z56" s="372"/>
      <c r="AA56" s="372"/>
      <c r="AB56" s="372"/>
      <c r="AC56" s="372"/>
      <c r="AD56" s="41"/>
      <c r="AE56" s="41"/>
      <c r="AF56" s="11">
        <f t="shared" si="11"/>
        <v>0</v>
      </c>
      <c r="AG56" s="11">
        <f t="shared" si="12"/>
        <v>0</v>
      </c>
      <c r="AH56" s="11">
        <f t="shared" si="13"/>
        <v>12</v>
      </c>
    </row>
    <row r="57" spans="1:124">
      <c r="A57" s="70" t="s">
        <v>52</v>
      </c>
      <c r="B57" s="15"/>
      <c r="C57" s="15">
        <v>0.75</v>
      </c>
      <c r="D57" s="15"/>
      <c r="E57" s="15"/>
      <c r="F57" s="372"/>
      <c r="G57" s="372"/>
      <c r="H57" s="372"/>
      <c r="I57" s="372"/>
      <c r="J57" s="372"/>
      <c r="K57" s="374"/>
      <c r="L57" s="374"/>
      <c r="M57" s="374"/>
      <c r="N57" s="372"/>
      <c r="O57" s="372"/>
      <c r="P57" s="372"/>
      <c r="Q57" s="372"/>
      <c r="R57" s="372"/>
      <c r="S57" s="372"/>
      <c r="T57" s="372"/>
      <c r="U57" s="372"/>
      <c r="V57" s="372"/>
      <c r="W57" s="372"/>
      <c r="X57" s="372"/>
      <c r="Y57" s="372"/>
      <c r="Z57" s="372"/>
      <c r="AA57" s="372"/>
      <c r="AB57" s="372"/>
      <c r="AC57" s="372"/>
      <c r="AD57" s="41"/>
      <c r="AE57" s="41"/>
      <c r="AF57" s="11">
        <f t="shared" si="11"/>
        <v>0</v>
      </c>
      <c r="AG57" s="11">
        <f t="shared" si="12"/>
        <v>0</v>
      </c>
      <c r="AH57" s="11">
        <f t="shared" si="13"/>
        <v>0</v>
      </c>
    </row>
    <row r="58" spans="1:124">
      <c r="A58" s="70" t="s">
        <v>53</v>
      </c>
      <c r="B58" s="15"/>
      <c r="C58" s="15">
        <v>0.85</v>
      </c>
      <c r="D58" s="15"/>
      <c r="E58" s="15"/>
      <c r="F58" s="372"/>
      <c r="G58" s="372"/>
      <c r="H58" s="372"/>
      <c r="I58" s="372"/>
      <c r="J58" s="372"/>
      <c r="K58" s="374"/>
      <c r="L58" s="374"/>
      <c r="M58" s="374"/>
      <c r="N58" s="372"/>
      <c r="O58" s="372"/>
      <c r="P58" s="372"/>
      <c r="Q58" s="372"/>
      <c r="R58" s="372"/>
      <c r="S58" s="372"/>
      <c r="T58" s="372"/>
      <c r="U58" s="372"/>
      <c r="V58" s="372"/>
      <c r="W58" s="372"/>
      <c r="X58" s="372"/>
      <c r="Y58" s="372"/>
      <c r="Z58" s="372"/>
      <c r="AA58" s="372"/>
      <c r="AB58" s="372"/>
      <c r="AC58" s="372"/>
      <c r="AD58" s="41"/>
      <c r="AE58" s="41"/>
      <c r="AF58" s="11">
        <f t="shared" si="11"/>
        <v>0</v>
      </c>
      <c r="AG58" s="11">
        <f t="shared" si="12"/>
        <v>0</v>
      </c>
      <c r="AH58" s="11">
        <f t="shared" si="13"/>
        <v>0</v>
      </c>
    </row>
    <row r="59" spans="1:124">
      <c r="A59" s="70" t="s">
        <v>54</v>
      </c>
      <c r="B59" s="15"/>
      <c r="C59" s="15">
        <v>0.85</v>
      </c>
      <c r="D59" s="15"/>
      <c r="E59" s="15"/>
      <c r="F59" s="372"/>
      <c r="G59" s="372"/>
      <c r="H59" s="372"/>
      <c r="I59" s="372"/>
      <c r="J59" s="372"/>
      <c r="K59" s="374"/>
      <c r="L59" s="374"/>
      <c r="M59" s="374"/>
      <c r="N59" s="372"/>
      <c r="O59" s="372"/>
      <c r="P59" s="372"/>
      <c r="Q59" s="372"/>
      <c r="R59" s="372"/>
      <c r="S59" s="372"/>
      <c r="T59" s="372"/>
      <c r="U59" s="372"/>
      <c r="V59" s="372"/>
      <c r="W59" s="372"/>
      <c r="X59" s="372"/>
      <c r="Y59" s="372"/>
      <c r="Z59" s="372"/>
      <c r="AA59" s="372"/>
      <c r="AB59" s="372"/>
      <c r="AC59" s="372"/>
      <c r="AD59" s="41"/>
      <c r="AE59" s="41"/>
      <c r="AF59" s="11">
        <f t="shared" si="11"/>
        <v>0</v>
      </c>
      <c r="AG59" s="11">
        <f t="shared" si="12"/>
        <v>0</v>
      </c>
      <c r="AH59" s="11">
        <f t="shared" si="13"/>
        <v>0</v>
      </c>
    </row>
    <row r="60" spans="1:124">
      <c r="A60" s="9" t="s">
        <v>26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 t="shared" ref="F60" si="15">SUM(F36:F59)</f>
        <v>0</v>
      </c>
      <c r="G60" s="19">
        <f t="shared" ref="G60:AC60" si="16">SUM(G36:G59)</f>
        <v>0</v>
      </c>
      <c r="H60" s="19">
        <f t="shared" si="16"/>
        <v>0</v>
      </c>
      <c r="I60" s="19">
        <f t="shared" si="16"/>
        <v>2.2000000000000002</v>
      </c>
      <c r="J60" s="19">
        <f t="shared" si="16"/>
        <v>2.2000000000000002</v>
      </c>
      <c r="K60" s="19">
        <f t="shared" si="16"/>
        <v>2.2000000000000002</v>
      </c>
      <c r="L60" s="19">
        <f t="shared" si="16"/>
        <v>0</v>
      </c>
      <c r="M60" s="19">
        <f t="shared" si="16"/>
        <v>0</v>
      </c>
      <c r="N60" s="19">
        <f t="shared" si="16"/>
        <v>1.5</v>
      </c>
      <c r="O60" s="19">
        <f>SUM(O36:O59)</f>
        <v>2.2999999999999998</v>
      </c>
      <c r="P60" s="19">
        <f t="shared" si="16"/>
        <v>0</v>
      </c>
      <c r="Q60" s="19">
        <f t="shared" si="16"/>
        <v>0.7</v>
      </c>
      <c r="R60" s="19">
        <f t="shared" si="16"/>
        <v>2.48</v>
      </c>
      <c r="S60" s="19">
        <f t="shared" si="16"/>
        <v>0.8</v>
      </c>
      <c r="T60" s="19">
        <f>SUM(T36:T59)</f>
        <v>3.1</v>
      </c>
      <c r="U60" s="19">
        <f t="shared" si="16"/>
        <v>2.2000000000000002</v>
      </c>
      <c r="V60" s="19">
        <f t="shared" si="16"/>
        <v>2.2000000000000002</v>
      </c>
      <c r="W60" s="19">
        <f t="shared" si="16"/>
        <v>1.5</v>
      </c>
      <c r="X60" s="19">
        <f t="shared" si="16"/>
        <v>1.5</v>
      </c>
      <c r="Y60" s="19">
        <f t="shared" si="16"/>
        <v>1.5</v>
      </c>
      <c r="Z60" s="19">
        <f t="shared" si="16"/>
        <v>0</v>
      </c>
      <c r="AA60" s="19">
        <f t="shared" si="16"/>
        <v>0</v>
      </c>
      <c r="AB60" s="19">
        <f t="shared" si="16"/>
        <v>0</v>
      </c>
      <c r="AC60" s="19">
        <f t="shared" si="16"/>
        <v>0</v>
      </c>
      <c r="AD60" s="34"/>
      <c r="AE60" s="34"/>
      <c r="AF60" s="11"/>
      <c r="AG60" s="11"/>
      <c r="AH60" s="11"/>
    </row>
    <row r="61" spans="1:124">
      <c r="A61" s="12" t="s">
        <v>55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28.180000000000003</v>
      </c>
      <c r="AN61" s="351"/>
    </row>
    <row r="62" spans="1:124">
      <c r="A62" s="14" t="s">
        <v>56</v>
      </c>
      <c r="B62" s="20"/>
      <c r="C62" s="15">
        <v>0.75</v>
      </c>
      <c r="D62" s="15"/>
      <c r="E62" s="15"/>
      <c r="F62" s="372">
        <v>0.55000000000000004</v>
      </c>
      <c r="G62" s="372">
        <f>0.93/2</f>
        <v>0.46500000000000002</v>
      </c>
      <c r="H62" s="372">
        <v>0.44</v>
      </c>
      <c r="I62" s="372">
        <f>0.86/2</f>
        <v>0.43</v>
      </c>
      <c r="J62" s="372">
        <f>0.82/2</f>
        <v>0.41</v>
      </c>
      <c r="K62" s="374">
        <f>0.88/2</f>
        <v>0.44</v>
      </c>
      <c r="L62" s="374">
        <f>0.95/2</f>
        <v>0.47499999999999998</v>
      </c>
      <c r="M62" s="374">
        <v>0</v>
      </c>
      <c r="N62" s="372">
        <v>0</v>
      </c>
      <c r="O62" s="372">
        <v>0</v>
      </c>
      <c r="P62" s="372">
        <v>0</v>
      </c>
      <c r="Q62" s="372">
        <v>0</v>
      </c>
      <c r="R62" s="372">
        <v>0</v>
      </c>
      <c r="S62" s="372">
        <f>1.16/2</f>
        <v>0.57999999999999996</v>
      </c>
      <c r="T62" s="372">
        <f>1.17/2</f>
        <v>0.58499999999999996</v>
      </c>
      <c r="U62" s="372">
        <f>1.29/2</f>
        <v>0.64500000000000002</v>
      </c>
      <c r="V62" s="372">
        <f>1.29/2</f>
        <v>0.64500000000000002</v>
      </c>
      <c r="W62" s="372">
        <f>1.15/2</f>
        <v>0.57499999999999996</v>
      </c>
      <c r="X62" s="372">
        <f>1.34/2</f>
        <v>0.67</v>
      </c>
      <c r="Y62" s="372">
        <f>1.63/2</f>
        <v>0.81499999999999995</v>
      </c>
      <c r="Z62" s="372">
        <f>1.65/3</f>
        <v>0.54999999999999993</v>
      </c>
      <c r="AA62" s="372">
        <f>1.55/2</f>
        <v>0.77500000000000002</v>
      </c>
      <c r="AB62" s="372">
        <f>1.39/2</f>
        <v>0.69499999999999995</v>
      </c>
      <c r="AC62" s="372">
        <f>1.29/2</f>
        <v>0.64500000000000002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24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57</v>
      </c>
      <c r="B63" s="20"/>
      <c r="C63" s="15">
        <v>0.75</v>
      </c>
      <c r="D63" s="15"/>
      <c r="E63" s="15"/>
      <c r="F63" s="372">
        <v>0.55000000000000004</v>
      </c>
      <c r="G63" s="372"/>
      <c r="H63" s="372"/>
      <c r="I63" s="372"/>
      <c r="J63" s="372"/>
      <c r="K63" s="374"/>
      <c r="L63" s="374"/>
      <c r="M63" s="374">
        <v>0.5</v>
      </c>
      <c r="N63" s="372">
        <f>1.08/2</f>
        <v>0.54</v>
      </c>
      <c r="O63" s="372">
        <f>1.19/2</f>
        <v>0.59499999999999997</v>
      </c>
      <c r="P63" s="372">
        <f>1.14/2</f>
        <v>0.56999999999999995</v>
      </c>
      <c r="Q63" s="372">
        <f>1.15/2</f>
        <v>0.57499999999999996</v>
      </c>
      <c r="R63" s="372">
        <f>1.29/2</f>
        <v>0.64500000000000002</v>
      </c>
      <c r="S63" s="372">
        <f>1.16/2</f>
        <v>0.57999999999999996</v>
      </c>
      <c r="T63" s="372">
        <f>1.17/2</f>
        <v>0.58499999999999996</v>
      </c>
      <c r="U63" s="372">
        <f>1.29/2</f>
        <v>0.64500000000000002</v>
      </c>
      <c r="V63" s="372">
        <f>1.29/2</f>
        <v>0.64500000000000002</v>
      </c>
      <c r="W63" s="372">
        <f>1.15/2</f>
        <v>0.57499999999999996</v>
      </c>
      <c r="X63" s="372">
        <f>1.34/2</f>
        <v>0.67</v>
      </c>
      <c r="Y63" s="372"/>
      <c r="Z63" s="372">
        <f>1.65/3</f>
        <v>0.54999999999999993</v>
      </c>
      <c r="AA63" s="372"/>
      <c r="AB63" s="372"/>
      <c r="AC63" s="372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14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58</v>
      </c>
      <c r="B64" s="20"/>
      <c r="C64" s="15">
        <v>0.75</v>
      </c>
      <c r="D64" s="15"/>
      <c r="E64" s="15"/>
      <c r="F64" s="372"/>
      <c r="G64" s="372">
        <f>0.93/2</f>
        <v>0.46500000000000002</v>
      </c>
      <c r="H64" s="372">
        <v>0.44</v>
      </c>
      <c r="I64" s="372">
        <f>0.86/2</f>
        <v>0.43</v>
      </c>
      <c r="J64" s="372">
        <f>0.82/2</f>
        <v>0.41</v>
      </c>
      <c r="K64" s="374">
        <f>0.88/2</f>
        <v>0.44</v>
      </c>
      <c r="L64" s="374">
        <f>0.95/2</f>
        <v>0.47499999999999998</v>
      </c>
      <c r="M64" s="374">
        <v>0.5</v>
      </c>
      <c r="N64" s="372">
        <f>1.08/2</f>
        <v>0.54</v>
      </c>
      <c r="O64" s="372">
        <f>1.19/2</f>
        <v>0.59499999999999997</v>
      </c>
      <c r="P64" s="372">
        <f>1.14/2</f>
        <v>0.56999999999999995</v>
      </c>
      <c r="Q64" s="372">
        <f>1.15/2</f>
        <v>0.57499999999999996</v>
      </c>
      <c r="R64" s="372">
        <f>1.29/2</f>
        <v>0.64500000000000002</v>
      </c>
      <c r="S64" s="372"/>
      <c r="T64" s="372"/>
      <c r="U64" s="372"/>
      <c r="V64" s="372"/>
      <c r="W64" s="372"/>
      <c r="X64" s="372"/>
      <c r="Y64" s="372">
        <f>1.63/2</f>
        <v>0.81499999999999995</v>
      </c>
      <c r="Z64" s="372">
        <f>1.65/3</f>
        <v>0.54999999999999993</v>
      </c>
      <c r="AA64" s="372">
        <f>1.55/2</f>
        <v>0.77500000000000002</v>
      </c>
      <c r="AB64" s="372">
        <f>1.39/2</f>
        <v>0.69499999999999995</v>
      </c>
      <c r="AC64" s="372">
        <f>1.29/2</f>
        <v>0.64500000000000002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17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1.1000000000000001</v>
      </c>
      <c r="G65" s="19">
        <f t="shared" ref="G65" si="17">SUM(G62:G64)</f>
        <v>0.93</v>
      </c>
      <c r="H65" s="19">
        <f>SUM(H62:H64)</f>
        <v>0.88</v>
      </c>
      <c r="I65" s="19">
        <f>SUM(I62:I64)</f>
        <v>0.86</v>
      </c>
      <c r="J65" s="19">
        <f t="shared" ref="J65" si="18">SUM(J62:J64)</f>
        <v>0.82</v>
      </c>
      <c r="K65" s="19">
        <f>SUM(K62:K64)</f>
        <v>0.88</v>
      </c>
      <c r="L65" s="19">
        <f>SUM(L62:L64)</f>
        <v>0.95</v>
      </c>
      <c r="M65" s="19">
        <f>SUM(M62:M64)</f>
        <v>1</v>
      </c>
      <c r="N65" s="19">
        <f>SUM(N62:N64)</f>
        <v>1.08</v>
      </c>
      <c r="O65" s="19">
        <f t="shared" ref="O65:AB65" si="19">SUM(O62:O64)</f>
        <v>1.19</v>
      </c>
      <c r="P65" s="19">
        <f t="shared" si="19"/>
        <v>1.1399999999999999</v>
      </c>
      <c r="Q65" s="19">
        <f t="shared" si="19"/>
        <v>1.1499999999999999</v>
      </c>
      <c r="R65" s="19">
        <f t="shared" si="19"/>
        <v>1.29</v>
      </c>
      <c r="S65" s="19">
        <f t="shared" si="19"/>
        <v>1.1599999999999999</v>
      </c>
      <c r="T65" s="19">
        <f t="shared" si="19"/>
        <v>1.17</v>
      </c>
      <c r="U65" s="19">
        <f t="shared" si="19"/>
        <v>1.29</v>
      </c>
      <c r="V65" s="19">
        <f t="shared" si="19"/>
        <v>1.29</v>
      </c>
      <c r="W65" s="19">
        <f t="shared" si="19"/>
        <v>1.1499999999999999</v>
      </c>
      <c r="X65" s="19">
        <f t="shared" si="19"/>
        <v>1.34</v>
      </c>
      <c r="Y65" s="19">
        <f>SUM(Y62:Y64)</f>
        <v>1.63</v>
      </c>
      <c r="Z65" s="19">
        <f t="shared" si="19"/>
        <v>1.65</v>
      </c>
      <c r="AA65" s="19">
        <f t="shared" si="19"/>
        <v>1.55</v>
      </c>
      <c r="AB65" s="19">
        <f t="shared" si="19"/>
        <v>1.39</v>
      </c>
      <c r="AC65" s="19">
        <f>SUM(AC62:AC64)</f>
        <v>1.29</v>
      </c>
      <c r="AD65" s="34"/>
      <c r="AE65" s="34"/>
      <c r="AF65" s="11"/>
      <c r="AG65" s="11"/>
      <c r="AH65" s="11"/>
    </row>
    <row r="66" spans="1:124" hidden="1">
      <c r="A66" s="12" t="s">
        <v>59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idden="1">
      <c r="A67" s="14" t="s">
        <v>60</v>
      </c>
      <c r="B67" s="15"/>
      <c r="C67" s="15">
        <v>0.85</v>
      </c>
      <c r="D67" s="15"/>
      <c r="E67" s="15"/>
      <c r="F67" s="372"/>
      <c r="G67" s="372"/>
      <c r="H67" s="372"/>
      <c r="I67" s="372"/>
      <c r="J67" s="372"/>
      <c r="K67" s="374"/>
      <c r="L67" s="374"/>
      <c r="M67" s="374"/>
      <c r="N67" s="372"/>
      <c r="O67" s="372"/>
      <c r="P67" s="372"/>
      <c r="Q67" s="372"/>
      <c r="R67" s="372"/>
      <c r="S67" s="372"/>
      <c r="T67" s="372"/>
      <c r="U67" s="372"/>
      <c r="V67" s="372"/>
      <c r="W67" s="372"/>
      <c r="X67" s="372"/>
      <c r="Y67" s="372"/>
      <c r="Z67" s="372"/>
      <c r="AA67" s="372"/>
      <c r="AB67" s="372"/>
      <c r="AC67" s="372"/>
      <c r="AD67" s="35"/>
      <c r="AE67" s="35"/>
      <c r="AF67" s="11">
        <f t="shared" ref="AF67:AF75" si="20">COUNTIF(F67:AC67,$AF$11)</f>
        <v>0</v>
      </c>
      <c r="AG67" s="11">
        <f t="shared" ref="AG67:AG75" si="21">COUNTIF(G67:AC67,$AG$11)</f>
        <v>0</v>
      </c>
      <c r="AH67" s="11">
        <f t="shared" ref="AH67:AH75" si="22">COUNT(F67:AC67)</f>
        <v>0</v>
      </c>
    </row>
    <row r="68" spans="1:124" hidden="1">
      <c r="A68" s="14" t="s">
        <v>61</v>
      </c>
      <c r="B68" s="15"/>
      <c r="C68" s="15">
        <v>0.85</v>
      </c>
      <c r="D68" s="15"/>
      <c r="E68" s="15"/>
      <c r="F68" s="372"/>
      <c r="G68" s="372"/>
      <c r="H68" s="372"/>
      <c r="I68" s="372"/>
      <c r="J68" s="372"/>
      <c r="K68" s="374"/>
      <c r="L68" s="374"/>
      <c r="M68" s="374"/>
      <c r="N68" s="372"/>
      <c r="O68" s="372"/>
      <c r="P68" s="372"/>
      <c r="Q68" s="372"/>
      <c r="R68" s="372"/>
      <c r="S68" s="372"/>
      <c r="T68" s="372"/>
      <c r="U68" s="372"/>
      <c r="V68" s="372"/>
      <c r="W68" s="372"/>
      <c r="X68" s="372"/>
      <c r="Y68" s="372"/>
      <c r="Z68" s="372"/>
      <c r="AA68" s="372"/>
      <c r="AB68" s="372"/>
      <c r="AC68" s="372"/>
      <c r="AD68" s="35"/>
      <c r="AE68" s="35"/>
      <c r="AF68" s="11">
        <f t="shared" si="20"/>
        <v>0</v>
      </c>
      <c r="AG68" s="11">
        <f t="shared" si="21"/>
        <v>0</v>
      </c>
      <c r="AH68" s="11">
        <f t="shared" si="22"/>
        <v>0</v>
      </c>
    </row>
    <row r="69" spans="1:124" hidden="1">
      <c r="A69" s="14" t="s">
        <v>62</v>
      </c>
      <c r="B69" s="15"/>
      <c r="C69" s="15">
        <v>0.85</v>
      </c>
      <c r="D69" s="15"/>
      <c r="E69" s="15"/>
      <c r="F69" s="372"/>
      <c r="G69" s="372"/>
      <c r="H69" s="372"/>
      <c r="I69" s="372"/>
      <c r="J69" s="372"/>
      <c r="K69" s="374"/>
      <c r="L69" s="374"/>
      <c r="M69" s="374"/>
      <c r="N69" s="372"/>
      <c r="O69" s="372"/>
      <c r="P69" s="372"/>
      <c r="Q69" s="372"/>
      <c r="R69" s="372"/>
      <c r="S69" s="372"/>
      <c r="T69" s="372"/>
      <c r="U69" s="372"/>
      <c r="V69" s="372"/>
      <c r="W69" s="372"/>
      <c r="X69" s="372"/>
      <c r="Y69" s="372"/>
      <c r="Z69" s="372"/>
      <c r="AA69" s="372"/>
      <c r="AB69" s="372"/>
      <c r="AC69" s="372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2"/>
        <v>0</v>
      </c>
    </row>
    <row r="70" spans="1:124" hidden="1">
      <c r="A70" s="14" t="s">
        <v>63</v>
      </c>
      <c r="B70" s="15"/>
      <c r="C70" s="15">
        <v>0.85</v>
      </c>
      <c r="D70" s="15"/>
      <c r="E70" s="15"/>
      <c r="F70" s="372"/>
      <c r="G70" s="372"/>
      <c r="H70" s="372"/>
      <c r="I70" s="372"/>
      <c r="J70" s="372"/>
      <c r="K70" s="374"/>
      <c r="L70" s="374"/>
      <c r="M70" s="374"/>
      <c r="N70" s="372"/>
      <c r="O70" s="372"/>
      <c r="P70" s="372"/>
      <c r="Q70" s="372"/>
      <c r="R70" s="372"/>
      <c r="S70" s="372"/>
      <c r="T70" s="372"/>
      <c r="U70" s="372"/>
      <c r="V70" s="372"/>
      <c r="W70" s="372"/>
      <c r="X70" s="372"/>
      <c r="Y70" s="372"/>
      <c r="Z70" s="372"/>
      <c r="AA70" s="372"/>
      <c r="AB70" s="372"/>
      <c r="AC70" s="372"/>
      <c r="AD70" s="35"/>
      <c r="AE70" s="35"/>
      <c r="AF70" s="11">
        <f t="shared" si="20"/>
        <v>0</v>
      </c>
      <c r="AG70" s="11">
        <f t="shared" si="21"/>
        <v>0</v>
      </c>
      <c r="AH70" s="11">
        <f t="shared" si="22"/>
        <v>0</v>
      </c>
      <c r="AI70" s="5"/>
      <c r="AJ70" s="5"/>
      <c r="AK70" s="5"/>
      <c r="AL70" s="5"/>
    </row>
    <row r="71" spans="1:124" hidden="1">
      <c r="A71" s="14" t="s">
        <v>64</v>
      </c>
      <c r="B71" s="15"/>
      <c r="C71" s="15">
        <v>0.85</v>
      </c>
      <c r="D71" s="15"/>
      <c r="E71" s="15"/>
      <c r="F71" s="372"/>
      <c r="G71" s="372"/>
      <c r="H71" s="372"/>
      <c r="I71" s="372"/>
      <c r="J71" s="372"/>
      <c r="K71" s="374"/>
      <c r="L71" s="374"/>
      <c r="M71" s="374"/>
      <c r="N71" s="372"/>
      <c r="O71" s="372"/>
      <c r="P71" s="372"/>
      <c r="Q71" s="372"/>
      <c r="R71" s="372"/>
      <c r="S71" s="372"/>
      <c r="T71" s="372"/>
      <c r="U71" s="372"/>
      <c r="V71" s="372"/>
      <c r="W71" s="372"/>
      <c r="X71" s="372"/>
      <c r="Y71" s="372"/>
      <c r="Z71" s="372"/>
      <c r="AA71" s="372"/>
      <c r="AB71" s="372"/>
      <c r="AC71" s="372"/>
      <c r="AD71" s="35"/>
      <c r="AE71" s="35"/>
      <c r="AF71" s="11">
        <f t="shared" si="20"/>
        <v>0</v>
      </c>
      <c r="AG71" s="11">
        <f t="shared" si="21"/>
        <v>0</v>
      </c>
      <c r="AH71" s="11">
        <f t="shared" si="22"/>
        <v>0</v>
      </c>
    </row>
    <row r="72" spans="1:124" hidden="1">
      <c r="A72" s="14" t="s">
        <v>65</v>
      </c>
      <c r="B72" s="15"/>
      <c r="C72" s="15">
        <v>0.85</v>
      </c>
      <c r="D72" s="15"/>
      <c r="E72" s="15"/>
      <c r="F72" s="372"/>
      <c r="G72" s="372"/>
      <c r="H72" s="372"/>
      <c r="I72" s="372"/>
      <c r="J72" s="372"/>
      <c r="K72" s="374"/>
      <c r="L72" s="374"/>
      <c r="M72" s="374"/>
      <c r="N72" s="372"/>
      <c r="O72" s="372"/>
      <c r="P72" s="372"/>
      <c r="Q72" s="372"/>
      <c r="R72" s="372"/>
      <c r="S72" s="372"/>
      <c r="T72" s="372"/>
      <c r="U72" s="372"/>
      <c r="V72" s="372"/>
      <c r="W72" s="372"/>
      <c r="X72" s="372"/>
      <c r="Y72" s="372"/>
      <c r="Z72" s="372"/>
      <c r="AA72" s="372"/>
      <c r="AB72" s="372"/>
      <c r="AC72" s="372"/>
      <c r="AD72" s="35"/>
      <c r="AE72" s="35"/>
      <c r="AF72" s="11">
        <f t="shared" si="20"/>
        <v>0</v>
      </c>
      <c r="AG72" s="11">
        <f t="shared" si="21"/>
        <v>0</v>
      </c>
      <c r="AH72" s="11">
        <f t="shared" si="22"/>
        <v>0</v>
      </c>
    </row>
    <row r="73" spans="1:124" hidden="1">
      <c r="A73" s="14" t="s">
        <v>66</v>
      </c>
      <c r="B73" s="15"/>
      <c r="C73" s="15">
        <v>0.85</v>
      </c>
      <c r="D73" s="15"/>
      <c r="E73" s="15"/>
      <c r="F73" s="372"/>
      <c r="G73" s="372"/>
      <c r="H73" s="372"/>
      <c r="I73" s="372"/>
      <c r="J73" s="372"/>
      <c r="K73" s="374"/>
      <c r="L73" s="374"/>
      <c r="M73" s="374"/>
      <c r="N73" s="372"/>
      <c r="O73" s="372"/>
      <c r="P73" s="372"/>
      <c r="Q73" s="372"/>
      <c r="R73" s="372"/>
      <c r="S73" s="372"/>
      <c r="T73" s="372"/>
      <c r="U73" s="372"/>
      <c r="V73" s="372"/>
      <c r="W73" s="372"/>
      <c r="X73" s="372"/>
      <c r="Y73" s="372"/>
      <c r="Z73" s="372"/>
      <c r="AA73" s="372"/>
      <c r="AB73" s="372"/>
      <c r="AC73" s="372"/>
      <c r="AD73" s="35"/>
      <c r="AE73" s="35"/>
      <c r="AF73" s="11">
        <f t="shared" si="20"/>
        <v>0</v>
      </c>
      <c r="AG73" s="11">
        <f t="shared" si="21"/>
        <v>0</v>
      </c>
      <c r="AH73" s="11">
        <f t="shared" si="22"/>
        <v>0</v>
      </c>
    </row>
    <row r="74" spans="1:124" hidden="1">
      <c r="A74" s="14" t="s">
        <v>67</v>
      </c>
      <c r="B74" s="19"/>
      <c r="C74" s="15">
        <v>0.85</v>
      </c>
      <c r="D74" s="15"/>
      <c r="E74" s="15"/>
      <c r="F74" s="372"/>
      <c r="G74" s="372"/>
      <c r="H74" s="372"/>
      <c r="I74" s="372"/>
      <c r="J74" s="372"/>
      <c r="K74" s="374"/>
      <c r="L74" s="374"/>
      <c r="M74" s="374"/>
      <c r="N74" s="372"/>
      <c r="O74" s="372"/>
      <c r="P74" s="372"/>
      <c r="Q74" s="372"/>
      <c r="R74" s="372"/>
      <c r="S74" s="372"/>
      <c r="T74" s="372"/>
      <c r="U74" s="372"/>
      <c r="V74" s="372"/>
      <c r="W74" s="372"/>
      <c r="X74" s="372"/>
      <c r="Y74" s="372"/>
      <c r="Z74" s="372"/>
      <c r="AA74" s="372"/>
      <c r="AB74" s="372"/>
      <c r="AC74" s="372"/>
      <c r="AD74" s="29"/>
      <c r="AE74" s="29"/>
      <c r="AF74" s="11">
        <f t="shared" si="20"/>
        <v>0</v>
      </c>
      <c r="AG74" s="11">
        <f t="shared" si="21"/>
        <v>0</v>
      </c>
      <c r="AH74" s="11">
        <f t="shared" si="22"/>
        <v>0</v>
      </c>
    </row>
    <row r="75" spans="1:124" ht="15.75" hidden="1" customHeight="1">
      <c r="A75" s="14" t="s">
        <v>68</v>
      </c>
      <c r="B75" s="9"/>
      <c r="C75" s="15">
        <v>0.85</v>
      </c>
      <c r="D75" s="15"/>
      <c r="E75" s="15"/>
      <c r="F75" s="372"/>
      <c r="G75" s="372"/>
      <c r="H75" s="372"/>
      <c r="I75" s="372"/>
      <c r="J75" s="372"/>
      <c r="K75" s="374"/>
      <c r="L75" s="374"/>
      <c r="M75" s="374"/>
      <c r="N75" s="372"/>
      <c r="O75" s="372"/>
      <c r="P75" s="372"/>
      <c r="Q75" s="372"/>
      <c r="R75" s="372"/>
      <c r="S75" s="372"/>
      <c r="T75" s="372"/>
      <c r="U75" s="372"/>
      <c r="V75" s="372"/>
      <c r="W75" s="372"/>
      <c r="X75" s="372"/>
      <c r="Y75" s="372"/>
      <c r="Z75" s="372"/>
      <c r="AA75" s="372"/>
      <c r="AB75" s="372"/>
      <c r="AC75" s="372"/>
      <c r="AD75" s="31"/>
      <c r="AE75" s="31"/>
      <c r="AF75" s="11">
        <f t="shared" si="20"/>
        <v>0</v>
      </c>
      <c r="AG75" s="11">
        <f t="shared" si="21"/>
        <v>0</v>
      </c>
      <c r="AH75" s="11">
        <f t="shared" si="22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3">SUM(F67:F75)</f>
        <v>0</v>
      </c>
      <c r="G76" s="19">
        <f t="shared" ref="G76:AC76" si="24">SUM(G67:G75)</f>
        <v>0</v>
      </c>
      <c r="H76" s="19">
        <f t="shared" si="24"/>
        <v>0</v>
      </c>
      <c r="I76" s="19">
        <f t="shared" si="24"/>
        <v>0</v>
      </c>
      <c r="J76" s="19">
        <f t="shared" si="24"/>
        <v>0</v>
      </c>
      <c r="K76" s="19">
        <f t="shared" si="24"/>
        <v>0</v>
      </c>
      <c r="L76" s="19">
        <f>SUM(L67:L75)</f>
        <v>0</v>
      </c>
      <c r="M76" s="19">
        <f t="shared" si="24"/>
        <v>0</v>
      </c>
      <c r="N76" s="19">
        <f t="shared" si="24"/>
        <v>0</v>
      </c>
      <c r="O76" s="19">
        <f t="shared" si="24"/>
        <v>0</v>
      </c>
      <c r="P76" s="19">
        <f t="shared" si="24"/>
        <v>0</v>
      </c>
      <c r="Q76" s="19">
        <f>SUM(Q67:Q75)</f>
        <v>0</v>
      </c>
      <c r="R76" s="19">
        <f t="shared" si="24"/>
        <v>0</v>
      </c>
      <c r="S76" s="19">
        <f t="shared" si="24"/>
        <v>0</v>
      </c>
      <c r="T76" s="19">
        <f t="shared" si="24"/>
        <v>0</v>
      </c>
      <c r="U76" s="19">
        <f t="shared" si="24"/>
        <v>0</v>
      </c>
      <c r="V76" s="19">
        <f t="shared" si="24"/>
        <v>0</v>
      </c>
      <c r="W76" s="19">
        <f t="shared" si="24"/>
        <v>0</v>
      </c>
      <c r="X76" s="19">
        <f t="shared" si="24"/>
        <v>0</v>
      </c>
      <c r="Y76" s="19">
        <f t="shared" si="24"/>
        <v>0</v>
      </c>
      <c r="Z76" s="19">
        <f t="shared" si="24"/>
        <v>0</v>
      </c>
      <c r="AA76" s="19">
        <f t="shared" si="24"/>
        <v>0</v>
      </c>
      <c r="AB76" s="19">
        <f t="shared" si="24"/>
        <v>0</v>
      </c>
      <c r="AC76" s="19">
        <f t="shared" si="24"/>
        <v>0</v>
      </c>
      <c r="AD76" s="34"/>
      <c r="AE76" s="34"/>
      <c r="AF76" s="11"/>
      <c r="AG76" s="11"/>
      <c r="AH76" s="11"/>
    </row>
    <row r="77" spans="1:124">
      <c r="A77" s="12" t="s">
        <v>69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 t="s">
        <v>21</v>
      </c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19.329999999999998</v>
      </c>
    </row>
    <row r="78" spans="1:124">
      <c r="A78" s="14" t="s">
        <v>70</v>
      </c>
      <c r="B78" s="20"/>
      <c r="C78" s="15">
        <v>1</v>
      </c>
      <c r="D78" s="15"/>
      <c r="E78" s="15"/>
      <c r="F78" s="372"/>
      <c r="G78" s="372"/>
      <c r="H78" s="372"/>
      <c r="I78" s="372"/>
      <c r="J78" s="372"/>
      <c r="K78" s="374"/>
      <c r="L78" s="374"/>
      <c r="M78" s="374">
        <v>0.71</v>
      </c>
      <c r="N78" s="374">
        <v>0.74</v>
      </c>
      <c r="O78" s="374">
        <v>0.77</v>
      </c>
      <c r="P78" s="374">
        <v>0.8</v>
      </c>
      <c r="Q78" s="374">
        <v>0.81</v>
      </c>
      <c r="R78" s="374">
        <v>0.83</v>
      </c>
      <c r="S78" s="374">
        <v>0.84</v>
      </c>
      <c r="T78" s="374">
        <v>0.86</v>
      </c>
      <c r="U78" s="374">
        <v>0.85</v>
      </c>
      <c r="V78" s="374">
        <v>0.84</v>
      </c>
      <c r="W78" s="374">
        <v>0.82</v>
      </c>
      <c r="X78" s="374">
        <v>0.82</v>
      </c>
      <c r="Y78" s="372"/>
      <c r="Z78" s="372"/>
      <c r="AA78" s="372"/>
      <c r="AB78" s="372"/>
      <c r="AC78" s="372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71</v>
      </c>
      <c r="B79" s="20"/>
      <c r="C79" s="15">
        <v>1</v>
      </c>
      <c r="D79" s="15"/>
      <c r="E79" s="15"/>
      <c r="F79" s="372">
        <v>0.78</v>
      </c>
      <c r="G79" s="372">
        <v>0.74</v>
      </c>
      <c r="H79" s="372">
        <v>0.73</v>
      </c>
      <c r="I79" s="372">
        <v>0.7</v>
      </c>
      <c r="J79" s="372">
        <v>0.7</v>
      </c>
      <c r="K79" s="374">
        <v>0.69</v>
      </c>
      <c r="L79" s="374">
        <v>0.71</v>
      </c>
      <c r="M79" s="374">
        <v>0</v>
      </c>
      <c r="N79" s="374">
        <v>0</v>
      </c>
      <c r="O79" s="374">
        <v>0</v>
      </c>
      <c r="P79" s="374">
        <v>0</v>
      </c>
      <c r="Q79" s="374">
        <v>0</v>
      </c>
      <c r="R79" s="374">
        <v>0</v>
      </c>
      <c r="S79" s="374">
        <v>0</v>
      </c>
      <c r="T79" s="374">
        <v>0</v>
      </c>
      <c r="U79" s="374">
        <v>0</v>
      </c>
      <c r="V79" s="374">
        <v>0</v>
      </c>
      <c r="W79" s="374">
        <v>0</v>
      </c>
      <c r="X79" s="374">
        <v>0</v>
      </c>
      <c r="Y79" s="374">
        <v>0.94</v>
      </c>
      <c r="Z79" s="374">
        <v>0.95</v>
      </c>
      <c r="AA79" s="372">
        <v>0.94</v>
      </c>
      <c r="AB79" s="372">
        <v>0.88</v>
      </c>
      <c r="AC79" s="372">
        <v>0.88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24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" si="25">SUM(F78:F79)</f>
        <v>0.78</v>
      </c>
      <c r="G80" s="19">
        <f t="shared" ref="G80" si="26">SUM(G78:G79)</f>
        <v>0.74</v>
      </c>
      <c r="H80" s="19">
        <f>SUM(H78:H79)</f>
        <v>0.73</v>
      </c>
      <c r="I80" s="19">
        <f>SUM(I78:I79)</f>
        <v>0.7</v>
      </c>
      <c r="J80" s="19">
        <f t="shared" ref="J80:AC80" si="27">SUM(J78:J79)</f>
        <v>0.7</v>
      </c>
      <c r="K80" s="19">
        <f t="shared" si="27"/>
        <v>0.69</v>
      </c>
      <c r="L80" s="19">
        <f>SUM(L78:L79)</f>
        <v>0.71</v>
      </c>
      <c r="M80" s="19">
        <f t="shared" si="27"/>
        <v>0.71</v>
      </c>
      <c r="N80" s="19">
        <f t="shared" si="27"/>
        <v>0.74</v>
      </c>
      <c r="O80" s="19">
        <f>SUM(O78:O79)</f>
        <v>0.77</v>
      </c>
      <c r="P80" s="19">
        <f t="shared" si="27"/>
        <v>0.8</v>
      </c>
      <c r="Q80" s="19">
        <f t="shared" si="27"/>
        <v>0.81</v>
      </c>
      <c r="R80" s="19">
        <f t="shared" si="27"/>
        <v>0.83</v>
      </c>
      <c r="S80" s="19">
        <f t="shared" si="27"/>
        <v>0.84</v>
      </c>
      <c r="T80" s="19">
        <f t="shared" si="27"/>
        <v>0.86</v>
      </c>
      <c r="U80" s="19">
        <f t="shared" si="27"/>
        <v>0.85</v>
      </c>
      <c r="V80" s="19">
        <f t="shared" si="27"/>
        <v>0.84</v>
      </c>
      <c r="W80" s="19">
        <f t="shared" si="27"/>
        <v>0.82</v>
      </c>
      <c r="X80" s="19">
        <f t="shared" si="27"/>
        <v>0.82</v>
      </c>
      <c r="Y80" s="19">
        <f t="shared" si="27"/>
        <v>0.94</v>
      </c>
      <c r="Z80" s="19">
        <f t="shared" si="27"/>
        <v>0.95</v>
      </c>
      <c r="AA80" s="19">
        <f t="shared" si="27"/>
        <v>0.94</v>
      </c>
      <c r="AB80" s="19">
        <f t="shared" si="27"/>
        <v>0.88</v>
      </c>
      <c r="AC80" s="19">
        <f t="shared" si="27"/>
        <v>0.88</v>
      </c>
      <c r="AD80" s="34"/>
      <c r="AE80" s="34"/>
      <c r="AF80" s="11"/>
      <c r="AG80" s="11"/>
      <c r="AH80" s="11"/>
    </row>
    <row r="81" spans="1:40" ht="17.45" hidden="1">
      <c r="A81" s="366" t="s">
        <v>72</v>
      </c>
      <c r="B81" s="365"/>
      <c r="C81" s="367">
        <v>2</v>
      </c>
      <c r="D81" s="363"/>
      <c r="E81" s="363"/>
      <c r="F81" s="364"/>
      <c r="G81" s="364"/>
      <c r="H81" s="364"/>
      <c r="I81" s="364"/>
      <c r="J81" s="364"/>
      <c r="K81" s="364"/>
      <c r="L81" s="364"/>
      <c r="M81" s="364"/>
      <c r="N81" s="364"/>
      <c r="O81" s="364"/>
      <c r="P81" s="364"/>
      <c r="Q81" s="364"/>
      <c r="R81" s="364"/>
      <c r="S81" s="364"/>
      <c r="T81" s="364"/>
      <c r="U81" s="364"/>
      <c r="V81" s="364"/>
      <c r="W81" s="364"/>
      <c r="X81" s="364"/>
      <c r="Y81" s="364"/>
      <c r="Z81" s="364"/>
      <c r="AA81" s="364"/>
      <c r="AB81" s="364"/>
      <c r="AC81" s="364"/>
    </row>
    <row r="82" spans="1:40" ht="17.45" hidden="1">
      <c r="A82" s="368"/>
      <c r="B82" s="369"/>
      <c r="C82" s="370"/>
      <c r="D82" s="371"/>
      <c r="E82" s="371"/>
      <c r="F82" s="372"/>
      <c r="G82" s="372"/>
      <c r="H82" s="372"/>
      <c r="I82" s="372"/>
      <c r="J82" s="372"/>
      <c r="K82" s="374"/>
      <c r="L82" s="374"/>
      <c r="M82" s="374"/>
      <c r="N82" s="372"/>
      <c r="O82" s="372"/>
      <c r="P82" s="372"/>
      <c r="Q82" s="372"/>
      <c r="R82" s="372"/>
      <c r="S82" s="372"/>
      <c r="T82" s="372"/>
      <c r="U82" s="372"/>
      <c r="V82" s="372"/>
      <c r="W82" s="372"/>
      <c r="X82" s="372"/>
      <c r="Y82" s="372"/>
      <c r="Z82" s="372"/>
      <c r="AA82" s="372"/>
      <c r="AB82" s="372"/>
      <c r="AC82" s="372"/>
    </row>
    <row r="83" spans="1:40">
      <c r="A83" s="21" t="s">
        <v>73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" si="28">SUM(F17,F22,F25,F31,F34,F60,F65,F76,F80,F82)</f>
        <v>45.27</v>
      </c>
      <c r="G83" s="28">
        <f t="shared" ref="G83:AC83" si="29">SUM(G17,G22,G25,G31,G34,G60,G65,G76,G80,G82)</f>
        <v>42.580000000000005</v>
      </c>
      <c r="H83" s="28">
        <f t="shared" si="29"/>
        <v>40.229999999999997</v>
      </c>
      <c r="I83" s="28">
        <f t="shared" si="29"/>
        <v>40.27000000000001</v>
      </c>
      <c r="J83" s="28">
        <f t="shared" si="29"/>
        <v>39.440000000000005</v>
      </c>
      <c r="K83" s="28">
        <f t="shared" si="29"/>
        <v>39.480000000000004</v>
      </c>
      <c r="L83" s="28">
        <f t="shared" si="29"/>
        <v>40.540000000000006</v>
      </c>
      <c r="M83" s="28">
        <f t="shared" si="29"/>
        <v>39</v>
      </c>
      <c r="N83" s="28">
        <f>SUM(N17,N22,N25,N31,N34,N60,N65,N76,N80,N82)</f>
        <v>42.93</v>
      </c>
      <c r="O83" s="28">
        <f>SUM(O17,O22,O25,O31,O34,O60,O65,O76,O80,O82)</f>
        <v>48.48</v>
      </c>
      <c r="P83" s="28">
        <f t="shared" si="29"/>
        <v>49.08</v>
      </c>
      <c r="Q83" s="28">
        <f t="shared" si="29"/>
        <v>52.84</v>
      </c>
      <c r="R83" s="28">
        <f t="shared" si="29"/>
        <v>54.949999999999996</v>
      </c>
      <c r="S83" s="28">
        <f t="shared" si="29"/>
        <v>55.83</v>
      </c>
      <c r="T83" s="28">
        <f t="shared" si="29"/>
        <v>57.500000000000007</v>
      </c>
      <c r="U83" s="28">
        <f>SUM(U17,U22,U25,U31,U34,U60,U65,U76,U80,U82)</f>
        <v>57.230000000000004</v>
      </c>
      <c r="V83" s="28">
        <f t="shared" si="29"/>
        <v>57.430000000000007</v>
      </c>
      <c r="W83" s="28">
        <f t="shared" si="29"/>
        <v>56.480000000000004</v>
      </c>
      <c r="X83" s="28">
        <f t="shared" si="29"/>
        <v>55.65</v>
      </c>
      <c r="Y83" s="28">
        <f t="shared" si="29"/>
        <v>60.92</v>
      </c>
      <c r="Z83" s="28">
        <f t="shared" si="29"/>
        <v>59.280000000000008</v>
      </c>
      <c r="AA83" s="28">
        <f t="shared" si="29"/>
        <v>57.9</v>
      </c>
      <c r="AB83" s="28">
        <f t="shared" si="29"/>
        <v>53.260000000000005</v>
      </c>
      <c r="AC83" s="28">
        <f t="shared" si="29"/>
        <v>51.790000000000006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25" t="s">
        <v>74</v>
      </c>
      <c r="B85" s="525"/>
      <c r="C85" s="525"/>
      <c r="D85" s="525"/>
      <c r="E85" s="525"/>
      <c r="F85" s="525"/>
      <c r="G85" s="525"/>
      <c r="H85" s="525"/>
      <c r="I85" s="525"/>
      <c r="J85" s="525"/>
      <c r="K85" s="525"/>
      <c r="L85" s="525"/>
      <c r="M85" s="525"/>
      <c r="N85" s="525"/>
      <c r="O85" s="525"/>
      <c r="P85" s="525"/>
      <c r="Q85" s="525"/>
      <c r="R85" s="525"/>
      <c r="S85" s="525"/>
      <c r="T85" s="525"/>
      <c r="U85" s="525"/>
      <c r="V85" s="525"/>
      <c r="W85" s="525"/>
      <c r="X85" s="525"/>
      <c r="Y85" s="525"/>
      <c r="Z85" s="525"/>
      <c r="AA85" s="525"/>
      <c r="AB85" s="525"/>
      <c r="AC85" s="525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</row>
    <row r="87" spans="1:40" ht="17.45">
      <c r="A87" s="500" t="s">
        <v>75</v>
      </c>
      <c r="B87" s="501"/>
      <c r="C87" s="502"/>
      <c r="D87" s="49"/>
      <c r="E87" s="49"/>
      <c r="F87" s="506" t="s">
        <v>76</v>
      </c>
      <c r="G87" s="506"/>
      <c r="H87" s="506"/>
      <c r="I87" s="506"/>
      <c r="J87" s="506"/>
      <c r="K87" s="506"/>
      <c r="L87" s="506"/>
      <c r="M87" s="506"/>
      <c r="N87" s="506"/>
      <c r="O87" s="506"/>
      <c r="P87" s="506"/>
      <c r="Q87" s="506"/>
      <c r="R87" s="506"/>
      <c r="S87" s="506"/>
      <c r="T87" s="506"/>
      <c r="U87" s="506"/>
      <c r="V87" s="506"/>
      <c r="W87" s="506"/>
      <c r="X87" s="506"/>
      <c r="Y87" s="506"/>
      <c r="Z87" s="506"/>
      <c r="AA87" s="506"/>
      <c r="AB87" s="506"/>
      <c r="AC87" s="506"/>
      <c r="AD87" s="5"/>
      <c r="AE87" s="5"/>
      <c r="AF87" s="5"/>
      <c r="AG87" s="5"/>
      <c r="AH87" s="5"/>
    </row>
    <row r="88" spans="1:40" ht="15.6" customHeight="1">
      <c r="A88" s="503"/>
      <c r="B88" s="504"/>
      <c r="C88" s="505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07" t="s">
        <v>27</v>
      </c>
      <c r="B89" s="508"/>
      <c r="C89" s="509"/>
      <c r="D89" s="45"/>
      <c r="E89" s="45"/>
      <c r="F89" s="64">
        <f t="shared" ref="F89:AC89" si="30">SUM(F22,F25)</f>
        <v>2</v>
      </c>
      <c r="G89" s="64">
        <f t="shared" si="30"/>
        <v>0</v>
      </c>
      <c r="H89" s="64">
        <f t="shared" si="30"/>
        <v>0</v>
      </c>
      <c r="I89" s="64">
        <f t="shared" si="30"/>
        <v>0</v>
      </c>
      <c r="J89" s="64">
        <f t="shared" si="30"/>
        <v>0</v>
      </c>
      <c r="K89" s="64">
        <f t="shared" si="30"/>
        <v>0</v>
      </c>
      <c r="L89" s="64">
        <f t="shared" si="30"/>
        <v>3.8</v>
      </c>
      <c r="M89" s="64">
        <f t="shared" si="30"/>
        <v>3</v>
      </c>
      <c r="N89" s="64">
        <f t="shared" si="30"/>
        <v>3.8</v>
      </c>
      <c r="O89" s="64">
        <f t="shared" si="30"/>
        <v>3.8</v>
      </c>
      <c r="P89" s="64">
        <f t="shared" si="30"/>
        <v>6</v>
      </c>
      <c r="Q89" s="64">
        <f t="shared" si="30"/>
        <v>7.6</v>
      </c>
      <c r="R89" s="64">
        <f t="shared" si="30"/>
        <v>7.6</v>
      </c>
      <c r="S89" s="64">
        <f t="shared" si="30"/>
        <v>10.399999999999999</v>
      </c>
      <c r="T89" s="64">
        <f t="shared" si="30"/>
        <v>10.399999999999999</v>
      </c>
      <c r="U89" s="64">
        <f t="shared" si="30"/>
        <v>10.399999999999999</v>
      </c>
      <c r="V89" s="64">
        <f t="shared" si="30"/>
        <v>10.399999999999999</v>
      </c>
      <c r="W89" s="64">
        <f t="shared" si="30"/>
        <v>10.399999999999999</v>
      </c>
      <c r="X89" s="64">
        <f t="shared" si="30"/>
        <v>10.399999999999999</v>
      </c>
      <c r="Y89" s="64">
        <f t="shared" si="30"/>
        <v>10.399999999999999</v>
      </c>
      <c r="Z89" s="64">
        <f t="shared" si="30"/>
        <v>10.399999999999999</v>
      </c>
      <c r="AA89" s="64">
        <f t="shared" si="30"/>
        <v>10.399999999999999</v>
      </c>
      <c r="AB89" s="64">
        <f t="shared" si="30"/>
        <v>8.4</v>
      </c>
      <c r="AC89" s="64">
        <f t="shared" si="30"/>
        <v>6.8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521" t="s">
        <v>77</v>
      </c>
      <c r="B90" s="521"/>
      <c r="C90" s="522"/>
      <c r="D90" s="45"/>
      <c r="E90" s="45"/>
      <c r="F90" s="68"/>
      <c r="G90" s="68"/>
      <c r="H90" s="68"/>
      <c r="I90" s="68"/>
      <c r="J90" s="68"/>
      <c r="K90" s="68"/>
      <c r="L90" s="68"/>
      <c r="M90" s="68"/>
      <c r="N90" s="68"/>
      <c r="O90" s="68"/>
      <c r="P90" s="68">
        <v>0.21299999999999999</v>
      </c>
      <c r="Q90" s="68">
        <v>0.193</v>
      </c>
      <c r="R90" s="68">
        <v>0.27700000000000002</v>
      </c>
      <c r="S90" s="68">
        <v>0.28399999999999997</v>
      </c>
      <c r="T90" s="68">
        <v>0.16600000000000001</v>
      </c>
      <c r="U90" s="68">
        <v>0.222</v>
      </c>
      <c r="V90" s="68">
        <v>0.20200000000000001</v>
      </c>
      <c r="W90" s="68">
        <v>0.218</v>
      </c>
      <c r="X90" s="68">
        <v>0.251</v>
      </c>
      <c r="Y90" s="68">
        <v>0.26200000000000001</v>
      </c>
      <c r="Z90" s="68">
        <v>0.20200000000000001</v>
      </c>
      <c r="AA90" s="68">
        <v>0.223</v>
      </c>
      <c r="AB90" s="68">
        <v>0.20799999999999999</v>
      </c>
      <c r="AC90" s="68">
        <v>0.219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07" t="s">
        <v>78</v>
      </c>
      <c r="B91" s="508"/>
      <c r="C91" s="509"/>
      <c r="D91" s="45"/>
      <c r="E91" s="45"/>
      <c r="F91" s="64">
        <f t="shared" ref="F91:AC91" si="31">F17</f>
        <v>20.100000000000001</v>
      </c>
      <c r="G91" s="64">
        <f t="shared" si="31"/>
        <v>20.100000000000001</v>
      </c>
      <c r="H91" s="64">
        <f t="shared" si="31"/>
        <v>19.799999999999997</v>
      </c>
      <c r="I91" s="64">
        <f t="shared" si="31"/>
        <v>13.8</v>
      </c>
      <c r="J91" s="64">
        <f t="shared" si="31"/>
        <v>13.4</v>
      </c>
      <c r="K91" s="64">
        <f t="shared" si="31"/>
        <v>13.4</v>
      </c>
      <c r="L91" s="64">
        <f t="shared" si="31"/>
        <v>12.8</v>
      </c>
      <c r="M91" s="64">
        <f t="shared" si="31"/>
        <v>13.2</v>
      </c>
      <c r="N91" s="64">
        <f t="shared" si="31"/>
        <v>13.5</v>
      </c>
      <c r="O91" s="64">
        <f t="shared" si="31"/>
        <v>18.2</v>
      </c>
      <c r="P91" s="64">
        <f t="shared" si="31"/>
        <v>20</v>
      </c>
      <c r="Q91" s="64">
        <f t="shared" si="31"/>
        <v>20.2</v>
      </c>
      <c r="R91" s="64">
        <f t="shared" si="31"/>
        <v>20.2</v>
      </c>
      <c r="S91" s="64">
        <f t="shared" si="31"/>
        <v>20</v>
      </c>
      <c r="T91" s="64">
        <f t="shared" si="31"/>
        <v>19.799999999999997</v>
      </c>
      <c r="U91" s="64">
        <f t="shared" si="31"/>
        <v>20.100000000000001</v>
      </c>
      <c r="V91" s="64">
        <f t="shared" si="31"/>
        <v>20.2</v>
      </c>
      <c r="W91" s="64">
        <f t="shared" si="31"/>
        <v>20.100000000000001</v>
      </c>
      <c r="X91" s="64">
        <f t="shared" si="31"/>
        <v>19.399999999999999</v>
      </c>
      <c r="Y91" s="64">
        <f t="shared" si="31"/>
        <v>20.100000000000001</v>
      </c>
      <c r="Z91" s="64">
        <f t="shared" si="31"/>
        <v>20.100000000000001</v>
      </c>
      <c r="AA91" s="64">
        <f t="shared" si="31"/>
        <v>20.399999999999999</v>
      </c>
      <c r="AB91" s="64">
        <f t="shared" si="31"/>
        <v>20.100000000000001</v>
      </c>
      <c r="AC91" s="64">
        <f t="shared" si="31"/>
        <v>20.100000000000001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21" t="s">
        <v>79</v>
      </c>
      <c r="B92" s="521"/>
      <c r="C92" s="522"/>
      <c r="D92" s="45"/>
      <c r="E92" s="45"/>
      <c r="F92" s="68">
        <v>0.66500000000000004</v>
      </c>
      <c r="G92" s="68">
        <v>0.62</v>
      </c>
      <c r="H92" s="68">
        <v>0.623</v>
      </c>
      <c r="I92" s="68">
        <v>0.76700000000000002</v>
      </c>
      <c r="J92" s="68">
        <v>0.74099999999999999</v>
      </c>
      <c r="K92" s="68">
        <v>0.61499999999999999</v>
      </c>
      <c r="L92" s="68">
        <v>0.79</v>
      </c>
      <c r="M92" s="68">
        <v>0.68400000000000005</v>
      </c>
      <c r="N92" s="68">
        <v>0.77</v>
      </c>
      <c r="O92" s="68">
        <v>0.67200000000000004</v>
      </c>
      <c r="P92" s="68">
        <v>0.6</v>
      </c>
      <c r="Q92" s="68">
        <v>0.67800000000000005</v>
      </c>
      <c r="R92" s="68">
        <v>0.59499999999999997</v>
      </c>
      <c r="S92" s="68">
        <v>0.76800000000000002</v>
      </c>
      <c r="T92" s="68">
        <v>0.83</v>
      </c>
      <c r="U92" s="68">
        <v>0.86499999999999999</v>
      </c>
      <c r="V92" s="68">
        <v>0.93700000000000006</v>
      </c>
      <c r="W92" s="68">
        <v>0.751</v>
      </c>
      <c r="X92" s="68">
        <v>0.69599999999999995</v>
      </c>
      <c r="Y92" s="68">
        <v>0.91100000000000003</v>
      </c>
      <c r="Z92" s="68">
        <v>0.86099999999999999</v>
      </c>
      <c r="AA92" s="68">
        <v>0.74</v>
      </c>
      <c r="AB92" s="68">
        <v>0.64</v>
      </c>
      <c r="AC92" s="68">
        <v>0.749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07" t="s">
        <v>29</v>
      </c>
      <c r="B93" s="508"/>
      <c r="C93" s="509"/>
      <c r="D93" s="45"/>
      <c r="E93" s="45"/>
      <c r="F93" s="65">
        <f t="shared" ref="F93:AC93" si="32">F31</f>
        <v>7</v>
      </c>
      <c r="G93" s="65">
        <f t="shared" si="32"/>
        <v>7</v>
      </c>
      <c r="H93" s="65">
        <f t="shared" si="32"/>
        <v>6</v>
      </c>
      <c r="I93" s="65">
        <f t="shared" si="32"/>
        <v>8.4</v>
      </c>
      <c r="J93" s="65">
        <f t="shared" si="32"/>
        <v>8</v>
      </c>
      <c r="K93" s="65">
        <f t="shared" si="32"/>
        <v>8</v>
      </c>
      <c r="L93" s="65">
        <f t="shared" si="32"/>
        <v>8</v>
      </c>
      <c r="M93" s="65">
        <f t="shared" si="32"/>
        <v>6.8</v>
      </c>
      <c r="N93" s="65">
        <f t="shared" si="32"/>
        <v>8</v>
      </c>
      <c r="O93" s="65">
        <f t="shared" si="32"/>
        <v>8.1999999999999993</v>
      </c>
      <c r="P93" s="65">
        <f t="shared" si="32"/>
        <v>7</v>
      </c>
      <c r="Q93" s="65">
        <f t="shared" si="32"/>
        <v>8.1999999999999993</v>
      </c>
      <c r="R93" s="65">
        <f t="shared" si="32"/>
        <v>8.4</v>
      </c>
      <c r="S93" s="65">
        <f t="shared" si="32"/>
        <v>8.4</v>
      </c>
      <c r="T93" s="65">
        <f>T31</f>
        <v>8</v>
      </c>
      <c r="U93" s="65">
        <f t="shared" si="32"/>
        <v>8.1999999999999993</v>
      </c>
      <c r="V93" s="65">
        <f t="shared" si="32"/>
        <v>8.4</v>
      </c>
      <c r="W93" s="65">
        <f t="shared" si="32"/>
        <v>8.1999999999999993</v>
      </c>
      <c r="X93" s="65">
        <f t="shared" si="32"/>
        <v>8</v>
      </c>
      <c r="Y93" s="65">
        <f t="shared" si="32"/>
        <v>12.1</v>
      </c>
      <c r="Z93" s="65">
        <f t="shared" si="32"/>
        <v>11.899999999999999</v>
      </c>
      <c r="AA93" s="65">
        <f t="shared" si="32"/>
        <v>10.3</v>
      </c>
      <c r="AB93" s="65">
        <f t="shared" si="32"/>
        <v>8.1999999999999993</v>
      </c>
      <c r="AC93" s="65">
        <f t="shared" si="32"/>
        <v>8.4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21" t="s">
        <v>102</v>
      </c>
      <c r="B94" s="521"/>
      <c r="C94" s="522"/>
      <c r="D94" s="45"/>
      <c r="E94" s="45"/>
      <c r="F94" s="68">
        <v>0.26900000000000002</v>
      </c>
      <c r="G94" s="68">
        <v>0.26200000000000001</v>
      </c>
      <c r="H94" s="68">
        <v>0.251</v>
      </c>
      <c r="I94" s="68">
        <v>0.25600000000000001</v>
      </c>
      <c r="J94" s="68">
        <v>0.247</v>
      </c>
      <c r="K94" s="68">
        <v>0.28199999999999997</v>
      </c>
      <c r="L94" s="68">
        <v>0.255</v>
      </c>
      <c r="M94" s="68">
        <v>0.255</v>
      </c>
      <c r="N94" s="68">
        <v>0.26300000000000001</v>
      </c>
      <c r="O94" s="68">
        <v>0.28499999999999998</v>
      </c>
      <c r="P94" s="68">
        <v>0.3</v>
      </c>
      <c r="Q94" s="68">
        <v>0.29299999999999998</v>
      </c>
      <c r="R94" s="68">
        <v>0.28199999999999997</v>
      </c>
      <c r="S94" s="68">
        <v>0.27900000000000003</v>
      </c>
      <c r="T94" s="68">
        <v>0.27500000000000002</v>
      </c>
      <c r="U94" s="68">
        <v>0.26600000000000001</v>
      </c>
      <c r="V94" s="68">
        <v>0.28299999999999997</v>
      </c>
      <c r="W94" s="68">
        <v>0.27</v>
      </c>
      <c r="X94" s="68">
        <v>0.28599999999999998</v>
      </c>
      <c r="Y94" s="68">
        <v>0.253</v>
      </c>
      <c r="Z94" s="68">
        <v>0.245</v>
      </c>
      <c r="AA94" s="68">
        <v>0.253</v>
      </c>
      <c r="AB94" s="68">
        <v>0.254</v>
      </c>
      <c r="AC94" s="68">
        <v>0.248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21" t="s">
        <v>104</v>
      </c>
      <c r="B95" s="521"/>
      <c r="C95" s="522"/>
      <c r="D95" s="45"/>
      <c r="E95" s="45"/>
      <c r="F95" s="68"/>
      <c r="G95" s="68"/>
      <c r="H95" s="68"/>
      <c r="I95" s="68"/>
      <c r="J95" s="68"/>
      <c r="K95" s="68"/>
      <c r="L95" s="68"/>
      <c r="M95" s="68"/>
      <c r="N95" s="68"/>
      <c r="O95" s="68"/>
      <c r="P95" s="68"/>
      <c r="Q95" s="68"/>
      <c r="R95" s="68"/>
      <c r="S95" s="68"/>
      <c r="T95" s="68"/>
      <c r="U95" s="68" t="s">
        <v>1</v>
      </c>
      <c r="V95" s="68" t="s">
        <v>1</v>
      </c>
      <c r="W95" s="68" t="s">
        <v>1</v>
      </c>
      <c r="X95" s="68" t="s">
        <v>1</v>
      </c>
      <c r="Y95" s="68">
        <v>0.19550000000000001</v>
      </c>
      <c r="Z95" s="68">
        <v>0.19009999999999999</v>
      </c>
      <c r="AA95" s="68">
        <v>0.1883</v>
      </c>
      <c r="AB95" s="68" t="s">
        <v>1</v>
      </c>
      <c r="AC95" s="68" t="s">
        <v>1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07" t="s">
        <v>32</v>
      </c>
      <c r="B96" s="508"/>
      <c r="C96" s="509"/>
      <c r="D96" s="45"/>
      <c r="E96" s="45"/>
      <c r="F96" s="65">
        <f t="shared" ref="F96:AC96" si="33">F34</f>
        <v>14.29</v>
      </c>
      <c r="G96" s="65">
        <f t="shared" si="33"/>
        <v>13.81</v>
      </c>
      <c r="H96" s="65">
        <f t="shared" si="33"/>
        <v>12.82</v>
      </c>
      <c r="I96" s="65">
        <f t="shared" si="33"/>
        <v>14.31</v>
      </c>
      <c r="J96" s="65">
        <f t="shared" si="33"/>
        <v>14.32</v>
      </c>
      <c r="K96" s="65">
        <f t="shared" si="33"/>
        <v>14.31</v>
      </c>
      <c r="L96" s="65">
        <f t="shared" si="33"/>
        <v>14.28</v>
      </c>
      <c r="M96" s="65">
        <f t="shared" si="33"/>
        <v>14.29</v>
      </c>
      <c r="N96" s="65">
        <f t="shared" si="33"/>
        <v>14.31</v>
      </c>
      <c r="O96" s="65">
        <f t="shared" si="33"/>
        <v>14.02</v>
      </c>
      <c r="P96" s="65">
        <f t="shared" si="33"/>
        <v>14.14</v>
      </c>
      <c r="Q96" s="65">
        <f t="shared" si="33"/>
        <v>14.18</v>
      </c>
      <c r="R96" s="65">
        <f t="shared" si="33"/>
        <v>14.15</v>
      </c>
      <c r="S96" s="65">
        <f t="shared" si="33"/>
        <v>14.23</v>
      </c>
      <c r="T96" s="65">
        <f t="shared" si="33"/>
        <v>14.17</v>
      </c>
      <c r="U96" s="65">
        <f t="shared" si="33"/>
        <v>14.19</v>
      </c>
      <c r="V96" s="65">
        <f t="shared" si="33"/>
        <v>14.1</v>
      </c>
      <c r="W96" s="65">
        <f t="shared" si="33"/>
        <v>14.31</v>
      </c>
      <c r="X96" s="65">
        <f t="shared" si="33"/>
        <v>14.19</v>
      </c>
      <c r="Y96" s="65">
        <f t="shared" si="33"/>
        <v>14.25</v>
      </c>
      <c r="Z96" s="65">
        <f t="shared" si="33"/>
        <v>14.28</v>
      </c>
      <c r="AA96" s="65">
        <f t="shared" si="33"/>
        <v>14.31</v>
      </c>
      <c r="AB96" s="65">
        <f t="shared" si="33"/>
        <v>14.29</v>
      </c>
      <c r="AC96" s="65">
        <f t="shared" si="33"/>
        <v>14.32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21" t="s">
        <v>81</v>
      </c>
      <c r="B97" s="521"/>
      <c r="C97" s="522"/>
      <c r="D97" s="68"/>
      <c r="E97" s="68"/>
      <c r="F97" s="68">
        <v>0.71</v>
      </c>
      <c r="G97" s="68">
        <v>0.69</v>
      </c>
      <c r="H97" s="68">
        <v>0.68</v>
      </c>
      <c r="I97" s="68">
        <v>0.69</v>
      </c>
      <c r="J97" s="68">
        <v>0.68</v>
      </c>
      <c r="K97" s="68">
        <v>0.69</v>
      </c>
      <c r="L97" s="68">
        <v>0.72</v>
      </c>
      <c r="M97" s="68">
        <v>0.71</v>
      </c>
      <c r="N97" s="68">
        <v>0.69</v>
      </c>
      <c r="O97" s="68">
        <v>0.98</v>
      </c>
      <c r="P97" s="68">
        <v>0.86</v>
      </c>
      <c r="Q97" s="68">
        <v>0.82</v>
      </c>
      <c r="R97" s="68">
        <v>0.85</v>
      </c>
      <c r="S97" s="68">
        <v>0.77</v>
      </c>
      <c r="T97" s="68">
        <v>0.83</v>
      </c>
      <c r="U97" s="68">
        <v>0.81</v>
      </c>
      <c r="V97" s="68">
        <v>0.9</v>
      </c>
      <c r="W97" s="68">
        <v>0.69</v>
      </c>
      <c r="X97" s="68">
        <v>0.81</v>
      </c>
      <c r="Y97" s="68">
        <v>0.75</v>
      </c>
      <c r="Z97" s="68">
        <v>0.72</v>
      </c>
      <c r="AA97" s="68">
        <v>0.69</v>
      </c>
      <c r="AB97" s="68">
        <v>0.71</v>
      </c>
      <c r="AC97" s="68">
        <v>0.68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07" t="s">
        <v>33</v>
      </c>
      <c r="B98" s="508"/>
      <c r="C98" s="509"/>
      <c r="D98" s="45"/>
      <c r="E98" s="45"/>
      <c r="F98" s="64">
        <f t="shared" ref="F98:AC98" si="34">F60</f>
        <v>0</v>
      </c>
      <c r="G98" s="64">
        <f t="shared" si="34"/>
        <v>0</v>
      </c>
      <c r="H98" s="64">
        <f t="shared" si="34"/>
        <v>0</v>
      </c>
      <c r="I98" s="64">
        <f t="shared" si="34"/>
        <v>2.2000000000000002</v>
      </c>
      <c r="J98" s="64">
        <f t="shared" si="34"/>
        <v>2.2000000000000002</v>
      </c>
      <c r="K98" s="64">
        <f t="shared" si="34"/>
        <v>2.2000000000000002</v>
      </c>
      <c r="L98" s="64">
        <f t="shared" si="34"/>
        <v>0</v>
      </c>
      <c r="M98" s="64">
        <f t="shared" si="34"/>
        <v>0</v>
      </c>
      <c r="N98" s="64">
        <f t="shared" si="34"/>
        <v>1.5</v>
      </c>
      <c r="O98" s="64">
        <f t="shared" si="34"/>
        <v>2.2999999999999998</v>
      </c>
      <c r="P98" s="64">
        <f t="shared" si="34"/>
        <v>0</v>
      </c>
      <c r="Q98" s="64">
        <f t="shared" si="34"/>
        <v>0.7</v>
      </c>
      <c r="R98" s="64">
        <f t="shared" si="34"/>
        <v>2.48</v>
      </c>
      <c r="S98" s="64">
        <f t="shared" si="34"/>
        <v>0.8</v>
      </c>
      <c r="T98" s="64">
        <f t="shared" si="34"/>
        <v>3.1</v>
      </c>
      <c r="U98" s="64">
        <f t="shared" si="34"/>
        <v>2.2000000000000002</v>
      </c>
      <c r="V98" s="64">
        <f t="shared" si="34"/>
        <v>2.2000000000000002</v>
      </c>
      <c r="W98" s="64">
        <f t="shared" si="34"/>
        <v>1.5</v>
      </c>
      <c r="X98" s="64">
        <f t="shared" si="34"/>
        <v>1.5</v>
      </c>
      <c r="Y98" s="64">
        <f t="shared" si="34"/>
        <v>1.5</v>
      </c>
      <c r="Z98" s="64">
        <f t="shared" si="34"/>
        <v>0</v>
      </c>
      <c r="AA98" s="64">
        <f t="shared" si="34"/>
        <v>0</v>
      </c>
      <c r="AB98" s="64">
        <f t="shared" si="34"/>
        <v>0</v>
      </c>
      <c r="AC98" s="64">
        <f t="shared" si="34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07" t="s">
        <v>55</v>
      </c>
      <c r="B99" s="508"/>
      <c r="C99" s="509"/>
      <c r="D99" s="45"/>
      <c r="E99" s="45"/>
      <c r="F99" s="64">
        <f t="shared" ref="F99:AC99" si="35">F65</f>
        <v>1.1000000000000001</v>
      </c>
      <c r="G99" s="64">
        <f t="shared" si="35"/>
        <v>0.93</v>
      </c>
      <c r="H99" s="64">
        <f t="shared" si="35"/>
        <v>0.88</v>
      </c>
      <c r="I99" s="64">
        <f t="shared" si="35"/>
        <v>0.86</v>
      </c>
      <c r="J99" s="64">
        <f t="shared" si="35"/>
        <v>0.82</v>
      </c>
      <c r="K99" s="64">
        <f t="shared" si="35"/>
        <v>0.88</v>
      </c>
      <c r="L99" s="64">
        <f t="shared" si="35"/>
        <v>0.95</v>
      </c>
      <c r="M99" s="64">
        <f t="shared" si="35"/>
        <v>1</v>
      </c>
      <c r="N99" s="64">
        <f t="shared" si="35"/>
        <v>1.08</v>
      </c>
      <c r="O99" s="64">
        <f t="shared" si="35"/>
        <v>1.19</v>
      </c>
      <c r="P99" s="64">
        <f t="shared" si="35"/>
        <v>1.1399999999999999</v>
      </c>
      <c r="Q99" s="64">
        <f t="shared" si="35"/>
        <v>1.1499999999999999</v>
      </c>
      <c r="R99" s="64">
        <f t="shared" si="35"/>
        <v>1.29</v>
      </c>
      <c r="S99" s="64">
        <f t="shared" si="35"/>
        <v>1.1599999999999999</v>
      </c>
      <c r="T99" s="64">
        <f t="shared" si="35"/>
        <v>1.17</v>
      </c>
      <c r="U99" s="64">
        <f t="shared" si="35"/>
        <v>1.29</v>
      </c>
      <c r="V99" s="64">
        <f t="shared" si="35"/>
        <v>1.29</v>
      </c>
      <c r="W99" s="64">
        <f t="shared" si="35"/>
        <v>1.1499999999999999</v>
      </c>
      <c r="X99" s="64">
        <f t="shared" si="35"/>
        <v>1.34</v>
      </c>
      <c r="Y99" s="64">
        <f t="shared" si="35"/>
        <v>1.63</v>
      </c>
      <c r="Z99" s="64">
        <f t="shared" si="35"/>
        <v>1.65</v>
      </c>
      <c r="AA99" s="64">
        <f t="shared" si="35"/>
        <v>1.55</v>
      </c>
      <c r="AB99" s="64">
        <f t="shared" si="35"/>
        <v>1.39</v>
      </c>
      <c r="AC99" s="64">
        <f t="shared" si="35"/>
        <v>1.29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07" t="s">
        <v>59</v>
      </c>
      <c r="B100" s="508"/>
      <c r="C100" s="509"/>
      <c r="D100" s="45"/>
      <c r="E100" s="45"/>
      <c r="F100" s="64">
        <f t="shared" ref="F100:AC100" si="36">F76</f>
        <v>0</v>
      </c>
      <c r="G100" s="64">
        <f t="shared" si="36"/>
        <v>0</v>
      </c>
      <c r="H100" s="64">
        <f t="shared" si="36"/>
        <v>0</v>
      </c>
      <c r="I100" s="64">
        <f t="shared" si="36"/>
        <v>0</v>
      </c>
      <c r="J100" s="64">
        <f t="shared" si="36"/>
        <v>0</v>
      </c>
      <c r="K100" s="64">
        <f t="shared" si="36"/>
        <v>0</v>
      </c>
      <c r="L100" s="64">
        <f t="shared" si="36"/>
        <v>0</v>
      </c>
      <c r="M100" s="64">
        <f t="shared" si="36"/>
        <v>0</v>
      </c>
      <c r="N100" s="64">
        <f t="shared" si="36"/>
        <v>0</v>
      </c>
      <c r="O100" s="64">
        <f t="shared" si="36"/>
        <v>0</v>
      </c>
      <c r="P100" s="64">
        <f t="shared" si="36"/>
        <v>0</v>
      </c>
      <c r="Q100" s="64">
        <f t="shared" si="36"/>
        <v>0</v>
      </c>
      <c r="R100" s="64">
        <f t="shared" si="36"/>
        <v>0</v>
      </c>
      <c r="S100" s="64">
        <f t="shared" si="36"/>
        <v>0</v>
      </c>
      <c r="T100" s="64">
        <f t="shared" si="36"/>
        <v>0</v>
      </c>
      <c r="U100" s="64">
        <f t="shared" si="36"/>
        <v>0</v>
      </c>
      <c r="V100" s="64">
        <f t="shared" si="36"/>
        <v>0</v>
      </c>
      <c r="W100" s="64">
        <f t="shared" si="36"/>
        <v>0</v>
      </c>
      <c r="X100" s="64">
        <f t="shared" si="36"/>
        <v>0</v>
      </c>
      <c r="Y100" s="64">
        <f t="shared" si="36"/>
        <v>0</v>
      </c>
      <c r="Z100" s="64">
        <f t="shared" si="36"/>
        <v>0</v>
      </c>
      <c r="AA100" s="64">
        <f t="shared" si="36"/>
        <v>0</v>
      </c>
      <c r="AB100" s="64">
        <f t="shared" si="36"/>
        <v>0</v>
      </c>
      <c r="AC100" s="64">
        <f t="shared" si="36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07" t="s">
        <v>69</v>
      </c>
      <c r="B101" s="508"/>
      <c r="C101" s="509"/>
      <c r="D101" s="45"/>
      <c r="E101" s="45"/>
      <c r="F101" s="64">
        <f t="shared" ref="F101:AC101" si="37">F80</f>
        <v>0.78</v>
      </c>
      <c r="G101" s="64">
        <f t="shared" si="37"/>
        <v>0.74</v>
      </c>
      <c r="H101" s="64">
        <f t="shared" si="37"/>
        <v>0.73</v>
      </c>
      <c r="I101" s="64">
        <f t="shared" si="37"/>
        <v>0.7</v>
      </c>
      <c r="J101" s="64">
        <f t="shared" si="37"/>
        <v>0.7</v>
      </c>
      <c r="K101" s="64">
        <f t="shared" si="37"/>
        <v>0.69</v>
      </c>
      <c r="L101" s="64">
        <f t="shared" si="37"/>
        <v>0.71</v>
      </c>
      <c r="M101" s="64">
        <f t="shared" si="37"/>
        <v>0.71</v>
      </c>
      <c r="N101" s="64">
        <f t="shared" si="37"/>
        <v>0.74</v>
      </c>
      <c r="O101" s="64">
        <f t="shared" si="37"/>
        <v>0.77</v>
      </c>
      <c r="P101" s="64">
        <f t="shared" si="37"/>
        <v>0.8</v>
      </c>
      <c r="Q101" s="64">
        <f t="shared" si="37"/>
        <v>0.81</v>
      </c>
      <c r="R101" s="64">
        <f t="shared" si="37"/>
        <v>0.83</v>
      </c>
      <c r="S101" s="64">
        <f t="shared" si="37"/>
        <v>0.84</v>
      </c>
      <c r="T101" s="64">
        <f t="shared" si="37"/>
        <v>0.86</v>
      </c>
      <c r="U101" s="64">
        <f t="shared" si="37"/>
        <v>0.85</v>
      </c>
      <c r="V101" s="64">
        <f t="shared" si="37"/>
        <v>0.84</v>
      </c>
      <c r="W101" s="64">
        <f t="shared" si="37"/>
        <v>0.82</v>
      </c>
      <c r="X101" s="64">
        <f t="shared" si="37"/>
        <v>0.82</v>
      </c>
      <c r="Y101" s="64">
        <f t="shared" si="37"/>
        <v>0.94</v>
      </c>
      <c r="Z101" s="64">
        <f t="shared" si="37"/>
        <v>0.95</v>
      </c>
      <c r="AA101" s="64">
        <f t="shared" si="37"/>
        <v>0.94</v>
      </c>
      <c r="AB101" s="64">
        <f t="shared" si="37"/>
        <v>0.88</v>
      </c>
      <c r="AC101" s="64">
        <f t="shared" si="37"/>
        <v>0.88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07" t="s">
        <v>72</v>
      </c>
      <c r="B102" s="508"/>
      <c r="C102" s="509"/>
      <c r="D102" s="45"/>
      <c r="E102" s="45"/>
      <c r="F102" s="64">
        <f t="shared" ref="F102:AC102" si="38">F82</f>
        <v>0</v>
      </c>
      <c r="G102" s="64">
        <f t="shared" si="38"/>
        <v>0</v>
      </c>
      <c r="H102" s="64">
        <f t="shared" si="38"/>
        <v>0</v>
      </c>
      <c r="I102" s="64">
        <f t="shared" si="38"/>
        <v>0</v>
      </c>
      <c r="J102" s="64">
        <f t="shared" si="38"/>
        <v>0</v>
      </c>
      <c r="K102" s="64">
        <f t="shared" si="38"/>
        <v>0</v>
      </c>
      <c r="L102" s="64">
        <f t="shared" si="38"/>
        <v>0</v>
      </c>
      <c r="M102" s="64">
        <f t="shared" si="38"/>
        <v>0</v>
      </c>
      <c r="N102" s="64">
        <f t="shared" si="38"/>
        <v>0</v>
      </c>
      <c r="O102" s="64">
        <f t="shared" si="38"/>
        <v>0</v>
      </c>
      <c r="P102" s="64">
        <f t="shared" si="38"/>
        <v>0</v>
      </c>
      <c r="Q102" s="64">
        <f t="shared" si="38"/>
        <v>0</v>
      </c>
      <c r="R102" s="64">
        <f t="shared" si="38"/>
        <v>0</v>
      </c>
      <c r="S102" s="64">
        <f t="shared" si="38"/>
        <v>0</v>
      </c>
      <c r="T102" s="64">
        <f t="shared" si="38"/>
        <v>0</v>
      </c>
      <c r="U102" s="64">
        <f t="shared" si="38"/>
        <v>0</v>
      </c>
      <c r="V102" s="64">
        <f t="shared" si="38"/>
        <v>0</v>
      </c>
      <c r="W102" s="64">
        <f t="shared" si="38"/>
        <v>0</v>
      </c>
      <c r="X102" s="64">
        <f t="shared" si="38"/>
        <v>0</v>
      </c>
      <c r="Y102" s="64">
        <f t="shared" si="38"/>
        <v>0</v>
      </c>
      <c r="Z102" s="64">
        <f t="shared" si="38"/>
        <v>0</v>
      </c>
      <c r="AA102" s="64">
        <f t="shared" si="38"/>
        <v>0</v>
      </c>
      <c r="AB102" s="64">
        <f t="shared" si="38"/>
        <v>0</v>
      </c>
      <c r="AC102" s="64">
        <f t="shared" si="38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11" t="s">
        <v>82</v>
      </c>
      <c r="B103" s="511"/>
      <c r="C103" s="511"/>
      <c r="D103" s="47"/>
      <c r="E103" s="47"/>
      <c r="F103" s="61">
        <f t="shared" ref="F103:AC103" si="39">SUM(F89,F91,F93,F96,F98:F102,F81)</f>
        <v>45.27</v>
      </c>
      <c r="G103" s="61">
        <f t="shared" si="39"/>
        <v>42.580000000000005</v>
      </c>
      <c r="H103" s="61">
        <f t="shared" si="39"/>
        <v>40.229999999999997</v>
      </c>
      <c r="I103" s="61">
        <f t="shared" si="39"/>
        <v>40.27000000000001</v>
      </c>
      <c r="J103" s="61">
        <f t="shared" si="39"/>
        <v>39.440000000000005</v>
      </c>
      <c r="K103" s="61">
        <f t="shared" si="39"/>
        <v>39.480000000000004</v>
      </c>
      <c r="L103" s="61">
        <f t="shared" si="39"/>
        <v>40.540000000000006</v>
      </c>
      <c r="M103" s="61">
        <f t="shared" si="39"/>
        <v>39</v>
      </c>
      <c r="N103" s="61">
        <f t="shared" si="39"/>
        <v>42.93</v>
      </c>
      <c r="O103" s="61">
        <f t="shared" si="39"/>
        <v>48.48</v>
      </c>
      <c r="P103" s="61">
        <f t="shared" si="39"/>
        <v>49.08</v>
      </c>
      <c r="Q103" s="61">
        <f t="shared" si="39"/>
        <v>52.84</v>
      </c>
      <c r="R103" s="61">
        <f t="shared" si="39"/>
        <v>54.949999999999989</v>
      </c>
      <c r="S103" s="61">
        <f t="shared" si="39"/>
        <v>55.83</v>
      </c>
      <c r="T103" s="61">
        <f t="shared" si="39"/>
        <v>57.5</v>
      </c>
      <c r="U103" s="61">
        <f t="shared" si="39"/>
        <v>57.230000000000004</v>
      </c>
      <c r="V103" s="61">
        <f t="shared" si="39"/>
        <v>57.430000000000007</v>
      </c>
      <c r="W103" s="61">
        <f t="shared" si="39"/>
        <v>56.480000000000004</v>
      </c>
      <c r="X103" s="61">
        <f t="shared" si="39"/>
        <v>55.65</v>
      </c>
      <c r="Y103" s="61">
        <f t="shared" si="39"/>
        <v>60.92</v>
      </c>
      <c r="Z103" s="61">
        <f t="shared" si="39"/>
        <v>59.28</v>
      </c>
      <c r="AA103" s="61">
        <f t="shared" si="39"/>
        <v>57.899999999999991</v>
      </c>
      <c r="AB103" s="61">
        <f t="shared" si="39"/>
        <v>53.260000000000005</v>
      </c>
      <c r="AC103" s="61">
        <f t="shared" si="39"/>
        <v>51.790000000000006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12" t="s">
        <v>83</v>
      </c>
      <c r="B104" s="512"/>
      <c r="C104" s="512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12" t="s">
        <v>84</v>
      </c>
      <c r="B105" s="512"/>
      <c r="C105" s="512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12" t="s">
        <v>85</v>
      </c>
      <c r="B106" s="512"/>
      <c r="C106" s="512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>
        <v>1.6</v>
      </c>
      <c r="Q106" s="76"/>
      <c r="R106" s="76"/>
      <c r="S106" s="76"/>
      <c r="T106" s="76"/>
      <c r="U106" s="76"/>
      <c r="V106" s="76"/>
      <c r="W106" s="76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11" t="s">
        <v>86</v>
      </c>
      <c r="B107" s="511"/>
      <c r="C107" s="511"/>
      <c r="D107" s="47"/>
      <c r="E107" s="47"/>
      <c r="F107" s="61">
        <f t="shared" ref="F107:AC107" si="40">SUM(F104:F106)</f>
        <v>0</v>
      </c>
      <c r="G107" s="61">
        <f t="shared" si="40"/>
        <v>0</v>
      </c>
      <c r="H107" s="61">
        <f t="shared" si="40"/>
        <v>0</v>
      </c>
      <c r="I107" s="61">
        <f t="shared" si="40"/>
        <v>0</v>
      </c>
      <c r="J107" s="61">
        <f t="shared" si="40"/>
        <v>0</v>
      </c>
      <c r="K107" s="61">
        <f t="shared" si="40"/>
        <v>0</v>
      </c>
      <c r="L107" s="61">
        <f t="shared" si="40"/>
        <v>0</v>
      </c>
      <c r="M107" s="61">
        <f t="shared" si="40"/>
        <v>0</v>
      </c>
      <c r="N107" s="61">
        <f t="shared" si="40"/>
        <v>0</v>
      </c>
      <c r="O107" s="61">
        <f t="shared" si="40"/>
        <v>0</v>
      </c>
      <c r="P107" s="61">
        <f t="shared" si="40"/>
        <v>1.6</v>
      </c>
      <c r="Q107" s="61">
        <f t="shared" si="40"/>
        <v>0</v>
      </c>
      <c r="R107" s="61">
        <f t="shared" si="40"/>
        <v>0</v>
      </c>
      <c r="S107" s="61">
        <f t="shared" si="40"/>
        <v>0</v>
      </c>
      <c r="T107" s="61">
        <f t="shared" si="40"/>
        <v>0</v>
      </c>
      <c r="U107" s="61">
        <f t="shared" si="40"/>
        <v>0</v>
      </c>
      <c r="V107" s="61">
        <f t="shared" si="40"/>
        <v>0</v>
      </c>
      <c r="W107" s="61">
        <f t="shared" si="40"/>
        <v>0</v>
      </c>
      <c r="X107" s="61">
        <f t="shared" si="40"/>
        <v>0</v>
      </c>
      <c r="Y107" s="61">
        <f t="shared" si="40"/>
        <v>0</v>
      </c>
      <c r="Z107" s="61">
        <f t="shared" si="40"/>
        <v>0</v>
      </c>
      <c r="AA107" s="61">
        <f t="shared" si="40"/>
        <v>0</v>
      </c>
      <c r="AB107" s="61">
        <f t="shared" si="40"/>
        <v>0</v>
      </c>
      <c r="AC107" s="61">
        <f t="shared" si="40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13" t="s">
        <v>87</v>
      </c>
      <c r="B108" s="513"/>
      <c r="C108" s="513"/>
      <c r="D108" s="48"/>
      <c r="E108" s="48"/>
      <c r="F108" s="62">
        <f t="shared" ref="F108:AC108" si="41">F103+F107</f>
        <v>45.27</v>
      </c>
      <c r="G108" s="62">
        <f t="shared" si="41"/>
        <v>42.580000000000005</v>
      </c>
      <c r="H108" s="62">
        <f t="shared" si="41"/>
        <v>40.229999999999997</v>
      </c>
      <c r="I108" s="62">
        <f t="shared" si="41"/>
        <v>40.27000000000001</v>
      </c>
      <c r="J108" s="62">
        <f t="shared" si="41"/>
        <v>39.440000000000005</v>
      </c>
      <c r="K108" s="62">
        <f t="shared" si="41"/>
        <v>39.480000000000004</v>
      </c>
      <c r="L108" s="62">
        <f t="shared" si="41"/>
        <v>40.540000000000006</v>
      </c>
      <c r="M108" s="62">
        <f t="shared" si="41"/>
        <v>39</v>
      </c>
      <c r="N108" s="62">
        <f t="shared" si="41"/>
        <v>42.93</v>
      </c>
      <c r="O108" s="62">
        <f t="shared" si="41"/>
        <v>48.48</v>
      </c>
      <c r="P108" s="62">
        <f t="shared" si="41"/>
        <v>50.68</v>
      </c>
      <c r="Q108" s="62">
        <f t="shared" si="41"/>
        <v>52.84</v>
      </c>
      <c r="R108" s="62">
        <f t="shared" si="41"/>
        <v>54.949999999999989</v>
      </c>
      <c r="S108" s="62">
        <f t="shared" si="41"/>
        <v>55.83</v>
      </c>
      <c r="T108" s="62">
        <f>T103+T107</f>
        <v>57.5</v>
      </c>
      <c r="U108" s="62">
        <f t="shared" si="41"/>
        <v>57.230000000000004</v>
      </c>
      <c r="V108" s="62">
        <f t="shared" si="41"/>
        <v>57.430000000000007</v>
      </c>
      <c r="W108" s="62">
        <f>W103+W107</f>
        <v>56.480000000000004</v>
      </c>
      <c r="X108" s="62">
        <f t="shared" si="41"/>
        <v>55.65</v>
      </c>
      <c r="Y108" s="62">
        <f t="shared" si="41"/>
        <v>60.92</v>
      </c>
      <c r="Z108" s="62">
        <f t="shared" si="41"/>
        <v>59.28</v>
      </c>
      <c r="AA108" s="62">
        <f t="shared" si="41"/>
        <v>57.899999999999991</v>
      </c>
      <c r="AB108" s="62">
        <f t="shared" si="41"/>
        <v>53.260000000000005</v>
      </c>
      <c r="AC108" s="62">
        <f t="shared" si="41"/>
        <v>51.790000000000006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14" t="s">
        <v>88</v>
      </c>
      <c r="B109" s="514"/>
      <c r="C109" s="514"/>
      <c r="D109" s="52"/>
      <c r="E109" s="52"/>
      <c r="F109" s="63">
        <f t="shared" ref="F109:AC109" si="42">(COUNT(F13:F16))*7.2+(COUNT(F27:F28)*4.9)+(COUNT(F19:F21)*4.5)-F91-F93</f>
        <v>8.8000000000000043</v>
      </c>
      <c r="G109" s="63">
        <f t="shared" si="42"/>
        <v>4.3000000000000007</v>
      </c>
      <c r="H109" s="63">
        <f t="shared" si="42"/>
        <v>5.600000000000005</v>
      </c>
      <c r="I109" s="63">
        <f t="shared" si="42"/>
        <v>9.2000000000000011</v>
      </c>
      <c r="J109" s="63">
        <f t="shared" si="42"/>
        <v>10</v>
      </c>
      <c r="K109" s="63">
        <f t="shared" si="42"/>
        <v>10</v>
      </c>
      <c r="L109" s="63">
        <f t="shared" si="42"/>
        <v>15.100000000000005</v>
      </c>
      <c r="M109" s="63">
        <f t="shared" si="42"/>
        <v>15.900000000000006</v>
      </c>
      <c r="N109" s="63">
        <f t="shared" si="42"/>
        <v>14.400000000000006</v>
      </c>
      <c r="O109" s="63">
        <f t="shared" si="42"/>
        <v>16.700000000000003</v>
      </c>
      <c r="P109" s="63">
        <f t="shared" si="42"/>
        <v>16.100000000000001</v>
      </c>
      <c r="Q109" s="63">
        <f t="shared" si="42"/>
        <v>14.700000000000003</v>
      </c>
      <c r="R109" s="63">
        <f t="shared" si="42"/>
        <v>14.500000000000002</v>
      </c>
      <c r="S109" s="63">
        <f t="shared" si="42"/>
        <v>19.200000000000003</v>
      </c>
      <c r="T109" s="63">
        <f t="shared" si="42"/>
        <v>19.800000000000004</v>
      </c>
      <c r="U109" s="63">
        <f t="shared" si="42"/>
        <v>19.3</v>
      </c>
      <c r="V109" s="63">
        <f t="shared" si="42"/>
        <v>19</v>
      </c>
      <c r="W109" s="63">
        <f t="shared" si="42"/>
        <v>12.100000000000005</v>
      </c>
      <c r="X109" s="63">
        <f t="shared" si="42"/>
        <v>13.000000000000007</v>
      </c>
      <c r="Y109" s="63">
        <f t="shared" si="42"/>
        <v>8.2000000000000046</v>
      </c>
      <c r="Z109" s="63">
        <f t="shared" si="42"/>
        <v>8.4000000000000057</v>
      </c>
      <c r="AA109" s="63">
        <f t="shared" si="42"/>
        <v>9.7000000000000064</v>
      </c>
      <c r="AB109" s="63">
        <f t="shared" si="42"/>
        <v>12.100000000000005</v>
      </c>
      <c r="AC109" s="63">
        <f t="shared" si="42"/>
        <v>11.900000000000004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15" t="s">
        <v>89</v>
      </c>
      <c r="B110" s="516"/>
      <c r="C110" s="517"/>
      <c r="D110" s="204"/>
      <c r="E110" s="204"/>
      <c r="F110" s="205">
        <f t="shared" ref="F110:P110" si="43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4.4000000000000004</v>
      </c>
      <c r="G110" s="205">
        <f t="shared" si="43"/>
        <v>2.9000000000000004</v>
      </c>
      <c r="H110" s="205">
        <f t="shared" si="43"/>
        <v>4.2000000000000046</v>
      </c>
      <c r="I110" s="205">
        <f t="shared" si="43"/>
        <v>0.59999999999999964</v>
      </c>
      <c r="J110" s="205">
        <f t="shared" si="43"/>
        <v>1.4000000000000004</v>
      </c>
      <c r="K110" s="205">
        <f t="shared" si="43"/>
        <v>1.4000000000000004</v>
      </c>
      <c r="L110" s="205">
        <f t="shared" si="43"/>
        <v>2.7</v>
      </c>
      <c r="M110" s="205">
        <f t="shared" si="43"/>
        <v>4.3000000000000016</v>
      </c>
      <c r="N110" s="205">
        <f t="shared" si="43"/>
        <v>2.0000000000000009</v>
      </c>
      <c r="O110" s="205">
        <f t="shared" si="43"/>
        <v>4.3000000000000034</v>
      </c>
      <c r="P110" s="205">
        <f t="shared" si="43"/>
        <v>6.0000000000000018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4.400000000000003</v>
      </c>
      <c r="R110" s="205">
        <f t="shared" ref="R110:AC110" si="44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3.4000000000000021</v>
      </c>
      <c r="S110" s="205">
        <f t="shared" si="44"/>
        <v>4.3000000000000025</v>
      </c>
      <c r="T110" s="205">
        <f t="shared" si="44"/>
        <v>4.9000000000000039</v>
      </c>
      <c r="U110" s="205">
        <f t="shared" si="44"/>
        <v>4.4000000000000004</v>
      </c>
      <c r="V110" s="205">
        <f t="shared" si="44"/>
        <v>4.1000000000000032</v>
      </c>
      <c r="W110" s="205">
        <f t="shared" si="44"/>
        <v>4.4000000000000004</v>
      </c>
      <c r="X110" s="205">
        <f t="shared" si="44"/>
        <v>5.3000000000000025</v>
      </c>
      <c r="Y110" s="205">
        <f t="shared" si="44"/>
        <v>0.50000000000000089</v>
      </c>
      <c r="Z110" s="205">
        <f t="shared" si="44"/>
        <v>0.70000000000000195</v>
      </c>
      <c r="AA110" s="205">
        <f t="shared" si="44"/>
        <v>2.0000000000000018</v>
      </c>
      <c r="AB110" s="205">
        <f t="shared" si="44"/>
        <v>6.4</v>
      </c>
      <c r="AC110" s="205">
        <f t="shared" si="44"/>
        <v>4.3</v>
      </c>
      <c r="AD110" s="26"/>
      <c r="AE110" s="26"/>
      <c r="AF110" s="466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10" t="s">
        <v>91</v>
      </c>
      <c r="B111" s="510"/>
      <c r="C111" s="510"/>
      <c r="D111" s="60"/>
      <c r="E111" s="72"/>
      <c r="F111" s="74">
        <v>60.13</v>
      </c>
      <c r="G111" s="74">
        <v>60.13</v>
      </c>
      <c r="H111" s="74">
        <v>60.18</v>
      </c>
      <c r="I111" s="74">
        <v>60.17</v>
      </c>
      <c r="J111" s="74">
        <v>60.09</v>
      </c>
      <c r="K111" s="74">
        <v>60.15</v>
      </c>
      <c r="L111" s="74">
        <v>60.15</v>
      </c>
      <c r="M111" s="74">
        <v>60.16</v>
      </c>
      <c r="N111" s="74">
        <v>60.04</v>
      </c>
      <c r="O111" s="74">
        <v>60.08</v>
      </c>
      <c r="P111" s="83">
        <v>60.21</v>
      </c>
      <c r="Q111" s="83">
        <v>60.15</v>
      </c>
      <c r="R111" s="83">
        <v>60.05</v>
      </c>
      <c r="S111" s="83">
        <v>60.18</v>
      </c>
      <c r="T111" s="83">
        <v>60.2</v>
      </c>
      <c r="U111" s="74">
        <v>60.16</v>
      </c>
      <c r="V111" s="74">
        <v>60.16</v>
      </c>
      <c r="W111" s="74">
        <v>60.22</v>
      </c>
      <c r="X111" s="74">
        <v>60.22</v>
      </c>
      <c r="Y111" s="74">
        <v>60.18</v>
      </c>
      <c r="Z111" s="74">
        <v>60.15</v>
      </c>
      <c r="AA111" s="74">
        <v>60.08</v>
      </c>
      <c r="AB111" s="74">
        <v>60.12</v>
      </c>
      <c r="AC111" s="74">
        <v>60.2</v>
      </c>
      <c r="AD111" s="26"/>
      <c r="AE111" s="26"/>
      <c r="AF111" s="467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18" t="s">
        <v>93</v>
      </c>
      <c r="B112" s="519"/>
      <c r="C112" s="520"/>
      <c r="D112" s="60"/>
      <c r="E112" s="72"/>
      <c r="F112" s="74"/>
      <c r="G112" s="74"/>
      <c r="H112" s="74"/>
      <c r="I112" s="74"/>
      <c r="J112" s="74"/>
      <c r="K112" s="74"/>
      <c r="L112" s="74"/>
      <c r="M112" s="74"/>
      <c r="N112" s="74"/>
      <c r="O112" s="74"/>
      <c r="P112" s="74"/>
      <c r="Q112" s="74"/>
      <c r="R112" s="74"/>
      <c r="S112" s="74"/>
      <c r="T112" s="74"/>
      <c r="U112" s="74"/>
      <c r="V112" s="74"/>
      <c r="W112" s="74"/>
      <c r="X112" s="74"/>
      <c r="Y112" s="74"/>
      <c r="Z112" s="74"/>
      <c r="AA112" s="74"/>
      <c r="AB112" s="74"/>
      <c r="AC112" s="74"/>
      <c r="AD112" s="26"/>
      <c r="AE112" s="26"/>
      <c r="AF112" s="469"/>
      <c r="AG112" s="472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18" t="s">
        <v>95</v>
      </c>
      <c r="B113" s="519"/>
      <c r="C113" s="520"/>
      <c r="D113" s="60"/>
      <c r="E113" s="74"/>
      <c r="F113" s="74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10" t="s">
        <v>96</v>
      </c>
      <c r="B114" s="510"/>
      <c r="C114" s="510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 t="s">
        <v>101</v>
      </c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10" t="s">
        <v>97</v>
      </c>
      <c r="B115" s="510"/>
      <c r="C115" s="510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499" t="s">
        <v>98</v>
      </c>
      <c r="B117" s="499"/>
      <c r="C117" s="499"/>
      <c r="D117" s="499"/>
      <c r="E117" s="499"/>
      <c r="F117" s="499"/>
      <c r="G117" s="499"/>
      <c r="H117" s="499"/>
      <c r="I117" s="499"/>
      <c r="J117" s="499"/>
      <c r="K117" s="499"/>
      <c r="L117" s="499"/>
      <c r="M117" s="499"/>
      <c r="N117" s="499"/>
      <c r="O117" s="499"/>
      <c r="P117" s="499"/>
      <c r="Q117" s="499"/>
      <c r="R117" s="499"/>
      <c r="S117" s="499"/>
      <c r="T117" s="499"/>
      <c r="U117" s="499"/>
      <c r="V117" s="499"/>
      <c r="W117" s="499"/>
      <c r="X117" s="499"/>
      <c r="Y117" s="499"/>
      <c r="Z117" s="499"/>
      <c r="AA117" s="499"/>
      <c r="AB117" s="499"/>
      <c r="AC117" s="499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00" t="s">
        <v>75</v>
      </c>
      <c r="B119" s="501"/>
      <c r="C119" s="502"/>
      <c r="D119" s="49"/>
      <c r="E119" s="49"/>
      <c r="F119" s="506" t="s">
        <v>76</v>
      </c>
      <c r="G119" s="506"/>
      <c r="H119" s="506"/>
      <c r="I119" s="506"/>
      <c r="J119" s="506"/>
      <c r="K119" s="506"/>
      <c r="L119" s="506"/>
      <c r="M119" s="506"/>
      <c r="N119" s="506"/>
      <c r="O119" s="506"/>
      <c r="P119" s="506"/>
      <c r="Q119" s="506"/>
      <c r="R119" s="506"/>
      <c r="S119" s="506"/>
      <c r="T119" s="506"/>
      <c r="U119" s="506"/>
      <c r="V119" s="506"/>
      <c r="W119" s="506"/>
      <c r="X119" s="506"/>
      <c r="Y119" s="506"/>
      <c r="Z119" s="506"/>
      <c r="AA119" s="506"/>
      <c r="AB119" s="506"/>
      <c r="AC119" s="506"/>
      <c r="AD119" s="5"/>
      <c r="AE119" s="5"/>
      <c r="AF119" s="5"/>
      <c r="AG119" s="5"/>
      <c r="AH119" s="5"/>
    </row>
    <row r="120" spans="1:124" ht="15.6" hidden="1" customHeight="1">
      <c r="A120" s="503"/>
      <c r="B120" s="504"/>
      <c r="C120" s="505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07" t="s">
        <v>27</v>
      </c>
      <c r="B121" s="508"/>
      <c r="C121" s="509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07" t="s">
        <v>78</v>
      </c>
      <c r="B122" s="508"/>
      <c r="C122" s="509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07" t="s">
        <v>29</v>
      </c>
      <c r="B123" s="508"/>
      <c r="C123" s="509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07" t="s">
        <v>32</v>
      </c>
      <c r="B124" s="508"/>
      <c r="C124" s="509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07" t="s">
        <v>33</v>
      </c>
      <c r="B125" s="508"/>
      <c r="C125" s="509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07" t="s">
        <v>55</v>
      </c>
      <c r="B126" s="508"/>
      <c r="C126" s="509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07" t="s">
        <v>59</v>
      </c>
      <c r="B127" s="508"/>
      <c r="C127" s="509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07" t="s">
        <v>69</v>
      </c>
      <c r="B128" s="508"/>
      <c r="C128" s="509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496" t="s">
        <v>99</v>
      </c>
      <c r="B129" s="497"/>
      <c r="C129" s="498"/>
      <c r="D129" s="51"/>
      <c r="E129" s="51"/>
      <c r="F129" s="44">
        <f>SUM(F121:F128)</f>
        <v>0</v>
      </c>
      <c r="G129" s="44">
        <f t="shared" ref="G129:AB129" si="45">SUM(G121:G128)</f>
        <v>0</v>
      </c>
      <c r="H129" s="44">
        <f t="shared" si="45"/>
        <v>0</v>
      </c>
      <c r="I129" s="44">
        <f t="shared" si="45"/>
        <v>0</v>
      </c>
      <c r="J129" s="44">
        <f t="shared" si="45"/>
        <v>0</v>
      </c>
      <c r="K129" s="44">
        <f t="shared" si="45"/>
        <v>0</v>
      </c>
      <c r="L129" s="44">
        <f t="shared" si="45"/>
        <v>0</v>
      </c>
      <c r="M129" s="44">
        <f t="shared" si="45"/>
        <v>0</v>
      </c>
      <c r="N129" s="44">
        <f t="shared" si="45"/>
        <v>0</v>
      </c>
      <c r="O129" s="44">
        <f t="shared" si="45"/>
        <v>0</v>
      </c>
      <c r="P129" s="44">
        <f t="shared" si="45"/>
        <v>0</v>
      </c>
      <c r="Q129" s="44">
        <f t="shared" si="45"/>
        <v>0</v>
      </c>
      <c r="R129" s="44">
        <f t="shared" si="45"/>
        <v>0</v>
      </c>
      <c r="S129" s="44">
        <f t="shared" si="45"/>
        <v>0</v>
      </c>
      <c r="T129" s="44">
        <f t="shared" si="45"/>
        <v>0</v>
      </c>
      <c r="U129" s="44">
        <f t="shared" si="45"/>
        <v>0</v>
      </c>
      <c r="V129" s="44">
        <f t="shared" si="45"/>
        <v>0</v>
      </c>
      <c r="W129" s="44">
        <f t="shared" si="45"/>
        <v>0</v>
      </c>
      <c r="X129" s="44">
        <f t="shared" si="45"/>
        <v>0</v>
      </c>
      <c r="Y129" s="44">
        <f t="shared" si="45"/>
        <v>0</v>
      </c>
      <c r="Z129" s="44">
        <f t="shared" si="45"/>
        <v>0</v>
      </c>
      <c r="AA129" s="44">
        <f t="shared" si="45"/>
        <v>0</v>
      </c>
      <c r="AB129" s="44">
        <f t="shared" si="45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3831" priority="328" operator="greaterThan">
      <formula>60.3</formula>
    </cfRule>
  </conditionalFormatting>
  <conditionalFormatting sqref="F111">
    <cfRule type="cellIs" dxfId="3830" priority="327" operator="greaterThan">
      <formula>60.3</formula>
    </cfRule>
  </conditionalFormatting>
  <conditionalFormatting sqref="G67:AC75 G78:AC79">
    <cfRule type="cellIs" dxfId="3829" priority="319" operator="equal">
      <formula>"PMS"</formula>
    </cfRule>
    <cfRule type="containsText" dxfId="3828" priority="320" operator="containsText" text="CMS">
      <formula>NOT(ISERROR(SEARCH("CMS",G67)))</formula>
    </cfRule>
    <cfRule type="cellIs" dxfId="3827" priority="321" operator="equal">
      <formula>0</formula>
    </cfRule>
    <cfRule type="cellIs" dxfId="3826" priority="322" operator="greaterThan">
      <formula>0</formula>
    </cfRule>
    <cfRule type="cellIs" dxfId="3825" priority="323" operator="equal">
      <formula>"PMS"</formula>
    </cfRule>
    <cfRule type="containsText" dxfId="3824" priority="324" operator="containsText" text="CMS">
      <formula>NOT(ISERROR(SEARCH("CMS",G67)))</formula>
    </cfRule>
    <cfRule type="cellIs" dxfId="3823" priority="325" operator="equal">
      <formula>0</formula>
    </cfRule>
    <cfRule type="cellIs" dxfId="3822" priority="326" operator="greaterThan">
      <formula>0</formula>
    </cfRule>
  </conditionalFormatting>
  <conditionalFormatting sqref="G67:AC75 G78:AC79">
    <cfRule type="cellIs" dxfId="3821" priority="315" operator="equal">
      <formula>"PMS"</formula>
    </cfRule>
    <cfRule type="containsText" dxfId="3820" priority="316" operator="containsText" text="CMS">
      <formula>NOT(ISERROR(SEARCH("CMS",G67)))</formula>
    </cfRule>
    <cfRule type="cellIs" dxfId="3819" priority="317" operator="equal">
      <formula>0</formula>
    </cfRule>
    <cfRule type="cellIs" dxfId="3818" priority="318" operator="greaterThan">
      <formula>0</formula>
    </cfRule>
  </conditionalFormatting>
  <conditionalFormatting sqref="G82:AC82">
    <cfRule type="cellIs" dxfId="3817" priority="307" operator="equal">
      <formula>"PMS"</formula>
    </cfRule>
    <cfRule type="containsText" dxfId="3816" priority="308" operator="containsText" text="CMS">
      <formula>NOT(ISERROR(SEARCH("CMS",G82)))</formula>
    </cfRule>
    <cfRule type="cellIs" dxfId="3815" priority="309" operator="equal">
      <formula>0</formula>
    </cfRule>
    <cfRule type="cellIs" dxfId="3814" priority="310" operator="greaterThan">
      <formula>0</formula>
    </cfRule>
    <cfRule type="cellIs" dxfId="3813" priority="311" operator="equal">
      <formula>"PMS"</formula>
    </cfRule>
    <cfRule type="containsText" dxfId="3812" priority="312" operator="containsText" text="CMS">
      <formula>NOT(ISERROR(SEARCH("CMS",G82)))</formula>
    </cfRule>
    <cfRule type="cellIs" dxfId="3811" priority="313" operator="equal">
      <formula>0</formula>
    </cfRule>
    <cfRule type="cellIs" dxfId="3810" priority="314" operator="greaterThan">
      <formula>0</formula>
    </cfRule>
  </conditionalFormatting>
  <conditionalFormatting sqref="G82:AC82">
    <cfRule type="cellIs" dxfId="3809" priority="303" operator="equal">
      <formula>"PMS"</formula>
    </cfRule>
    <cfRule type="containsText" dxfId="3808" priority="304" operator="containsText" text="CMS">
      <formula>NOT(ISERROR(SEARCH("CMS",G82)))</formula>
    </cfRule>
    <cfRule type="cellIs" dxfId="3807" priority="305" operator="equal">
      <formula>0</formula>
    </cfRule>
    <cfRule type="cellIs" dxfId="3806" priority="306" operator="greaterThan">
      <formula>0</formula>
    </cfRule>
  </conditionalFormatting>
  <conditionalFormatting sqref="E113:AC113 F112:N112">
    <cfRule type="cellIs" dxfId="3805" priority="302" operator="greaterThan">
      <formula>60.3</formula>
    </cfRule>
  </conditionalFormatting>
  <conditionalFormatting sqref="O112:AC112">
    <cfRule type="cellIs" dxfId="3804" priority="301" operator="greaterThan">
      <formula>60.3</formula>
    </cfRule>
  </conditionalFormatting>
  <conditionalFormatting sqref="G62:AC64">
    <cfRule type="cellIs" dxfId="3803" priority="293" operator="equal">
      <formula>"PMS"</formula>
    </cfRule>
    <cfRule type="containsText" dxfId="3802" priority="294" operator="containsText" text="CMS">
      <formula>NOT(ISERROR(SEARCH("CMS",G62)))</formula>
    </cfRule>
    <cfRule type="cellIs" dxfId="3801" priority="295" operator="equal">
      <formula>0</formula>
    </cfRule>
    <cfRule type="cellIs" dxfId="3800" priority="296" operator="greaterThan">
      <formula>0</formula>
    </cfRule>
    <cfRule type="cellIs" dxfId="3799" priority="297" operator="equal">
      <formula>"PMS"</formula>
    </cfRule>
    <cfRule type="containsText" dxfId="3798" priority="298" operator="containsText" text="CMS">
      <formula>NOT(ISERROR(SEARCH("CMS",G62)))</formula>
    </cfRule>
    <cfRule type="cellIs" dxfId="3797" priority="299" operator="equal">
      <formula>0</formula>
    </cfRule>
    <cfRule type="cellIs" dxfId="3796" priority="300" operator="greaterThan">
      <formula>0</formula>
    </cfRule>
  </conditionalFormatting>
  <conditionalFormatting sqref="G62:AC64">
    <cfRule type="cellIs" dxfId="3795" priority="289" operator="equal">
      <formula>"PMS"</formula>
    </cfRule>
    <cfRule type="containsText" dxfId="3794" priority="290" operator="containsText" text="CMS">
      <formula>NOT(ISERROR(SEARCH("CMS",G62)))</formula>
    </cfRule>
    <cfRule type="cellIs" dxfId="3793" priority="291" operator="equal">
      <formula>0</formula>
    </cfRule>
    <cfRule type="cellIs" dxfId="3792" priority="292" operator="greaterThan">
      <formula>0</formula>
    </cfRule>
  </conditionalFormatting>
  <conditionalFormatting sqref="G36:AC59">
    <cfRule type="cellIs" dxfId="3791" priority="281" operator="equal">
      <formula>"PMS"</formula>
    </cfRule>
    <cfRule type="containsText" dxfId="3790" priority="282" operator="containsText" text="CMS">
      <formula>NOT(ISERROR(SEARCH("CMS",G36)))</formula>
    </cfRule>
    <cfRule type="cellIs" dxfId="3789" priority="283" operator="equal">
      <formula>0</formula>
    </cfRule>
    <cfRule type="cellIs" dxfId="3788" priority="284" operator="greaterThan">
      <formula>0</formula>
    </cfRule>
    <cfRule type="cellIs" dxfId="3787" priority="285" operator="equal">
      <formula>"PMS"</formula>
    </cfRule>
    <cfRule type="containsText" dxfId="3786" priority="286" operator="containsText" text="CMS">
      <formula>NOT(ISERROR(SEARCH("CMS",G36)))</formula>
    </cfRule>
    <cfRule type="cellIs" dxfId="3785" priority="287" operator="equal">
      <formula>0</formula>
    </cfRule>
    <cfRule type="cellIs" dxfId="3784" priority="288" operator="greaterThan">
      <formula>0</formula>
    </cfRule>
  </conditionalFormatting>
  <conditionalFormatting sqref="G36:AC59">
    <cfRule type="cellIs" dxfId="3783" priority="277" operator="equal">
      <formula>"PMS"</formula>
    </cfRule>
    <cfRule type="containsText" dxfId="3782" priority="278" operator="containsText" text="CMS">
      <formula>NOT(ISERROR(SEARCH("CMS",G36)))</formula>
    </cfRule>
    <cfRule type="cellIs" dxfId="3781" priority="279" operator="equal">
      <formula>0</formula>
    </cfRule>
    <cfRule type="cellIs" dxfId="3780" priority="280" operator="greaterThan">
      <formula>0</formula>
    </cfRule>
  </conditionalFormatting>
  <conditionalFormatting sqref="G33:AC33">
    <cfRule type="cellIs" dxfId="3779" priority="269" operator="equal">
      <formula>"PMS"</formula>
    </cfRule>
    <cfRule type="containsText" dxfId="3778" priority="270" operator="containsText" text="CMS">
      <formula>NOT(ISERROR(SEARCH("CMS",G33)))</formula>
    </cfRule>
    <cfRule type="cellIs" dxfId="3777" priority="271" operator="equal">
      <formula>0</formula>
    </cfRule>
    <cfRule type="cellIs" dxfId="3776" priority="272" operator="greaterThan">
      <formula>0</formula>
    </cfRule>
    <cfRule type="cellIs" dxfId="3775" priority="273" operator="equal">
      <formula>"PMS"</formula>
    </cfRule>
    <cfRule type="containsText" dxfId="3774" priority="274" operator="containsText" text="CMS">
      <formula>NOT(ISERROR(SEARCH("CMS",G33)))</formula>
    </cfRule>
    <cfRule type="cellIs" dxfId="3773" priority="275" operator="equal">
      <formula>0</formula>
    </cfRule>
    <cfRule type="cellIs" dxfId="3772" priority="276" operator="greaterThan">
      <formula>0</formula>
    </cfRule>
  </conditionalFormatting>
  <conditionalFormatting sqref="G33:AC33">
    <cfRule type="cellIs" dxfId="3771" priority="265" operator="equal">
      <formula>"PMS"</formula>
    </cfRule>
    <cfRule type="containsText" dxfId="3770" priority="266" operator="containsText" text="CMS">
      <formula>NOT(ISERROR(SEARCH("CMS",G33)))</formula>
    </cfRule>
    <cfRule type="cellIs" dxfId="3769" priority="267" operator="equal">
      <formula>0</formula>
    </cfRule>
    <cfRule type="cellIs" dxfId="3768" priority="268" operator="greaterThan">
      <formula>0</formula>
    </cfRule>
  </conditionalFormatting>
  <conditionalFormatting sqref="G29:AC30 G27:J28 L27:AC28">
    <cfRule type="cellIs" dxfId="3767" priority="257" operator="equal">
      <formula>"PMS"</formula>
    </cfRule>
    <cfRule type="containsText" dxfId="3766" priority="258" operator="containsText" text="CMS">
      <formula>NOT(ISERROR(SEARCH("CMS",G27)))</formula>
    </cfRule>
    <cfRule type="cellIs" dxfId="3765" priority="259" operator="equal">
      <formula>0</formula>
    </cfRule>
    <cfRule type="cellIs" dxfId="3764" priority="260" operator="greaterThan">
      <formula>0</formula>
    </cfRule>
    <cfRule type="cellIs" dxfId="3763" priority="261" operator="equal">
      <formula>"PMS"</formula>
    </cfRule>
    <cfRule type="containsText" dxfId="3762" priority="262" operator="containsText" text="CMS">
      <formula>NOT(ISERROR(SEARCH("CMS",G27)))</formula>
    </cfRule>
    <cfRule type="cellIs" dxfId="3761" priority="263" operator="equal">
      <formula>0</formula>
    </cfRule>
    <cfRule type="cellIs" dxfId="3760" priority="264" operator="greaterThan">
      <formula>0</formula>
    </cfRule>
  </conditionalFormatting>
  <conditionalFormatting sqref="G29:AC30 G27:J28 L27:AC28">
    <cfRule type="cellIs" dxfId="3759" priority="253" operator="equal">
      <formula>"PMS"</formula>
    </cfRule>
    <cfRule type="containsText" dxfId="3758" priority="254" operator="containsText" text="CMS">
      <formula>NOT(ISERROR(SEARCH("CMS",G27)))</formula>
    </cfRule>
    <cfRule type="cellIs" dxfId="3757" priority="255" operator="equal">
      <formula>0</formula>
    </cfRule>
    <cfRule type="cellIs" dxfId="3756" priority="256" operator="greaterThan">
      <formula>0</formula>
    </cfRule>
  </conditionalFormatting>
  <conditionalFormatting sqref="G24:AC24">
    <cfRule type="cellIs" dxfId="3755" priority="245" operator="equal">
      <formula>"PMS"</formula>
    </cfRule>
    <cfRule type="containsText" dxfId="3754" priority="246" operator="containsText" text="CMS">
      <formula>NOT(ISERROR(SEARCH("CMS",G24)))</formula>
    </cfRule>
    <cfRule type="cellIs" dxfId="3753" priority="247" operator="equal">
      <formula>0</formula>
    </cfRule>
    <cfRule type="cellIs" dxfId="3752" priority="248" operator="greaterThan">
      <formula>0</formula>
    </cfRule>
    <cfRule type="cellIs" dxfId="3751" priority="249" operator="equal">
      <formula>"PMS"</formula>
    </cfRule>
    <cfRule type="containsText" dxfId="3750" priority="250" operator="containsText" text="CMS">
      <formula>NOT(ISERROR(SEARCH("CMS",G24)))</formula>
    </cfRule>
    <cfRule type="cellIs" dxfId="3749" priority="251" operator="equal">
      <formula>0</formula>
    </cfRule>
    <cfRule type="cellIs" dxfId="3748" priority="252" operator="greaterThan">
      <formula>0</formula>
    </cfRule>
  </conditionalFormatting>
  <conditionalFormatting sqref="G24:AC24">
    <cfRule type="cellIs" dxfId="3747" priority="241" operator="equal">
      <formula>"PMS"</formula>
    </cfRule>
    <cfRule type="containsText" dxfId="3746" priority="242" operator="containsText" text="CMS">
      <formula>NOT(ISERROR(SEARCH("CMS",G24)))</formula>
    </cfRule>
    <cfRule type="cellIs" dxfId="3745" priority="243" operator="equal">
      <formula>0</formula>
    </cfRule>
    <cfRule type="cellIs" dxfId="3744" priority="244" operator="greaterThan">
      <formula>0</formula>
    </cfRule>
  </conditionalFormatting>
  <conditionalFormatting sqref="G19:AC21">
    <cfRule type="cellIs" dxfId="3743" priority="233" operator="equal">
      <formula>"PMS"</formula>
    </cfRule>
    <cfRule type="containsText" dxfId="3742" priority="234" operator="containsText" text="CMS">
      <formula>NOT(ISERROR(SEARCH("CMS",G19)))</formula>
    </cfRule>
    <cfRule type="cellIs" dxfId="3741" priority="235" operator="equal">
      <formula>0</formula>
    </cfRule>
    <cfRule type="cellIs" dxfId="3740" priority="236" operator="greaterThan">
      <formula>0</formula>
    </cfRule>
    <cfRule type="cellIs" dxfId="3739" priority="237" operator="equal">
      <formula>"PMS"</formula>
    </cfRule>
    <cfRule type="containsText" dxfId="3738" priority="238" operator="containsText" text="CMS">
      <formula>NOT(ISERROR(SEARCH("CMS",G19)))</formula>
    </cfRule>
    <cfRule type="cellIs" dxfId="3737" priority="239" operator="equal">
      <formula>0</formula>
    </cfRule>
    <cfRule type="cellIs" dxfId="3736" priority="240" operator="greaterThan">
      <formula>0</formula>
    </cfRule>
  </conditionalFormatting>
  <conditionalFormatting sqref="G19:AC21">
    <cfRule type="cellIs" dxfId="3735" priority="229" operator="equal">
      <formula>"PMS"</formula>
    </cfRule>
    <cfRule type="containsText" dxfId="3734" priority="230" operator="containsText" text="CMS">
      <formula>NOT(ISERROR(SEARCH("CMS",G19)))</formula>
    </cfRule>
    <cfRule type="cellIs" dxfId="3733" priority="231" operator="equal">
      <formula>0</formula>
    </cfRule>
    <cfRule type="cellIs" dxfId="3732" priority="232" operator="greaterThan">
      <formula>0</formula>
    </cfRule>
  </conditionalFormatting>
  <conditionalFormatting sqref="G13:AC16">
    <cfRule type="cellIs" dxfId="3731" priority="221" operator="equal">
      <formula>"PMS"</formula>
    </cfRule>
    <cfRule type="containsText" dxfId="3730" priority="222" operator="containsText" text="CMS">
      <formula>NOT(ISERROR(SEARCH("CMS",G13)))</formula>
    </cfRule>
    <cfRule type="cellIs" dxfId="3729" priority="223" operator="equal">
      <formula>0</formula>
    </cfRule>
    <cfRule type="cellIs" dxfId="3728" priority="224" operator="greaterThan">
      <formula>0</formula>
    </cfRule>
    <cfRule type="cellIs" dxfId="3727" priority="225" operator="equal">
      <formula>"PMS"</formula>
    </cfRule>
    <cfRule type="containsText" dxfId="3726" priority="226" operator="containsText" text="CMS">
      <formula>NOT(ISERROR(SEARCH("CMS",G13)))</formula>
    </cfRule>
    <cfRule type="cellIs" dxfId="3725" priority="227" operator="equal">
      <formula>0</formula>
    </cfRule>
    <cfRule type="cellIs" dxfId="3724" priority="228" operator="greaterThan">
      <formula>0</formula>
    </cfRule>
  </conditionalFormatting>
  <conditionalFormatting sqref="G13:AC16">
    <cfRule type="cellIs" dxfId="3723" priority="217" operator="equal">
      <formula>"PMS"</formula>
    </cfRule>
    <cfRule type="containsText" dxfId="3722" priority="218" operator="containsText" text="CMS">
      <formula>NOT(ISERROR(SEARCH("CMS",G13)))</formula>
    </cfRule>
    <cfRule type="cellIs" dxfId="3721" priority="219" operator="equal">
      <formula>0</formula>
    </cfRule>
    <cfRule type="cellIs" dxfId="3720" priority="220" operator="greaterThan">
      <formula>0</formula>
    </cfRule>
  </conditionalFormatting>
  <conditionalFormatting sqref="K27:K28">
    <cfRule type="cellIs" dxfId="3719" priority="113" operator="equal">
      <formula>"PMS"</formula>
    </cfRule>
    <cfRule type="containsText" dxfId="3718" priority="114" operator="containsText" text="CMS">
      <formula>NOT(ISERROR(SEARCH("CMS",K27)))</formula>
    </cfRule>
    <cfRule type="cellIs" dxfId="3717" priority="115" operator="equal">
      <formula>0</formula>
    </cfRule>
    <cfRule type="cellIs" dxfId="3716" priority="116" operator="greaterThan">
      <formula>0</formula>
    </cfRule>
    <cfRule type="cellIs" dxfId="3715" priority="117" operator="equal">
      <formula>"PMS"</formula>
    </cfRule>
    <cfRule type="containsText" dxfId="3714" priority="118" operator="containsText" text="CMS">
      <formula>NOT(ISERROR(SEARCH("CMS",K27)))</formula>
    </cfRule>
    <cfRule type="cellIs" dxfId="3713" priority="119" operator="equal">
      <formula>0</formula>
    </cfRule>
    <cfRule type="cellIs" dxfId="3712" priority="120" operator="greaterThan">
      <formula>0</formula>
    </cfRule>
  </conditionalFormatting>
  <conditionalFormatting sqref="K27:K28">
    <cfRule type="cellIs" dxfId="3711" priority="109" operator="equal">
      <formula>"PMS"</formula>
    </cfRule>
    <cfRule type="containsText" dxfId="3710" priority="110" operator="containsText" text="CMS">
      <formula>NOT(ISERROR(SEARCH("CMS",K27)))</formula>
    </cfRule>
    <cfRule type="cellIs" dxfId="3709" priority="111" operator="equal">
      <formula>0</formula>
    </cfRule>
    <cfRule type="cellIs" dxfId="3708" priority="112" operator="greaterThan">
      <formula>0</formula>
    </cfRule>
  </conditionalFormatting>
  <conditionalFormatting sqref="F67:F75 F78:F79">
    <cfRule type="cellIs" dxfId="3707" priority="101" operator="equal">
      <formula>"PMS"</formula>
    </cfRule>
    <cfRule type="containsText" dxfId="3706" priority="102" operator="containsText" text="CMS">
      <formula>NOT(ISERROR(SEARCH("CMS",F67)))</formula>
    </cfRule>
    <cfRule type="cellIs" dxfId="3705" priority="103" operator="equal">
      <formula>0</formula>
    </cfRule>
    <cfRule type="cellIs" dxfId="3704" priority="104" operator="greaterThan">
      <formula>0</formula>
    </cfRule>
    <cfRule type="cellIs" dxfId="3703" priority="105" operator="equal">
      <formula>"PMS"</formula>
    </cfRule>
    <cfRule type="containsText" dxfId="3702" priority="106" operator="containsText" text="CMS">
      <formula>NOT(ISERROR(SEARCH("CMS",F67)))</formula>
    </cfRule>
    <cfRule type="cellIs" dxfId="3701" priority="107" operator="equal">
      <formula>0</formula>
    </cfRule>
    <cfRule type="cellIs" dxfId="3700" priority="108" operator="greaterThan">
      <formula>0</formula>
    </cfRule>
  </conditionalFormatting>
  <conditionalFormatting sqref="F67:F75 F78:F79">
    <cfRule type="cellIs" dxfId="3699" priority="97" operator="equal">
      <formula>"PMS"</formula>
    </cfRule>
    <cfRule type="containsText" dxfId="3698" priority="98" operator="containsText" text="CMS">
      <formula>NOT(ISERROR(SEARCH("CMS",F67)))</formula>
    </cfRule>
    <cfRule type="cellIs" dxfId="3697" priority="99" operator="equal">
      <formula>0</formula>
    </cfRule>
    <cfRule type="cellIs" dxfId="3696" priority="100" operator="greaterThan">
      <formula>0</formula>
    </cfRule>
  </conditionalFormatting>
  <conditionalFormatting sqref="F82">
    <cfRule type="cellIs" dxfId="3695" priority="89" operator="equal">
      <formula>"PMS"</formula>
    </cfRule>
    <cfRule type="containsText" dxfId="3694" priority="90" operator="containsText" text="CMS">
      <formula>NOT(ISERROR(SEARCH("CMS",F82)))</formula>
    </cfRule>
    <cfRule type="cellIs" dxfId="3693" priority="91" operator="equal">
      <formula>0</formula>
    </cfRule>
    <cfRule type="cellIs" dxfId="3692" priority="92" operator="greaterThan">
      <formula>0</formula>
    </cfRule>
    <cfRule type="cellIs" dxfId="3691" priority="93" operator="equal">
      <formula>"PMS"</formula>
    </cfRule>
    <cfRule type="containsText" dxfId="3690" priority="94" operator="containsText" text="CMS">
      <formula>NOT(ISERROR(SEARCH("CMS",F82)))</formula>
    </cfRule>
    <cfRule type="cellIs" dxfId="3689" priority="95" operator="equal">
      <formula>0</formula>
    </cfRule>
    <cfRule type="cellIs" dxfId="3688" priority="96" operator="greaterThan">
      <formula>0</formula>
    </cfRule>
  </conditionalFormatting>
  <conditionalFormatting sqref="F82">
    <cfRule type="cellIs" dxfId="3687" priority="85" operator="equal">
      <formula>"PMS"</formula>
    </cfRule>
    <cfRule type="containsText" dxfId="3686" priority="86" operator="containsText" text="CMS">
      <formula>NOT(ISERROR(SEARCH("CMS",F82)))</formula>
    </cfRule>
    <cfRule type="cellIs" dxfId="3685" priority="87" operator="equal">
      <formula>0</formula>
    </cfRule>
    <cfRule type="cellIs" dxfId="3684" priority="88" operator="greaterThan">
      <formula>0</formula>
    </cfRule>
  </conditionalFormatting>
  <conditionalFormatting sqref="F62:F64">
    <cfRule type="cellIs" dxfId="3683" priority="77" operator="equal">
      <formula>"PMS"</formula>
    </cfRule>
    <cfRule type="containsText" dxfId="3682" priority="78" operator="containsText" text="CMS">
      <formula>NOT(ISERROR(SEARCH("CMS",F62)))</formula>
    </cfRule>
    <cfRule type="cellIs" dxfId="3681" priority="79" operator="equal">
      <formula>0</formula>
    </cfRule>
    <cfRule type="cellIs" dxfId="3680" priority="80" operator="greaterThan">
      <formula>0</formula>
    </cfRule>
    <cfRule type="cellIs" dxfId="3679" priority="81" operator="equal">
      <formula>"PMS"</formula>
    </cfRule>
    <cfRule type="containsText" dxfId="3678" priority="82" operator="containsText" text="CMS">
      <formula>NOT(ISERROR(SEARCH("CMS",F62)))</formula>
    </cfRule>
    <cfRule type="cellIs" dxfId="3677" priority="83" operator="equal">
      <formula>0</formula>
    </cfRule>
    <cfRule type="cellIs" dxfId="3676" priority="84" operator="greaterThan">
      <formula>0</formula>
    </cfRule>
  </conditionalFormatting>
  <conditionalFormatting sqref="F62:F64">
    <cfRule type="cellIs" dxfId="3675" priority="73" operator="equal">
      <formula>"PMS"</formula>
    </cfRule>
    <cfRule type="containsText" dxfId="3674" priority="74" operator="containsText" text="CMS">
      <formula>NOT(ISERROR(SEARCH("CMS",F62)))</formula>
    </cfRule>
    <cfRule type="cellIs" dxfId="3673" priority="75" operator="equal">
      <formula>0</formula>
    </cfRule>
    <cfRule type="cellIs" dxfId="3672" priority="76" operator="greaterThan">
      <formula>0</formula>
    </cfRule>
  </conditionalFormatting>
  <conditionalFormatting sqref="F36:F59">
    <cfRule type="cellIs" dxfId="3671" priority="65" operator="equal">
      <formula>"PMS"</formula>
    </cfRule>
    <cfRule type="containsText" dxfId="3670" priority="66" operator="containsText" text="CMS">
      <formula>NOT(ISERROR(SEARCH("CMS",F36)))</formula>
    </cfRule>
    <cfRule type="cellIs" dxfId="3669" priority="67" operator="equal">
      <formula>0</formula>
    </cfRule>
    <cfRule type="cellIs" dxfId="3668" priority="68" operator="greaterThan">
      <formula>0</formula>
    </cfRule>
    <cfRule type="cellIs" dxfId="3667" priority="69" operator="equal">
      <formula>"PMS"</formula>
    </cfRule>
    <cfRule type="containsText" dxfId="3666" priority="70" operator="containsText" text="CMS">
      <formula>NOT(ISERROR(SEARCH("CMS",F36)))</formula>
    </cfRule>
    <cfRule type="cellIs" dxfId="3665" priority="71" operator="equal">
      <formula>0</formula>
    </cfRule>
    <cfRule type="cellIs" dxfId="3664" priority="72" operator="greaterThan">
      <formula>0</formula>
    </cfRule>
  </conditionalFormatting>
  <conditionalFormatting sqref="F36:F59">
    <cfRule type="cellIs" dxfId="3663" priority="61" operator="equal">
      <formula>"PMS"</formula>
    </cfRule>
    <cfRule type="containsText" dxfId="3662" priority="62" operator="containsText" text="CMS">
      <formula>NOT(ISERROR(SEARCH("CMS",F36)))</formula>
    </cfRule>
    <cfRule type="cellIs" dxfId="3661" priority="63" operator="equal">
      <formula>0</formula>
    </cfRule>
    <cfRule type="cellIs" dxfId="3660" priority="64" operator="greaterThan">
      <formula>0</formula>
    </cfRule>
  </conditionalFormatting>
  <conditionalFormatting sqref="F33">
    <cfRule type="cellIs" dxfId="3659" priority="53" operator="equal">
      <formula>"PMS"</formula>
    </cfRule>
    <cfRule type="containsText" dxfId="3658" priority="54" operator="containsText" text="CMS">
      <formula>NOT(ISERROR(SEARCH("CMS",F33)))</formula>
    </cfRule>
    <cfRule type="cellIs" dxfId="3657" priority="55" operator="equal">
      <formula>0</formula>
    </cfRule>
    <cfRule type="cellIs" dxfId="3656" priority="56" operator="greaterThan">
      <formula>0</formula>
    </cfRule>
    <cfRule type="cellIs" dxfId="3655" priority="57" operator="equal">
      <formula>"PMS"</formula>
    </cfRule>
    <cfRule type="containsText" dxfId="3654" priority="58" operator="containsText" text="CMS">
      <formula>NOT(ISERROR(SEARCH("CMS",F33)))</formula>
    </cfRule>
    <cfRule type="cellIs" dxfId="3653" priority="59" operator="equal">
      <formula>0</formula>
    </cfRule>
    <cfRule type="cellIs" dxfId="3652" priority="60" operator="greaterThan">
      <formula>0</formula>
    </cfRule>
  </conditionalFormatting>
  <conditionalFormatting sqref="F33">
    <cfRule type="cellIs" dxfId="3651" priority="49" operator="equal">
      <formula>"PMS"</formula>
    </cfRule>
    <cfRule type="containsText" dxfId="3650" priority="50" operator="containsText" text="CMS">
      <formula>NOT(ISERROR(SEARCH("CMS",F33)))</formula>
    </cfRule>
    <cfRule type="cellIs" dxfId="3649" priority="51" operator="equal">
      <formula>0</formula>
    </cfRule>
    <cfRule type="cellIs" dxfId="3648" priority="52" operator="greaterThan">
      <formula>0</formula>
    </cfRule>
  </conditionalFormatting>
  <conditionalFormatting sqref="F27:F30">
    <cfRule type="cellIs" dxfId="3647" priority="41" operator="equal">
      <formula>"PMS"</formula>
    </cfRule>
    <cfRule type="containsText" dxfId="3646" priority="42" operator="containsText" text="CMS">
      <formula>NOT(ISERROR(SEARCH("CMS",F27)))</formula>
    </cfRule>
    <cfRule type="cellIs" dxfId="3645" priority="43" operator="equal">
      <formula>0</formula>
    </cfRule>
    <cfRule type="cellIs" dxfId="3644" priority="44" operator="greaterThan">
      <formula>0</formula>
    </cfRule>
    <cfRule type="cellIs" dxfId="3643" priority="45" operator="equal">
      <formula>"PMS"</formula>
    </cfRule>
    <cfRule type="containsText" dxfId="3642" priority="46" operator="containsText" text="CMS">
      <formula>NOT(ISERROR(SEARCH("CMS",F27)))</formula>
    </cfRule>
    <cfRule type="cellIs" dxfId="3641" priority="47" operator="equal">
      <formula>0</formula>
    </cfRule>
    <cfRule type="cellIs" dxfId="3640" priority="48" operator="greaterThan">
      <formula>0</formula>
    </cfRule>
  </conditionalFormatting>
  <conditionalFormatting sqref="F27:F30">
    <cfRule type="cellIs" dxfId="3639" priority="37" operator="equal">
      <formula>"PMS"</formula>
    </cfRule>
    <cfRule type="containsText" dxfId="3638" priority="38" operator="containsText" text="CMS">
      <formula>NOT(ISERROR(SEARCH("CMS",F27)))</formula>
    </cfRule>
    <cfRule type="cellIs" dxfId="3637" priority="39" operator="equal">
      <formula>0</formula>
    </cfRule>
    <cfRule type="cellIs" dxfId="3636" priority="40" operator="greaterThan">
      <formula>0</formula>
    </cfRule>
  </conditionalFormatting>
  <conditionalFormatting sqref="F24">
    <cfRule type="cellIs" dxfId="3635" priority="29" operator="equal">
      <formula>"PMS"</formula>
    </cfRule>
    <cfRule type="containsText" dxfId="3634" priority="30" operator="containsText" text="CMS">
      <formula>NOT(ISERROR(SEARCH("CMS",F24)))</formula>
    </cfRule>
    <cfRule type="cellIs" dxfId="3633" priority="31" operator="equal">
      <formula>0</formula>
    </cfRule>
    <cfRule type="cellIs" dxfId="3632" priority="32" operator="greaterThan">
      <formula>0</formula>
    </cfRule>
    <cfRule type="cellIs" dxfId="3631" priority="33" operator="equal">
      <formula>"PMS"</formula>
    </cfRule>
    <cfRule type="containsText" dxfId="3630" priority="34" operator="containsText" text="CMS">
      <formula>NOT(ISERROR(SEARCH("CMS",F24)))</formula>
    </cfRule>
    <cfRule type="cellIs" dxfId="3629" priority="35" operator="equal">
      <formula>0</formula>
    </cfRule>
    <cfRule type="cellIs" dxfId="3628" priority="36" operator="greaterThan">
      <formula>0</formula>
    </cfRule>
  </conditionalFormatting>
  <conditionalFormatting sqref="F24">
    <cfRule type="cellIs" dxfId="3627" priority="25" operator="equal">
      <formula>"PMS"</formula>
    </cfRule>
    <cfRule type="containsText" dxfId="3626" priority="26" operator="containsText" text="CMS">
      <formula>NOT(ISERROR(SEARCH("CMS",F24)))</formula>
    </cfRule>
    <cfRule type="cellIs" dxfId="3625" priority="27" operator="equal">
      <formula>0</formula>
    </cfRule>
    <cfRule type="cellIs" dxfId="3624" priority="28" operator="greaterThan">
      <formula>0</formula>
    </cfRule>
  </conditionalFormatting>
  <conditionalFormatting sqref="F19:F21">
    <cfRule type="cellIs" dxfId="3623" priority="17" operator="equal">
      <formula>"PMS"</formula>
    </cfRule>
    <cfRule type="containsText" dxfId="3622" priority="18" operator="containsText" text="CMS">
      <formula>NOT(ISERROR(SEARCH("CMS",F19)))</formula>
    </cfRule>
    <cfRule type="cellIs" dxfId="3621" priority="19" operator="equal">
      <formula>0</formula>
    </cfRule>
    <cfRule type="cellIs" dxfId="3620" priority="20" operator="greaterThan">
      <formula>0</formula>
    </cfRule>
    <cfRule type="cellIs" dxfId="3619" priority="21" operator="equal">
      <formula>"PMS"</formula>
    </cfRule>
    <cfRule type="containsText" dxfId="3618" priority="22" operator="containsText" text="CMS">
      <formula>NOT(ISERROR(SEARCH("CMS",F19)))</formula>
    </cfRule>
    <cfRule type="cellIs" dxfId="3617" priority="23" operator="equal">
      <formula>0</formula>
    </cfRule>
    <cfRule type="cellIs" dxfId="3616" priority="24" operator="greaterThan">
      <formula>0</formula>
    </cfRule>
  </conditionalFormatting>
  <conditionalFormatting sqref="F19:F21">
    <cfRule type="cellIs" dxfId="3615" priority="13" operator="equal">
      <formula>"PMS"</formula>
    </cfRule>
    <cfRule type="containsText" dxfId="3614" priority="14" operator="containsText" text="CMS">
      <formula>NOT(ISERROR(SEARCH("CMS",F19)))</formula>
    </cfRule>
    <cfRule type="cellIs" dxfId="3613" priority="15" operator="equal">
      <formula>0</formula>
    </cfRule>
    <cfRule type="cellIs" dxfId="3612" priority="16" operator="greaterThan">
      <formula>0</formula>
    </cfRule>
  </conditionalFormatting>
  <conditionalFormatting sqref="F13:F16">
    <cfRule type="cellIs" dxfId="3611" priority="5" operator="equal">
      <formula>"PMS"</formula>
    </cfRule>
    <cfRule type="containsText" dxfId="3610" priority="6" operator="containsText" text="CMS">
      <formula>NOT(ISERROR(SEARCH("CMS",F13)))</formula>
    </cfRule>
    <cfRule type="cellIs" dxfId="3609" priority="7" operator="equal">
      <formula>0</formula>
    </cfRule>
    <cfRule type="cellIs" dxfId="3608" priority="8" operator="greaterThan">
      <formula>0</formula>
    </cfRule>
    <cfRule type="cellIs" dxfId="3607" priority="9" operator="equal">
      <formula>"PMS"</formula>
    </cfRule>
    <cfRule type="containsText" dxfId="3606" priority="10" operator="containsText" text="CMS">
      <formula>NOT(ISERROR(SEARCH("CMS",F13)))</formula>
    </cfRule>
    <cfRule type="cellIs" dxfId="3605" priority="11" operator="equal">
      <formula>0</formula>
    </cfRule>
    <cfRule type="cellIs" dxfId="3604" priority="12" operator="greaterThan">
      <formula>0</formula>
    </cfRule>
  </conditionalFormatting>
  <conditionalFormatting sqref="F13:F16">
    <cfRule type="cellIs" dxfId="3603" priority="1" operator="equal">
      <formula>"PMS"</formula>
    </cfRule>
    <cfRule type="containsText" dxfId="3602" priority="2" operator="containsText" text="CMS">
      <formula>NOT(ISERROR(SEARCH("CMS",F13)))</formula>
    </cfRule>
    <cfRule type="cellIs" dxfId="3601" priority="3" operator="equal">
      <formula>0</formula>
    </cfRule>
    <cfRule type="cellIs" dxfId="3600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755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D50E2-2133-4CCB-9B20-8617200C8609}">
  <sheetPr codeName="Sheet176"/>
  <dimension ref="A2:DT141"/>
  <sheetViews>
    <sheetView zoomScale="70" zoomScaleNormal="70" zoomScaleSheetLayoutView="51" zoomScalePageLayoutView="55" workbookViewId="0">
      <pane xSplit="5" ySplit="11" topLeftCell="F57" activePane="bottomRight" state="frozen"/>
      <selection pane="bottomRight" activeCell="AC17" sqref="AC17"/>
      <selection pane="bottomLeft" activeCell="AJ44" sqref="AJ44"/>
      <selection pane="topRight" activeCell="AJ44" sqref="AJ4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23"/>
      <c r="N8" s="523"/>
      <c r="O8" s="52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24" t="e" cm="1">
        <f t="array" aca="1" ref="M9" ca="1">TEXT(TODAY(),"mmmm")&amp;" "&amp;MID(CELL("filename",A1),FIND("]",CELL("filename",A1))+1,255)&amp;", "&amp;TEXT(TODAY(),"yyyy")</f>
        <v>#VALUE!</v>
      </c>
      <c r="N9" s="524"/>
      <c r="O9" s="524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4"/>
      <c r="R10" s="344"/>
      <c r="S10" s="344"/>
      <c r="T10" s="344"/>
      <c r="U10" s="344"/>
      <c r="V10" s="344"/>
      <c r="W10" s="344"/>
      <c r="X10" s="344"/>
      <c r="Y10" s="344"/>
      <c r="Z10" s="344"/>
      <c r="AA10" s="344"/>
      <c r="AB10" s="344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17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467.0999999999998</v>
      </c>
    </row>
    <row r="13" spans="1:41">
      <c r="A13" s="14" t="s">
        <v>22</v>
      </c>
      <c r="B13" s="15"/>
      <c r="C13" s="15">
        <v>7.2</v>
      </c>
      <c r="D13" s="15"/>
      <c r="E13" s="15"/>
      <c r="F13" s="372">
        <v>6.9</v>
      </c>
      <c r="G13" s="372">
        <v>6.7</v>
      </c>
      <c r="H13" s="372">
        <v>6.5</v>
      </c>
      <c r="I13" s="372">
        <v>6.5</v>
      </c>
      <c r="J13" s="372"/>
      <c r="K13" s="374"/>
      <c r="L13" s="374"/>
      <c r="M13" s="374">
        <v>6.3</v>
      </c>
      <c r="N13" s="372">
        <v>0</v>
      </c>
      <c r="O13" s="372">
        <v>0</v>
      </c>
      <c r="P13" s="372">
        <v>0</v>
      </c>
      <c r="Q13" s="372">
        <v>0</v>
      </c>
      <c r="R13" s="372">
        <v>0</v>
      </c>
      <c r="S13" s="372">
        <v>0</v>
      </c>
      <c r="T13" s="372">
        <v>0</v>
      </c>
      <c r="U13" s="372">
        <v>0</v>
      </c>
      <c r="V13" s="372">
        <v>0</v>
      </c>
      <c r="W13" s="372">
        <v>0</v>
      </c>
      <c r="X13" s="372">
        <v>0</v>
      </c>
      <c r="Y13" s="372">
        <v>0</v>
      </c>
      <c r="Z13" s="372">
        <v>0</v>
      </c>
      <c r="AA13" s="372">
        <v>0</v>
      </c>
      <c r="AB13" s="372">
        <v>0</v>
      </c>
      <c r="AC13" s="372">
        <v>0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21</v>
      </c>
    </row>
    <row r="14" spans="1:41">
      <c r="A14" s="14" t="s">
        <v>23</v>
      </c>
      <c r="B14" s="15"/>
      <c r="C14" s="15">
        <v>7.2</v>
      </c>
      <c r="D14" s="15"/>
      <c r="E14" s="15"/>
      <c r="F14" s="372"/>
      <c r="G14" s="372"/>
      <c r="H14" s="372"/>
      <c r="I14" s="372"/>
      <c r="J14" s="372">
        <v>6.6</v>
      </c>
      <c r="K14" s="374">
        <v>6.6</v>
      </c>
      <c r="L14" s="374">
        <v>6.4</v>
      </c>
      <c r="M14" s="374">
        <v>2.2999999999999998</v>
      </c>
      <c r="N14" s="372">
        <v>6.7</v>
      </c>
      <c r="O14" s="372">
        <v>6.9</v>
      </c>
      <c r="P14" s="372">
        <v>7</v>
      </c>
      <c r="Q14" s="372">
        <v>6.6</v>
      </c>
      <c r="R14" s="372">
        <v>6.6</v>
      </c>
      <c r="S14" s="372">
        <v>6.7</v>
      </c>
      <c r="T14" s="372">
        <v>6.9</v>
      </c>
      <c r="U14" s="372">
        <v>6.8</v>
      </c>
      <c r="V14" s="372">
        <v>6.7</v>
      </c>
      <c r="W14" s="372">
        <v>6.7</v>
      </c>
      <c r="X14" s="372">
        <v>6.7</v>
      </c>
      <c r="Y14" s="372">
        <v>6.6</v>
      </c>
      <c r="Z14" s="372">
        <v>6.7</v>
      </c>
      <c r="AA14" s="372">
        <v>6.7</v>
      </c>
      <c r="AB14" s="372">
        <v>6.9</v>
      </c>
      <c r="AC14" s="372">
        <v>6.6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20</v>
      </c>
    </row>
    <row r="15" spans="1:41">
      <c r="A15" s="66" t="s">
        <v>24</v>
      </c>
      <c r="B15" s="15"/>
      <c r="C15" s="15">
        <v>7.2</v>
      </c>
      <c r="D15" s="15"/>
      <c r="E15" s="15"/>
      <c r="F15" s="372">
        <v>6.9</v>
      </c>
      <c r="G15" s="372">
        <v>6.7</v>
      </c>
      <c r="H15" s="372">
        <v>6.5</v>
      </c>
      <c r="I15" s="372">
        <v>6.5</v>
      </c>
      <c r="J15" s="372">
        <v>6.6</v>
      </c>
      <c r="K15" s="374">
        <v>6.5</v>
      </c>
      <c r="L15" s="374">
        <v>6.4</v>
      </c>
      <c r="M15" s="374">
        <v>5.3</v>
      </c>
      <c r="N15" s="372">
        <v>6.7</v>
      </c>
      <c r="O15" s="372">
        <v>6.7</v>
      </c>
      <c r="P15" s="372">
        <v>6.8</v>
      </c>
      <c r="Q15" s="372">
        <v>6.6</v>
      </c>
      <c r="R15" s="372">
        <v>6.6</v>
      </c>
      <c r="S15" s="372">
        <v>6.7</v>
      </c>
      <c r="T15" s="372">
        <v>6.9</v>
      </c>
      <c r="U15" s="372">
        <v>6.8</v>
      </c>
      <c r="V15" s="372">
        <v>6.7</v>
      </c>
      <c r="W15" s="372">
        <v>6.7</v>
      </c>
      <c r="X15" s="372">
        <v>6.7</v>
      </c>
      <c r="Y15" s="372">
        <v>6.6</v>
      </c>
      <c r="Z15" s="372">
        <v>6.7</v>
      </c>
      <c r="AA15" s="372">
        <v>6.7</v>
      </c>
      <c r="AB15" s="372">
        <v>6.9</v>
      </c>
      <c r="AC15" s="372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372">
        <v>6.9</v>
      </c>
      <c r="G16" s="372">
        <v>6.7</v>
      </c>
      <c r="H16" s="372">
        <v>6.5</v>
      </c>
      <c r="I16" s="372">
        <v>6.5</v>
      </c>
      <c r="J16" s="372">
        <v>6.6</v>
      </c>
      <c r="K16" s="374">
        <v>6.5</v>
      </c>
      <c r="L16" s="374">
        <v>6.4</v>
      </c>
      <c r="M16" s="374">
        <v>5.3</v>
      </c>
      <c r="N16" s="372">
        <v>6.8</v>
      </c>
      <c r="O16" s="372">
        <v>6.7</v>
      </c>
      <c r="P16" s="372">
        <v>6.9</v>
      </c>
      <c r="Q16" s="372">
        <v>6.7</v>
      </c>
      <c r="R16" s="372">
        <v>6.7</v>
      </c>
      <c r="S16" s="372">
        <v>6.7</v>
      </c>
      <c r="T16" s="372">
        <v>6.9</v>
      </c>
      <c r="U16" s="372">
        <v>6.8</v>
      </c>
      <c r="V16" s="372">
        <v>6.7</v>
      </c>
      <c r="W16" s="372">
        <v>6.7</v>
      </c>
      <c r="X16" s="372">
        <v>6.7</v>
      </c>
      <c r="Y16" s="372">
        <v>6.6</v>
      </c>
      <c r="Z16" s="372">
        <v>6.7</v>
      </c>
      <c r="AA16" s="372">
        <v>6.7</v>
      </c>
      <c r="AB16" s="372"/>
      <c r="AC16" s="372"/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22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20.700000000000003</v>
      </c>
      <c r="G17" s="19">
        <f t="shared" si="0"/>
        <v>20.100000000000001</v>
      </c>
      <c r="H17" s="19">
        <f>SUM(H13:H16)</f>
        <v>19.5</v>
      </c>
      <c r="I17" s="19">
        <f t="shared" si="0"/>
        <v>19.5</v>
      </c>
      <c r="J17" s="19">
        <f t="shared" si="0"/>
        <v>19.799999999999997</v>
      </c>
      <c r="K17" s="19">
        <f t="shared" si="0"/>
        <v>19.600000000000001</v>
      </c>
      <c r="L17" s="19">
        <f t="shared" si="0"/>
        <v>19.200000000000003</v>
      </c>
      <c r="M17" s="19">
        <f t="shared" si="0"/>
        <v>19.2</v>
      </c>
      <c r="N17" s="19">
        <f t="shared" si="0"/>
        <v>20.2</v>
      </c>
      <c r="O17" s="19">
        <f t="shared" si="0"/>
        <v>20.3</v>
      </c>
      <c r="P17" s="19">
        <f t="shared" si="0"/>
        <v>20.700000000000003</v>
      </c>
      <c r="Q17" s="19">
        <f t="shared" si="0"/>
        <v>19.899999999999999</v>
      </c>
      <c r="R17" s="19">
        <f t="shared" si="0"/>
        <v>19.899999999999999</v>
      </c>
      <c r="S17" s="19">
        <f t="shared" si="0"/>
        <v>20.100000000000001</v>
      </c>
      <c r="T17" s="19">
        <f t="shared" si="0"/>
        <v>20.700000000000003</v>
      </c>
      <c r="U17" s="19">
        <f t="shared" si="0"/>
        <v>20.399999999999999</v>
      </c>
      <c r="V17" s="19">
        <f t="shared" si="0"/>
        <v>20.100000000000001</v>
      </c>
      <c r="W17" s="19">
        <f t="shared" si="0"/>
        <v>20.100000000000001</v>
      </c>
      <c r="X17" s="19">
        <f t="shared" si="0"/>
        <v>20.100000000000001</v>
      </c>
      <c r="Y17" s="19">
        <f t="shared" si="0"/>
        <v>19.799999999999997</v>
      </c>
      <c r="Z17" s="19">
        <f t="shared" si="0"/>
        <v>20.100000000000001</v>
      </c>
      <c r="AA17" s="19">
        <f t="shared" si="0"/>
        <v>20.100000000000001</v>
      </c>
      <c r="AB17" s="19">
        <f t="shared" si="0"/>
        <v>13.8</v>
      </c>
      <c r="AC17" s="19">
        <f t="shared" si="0"/>
        <v>13.2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88.59999999999998</v>
      </c>
    </row>
    <row r="19" spans="1:51">
      <c r="A19" s="14" t="s">
        <v>22</v>
      </c>
      <c r="B19" s="15"/>
      <c r="C19" s="15">
        <v>3</v>
      </c>
      <c r="D19" s="15"/>
      <c r="E19" s="15"/>
      <c r="F19" s="372">
        <v>0</v>
      </c>
      <c r="G19" s="372">
        <v>0</v>
      </c>
      <c r="H19" s="372">
        <v>0</v>
      </c>
      <c r="I19" s="372">
        <v>0</v>
      </c>
      <c r="J19" s="372"/>
      <c r="K19" s="374"/>
      <c r="L19" s="374"/>
      <c r="M19" s="374"/>
      <c r="N19" s="372"/>
      <c r="O19" s="372"/>
      <c r="P19" s="372"/>
      <c r="Q19" s="372">
        <v>2</v>
      </c>
      <c r="R19" s="372">
        <v>2</v>
      </c>
      <c r="S19" s="372">
        <v>2</v>
      </c>
      <c r="T19" s="372">
        <v>2.8</v>
      </c>
      <c r="U19" s="372">
        <v>2.8</v>
      </c>
      <c r="V19" s="372">
        <v>2.8</v>
      </c>
      <c r="W19" s="372">
        <v>2.8</v>
      </c>
      <c r="X19" s="372">
        <v>2.8</v>
      </c>
      <c r="Y19" s="372">
        <v>2.8</v>
      </c>
      <c r="Z19" s="372">
        <v>2.8</v>
      </c>
      <c r="AA19" s="372">
        <v>2.8</v>
      </c>
      <c r="AB19" s="372">
        <v>2.8</v>
      </c>
      <c r="AC19" s="372">
        <v>2.8</v>
      </c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17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372"/>
      <c r="G20" s="372"/>
      <c r="H20" s="372"/>
      <c r="I20" s="372"/>
      <c r="J20" s="372"/>
      <c r="K20" s="374"/>
      <c r="L20" s="374"/>
      <c r="M20" s="374"/>
      <c r="N20" s="372"/>
      <c r="O20" s="372"/>
      <c r="P20" s="372"/>
      <c r="Q20" s="372"/>
      <c r="R20" s="372"/>
      <c r="S20" s="372"/>
      <c r="T20" s="372"/>
      <c r="U20" s="372"/>
      <c r="V20" s="372"/>
      <c r="W20" s="372"/>
      <c r="X20" s="372"/>
      <c r="Y20" s="372"/>
      <c r="Z20" s="372"/>
      <c r="AA20" s="372"/>
      <c r="AB20" s="372"/>
      <c r="AC20" s="372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2">
        <v>0</v>
      </c>
      <c r="G21" s="372">
        <v>0</v>
      </c>
      <c r="H21" s="372">
        <v>0</v>
      </c>
      <c r="I21" s="372">
        <v>0</v>
      </c>
      <c r="J21" s="372"/>
      <c r="K21" s="374"/>
      <c r="L21" s="374"/>
      <c r="M21" s="374"/>
      <c r="N21" s="372"/>
      <c r="O21" s="372">
        <v>2.5</v>
      </c>
      <c r="P21" s="372">
        <v>3.8</v>
      </c>
      <c r="Q21" s="372">
        <v>3.8</v>
      </c>
      <c r="R21" s="372">
        <v>3.8</v>
      </c>
      <c r="S21" s="372">
        <v>3.5</v>
      </c>
      <c r="T21" s="372">
        <v>3.8</v>
      </c>
      <c r="U21" s="372">
        <v>3.8</v>
      </c>
      <c r="V21" s="372">
        <v>3.8</v>
      </c>
      <c r="W21" s="372">
        <v>3.8</v>
      </c>
      <c r="X21" s="372">
        <v>3.8</v>
      </c>
      <c r="Y21" s="372">
        <v>3.8</v>
      </c>
      <c r="Z21" s="372">
        <v>3.8</v>
      </c>
      <c r="AA21" s="372">
        <v>3.8</v>
      </c>
      <c r="AB21" s="372">
        <v>3.8</v>
      </c>
      <c r="AC21" s="372">
        <v>3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19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0</v>
      </c>
      <c r="O22" s="19">
        <f t="shared" si="1"/>
        <v>2.5</v>
      </c>
      <c r="P22" s="19">
        <f t="shared" si="1"/>
        <v>3.8</v>
      </c>
      <c r="Q22" s="19">
        <f t="shared" si="1"/>
        <v>5.8</v>
      </c>
      <c r="R22" s="19">
        <f t="shared" si="1"/>
        <v>5.8</v>
      </c>
      <c r="S22" s="19">
        <f>SUM(S19:S21)</f>
        <v>5.5</v>
      </c>
      <c r="T22" s="19">
        <f t="shared" ref="T22" si="2">SUM(T19:T21)</f>
        <v>6.6</v>
      </c>
      <c r="U22" s="19">
        <f t="shared" si="1"/>
        <v>6.6</v>
      </c>
      <c r="V22" s="19">
        <f t="shared" si="1"/>
        <v>6.6</v>
      </c>
      <c r="W22" s="19">
        <f t="shared" si="1"/>
        <v>6.6</v>
      </c>
      <c r="X22" s="19">
        <f t="shared" si="1"/>
        <v>6.6</v>
      </c>
      <c r="Y22" s="19">
        <f t="shared" si="1"/>
        <v>6.6</v>
      </c>
      <c r="Z22" s="19">
        <f t="shared" si="1"/>
        <v>6.6</v>
      </c>
      <c r="AA22" s="19">
        <f t="shared" si="1"/>
        <v>6.6</v>
      </c>
      <c r="AB22" s="19">
        <f>SUM(AB19:AB21)</f>
        <v>6.6</v>
      </c>
      <c r="AC22" s="19">
        <f t="shared" si="1"/>
        <v>5.8</v>
      </c>
      <c r="AD22" s="41"/>
      <c r="AE22" s="41"/>
      <c r="AF22" s="11"/>
      <c r="AG22" s="11"/>
      <c r="AH22" s="11"/>
      <c r="AI22" s="400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409">
        <f>SUM(F24:AC24)</f>
        <v>53.199999999999989</v>
      </c>
    </row>
    <row r="24" spans="1:51">
      <c r="A24" s="14" t="s">
        <v>22</v>
      </c>
      <c r="B24" s="20"/>
      <c r="C24" s="15">
        <v>4.5</v>
      </c>
      <c r="D24" s="15"/>
      <c r="E24" s="15"/>
      <c r="F24" s="372">
        <v>0</v>
      </c>
      <c r="G24" s="372">
        <v>0</v>
      </c>
      <c r="H24" s="372">
        <v>0</v>
      </c>
      <c r="I24" s="372">
        <v>0</v>
      </c>
      <c r="J24" s="372"/>
      <c r="K24" s="374"/>
      <c r="L24" s="374"/>
      <c r="M24" s="374"/>
      <c r="N24" s="372"/>
      <c r="O24" s="372"/>
      <c r="P24" s="372">
        <v>3.8</v>
      </c>
      <c r="Q24" s="372">
        <v>3.8</v>
      </c>
      <c r="R24" s="372">
        <v>3.8</v>
      </c>
      <c r="S24" s="372">
        <v>3.8</v>
      </c>
      <c r="T24" s="372">
        <v>3.8</v>
      </c>
      <c r="U24" s="372">
        <v>3.8</v>
      </c>
      <c r="V24" s="372">
        <v>3.8</v>
      </c>
      <c r="W24" s="372">
        <v>3.8</v>
      </c>
      <c r="X24" s="372">
        <v>3.8</v>
      </c>
      <c r="Y24" s="372">
        <v>3.8</v>
      </c>
      <c r="Z24" s="372">
        <v>3.8</v>
      </c>
      <c r="AA24" s="372">
        <v>3.8</v>
      </c>
      <c r="AB24" s="372">
        <v>3.8</v>
      </c>
      <c r="AC24" s="372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18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:AC25" si="3">SUM(F24)</f>
        <v>0</v>
      </c>
      <c r="G25" s="19">
        <f t="shared" si="3"/>
        <v>0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0</v>
      </c>
      <c r="M25" s="19">
        <f t="shared" si="3"/>
        <v>0</v>
      </c>
      <c r="N25" s="19">
        <f t="shared" si="3"/>
        <v>0</v>
      </c>
      <c r="O25" s="19">
        <f t="shared" si="3"/>
        <v>0</v>
      </c>
      <c r="P25" s="19">
        <f t="shared" si="3"/>
        <v>3.8</v>
      </c>
      <c r="Q25" s="19">
        <f t="shared" si="3"/>
        <v>3.8</v>
      </c>
      <c r="R25" s="19">
        <f t="shared" si="3"/>
        <v>3.8</v>
      </c>
      <c r="S25" s="19">
        <f t="shared" si="3"/>
        <v>3.8</v>
      </c>
      <c r="T25" s="19">
        <f t="shared" si="3"/>
        <v>3.8</v>
      </c>
      <c r="U25" s="19">
        <f t="shared" si="3"/>
        <v>3.8</v>
      </c>
      <c r="V25" s="19">
        <f t="shared" si="3"/>
        <v>3.8</v>
      </c>
      <c r="W25" s="19">
        <f t="shared" si="3"/>
        <v>3.8</v>
      </c>
      <c r="X25" s="19">
        <f t="shared" si="3"/>
        <v>3.8</v>
      </c>
      <c r="Y25" s="19">
        <f t="shared" si="3"/>
        <v>3.8</v>
      </c>
      <c r="Z25" s="19">
        <f t="shared" si="3"/>
        <v>3.8</v>
      </c>
      <c r="AA25" s="19">
        <f t="shared" si="3"/>
        <v>3.8</v>
      </c>
      <c r="AB25" s="19">
        <f t="shared" si="3"/>
        <v>3.8</v>
      </c>
      <c r="AC25" s="19">
        <f t="shared" si="3"/>
        <v>3.8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183.2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2">
        <v>4.4000000000000004</v>
      </c>
      <c r="G27" s="372">
        <v>4</v>
      </c>
      <c r="H27" s="372">
        <v>3.5</v>
      </c>
      <c r="I27" s="372">
        <v>3</v>
      </c>
      <c r="J27" s="372">
        <v>3</v>
      </c>
      <c r="K27" s="374">
        <v>3</v>
      </c>
      <c r="L27" s="372">
        <v>3.1</v>
      </c>
      <c r="M27" s="374">
        <v>3.4</v>
      </c>
      <c r="N27" s="372">
        <v>3.5</v>
      </c>
      <c r="O27" s="372">
        <v>4</v>
      </c>
      <c r="P27" s="372">
        <v>4</v>
      </c>
      <c r="Q27" s="372">
        <v>4</v>
      </c>
      <c r="R27" s="372">
        <v>4</v>
      </c>
      <c r="S27" s="372">
        <v>4</v>
      </c>
      <c r="T27" s="372">
        <v>4</v>
      </c>
      <c r="U27" s="372">
        <v>4</v>
      </c>
      <c r="V27" s="372">
        <v>4</v>
      </c>
      <c r="W27" s="374">
        <v>4</v>
      </c>
      <c r="X27" s="372">
        <v>4.2</v>
      </c>
      <c r="Y27" s="372">
        <v>4</v>
      </c>
      <c r="Z27" s="372">
        <v>4</v>
      </c>
      <c r="AA27" s="372">
        <v>4</v>
      </c>
      <c r="AB27" s="372">
        <v>4.3</v>
      </c>
      <c r="AC27" s="372">
        <v>4.2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2">
        <v>4.4000000000000004</v>
      </c>
      <c r="G28" s="372">
        <v>4</v>
      </c>
      <c r="H28" s="372">
        <v>3.5</v>
      </c>
      <c r="I28" s="372">
        <v>3</v>
      </c>
      <c r="J28" s="372">
        <v>3</v>
      </c>
      <c r="K28" s="374">
        <v>3</v>
      </c>
      <c r="L28" s="372">
        <v>3.1</v>
      </c>
      <c r="M28" s="374">
        <v>3.4</v>
      </c>
      <c r="N28" s="372">
        <v>3.5</v>
      </c>
      <c r="O28" s="372">
        <v>4</v>
      </c>
      <c r="P28" s="372">
        <v>4</v>
      </c>
      <c r="Q28" s="372">
        <v>4</v>
      </c>
      <c r="R28" s="372">
        <v>4</v>
      </c>
      <c r="S28" s="372">
        <v>4</v>
      </c>
      <c r="T28" s="372">
        <v>4</v>
      </c>
      <c r="U28" s="372">
        <v>4</v>
      </c>
      <c r="V28" s="372">
        <v>4</v>
      </c>
      <c r="W28" s="374">
        <v>4</v>
      </c>
      <c r="X28" s="372">
        <v>4.2</v>
      </c>
      <c r="Y28" s="372">
        <v>4</v>
      </c>
      <c r="Z28" s="372">
        <v>4</v>
      </c>
      <c r="AA28" s="372">
        <v>4</v>
      </c>
      <c r="AB28" s="372">
        <v>4.3</v>
      </c>
      <c r="AC28" s="372">
        <v>4.2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23.87</v>
      </c>
    </row>
    <row r="29" spans="1:51" ht="15" customHeight="1">
      <c r="A29" s="14" t="s">
        <v>30</v>
      </c>
      <c r="B29" s="369"/>
      <c r="C29" s="370">
        <v>8.8000000000000007</v>
      </c>
      <c r="D29" s="371"/>
      <c r="E29" s="371"/>
      <c r="F29" s="372"/>
      <c r="G29" s="372"/>
      <c r="H29" s="372"/>
      <c r="I29" s="372"/>
      <c r="J29" s="372"/>
      <c r="K29" s="374"/>
      <c r="L29" s="374"/>
      <c r="M29" s="374"/>
      <c r="N29" s="372"/>
      <c r="O29" s="372"/>
      <c r="P29" s="372"/>
      <c r="Q29" s="372"/>
      <c r="R29" s="372"/>
      <c r="S29" s="372"/>
      <c r="T29" s="372"/>
      <c r="U29" s="372"/>
      <c r="V29" s="372"/>
      <c r="W29" s="372"/>
      <c r="X29" s="372"/>
      <c r="Y29" s="372">
        <v>3.3</v>
      </c>
      <c r="Z29" s="372">
        <v>3.3</v>
      </c>
      <c r="AA29" s="372">
        <v>5.19</v>
      </c>
      <c r="AB29" s="372">
        <v>7.1</v>
      </c>
      <c r="AC29" s="372">
        <v>4.9800000000000004</v>
      </c>
    </row>
    <row r="30" spans="1:51" ht="15" customHeight="1">
      <c r="A30" s="14" t="s">
        <v>31</v>
      </c>
      <c r="B30" s="369"/>
      <c r="C30" s="370">
        <v>8.8000000000000007</v>
      </c>
      <c r="D30" s="371"/>
      <c r="E30" s="371"/>
      <c r="F30" s="372"/>
      <c r="G30" s="372"/>
      <c r="H30" s="372"/>
      <c r="I30" s="372"/>
      <c r="J30" s="372"/>
      <c r="K30" s="374"/>
      <c r="L30" s="374"/>
      <c r="M30" s="374"/>
      <c r="N30" s="372"/>
      <c r="O30" s="372"/>
      <c r="P30" s="372"/>
      <c r="Q30" s="372"/>
      <c r="R30" s="372"/>
      <c r="S30" s="372"/>
      <c r="T30" s="372"/>
      <c r="U30" s="372"/>
      <c r="V30" s="372"/>
      <c r="W30" s="372"/>
      <c r="X30" s="372"/>
      <c r="Y30" s="372"/>
      <c r="Z30" s="372"/>
      <c r="AA30" s="372"/>
      <c r="AB30" s="372"/>
      <c r="AC30" s="372"/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:AC31" si="4">SUM(F27:F29)</f>
        <v>8.8000000000000007</v>
      </c>
      <c r="G31" s="19">
        <f t="shared" si="4"/>
        <v>8</v>
      </c>
      <c r="H31" s="19">
        <f t="shared" si="4"/>
        <v>7</v>
      </c>
      <c r="I31" s="19">
        <f t="shared" si="4"/>
        <v>6</v>
      </c>
      <c r="J31" s="19">
        <f t="shared" si="4"/>
        <v>6</v>
      </c>
      <c r="K31" s="19">
        <f t="shared" si="4"/>
        <v>6</v>
      </c>
      <c r="L31" s="19">
        <f t="shared" si="4"/>
        <v>6.2</v>
      </c>
      <c r="M31" s="19">
        <f t="shared" si="4"/>
        <v>6.8</v>
      </c>
      <c r="N31" s="19">
        <f t="shared" si="4"/>
        <v>7</v>
      </c>
      <c r="O31" s="19">
        <f t="shared" si="4"/>
        <v>8</v>
      </c>
      <c r="P31" s="19">
        <f t="shared" si="4"/>
        <v>8</v>
      </c>
      <c r="Q31" s="19">
        <f t="shared" si="4"/>
        <v>8</v>
      </c>
      <c r="R31" s="19">
        <f t="shared" si="4"/>
        <v>8</v>
      </c>
      <c r="S31" s="19">
        <f t="shared" si="4"/>
        <v>8</v>
      </c>
      <c r="T31" s="19">
        <f>SUM(T27:T29)</f>
        <v>8</v>
      </c>
      <c r="U31" s="19">
        <f t="shared" si="4"/>
        <v>8</v>
      </c>
      <c r="V31" s="19">
        <f t="shared" si="4"/>
        <v>8</v>
      </c>
      <c r="W31" s="19">
        <f t="shared" si="4"/>
        <v>8</v>
      </c>
      <c r="X31" s="19">
        <f>SUM(X27:X30)</f>
        <v>8.4</v>
      </c>
      <c r="Y31" s="19">
        <f t="shared" si="4"/>
        <v>11.3</v>
      </c>
      <c r="Z31" s="19">
        <f t="shared" si="4"/>
        <v>11.3</v>
      </c>
      <c r="AA31" s="19">
        <f t="shared" si="4"/>
        <v>13.190000000000001</v>
      </c>
      <c r="AB31" s="19">
        <f t="shared" si="4"/>
        <v>15.7</v>
      </c>
      <c r="AC31" s="19">
        <f t="shared" si="4"/>
        <v>13.38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338.20000000000005</v>
      </c>
    </row>
    <row r="33" spans="1:36">
      <c r="A33" s="14" t="s">
        <v>22</v>
      </c>
      <c r="B33" s="15"/>
      <c r="C33" s="15">
        <v>15</v>
      </c>
      <c r="D33" s="15"/>
      <c r="E33" s="15"/>
      <c r="F33" s="372">
        <v>14.28</v>
      </c>
      <c r="G33" s="372">
        <v>14.33</v>
      </c>
      <c r="H33" s="372">
        <v>14.31</v>
      </c>
      <c r="I33" s="372">
        <v>13.82</v>
      </c>
      <c r="J33" s="372">
        <v>13.31</v>
      </c>
      <c r="K33" s="374">
        <v>13.31</v>
      </c>
      <c r="L33" s="374">
        <v>13.29</v>
      </c>
      <c r="M33" s="374">
        <v>13.32</v>
      </c>
      <c r="N33" s="372">
        <v>14.28</v>
      </c>
      <c r="O33" s="372">
        <v>14.18</v>
      </c>
      <c r="P33" s="372">
        <v>14.25</v>
      </c>
      <c r="Q33" s="372">
        <v>14.23</v>
      </c>
      <c r="R33" s="372">
        <v>14.3</v>
      </c>
      <c r="S33" s="372">
        <v>14.22</v>
      </c>
      <c r="T33" s="372">
        <v>14.25</v>
      </c>
      <c r="U33" s="372">
        <v>14.29</v>
      </c>
      <c r="V33" s="372">
        <v>14.28</v>
      </c>
      <c r="W33" s="374">
        <v>14.18</v>
      </c>
      <c r="X33" s="372">
        <v>14.29</v>
      </c>
      <c r="Y33" s="372">
        <v>14.3</v>
      </c>
      <c r="Z33" s="372">
        <v>14.27</v>
      </c>
      <c r="AA33" s="372">
        <v>14.29</v>
      </c>
      <c r="AB33" s="372">
        <v>14.3</v>
      </c>
      <c r="AC33" s="372">
        <v>14.32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:AC34" si="5">SUM(F33)</f>
        <v>14.28</v>
      </c>
      <c r="G34" s="19">
        <f t="shared" si="5"/>
        <v>14.33</v>
      </c>
      <c r="H34" s="19">
        <f t="shared" si="5"/>
        <v>14.31</v>
      </c>
      <c r="I34" s="19">
        <f t="shared" si="5"/>
        <v>13.82</v>
      </c>
      <c r="J34" s="19">
        <f>SUM(J33)</f>
        <v>13.31</v>
      </c>
      <c r="K34" s="19">
        <f t="shared" si="5"/>
        <v>13.31</v>
      </c>
      <c r="L34" s="19">
        <f t="shared" si="5"/>
        <v>13.29</v>
      </c>
      <c r="M34" s="19">
        <f t="shared" si="5"/>
        <v>13.32</v>
      </c>
      <c r="N34" s="19">
        <f t="shared" si="5"/>
        <v>14.28</v>
      </c>
      <c r="O34" s="19">
        <f t="shared" si="5"/>
        <v>14.18</v>
      </c>
      <c r="P34" s="19">
        <f t="shared" si="5"/>
        <v>14.25</v>
      </c>
      <c r="Q34" s="19">
        <f t="shared" si="5"/>
        <v>14.23</v>
      </c>
      <c r="R34" s="19">
        <f t="shared" si="5"/>
        <v>14.3</v>
      </c>
      <c r="S34" s="19">
        <f t="shared" si="5"/>
        <v>14.22</v>
      </c>
      <c r="T34" s="19">
        <f t="shared" si="5"/>
        <v>14.25</v>
      </c>
      <c r="U34" s="19">
        <f t="shared" si="5"/>
        <v>14.29</v>
      </c>
      <c r="V34" s="19">
        <f t="shared" si="5"/>
        <v>14.28</v>
      </c>
      <c r="W34" s="19">
        <f t="shared" si="5"/>
        <v>14.18</v>
      </c>
      <c r="X34" s="19">
        <f t="shared" si="5"/>
        <v>14.29</v>
      </c>
      <c r="Y34" s="19">
        <f t="shared" si="5"/>
        <v>14.3</v>
      </c>
      <c r="Z34" s="19">
        <f t="shared" si="5"/>
        <v>14.27</v>
      </c>
      <c r="AA34" s="19">
        <f t="shared" si="5"/>
        <v>14.29</v>
      </c>
      <c r="AB34" s="19">
        <f t="shared" si="5"/>
        <v>14.3</v>
      </c>
      <c r="AC34" s="19">
        <f t="shared" si="5"/>
        <v>14.32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55"/>
      <c r="G35" s="455"/>
      <c r="H35" s="455"/>
      <c r="I35" s="455"/>
      <c r="J35" s="455"/>
      <c r="K35" s="455"/>
      <c r="L35" s="455"/>
      <c r="M35" s="455"/>
      <c r="N35" s="455"/>
      <c r="O35" s="455"/>
      <c r="P35" s="455"/>
      <c r="Q35" s="455"/>
      <c r="R35" s="455"/>
      <c r="S35" s="455"/>
      <c r="T35" s="455"/>
      <c r="U35" s="455"/>
      <c r="V35" s="455"/>
      <c r="W35" s="456"/>
      <c r="X35" s="455"/>
      <c r="Y35" s="455"/>
      <c r="Z35" s="455"/>
      <c r="AA35" s="455"/>
      <c r="AB35" s="455"/>
      <c r="AC35" s="455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35</v>
      </c>
    </row>
    <row r="36" spans="1:36">
      <c r="A36" s="70" t="s">
        <v>36</v>
      </c>
      <c r="B36" s="15"/>
      <c r="C36" s="15"/>
      <c r="D36" s="15"/>
      <c r="E36" s="15"/>
      <c r="F36" s="372"/>
      <c r="G36" s="372"/>
      <c r="H36" s="372"/>
      <c r="I36" s="372"/>
      <c r="J36" s="372"/>
      <c r="K36" s="374"/>
      <c r="L36" s="374"/>
      <c r="M36" s="374"/>
      <c r="N36" s="372"/>
      <c r="O36" s="372"/>
      <c r="P36" s="372"/>
      <c r="Q36" s="372"/>
      <c r="R36" s="372"/>
      <c r="S36" s="372"/>
      <c r="T36" s="372"/>
      <c r="U36" s="372"/>
      <c r="V36" s="372"/>
      <c r="W36" s="372"/>
      <c r="X36" s="372"/>
      <c r="Y36" s="372"/>
      <c r="Z36" s="372"/>
      <c r="AA36" s="372"/>
      <c r="AB36" s="372"/>
      <c r="AC36" s="372"/>
      <c r="AD36" s="41"/>
      <c r="AE36" s="41"/>
      <c r="AF36" s="11">
        <f t="shared" ref="AF36:AF59" si="6">COUNTIF(F36:AC36,$AJ$8)</f>
        <v>0</v>
      </c>
      <c r="AG36" s="11">
        <f t="shared" ref="AG36:AG59" si="7">COUNTIF(G36:AD36,$AJ$7)</f>
        <v>0</v>
      </c>
      <c r="AH36" s="11">
        <f t="shared" ref="AH36:AH59" si="8">COUNT(F36:AC36)</f>
        <v>0</v>
      </c>
      <c r="AI36" s="159">
        <f>SUM(F36:AC38,F40:AC40,F45:AC59)</f>
        <v>13.300000000000002</v>
      </c>
      <c r="AJ36" t="s">
        <v>37</v>
      </c>
    </row>
    <row r="37" spans="1:36">
      <c r="A37" s="70" t="s">
        <v>38</v>
      </c>
      <c r="B37" s="15"/>
      <c r="C37" s="15"/>
      <c r="D37" s="15"/>
      <c r="E37" s="15"/>
      <c r="F37" s="372"/>
      <c r="G37" s="372"/>
      <c r="H37" s="372"/>
      <c r="I37" s="372"/>
      <c r="J37" s="372"/>
      <c r="K37" s="374"/>
      <c r="L37" s="374"/>
      <c r="M37" s="374"/>
      <c r="N37" s="372"/>
      <c r="O37" s="372"/>
      <c r="P37" s="372"/>
      <c r="Q37" s="372"/>
      <c r="R37" s="372"/>
      <c r="S37" s="372"/>
      <c r="T37" s="372"/>
      <c r="U37" s="372"/>
      <c r="V37" s="372"/>
      <c r="W37" s="372"/>
      <c r="X37" s="372"/>
      <c r="Y37" s="372"/>
      <c r="Z37" s="372"/>
      <c r="AA37" s="372"/>
      <c r="AB37" s="372"/>
      <c r="AC37" s="372"/>
      <c r="AD37" s="41"/>
      <c r="AE37" s="41"/>
      <c r="AF37" s="11">
        <f t="shared" si="6"/>
        <v>0</v>
      </c>
      <c r="AG37" s="11">
        <f t="shared" si="7"/>
        <v>0</v>
      </c>
      <c r="AH37" s="11">
        <f t="shared" si="8"/>
        <v>0</v>
      </c>
    </row>
    <row r="38" spans="1:36">
      <c r="A38" s="70" t="s">
        <v>39</v>
      </c>
      <c r="B38" s="15"/>
      <c r="C38" s="15"/>
      <c r="D38" s="15"/>
      <c r="E38" s="15"/>
      <c r="F38" s="372"/>
      <c r="G38" s="372"/>
      <c r="H38" s="372"/>
      <c r="I38" s="372"/>
      <c r="J38" s="372"/>
      <c r="K38" s="374"/>
      <c r="L38" s="374"/>
      <c r="M38" s="374"/>
      <c r="N38" s="372"/>
      <c r="O38" s="372"/>
      <c r="P38" s="372"/>
      <c r="Q38" s="372"/>
      <c r="R38" s="372"/>
      <c r="S38" s="372"/>
      <c r="T38" s="372"/>
      <c r="U38" s="372"/>
      <c r="V38" s="372"/>
      <c r="W38" s="372"/>
      <c r="X38" s="372"/>
      <c r="Y38" s="372"/>
      <c r="Z38" s="372"/>
      <c r="AA38" s="372"/>
      <c r="AB38" s="372"/>
      <c r="AC38" s="372"/>
      <c r="AD38" s="41"/>
      <c r="AE38" s="41"/>
      <c r="AF38" s="11">
        <f t="shared" si="6"/>
        <v>0</v>
      </c>
      <c r="AG38" s="11">
        <f t="shared" si="7"/>
        <v>0</v>
      </c>
      <c r="AH38" s="11">
        <f t="shared" si="8"/>
        <v>0</v>
      </c>
    </row>
    <row r="39" spans="1:36">
      <c r="A39" s="70">
        <v>34</v>
      </c>
      <c r="B39" s="15"/>
      <c r="C39" s="15"/>
      <c r="D39" s="15"/>
      <c r="E39" s="15"/>
      <c r="F39" s="372" t="s">
        <v>9</v>
      </c>
      <c r="G39" s="372" t="s">
        <v>9</v>
      </c>
      <c r="H39" s="372" t="s">
        <v>9</v>
      </c>
      <c r="I39" s="372" t="s">
        <v>9</v>
      </c>
      <c r="J39" s="372" t="s">
        <v>9</v>
      </c>
      <c r="K39" s="374" t="s">
        <v>9</v>
      </c>
      <c r="L39" s="374" t="s">
        <v>9</v>
      </c>
      <c r="M39" s="374" t="s">
        <v>9</v>
      </c>
      <c r="N39" s="372" t="s">
        <v>9</v>
      </c>
      <c r="O39" s="372" t="s">
        <v>9</v>
      </c>
      <c r="P39" s="372" t="s">
        <v>9</v>
      </c>
      <c r="Q39" s="372" t="s">
        <v>9</v>
      </c>
      <c r="R39" s="372" t="s">
        <v>9</v>
      </c>
      <c r="S39" s="372" t="s">
        <v>9</v>
      </c>
      <c r="T39" s="372" t="s">
        <v>9</v>
      </c>
      <c r="U39" s="372" t="s">
        <v>9</v>
      </c>
      <c r="V39" s="372" t="s">
        <v>9</v>
      </c>
      <c r="W39" s="372" t="s">
        <v>9</v>
      </c>
      <c r="X39" s="372" t="s">
        <v>9</v>
      </c>
      <c r="Y39" s="372" t="s">
        <v>9</v>
      </c>
      <c r="Z39" s="372" t="s">
        <v>9</v>
      </c>
      <c r="AA39" s="372" t="s">
        <v>9</v>
      </c>
      <c r="AB39" s="372" t="s">
        <v>9</v>
      </c>
      <c r="AC39" s="372" t="s">
        <v>9</v>
      </c>
      <c r="AD39" s="41"/>
      <c r="AE39" s="41"/>
      <c r="AF39" s="11">
        <f t="shared" si="6"/>
        <v>24</v>
      </c>
      <c r="AG39" s="11">
        <f t="shared" si="7"/>
        <v>0</v>
      </c>
      <c r="AH39" s="11">
        <f t="shared" si="8"/>
        <v>0</v>
      </c>
    </row>
    <row r="40" spans="1:36">
      <c r="A40" s="70">
        <v>35</v>
      </c>
      <c r="B40" s="15"/>
      <c r="C40" s="15">
        <v>0.85</v>
      </c>
      <c r="D40" s="15"/>
      <c r="E40" s="15"/>
      <c r="F40" s="372"/>
      <c r="G40" s="372"/>
      <c r="H40" s="372"/>
      <c r="I40" s="372"/>
      <c r="J40" s="372"/>
      <c r="K40" s="374"/>
      <c r="L40" s="374"/>
      <c r="M40" s="374"/>
      <c r="N40" s="372"/>
      <c r="O40" s="372"/>
      <c r="P40" s="372"/>
      <c r="Q40" s="372"/>
      <c r="R40" s="372"/>
      <c r="S40" s="372"/>
      <c r="T40" s="372"/>
      <c r="U40" s="372"/>
      <c r="V40" s="372"/>
      <c r="W40" s="372"/>
      <c r="X40" s="372"/>
      <c r="Y40" s="372"/>
      <c r="Z40" s="372"/>
      <c r="AA40" s="372"/>
      <c r="AB40" s="372"/>
      <c r="AC40" s="372"/>
      <c r="AD40" s="41"/>
      <c r="AE40" s="41"/>
      <c r="AF40" s="11">
        <f t="shared" si="6"/>
        <v>0</v>
      </c>
      <c r="AG40" s="11">
        <f t="shared" si="7"/>
        <v>0</v>
      </c>
      <c r="AH40" s="11">
        <f t="shared" si="8"/>
        <v>0</v>
      </c>
    </row>
    <row r="41" spans="1:36">
      <c r="A41" s="70">
        <v>36</v>
      </c>
      <c r="B41" s="15"/>
      <c r="C41" s="15">
        <v>1</v>
      </c>
      <c r="D41" s="15"/>
      <c r="E41" s="15"/>
      <c r="F41" s="372"/>
      <c r="G41" s="372"/>
      <c r="H41" s="372"/>
      <c r="I41" s="372"/>
      <c r="J41" s="372"/>
      <c r="K41" s="374"/>
      <c r="L41" s="374"/>
      <c r="M41" s="374"/>
      <c r="N41" s="372"/>
      <c r="O41" s="372"/>
      <c r="P41" s="372"/>
      <c r="Q41" s="372"/>
      <c r="R41" s="372"/>
      <c r="S41" s="372"/>
      <c r="T41" s="372"/>
      <c r="U41" s="372"/>
      <c r="V41" s="372"/>
      <c r="W41" s="372"/>
      <c r="X41" s="372"/>
      <c r="Y41" s="372"/>
      <c r="Z41" s="372"/>
      <c r="AA41" s="372"/>
      <c r="AB41" s="372"/>
      <c r="AC41" s="372"/>
      <c r="AD41" s="41"/>
      <c r="AE41" s="41"/>
      <c r="AF41" s="11">
        <f t="shared" si="6"/>
        <v>0</v>
      </c>
      <c r="AG41" s="11">
        <f t="shared" si="7"/>
        <v>0</v>
      </c>
      <c r="AH41" s="11">
        <f t="shared" si="8"/>
        <v>0</v>
      </c>
    </row>
    <row r="42" spans="1:36">
      <c r="A42" s="70">
        <v>37</v>
      </c>
      <c r="B42" s="15"/>
      <c r="C42" s="15">
        <v>1</v>
      </c>
      <c r="D42" s="15"/>
      <c r="E42" s="15"/>
      <c r="F42" s="372"/>
      <c r="G42" s="372"/>
      <c r="H42" s="372"/>
      <c r="I42" s="372"/>
      <c r="J42" s="372"/>
      <c r="K42" s="374"/>
      <c r="L42" s="374"/>
      <c r="M42" s="374"/>
      <c r="N42" s="372"/>
      <c r="O42" s="372"/>
      <c r="P42" s="372"/>
      <c r="Q42" s="372"/>
      <c r="R42" s="372"/>
      <c r="S42" s="372"/>
      <c r="T42" s="372"/>
      <c r="U42" s="372"/>
      <c r="V42" s="372"/>
      <c r="W42" s="372"/>
      <c r="X42" s="372"/>
      <c r="Y42" s="372"/>
      <c r="Z42" s="372"/>
      <c r="AA42" s="372"/>
      <c r="AB42" s="372"/>
      <c r="AC42" s="372"/>
      <c r="AD42" s="41"/>
      <c r="AE42" s="41"/>
      <c r="AF42" s="11">
        <f t="shared" si="6"/>
        <v>0</v>
      </c>
      <c r="AG42" s="11">
        <f t="shared" si="7"/>
        <v>0</v>
      </c>
      <c r="AH42" s="11">
        <f t="shared" si="8"/>
        <v>0</v>
      </c>
    </row>
    <row r="43" spans="1:36">
      <c r="A43" s="70">
        <v>38</v>
      </c>
      <c r="B43" s="15"/>
      <c r="C43" s="15"/>
      <c r="D43" s="15"/>
      <c r="E43" s="15"/>
      <c r="F43" s="372" t="s">
        <v>9</v>
      </c>
      <c r="G43" s="372" t="s">
        <v>9</v>
      </c>
      <c r="H43" s="372" t="s">
        <v>9</v>
      </c>
      <c r="I43" s="372" t="s">
        <v>9</v>
      </c>
      <c r="J43" s="372" t="s">
        <v>9</v>
      </c>
      <c r="K43" s="374" t="s">
        <v>9</v>
      </c>
      <c r="L43" s="374" t="s">
        <v>9</v>
      </c>
      <c r="M43" s="374" t="s">
        <v>9</v>
      </c>
      <c r="N43" s="372" t="s">
        <v>9</v>
      </c>
      <c r="O43" s="372" t="s">
        <v>9</v>
      </c>
      <c r="P43" s="372" t="s">
        <v>9</v>
      </c>
      <c r="Q43" s="372" t="s">
        <v>9</v>
      </c>
      <c r="R43" s="372" t="s">
        <v>9</v>
      </c>
      <c r="S43" s="372" t="s">
        <v>9</v>
      </c>
      <c r="T43" s="372" t="s">
        <v>9</v>
      </c>
      <c r="U43" s="372" t="s">
        <v>9</v>
      </c>
      <c r="V43" s="372" t="s">
        <v>9</v>
      </c>
      <c r="W43" s="372" t="s">
        <v>9</v>
      </c>
      <c r="X43" s="372" t="s">
        <v>9</v>
      </c>
      <c r="Y43" s="372" t="s">
        <v>9</v>
      </c>
      <c r="Z43" s="372" t="s">
        <v>9</v>
      </c>
      <c r="AA43" s="372" t="s">
        <v>9</v>
      </c>
      <c r="AB43" s="372" t="s">
        <v>9</v>
      </c>
      <c r="AC43" s="372" t="s">
        <v>9</v>
      </c>
      <c r="AD43" s="41"/>
      <c r="AE43" s="41"/>
      <c r="AF43" s="11">
        <f t="shared" si="6"/>
        <v>24</v>
      </c>
      <c r="AG43" s="11">
        <f t="shared" si="7"/>
        <v>0</v>
      </c>
      <c r="AH43" s="11">
        <f t="shared" si="8"/>
        <v>0</v>
      </c>
    </row>
    <row r="44" spans="1:36" ht="16.5" customHeight="1">
      <c r="A44" s="70">
        <v>39</v>
      </c>
      <c r="B44" s="15"/>
      <c r="C44" s="15">
        <v>1</v>
      </c>
      <c r="D44" s="15"/>
      <c r="E44" s="15"/>
      <c r="F44" s="372" t="s">
        <v>9</v>
      </c>
      <c r="G44" s="372" t="s">
        <v>9</v>
      </c>
      <c r="H44" s="372" t="s">
        <v>9</v>
      </c>
      <c r="I44" s="372" t="s">
        <v>9</v>
      </c>
      <c r="J44" s="372" t="s">
        <v>9</v>
      </c>
      <c r="K44" s="374" t="s">
        <v>9</v>
      </c>
      <c r="L44" s="374" t="s">
        <v>9</v>
      </c>
      <c r="M44" s="374" t="s">
        <v>9</v>
      </c>
      <c r="N44" s="372" t="s">
        <v>9</v>
      </c>
      <c r="O44" s="372" t="s">
        <v>9</v>
      </c>
      <c r="P44" s="372" t="s">
        <v>9</v>
      </c>
      <c r="Q44" s="372" t="s">
        <v>9</v>
      </c>
      <c r="R44" s="372" t="s">
        <v>9</v>
      </c>
      <c r="S44" s="372" t="s">
        <v>9</v>
      </c>
      <c r="T44" s="372" t="s">
        <v>9</v>
      </c>
      <c r="U44" s="372" t="s">
        <v>9</v>
      </c>
      <c r="V44" s="372" t="s">
        <v>9</v>
      </c>
      <c r="W44" s="372" t="s">
        <v>9</v>
      </c>
      <c r="X44" s="372" t="s">
        <v>9</v>
      </c>
      <c r="Y44" s="372" t="s">
        <v>9</v>
      </c>
      <c r="Z44" s="372" t="s">
        <v>9</v>
      </c>
      <c r="AA44" s="372" t="s">
        <v>9</v>
      </c>
      <c r="AB44" s="372" t="s">
        <v>9</v>
      </c>
      <c r="AC44" s="372" t="s">
        <v>9</v>
      </c>
      <c r="AD44" s="41"/>
      <c r="AE44" s="41"/>
      <c r="AF44" s="11">
        <f t="shared" si="6"/>
        <v>24</v>
      </c>
      <c r="AG44" s="11">
        <f t="shared" si="7"/>
        <v>0</v>
      </c>
      <c r="AH44" s="11">
        <f t="shared" si="8"/>
        <v>0</v>
      </c>
    </row>
    <row r="45" spans="1:36" ht="16.5" customHeight="1">
      <c r="A45" s="70" t="s">
        <v>40</v>
      </c>
      <c r="B45" s="15"/>
      <c r="C45" s="15">
        <v>0.85</v>
      </c>
      <c r="D45" s="15"/>
      <c r="E45" s="15"/>
      <c r="F45" s="372"/>
      <c r="G45" s="372"/>
      <c r="H45" s="372"/>
      <c r="I45" s="372"/>
      <c r="J45" s="372"/>
      <c r="K45" s="374"/>
      <c r="L45" s="374"/>
      <c r="M45" s="374"/>
      <c r="N45" s="372"/>
      <c r="O45" s="372"/>
      <c r="P45" s="372"/>
      <c r="Q45" s="372"/>
      <c r="R45" s="372"/>
      <c r="S45" s="372"/>
      <c r="T45" s="372"/>
      <c r="U45" s="372"/>
      <c r="V45" s="372"/>
      <c r="W45" s="372"/>
      <c r="X45" s="372"/>
      <c r="Y45" s="372"/>
      <c r="Z45" s="372"/>
      <c r="AA45" s="372"/>
      <c r="AB45" s="372"/>
      <c r="AC45" s="372"/>
      <c r="AD45" s="41"/>
      <c r="AE45" s="41"/>
      <c r="AF45" s="11">
        <f t="shared" si="6"/>
        <v>0</v>
      </c>
      <c r="AG45" s="11">
        <f t="shared" si="7"/>
        <v>0</v>
      </c>
      <c r="AH45" s="11">
        <f t="shared" si="8"/>
        <v>0</v>
      </c>
      <c r="AI45" s="159"/>
    </row>
    <row r="46" spans="1:36">
      <c r="A46" s="70" t="s">
        <v>41</v>
      </c>
      <c r="B46" s="15"/>
      <c r="C46" s="15">
        <v>0.75</v>
      </c>
      <c r="D46" s="15"/>
      <c r="E46" s="15"/>
      <c r="F46" s="372"/>
      <c r="G46" s="372"/>
      <c r="H46" s="372"/>
      <c r="I46" s="372"/>
      <c r="J46" s="372"/>
      <c r="K46" s="374"/>
      <c r="L46" s="374"/>
      <c r="M46" s="374"/>
      <c r="N46" s="372"/>
      <c r="O46" s="372"/>
      <c r="P46" s="372"/>
      <c r="Q46" s="372"/>
      <c r="R46" s="372"/>
      <c r="S46" s="372"/>
      <c r="T46" s="372"/>
      <c r="U46" s="372"/>
      <c r="V46" s="372"/>
      <c r="W46" s="372"/>
      <c r="X46" s="372"/>
      <c r="Y46" s="372"/>
      <c r="Z46" s="372"/>
      <c r="AA46" s="372"/>
      <c r="AB46" s="372"/>
      <c r="AC46" s="372"/>
      <c r="AD46" s="41"/>
      <c r="AE46" s="41"/>
      <c r="AF46" s="11">
        <f t="shared" si="6"/>
        <v>0</v>
      </c>
      <c r="AG46" s="11">
        <f t="shared" si="7"/>
        <v>0</v>
      </c>
      <c r="AH46" s="11">
        <f t="shared" si="8"/>
        <v>0</v>
      </c>
      <c r="AI46" s="159"/>
    </row>
    <row r="47" spans="1:36">
      <c r="A47" s="70" t="s">
        <v>42</v>
      </c>
      <c r="B47" s="15"/>
      <c r="C47" s="15">
        <v>0.75</v>
      </c>
      <c r="D47" s="15"/>
      <c r="E47" s="15"/>
      <c r="F47" s="372">
        <f>1.5/2</f>
        <v>0.75</v>
      </c>
      <c r="G47" s="372">
        <v>0</v>
      </c>
      <c r="H47" s="372">
        <v>0</v>
      </c>
      <c r="I47" s="372">
        <v>0</v>
      </c>
      <c r="J47" s="372">
        <v>0</v>
      </c>
      <c r="K47" s="374">
        <v>0</v>
      </c>
      <c r="L47" s="374">
        <v>0</v>
      </c>
      <c r="M47" s="374">
        <v>0</v>
      </c>
      <c r="N47" s="372">
        <v>0</v>
      </c>
      <c r="O47" s="372">
        <v>0.75</v>
      </c>
      <c r="P47" s="372">
        <v>0</v>
      </c>
      <c r="Q47" s="372"/>
      <c r="R47" s="372"/>
      <c r="S47" s="372"/>
      <c r="T47" s="372"/>
      <c r="U47" s="372"/>
      <c r="V47" s="372"/>
      <c r="W47" s="372"/>
      <c r="X47" s="372"/>
      <c r="Y47" s="372">
        <v>0.8</v>
      </c>
      <c r="Z47" s="372"/>
      <c r="AA47" s="372"/>
      <c r="AB47" s="372"/>
      <c r="AC47" s="372"/>
      <c r="AD47" s="41"/>
      <c r="AE47" s="41"/>
      <c r="AF47" s="11">
        <f t="shared" si="6"/>
        <v>0</v>
      </c>
      <c r="AG47" s="11">
        <f t="shared" si="7"/>
        <v>0</v>
      </c>
      <c r="AH47" s="11">
        <f t="shared" si="8"/>
        <v>12</v>
      </c>
    </row>
    <row r="48" spans="1:36">
      <c r="A48" s="70" t="s">
        <v>43</v>
      </c>
      <c r="B48" s="15"/>
      <c r="C48" s="15">
        <v>0.75</v>
      </c>
      <c r="D48" s="15"/>
      <c r="E48" s="15"/>
      <c r="F48" s="372"/>
      <c r="G48" s="372"/>
      <c r="H48" s="372"/>
      <c r="I48" s="372"/>
      <c r="J48" s="372"/>
      <c r="K48" s="374"/>
      <c r="L48" s="374"/>
      <c r="M48" s="374"/>
      <c r="N48" s="372"/>
      <c r="O48" s="372">
        <v>0.75</v>
      </c>
      <c r="P48" s="372">
        <v>0</v>
      </c>
      <c r="Q48" s="372">
        <v>0</v>
      </c>
      <c r="R48" s="372">
        <v>0</v>
      </c>
      <c r="S48" s="372">
        <v>0</v>
      </c>
      <c r="T48" s="372">
        <v>0</v>
      </c>
      <c r="U48" s="372">
        <v>0</v>
      </c>
      <c r="V48" s="372">
        <v>0</v>
      </c>
      <c r="W48" s="372">
        <v>0</v>
      </c>
      <c r="X48" s="372">
        <v>0</v>
      </c>
      <c r="Y48" s="372">
        <v>0</v>
      </c>
      <c r="Z48" s="372">
        <v>0</v>
      </c>
      <c r="AA48" s="372">
        <v>0</v>
      </c>
      <c r="AB48" s="372">
        <v>0</v>
      </c>
      <c r="AC48" s="372"/>
      <c r="AD48" s="41"/>
      <c r="AE48" s="41"/>
      <c r="AF48" s="11">
        <f t="shared" si="6"/>
        <v>0</v>
      </c>
      <c r="AG48" s="11">
        <f t="shared" si="7"/>
        <v>0</v>
      </c>
      <c r="AH48" s="11">
        <f t="shared" si="8"/>
        <v>14</v>
      </c>
    </row>
    <row r="49" spans="1:124" ht="15" customHeight="1">
      <c r="A49" s="70" t="s">
        <v>44</v>
      </c>
      <c r="B49" s="15"/>
      <c r="C49" s="15">
        <v>0.75</v>
      </c>
      <c r="D49" s="15"/>
      <c r="E49" s="15"/>
      <c r="F49" s="372"/>
      <c r="G49" s="372"/>
      <c r="H49" s="372"/>
      <c r="I49" s="372"/>
      <c r="J49" s="372"/>
      <c r="K49" s="374"/>
      <c r="L49" s="374"/>
      <c r="M49" s="374"/>
      <c r="N49" s="372"/>
      <c r="O49" s="372"/>
      <c r="P49" s="372"/>
      <c r="Q49" s="372"/>
      <c r="R49" s="372"/>
      <c r="S49" s="372"/>
      <c r="T49" s="372"/>
      <c r="U49" s="372"/>
      <c r="V49" s="372"/>
      <c r="W49" s="372"/>
      <c r="X49" s="372"/>
      <c r="Y49" s="372"/>
      <c r="Z49" s="372"/>
      <c r="AA49" s="372"/>
      <c r="AB49" s="372"/>
      <c r="AC49" s="372"/>
      <c r="AD49" s="41"/>
      <c r="AE49" s="41"/>
      <c r="AF49" s="11">
        <f t="shared" si="6"/>
        <v>0</v>
      </c>
      <c r="AG49" s="11">
        <f t="shared" si="7"/>
        <v>0</v>
      </c>
      <c r="AH49" s="11">
        <f t="shared" si="8"/>
        <v>0</v>
      </c>
    </row>
    <row r="50" spans="1:124" ht="16.5" customHeight="1">
      <c r="A50" s="70" t="s">
        <v>45</v>
      </c>
      <c r="B50" s="15"/>
      <c r="C50" s="15">
        <v>0.75</v>
      </c>
      <c r="D50" s="15"/>
      <c r="E50" s="15"/>
      <c r="F50" s="372">
        <f>1.5/2</f>
        <v>0.75</v>
      </c>
      <c r="G50" s="372">
        <v>0</v>
      </c>
      <c r="H50" s="372">
        <v>0</v>
      </c>
      <c r="I50" s="372">
        <v>0</v>
      </c>
      <c r="J50" s="372">
        <v>0</v>
      </c>
      <c r="K50" s="374">
        <v>0</v>
      </c>
      <c r="L50" s="374">
        <v>0</v>
      </c>
      <c r="M50" s="374">
        <v>0</v>
      </c>
      <c r="N50" s="372">
        <v>0</v>
      </c>
      <c r="O50" s="372">
        <v>0</v>
      </c>
      <c r="P50" s="372">
        <v>0</v>
      </c>
      <c r="Q50" s="372"/>
      <c r="R50" s="372"/>
      <c r="S50" s="372"/>
      <c r="T50" s="372"/>
      <c r="U50" s="372"/>
      <c r="V50" s="372"/>
      <c r="W50" s="372"/>
      <c r="X50" s="372"/>
      <c r="Y50" s="372">
        <v>0.8</v>
      </c>
      <c r="Z50" s="372"/>
      <c r="AA50" s="372"/>
      <c r="AB50" s="372"/>
      <c r="AC50" s="372"/>
      <c r="AD50" s="41"/>
      <c r="AE50" s="41"/>
      <c r="AF50" s="11">
        <f t="shared" si="6"/>
        <v>0</v>
      </c>
      <c r="AG50" s="11">
        <f t="shared" si="7"/>
        <v>0</v>
      </c>
      <c r="AH50" s="11">
        <f t="shared" si="8"/>
        <v>12</v>
      </c>
    </row>
    <row r="51" spans="1:124">
      <c r="A51" s="70" t="s">
        <v>46</v>
      </c>
      <c r="B51" s="15"/>
      <c r="C51" s="15">
        <v>0.85</v>
      </c>
      <c r="D51" s="15"/>
      <c r="E51" s="15"/>
      <c r="F51" s="372">
        <v>0</v>
      </c>
      <c r="G51" s="372">
        <v>0</v>
      </c>
      <c r="H51" s="372">
        <v>0</v>
      </c>
      <c r="I51" s="372">
        <v>0</v>
      </c>
      <c r="J51" s="372">
        <v>0</v>
      </c>
      <c r="K51" s="374">
        <v>0</v>
      </c>
      <c r="L51" s="374">
        <v>0</v>
      </c>
      <c r="M51" s="374">
        <v>0</v>
      </c>
      <c r="N51" s="372">
        <v>0</v>
      </c>
      <c r="O51" s="372">
        <v>0.7</v>
      </c>
      <c r="P51" s="372">
        <v>0</v>
      </c>
      <c r="Q51" s="372">
        <v>0</v>
      </c>
      <c r="R51" s="372">
        <v>0</v>
      </c>
      <c r="S51" s="372">
        <v>0</v>
      </c>
      <c r="T51" s="372">
        <v>0</v>
      </c>
      <c r="U51" s="372">
        <v>0</v>
      </c>
      <c r="V51" s="372">
        <v>0</v>
      </c>
      <c r="W51" s="372">
        <v>0</v>
      </c>
      <c r="X51" s="372">
        <v>0.8</v>
      </c>
      <c r="Y51" s="372">
        <v>0.8</v>
      </c>
      <c r="Z51" s="372"/>
      <c r="AA51" s="372"/>
      <c r="AB51" s="372"/>
      <c r="AC51" s="372"/>
      <c r="AD51" s="41"/>
      <c r="AE51" s="41"/>
      <c r="AF51" s="11">
        <f t="shared" si="6"/>
        <v>0</v>
      </c>
      <c r="AG51" s="11">
        <f t="shared" si="7"/>
        <v>0</v>
      </c>
      <c r="AH51" s="11">
        <f t="shared" si="8"/>
        <v>20</v>
      </c>
    </row>
    <row r="52" spans="1:124">
      <c r="A52" s="70" t="s">
        <v>47</v>
      </c>
      <c r="B52" s="15"/>
      <c r="C52" s="15">
        <v>0.85</v>
      </c>
      <c r="D52" s="15"/>
      <c r="E52" s="15"/>
      <c r="F52" s="372" t="s">
        <v>9</v>
      </c>
      <c r="G52" s="372" t="s">
        <v>9</v>
      </c>
      <c r="H52" s="372" t="s">
        <v>9</v>
      </c>
      <c r="I52" s="372" t="s">
        <v>9</v>
      </c>
      <c r="J52" s="372" t="s">
        <v>9</v>
      </c>
      <c r="K52" s="374" t="s">
        <v>9</v>
      </c>
      <c r="L52" s="374" t="s">
        <v>9</v>
      </c>
      <c r="M52" s="374" t="s">
        <v>9</v>
      </c>
      <c r="N52" s="372" t="s">
        <v>9</v>
      </c>
      <c r="O52" s="372" t="s">
        <v>9</v>
      </c>
      <c r="P52" s="372" t="s">
        <v>9</v>
      </c>
      <c r="Q52" s="372" t="s">
        <v>9</v>
      </c>
      <c r="R52" s="372" t="s">
        <v>9</v>
      </c>
      <c r="S52" s="372" t="s">
        <v>9</v>
      </c>
      <c r="T52" s="372" t="s">
        <v>9</v>
      </c>
      <c r="U52" s="372" t="s">
        <v>9</v>
      </c>
      <c r="V52" s="372" t="s">
        <v>9</v>
      </c>
      <c r="W52" s="372" t="s">
        <v>9</v>
      </c>
      <c r="X52" s="372" t="s">
        <v>9</v>
      </c>
      <c r="Y52" s="372" t="s">
        <v>9</v>
      </c>
      <c r="Z52" s="372" t="s">
        <v>9</v>
      </c>
      <c r="AA52" s="372" t="s">
        <v>9</v>
      </c>
      <c r="AB52" s="372" t="s">
        <v>9</v>
      </c>
      <c r="AC52" s="372" t="s">
        <v>9</v>
      </c>
      <c r="AD52" s="41"/>
      <c r="AE52" s="41"/>
      <c r="AF52" s="11">
        <f t="shared" si="6"/>
        <v>24</v>
      </c>
      <c r="AG52" s="11">
        <f t="shared" si="7"/>
        <v>0</v>
      </c>
      <c r="AH52" s="11">
        <f t="shared" si="8"/>
        <v>0</v>
      </c>
    </row>
    <row r="53" spans="1:124">
      <c r="A53" s="70" t="s">
        <v>48</v>
      </c>
      <c r="B53" s="15"/>
      <c r="C53" s="15">
        <v>0.85</v>
      </c>
      <c r="D53" s="15"/>
      <c r="E53" s="15"/>
      <c r="F53" s="372"/>
      <c r="G53" s="372"/>
      <c r="H53" s="372"/>
      <c r="I53" s="372"/>
      <c r="J53" s="372"/>
      <c r="K53" s="374"/>
      <c r="L53" s="374"/>
      <c r="M53" s="374"/>
      <c r="N53" s="372"/>
      <c r="O53" s="372"/>
      <c r="P53" s="372"/>
      <c r="Q53" s="372"/>
      <c r="R53" s="372"/>
      <c r="S53" s="372"/>
      <c r="T53" s="372"/>
      <c r="U53" s="372"/>
      <c r="V53" s="372"/>
      <c r="W53" s="372"/>
      <c r="X53" s="372"/>
      <c r="Y53" s="372"/>
      <c r="Z53" s="372"/>
      <c r="AA53" s="372"/>
      <c r="AB53" s="372"/>
      <c r="AC53" s="372"/>
      <c r="AD53" s="41"/>
      <c r="AE53" s="41"/>
      <c r="AF53" s="11">
        <f t="shared" si="6"/>
        <v>0</v>
      </c>
      <c r="AG53" s="11">
        <f t="shared" si="7"/>
        <v>0</v>
      </c>
      <c r="AH53" s="11">
        <f t="shared" si="8"/>
        <v>0</v>
      </c>
    </row>
    <row r="54" spans="1:124" ht="16.5" customHeight="1">
      <c r="A54" s="70" t="s">
        <v>49</v>
      </c>
      <c r="B54" s="15"/>
      <c r="C54" s="15">
        <v>0.85</v>
      </c>
      <c r="D54" s="15"/>
      <c r="E54" s="15"/>
      <c r="F54" s="372">
        <v>0</v>
      </c>
      <c r="G54" s="372">
        <v>0</v>
      </c>
      <c r="H54" s="372">
        <v>0</v>
      </c>
      <c r="I54" s="372">
        <v>0</v>
      </c>
      <c r="J54" s="372">
        <v>0</v>
      </c>
      <c r="K54" s="374">
        <v>0</v>
      </c>
      <c r="L54" s="374">
        <v>0</v>
      </c>
      <c r="M54" s="374">
        <v>0</v>
      </c>
      <c r="N54" s="372">
        <v>0</v>
      </c>
      <c r="O54" s="372">
        <v>0</v>
      </c>
      <c r="P54" s="372">
        <v>0</v>
      </c>
      <c r="Q54" s="372">
        <v>0</v>
      </c>
      <c r="R54" s="372">
        <v>0</v>
      </c>
      <c r="S54" s="372">
        <v>0</v>
      </c>
      <c r="T54" s="372">
        <v>0</v>
      </c>
      <c r="U54" s="372">
        <v>0.75</v>
      </c>
      <c r="V54" s="372">
        <v>0.8</v>
      </c>
      <c r="W54" s="372">
        <v>0.8</v>
      </c>
      <c r="X54" s="372"/>
      <c r="Y54" s="372">
        <v>0.8</v>
      </c>
      <c r="Z54" s="372"/>
      <c r="AA54" s="372"/>
      <c r="AB54" s="372"/>
      <c r="AC54" s="372"/>
      <c r="AD54" s="41"/>
      <c r="AE54" s="41"/>
      <c r="AF54" s="11">
        <f t="shared" si="6"/>
        <v>0</v>
      </c>
      <c r="AG54" s="11">
        <f t="shared" si="7"/>
        <v>0</v>
      </c>
      <c r="AH54" s="11">
        <f t="shared" si="8"/>
        <v>19</v>
      </c>
    </row>
    <row r="55" spans="1:124">
      <c r="A55" s="70" t="s">
        <v>50</v>
      </c>
      <c r="B55" s="15"/>
      <c r="C55" s="15">
        <v>0.85</v>
      </c>
      <c r="D55" s="15"/>
      <c r="E55" s="15"/>
      <c r="F55" s="372"/>
      <c r="G55" s="372"/>
      <c r="H55" s="372"/>
      <c r="I55" s="372"/>
      <c r="J55" s="372"/>
      <c r="K55" s="374"/>
      <c r="L55" s="374"/>
      <c r="M55" s="374"/>
      <c r="N55" s="372"/>
      <c r="O55" s="372"/>
      <c r="P55" s="372"/>
      <c r="Q55" s="372"/>
      <c r="R55" s="372"/>
      <c r="S55" s="372"/>
      <c r="T55" s="372"/>
      <c r="U55" s="372"/>
      <c r="V55" s="372"/>
      <c r="W55" s="372"/>
      <c r="X55" s="372"/>
      <c r="Y55" s="372"/>
      <c r="Z55" s="372"/>
      <c r="AA55" s="372"/>
      <c r="AB55" s="372"/>
      <c r="AC55" s="372"/>
      <c r="AD55" s="41"/>
      <c r="AE55" s="41"/>
      <c r="AF55" s="11">
        <f>COUNTIF(F55:AC55,$AJ$8)</f>
        <v>0</v>
      </c>
      <c r="AG55" s="11">
        <f t="shared" si="7"/>
        <v>0</v>
      </c>
      <c r="AH55" s="11">
        <f>COUNT(F55:AC55)</f>
        <v>0</v>
      </c>
    </row>
    <row r="56" spans="1:124">
      <c r="A56" s="70" t="s">
        <v>51</v>
      </c>
      <c r="B56" s="15"/>
      <c r="C56" s="15">
        <v>0.75</v>
      </c>
      <c r="D56" s="15"/>
      <c r="E56" s="15"/>
      <c r="F56" s="372">
        <v>0</v>
      </c>
      <c r="G56" s="372">
        <v>0</v>
      </c>
      <c r="H56" s="372">
        <v>0</v>
      </c>
      <c r="I56" s="372">
        <v>0</v>
      </c>
      <c r="J56" s="372">
        <v>0</v>
      </c>
      <c r="K56" s="374">
        <v>0</v>
      </c>
      <c r="L56" s="374">
        <v>0</v>
      </c>
      <c r="M56" s="374">
        <v>0</v>
      </c>
      <c r="N56" s="372"/>
      <c r="O56" s="372">
        <v>0</v>
      </c>
      <c r="P56" s="372">
        <v>0</v>
      </c>
      <c r="Q56" s="372">
        <v>0</v>
      </c>
      <c r="R56" s="372">
        <v>0</v>
      </c>
      <c r="S56" s="372">
        <v>0</v>
      </c>
      <c r="T56" s="372">
        <v>0.8</v>
      </c>
      <c r="U56" s="372">
        <v>0.75</v>
      </c>
      <c r="V56" s="372">
        <v>0.8</v>
      </c>
      <c r="W56" s="372"/>
      <c r="X56" s="372"/>
      <c r="Y56" s="372">
        <v>0.9</v>
      </c>
      <c r="Z56" s="372"/>
      <c r="AA56" s="372"/>
      <c r="AB56" s="372"/>
      <c r="AC56" s="372"/>
      <c r="AD56" s="41"/>
      <c r="AE56" s="41"/>
      <c r="AF56" s="11">
        <f t="shared" si="6"/>
        <v>0</v>
      </c>
      <c r="AG56" s="11">
        <f t="shared" si="7"/>
        <v>0</v>
      </c>
      <c r="AH56" s="11">
        <f t="shared" si="8"/>
        <v>17</v>
      </c>
    </row>
    <row r="57" spans="1:124">
      <c r="A57" s="70" t="s">
        <v>52</v>
      </c>
      <c r="B57" s="15"/>
      <c r="C57" s="15">
        <v>0.75</v>
      </c>
      <c r="D57" s="15"/>
      <c r="E57" s="15"/>
      <c r="F57" s="372"/>
      <c r="G57" s="372"/>
      <c r="H57" s="372"/>
      <c r="I57" s="372"/>
      <c r="J57" s="372"/>
      <c r="K57" s="374"/>
      <c r="L57" s="374"/>
      <c r="M57" s="374"/>
      <c r="N57" s="372"/>
      <c r="O57" s="372"/>
      <c r="P57" s="372"/>
      <c r="Q57" s="372"/>
      <c r="R57" s="372"/>
      <c r="S57" s="372"/>
      <c r="T57" s="372"/>
      <c r="U57" s="372"/>
      <c r="V57" s="372"/>
      <c r="W57" s="372"/>
      <c r="X57" s="372"/>
      <c r="Y57" s="372"/>
      <c r="Z57" s="372"/>
      <c r="AA57" s="372"/>
      <c r="AB57" s="372"/>
      <c r="AC57" s="372"/>
      <c r="AD57" s="41"/>
      <c r="AE57" s="41"/>
      <c r="AF57" s="11">
        <f t="shared" si="6"/>
        <v>0</v>
      </c>
      <c r="AG57" s="11">
        <f t="shared" si="7"/>
        <v>0</v>
      </c>
      <c r="AH57" s="11">
        <f t="shared" si="8"/>
        <v>0</v>
      </c>
    </row>
    <row r="58" spans="1:124">
      <c r="A58" s="70" t="s">
        <v>53</v>
      </c>
      <c r="B58" s="15"/>
      <c r="C58" s="15">
        <v>0.85</v>
      </c>
      <c r="D58" s="15"/>
      <c r="E58" s="15"/>
      <c r="F58" s="372"/>
      <c r="G58" s="372"/>
      <c r="H58" s="372"/>
      <c r="I58" s="372"/>
      <c r="J58" s="372"/>
      <c r="K58" s="374"/>
      <c r="L58" s="374"/>
      <c r="M58" s="374"/>
      <c r="N58" s="372"/>
      <c r="O58" s="372"/>
      <c r="P58" s="372"/>
      <c r="Q58" s="372"/>
      <c r="R58" s="372"/>
      <c r="S58" s="372"/>
      <c r="T58" s="372"/>
      <c r="U58" s="372"/>
      <c r="V58" s="372"/>
      <c r="W58" s="372"/>
      <c r="X58" s="372"/>
      <c r="Y58" s="372"/>
      <c r="Z58" s="372"/>
      <c r="AA58" s="372"/>
      <c r="AB58" s="372"/>
      <c r="AC58" s="372"/>
      <c r="AD58" s="41"/>
      <c r="AE58" s="41"/>
      <c r="AF58" s="11">
        <f t="shared" si="6"/>
        <v>0</v>
      </c>
      <c r="AG58" s="11">
        <f t="shared" si="7"/>
        <v>0</v>
      </c>
      <c r="AH58" s="11">
        <f t="shared" si="8"/>
        <v>0</v>
      </c>
    </row>
    <row r="59" spans="1:124">
      <c r="A59" s="70" t="s">
        <v>54</v>
      </c>
      <c r="B59" s="15"/>
      <c r="C59" s="15">
        <v>0.85</v>
      </c>
      <c r="D59" s="15"/>
      <c r="E59" s="15"/>
      <c r="F59" s="372"/>
      <c r="G59" s="372"/>
      <c r="H59" s="372"/>
      <c r="I59" s="372"/>
      <c r="J59" s="372"/>
      <c r="K59" s="374"/>
      <c r="L59" s="374"/>
      <c r="M59" s="374"/>
      <c r="N59" s="372"/>
      <c r="O59" s="372"/>
      <c r="P59" s="372"/>
      <c r="Q59" s="372"/>
      <c r="R59" s="372"/>
      <c r="S59" s="372"/>
      <c r="T59" s="372"/>
      <c r="U59" s="372"/>
      <c r="V59" s="372"/>
      <c r="W59" s="372"/>
      <c r="X59" s="372"/>
      <c r="Y59" s="372"/>
      <c r="Z59" s="372"/>
      <c r="AA59" s="372"/>
      <c r="AB59" s="372"/>
      <c r="AC59" s="372"/>
      <c r="AD59" s="41"/>
      <c r="AE59" s="41"/>
      <c r="AF59" s="11">
        <f t="shared" si="6"/>
        <v>0</v>
      </c>
      <c r="AG59" s="11">
        <f t="shared" si="7"/>
        <v>0</v>
      </c>
      <c r="AH59" s="11">
        <f t="shared" si="8"/>
        <v>0</v>
      </c>
    </row>
    <row r="60" spans="1:124">
      <c r="A60" s="9" t="s">
        <v>26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 t="shared" ref="F60:AC60" si="9">SUM(F36:F59)</f>
        <v>1.5</v>
      </c>
      <c r="G60" s="19">
        <f t="shared" si="9"/>
        <v>0</v>
      </c>
      <c r="H60" s="19">
        <f t="shared" si="9"/>
        <v>0</v>
      </c>
      <c r="I60" s="19">
        <f t="shared" si="9"/>
        <v>0</v>
      </c>
      <c r="J60" s="19">
        <f t="shared" si="9"/>
        <v>0</v>
      </c>
      <c r="K60" s="19">
        <f t="shared" si="9"/>
        <v>0</v>
      </c>
      <c r="L60" s="19">
        <f t="shared" si="9"/>
        <v>0</v>
      </c>
      <c r="M60" s="19">
        <f t="shared" si="9"/>
        <v>0</v>
      </c>
      <c r="N60" s="19">
        <f t="shared" si="9"/>
        <v>0</v>
      </c>
      <c r="O60" s="19">
        <f>SUM(O36:O59)</f>
        <v>2.2000000000000002</v>
      </c>
      <c r="P60" s="19">
        <f t="shared" si="9"/>
        <v>0</v>
      </c>
      <c r="Q60" s="19">
        <f t="shared" si="9"/>
        <v>0</v>
      </c>
      <c r="R60" s="19">
        <f t="shared" si="9"/>
        <v>0</v>
      </c>
      <c r="S60" s="19">
        <f t="shared" si="9"/>
        <v>0</v>
      </c>
      <c r="T60" s="19">
        <f>SUM(T36:T59)</f>
        <v>0.8</v>
      </c>
      <c r="U60" s="19">
        <f t="shared" si="9"/>
        <v>1.5</v>
      </c>
      <c r="V60" s="19">
        <f t="shared" si="9"/>
        <v>1.6</v>
      </c>
      <c r="W60" s="19">
        <f t="shared" si="9"/>
        <v>0.8</v>
      </c>
      <c r="X60" s="19">
        <f t="shared" si="9"/>
        <v>0.8</v>
      </c>
      <c r="Y60" s="19">
        <f t="shared" si="9"/>
        <v>4.1000000000000005</v>
      </c>
      <c r="Z60" s="19">
        <f t="shared" si="9"/>
        <v>0</v>
      </c>
      <c r="AA60" s="19">
        <f t="shared" si="9"/>
        <v>0</v>
      </c>
      <c r="AB60" s="19">
        <f t="shared" si="9"/>
        <v>0</v>
      </c>
      <c r="AC60" s="19">
        <f t="shared" si="9"/>
        <v>0</v>
      </c>
      <c r="AD60" s="34"/>
      <c r="AE60" s="34"/>
      <c r="AF60" s="11"/>
      <c r="AG60" s="11"/>
      <c r="AH60" s="11"/>
    </row>
    <row r="61" spans="1:124">
      <c r="A61" s="12" t="s">
        <v>55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27.950000000000006</v>
      </c>
      <c r="AN61" s="351"/>
    </row>
    <row r="62" spans="1:124">
      <c r="A62" s="14" t="s">
        <v>56</v>
      </c>
      <c r="B62" s="20"/>
      <c r="C62" s="15">
        <v>0.75</v>
      </c>
      <c r="D62" s="15"/>
      <c r="E62" s="15"/>
      <c r="F62" s="372">
        <f>1.13/2</f>
        <v>0.56499999999999995</v>
      </c>
      <c r="G62" s="372">
        <v>0</v>
      </c>
      <c r="H62" s="372">
        <v>0</v>
      </c>
      <c r="I62" s="372">
        <v>0</v>
      </c>
      <c r="J62" s="372">
        <v>0</v>
      </c>
      <c r="K62" s="374">
        <v>0.51</v>
      </c>
      <c r="L62" s="374">
        <f>1.05/2</f>
        <v>0.52500000000000002</v>
      </c>
      <c r="M62" s="374">
        <f>1.11/2</f>
        <v>0.55500000000000005</v>
      </c>
      <c r="N62" s="372">
        <f>1.13/2</f>
        <v>0.56499999999999995</v>
      </c>
      <c r="O62" s="372">
        <f>1.19/2</f>
        <v>0.59499999999999997</v>
      </c>
      <c r="P62" s="372">
        <f>1.1/2</f>
        <v>0.55000000000000004</v>
      </c>
      <c r="Q62" s="372">
        <f>1.18/2</f>
        <v>0.59</v>
      </c>
      <c r="R62" s="372">
        <f>1.22/2</f>
        <v>0.61</v>
      </c>
      <c r="S62" s="372">
        <f>1.24/2</f>
        <v>0.62</v>
      </c>
      <c r="T62" s="372">
        <f>1.24/2</f>
        <v>0.62</v>
      </c>
      <c r="U62" s="372">
        <f>1.24/2</f>
        <v>0.62</v>
      </c>
      <c r="V62" s="372">
        <f>1.06/2</f>
        <v>0.53</v>
      </c>
      <c r="W62" s="372">
        <f>1.13/2</f>
        <v>0.56499999999999995</v>
      </c>
      <c r="X62" s="372">
        <f>1.22/2</f>
        <v>0.61</v>
      </c>
      <c r="Y62" s="372">
        <f>1.43/2</f>
        <v>0.71499999999999997</v>
      </c>
      <c r="Z62" s="372">
        <f>1.42/2</f>
        <v>0.71</v>
      </c>
      <c r="AA62" s="372">
        <f>1.34/2</f>
        <v>0.67</v>
      </c>
      <c r="AB62" s="372">
        <f>1.24/2</f>
        <v>0.62</v>
      </c>
      <c r="AC62" s="372">
        <v>0.57999999999999996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24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57</v>
      </c>
      <c r="B63" s="20"/>
      <c r="C63" s="15">
        <v>0.75</v>
      </c>
      <c r="D63" s="15"/>
      <c r="E63" s="15"/>
      <c r="F63" s="372"/>
      <c r="G63" s="372">
        <f>1.06/2</f>
        <v>0.53</v>
      </c>
      <c r="H63" s="372">
        <f>1.02/2</f>
        <v>0.51</v>
      </c>
      <c r="I63" s="372">
        <f>1.01/2</f>
        <v>0.505</v>
      </c>
      <c r="J63" s="372">
        <f>1.01/2</f>
        <v>0.505</v>
      </c>
      <c r="K63" s="374">
        <v>0.51</v>
      </c>
      <c r="L63" s="374">
        <f>1.05/2</f>
        <v>0.52500000000000002</v>
      </c>
      <c r="M63" s="374">
        <f>1.11/2</f>
        <v>0.55500000000000005</v>
      </c>
      <c r="N63" s="372">
        <f>1.13/2</f>
        <v>0.56499999999999995</v>
      </c>
      <c r="O63" s="372">
        <f>1.19/2</f>
        <v>0.59499999999999997</v>
      </c>
      <c r="P63" s="372">
        <f>1.1/2</f>
        <v>0.55000000000000004</v>
      </c>
      <c r="Q63" s="372"/>
      <c r="R63" s="372"/>
      <c r="S63" s="372"/>
      <c r="T63" s="372"/>
      <c r="U63" s="372"/>
      <c r="V63" s="372"/>
      <c r="W63" s="372"/>
      <c r="X63" s="372"/>
      <c r="Y63" s="372"/>
      <c r="Z63" s="372"/>
      <c r="AA63" s="372"/>
      <c r="AB63" s="372"/>
      <c r="AC63" s="372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10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58</v>
      </c>
      <c r="B64" s="20"/>
      <c r="C64" s="15">
        <v>0.75</v>
      </c>
      <c r="D64" s="15"/>
      <c r="E64" s="15"/>
      <c r="F64" s="372">
        <f>1.13/2</f>
        <v>0.56499999999999995</v>
      </c>
      <c r="G64" s="372">
        <f>1.06/2</f>
        <v>0.53</v>
      </c>
      <c r="H64" s="372">
        <f>1.02/2</f>
        <v>0.51</v>
      </c>
      <c r="I64" s="372">
        <f>1.01/2</f>
        <v>0.505</v>
      </c>
      <c r="J64" s="372">
        <f>1.01/2</f>
        <v>0.505</v>
      </c>
      <c r="K64" s="374"/>
      <c r="L64" s="374"/>
      <c r="M64" s="374"/>
      <c r="N64" s="372"/>
      <c r="O64" s="372"/>
      <c r="P64" s="372"/>
      <c r="Q64" s="372">
        <f>1.18/2</f>
        <v>0.59</v>
      </c>
      <c r="R64" s="372">
        <f>1.22/2</f>
        <v>0.61</v>
      </c>
      <c r="S64" s="372">
        <f>1.24/2</f>
        <v>0.62</v>
      </c>
      <c r="T64" s="372">
        <f>1.24/2</f>
        <v>0.62</v>
      </c>
      <c r="U64" s="372">
        <f>1.24/2</f>
        <v>0.62</v>
      </c>
      <c r="V64" s="372">
        <f>1.06/2</f>
        <v>0.53</v>
      </c>
      <c r="W64" s="372">
        <f>1.13/2</f>
        <v>0.56499999999999995</v>
      </c>
      <c r="X64" s="372">
        <f>1.22/2</f>
        <v>0.61</v>
      </c>
      <c r="Y64" s="372">
        <f>1.43/2</f>
        <v>0.71499999999999997</v>
      </c>
      <c r="Z64" s="372">
        <f>1.42/2</f>
        <v>0.71</v>
      </c>
      <c r="AA64" s="372">
        <f>1.34/2</f>
        <v>0.67</v>
      </c>
      <c r="AB64" s="372">
        <f>1.24/2</f>
        <v>0.62</v>
      </c>
      <c r="AC64" s="372">
        <v>0.57999999999999996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18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1.1299999999999999</v>
      </c>
      <c r="G65" s="19">
        <f t="shared" ref="G65" si="10">SUM(G62:G64)</f>
        <v>1.06</v>
      </c>
      <c r="H65" s="19">
        <f>SUM(H62:H64)</f>
        <v>1.02</v>
      </c>
      <c r="I65" s="19">
        <f>SUM(I62:I64)</f>
        <v>1.01</v>
      </c>
      <c r="J65" s="19">
        <f t="shared" ref="J65" si="11">SUM(J62:J64)</f>
        <v>1.01</v>
      </c>
      <c r="K65" s="19">
        <f>SUM(K62:K64)</f>
        <v>1.02</v>
      </c>
      <c r="L65" s="19">
        <f>SUM(L62:L64)</f>
        <v>1.05</v>
      </c>
      <c r="M65" s="19">
        <f>SUM(M62:M64)</f>
        <v>1.1100000000000001</v>
      </c>
      <c r="N65" s="19">
        <f>SUM(N62:N64)</f>
        <v>1.1299999999999999</v>
      </c>
      <c r="O65" s="19">
        <f t="shared" ref="O65:AB65" si="12">SUM(O62:O64)</f>
        <v>1.19</v>
      </c>
      <c r="P65" s="19">
        <f t="shared" si="12"/>
        <v>1.1000000000000001</v>
      </c>
      <c r="Q65" s="19">
        <f t="shared" si="12"/>
        <v>1.18</v>
      </c>
      <c r="R65" s="19">
        <f t="shared" si="12"/>
        <v>1.22</v>
      </c>
      <c r="S65" s="19">
        <f t="shared" si="12"/>
        <v>1.24</v>
      </c>
      <c r="T65" s="19">
        <f t="shared" si="12"/>
        <v>1.24</v>
      </c>
      <c r="U65" s="19">
        <f t="shared" si="12"/>
        <v>1.24</v>
      </c>
      <c r="V65" s="19">
        <f t="shared" si="12"/>
        <v>1.06</v>
      </c>
      <c r="W65" s="19">
        <f t="shared" si="12"/>
        <v>1.1299999999999999</v>
      </c>
      <c r="X65" s="19">
        <f t="shared" si="12"/>
        <v>1.22</v>
      </c>
      <c r="Y65" s="19">
        <f>SUM(Y62:Y64)</f>
        <v>1.43</v>
      </c>
      <c r="Z65" s="19">
        <f t="shared" si="12"/>
        <v>1.42</v>
      </c>
      <c r="AA65" s="19">
        <f t="shared" si="12"/>
        <v>1.34</v>
      </c>
      <c r="AB65" s="19">
        <f t="shared" si="12"/>
        <v>1.24</v>
      </c>
      <c r="AC65" s="19">
        <f>SUM(AC62:AC64)</f>
        <v>1.1599999999999999</v>
      </c>
      <c r="AD65" s="34"/>
      <c r="AE65" s="34"/>
      <c r="AF65" s="11"/>
      <c r="AG65" s="11"/>
      <c r="AH65" s="11"/>
    </row>
    <row r="66" spans="1:124" hidden="1">
      <c r="A66" s="12" t="s">
        <v>59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idden="1">
      <c r="A67" s="14" t="s">
        <v>60</v>
      </c>
      <c r="B67" s="15"/>
      <c r="C67" s="15">
        <v>0.85</v>
      </c>
      <c r="D67" s="15"/>
      <c r="E67" s="15"/>
      <c r="F67" s="372"/>
      <c r="G67" s="372"/>
      <c r="H67" s="372"/>
      <c r="I67" s="372"/>
      <c r="J67" s="372"/>
      <c r="K67" s="374"/>
      <c r="L67" s="374"/>
      <c r="M67" s="374"/>
      <c r="N67" s="372"/>
      <c r="O67" s="372"/>
      <c r="P67" s="372"/>
      <c r="Q67" s="372"/>
      <c r="R67" s="372"/>
      <c r="S67" s="372"/>
      <c r="T67" s="372"/>
      <c r="U67" s="372"/>
      <c r="V67" s="372"/>
      <c r="W67" s="372"/>
      <c r="X67" s="372"/>
      <c r="Y67" s="372"/>
      <c r="Z67" s="372"/>
      <c r="AA67" s="372"/>
      <c r="AB67" s="372"/>
      <c r="AC67" s="372"/>
      <c r="AD67" s="35"/>
      <c r="AE67" s="35"/>
      <c r="AF67" s="11">
        <f t="shared" ref="AF67:AF75" si="13">COUNTIF(F67:AC67,$AF$11)</f>
        <v>0</v>
      </c>
      <c r="AG67" s="11">
        <f t="shared" ref="AG67:AG75" si="14">COUNTIF(G67:AC67,$AG$11)</f>
        <v>0</v>
      </c>
      <c r="AH67" s="11">
        <f t="shared" ref="AH67:AH75" si="15">COUNT(F67:AC67)</f>
        <v>0</v>
      </c>
    </row>
    <row r="68" spans="1:124" hidden="1">
      <c r="A68" s="14" t="s">
        <v>61</v>
      </c>
      <c r="B68" s="15"/>
      <c r="C68" s="15">
        <v>0.85</v>
      </c>
      <c r="D68" s="15"/>
      <c r="E68" s="15"/>
      <c r="F68" s="372"/>
      <c r="G68" s="372"/>
      <c r="H68" s="372"/>
      <c r="I68" s="372"/>
      <c r="J68" s="372"/>
      <c r="K68" s="374"/>
      <c r="L68" s="374"/>
      <c r="M68" s="374"/>
      <c r="N68" s="372"/>
      <c r="O68" s="372"/>
      <c r="P68" s="372"/>
      <c r="Q68" s="372"/>
      <c r="R68" s="372"/>
      <c r="S68" s="372"/>
      <c r="T68" s="372"/>
      <c r="U68" s="372"/>
      <c r="V68" s="372"/>
      <c r="W68" s="372"/>
      <c r="X68" s="372"/>
      <c r="Y68" s="372"/>
      <c r="Z68" s="372"/>
      <c r="AA68" s="372"/>
      <c r="AB68" s="372"/>
      <c r="AC68" s="372"/>
      <c r="AD68" s="35"/>
      <c r="AE68" s="35"/>
      <c r="AF68" s="11">
        <f t="shared" si="13"/>
        <v>0</v>
      </c>
      <c r="AG68" s="11">
        <f t="shared" si="14"/>
        <v>0</v>
      </c>
      <c r="AH68" s="11">
        <f t="shared" si="15"/>
        <v>0</v>
      </c>
    </row>
    <row r="69" spans="1:124" hidden="1">
      <c r="A69" s="14" t="s">
        <v>62</v>
      </c>
      <c r="B69" s="15"/>
      <c r="C69" s="15">
        <v>0.85</v>
      </c>
      <c r="D69" s="15"/>
      <c r="E69" s="15"/>
      <c r="F69" s="372"/>
      <c r="G69" s="372"/>
      <c r="H69" s="372"/>
      <c r="I69" s="372"/>
      <c r="J69" s="372"/>
      <c r="K69" s="374"/>
      <c r="L69" s="374"/>
      <c r="M69" s="374"/>
      <c r="N69" s="372"/>
      <c r="O69" s="372"/>
      <c r="P69" s="372"/>
      <c r="Q69" s="372"/>
      <c r="R69" s="372"/>
      <c r="S69" s="372"/>
      <c r="T69" s="372"/>
      <c r="U69" s="372"/>
      <c r="V69" s="372"/>
      <c r="W69" s="372"/>
      <c r="X69" s="372"/>
      <c r="Y69" s="372"/>
      <c r="Z69" s="372"/>
      <c r="AA69" s="372"/>
      <c r="AB69" s="372"/>
      <c r="AC69" s="372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5"/>
        <v>0</v>
      </c>
    </row>
    <row r="70" spans="1:124" hidden="1">
      <c r="A70" s="14" t="s">
        <v>63</v>
      </c>
      <c r="B70" s="15"/>
      <c r="C70" s="15">
        <v>0.85</v>
      </c>
      <c r="D70" s="15"/>
      <c r="E70" s="15"/>
      <c r="F70" s="372"/>
      <c r="G70" s="372"/>
      <c r="H70" s="372"/>
      <c r="I70" s="372"/>
      <c r="J70" s="372"/>
      <c r="K70" s="374"/>
      <c r="L70" s="374"/>
      <c r="M70" s="374"/>
      <c r="N70" s="372"/>
      <c r="O70" s="372"/>
      <c r="P70" s="372"/>
      <c r="Q70" s="372"/>
      <c r="R70" s="372"/>
      <c r="S70" s="372"/>
      <c r="T70" s="372"/>
      <c r="U70" s="372"/>
      <c r="V70" s="372"/>
      <c r="W70" s="372"/>
      <c r="X70" s="372"/>
      <c r="Y70" s="372"/>
      <c r="Z70" s="372"/>
      <c r="AA70" s="372"/>
      <c r="AB70" s="372"/>
      <c r="AC70" s="372"/>
      <c r="AD70" s="35"/>
      <c r="AE70" s="35"/>
      <c r="AF70" s="11">
        <f t="shared" si="13"/>
        <v>0</v>
      </c>
      <c r="AG70" s="11">
        <f t="shared" si="14"/>
        <v>0</v>
      </c>
      <c r="AH70" s="11">
        <f t="shared" si="15"/>
        <v>0</v>
      </c>
      <c r="AI70" s="5"/>
      <c r="AJ70" s="5"/>
      <c r="AK70" s="5"/>
      <c r="AL70" s="5"/>
    </row>
    <row r="71" spans="1:124" hidden="1">
      <c r="A71" s="14" t="s">
        <v>64</v>
      </c>
      <c r="B71" s="15"/>
      <c r="C71" s="15">
        <v>0.85</v>
      </c>
      <c r="D71" s="15"/>
      <c r="E71" s="15"/>
      <c r="F71" s="372"/>
      <c r="G71" s="372"/>
      <c r="H71" s="372"/>
      <c r="I71" s="372"/>
      <c r="J71" s="372"/>
      <c r="K71" s="374"/>
      <c r="L71" s="374"/>
      <c r="M71" s="374"/>
      <c r="N71" s="372"/>
      <c r="O71" s="372"/>
      <c r="P71" s="372"/>
      <c r="Q71" s="372"/>
      <c r="R71" s="372"/>
      <c r="S71" s="372"/>
      <c r="T71" s="372"/>
      <c r="U71" s="372"/>
      <c r="V71" s="372"/>
      <c r="W71" s="372"/>
      <c r="X71" s="372"/>
      <c r="Y71" s="372"/>
      <c r="Z71" s="372"/>
      <c r="AA71" s="372"/>
      <c r="AB71" s="372"/>
      <c r="AC71" s="372"/>
      <c r="AD71" s="35"/>
      <c r="AE71" s="35"/>
      <c r="AF71" s="11">
        <f t="shared" si="13"/>
        <v>0</v>
      </c>
      <c r="AG71" s="11">
        <f t="shared" si="14"/>
        <v>0</v>
      </c>
      <c r="AH71" s="11">
        <f t="shared" si="15"/>
        <v>0</v>
      </c>
    </row>
    <row r="72" spans="1:124" hidden="1">
      <c r="A72" s="14" t="s">
        <v>65</v>
      </c>
      <c r="B72" s="15"/>
      <c r="C72" s="15">
        <v>0.85</v>
      </c>
      <c r="D72" s="15"/>
      <c r="E72" s="15"/>
      <c r="F72" s="372"/>
      <c r="G72" s="372"/>
      <c r="H72" s="372"/>
      <c r="I72" s="372"/>
      <c r="J72" s="372"/>
      <c r="K72" s="374"/>
      <c r="L72" s="374"/>
      <c r="M72" s="374"/>
      <c r="N72" s="372"/>
      <c r="O72" s="372"/>
      <c r="P72" s="372"/>
      <c r="Q72" s="372"/>
      <c r="R72" s="372"/>
      <c r="S72" s="372"/>
      <c r="T72" s="372"/>
      <c r="U72" s="372"/>
      <c r="V72" s="372"/>
      <c r="W72" s="372"/>
      <c r="X72" s="372"/>
      <c r="Y72" s="372"/>
      <c r="Z72" s="372"/>
      <c r="AA72" s="372"/>
      <c r="AB72" s="372"/>
      <c r="AC72" s="372"/>
      <c r="AD72" s="35"/>
      <c r="AE72" s="35"/>
      <c r="AF72" s="11">
        <f t="shared" si="13"/>
        <v>0</v>
      </c>
      <c r="AG72" s="11">
        <f t="shared" si="14"/>
        <v>0</v>
      </c>
      <c r="AH72" s="11">
        <f t="shared" si="15"/>
        <v>0</v>
      </c>
    </row>
    <row r="73" spans="1:124" hidden="1">
      <c r="A73" s="14" t="s">
        <v>66</v>
      </c>
      <c r="B73" s="15"/>
      <c r="C73" s="15">
        <v>0.85</v>
      </c>
      <c r="D73" s="15"/>
      <c r="E73" s="15"/>
      <c r="F73" s="372"/>
      <c r="G73" s="372"/>
      <c r="H73" s="372"/>
      <c r="I73" s="372"/>
      <c r="J73" s="372"/>
      <c r="K73" s="374"/>
      <c r="L73" s="374"/>
      <c r="M73" s="374"/>
      <c r="N73" s="372"/>
      <c r="O73" s="372"/>
      <c r="P73" s="372"/>
      <c r="Q73" s="372"/>
      <c r="R73" s="372"/>
      <c r="S73" s="372"/>
      <c r="T73" s="372"/>
      <c r="U73" s="372"/>
      <c r="V73" s="372"/>
      <c r="W73" s="372"/>
      <c r="X73" s="372"/>
      <c r="Y73" s="372"/>
      <c r="Z73" s="372"/>
      <c r="AA73" s="372"/>
      <c r="AB73" s="372"/>
      <c r="AC73" s="372"/>
      <c r="AD73" s="35"/>
      <c r="AE73" s="35"/>
      <c r="AF73" s="11">
        <f t="shared" si="13"/>
        <v>0</v>
      </c>
      <c r="AG73" s="11">
        <f t="shared" si="14"/>
        <v>0</v>
      </c>
      <c r="AH73" s="11">
        <f t="shared" si="15"/>
        <v>0</v>
      </c>
    </row>
    <row r="74" spans="1:124" hidden="1">
      <c r="A74" s="14" t="s">
        <v>67</v>
      </c>
      <c r="B74" s="19"/>
      <c r="C74" s="15">
        <v>0.85</v>
      </c>
      <c r="D74" s="15"/>
      <c r="E74" s="15"/>
      <c r="F74" s="372"/>
      <c r="G74" s="372"/>
      <c r="H74" s="372"/>
      <c r="I74" s="372"/>
      <c r="J74" s="372"/>
      <c r="K74" s="374"/>
      <c r="L74" s="374"/>
      <c r="M74" s="374"/>
      <c r="N74" s="372"/>
      <c r="O74" s="372"/>
      <c r="P74" s="372"/>
      <c r="Q74" s="372"/>
      <c r="R74" s="372"/>
      <c r="S74" s="372"/>
      <c r="T74" s="372"/>
      <c r="U74" s="372"/>
      <c r="V74" s="372"/>
      <c r="W74" s="372"/>
      <c r="X74" s="372"/>
      <c r="Y74" s="372"/>
      <c r="Z74" s="372"/>
      <c r="AA74" s="372"/>
      <c r="AB74" s="372"/>
      <c r="AC74" s="372"/>
      <c r="AD74" s="29"/>
      <c r="AE74" s="29"/>
      <c r="AF74" s="11">
        <f t="shared" si="13"/>
        <v>0</v>
      </c>
      <c r="AG74" s="11">
        <f t="shared" si="14"/>
        <v>0</v>
      </c>
      <c r="AH74" s="11">
        <f t="shared" si="15"/>
        <v>0</v>
      </c>
    </row>
    <row r="75" spans="1:124" ht="15.75" hidden="1" customHeight="1">
      <c r="A75" s="14" t="s">
        <v>68</v>
      </c>
      <c r="B75" s="9"/>
      <c r="C75" s="15">
        <v>0.85</v>
      </c>
      <c r="D75" s="15"/>
      <c r="E75" s="15"/>
      <c r="F75" s="372"/>
      <c r="G75" s="372"/>
      <c r="H75" s="372"/>
      <c r="I75" s="372"/>
      <c r="J75" s="372"/>
      <c r="K75" s="374"/>
      <c r="L75" s="374"/>
      <c r="M75" s="374"/>
      <c r="N75" s="372"/>
      <c r="O75" s="372"/>
      <c r="P75" s="372"/>
      <c r="Q75" s="372"/>
      <c r="R75" s="372"/>
      <c r="S75" s="372"/>
      <c r="T75" s="372"/>
      <c r="U75" s="372"/>
      <c r="V75" s="372"/>
      <c r="W75" s="372"/>
      <c r="X75" s="372"/>
      <c r="Y75" s="372"/>
      <c r="Z75" s="372"/>
      <c r="AA75" s="372"/>
      <c r="AB75" s="372"/>
      <c r="AC75" s="372"/>
      <c r="AD75" s="31"/>
      <c r="AE75" s="31"/>
      <c r="AF75" s="11">
        <f t="shared" si="13"/>
        <v>0</v>
      </c>
      <c r="AG75" s="11">
        <f t="shared" si="14"/>
        <v>0</v>
      </c>
      <c r="AH75" s="11">
        <f t="shared" si="15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16">SUM(F67:F75)</f>
        <v>0</v>
      </c>
      <c r="G76" s="19">
        <f t="shared" si="16"/>
        <v>0</v>
      </c>
      <c r="H76" s="19">
        <f t="shared" si="16"/>
        <v>0</v>
      </c>
      <c r="I76" s="19">
        <f t="shared" si="16"/>
        <v>0</v>
      </c>
      <c r="J76" s="19">
        <f t="shared" si="16"/>
        <v>0</v>
      </c>
      <c r="K76" s="19">
        <f t="shared" si="16"/>
        <v>0</v>
      </c>
      <c r="L76" s="19">
        <f>SUM(L67:L75)</f>
        <v>0</v>
      </c>
      <c r="M76" s="19">
        <f t="shared" si="16"/>
        <v>0</v>
      </c>
      <c r="N76" s="19">
        <f t="shared" si="16"/>
        <v>0</v>
      </c>
      <c r="O76" s="19">
        <f t="shared" si="16"/>
        <v>0</v>
      </c>
      <c r="P76" s="19">
        <f t="shared" si="16"/>
        <v>0</v>
      </c>
      <c r="Q76" s="19">
        <f>SUM(Q67:Q75)</f>
        <v>0</v>
      </c>
      <c r="R76" s="19">
        <f t="shared" si="16"/>
        <v>0</v>
      </c>
      <c r="S76" s="19">
        <f t="shared" si="16"/>
        <v>0</v>
      </c>
      <c r="T76" s="19">
        <f t="shared" si="16"/>
        <v>0</v>
      </c>
      <c r="U76" s="19">
        <f t="shared" si="16"/>
        <v>0</v>
      </c>
      <c r="V76" s="19">
        <f t="shared" si="16"/>
        <v>0</v>
      </c>
      <c r="W76" s="19">
        <f t="shared" si="16"/>
        <v>0</v>
      </c>
      <c r="X76" s="19">
        <f t="shared" si="16"/>
        <v>0</v>
      </c>
      <c r="Y76" s="19">
        <f t="shared" si="16"/>
        <v>0</v>
      </c>
      <c r="Z76" s="19">
        <f t="shared" si="16"/>
        <v>0</v>
      </c>
      <c r="AA76" s="19">
        <f t="shared" si="16"/>
        <v>0</v>
      </c>
      <c r="AB76" s="19">
        <f t="shared" si="16"/>
        <v>0</v>
      </c>
      <c r="AC76" s="19">
        <f t="shared" si="16"/>
        <v>0</v>
      </c>
      <c r="AD76" s="34"/>
      <c r="AE76" s="34"/>
      <c r="AF76" s="11"/>
      <c r="AG76" s="11"/>
      <c r="AH76" s="11"/>
    </row>
    <row r="77" spans="1:124">
      <c r="A77" s="12" t="s">
        <v>69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 t="s">
        <v>21</v>
      </c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17.470000000000002</v>
      </c>
    </row>
    <row r="78" spans="1:124">
      <c r="A78" s="14" t="s">
        <v>70</v>
      </c>
      <c r="B78" s="20"/>
      <c r="C78" s="15">
        <v>1</v>
      </c>
      <c r="D78" s="15"/>
      <c r="E78" s="15"/>
      <c r="F78" s="372"/>
      <c r="G78" s="372"/>
      <c r="H78" s="372"/>
      <c r="I78" s="372"/>
      <c r="J78" s="372"/>
      <c r="K78" s="374"/>
      <c r="L78" s="374"/>
      <c r="M78" s="374"/>
      <c r="N78" s="374"/>
      <c r="O78" s="374">
        <v>0.88</v>
      </c>
      <c r="P78" s="374">
        <v>0.87</v>
      </c>
      <c r="Q78" s="374">
        <v>0.87</v>
      </c>
      <c r="R78" s="374">
        <v>0.85</v>
      </c>
      <c r="S78" s="374">
        <v>0.86</v>
      </c>
      <c r="T78" s="374">
        <v>0.87</v>
      </c>
      <c r="U78" s="374">
        <v>0.86</v>
      </c>
      <c r="V78" s="374">
        <v>0.87</v>
      </c>
      <c r="W78" s="374">
        <v>0.84</v>
      </c>
      <c r="X78" s="374">
        <v>0.84</v>
      </c>
      <c r="Y78" s="372"/>
      <c r="Z78" s="372"/>
      <c r="AA78" s="372"/>
      <c r="AB78" s="372"/>
      <c r="AC78" s="372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10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71</v>
      </c>
      <c r="B79" s="20"/>
      <c r="C79" s="15">
        <v>1</v>
      </c>
      <c r="D79" s="15"/>
      <c r="E79" s="15"/>
      <c r="F79" s="372">
        <v>0.84</v>
      </c>
      <c r="G79" s="372">
        <v>0.8</v>
      </c>
      <c r="H79" s="372">
        <v>0.76</v>
      </c>
      <c r="I79" s="372">
        <v>0.74</v>
      </c>
      <c r="J79" s="372">
        <v>0.75</v>
      </c>
      <c r="K79" s="374"/>
      <c r="L79" s="374"/>
      <c r="M79" s="374"/>
      <c r="N79" s="374"/>
      <c r="O79" s="374">
        <v>0</v>
      </c>
      <c r="P79" s="374">
        <v>0</v>
      </c>
      <c r="Q79" s="374">
        <v>0</v>
      </c>
      <c r="R79" s="374">
        <v>0</v>
      </c>
      <c r="S79" s="374">
        <v>0</v>
      </c>
      <c r="T79" s="374">
        <v>0</v>
      </c>
      <c r="U79" s="374">
        <v>0</v>
      </c>
      <c r="V79" s="374">
        <v>0</v>
      </c>
      <c r="W79" s="374">
        <v>0</v>
      </c>
      <c r="X79" s="374">
        <v>0</v>
      </c>
      <c r="Y79" s="374">
        <v>1.01</v>
      </c>
      <c r="Z79" s="374">
        <v>1.05</v>
      </c>
      <c r="AA79" s="372">
        <v>1</v>
      </c>
      <c r="AB79" s="372">
        <v>1</v>
      </c>
      <c r="AC79" s="372">
        <v>0.91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20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17">SUM(F78:F79)</f>
        <v>0.84</v>
      </c>
      <c r="G80" s="19">
        <f t="shared" si="17"/>
        <v>0.8</v>
      </c>
      <c r="H80" s="19">
        <f>SUM(H78:H79)</f>
        <v>0.76</v>
      </c>
      <c r="I80" s="19">
        <f>SUM(I78:I79)</f>
        <v>0.74</v>
      </c>
      <c r="J80" s="19">
        <f t="shared" ref="J80:AC80" si="18">SUM(J78:J79)</f>
        <v>0.75</v>
      </c>
      <c r="K80" s="19">
        <f t="shared" si="18"/>
        <v>0</v>
      </c>
      <c r="L80" s="19">
        <f>SUM(L78:L79)</f>
        <v>0</v>
      </c>
      <c r="M80" s="19">
        <f t="shared" si="18"/>
        <v>0</v>
      </c>
      <c r="N80" s="19">
        <f t="shared" si="18"/>
        <v>0</v>
      </c>
      <c r="O80" s="19">
        <f>SUM(O78:O79)</f>
        <v>0.88</v>
      </c>
      <c r="P80" s="19">
        <f t="shared" si="18"/>
        <v>0.87</v>
      </c>
      <c r="Q80" s="19">
        <f t="shared" si="18"/>
        <v>0.87</v>
      </c>
      <c r="R80" s="19">
        <f t="shared" si="18"/>
        <v>0.85</v>
      </c>
      <c r="S80" s="19">
        <f t="shared" si="18"/>
        <v>0.86</v>
      </c>
      <c r="T80" s="19">
        <f t="shared" si="18"/>
        <v>0.87</v>
      </c>
      <c r="U80" s="19">
        <f t="shared" si="18"/>
        <v>0.86</v>
      </c>
      <c r="V80" s="19">
        <f t="shared" si="18"/>
        <v>0.87</v>
      </c>
      <c r="W80" s="19">
        <f t="shared" si="18"/>
        <v>0.84</v>
      </c>
      <c r="X80" s="19">
        <f t="shared" si="18"/>
        <v>0.84</v>
      </c>
      <c r="Y80" s="19">
        <f t="shared" si="18"/>
        <v>1.01</v>
      </c>
      <c r="Z80" s="19">
        <f t="shared" si="18"/>
        <v>1.05</v>
      </c>
      <c r="AA80" s="19">
        <f t="shared" si="18"/>
        <v>1</v>
      </c>
      <c r="AB80" s="19">
        <f t="shared" si="18"/>
        <v>1</v>
      </c>
      <c r="AC80" s="19">
        <f t="shared" si="18"/>
        <v>0.91</v>
      </c>
      <c r="AD80" s="34"/>
      <c r="AE80" s="34"/>
      <c r="AF80" s="11"/>
      <c r="AG80" s="11"/>
      <c r="AH80" s="11"/>
    </row>
    <row r="81" spans="1:40" ht="17.45" hidden="1">
      <c r="A81" s="366" t="s">
        <v>72</v>
      </c>
      <c r="B81" s="365"/>
      <c r="C81" s="367">
        <v>2</v>
      </c>
      <c r="D81" s="363"/>
      <c r="E81" s="363"/>
      <c r="F81" s="364"/>
      <c r="G81" s="364"/>
      <c r="H81" s="364"/>
      <c r="I81" s="364"/>
      <c r="J81" s="364"/>
      <c r="K81" s="364"/>
      <c r="L81" s="364"/>
      <c r="M81" s="364"/>
      <c r="N81" s="364"/>
      <c r="O81" s="364"/>
      <c r="P81" s="364"/>
      <c r="Q81" s="364"/>
      <c r="R81" s="364"/>
      <c r="S81" s="364"/>
      <c r="T81" s="364"/>
      <c r="U81" s="364"/>
      <c r="V81" s="364"/>
      <c r="W81" s="364"/>
      <c r="X81" s="364"/>
      <c r="Y81" s="364"/>
      <c r="Z81" s="364"/>
      <c r="AA81" s="364"/>
      <c r="AB81" s="364"/>
      <c r="AC81" s="364"/>
    </row>
    <row r="82" spans="1:40" ht="17.45" hidden="1">
      <c r="A82" s="368"/>
      <c r="B82" s="369"/>
      <c r="C82" s="370"/>
      <c r="D82" s="371"/>
      <c r="E82" s="371"/>
      <c r="F82" s="372"/>
      <c r="G82" s="372"/>
      <c r="H82" s="372"/>
      <c r="I82" s="372"/>
      <c r="J82" s="372"/>
      <c r="K82" s="374"/>
      <c r="L82" s="374"/>
      <c r="M82" s="374"/>
      <c r="N82" s="372"/>
      <c r="O82" s="372"/>
      <c r="P82" s="372"/>
      <c r="Q82" s="372"/>
      <c r="R82" s="372"/>
      <c r="S82" s="372"/>
      <c r="T82" s="372"/>
      <c r="U82" s="372"/>
      <c r="V82" s="372"/>
      <c r="W82" s="372"/>
      <c r="X82" s="372"/>
      <c r="Y82" s="372"/>
      <c r="Z82" s="372"/>
      <c r="AA82" s="372"/>
      <c r="AB82" s="372"/>
      <c r="AC82" s="372"/>
    </row>
    <row r="83" spans="1:40">
      <c r="A83" s="21" t="s">
        <v>73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:AC83" si="19">SUM(F17,F22,F25,F31,F34,F60,F65,F76,F80,F82)</f>
        <v>47.250000000000007</v>
      </c>
      <c r="G83" s="28">
        <f t="shared" si="19"/>
        <v>44.29</v>
      </c>
      <c r="H83" s="28">
        <f t="shared" si="19"/>
        <v>42.59</v>
      </c>
      <c r="I83" s="28">
        <f t="shared" si="19"/>
        <v>41.07</v>
      </c>
      <c r="J83" s="28">
        <f t="shared" si="19"/>
        <v>40.869999999999997</v>
      </c>
      <c r="K83" s="28">
        <f t="shared" si="19"/>
        <v>39.930000000000007</v>
      </c>
      <c r="L83" s="28">
        <f t="shared" si="19"/>
        <v>39.739999999999995</v>
      </c>
      <c r="M83" s="28">
        <f t="shared" si="19"/>
        <v>40.43</v>
      </c>
      <c r="N83" s="28">
        <f>SUM(N17,N22,N25,N31,N34,N60,N65,N76,N80,N82)</f>
        <v>42.61</v>
      </c>
      <c r="O83" s="28">
        <f>SUM(O17,O22,O25,O31,O34,O60,O65,O76,O80,O82)</f>
        <v>49.250000000000007</v>
      </c>
      <c r="P83" s="28">
        <f t="shared" si="19"/>
        <v>52.52</v>
      </c>
      <c r="Q83" s="28">
        <f t="shared" si="19"/>
        <v>53.78</v>
      </c>
      <c r="R83" s="28">
        <f t="shared" si="19"/>
        <v>53.87</v>
      </c>
      <c r="S83" s="28">
        <f t="shared" si="19"/>
        <v>53.720000000000006</v>
      </c>
      <c r="T83" s="28">
        <f t="shared" si="19"/>
        <v>56.260000000000005</v>
      </c>
      <c r="U83" s="28">
        <f>SUM(U17,U22,U25,U31,U34,U60,U65,U76,U80,U82)</f>
        <v>56.69</v>
      </c>
      <c r="V83" s="28">
        <f t="shared" si="19"/>
        <v>56.31</v>
      </c>
      <c r="W83" s="28">
        <f t="shared" si="19"/>
        <v>55.45</v>
      </c>
      <c r="X83" s="28">
        <f t="shared" si="19"/>
        <v>56.050000000000004</v>
      </c>
      <c r="Y83" s="28">
        <f t="shared" si="19"/>
        <v>62.339999999999996</v>
      </c>
      <c r="Z83" s="28">
        <f t="shared" si="19"/>
        <v>58.540000000000006</v>
      </c>
      <c r="AA83" s="28">
        <f t="shared" si="19"/>
        <v>60.320000000000007</v>
      </c>
      <c r="AB83" s="28">
        <f t="shared" si="19"/>
        <v>56.440000000000005</v>
      </c>
      <c r="AC83" s="28">
        <f t="shared" si="19"/>
        <v>52.569999999999993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25" t="s">
        <v>74</v>
      </c>
      <c r="B85" s="525"/>
      <c r="C85" s="525"/>
      <c r="D85" s="525"/>
      <c r="E85" s="525"/>
      <c r="F85" s="525"/>
      <c r="G85" s="525"/>
      <c r="H85" s="525"/>
      <c r="I85" s="525"/>
      <c r="J85" s="525"/>
      <c r="K85" s="525"/>
      <c r="L85" s="525"/>
      <c r="M85" s="525"/>
      <c r="N85" s="525"/>
      <c r="O85" s="525"/>
      <c r="P85" s="525"/>
      <c r="Q85" s="525"/>
      <c r="R85" s="525"/>
      <c r="S85" s="525"/>
      <c r="T85" s="525"/>
      <c r="U85" s="525"/>
      <c r="V85" s="525"/>
      <c r="W85" s="525"/>
      <c r="X85" s="525"/>
      <c r="Y85" s="525"/>
      <c r="Z85" s="525"/>
      <c r="AA85" s="525"/>
      <c r="AB85" s="525"/>
      <c r="AC85" s="525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</row>
    <row r="87" spans="1:40" ht="17.45">
      <c r="A87" s="500" t="s">
        <v>75</v>
      </c>
      <c r="B87" s="501"/>
      <c r="C87" s="502"/>
      <c r="D87" s="49"/>
      <c r="E87" s="49"/>
      <c r="F87" s="506" t="s">
        <v>76</v>
      </c>
      <c r="G87" s="506"/>
      <c r="H87" s="506"/>
      <c r="I87" s="506"/>
      <c r="J87" s="506"/>
      <c r="K87" s="506"/>
      <c r="L87" s="506"/>
      <c r="M87" s="506"/>
      <c r="N87" s="506"/>
      <c r="O87" s="506"/>
      <c r="P87" s="506"/>
      <c r="Q87" s="506"/>
      <c r="R87" s="506"/>
      <c r="S87" s="506"/>
      <c r="T87" s="506"/>
      <c r="U87" s="506"/>
      <c r="V87" s="506"/>
      <c r="W87" s="506"/>
      <c r="X87" s="506"/>
      <c r="Y87" s="506"/>
      <c r="Z87" s="506"/>
      <c r="AA87" s="506"/>
      <c r="AB87" s="506"/>
      <c r="AC87" s="506"/>
      <c r="AD87" s="5"/>
      <c r="AE87" s="5"/>
      <c r="AF87" s="5"/>
      <c r="AG87" s="5"/>
      <c r="AH87" s="5"/>
    </row>
    <row r="88" spans="1:40" ht="15.6" customHeight="1">
      <c r="A88" s="503"/>
      <c r="B88" s="504"/>
      <c r="C88" s="505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07" t="s">
        <v>27</v>
      </c>
      <c r="B89" s="508"/>
      <c r="C89" s="509"/>
      <c r="D89" s="45"/>
      <c r="E89" s="45"/>
      <c r="F89" s="64">
        <f t="shared" ref="F89:AC89" si="20">SUM(F22,F25)</f>
        <v>0</v>
      </c>
      <c r="G89" s="64">
        <f t="shared" si="20"/>
        <v>0</v>
      </c>
      <c r="H89" s="64">
        <f t="shared" si="20"/>
        <v>0</v>
      </c>
      <c r="I89" s="64">
        <f t="shared" si="20"/>
        <v>0</v>
      </c>
      <c r="J89" s="64">
        <f t="shared" si="20"/>
        <v>0</v>
      </c>
      <c r="K89" s="64">
        <f t="shared" si="20"/>
        <v>0</v>
      </c>
      <c r="L89" s="64">
        <f t="shared" si="20"/>
        <v>0</v>
      </c>
      <c r="M89" s="64">
        <f t="shared" si="20"/>
        <v>0</v>
      </c>
      <c r="N89" s="64">
        <f t="shared" si="20"/>
        <v>0</v>
      </c>
      <c r="O89" s="64">
        <f t="shared" si="20"/>
        <v>2.5</v>
      </c>
      <c r="P89" s="64">
        <f t="shared" si="20"/>
        <v>7.6</v>
      </c>
      <c r="Q89" s="64">
        <f t="shared" si="20"/>
        <v>9.6</v>
      </c>
      <c r="R89" s="64">
        <f t="shared" si="20"/>
        <v>9.6</v>
      </c>
      <c r="S89" s="64">
        <f t="shared" si="20"/>
        <v>9.3000000000000007</v>
      </c>
      <c r="T89" s="64">
        <f t="shared" si="20"/>
        <v>10.399999999999999</v>
      </c>
      <c r="U89" s="64">
        <f t="shared" si="20"/>
        <v>10.399999999999999</v>
      </c>
      <c r="V89" s="64">
        <f t="shared" si="20"/>
        <v>10.399999999999999</v>
      </c>
      <c r="W89" s="64">
        <f t="shared" si="20"/>
        <v>10.399999999999999</v>
      </c>
      <c r="X89" s="64">
        <f t="shared" si="20"/>
        <v>10.399999999999999</v>
      </c>
      <c r="Y89" s="64">
        <f t="shared" si="20"/>
        <v>10.399999999999999</v>
      </c>
      <c r="Z89" s="64">
        <f t="shared" si="20"/>
        <v>10.399999999999999</v>
      </c>
      <c r="AA89" s="64">
        <f t="shared" si="20"/>
        <v>10.399999999999999</v>
      </c>
      <c r="AB89" s="64">
        <f t="shared" si="20"/>
        <v>10.399999999999999</v>
      </c>
      <c r="AC89" s="64">
        <f t="shared" si="20"/>
        <v>9.6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521" t="s">
        <v>77</v>
      </c>
      <c r="B90" s="521"/>
      <c r="C90" s="522"/>
      <c r="D90" s="45"/>
      <c r="E90" s="45"/>
      <c r="F90" s="68"/>
      <c r="G90" s="68"/>
      <c r="H90" s="68"/>
      <c r="I90" s="68"/>
      <c r="J90" s="68"/>
      <c r="K90" s="68"/>
      <c r="L90" s="68"/>
      <c r="M90" s="68"/>
      <c r="N90" s="68"/>
      <c r="O90" s="68"/>
      <c r="P90" s="68">
        <v>0.20300000000000001</v>
      </c>
      <c r="Q90" s="68">
        <v>0.19500000000000001</v>
      </c>
      <c r="R90" s="68">
        <v>0.19500000000000001</v>
      </c>
      <c r="S90" s="68">
        <v>0.19600000000000001</v>
      </c>
      <c r="T90" s="68">
        <v>0.23200000000000001</v>
      </c>
      <c r="U90" s="68">
        <v>0.20300000000000001</v>
      </c>
      <c r="V90" s="68">
        <v>0.23300000000000001</v>
      </c>
      <c r="W90" s="68">
        <v>0.21299999999999999</v>
      </c>
      <c r="X90" s="68">
        <v>0.25600000000000001</v>
      </c>
      <c r="Y90" s="68">
        <v>0.252</v>
      </c>
      <c r="Z90" s="68">
        <v>0.253</v>
      </c>
      <c r="AA90" s="68">
        <v>0.20499999999999999</v>
      </c>
      <c r="AB90" s="68">
        <v>0.20200000000000001</v>
      </c>
      <c r="AC90" s="68">
        <v>0.188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07" t="s">
        <v>78</v>
      </c>
      <c r="B91" s="508"/>
      <c r="C91" s="509"/>
      <c r="D91" s="45"/>
      <c r="E91" s="45"/>
      <c r="F91" s="64">
        <f t="shared" ref="F91:AC91" si="21">F17</f>
        <v>20.700000000000003</v>
      </c>
      <c r="G91" s="64">
        <f t="shared" si="21"/>
        <v>20.100000000000001</v>
      </c>
      <c r="H91" s="64">
        <f t="shared" si="21"/>
        <v>19.5</v>
      </c>
      <c r="I91" s="64">
        <f t="shared" si="21"/>
        <v>19.5</v>
      </c>
      <c r="J91" s="64">
        <f t="shared" si="21"/>
        <v>19.799999999999997</v>
      </c>
      <c r="K91" s="64">
        <f t="shared" si="21"/>
        <v>19.600000000000001</v>
      </c>
      <c r="L91" s="64">
        <f t="shared" si="21"/>
        <v>19.200000000000003</v>
      </c>
      <c r="M91" s="64">
        <f t="shared" si="21"/>
        <v>19.2</v>
      </c>
      <c r="N91" s="64">
        <f t="shared" si="21"/>
        <v>20.2</v>
      </c>
      <c r="O91" s="64">
        <f t="shared" si="21"/>
        <v>20.3</v>
      </c>
      <c r="P91" s="64">
        <f t="shared" si="21"/>
        <v>20.700000000000003</v>
      </c>
      <c r="Q91" s="64">
        <f t="shared" si="21"/>
        <v>19.899999999999999</v>
      </c>
      <c r="R91" s="64">
        <f t="shared" si="21"/>
        <v>19.899999999999999</v>
      </c>
      <c r="S91" s="64">
        <f t="shared" si="21"/>
        <v>20.100000000000001</v>
      </c>
      <c r="T91" s="64">
        <f t="shared" si="21"/>
        <v>20.700000000000003</v>
      </c>
      <c r="U91" s="64">
        <f t="shared" si="21"/>
        <v>20.399999999999999</v>
      </c>
      <c r="V91" s="64">
        <f t="shared" si="21"/>
        <v>20.100000000000001</v>
      </c>
      <c r="W91" s="64">
        <f t="shared" si="21"/>
        <v>20.100000000000001</v>
      </c>
      <c r="X91" s="64">
        <f t="shared" si="21"/>
        <v>20.100000000000001</v>
      </c>
      <c r="Y91" s="64">
        <f t="shared" si="21"/>
        <v>19.799999999999997</v>
      </c>
      <c r="Z91" s="64">
        <f t="shared" si="21"/>
        <v>20.100000000000001</v>
      </c>
      <c r="AA91" s="64">
        <f t="shared" si="21"/>
        <v>20.100000000000001</v>
      </c>
      <c r="AB91" s="64">
        <f t="shared" si="21"/>
        <v>13.8</v>
      </c>
      <c r="AC91" s="64">
        <f t="shared" si="21"/>
        <v>13.2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21" t="s">
        <v>79</v>
      </c>
      <c r="B92" s="521"/>
      <c r="C92" s="522"/>
      <c r="D92" s="45"/>
      <c r="E92" s="45"/>
      <c r="F92" s="68">
        <v>0.70399999999999996</v>
      </c>
      <c r="G92" s="68">
        <v>0.69</v>
      </c>
      <c r="H92" s="68">
        <v>0.66800000000000004</v>
      </c>
      <c r="I92" s="68">
        <v>0.73399999999999999</v>
      </c>
      <c r="J92" s="68">
        <v>0.94599999999999995</v>
      </c>
      <c r="K92" s="68">
        <v>0.71899999999999997</v>
      </c>
      <c r="L92" s="68">
        <v>0.753</v>
      </c>
      <c r="M92" s="68">
        <v>0.996</v>
      </c>
      <c r="N92" s="68">
        <v>0.82199999999999995</v>
      </c>
      <c r="O92" s="68">
        <v>0.627</v>
      </c>
      <c r="P92" s="68">
        <v>0.90200000000000002</v>
      </c>
      <c r="Q92" s="68">
        <v>0.875</v>
      </c>
      <c r="R92" s="68">
        <v>0.84599999999999997</v>
      </c>
      <c r="S92" s="68">
        <v>0.80900000000000005</v>
      </c>
      <c r="T92" s="68">
        <v>0.70799999999999996</v>
      </c>
      <c r="U92" s="68">
        <v>0.68400000000000005</v>
      </c>
      <c r="V92" s="68">
        <v>0.84</v>
      </c>
      <c r="W92" s="68">
        <v>0.81899999999999995</v>
      </c>
      <c r="X92" s="68">
        <v>0.92400000000000004</v>
      </c>
      <c r="Y92" s="68">
        <v>0.78800000000000003</v>
      </c>
      <c r="Z92" s="68">
        <v>0.69299999999999995</v>
      </c>
      <c r="AA92" s="68">
        <v>0.68700000000000006</v>
      </c>
      <c r="AB92" s="68">
        <v>0.80300000000000005</v>
      </c>
      <c r="AC92" s="68">
        <v>0.56200000000000006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07" t="s">
        <v>29</v>
      </c>
      <c r="B93" s="508"/>
      <c r="C93" s="509"/>
      <c r="D93" s="45"/>
      <c r="E93" s="45"/>
      <c r="F93" s="65">
        <f t="shared" ref="F93:AC93" si="22">F31</f>
        <v>8.8000000000000007</v>
      </c>
      <c r="G93" s="65">
        <f t="shared" si="22"/>
        <v>8</v>
      </c>
      <c r="H93" s="65">
        <f t="shared" si="22"/>
        <v>7</v>
      </c>
      <c r="I93" s="65">
        <f t="shared" si="22"/>
        <v>6</v>
      </c>
      <c r="J93" s="65">
        <f t="shared" si="22"/>
        <v>6</v>
      </c>
      <c r="K93" s="65">
        <f t="shared" si="22"/>
        <v>6</v>
      </c>
      <c r="L93" s="65">
        <f t="shared" si="22"/>
        <v>6.2</v>
      </c>
      <c r="M93" s="65">
        <f t="shared" si="22"/>
        <v>6.8</v>
      </c>
      <c r="N93" s="65">
        <f t="shared" si="22"/>
        <v>7</v>
      </c>
      <c r="O93" s="65">
        <f t="shared" si="22"/>
        <v>8</v>
      </c>
      <c r="P93" s="65">
        <f t="shared" si="22"/>
        <v>8</v>
      </c>
      <c r="Q93" s="65">
        <f t="shared" si="22"/>
        <v>8</v>
      </c>
      <c r="R93" s="65">
        <f t="shared" si="22"/>
        <v>8</v>
      </c>
      <c r="S93" s="65">
        <f t="shared" si="22"/>
        <v>8</v>
      </c>
      <c r="T93" s="65">
        <f>T31</f>
        <v>8</v>
      </c>
      <c r="U93" s="65">
        <f t="shared" si="22"/>
        <v>8</v>
      </c>
      <c r="V93" s="65">
        <f t="shared" si="22"/>
        <v>8</v>
      </c>
      <c r="W93" s="65">
        <f t="shared" si="22"/>
        <v>8</v>
      </c>
      <c r="X93" s="65">
        <f t="shared" si="22"/>
        <v>8.4</v>
      </c>
      <c r="Y93" s="65">
        <f t="shared" si="22"/>
        <v>11.3</v>
      </c>
      <c r="Z93" s="65">
        <f t="shared" si="22"/>
        <v>11.3</v>
      </c>
      <c r="AA93" s="65">
        <f t="shared" si="22"/>
        <v>13.190000000000001</v>
      </c>
      <c r="AB93" s="65">
        <f t="shared" si="22"/>
        <v>15.7</v>
      </c>
      <c r="AC93" s="65">
        <f t="shared" si="22"/>
        <v>13.38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21" t="s">
        <v>102</v>
      </c>
      <c r="B94" s="521"/>
      <c r="C94" s="522"/>
      <c r="D94" s="45"/>
      <c r="E94" s="45"/>
      <c r="F94" s="68">
        <v>0.253</v>
      </c>
      <c r="G94" s="68">
        <v>0.255</v>
      </c>
      <c r="H94" s="68">
        <v>0.26500000000000001</v>
      </c>
      <c r="I94" s="68">
        <v>0.26100000000000001</v>
      </c>
      <c r="J94" s="68">
        <v>0.27200000000000002</v>
      </c>
      <c r="K94" s="68">
        <v>0.27500000000000002</v>
      </c>
      <c r="L94" s="68">
        <v>0.28399999999999997</v>
      </c>
      <c r="M94" s="68">
        <v>0.28399999999999997</v>
      </c>
      <c r="N94" s="68">
        <v>0.25900000000000001</v>
      </c>
      <c r="O94" s="68">
        <v>0.25480000000000003</v>
      </c>
      <c r="P94" s="68">
        <v>0.28100000000000003</v>
      </c>
      <c r="Q94" s="68">
        <v>0.27</v>
      </c>
      <c r="R94" s="68">
        <v>0.26400000000000001</v>
      </c>
      <c r="S94" s="68">
        <v>0.26500000000000001</v>
      </c>
      <c r="T94" s="68">
        <v>0.248</v>
      </c>
      <c r="U94" s="68">
        <v>0.25900000000000001</v>
      </c>
      <c r="V94" s="68">
        <v>0.28000000000000003</v>
      </c>
      <c r="W94" s="68">
        <v>0.28499999999999998</v>
      </c>
      <c r="X94" s="68">
        <v>0.254</v>
      </c>
      <c r="Y94" s="68">
        <v>0.26100000000000001</v>
      </c>
      <c r="Z94" s="68">
        <v>0.25</v>
      </c>
      <c r="AA94" s="68">
        <v>0.248</v>
      </c>
      <c r="AB94" s="68">
        <v>0.248</v>
      </c>
      <c r="AC94" s="68">
        <v>0.245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21" t="s">
        <v>104</v>
      </c>
      <c r="B95" s="521"/>
      <c r="C95" s="522"/>
      <c r="D95" s="45"/>
      <c r="E95" s="45"/>
      <c r="F95" s="68"/>
      <c r="G95" s="68"/>
      <c r="H95" s="68"/>
      <c r="I95" s="68"/>
      <c r="J95" s="68"/>
      <c r="K95" s="68"/>
      <c r="L95" s="68"/>
      <c r="M95" s="68"/>
      <c r="N95" s="68"/>
      <c r="O95" s="68"/>
      <c r="P95" s="68"/>
      <c r="Q95" s="68"/>
      <c r="R95" s="68"/>
      <c r="S95" s="68"/>
      <c r="T95" s="68"/>
      <c r="U95" s="68" t="s">
        <v>1</v>
      </c>
      <c r="V95" s="68" t="s">
        <v>1</v>
      </c>
      <c r="W95" s="68" t="s">
        <v>1</v>
      </c>
      <c r="X95" s="68" t="s">
        <v>1</v>
      </c>
      <c r="Y95" s="68">
        <v>0.1981</v>
      </c>
      <c r="Z95" s="68">
        <v>0.1933</v>
      </c>
      <c r="AA95" s="68">
        <v>0.19289999999999999</v>
      </c>
      <c r="AB95" s="68">
        <v>0.20480000000000001</v>
      </c>
      <c r="AC95" s="68">
        <v>0.1943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07" t="s">
        <v>32</v>
      </c>
      <c r="B96" s="508"/>
      <c r="C96" s="509"/>
      <c r="D96" s="45"/>
      <c r="E96" s="45"/>
      <c r="F96" s="65">
        <f t="shared" ref="F96:AC96" si="23">F34</f>
        <v>14.28</v>
      </c>
      <c r="G96" s="65">
        <f t="shared" si="23"/>
        <v>14.33</v>
      </c>
      <c r="H96" s="65">
        <f t="shared" si="23"/>
        <v>14.31</v>
      </c>
      <c r="I96" s="65">
        <f t="shared" si="23"/>
        <v>13.82</v>
      </c>
      <c r="J96" s="65">
        <f t="shared" si="23"/>
        <v>13.31</v>
      </c>
      <c r="K96" s="65">
        <f t="shared" si="23"/>
        <v>13.31</v>
      </c>
      <c r="L96" s="65">
        <f t="shared" si="23"/>
        <v>13.29</v>
      </c>
      <c r="M96" s="65">
        <f t="shared" si="23"/>
        <v>13.32</v>
      </c>
      <c r="N96" s="65">
        <f t="shared" si="23"/>
        <v>14.28</v>
      </c>
      <c r="O96" s="65">
        <f t="shared" si="23"/>
        <v>14.18</v>
      </c>
      <c r="P96" s="65">
        <f t="shared" si="23"/>
        <v>14.25</v>
      </c>
      <c r="Q96" s="65">
        <f t="shared" si="23"/>
        <v>14.23</v>
      </c>
      <c r="R96" s="65">
        <f t="shared" si="23"/>
        <v>14.3</v>
      </c>
      <c r="S96" s="65">
        <f t="shared" si="23"/>
        <v>14.22</v>
      </c>
      <c r="T96" s="65">
        <f t="shared" si="23"/>
        <v>14.25</v>
      </c>
      <c r="U96" s="65">
        <f t="shared" si="23"/>
        <v>14.29</v>
      </c>
      <c r="V96" s="65">
        <f t="shared" si="23"/>
        <v>14.28</v>
      </c>
      <c r="W96" s="65">
        <f t="shared" si="23"/>
        <v>14.18</v>
      </c>
      <c r="X96" s="65">
        <f t="shared" si="23"/>
        <v>14.29</v>
      </c>
      <c r="Y96" s="65">
        <f t="shared" si="23"/>
        <v>14.3</v>
      </c>
      <c r="Z96" s="65">
        <f t="shared" si="23"/>
        <v>14.27</v>
      </c>
      <c r="AA96" s="65">
        <f t="shared" si="23"/>
        <v>14.29</v>
      </c>
      <c r="AB96" s="65">
        <f t="shared" si="23"/>
        <v>14.3</v>
      </c>
      <c r="AC96" s="65">
        <f t="shared" si="23"/>
        <v>14.32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21" t="s">
        <v>81</v>
      </c>
      <c r="B97" s="521"/>
      <c r="C97" s="522"/>
      <c r="D97" s="68"/>
      <c r="E97" s="68"/>
      <c r="F97" s="68">
        <v>0.72</v>
      </c>
      <c r="G97" s="68">
        <v>0.67</v>
      </c>
      <c r="H97" s="68">
        <v>0.69</v>
      </c>
      <c r="I97" s="68">
        <v>0.68</v>
      </c>
      <c r="J97" s="68">
        <v>0.69</v>
      </c>
      <c r="K97" s="68">
        <v>0.69</v>
      </c>
      <c r="L97" s="68">
        <v>0.71</v>
      </c>
      <c r="M97" s="68">
        <v>0.68</v>
      </c>
      <c r="N97" s="68">
        <v>0.72</v>
      </c>
      <c r="O97" s="68">
        <v>0.82</v>
      </c>
      <c r="P97" s="68">
        <v>0.75</v>
      </c>
      <c r="Q97" s="68">
        <v>0.77</v>
      </c>
      <c r="R97" s="68">
        <v>0.7</v>
      </c>
      <c r="S97" s="68">
        <v>0.78</v>
      </c>
      <c r="T97" s="68">
        <v>0.75</v>
      </c>
      <c r="U97" s="68">
        <v>0.71</v>
      </c>
      <c r="V97" s="68">
        <v>0.72</v>
      </c>
      <c r="W97" s="68">
        <v>0.82</v>
      </c>
      <c r="X97" s="68">
        <v>0.71</v>
      </c>
      <c r="Y97" s="68">
        <v>0.7</v>
      </c>
      <c r="Z97" s="68">
        <v>0.73</v>
      </c>
      <c r="AA97" s="68">
        <v>0.71</v>
      </c>
      <c r="AB97" s="68">
        <v>0.7</v>
      </c>
      <c r="AC97" s="68">
        <v>0.68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07" t="s">
        <v>33</v>
      </c>
      <c r="B98" s="508"/>
      <c r="C98" s="509"/>
      <c r="D98" s="45"/>
      <c r="E98" s="45"/>
      <c r="F98" s="64">
        <f t="shared" ref="F98:AC98" si="24">F60</f>
        <v>1.5</v>
      </c>
      <c r="G98" s="64">
        <f t="shared" si="24"/>
        <v>0</v>
      </c>
      <c r="H98" s="64">
        <f t="shared" si="24"/>
        <v>0</v>
      </c>
      <c r="I98" s="64">
        <f t="shared" si="24"/>
        <v>0</v>
      </c>
      <c r="J98" s="64">
        <f t="shared" si="24"/>
        <v>0</v>
      </c>
      <c r="K98" s="64">
        <f t="shared" si="24"/>
        <v>0</v>
      </c>
      <c r="L98" s="64">
        <f t="shared" si="24"/>
        <v>0</v>
      </c>
      <c r="M98" s="64">
        <f t="shared" si="24"/>
        <v>0</v>
      </c>
      <c r="N98" s="64">
        <f t="shared" si="24"/>
        <v>0</v>
      </c>
      <c r="O98" s="64">
        <f t="shared" si="24"/>
        <v>2.2000000000000002</v>
      </c>
      <c r="P98" s="64">
        <f t="shared" si="24"/>
        <v>0</v>
      </c>
      <c r="Q98" s="64">
        <f t="shared" si="24"/>
        <v>0</v>
      </c>
      <c r="R98" s="64">
        <f t="shared" si="24"/>
        <v>0</v>
      </c>
      <c r="S98" s="64">
        <f t="shared" si="24"/>
        <v>0</v>
      </c>
      <c r="T98" s="64">
        <f t="shared" si="24"/>
        <v>0.8</v>
      </c>
      <c r="U98" s="64">
        <f t="shared" si="24"/>
        <v>1.5</v>
      </c>
      <c r="V98" s="64">
        <f t="shared" si="24"/>
        <v>1.6</v>
      </c>
      <c r="W98" s="64">
        <f t="shared" si="24"/>
        <v>0.8</v>
      </c>
      <c r="X98" s="64">
        <f t="shared" si="24"/>
        <v>0.8</v>
      </c>
      <c r="Y98" s="64">
        <f t="shared" si="24"/>
        <v>4.1000000000000005</v>
      </c>
      <c r="Z98" s="64">
        <f t="shared" si="24"/>
        <v>0</v>
      </c>
      <c r="AA98" s="64">
        <f t="shared" si="24"/>
        <v>0</v>
      </c>
      <c r="AB98" s="64">
        <f t="shared" si="24"/>
        <v>0</v>
      </c>
      <c r="AC98" s="64">
        <f t="shared" si="24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07" t="s">
        <v>55</v>
      </c>
      <c r="B99" s="508"/>
      <c r="C99" s="509"/>
      <c r="D99" s="45"/>
      <c r="E99" s="45"/>
      <c r="F99" s="64">
        <f t="shared" ref="F99:AC99" si="25">F65</f>
        <v>1.1299999999999999</v>
      </c>
      <c r="G99" s="64">
        <f t="shared" si="25"/>
        <v>1.06</v>
      </c>
      <c r="H99" s="64">
        <f t="shared" si="25"/>
        <v>1.02</v>
      </c>
      <c r="I99" s="64">
        <f t="shared" si="25"/>
        <v>1.01</v>
      </c>
      <c r="J99" s="64">
        <f t="shared" si="25"/>
        <v>1.01</v>
      </c>
      <c r="K99" s="64">
        <f t="shared" si="25"/>
        <v>1.02</v>
      </c>
      <c r="L99" s="64">
        <f t="shared" si="25"/>
        <v>1.05</v>
      </c>
      <c r="M99" s="64">
        <f t="shared" si="25"/>
        <v>1.1100000000000001</v>
      </c>
      <c r="N99" s="64">
        <f t="shared" si="25"/>
        <v>1.1299999999999999</v>
      </c>
      <c r="O99" s="64">
        <f t="shared" si="25"/>
        <v>1.19</v>
      </c>
      <c r="P99" s="64">
        <f t="shared" si="25"/>
        <v>1.1000000000000001</v>
      </c>
      <c r="Q99" s="64">
        <f t="shared" si="25"/>
        <v>1.18</v>
      </c>
      <c r="R99" s="64">
        <f t="shared" si="25"/>
        <v>1.22</v>
      </c>
      <c r="S99" s="64">
        <f t="shared" si="25"/>
        <v>1.24</v>
      </c>
      <c r="T99" s="64">
        <f t="shared" si="25"/>
        <v>1.24</v>
      </c>
      <c r="U99" s="64">
        <f t="shared" si="25"/>
        <v>1.24</v>
      </c>
      <c r="V99" s="64">
        <f t="shared" si="25"/>
        <v>1.06</v>
      </c>
      <c r="W99" s="64">
        <f t="shared" si="25"/>
        <v>1.1299999999999999</v>
      </c>
      <c r="X99" s="64">
        <f t="shared" si="25"/>
        <v>1.22</v>
      </c>
      <c r="Y99" s="64">
        <f t="shared" si="25"/>
        <v>1.43</v>
      </c>
      <c r="Z99" s="64">
        <f t="shared" si="25"/>
        <v>1.42</v>
      </c>
      <c r="AA99" s="64">
        <f t="shared" si="25"/>
        <v>1.34</v>
      </c>
      <c r="AB99" s="64">
        <f t="shared" si="25"/>
        <v>1.24</v>
      </c>
      <c r="AC99" s="64">
        <f t="shared" si="25"/>
        <v>1.1599999999999999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07" t="s">
        <v>59</v>
      </c>
      <c r="B100" s="508"/>
      <c r="C100" s="509"/>
      <c r="D100" s="45"/>
      <c r="E100" s="45"/>
      <c r="F100" s="64">
        <f t="shared" ref="F100:AC100" si="26">F76</f>
        <v>0</v>
      </c>
      <c r="G100" s="64">
        <f t="shared" si="26"/>
        <v>0</v>
      </c>
      <c r="H100" s="64">
        <f t="shared" si="26"/>
        <v>0</v>
      </c>
      <c r="I100" s="64">
        <f t="shared" si="26"/>
        <v>0</v>
      </c>
      <c r="J100" s="64">
        <f t="shared" si="26"/>
        <v>0</v>
      </c>
      <c r="K100" s="64">
        <f t="shared" si="26"/>
        <v>0</v>
      </c>
      <c r="L100" s="64">
        <f t="shared" si="26"/>
        <v>0</v>
      </c>
      <c r="M100" s="64">
        <f t="shared" si="26"/>
        <v>0</v>
      </c>
      <c r="N100" s="64">
        <f t="shared" si="26"/>
        <v>0</v>
      </c>
      <c r="O100" s="64">
        <f t="shared" si="26"/>
        <v>0</v>
      </c>
      <c r="P100" s="64">
        <f t="shared" si="26"/>
        <v>0</v>
      </c>
      <c r="Q100" s="64">
        <f t="shared" si="26"/>
        <v>0</v>
      </c>
      <c r="R100" s="64">
        <f t="shared" si="26"/>
        <v>0</v>
      </c>
      <c r="S100" s="64">
        <f t="shared" si="26"/>
        <v>0</v>
      </c>
      <c r="T100" s="64">
        <f t="shared" si="26"/>
        <v>0</v>
      </c>
      <c r="U100" s="64">
        <f t="shared" si="26"/>
        <v>0</v>
      </c>
      <c r="V100" s="64">
        <f t="shared" si="26"/>
        <v>0</v>
      </c>
      <c r="W100" s="64">
        <f t="shared" si="26"/>
        <v>0</v>
      </c>
      <c r="X100" s="64">
        <f t="shared" si="26"/>
        <v>0</v>
      </c>
      <c r="Y100" s="64">
        <f t="shared" si="26"/>
        <v>0</v>
      </c>
      <c r="Z100" s="64">
        <f t="shared" si="26"/>
        <v>0</v>
      </c>
      <c r="AA100" s="64">
        <f t="shared" si="26"/>
        <v>0</v>
      </c>
      <c r="AB100" s="64">
        <f t="shared" si="26"/>
        <v>0</v>
      </c>
      <c r="AC100" s="64">
        <f t="shared" si="26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07" t="s">
        <v>69</v>
      </c>
      <c r="B101" s="508"/>
      <c r="C101" s="509"/>
      <c r="D101" s="45"/>
      <c r="E101" s="45"/>
      <c r="F101" s="64">
        <f t="shared" ref="F101:AC101" si="27">F80</f>
        <v>0.84</v>
      </c>
      <c r="G101" s="64">
        <f t="shared" si="27"/>
        <v>0.8</v>
      </c>
      <c r="H101" s="64">
        <f t="shared" si="27"/>
        <v>0.76</v>
      </c>
      <c r="I101" s="64">
        <f t="shared" si="27"/>
        <v>0.74</v>
      </c>
      <c r="J101" s="64">
        <f t="shared" si="27"/>
        <v>0.75</v>
      </c>
      <c r="K101" s="64">
        <f t="shared" si="27"/>
        <v>0</v>
      </c>
      <c r="L101" s="64">
        <f t="shared" si="27"/>
        <v>0</v>
      </c>
      <c r="M101" s="64">
        <f t="shared" si="27"/>
        <v>0</v>
      </c>
      <c r="N101" s="64">
        <f t="shared" si="27"/>
        <v>0</v>
      </c>
      <c r="O101" s="64">
        <f t="shared" si="27"/>
        <v>0.88</v>
      </c>
      <c r="P101" s="64">
        <f t="shared" si="27"/>
        <v>0.87</v>
      </c>
      <c r="Q101" s="64">
        <f t="shared" si="27"/>
        <v>0.87</v>
      </c>
      <c r="R101" s="64">
        <f t="shared" si="27"/>
        <v>0.85</v>
      </c>
      <c r="S101" s="64">
        <f t="shared" si="27"/>
        <v>0.86</v>
      </c>
      <c r="T101" s="64">
        <f t="shared" si="27"/>
        <v>0.87</v>
      </c>
      <c r="U101" s="64">
        <f t="shared" si="27"/>
        <v>0.86</v>
      </c>
      <c r="V101" s="64">
        <f t="shared" si="27"/>
        <v>0.87</v>
      </c>
      <c r="W101" s="64">
        <f t="shared" si="27"/>
        <v>0.84</v>
      </c>
      <c r="X101" s="64">
        <f t="shared" si="27"/>
        <v>0.84</v>
      </c>
      <c r="Y101" s="64">
        <f t="shared" si="27"/>
        <v>1.01</v>
      </c>
      <c r="Z101" s="64">
        <f t="shared" si="27"/>
        <v>1.05</v>
      </c>
      <c r="AA101" s="64">
        <f t="shared" si="27"/>
        <v>1</v>
      </c>
      <c r="AB101" s="64">
        <f t="shared" si="27"/>
        <v>1</v>
      </c>
      <c r="AC101" s="64">
        <f t="shared" si="27"/>
        <v>0.91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07" t="s">
        <v>72</v>
      </c>
      <c r="B102" s="508"/>
      <c r="C102" s="509"/>
      <c r="D102" s="45"/>
      <c r="E102" s="45"/>
      <c r="F102" s="64">
        <f t="shared" ref="F102:AC102" si="28">F82</f>
        <v>0</v>
      </c>
      <c r="G102" s="64">
        <f t="shared" si="28"/>
        <v>0</v>
      </c>
      <c r="H102" s="64">
        <f t="shared" si="28"/>
        <v>0</v>
      </c>
      <c r="I102" s="64">
        <f t="shared" si="28"/>
        <v>0</v>
      </c>
      <c r="J102" s="64">
        <f t="shared" si="28"/>
        <v>0</v>
      </c>
      <c r="K102" s="64">
        <f t="shared" si="28"/>
        <v>0</v>
      </c>
      <c r="L102" s="64">
        <f t="shared" si="28"/>
        <v>0</v>
      </c>
      <c r="M102" s="64">
        <f t="shared" si="28"/>
        <v>0</v>
      </c>
      <c r="N102" s="64">
        <f t="shared" si="28"/>
        <v>0</v>
      </c>
      <c r="O102" s="64">
        <f t="shared" si="28"/>
        <v>0</v>
      </c>
      <c r="P102" s="64">
        <f t="shared" si="28"/>
        <v>0</v>
      </c>
      <c r="Q102" s="64">
        <f t="shared" si="28"/>
        <v>0</v>
      </c>
      <c r="R102" s="64">
        <f t="shared" si="28"/>
        <v>0</v>
      </c>
      <c r="S102" s="64">
        <f t="shared" si="28"/>
        <v>0</v>
      </c>
      <c r="T102" s="64">
        <f t="shared" si="28"/>
        <v>0</v>
      </c>
      <c r="U102" s="64">
        <f t="shared" si="28"/>
        <v>0</v>
      </c>
      <c r="V102" s="64">
        <f t="shared" si="28"/>
        <v>0</v>
      </c>
      <c r="W102" s="64">
        <f t="shared" si="28"/>
        <v>0</v>
      </c>
      <c r="X102" s="64">
        <f t="shared" si="28"/>
        <v>0</v>
      </c>
      <c r="Y102" s="64">
        <f t="shared" si="28"/>
        <v>0</v>
      </c>
      <c r="Z102" s="64">
        <f t="shared" si="28"/>
        <v>0</v>
      </c>
      <c r="AA102" s="64">
        <f t="shared" si="28"/>
        <v>0</v>
      </c>
      <c r="AB102" s="64">
        <f t="shared" si="28"/>
        <v>0</v>
      </c>
      <c r="AC102" s="64">
        <f t="shared" si="28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11" t="s">
        <v>82</v>
      </c>
      <c r="B103" s="511"/>
      <c r="C103" s="511"/>
      <c r="D103" s="47"/>
      <c r="E103" s="47"/>
      <c r="F103" s="61">
        <f>SUM(F89,F91,F93,F96,F98:F102,F81)</f>
        <v>47.250000000000007</v>
      </c>
      <c r="G103" s="61">
        <f t="shared" ref="G103:AC103" si="29">SUM(G89,G91,G93,G96,G98:G102,G81)</f>
        <v>44.29</v>
      </c>
      <c r="H103" s="61">
        <f t="shared" si="29"/>
        <v>42.59</v>
      </c>
      <c r="I103" s="61">
        <f t="shared" si="29"/>
        <v>41.07</v>
      </c>
      <c r="J103" s="61">
        <f t="shared" si="29"/>
        <v>40.869999999999997</v>
      </c>
      <c r="K103" s="61">
        <f t="shared" si="29"/>
        <v>39.930000000000007</v>
      </c>
      <c r="L103" s="61">
        <f t="shared" si="29"/>
        <v>39.739999999999995</v>
      </c>
      <c r="M103" s="61">
        <f t="shared" si="29"/>
        <v>40.43</v>
      </c>
      <c r="N103" s="61">
        <f t="shared" si="29"/>
        <v>42.61</v>
      </c>
      <c r="O103" s="61">
        <f t="shared" si="29"/>
        <v>49.250000000000007</v>
      </c>
      <c r="P103" s="61">
        <f t="shared" si="29"/>
        <v>52.52</v>
      </c>
      <c r="Q103" s="61">
        <f t="shared" si="29"/>
        <v>53.78</v>
      </c>
      <c r="R103" s="61">
        <f t="shared" si="29"/>
        <v>53.87</v>
      </c>
      <c r="S103" s="61">
        <f t="shared" si="29"/>
        <v>53.720000000000006</v>
      </c>
      <c r="T103" s="61">
        <f t="shared" si="29"/>
        <v>56.26</v>
      </c>
      <c r="U103" s="61">
        <f t="shared" si="29"/>
        <v>56.69</v>
      </c>
      <c r="V103" s="61">
        <f t="shared" si="29"/>
        <v>56.31</v>
      </c>
      <c r="W103" s="61">
        <f t="shared" si="29"/>
        <v>55.45</v>
      </c>
      <c r="X103" s="61">
        <f t="shared" si="29"/>
        <v>56.05</v>
      </c>
      <c r="Y103" s="61">
        <f t="shared" si="29"/>
        <v>62.339999999999996</v>
      </c>
      <c r="Z103" s="61">
        <f t="shared" si="29"/>
        <v>58.539999999999992</v>
      </c>
      <c r="AA103" s="61">
        <f t="shared" si="29"/>
        <v>60.32</v>
      </c>
      <c r="AB103" s="61">
        <f t="shared" si="29"/>
        <v>56.440000000000005</v>
      </c>
      <c r="AC103" s="61">
        <f t="shared" si="29"/>
        <v>52.569999999999993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12" t="s">
        <v>83</v>
      </c>
      <c r="B104" s="512"/>
      <c r="C104" s="512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12" t="s">
        <v>84</v>
      </c>
      <c r="B105" s="512"/>
      <c r="C105" s="512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12" t="s">
        <v>85</v>
      </c>
      <c r="B106" s="512"/>
      <c r="C106" s="512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11" t="s">
        <v>86</v>
      </c>
      <c r="B107" s="511"/>
      <c r="C107" s="511"/>
      <c r="D107" s="47"/>
      <c r="E107" s="47"/>
      <c r="F107" s="61">
        <f t="shared" ref="F107:AC107" si="30">SUM(F104:F106)</f>
        <v>0</v>
      </c>
      <c r="G107" s="61">
        <f t="shared" si="30"/>
        <v>0</v>
      </c>
      <c r="H107" s="61">
        <f t="shared" si="30"/>
        <v>0</v>
      </c>
      <c r="I107" s="61">
        <f t="shared" si="30"/>
        <v>0</v>
      </c>
      <c r="J107" s="61">
        <f t="shared" si="30"/>
        <v>0</v>
      </c>
      <c r="K107" s="61">
        <f t="shared" si="30"/>
        <v>0</v>
      </c>
      <c r="L107" s="61">
        <f t="shared" si="30"/>
        <v>0</v>
      </c>
      <c r="M107" s="61">
        <f t="shared" si="30"/>
        <v>0</v>
      </c>
      <c r="N107" s="61">
        <f t="shared" si="30"/>
        <v>0</v>
      </c>
      <c r="O107" s="61">
        <f t="shared" si="30"/>
        <v>0</v>
      </c>
      <c r="P107" s="61">
        <f t="shared" si="30"/>
        <v>0</v>
      </c>
      <c r="Q107" s="61">
        <f t="shared" si="30"/>
        <v>0</v>
      </c>
      <c r="R107" s="61">
        <f t="shared" si="30"/>
        <v>0</v>
      </c>
      <c r="S107" s="61">
        <f t="shared" si="30"/>
        <v>0</v>
      </c>
      <c r="T107" s="61">
        <f t="shared" si="30"/>
        <v>0</v>
      </c>
      <c r="U107" s="61">
        <f t="shared" si="30"/>
        <v>0</v>
      </c>
      <c r="V107" s="61">
        <f t="shared" si="30"/>
        <v>0</v>
      </c>
      <c r="W107" s="61">
        <f t="shared" si="30"/>
        <v>0</v>
      </c>
      <c r="X107" s="61">
        <f t="shared" si="30"/>
        <v>0</v>
      </c>
      <c r="Y107" s="61">
        <f t="shared" si="30"/>
        <v>0</v>
      </c>
      <c r="Z107" s="61">
        <f t="shared" si="30"/>
        <v>0</v>
      </c>
      <c r="AA107" s="61">
        <f t="shared" si="30"/>
        <v>0</v>
      </c>
      <c r="AB107" s="61">
        <f t="shared" si="30"/>
        <v>0</v>
      </c>
      <c r="AC107" s="61">
        <f t="shared" si="30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13" t="s">
        <v>87</v>
      </c>
      <c r="B108" s="513"/>
      <c r="C108" s="513"/>
      <c r="D108" s="48"/>
      <c r="E108" s="48"/>
      <c r="F108" s="62">
        <f t="shared" ref="F108:AC108" si="31">F103+F107</f>
        <v>47.250000000000007</v>
      </c>
      <c r="G108" s="62">
        <f t="shared" si="31"/>
        <v>44.29</v>
      </c>
      <c r="H108" s="62">
        <f t="shared" si="31"/>
        <v>42.59</v>
      </c>
      <c r="I108" s="62">
        <f t="shared" si="31"/>
        <v>41.07</v>
      </c>
      <c r="J108" s="62">
        <f t="shared" si="31"/>
        <v>40.869999999999997</v>
      </c>
      <c r="K108" s="62">
        <f t="shared" si="31"/>
        <v>39.930000000000007</v>
      </c>
      <c r="L108" s="62">
        <f t="shared" si="31"/>
        <v>39.739999999999995</v>
      </c>
      <c r="M108" s="62">
        <f t="shared" si="31"/>
        <v>40.43</v>
      </c>
      <c r="N108" s="62">
        <f t="shared" si="31"/>
        <v>42.61</v>
      </c>
      <c r="O108" s="62">
        <f t="shared" si="31"/>
        <v>49.250000000000007</v>
      </c>
      <c r="P108" s="62">
        <f t="shared" si="31"/>
        <v>52.52</v>
      </c>
      <c r="Q108" s="62">
        <f t="shared" si="31"/>
        <v>53.78</v>
      </c>
      <c r="R108" s="62">
        <f t="shared" si="31"/>
        <v>53.87</v>
      </c>
      <c r="S108" s="62">
        <f t="shared" si="31"/>
        <v>53.720000000000006</v>
      </c>
      <c r="T108" s="62">
        <f>T103+T107</f>
        <v>56.26</v>
      </c>
      <c r="U108" s="62">
        <f t="shared" si="31"/>
        <v>56.69</v>
      </c>
      <c r="V108" s="62">
        <f t="shared" si="31"/>
        <v>56.31</v>
      </c>
      <c r="W108" s="62">
        <f>W103+W107</f>
        <v>55.45</v>
      </c>
      <c r="X108" s="62">
        <f t="shared" si="31"/>
        <v>56.05</v>
      </c>
      <c r="Y108" s="62">
        <f t="shared" si="31"/>
        <v>62.339999999999996</v>
      </c>
      <c r="Z108" s="62">
        <f t="shared" si="31"/>
        <v>58.539999999999992</v>
      </c>
      <c r="AA108" s="62">
        <f t="shared" si="31"/>
        <v>60.32</v>
      </c>
      <c r="AB108" s="62">
        <f t="shared" si="31"/>
        <v>56.440000000000005</v>
      </c>
      <c r="AC108" s="62">
        <f t="shared" si="31"/>
        <v>52.569999999999993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14" t="s">
        <v>88</v>
      </c>
      <c r="B109" s="514"/>
      <c r="C109" s="514"/>
      <c r="D109" s="52"/>
      <c r="E109" s="52"/>
      <c r="F109" s="63">
        <f t="shared" ref="F109:AC109" si="32">(COUNT(F13:F16))*7.2+(COUNT(F27:F28)*4.9)+(COUNT(F19:F21)*4.5)-F91-F93</f>
        <v>10.900000000000002</v>
      </c>
      <c r="G109" s="63">
        <f t="shared" si="32"/>
        <v>12.300000000000004</v>
      </c>
      <c r="H109" s="63">
        <f t="shared" si="32"/>
        <v>13.900000000000006</v>
      </c>
      <c r="I109" s="63">
        <f t="shared" si="32"/>
        <v>14.900000000000006</v>
      </c>
      <c r="J109" s="63">
        <f t="shared" si="32"/>
        <v>5.600000000000005</v>
      </c>
      <c r="K109" s="63">
        <f t="shared" si="32"/>
        <v>5.8000000000000007</v>
      </c>
      <c r="L109" s="63">
        <f t="shared" si="32"/>
        <v>5.9999999999999991</v>
      </c>
      <c r="M109" s="63">
        <f t="shared" si="32"/>
        <v>12.600000000000001</v>
      </c>
      <c r="N109" s="63">
        <f t="shared" si="32"/>
        <v>11.400000000000002</v>
      </c>
      <c r="O109" s="63">
        <f t="shared" si="32"/>
        <v>14.8</v>
      </c>
      <c r="P109" s="63">
        <f t="shared" si="32"/>
        <v>14.399999999999999</v>
      </c>
      <c r="Q109" s="63">
        <f t="shared" si="32"/>
        <v>19.700000000000003</v>
      </c>
      <c r="R109" s="63">
        <f t="shared" si="32"/>
        <v>19.700000000000003</v>
      </c>
      <c r="S109" s="63">
        <f t="shared" si="32"/>
        <v>19.5</v>
      </c>
      <c r="T109" s="63">
        <f t="shared" si="32"/>
        <v>18.899999999999999</v>
      </c>
      <c r="U109" s="63">
        <f t="shared" si="32"/>
        <v>19.200000000000003</v>
      </c>
      <c r="V109" s="63">
        <f t="shared" si="32"/>
        <v>19.5</v>
      </c>
      <c r="W109" s="63">
        <f t="shared" si="32"/>
        <v>19.5</v>
      </c>
      <c r="X109" s="63">
        <f t="shared" si="32"/>
        <v>19.100000000000001</v>
      </c>
      <c r="Y109" s="63">
        <f t="shared" si="32"/>
        <v>16.500000000000004</v>
      </c>
      <c r="Z109" s="63">
        <f t="shared" si="32"/>
        <v>16.2</v>
      </c>
      <c r="AA109" s="63">
        <f t="shared" si="32"/>
        <v>14.309999999999999</v>
      </c>
      <c r="AB109" s="63">
        <f t="shared" si="32"/>
        <v>10.900000000000006</v>
      </c>
      <c r="AC109" s="63">
        <f t="shared" si="32"/>
        <v>13.820000000000006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15" t="s">
        <v>89</v>
      </c>
      <c r="B110" s="516"/>
      <c r="C110" s="517"/>
      <c r="D110" s="204"/>
      <c r="E110" s="204"/>
      <c r="F110" s="205">
        <f t="shared" ref="F110:P110" si="33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0.49999999999999822</v>
      </c>
      <c r="G110" s="205">
        <f t="shared" si="33"/>
        <v>1.9000000000000004</v>
      </c>
      <c r="H110" s="205">
        <f t="shared" si="33"/>
        <v>3.5000000000000018</v>
      </c>
      <c r="I110" s="205">
        <f t="shared" si="33"/>
        <v>4.5000000000000018</v>
      </c>
      <c r="J110" s="205">
        <f t="shared" si="33"/>
        <v>4.2000000000000046</v>
      </c>
      <c r="K110" s="205">
        <f t="shared" si="33"/>
        <v>4.4000000000000004</v>
      </c>
      <c r="L110" s="205">
        <f t="shared" si="33"/>
        <v>4.5999999999999988</v>
      </c>
      <c r="M110" s="205">
        <f t="shared" si="33"/>
        <v>11.2</v>
      </c>
      <c r="N110" s="205">
        <f t="shared" si="33"/>
        <v>2.8000000000000025</v>
      </c>
      <c r="O110" s="205">
        <f t="shared" si="33"/>
        <v>3.7000000000000011</v>
      </c>
      <c r="P110" s="205">
        <f t="shared" si="33"/>
        <v>2.6999999999999993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6.400000000000003</v>
      </c>
      <c r="R110" s="205">
        <f t="shared" ref="R110:AC110" si="34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5.6000000000000023</v>
      </c>
      <c r="S110" s="205">
        <f t="shared" si="34"/>
        <v>5.6999999999999993</v>
      </c>
      <c r="T110" s="205">
        <f t="shared" si="34"/>
        <v>3.9999999999999982</v>
      </c>
      <c r="U110" s="205">
        <f t="shared" si="34"/>
        <v>4.3000000000000025</v>
      </c>
      <c r="V110" s="205">
        <f t="shared" si="34"/>
        <v>4.5999999999999996</v>
      </c>
      <c r="W110" s="205">
        <f t="shared" si="34"/>
        <v>4.5999999999999996</v>
      </c>
      <c r="X110" s="205">
        <f t="shared" si="34"/>
        <v>4.2000000000000011</v>
      </c>
      <c r="Y110" s="205">
        <f t="shared" si="34"/>
        <v>1.6000000000000032</v>
      </c>
      <c r="Z110" s="205">
        <f t="shared" si="34"/>
        <v>1.2999999999999998</v>
      </c>
      <c r="AA110" s="205">
        <f t="shared" si="34"/>
        <v>-0.59000000000000075</v>
      </c>
      <c r="AB110" s="205">
        <f t="shared" si="34"/>
        <v>-3.9999999999999991</v>
      </c>
      <c r="AC110" s="205">
        <f t="shared" si="34"/>
        <v>-0.27999999999999936</v>
      </c>
      <c r="AD110" s="26"/>
      <c r="AE110" s="26"/>
      <c r="AF110" s="466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10" t="s">
        <v>91</v>
      </c>
      <c r="B111" s="510"/>
      <c r="C111" s="510"/>
      <c r="D111" s="60"/>
      <c r="E111" s="72"/>
      <c r="F111" s="74">
        <v>60.07</v>
      </c>
      <c r="G111" s="74">
        <v>60.09</v>
      </c>
      <c r="H111" s="74">
        <v>60.09</v>
      </c>
      <c r="I111" s="74">
        <v>60.19</v>
      </c>
      <c r="J111" s="74">
        <v>60.13</v>
      </c>
      <c r="K111" s="74">
        <v>60.14</v>
      </c>
      <c r="L111" s="74">
        <v>60.14</v>
      </c>
      <c r="M111" s="74">
        <v>60.22</v>
      </c>
      <c r="N111" s="74">
        <v>60.11</v>
      </c>
      <c r="O111" s="74">
        <v>60.12</v>
      </c>
      <c r="P111" s="83">
        <v>60.14</v>
      </c>
      <c r="Q111" s="83">
        <v>60.16</v>
      </c>
      <c r="R111" s="83">
        <v>60.2</v>
      </c>
      <c r="S111" s="83">
        <v>60.15</v>
      </c>
      <c r="T111" s="83">
        <v>60.08</v>
      </c>
      <c r="U111" s="74">
        <v>60.16</v>
      </c>
      <c r="V111" s="74">
        <v>60.13</v>
      </c>
      <c r="W111" s="74">
        <v>60.17</v>
      </c>
      <c r="X111" s="74">
        <v>60.09</v>
      </c>
      <c r="Y111" s="74">
        <v>60.13</v>
      </c>
      <c r="Z111" s="74">
        <v>60.16</v>
      </c>
      <c r="AA111" s="74">
        <v>60.14</v>
      </c>
      <c r="AB111" s="74">
        <v>60.12</v>
      </c>
      <c r="AC111" s="74">
        <v>60.19</v>
      </c>
      <c r="AD111" s="26"/>
      <c r="AE111" s="26"/>
      <c r="AF111" s="467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18" t="s">
        <v>93</v>
      </c>
      <c r="B112" s="519"/>
      <c r="C112" s="520"/>
      <c r="D112" s="60"/>
      <c r="E112" s="72"/>
      <c r="F112" s="74"/>
      <c r="G112" s="74"/>
      <c r="H112" s="74"/>
      <c r="I112" s="74"/>
      <c r="J112" s="74"/>
      <c r="K112" s="74"/>
      <c r="L112" s="74"/>
      <c r="M112" s="74"/>
      <c r="N112" s="74"/>
      <c r="O112" s="74"/>
      <c r="P112" s="74"/>
      <c r="Q112" s="74"/>
      <c r="R112" s="74"/>
      <c r="S112" s="74"/>
      <c r="T112" s="74"/>
      <c r="U112" s="74"/>
      <c r="V112" s="74"/>
      <c r="W112" s="74"/>
      <c r="X112" s="74"/>
      <c r="Y112" s="74"/>
      <c r="Z112" s="74"/>
      <c r="AA112" s="74"/>
      <c r="AB112" s="74"/>
      <c r="AC112" s="74"/>
      <c r="AD112" s="26"/>
      <c r="AE112" s="26"/>
      <c r="AF112" s="469"/>
      <c r="AG112" s="472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18" t="s">
        <v>95</v>
      </c>
      <c r="B113" s="519"/>
      <c r="C113" s="520"/>
      <c r="D113" s="60"/>
      <c r="E113" s="74"/>
      <c r="F113" s="74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10" t="s">
        <v>96</v>
      </c>
      <c r="B114" s="510"/>
      <c r="C114" s="510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 t="s">
        <v>101</v>
      </c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10" t="s">
        <v>97</v>
      </c>
      <c r="B115" s="510"/>
      <c r="C115" s="510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499" t="s">
        <v>98</v>
      </c>
      <c r="B117" s="499"/>
      <c r="C117" s="499"/>
      <c r="D117" s="499"/>
      <c r="E117" s="499"/>
      <c r="F117" s="499"/>
      <c r="G117" s="499"/>
      <c r="H117" s="499"/>
      <c r="I117" s="499"/>
      <c r="J117" s="499"/>
      <c r="K117" s="499"/>
      <c r="L117" s="499"/>
      <c r="M117" s="499"/>
      <c r="N117" s="499"/>
      <c r="O117" s="499"/>
      <c r="P117" s="499"/>
      <c r="Q117" s="499"/>
      <c r="R117" s="499"/>
      <c r="S117" s="499"/>
      <c r="T117" s="499"/>
      <c r="U117" s="499"/>
      <c r="V117" s="499"/>
      <c r="W117" s="499"/>
      <c r="X117" s="499"/>
      <c r="Y117" s="499"/>
      <c r="Z117" s="499"/>
      <c r="AA117" s="499"/>
      <c r="AB117" s="499"/>
      <c r="AC117" s="499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00" t="s">
        <v>75</v>
      </c>
      <c r="B119" s="501"/>
      <c r="C119" s="502"/>
      <c r="D119" s="49"/>
      <c r="E119" s="49"/>
      <c r="F119" s="506" t="s">
        <v>76</v>
      </c>
      <c r="G119" s="506"/>
      <c r="H119" s="506"/>
      <c r="I119" s="506"/>
      <c r="J119" s="506"/>
      <c r="K119" s="506"/>
      <c r="L119" s="506"/>
      <c r="M119" s="506"/>
      <c r="N119" s="506"/>
      <c r="O119" s="506"/>
      <c r="P119" s="506"/>
      <c r="Q119" s="506"/>
      <c r="R119" s="506"/>
      <c r="S119" s="506"/>
      <c r="T119" s="506"/>
      <c r="U119" s="506"/>
      <c r="V119" s="506"/>
      <c r="W119" s="506"/>
      <c r="X119" s="506"/>
      <c r="Y119" s="506"/>
      <c r="Z119" s="506"/>
      <c r="AA119" s="506"/>
      <c r="AB119" s="506"/>
      <c r="AC119" s="506"/>
      <c r="AD119" s="5"/>
      <c r="AE119" s="5"/>
      <c r="AF119" s="5"/>
      <c r="AG119" s="5"/>
      <c r="AH119" s="5"/>
    </row>
    <row r="120" spans="1:124" ht="15.6" hidden="1" customHeight="1">
      <c r="A120" s="503"/>
      <c r="B120" s="504"/>
      <c r="C120" s="505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07" t="s">
        <v>27</v>
      </c>
      <c r="B121" s="508"/>
      <c r="C121" s="509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07" t="s">
        <v>78</v>
      </c>
      <c r="B122" s="508"/>
      <c r="C122" s="509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07" t="s">
        <v>29</v>
      </c>
      <c r="B123" s="508"/>
      <c r="C123" s="509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07" t="s">
        <v>32</v>
      </c>
      <c r="B124" s="508"/>
      <c r="C124" s="509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07" t="s">
        <v>33</v>
      </c>
      <c r="B125" s="508"/>
      <c r="C125" s="509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07" t="s">
        <v>55</v>
      </c>
      <c r="B126" s="508"/>
      <c r="C126" s="509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07" t="s">
        <v>59</v>
      </c>
      <c r="B127" s="508"/>
      <c r="C127" s="509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07" t="s">
        <v>69</v>
      </c>
      <c r="B128" s="508"/>
      <c r="C128" s="509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496" t="s">
        <v>99</v>
      </c>
      <c r="B129" s="497"/>
      <c r="C129" s="498"/>
      <c r="D129" s="51"/>
      <c r="E129" s="51"/>
      <c r="F129" s="44">
        <f>SUM(F121:F128)</f>
        <v>0</v>
      </c>
      <c r="G129" s="44">
        <f t="shared" ref="G129:AB129" si="35">SUM(G121:G128)</f>
        <v>0</v>
      </c>
      <c r="H129" s="44">
        <f t="shared" si="35"/>
        <v>0</v>
      </c>
      <c r="I129" s="44">
        <f t="shared" si="35"/>
        <v>0</v>
      </c>
      <c r="J129" s="44">
        <f t="shared" si="35"/>
        <v>0</v>
      </c>
      <c r="K129" s="44">
        <f t="shared" si="35"/>
        <v>0</v>
      </c>
      <c r="L129" s="44">
        <f t="shared" si="35"/>
        <v>0</v>
      </c>
      <c r="M129" s="44">
        <f t="shared" si="35"/>
        <v>0</v>
      </c>
      <c r="N129" s="44">
        <f t="shared" si="35"/>
        <v>0</v>
      </c>
      <c r="O129" s="44">
        <f t="shared" si="35"/>
        <v>0</v>
      </c>
      <c r="P129" s="44">
        <f t="shared" si="35"/>
        <v>0</v>
      </c>
      <c r="Q129" s="44">
        <f t="shared" si="35"/>
        <v>0</v>
      </c>
      <c r="R129" s="44">
        <f t="shared" si="35"/>
        <v>0</v>
      </c>
      <c r="S129" s="44">
        <f t="shared" si="35"/>
        <v>0</v>
      </c>
      <c r="T129" s="44">
        <f t="shared" si="35"/>
        <v>0</v>
      </c>
      <c r="U129" s="44">
        <f t="shared" si="35"/>
        <v>0</v>
      </c>
      <c r="V129" s="44">
        <f t="shared" si="35"/>
        <v>0</v>
      </c>
      <c r="W129" s="44">
        <f t="shared" si="35"/>
        <v>0</v>
      </c>
      <c r="X129" s="44">
        <f t="shared" si="35"/>
        <v>0</v>
      </c>
      <c r="Y129" s="44">
        <f t="shared" si="35"/>
        <v>0</v>
      </c>
      <c r="Z129" s="44">
        <f t="shared" si="35"/>
        <v>0</v>
      </c>
      <c r="AA129" s="44">
        <f t="shared" si="35"/>
        <v>0</v>
      </c>
      <c r="AB129" s="44">
        <f t="shared" si="35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3599" priority="280" operator="greaterThan">
      <formula>60.3</formula>
    </cfRule>
  </conditionalFormatting>
  <conditionalFormatting sqref="F111">
    <cfRule type="cellIs" dxfId="3598" priority="279" operator="greaterThan">
      <formula>60.3</formula>
    </cfRule>
  </conditionalFormatting>
  <conditionalFormatting sqref="G67:AC75 G78:AC79">
    <cfRule type="cellIs" dxfId="3597" priority="271" operator="equal">
      <formula>"PMS"</formula>
    </cfRule>
    <cfRule type="containsText" dxfId="3596" priority="272" operator="containsText" text="CMS">
      <formula>NOT(ISERROR(SEARCH("CMS",G67)))</formula>
    </cfRule>
    <cfRule type="cellIs" dxfId="3595" priority="273" operator="equal">
      <formula>0</formula>
    </cfRule>
    <cfRule type="cellIs" dxfId="3594" priority="274" operator="greaterThan">
      <formula>0</formula>
    </cfRule>
    <cfRule type="cellIs" dxfId="3593" priority="275" operator="equal">
      <formula>"PMS"</formula>
    </cfRule>
    <cfRule type="containsText" dxfId="3592" priority="276" operator="containsText" text="CMS">
      <formula>NOT(ISERROR(SEARCH("CMS",G67)))</formula>
    </cfRule>
    <cfRule type="cellIs" dxfId="3591" priority="277" operator="equal">
      <formula>0</formula>
    </cfRule>
    <cfRule type="cellIs" dxfId="3590" priority="278" operator="greaterThan">
      <formula>0</formula>
    </cfRule>
  </conditionalFormatting>
  <conditionalFormatting sqref="G67:AC75 G78:AC79">
    <cfRule type="cellIs" dxfId="3589" priority="267" operator="equal">
      <formula>"PMS"</formula>
    </cfRule>
    <cfRule type="containsText" dxfId="3588" priority="268" operator="containsText" text="CMS">
      <formula>NOT(ISERROR(SEARCH("CMS",G67)))</formula>
    </cfRule>
    <cfRule type="cellIs" dxfId="3587" priority="269" operator="equal">
      <formula>0</formula>
    </cfRule>
    <cfRule type="cellIs" dxfId="3586" priority="270" operator="greaterThan">
      <formula>0</formula>
    </cfRule>
  </conditionalFormatting>
  <conditionalFormatting sqref="G82:AC82">
    <cfRule type="cellIs" dxfId="3585" priority="259" operator="equal">
      <formula>"PMS"</formula>
    </cfRule>
    <cfRule type="containsText" dxfId="3584" priority="260" operator="containsText" text="CMS">
      <formula>NOT(ISERROR(SEARCH("CMS",G82)))</formula>
    </cfRule>
    <cfRule type="cellIs" dxfId="3583" priority="261" operator="equal">
      <formula>0</formula>
    </cfRule>
    <cfRule type="cellIs" dxfId="3582" priority="262" operator="greaterThan">
      <formula>0</formula>
    </cfRule>
    <cfRule type="cellIs" dxfId="3581" priority="263" operator="equal">
      <formula>"PMS"</formula>
    </cfRule>
    <cfRule type="containsText" dxfId="3580" priority="264" operator="containsText" text="CMS">
      <formula>NOT(ISERROR(SEARCH("CMS",G82)))</formula>
    </cfRule>
    <cfRule type="cellIs" dxfId="3579" priority="265" operator="equal">
      <formula>0</formula>
    </cfRule>
    <cfRule type="cellIs" dxfId="3578" priority="266" operator="greaterThan">
      <formula>0</formula>
    </cfRule>
  </conditionalFormatting>
  <conditionalFormatting sqref="G82:AC82">
    <cfRule type="cellIs" dxfId="3577" priority="255" operator="equal">
      <formula>"PMS"</formula>
    </cfRule>
    <cfRule type="containsText" dxfId="3576" priority="256" operator="containsText" text="CMS">
      <formula>NOT(ISERROR(SEARCH("CMS",G82)))</formula>
    </cfRule>
    <cfRule type="cellIs" dxfId="3575" priority="257" operator="equal">
      <formula>0</formula>
    </cfRule>
    <cfRule type="cellIs" dxfId="3574" priority="258" operator="greaterThan">
      <formula>0</formula>
    </cfRule>
  </conditionalFormatting>
  <conditionalFormatting sqref="E113:AC113 F112:N112">
    <cfRule type="cellIs" dxfId="3573" priority="254" operator="greaterThan">
      <formula>60.3</formula>
    </cfRule>
  </conditionalFormatting>
  <conditionalFormatting sqref="O112:AC112">
    <cfRule type="cellIs" dxfId="3572" priority="253" operator="greaterThan">
      <formula>60.3</formula>
    </cfRule>
  </conditionalFormatting>
  <conditionalFormatting sqref="G62:AC64">
    <cfRule type="cellIs" dxfId="3571" priority="245" operator="equal">
      <formula>"PMS"</formula>
    </cfRule>
    <cfRule type="containsText" dxfId="3570" priority="246" operator="containsText" text="CMS">
      <formula>NOT(ISERROR(SEARCH("CMS",G62)))</formula>
    </cfRule>
    <cfRule type="cellIs" dxfId="3569" priority="247" operator="equal">
      <formula>0</formula>
    </cfRule>
    <cfRule type="cellIs" dxfId="3568" priority="248" operator="greaterThan">
      <formula>0</formula>
    </cfRule>
    <cfRule type="cellIs" dxfId="3567" priority="249" operator="equal">
      <formula>"PMS"</formula>
    </cfRule>
    <cfRule type="containsText" dxfId="3566" priority="250" operator="containsText" text="CMS">
      <formula>NOT(ISERROR(SEARCH("CMS",G62)))</formula>
    </cfRule>
    <cfRule type="cellIs" dxfId="3565" priority="251" operator="equal">
      <formula>0</formula>
    </cfRule>
    <cfRule type="cellIs" dxfId="3564" priority="252" operator="greaterThan">
      <formula>0</formula>
    </cfRule>
  </conditionalFormatting>
  <conditionalFormatting sqref="G62:AC64">
    <cfRule type="cellIs" dxfId="3563" priority="241" operator="equal">
      <formula>"PMS"</formula>
    </cfRule>
    <cfRule type="containsText" dxfId="3562" priority="242" operator="containsText" text="CMS">
      <formula>NOT(ISERROR(SEARCH("CMS",G62)))</formula>
    </cfRule>
    <cfRule type="cellIs" dxfId="3561" priority="243" operator="equal">
      <formula>0</formula>
    </cfRule>
    <cfRule type="cellIs" dxfId="3560" priority="244" operator="greaterThan">
      <formula>0</formula>
    </cfRule>
  </conditionalFormatting>
  <conditionalFormatting sqref="G36:AC59">
    <cfRule type="cellIs" dxfId="3559" priority="233" operator="equal">
      <formula>"PMS"</formula>
    </cfRule>
    <cfRule type="containsText" dxfId="3558" priority="234" operator="containsText" text="CMS">
      <formula>NOT(ISERROR(SEARCH("CMS",G36)))</formula>
    </cfRule>
    <cfRule type="cellIs" dxfId="3557" priority="235" operator="equal">
      <formula>0</formula>
    </cfRule>
    <cfRule type="cellIs" dxfId="3556" priority="236" operator="greaterThan">
      <formula>0</formula>
    </cfRule>
    <cfRule type="cellIs" dxfId="3555" priority="237" operator="equal">
      <formula>"PMS"</formula>
    </cfRule>
    <cfRule type="containsText" dxfId="3554" priority="238" operator="containsText" text="CMS">
      <formula>NOT(ISERROR(SEARCH("CMS",G36)))</formula>
    </cfRule>
    <cfRule type="cellIs" dxfId="3553" priority="239" operator="equal">
      <formula>0</formula>
    </cfRule>
    <cfRule type="cellIs" dxfId="3552" priority="240" operator="greaterThan">
      <formula>0</formula>
    </cfRule>
  </conditionalFormatting>
  <conditionalFormatting sqref="G36:AC59">
    <cfRule type="cellIs" dxfId="3551" priority="229" operator="equal">
      <formula>"PMS"</formula>
    </cfRule>
    <cfRule type="containsText" dxfId="3550" priority="230" operator="containsText" text="CMS">
      <formula>NOT(ISERROR(SEARCH("CMS",G36)))</formula>
    </cfRule>
    <cfRule type="cellIs" dxfId="3549" priority="231" operator="equal">
      <formula>0</formula>
    </cfRule>
    <cfRule type="cellIs" dxfId="3548" priority="232" operator="greaterThan">
      <formula>0</formula>
    </cfRule>
  </conditionalFormatting>
  <conditionalFormatting sqref="G33:AC33">
    <cfRule type="cellIs" dxfId="3547" priority="221" operator="equal">
      <formula>"PMS"</formula>
    </cfRule>
    <cfRule type="containsText" dxfId="3546" priority="222" operator="containsText" text="CMS">
      <formula>NOT(ISERROR(SEARCH("CMS",G33)))</formula>
    </cfRule>
    <cfRule type="cellIs" dxfId="3545" priority="223" operator="equal">
      <formula>0</formula>
    </cfRule>
    <cfRule type="cellIs" dxfId="3544" priority="224" operator="greaterThan">
      <formula>0</formula>
    </cfRule>
    <cfRule type="cellIs" dxfId="3543" priority="225" operator="equal">
      <formula>"PMS"</formula>
    </cfRule>
    <cfRule type="containsText" dxfId="3542" priority="226" operator="containsText" text="CMS">
      <formula>NOT(ISERROR(SEARCH("CMS",G33)))</formula>
    </cfRule>
    <cfRule type="cellIs" dxfId="3541" priority="227" operator="equal">
      <formula>0</formula>
    </cfRule>
    <cfRule type="cellIs" dxfId="3540" priority="228" operator="greaterThan">
      <formula>0</formula>
    </cfRule>
  </conditionalFormatting>
  <conditionalFormatting sqref="G33:AC33">
    <cfRule type="cellIs" dxfId="3539" priority="217" operator="equal">
      <formula>"PMS"</formula>
    </cfRule>
    <cfRule type="containsText" dxfId="3538" priority="218" operator="containsText" text="CMS">
      <formula>NOT(ISERROR(SEARCH("CMS",G33)))</formula>
    </cfRule>
    <cfRule type="cellIs" dxfId="3537" priority="219" operator="equal">
      <formula>0</formula>
    </cfRule>
    <cfRule type="cellIs" dxfId="3536" priority="220" operator="greaterThan">
      <formula>0</formula>
    </cfRule>
  </conditionalFormatting>
  <conditionalFormatting sqref="G29:AC30 G27:J28 L27:AC28">
    <cfRule type="cellIs" dxfId="3535" priority="209" operator="equal">
      <formula>"PMS"</formula>
    </cfRule>
    <cfRule type="containsText" dxfId="3534" priority="210" operator="containsText" text="CMS">
      <formula>NOT(ISERROR(SEARCH("CMS",G27)))</formula>
    </cfRule>
    <cfRule type="cellIs" dxfId="3533" priority="211" operator="equal">
      <formula>0</formula>
    </cfRule>
    <cfRule type="cellIs" dxfId="3532" priority="212" operator="greaterThan">
      <formula>0</formula>
    </cfRule>
    <cfRule type="cellIs" dxfId="3531" priority="213" operator="equal">
      <formula>"PMS"</formula>
    </cfRule>
    <cfRule type="containsText" dxfId="3530" priority="214" operator="containsText" text="CMS">
      <formula>NOT(ISERROR(SEARCH("CMS",G27)))</formula>
    </cfRule>
    <cfRule type="cellIs" dxfId="3529" priority="215" operator="equal">
      <formula>0</formula>
    </cfRule>
    <cfRule type="cellIs" dxfId="3528" priority="216" operator="greaterThan">
      <formula>0</formula>
    </cfRule>
  </conditionalFormatting>
  <conditionalFormatting sqref="G29:AC30 G27:J28 L27:AC28">
    <cfRule type="cellIs" dxfId="3527" priority="205" operator="equal">
      <formula>"PMS"</formula>
    </cfRule>
    <cfRule type="containsText" dxfId="3526" priority="206" operator="containsText" text="CMS">
      <formula>NOT(ISERROR(SEARCH("CMS",G27)))</formula>
    </cfRule>
    <cfRule type="cellIs" dxfId="3525" priority="207" operator="equal">
      <formula>0</formula>
    </cfRule>
    <cfRule type="cellIs" dxfId="3524" priority="208" operator="greaterThan">
      <formula>0</formula>
    </cfRule>
  </conditionalFormatting>
  <conditionalFormatting sqref="F24:AC24">
    <cfRule type="cellIs" dxfId="3523" priority="197" operator="equal">
      <formula>"PMS"</formula>
    </cfRule>
    <cfRule type="containsText" dxfId="3522" priority="198" operator="containsText" text="CMS">
      <formula>NOT(ISERROR(SEARCH("CMS",F24)))</formula>
    </cfRule>
    <cfRule type="cellIs" dxfId="3521" priority="199" operator="equal">
      <formula>0</formula>
    </cfRule>
    <cfRule type="cellIs" dxfId="3520" priority="200" operator="greaterThan">
      <formula>0</formula>
    </cfRule>
    <cfRule type="cellIs" dxfId="3519" priority="201" operator="equal">
      <formula>"PMS"</formula>
    </cfRule>
    <cfRule type="containsText" dxfId="3518" priority="202" operator="containsText" text="CMS">
      <formula>NOT(ISERROR(SEARCH("CMS",F24)))</formula>
    </cfRule>
    <cfRule type="cellIs" dxfId="3517" priority="203" operator="equal">
      <formula>0</formula>
    </cfRule>
    <cfRule type="cellIs" dxfId="3516" priority="204" operator="greaterThan">
      <formula>0</formula>
    </cfRule>
  </conditionalFormatting>
  <conditionalFormatting sqref="F24:AC24">
    <cfRule type="cellIs" dxfId="3515" priority="193" operator="equal">
      <formula>"PMS"</formula>
    </cfRule>
    <cfRule type="containsText" dxfId="3514" priority="194" operator="containsText" text="CMS">
      <formula>NOT(ISERROR(SEARCH("CMS",F24)))</formula>
    </cfRule>
    <cfRule type="cellIs" dxfId="3513" priority="195" operator="equal">
      <formula>0</formula>
    </cfRule>
    <cfRule type="cellIs" dxfId="3512" priority="196" operator="greaterThan">
      <formula>0</formula>
    </cfRule>
  </conditionalFormatting>
  <conditionalFormatting sqref="G19:AC21">
    <cfRule type="cellIs" dxfId="3511" priority="185" operator="equal">
      <formula>"PMS"</formula>
    </cfRule>
    <cfRule type="containsText" dxfId="3510" priority="186" operator="containsText" text="CMS">
      <formula>NOT(ISERROR(SEARCH("CMS",G19)))</formula>
    </cfRule>
    <cfRule type="cellIs" dxfId="3509" priority="187" operator="equal">
      <formula>0</formula>
    </cfRule>
    <cfRule type="cellIs" dxfId="3508" priority="188" operator="greaterThan">
      <formula>0</formula>
    </cfRule>
    <cfRule type="cellIs" dxfId="3507" priority="189" operator="equal">
      <formula>"PMS"</formula>
    </cfRule>
    <cfRule type="containsText" dxfId="3506" priority="190" operator="containsText" text="CMS">
      <formula>NOT(ISERROR(SEARCH("CMS",G19)))</formula>
    </cfRule>
    <cfRule type="cellIs" dxfId="3505" priority="191" operator="equal">
      <formula>0</formula>
    </cfRule>
    <cfRule type="cellIs" dxfId="3504" priority="192" operator="greaterThan">
      <formula>0</formula>
    </cfRule>
  </conditionalFormatting>
  <conditionalFormatting sqref="G19:AC21">
    <cfRule type="cellIs" dxfId="3503" priority="181" operator="equal">
      <formula>"PMS"</formula>
    </cfRule>
    <cfRule type="containsText" dxfId="3502" priority="182" operator="containsText" text="CMS">
      <formula>NOT(ISERROR(SEARCH("CMS",G19)))</formula>
    </cfRule>
    <cfRule type="cellIs" dxfId="3501" priority="183" operator="equal">
      <formula>0</formula>
    </cfRule>
    <cfRule type="cellIs" dxfId="3500" priority="184" operator="greaterThan">
      <formula>0</formula>
    </cfRule>
  </conditionalFormatting>
  <conditionalFormatting sqref="G13:AC16">
    <cfRule type="cellIs" dxfId="3499" priority="173" operator="equal">
      <formula>"PMS"</formula>
    </cfRule>
    <cfRule type="containsText" dxfId="3498" priority="174" operator="containsText" text="CMS">
      <formula>NOT(ISERROR(SEARCH("CMS",G13)))</formula>
    </cfRule>
    <cfRule type="cellIs" dxfId="3497" priority="175" operator="equal">
      <formula>0</formula>
    </cfRule>
    <cfRule type="cellIs" dxfId="3496" priority="176" operator="greaterThan">
      <formula>0</formula>
    </cfRule>
    <cfRule type="cellIs" dxfId="3495" priority="177" operator="equal">
      <formula>"PMS"</formula>
    </cfRule>
    <cfRule type="containsText" dxfId="3494" priority="178" operator="containsText" text="CMS">
      <formula>NOT(ISERROR(SEARCH("CMS",G13)))</formula>
    </cfRule>
    <cfRule type="cellIs" dxfId="3493" priority="179" operator="equal">
      <formula>0</formula>
    </cfRule>
    <cfRule type="cellIs" dxfId="3492" priority="180" operator="greaterThan">
      <formula>0</formula>
    </cfRule>
  </conditionalFormatting>
  <conditionalFormatting sqref="G13:AC16">
    <cfRule type="cellIs" dxfId="3491" priority="169" operator="equal">
      <formula>"PMS"</formula>
    </cfRule>
    <cfRule type="containsText" dxfId="3490" priority="170" operator="containsText" text="CMS">
      <formula>NOT(ISERROR(SEARCH("CMS",G13)))</formula>
    </cfRule>
    <cfRule type="cellIs" dxfId="3489" priority="171" operator="equal">
      <formula>0</formula>
    </cfRule>
    <cfRule type="cellIs" dxfId="3488" priority="172" operator="greaterThan">
      <formula>0</formula>
    </cfRule>
  </conditionalFormatting>
  <conditionalFormatting sqref="K27:K28">
    <cfRule type="cellIs" dxfId="3487" priority="161" operator="equal">
      <formula>"PMS"</formula>
    </cfRule>
    <cfRule type="containsText" dxfId="3486" priority="162" operator="containsText" text="CMS">
      <formula>NOT(ISERROR(SEARCH("CMS",K27)))</formula>
    </cfRule>
    <cfRule type="cellIs" dxfId="3485" priority="163" operator="equal">
      <formula>0</formula>
    </cfRule>
    <cfRule type="cellIs" dxfId="3484" priority="164" operator="greaterThan">
      <formula>0</formula>
    </cfRule>
    <cfRule type="cellIs" dxfId="3483" priority="165" operator="equal">
      <formula>"PMS"</formula>
    </cfRule>
    <cfRule type="containsText" dxfId="3482" priority="166" operator="containsText" text="CMS">
      <formula>NOT(ISERROR(SEARCH("CMS",K27)))</formula>
    </cfRule>
    <cfRule type="cellIs" dxfId="3481" priority="167" operator="equal">
      <formula>0</formula>
    </cfRule>
    <cfRule type="cellIs" dxfId="3480" priority="168" operator="greaterThan">
      <formula>0</formula>
    </cfRule>
  </conditionalFormatting>
  <conditionalFormatting sqref="K27:K28">
    <cfRule type="cellIs" dxfId="3479" priority="157" operator="equal">
      <formula>"PMS"</formula>
    </cfRule>
    <cfRule type="containsText" dxfId="3478" priority="158" operator="containsText" text="CMS">
      <formula>NOT(ISERROR(SEARCH("CMS",K27)))</formula>
    </cfRule>
    <cfRule type="cellIs" dxfId="3477" priority="159" operator="equal">
      <formula>0</formula>
    </cfRule>
    <cfRule type="cellIs" dxfId="3476" priority="160" operator="greaterThan">
      <formula>0</formula>
    </cfRule>
  </conditionalFormatting>
  <conditionalFormatting sqref="F67:F75 F78:F79">
    <cfRule type="cellIs" dxfId="3475" priority="149" operator="equal">
      <formula>"PMS"</formula>
    </cfRule>
    <cfRule type="containsText" dxfId="3474" priority="150" operator="containsText" text="CMS">
      <formula>NOT(ISERROR(SEARCH("CMS",F67)))</formula>
    </cfRule>
    <cfRule type="cellIs" dxfId="3473" priority="151" operator="equal">
      <formula>0</formula>
    </cfRule>
    <cfRule type="cellIs" dxfId="3472" priority="152" operator="greaterThan">
      <formula>0</formula>
    </cfRule>
    <cfRule type="cellIs" dxfId="3471" priority="153" operator="equal">
      <formula>"PMS"</formula>
    </cfRule>
    <cfRule type="containsText" dxfId="3470" priority="154" operator="containsText" text="CMS">
      <formula>NOT(ISERROR(SEARCH("CMS",F67)))</formula>
    </cfRule>
    <cfRule type="cellIs" dxfId="3469" priority="155" operator="equal">
      <formula>0</formula>
    </cfRule>
    <cfRule type="cellIs" dxfId="3468" priority="156" operator="greaterThan">
      <formula>0</formula>
    </cfRule>
  </conditionalFormatting>
  <conditionalFormatting sqref="F67:F75 F78:F79">
    <cfRule type="cellIs" dxfId="3467" priority="145" operator="equal">
      <formula>"PMS"</formula>
    </cfRule>
    <cfRule type="containsText" dxfId="3466" priority="146" operator="containsText" text="CMS">
      <formula>NOT(ISERROR(SEARCH("CMS",F67)))</formula>
    </cfRule>
    <cfRule type="cellIs" dxfId="3465" priority="147" operator="equal">
      <formula>0</formula>
    </cfRule>
    <cfRule type="cellIs" dxfId="3464" priority="148" operator="greaterThan">
      <formula>0</formula>
    </cfRule>
  </conditionalFormatting>
  <conditionalFormatting sqref="F82">
    <cfRule type="cellIs" dxfId="3463" priority="137" operator="equal">
      <formula>"PMS"</formula>
    </cfRule>
    <cfRule type="containsText" dxfId="3462" priority="138" operator="containsText" text="CMS">
      <formula>NOT(ISERROR(SEARCH("CMS",F82)))</formula>
    </cfRule>
    <cfRule type="cellIs" dxfId="3461" priority="139" operator="equal">
      <formula>0</formula>
    </cfRule>
    <cfRule type="cellIs" dxfId="3460" priority="140" operator="greaterThan">
      <formula>0</formula>
    </cfRule>
    <cfRule type="cellIs" dxfId="3459" priority="141" operator="equal">
      <formula>"PMS"</formula>
    </cfRule>
    <cfRule type="containsText" dxfId="3458" priority="142" operator="containsText" text="CMS">
      <formula>NOT(ISERROR(SEARCH("CMS",F82)))</formula>
    </cfRule>
    <cfRule type="cellIs" dxfId="3457" priority="143" operator="equal">
      <formula>0</formula>
    </cfRule>
    <cfRule type="cellIs" dxfId="3456" priority="144" operator="greaterThan">
      <formula>0</formula>
    </cfRule>
  </conditionalFormatting>
  <conditionalFormatting sqref="F82">
    <cfRule type="cellIs" dxfId="3455" priority="133" operator="equal">
      <formula>"PMS"</formula>
    </cfRule>
    <cfRule type="containsText" dxfId="3454" priority="134" operator="containsText" text="CMS">
      <formula>NOT(ISERROR(SEARCH("CMS",F82)))</formula>
    </cfRule>
    <cfRule type="cellIs" dxfId="3453" priority="135" operator="equal">
      <formula>0</formula>
    </cfRule>
    <cfRule type="cellIs" dxfId="3452" priority="136" operator="greaterThan">
      <formula>0</formula>
    </cfRule>
  </conditionalFormatting>
  <conditionalFormatting sqref="F33">
    <cfRule type="cellIs" dxfId="3451" priority="101" operator="equal">
      <formula>"PMS"</formula>
    </cfRule>
    <cfRule type="containsText" dxfId="3450" priority="102" operator="containsText" text="CMS">
      <formula>NOT(ISERROR(SEARCH("CMS",F33)))</formula>
    </cfRule>
    <cfRule type="cellIs" dxfId="3449" priority="103" operator="equal">
      <formula>0</formula>
    </cfRule>
    <cfRule type="cellIs" dxfId="3448" priority="104" operator="greaterThan">
      <formula>0</formula>
    </cfRule>
    <cfRule type="cellIs" dxfId="3447" priority="105" operator="equal">
      <formula>"PMS"</formula>
    </cfRule>
    <cfRule type="containsText" dxfId="3446" priority="106" operator="containsText" text="CMS">
      <formula>NOT(ISERROR(SEARCH("CMS",F33)))</formula>
    </cfRule>
    <cfRule type="cellIs" dxfId="3445" priority="107" operator="equal">
      <formula>0</formula>
    </cfRule>
    <cfRule type="cellIs" dxfId="3444" priority="108" operator="greaterThan">
      <formula>0</formula>
    </cfRule>
  </conditionalFormatting>
  <conditionalFormatting sqref="F33">
    <cfRule type="cellIs" dxfId="3443" priority="97" operator="equal">
      <formula>"PMS"</formula>
    </cfRule>
    <cfRule type="containsText" dxfId="3442" priority="98" operator="containsText" text="CMS">
      <formula>NOT(ISERROR(SEARCH("CMS",F33)))</formula>
    </cfRule>
    <cfRule type="cellIs" dxfId="3441" priority="99" operator="equal">
      <formula>0</formula>
    </cfRule>
    <cfRule type="cellIs" dxfId="3440" priority="100" operator="greaterThan">
      <formula>0</formula>
    </cfRule>
  </conditionalFormatting>
  <conditionalFormatting sqref="F27:F30">
    <cfRule type="cellIs" dxfId="3439" priority="89" operator="equal">
      <formula>"PMS"</formula>
    </cfRule>
    <cfRule type="containsText" dxfId="3438" priority="90" operator="containsText" text="CMS">
      <formula>NOT(ISERROR(SEARCH("CMS",F27)))</formula>
    </cfRule>
    <cfRule type="cellIs" dxfId="3437" priority="91" operator="equal">
      <formula>0</formula>
    </cfRule>
    <cfRule type="cellIs" dxfId="3436" priority="92" operator="greaterThan">
      <formula>0</formula>
    </cfRule>
    <cfRule type="cellIs" dxfId="3435" priority="93" operator="equal">
      <formula>"PMS"</formula>
    </cfRule>
    <cfRule type="containsText" dxfId="3434" priority="94" operator="containsText" text="CMS">
      <formula>NOT(ISERROR(SEARCH("CMS",F27)))</formula>
    </cfRule>
    <cfRule type="cellIs" dxfId="3433" priority="95" operator="equal">
      <formula>0</formula>
    </cfRule>
    <cfRule type="cellIs" dxfId="3432" priority="96" operator="greaterThan">
      <formula>0</formula>
    </cfRule>
  </conditionalFormatting>
  <conditionalFormatting sqref="F27:F30">
    <cfRule type="cellIs" dxfId="3431" priority="85" operator="equal">
      <formula>"PMS"</formula>
    </cfRule>
    <cfRule type="containsText" dxfId="3430" priority="86" operator="containsText" text="CMS">
      <formula>NOT(ISERROR(SEARCH("CMS",F27)))</formula>
    </cfRule>
    <cfRule type="cellIs" dxfId="3429" priority="87" operator="equal">
      <formula>0</formula>
    </cfRule>
    <cfRule type="cellIs" dxfId="3428" priority="88" operator="greaterThan">
      <formula>0</formula>
    </cfRule>
  </conditionalFormatting>
  <conditionalFormatting sqref="F13:F16">
    <cfRule type="cellIs" dxfId="3427" priority="41" operator="equal">
      <formula>"PMS"</formula>
    </cfRule>
    <cfRule type="containsText" dxfId="3426" priority="42" operator="containsText" text="CMS">
      <formula>NOT(ISERROR(SEARCH("CMS",F13)))</formula>
    </cfRule>
    <cfRule type="cellIs" dxfId="3425" priority="43" operator="equal">
      <formula>0</formula>
    </cfRule>
    <cfRule type="cellIs" dxfId="3424" priority="44" operator="greaterThan">
      <formula>0</formula>
    </cfRule>
    <cfRule type="cellIs" dxfId="3423" priority="45" operator="equal">
      <formula>"PMS"</formula>
    </cfRule>
    <cfRule type="containsText" dxfId="3422" priority="46" operator="containsText" text="CMS">
      <formula>NOT(ISERROR(SEARCH("CMS",F13)))</formula>
    </cfRule>
    <cfRule type="cellIs" dxfId="3421" priority="47" operator="equal">
      <formula>0</formula>
    </cfRule>
    <cfRule type="cellIs" dxfId="3420" priority="48" operator="greaterThan">
      <formula>0</formula>
    </cfRule>
  </conditionalFormatting>
  <conditionalFormatting sqref="F13:F16">
    <cfRule type="cellIs" dxfId="3419" priority="37" operator="equal">
      <formula>"PMS"</formula>
    </cfRule>
    <cfRule type="containsText" dxfId="3418" priority="38" operator="containsText" text="CMS">
      <formula>NOT(ISERROR(SEARCH("CMS",F13)))</formula>
    </cfRule>
    <cfRule type="cellIs" dxfId="3417" priority="39" operator="equal">
      <formula>0</formula>
    </cfRule>
    <cfRule type="cellIs" dxfId="3416" priority="40" operator="greaterThan">
      <formula>0</formula>
    </cfRule>
  </conditionalFormatting>
  <conditionalFormatting sqref="F19:F21">
    <cfRule type="cellIs" dxfId="3415" priority="29" operator="equal">
      <formula>"PMS"</formula>
    </cfRule>
    <cfRule type="containsText" dxfId="3414" priority="30" operator="containsText" text="CMS">
      <formula>NOT(ISERROR(SEARCH("CMS",F19)))</formula>
    </cfRule>
    <cfRule type="cellIs" dxfId="3413" priority="31" operator="equal">
      <formula>0</formula>
    </cfRule>
    <cfRule type="cellIs" dxfId="3412" priority="32" operator="greaterThan">
      <formula>0</formula>
    </cfRule>
    <cfRule type="cellIs" dxfId="3411" priority="33" operator="equal">
      <formula>"PMS"</formula>
    </cfRule>
    <cfRule type="containsText" dxfId="3410" priority="34" operator="containsText" text="CMS">
      <formula>NOT(ISERROR(SEARCH("CMS",F19)))</formula>
    </cfRule>
    <cfRule type="cellIs" dxfId="3409" priority="35" operator="equal">
      <formula>0</formula>
    </cfRule>
    <cfRule type="cellIs" dxfId="3408" priority="36" operator="greaterThan">
      <formula>0</formula>
    </cfRule>
  </conditionalFormatting>
  <conditionalFormatting sqref="F19:F21">
    <cfRule type="cellIs" dxfId="3407" priority="25" operator="equal">
      <formula>"PMS"</formula>
    </cfRule>
    <cfRule type="containsText" dxfId="3406" priority="26" operator="containsText" text="CMS">
      <formula>NOT(ISERROR(SEARCH("CMS",F19)))</formula>
    </cfRule>
    <cfRule type="cellIs" dxfId="3405" priority="27" operator="equal">
      <formula>0</formula>
    </cfRule>
    <cfRule type="cellIs" dxfId="3404" priority="28" operator="greaterThan">
      <formula>0</formula>
    </cfRule>
  </conditionalFormatting>
  <conditionalFormatting sqref="F36:F59">
    <cfRule type="cellIs" dxfId="3403" priority="17" operator="equal">
      <formula>"PMS"</formula>
    </cfRule>
    <cfRule type="containsText" dxfId="3402" priority="18" operator="containsText" text="CMS">
      <formula>NOT(ISERROR(SEARCH("CMS",F36)))</formula>
    </cfRule>
    <cfRule type="cellIs" dxfId="3401" priority="19" operator="equal">
      <formula>0</formula>
    </cfRule>
    <cfRule type="cellIs" dxfId="3400" priority="20" operator="greaterThan">
      <formula>0</formula>
    </cfRule>
    <cfRule type="cellIs" dxfId="3399" priority="21" operator="equal">
      <formula>"PMS"</formula>
    </cfRule>
    <cfRule type="containsText" dxfId="3398" priority="22" operator="containsText" text="CMS">
      <formula>NOT(ISERROR(SEARCH("CMS",F36)))</formula>
    </cfRule>
    <cfRule type="cellIs" dxfId="3397" priority="23" operator="equal">
      <formula>0</formula>
    </cfRule>
    <cfRule type="cellIs" dxfId="3396" priority="24" operator="greaterThan">
      <formula>0</formula>
    </cfRule>
  </conditionalFormatting>
  <conditionalFormatting sqref="F36:F59">
    <cfRule type="cellIs" dxfId="3395" priority="13" operator="equal">
      <formula>"PMS"</formula>
    </cfRule>
    <cfRule type="containsText" dxfId="3394" priority="14" operator="containsText" text="CMS">
      <formula>NOT(ISERROR(SEARCH("CMS",F36)))</formula>
    </cfRule>
    <cfRule type="cellIs" dxfId="3393" priority="15" operator="equal">
      <formula>0</formula>
    </cfRule>
    <cfRule type="cellIs" dxfId="3392" priority="16" operator="greaterThan">
      <formula>0</formula>
    </cfRule>
  </conditionalFormatting>
  <conditionalFormatting sqref="F62:F64">
    <cfRule type="cellIs" dxfId="3391" priority="5" operator="equal">
      <formula>"PMS"</formula>
    </cfRule>
    <cfRule type="containsText" dxfId="3390" priority="6" operator="containsText" text="CMS">
      <formula>NOT(ISERROR(SEARCH("CMS",F62)))</formula>
    </cfRule>
    <cfRule type="cellIs" dxfId="3389" priority="7" operator="equal">
      <formula>0</formula>
    </cfRule>
    <cfRule type="cellIs" dxfId="3388" priority="8" operator="greaterThan">
      <formula>0</formula>
    </cfRule>
    <cfRule type="cellIs" dxfId="3387" priority="9" operator="equal">
      <formula>"PMS"</formula>
    </cfRule>
    <cfRule type="containsText" dxfId="3386" priority="10" operator="containsText" text="CMS">
      <formula>NOT(ISERROR(SEARCH("CMS",F62)))</formula>
    </cfRule>
    <cfRule type="cellIs" dxfId="3385" priority="11" operator="equal">
      <formula>0</formula>
    </cfRule>
    <cfRule type="cellIs" dxfId="3384" priority="12" operator="greaterThan">
      <formula>0</formula>
    </cfRule>
  </conditionalFormatting>
  <conditionalFormatting sqref="F62:F64">
    <cfRule type="cellIs" dxfId="3383" priority="1" operator="equal">
      <formula>"PMS"</formula>
    </cfRule>
    <cfRule type="containsText" dxfId="3382" priority="2" operator="containsText" text="CMS">
      <formula>NOT(ISERROR(SEARCH("CMS",F62)))</formula>
    </cfRule>
    <cfRule type="cellIs" dxfId="3381" priority="3" operator="equal">
      <formula>0</formula>
    </cfRule>
    <cfRule type="cellIs" dxfId="3380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766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D0557-88E0-480A-BF25-D8C3B37EF74B}">
  <sheetPr codeName="Sheet177"/>
  <dimension ref="A2:DT141"/>
  <sheetViews>
    <sheetView zoomScale="70" zoomScaleNormal="70" zoomScaleSheetLayoutView="51" zoomScalePageLayoutView="55" workbookViewId="0">
      <pane xSplit="5" ySplit="11" topLeftCell="F94" activePane="bottomRight" state="frozen"/>
      <selection pane="bottomRight" activeCell="Y108" sqref="Y108"/>
      <selection pane="bottomLeft" activeCell="AJ44" sqref="AJ44"/>
      <selection pane="topRight" activeCell="AJ44" sqref="AJ4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23"/>
      <c r="N8" s="523"/>
      <c r="O8" s="52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24" t="e" cm="1">
        <f t="array" aca="1" ref="M9" ca="1">TEXT(TODAY(),"mmmm")&amp;" "&amp;MID(CELL("filename",A1),FIND("]",CELL("filename",A1))+1,255)&amp;", "&amp;TEXT(TODAY(),"yyyy")</f>
        <v>#VALUE!</v>
      </c>
      <c r="N9" s="524"/>
      <c r="O9" s="524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4"/>
      <c r="R10" s="344"/>
      <c r="S10" s="344"/>
      <c r="T10" s="344"/>
      <c r="U10" s="344"/>
      <c r="V10" s="344"/>
      <c r="W10" s="344"/>
      <c r="X10" s="344"/>
      <c r="Y10" s="344"/>
      <c r="Z10" s="344"/>
      <c r="AA10" s="344"/>
      <c r="AB10" s="344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17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480.99999999999989</v>
      </c>
    </row>
    <row r="13" spans="1:41">
      <c r="A13" s="14" t="s">
        <v>22</v>
      </c>
      <c r="B13" s="15"/>
      <c r="C13" s="15">
        <v>7.2</v>
      </c>
      <c r="D13" s="15"/>
      <c r="E13" s="15"/>
      <c r="F13" s="372">
        <v>0</v>
      </c>
      <c r="G13" s="372">
        <v>0</v>
      </c>
      <c r="H13" s="372">
        <v>0</v>
      </c>
      <c r="I13" s="372">
        <v>0</v>
      </c>
      <c r="J13" s="372">
        <v>0</v>
      </c>
      <c r="K13" s="374">
        <v>0</v>
      </c>
      <c r="L13" s="374">
        <v>0</v>
      </c>
      <c r="M13" s="374">
        <v>0</v>
      </c>
      <c r="N13" s="372">
        <v>0</v>
      </c>
      <c r="O13" s="372">
        <v>0</v>
      </c>
      <c r="P13" s="372">
        <v>0</v>
      </c>
      <c r="Q13" s="372">
        <v>6.6</v>
      </c>
      <c r="R13" s="372">
        <v>6.6</v>
      </c>
      <c r="S13" s="372">
        <v>7</v>
      </c>
      <c r="T13" s="372">
        <v>6.4</v>
      </c>
      <c r="U13" s="372">
        <v>6.7</v>
      </c>
      <c r="V13" s="372">
        <v>6.7</v>
      </c>
      <c r="W13" s="372">
        <v>6.4</v>
      </c>
      <c r="X13" s="372">
        <v>6.5</v>
      </c>
      <c r="Y13" s="372">
        <v>6.4</v>
      </c>
      <c r="Z13" s="372">
        <v>6.6</v>
      </c>
      <c r="AA13" s="372">
        <v>6.4</v>
      </c>
      <c r="AB13" s="372">
        <v>6.6</v>
      </c>
      <c r="AC13" s="372">
        <v>6.5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1">
      <c r="A14" s="14" t="s">
        <v>23</v>
      </c>
      <c r="B14" s="15"/>
      <c r="C14" s="15">
        <v>7.2</v>
      </c>
      <c r="D14" s="15"/>
      <c r="E14" s="15"/>
      <c r="F14" s="372">
        <v>6.6</v>
      </c>
      <c r="G14" s="372"/>
      <c r="H14" s="372"/>
      <c r="I14" s="372"/>
      <c r="J14" s="372"/>
      <c r="K14" s="374"/>
      <c r="L14" s="374"/>
      <c r="M14" s="374"/>
      <c r="N14" s="372">
        <v>2.6</v>
      </c>
      <c r="O14" s="372">
        <v>6.6</v>
      </c>
      <c r="P14" s="372">
        <v>6.9</v>
      </c>
      <c r="Q14" s="372">
        <v>6.6</v>
      </c>
      <c r="R14" s="372">
        <v>6.6</v>
      </c>
      <c r="S14" s="372">
        <v>7</v>
      </c>
      <c r="T14" s="372">
        <v>6.4</v>
      </c>
      <c r="U14" s="372">
        <v>6.7</v>
      </c>
      <c r="V14" s="372">
        <v>6.7</v>
      </c>
      <c r="W14" s="372">
        <v>6.4</v>
      </c>
      <c r="X14" s="372">
        <v>6.5</v>
      </c>
      <c r="Y14" s="372">
        <v>6.4</v>
      </c>
      <c r="Z14" s="372">
        <v>6.5</v>
      </c>
      <c r="AA14" s="372">
        <v>6.4</v>
      </c>
      <c r="AB14" s="372">
        <v>6.5</v>
      </c>
      <c r="AC14" s="372">
        <v>6.5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17</v>
      </c>
    </row>
    <row r="15" spans="1:41">
      <c r="A15" s="66" t="s">
        <v>24</v>
      </c>
      <c r="B15" s="15"/>
      <c r="C15" s="15">
        <v>7.2</v>
      </c>
      <c r="D15" s="15"/>
      <c r="E15" s="15"/>
      <c r="F15" s="372">
        <v>6.6</v>
      </c>
      <c r="G15" s="372">
        <v>6.6</v>
      </c>
      <c r="H15" s="372">
        <v>1.5</v>
      </c>
      <c r="I15" s="372">
        <v>6.7</v>
      </c>
      <c r="J15" s="372">
        <v>6.6</v>
      </c>
      <c r="K15" s="374">
        <v>6.6</v>
      </c>
      <c r="L15" s="374">
        <v>6.7</v>
      </c>
      <c r="M15" s="374">
        <v>6.6</v>
      </c>
      <c r="N15" s="372">
        <v>6.6</v>
      </c>
      <c r="O15" s="372">
        <v>6.6</v>
      </c>
      <c r="P15" s="372">
        <v>6.9</v>
      </c>
      <c r="Q15" s="372">
        <v>6.6</v>
      </c>
      <c r="R15" s="372">
        <v>6.6</v>
      </c>
      <c r="S15" s="372">
        <v>7</v>
      </c>
      <c r="T15" s="372">
        <v>6.4</v>
      </c>
      <c r="U15" s="372">
        <v>6.7</v>
      </c>
      <c r="V15" s="372">
        <v>6.7</v>
      </c>
      <c r="W15" s="372">
        <v>6.4</v>
      </c>
      <c r="X15" s="372">
        <v>6.5</v>
      </c>
      <c r="Y15" s="372">
        <v>6.4</v>
      </c>
      <c r="Z15" s="372">
        <v>6.8</v>
      </c>
      <c r="AA15" s="372">
        <v>6.8</v>
      </c>
      <c r="AB15" s="372">
        <v>6.7</v>
      </c>
      <c r="AC15" s="372"/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23</v>
      </c>
    </row>
    <row r="16" spans="1:41">
      <c r="A16" s="14" t="s">
        <v>25</v>
      </c>
      <c r="B16" s="15"/>
      <c r="C16" s="15">
        <v>7.2</v>
      </c>
      <c r="D16" s="15"/>
      <c r="E16" s="15"/>
      <c r="F16" s="372"/>
      <c r="G16" s="372"/>
      <c r="H16" s="372">
        <v>1.5</v>
      </c>
      <c r="I16" s="372">
        <v>6.7</v>
      </c>
      <c r="J16" s="372">
        <v>6.6</v>
      </c>
      <c r="K16" s="374">
        <v>6.6</v>
      </c>
      <c r="L16" s="374">
        <v>6.7</v>
      </c>
      <c r="M16" s="374">
        <v>6.6</v>
      </c>
      <c r="N16" s="372">
        <v>6.6</v>
      </c>
      <c r="O16" s="372">
        <v>6.6</v>
      </c>
      <c r="P16" s="372">
        <v>6.9</v>
      </c>
      <c r="Q16" s="372">
        <v>6.6</v>
      </c>
      <c r="R16" s="372">
        <v>6.6</v>
      </c>
      <c r="S16" s="372">
        <v>7</v>
      </c>
      <c r="T16" s="372">
        <v>6.4</v>
      </c>
      <c r="U16" s="372">
        <v>6.7</v>
      </c>
      <c r="V16" s="372">
        <v>6.7</v>
      </c>
      <c r="W16" s="372">
        <v>6.4</v>
      </c>
      <c r="X16" s="372">
        <v>6.5</v>
      </c>
      <c r="Y16" s="372">
        <v>6.4</v>
      </c>
      <c r="Z16" s="372">
        <v>6.6</v>
      </c>
      <c r="AA16" s="372">
        <v>6.4</v>
      </c>
      <c r="AB16" s="372">
        <v>6.5</v>
      </c>
      <c r="AC16" s="372">
        <v>6.5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22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13.2</v>
      </c>
      <c r="G17" s="19">
        <f t="shared" ref="G17:AC17" si="1">SUM(G13:G16)</f>
        <v>6.6</v>
      </c>
      <c r="H17" s="19">
        <f>SUM(H13:H16)</f>
        <v>3</v>
      </c>
      <c r="I17" s="19">
        <f t="shared" si="1"/>
        <v>13.4</v>
      </c>
      <c r="J17" s="19">
        <f t="shared" si="1"/>
        <v>13.2</v>
      </c>
      <c r="K17" s="19">
        <f t="shared" si="1"/>
        <v>13.2</v>
      </c>
      <c r="L17" s="19">
        <f t="shared" si="1"/>
        <v>13.4</v>
      </c>
      <c r="M17" s="19">
        <f t="shared" si="1"/>
        <v>13.2</v>
      </c>
      <c r="N17" s="19">
        <f t="shared" si="1"/>
        <v>15.799999999999999</v>
      </c>
      <c r="O17" s="19">
        <f t="shared" si="1"/>
        <v>19.799999999999997</v>
      </c>
      <c r="P17" s="19">
        <f t="shared" si="1"/>
        <v>20.700000000000003</v>
      </c>
      <c r="Q17" s="19">
        <f t="shared" si="1"/>
        <v>26.4</v>
      </c>
      <c r="R17" s="19">
        <f t="shared" si="1"/>
        <v>26.4</v>
      </c>
      <c r="S17" s="19">
        <f t="shared" si="1"/>
        <v>28</v>
      </c>
      <c r="T17" s="19">
        <f t="shared" si="1"/>
        <v>25.6</v>
      </c>
      <c r="U17" s="19">
        <f t="shared" si="1"/>
        <v>26.8</v>
      </c>
      <c r="V17" s="19">
        <f t="shared" si="1"/>
        <v>26.8</v>
      </c>
      <c r="W17" s="19">
        <f t="shared" si="1"/>
        <v>25.6</v>
      </c>
      <c r="X17" s="19">
        <f t="shared" si="1"/>
        <v>26</v>
      </c>
      <c r="Y17" s="19">
        <f t="shared" si="1"/>
        <v>25.6</v>
      </c>
      <c r="Z17" s="19">
        <f t="shared" si="1"/>
        <v>26.5</v>
      </c>
      <c r="AA17" s="19">
        <f t="shared" si="1"/>
        <v>26</v>
      </c>
      <c r="AB17" s="19">
        <f t="shared" si="1"/>
        <v>26.3</v>
      </c>
      <c r="AC17" s="19">
        <f t="shared" si="1"/>
        <v>19.5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134.89999999999998</v>
      </c>
    </row>
    <row r="19" spans="1:51">
      <c r="A19" s="14" t="s">
        <v>22</v>
      </c>
      <c r="B19" s="15"/>
      <c r="C19" s="15">
        <v>3</v>
      </c>
      <c r="D19" s="15"/>
      <c r="E19" s="15"/>
      <c r="F19" s="372">
        <v>2</v>
      </c>
      <c r="G19" s="372">
        <v>2.8</v>
      </c>
      <c r="H19" s="372">
        <v>2.8</v>
      </c>
      <c r="I19" s="372">
        <v>0</v>
      </c>
      <c r="J19" s="372">
        <v>0</v>
      </c>
      <c r="K19" s="374">
        <v>0</v>
      </c>
      <c r="L19" s="374">
        <v>0</v>
      </c>
      <c r="M19" s="374">
        <v>0</v>
      </c>
      <c r="N19" s="372">
        <v>0</v>
      </c>
      <c r="O19" s="372">
        <v>2.8</v>
      </c>
      <c r="P19" s="372">
        <v>2.8</v>
      </c>
      <c r="Q19" s="372">
        <v>2.8</v>
      </c>
      <c r="R19" s="372">
        <v>2.8</v>
      </c>
      <c r="S19" s="372">
        <v>2.8</v>
      </c>
      <c r="T19" s="372">
        <v>2.8</v>
      </c>
      <c r="U19" s="372">
        <v>2.8</v>
      </c>
      <c r="V19" s="372">
        <v>2.8</v>
      </c>
      <c r="W19" s="372">
        <v>2.8</v>
      </c>
      <c r="X19" s="372">
        <v>2</v>
      </c>
      <c r="Y19" s="372">
        <v>2.8</v>
      </c>
      <c r="Z19" s="372">
        <v>2</v>
      </c>
      <c r="AA19" s="372">
        <v>2.8</v>
      </c>
      <c r="AB19" s="372">
        <v>2</v>
      </c>
      <c r="AC19" s="372">
        <v>2.8</v>
      </c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24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372"/>
      <c r="G20" s="372"/>
      <c r="H20" s="372"/>
      <c r="I20" s="372"/>
      <c r="J20" s="372"/>
      <c r="K20" s="374"/>
      <c r="L20" s="374"/>
      <c r="M20" s="374"/>
      <c r="N20" s="372"/>
      <c r="O20" s="372"/>
      <c r="P20" s="372"/>
      <c r="Q20" s="372"/>
      <c r="R20" s="372"/>
      <c r="S20" s="372"/>
      <c r="T20" s="372"/>
      <c r="U20" s="372"/>
      <c r="V20" s="372"/>
      <c r="W20" s="372"/>
      <c r="X20" s="372"/>
      <c r="Y20" s="372"/>
      <c r="Z20" s="372"/>
      <c r="AA20" s="372"/>
      <c r="AB20" s="372"/>
      <c r="AC20" s="372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2">
        <v>3</v>
      </c>
      <c r="G21" s="372">
        <v>3.8</v>
      </c>
      <c r="H21" s="372">
        <v>3.8</v>
      </c>
      <c r="I21" s="372">
        <v>3.8</v>
      </c>
      <c r="J21" s="372">
        <v>3.8</v>
      </c>
      <c r="K21" s="374">
        <v>3.8</v>
      </c>
      <c r="L21" s="374">
        <v>3.8</v>
      </c>
      <c r="M21" s="374">
        <v>3</v>
      </c>
      <c r="N21" s="372">
        <v>3.8</v>
      </c>
      <c r="O21" s="372">
        <v>3.8</v>
      </c>
      <c r="P21" s="372">
        <v>3.8</v>
      </c>
      <c r="Q21" s="372">
        <v>3.8</v>
      </c>
      <c r="R21" s="372">
        <v>3.8</v>
      </c>
      <c r="S21" s="372">
        <v>4</v>
      </c>
      <c r="T21" s="372">
        <v>3.9</v>
      </c>
      <c r="U21" s="372">
        <v>3.8</v>
      </c>
      <c r="V21" s="372">
        <v>3.8</v>
      </c>
      <c r="W21" s="372">
        <v>3.8</v>
      </c>
      <c r="X21" s="372">
        <v>3</v>
      </c>
      <c r="Y21" s="372">
        <v>3.8</v>
      </c>
      <c r="Z21" s="372">
        <v>3</v>
      </c>
      <c r="AA21" s="372">
        <v>3.8</v>
      </c>
      <c r="AB21" s="372">
        <v>3.2</v>
      </c>
      <c r="AC21" s="372">
        <v>3.8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5</v>
      </c>
      <c r="G22" s="19">
        <f>SUM(G19:G21)</f>
        <v>6.6</v>
      </c>
      <c r="H22" s="19">
        <f t="shared" ref="H22:AC22" si="3">SUM(H19:H21)</f>
        <v>6.6</v>
      </c>
      <c r="I22" s="19">
        <f t="shared" si="3"/>
        <v>3.8</v>
      </c>
      <c r="J22" s="19">
        <f t="shared" si="3"/>
        <v>3.8</v>
      </c>
      <c r="K22" s="19">
        <f t="shared" si="3"/>
        <v>3.8</v>
      </c>
      <c r="L22" s="19">
        <f t="shared" si="3"/>
        <v>3.8</v>
      </c>
      <c r="M22" s="19">
        <f t="shared" si="3"/>
        <v>3</v>
      </c>
      <c r="N22" s="19">
        <f t="shared" si="3"/>
        <v>3.8</v>
      </c>
      <c r="O22" s="19">
        <f t="shared" si="3"/>
        <v>6.6</v>
      </c>
      <c r="P22" s="19">
        <f t="shared" si="3"/>
        <v>6.6</v>
      </c>
      <c r="Q22" s="19">
        <f t="shared" si="3"/>
        <v>6.6</v>
      </c>
      <c r="R22" s="19">
        <f t="shared" si="3"/>
        <v>6.6</v>
      </c>
      <c r="S22" s="19">
        <f>SUM(S19:S21)</f>
        <v>6.8</v>
      </c>
      <c r="T22" s="19">
        <f t="shared" ref="T22" si="4">SUM(T19:T21)</f>
        <v>6.6999999999999993</v>
      </c>
      <c r="U22" s="19">
        <f t="shared" si="3"/>
        <v>6.6</v>
      </c>
      <c r="V22" s="19">
        <f t="shared" si="3"/>
        <v>6.6</v>
      </c>
      <c r="W22" s="19">
        <f t="shared" si="3"/>
        <v>6.6</v>
      </c>
      <c r="X22" s="19">
        <f t="shared" si="3"/>
        <v>5</v>
      </c>
      <c r="Y22" s="19">
        <f t="shared" si="3"/>
        <v>6.6</v>
      </c>
      <c r="Z22" s="19">
        <f t="shared" si="3"/>
        <v>5</v>
      </c>
      <c r="AA22" s="19">
        <f t="shared" si="3"/>
        <v>6.6</v>
      </c>
      <c r="AB22" s="19">
        <f>SUM(AB19:AB21)</f>
        <v>5.2</v>
      </c>
      <c r="AC22" s="19">
        <f t="shared" si="3"/>
        <v>6.6</v>
      </c>
      <c r="AD22" s="41"/>
      <c r="AE22" s="41"/>
      <c r="AF22" s="11"/>
      <c r="AG22" s="11"/>
      <c r="AH22" s="11"/>
      <c r="AI22" s="400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409">
        <f>SUM(F24:AC24)</f>
        <v>71.999999999999986</v>
      </c>
    </row>
    <row r="24" spans="1:51">
      <c r="A24" s="14" t="s">
        <v>22</v>
      </c>
      <c r="B24" s="20"/>
      <c r="C24" s="15">
        <v>4.5</v>
      </c>
      <c r="D24" s="15"/>
      <c r="E24" s="15"/>
      <c r="F24" s="372">
        <v>3</v>
      </c>
      <c r="G24" s="372">
        <v>3.8</v>
      </c>
      <c r="H24" s="372">
        <v>3.8</v>
      </c>
      <c r="I24" s="372">
        <v>0</v>
      </c>
      <c r="J24" s="372">
        <v>0</v>
      </c>
      <c r="K24" s="374">
        <v>0</v>
      </c>
      <c r="L24" s="374">
        <v>0</v>
      </c>
      <c r="M24" s="374">
        <v>3</v>
      </c>
      <c r="N24" s="372">
        <v>3.8</v>
      </c>
      <c r="O24" s="372">
        <v>3.8</v>
      </c>
      <c r="P24" s="372">
        <v>3.8</v>
      </c>
      <c r="Q24" s="372">
        <v>3.8</v>
      </c>
      <c r="R24" s="372">
        <v>3.8</v>
      </c>
      <c r="S24" s="372">
        <v>3.8</v>
      </c>
      <c r="T24" s="372">
        <v>3.8</v>
      </c>
      <c r="U24" s="372">
        <v>3.8</v>
      </c>
      <c r="V24" s="372">
        <v>3.8</v>
      </c>
      <c r="W24" s="372">
        <v>3.8</v>
      </c>
      <c r="X24" s="372">
        <v>3</v>
      </c>
      <c r="Y24" s="372">
        <v>3.8</v>
      </c>
      <c r="Z24" s="372">
        <v>3</v>
      </c>
      <c r="AA24" s="372">
        <v>3.8</v>
      </c>
      <c r="AB24" s="372">
        <v>3</v>
      </c>
      <c r="AC24" s="372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3</v>
      </c>
      <c r="G25" s="19">
        <f t="shared" ref="G25:AC25" si="6">SUM(G24)</f>
        <v>3.8</v>
      </c>
      <c r="H25" s="19">
        <f t="shared" si="6"/>
        <v>3.8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3</v>
      </c>
      <c r="N25" s="19">
        <f t="shared" si="6"/>
        <v>3.8</v>
      </c>
      <c r="O25" s="19">
        <f t="shared" si="6"/>
        <v>3.8</v>
      </c>
      <c r="P25" s="19">
        <f t="shared" si="6"/>
        <v>3.8</v>
      </c>
      <c r="Q25" s="19">
        <f t="shared" si="6"/>
        <v>3.8</v>
      </c>
      <c r="R25" s="19">
        <f t="shared" si="6"/>
        <v>3.8</v>
      </c>
      <c r="S25" s="19">
        <f t="shared" si="6"/>
        <v>3.8</v>
      </c>
      <c r="T25" s="19">
        <f t="shared" si="6"/>
        <v>3.8</v>
      </c>
      <c r="U25" s="19">
        <f t="shared" si="6"/>
        <v>3.8</v>
      </c>
      <c r="V25" s="19">
        <f t="shared" si="6"/>
        <v>3.8</v>
      </c>
      <c r="W25" s="19">
        <f t="shared" si="6"/>
        <v>3.8</v>
      </c>
      <c r="X25" s="19">
        <f t="shared" si="6"/>
        <v>3</v>
      </c>
      <c r="Y25" s="19">
        <f t="shared" si="6"/>
        <v>3.8</v>
      </c>
      <c r="Z25" s="19">
        <f t="shared" si="6"/>
        <v>3</v>
      </c>
      <c r="AA25" s="19">
        <f t="shared" si="6"/>
        <v>3.8</v>
      </c>
      <c r="AB25" s="19">
        <f t="shared" si="6"/>
        <v>3</v>
      </c>
      <c r="AC25" s="19">
        <f t="shared" si="6"/>
        <v>3.8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191.6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2">
        <v>3.5</v>
      </c>
      <c r="G27" s="372">
        <v>4</v>
      </c>
      <c r="H27" s="372">
        <v>4</v>
      </c>
      <c r="I27" s="372">
        <v>4.3</v>
      </c>
      <c r="J27" s="372">
        <v>4.2</v>
      </c>
      <c r="K27" s="374">
        <v>4.2</v>
      </c>
      <c r="L27" s="374">
        <v>4.2</v>
      </c>
      <c r="M27" s="374">
        <v>3.8</v>
      </c>
      <c r="N27" s="372">
        <v>4.2</v>
      </c>
      <c r="O27" s="372">
        <v>4.2</v>
      </c>
      <c r="P27" s="372">
        <v>4.2</v>
      </c>
      <c r="Q27" s="372">
        <v>4.2</v>
      </c>
      <c r="R27" s="372">
        <v>4.3</v>
      </c>
      <c r="S27" s="372">
        <v>4.2</v>
      </c>
      <c r="T27" s="372">
        <v>3.7</v>
      </c>
      <c r="U27" s="372">
        <v>4.0999999999999996</v>
      </c>
      <c r="V27" s="372">
        <v>3.8</v>
      </c>
      <c r="W27" s="372">
        <v>3.5</v>
      </c>
      <c r="X27" s="372">
        <v>3.5</v>
      </c>
      <c r="Y27" s="372">
        <v>4</v>
      </c>
      <c r="Z27" s="372">
        <v>4</v>
      </c>
      <c r="AA27" s="372">
        <v>4.3</v>
      </c>
      <c r="AB27" s="372">
        <v>3</v>
      </c>
      <c r="AC27" s="372">
        <v>4.4000000000000004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2">
        <v>3.5</v>
      </c>
      <c r="G28" s="372">
        <v>4</v>
      </c>
      <c r="H28" s="372">
        <v>4</v>
      </c>
      <c r="I28" s="372">
        <v>4.3</v>
      </c>
      <c r="J28" s="372">
        <v>4.2</v>
      </c>
      <c r="K28" s="374">
        <v>4.2</v>
      </c>
      <c r="L28" s="374">
        <v>4.2</v>
      </c>
      <c r="M28" s="374">
        <v>3.8</v>
      </c>
      <c r="N28" s="372">
        <v>4.2</v>
      </c>
      <c r="O28" s="372">
        <v>4.2</v>
      </c>
      <c r="P28" s="372">
        <v>4.2</v>
      </c>
      <c r="Q28" s="372">
        <v>4.2</v>
      </c>
      <c r="R28" s="372">
        <v>4.3</v>
      </c>
      <c r="S28" s="372">
        <v>4.2</v>
      </c>
      <c r="T28" s="372">
        <v>3.7</v>
      </c>
      <c r="U28" s="372">
        <v>4.0999999999999996</v>
      </c>
      <c r="V28" s="372">
        <v>3.8</v>
      </c>
      <c r="W28" s="372">
        <v>3.5</v>
      </c>
      <c r="X28" s="372">
        <v>3.5</v>
      </c>
      <c r="Y28" s="372">
        <v>4</v>
      </c>
      <c r="Z28" s="372">
        <v>4</v>
      </c>
      <c r="AA28" s="372">
        <v>4.3</v>
      </c>
      <c r="AB28" s="372">
        <v>3</v>
      </c>
      <c r="AC28" s="372">
        <v>4.4000000000000004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46.03</v>
      </c>
    </row>
    <row r="29" spans="1:51" ht="15" customHeight="1">
      <c r="A29" s="14" t="s">
        <v>30</v>
      </c>
      <c r="B29" s="369"/>
      <c r="C29" s="370">
        <v>8.8000000000000007</v>
      </c>
      <c r="D29" s="371"/>
      <c r="E29" s="371"/>
      <c r="F29" s="372">
        <v>2.96</v>
      </c>
      <c r="G29" s="372">
        <v>5.61</v>
      </c>
      <c r="H29" s="372">
        <v>4.3600000000000003</v>
      </c>
      <c r="I29" s="372">
        <v>0</v>
      </c>
      <c r="J29" s="372">
        <v>0</v>
      </c>
      <c r="K29" s="374">
        <v>0</v>
      </c>
      <c r="L29" s="374">
        <v>0</v>
      </c>
      <c r="M29" s="374">
        <v>0</v>
      </c>
      <c r="N29" s="372">
        <v>0</v>
      </c>
      <c r="O29" s="372">
        <v>4.2</v>
      </c>
      <c r="P29" s="372">
        <v>5.9</v>
      </c>
      <c r="Q29" s="372">
        <v>2.4</v>
      </c>
      <c r="R29" s="372">
        <v>3.2</v>
      </c>
      <c r="S29" s="372">
        <v>3.8</v>
      </c>
      <c r="T29" s="372" t="s">
        <v>9</v>
      </c>
      <c r="U29" s="372" t="s">
        <v>9</v>
      </c>
      <c r="V29" s="372" t="s">
        <v>9</v>
      </c>
      <c r="W29" s="372">
        <v>3.2</v>
      </c>
      <c r="X29" s="372">
        <v>2.9</v>
      </c>
      <c r="Y29" s="372">
        <v>3.9</v>
      </c>
      <c r="Z29" s="372">
        <v>3.6</v>
      </c>
      <c r="AA29" s="372"/>
      <c r="AB29" s="372"/>
      <c r="AC29" s="372"/>
    </row>
    <row r="30" spans="1:51" ht="15" customHeight="1">
      <c r="A30" s="14" t="s">
        <v>31</v>
      </c>
      <c r="B30" s="369"/>
      <c r="C30" s="370">
        <v>8.8000000000000007</v>
      </c>
      <c r="D30" s="371"/>
      <c r="E30" s="371"/>
      <c r="F30" s="372"/>
      <c r="G30" s="372"/>
      <c r="H30" s="372"/>
      <c r="I30" s="372"/>
      <c r="J30" s="372"/>
      <c r="K30" s="374"/>
      <c r="L30" s="374"/>
      <c r="M30" s="374"/>
      <c r="N30" s="372"/>
      <c r="O30" s="372"/>
      <c r="P30" s="372"/>
      <c r="Q30" s="372"/>
      <c r="R30" s="372"/>
      <c r="S30" s="372"/>
      <c r="T30" s="372"/>
      <c r="U30" s="372"/>
      <c r="V30" s="372"/>
      <c r="W30" s="372"/>
      <c r="X30" s="372"/>
      <c r="Y30" s="372"/>
      <c r="Z30" s="372"/>
      <c r="AA30" s="372"/>
      <c r="AB30" s="372"/>
      <c r="AC30" s="372"/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SUM(F27:F29)</f>
        <v>9.9600000000000009</v>
      </c>
      <c r="G31" s="19">
        <f t="shared" ref="G31:AC31" si="8">SUM(G27:G29)</f>
        <v>13.61</v>
      </c>
      <c r="H31" s="19">
        <f t="shared" si="8"/>
        <v>12.36</v>
      </c>
      <c r="I31" s="19">
        <f t="shared" si="8"/>
        <v>8.6</v>
      </c>
      <c r="J31" s="19">
        <f t="shared" si="8"/>
        <v>8.4</v>
      </c>
      <c r="K31" s="19">
        <f t="shared" si="8"/>
        <v>8.4</v>
      </c>
      <c r="L31" s="19">
        <f t="shared" si="8"/>
        <v>8.4</v>
      </c>
      <c r="M31" s="19">
        <f t="shared" si="8"/>
        <v>7.6</v>
      </c>
      <c r="N31" s="19">
        <f t="shared" si="8"/>
        <v>8.4</v>
      </c>
      <c r="O31" s="19">
        <f t="shared" si="8"/>
        <v>12.600000000000001</v>
      </c>
      <c r="P31" s="19">
        <f t="shared" si="8"/>
        <v>14.3</v>
      </c>
      <c r="Q31" s="19">
        <f t="shared" si="8"/>
        <v>10.8</v>
      </c>
      <c r="R31" s="19">
        <f t="shared" si="8"/>
        <v>11.8</v>
      </c>
      <c r="S31" s="19">
        <f t="shared" si="8"/>
        <v>12.2</v>
      </c>
      <c r="T31" s="19">
        <f>SUM(T27:T29)</f>
        <v>7.4</v>
      </c>
      <c r="U31" s="19">
        <f t="shared" si="8"/>
        <v>8.1999999999999993</v>
      </c>
      <c r="V31" s="19">
        <f t="shared" si="8"/>
        <v>7.6</v>
      </c>
      <c r="W31" s="19">
        <f t="shared" si="8"/>
        <v>10.199999999999999</v>
      </c>
      <c r="X31" s="19">
        <f>SUM(X27:X30)</f>
        <v>9.9</v>
      </c>
      <c r="Y31" s="19">
        <f t="shared" si="8"/>
        <v>11.9</v>
      </c>
      <c r="Z31" s="19">
        <f t="shared" si="8"/>
        <v>11.6</v>
      </c>
      <c r="AA31" s="19">
        <f t="shared" si="8"/>
        <v>8.6</v>
      </c>
      <c r="AB31" s="19">
        <f t="shared" si="8"/>
        <v>6</v>
      </c>
      <c r="AC31" s="19">
        <f t="shared" si="8"/>
        <v>8.8000000000000007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342.57999999999993</v>
      </c>
    </row>
    <row r="33" spans="1:36">
      <c r="A33" s="14" t="s">
        <v>22</v>
      </c>
      <c r="B33" s="15"/>
      <c r="C33" s="15">
        <v>15</v>
      </c>
      <c r="D33" s="15"/>
      <c r="E33" s="15"/>
      <c r="F33" s="372">
        <v>14.29</v>
      </c>
      <c r="G33" s="372">
        <v>14.28</v>
      </c>
      <c r="H33" s="372">
        <v>14.27</v>
      </c>
      <c r="I33" s="372">
        <v>14.29</v>
      </c>
      <c r="J33" s="372">
        <v>14.28</v>
      </c>
      <c r="K33" s="374">
        <v>14.29</v>
      </c>
      <c r="L33" s="374">
        <v>14.3</v>
      </c>
      <c r="M33" s="374">
        <v>14.31</v>
      </c>
      <c r="N33" s="372">
        <v>14.32</v>
      </c>
      <c r="O33" s="372">
        <v>14.23</v>
      </c>
      <c r="P33" s="372">
        <v>14.23</v>
      </c>
      <c r="Q33" s="372">
        <v>14.29</v>
      </c>
      <c r="R33" s="372">
        <v>14.23</v>
      </c>
      <c r="S33" s="372">
        <v>14.22</v>
      </c>
      <c r="T33" s="372">
        <v>14.23</v>
      </c>
      <c r="U33" s="372">
        <v>14.22</v>
      </c>
      <c r="V33" s="372">
        <v>14.3</v>
      </c>
      <c r="W33" s="372">
        <v>14.25</v>
      </c>
      <c r="X33" s="372">
        <v>14.29</v>
      </c>
      <c r="Y33" s="372">
        <v>14.28</v>
      </c>
      <c r="Z33" s="372">
        <v>14.29</v>
      </c>
      <c r="AA33" s="372">
        <v>14.28</v>
      </c>
      <c r="AB33" s="372">
        <v>14.3</v>
      </c>
      <c r="AC33" s="372">
        <v>14.31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9">SUM(F33)</f>
        <v>14.29</v>
      </c>
      <c r="G34" s="19">
        <f t="shared" ref="G34:AC34" si="10">SUM(G33)</f>
        <v>14.28</v>
      </c>
      <c r="H34" s="19">
        <f t="shared" si="10"/>
        <v>14.27</v>
      </c>
      <c r="I34" s="19">
        <f t="shared" si="10"/>
        <v>14.29</v>
      </c>
      <c r="J34" s="19">
        <f>SUM(J33)</f>
        <v>14.28</v>
      </c>
      <c r="K34" s="19">
        <f t="shared" si="10"/>
        <v>14.29</v>
      </c>
      <c r="L34" s="19">
        <f t="shared" si="10"/>
        <v>14.3</v>
      </c>
      <c r="M34" s="19">
        <f t="shared" si="10"/>
        <v>14.31</v>
      </c>
      <c r="N34" s="19">
        <f t="shared" si="10"/>
        <v>14.32</v>
      </c>
      <c r="O34" s="19">
        <f t="shared" si="10"/>
        <v>14.23</v>
      </c>
      <c r="P34" s="19">
        <f t="shared" si="10"/>
        <v>14.23</v>
      </c>
      <c r="Q34" s="19">
        <f t="shared" si="10"/>
        <v>14.29</v>
      </c>
      <c r="R34" s="19">
        <f t="shared" si="10"/>
        <v>14.23</v>
      </c>
      <c r="S34" s="19">
        <f t="shared" si="10"/>
        <v>14.22</v>
      </c>
      <c r="T34" s="19">
        <f t="shared" si="10"/>
        <v>14.23</v>
      </c>
      <c r="U34" s="19">
        <f t="shared" si="10"/>
        <v>14.22</v>
      </c>
      <c r="V34" s="19">
        <f t="shared" si="10"/>
        <v>14.3</v>
      </c>
      <c r="W34" s="19">
        <f t="shared" si="10"/>
        <v>14.25</v>
      </c>
      <c r="X34" s="19">
        <f t="shared" si="10"/>
        <v>14.29</v>
      </c>
      <c r="Y34" s="19">
        <f t="shared" si="10"/>
        <v>14.28</v>
      </c>
      <c r="Z34" s="19">
        <f t="shared" si="10"/>
        <v>14.29</v>
      </c>
      <c r="AA34" s="19">
        <f t="shared" si="10"/>
        <v>14.28</v>
      </c>
      <c r="AB34" s="19">
        <f t="shared" si="10"/>
        <v>14.3</v>
      </c>
      <c r="AC34" s="19">
        <f t="shared" si="10"/>
        <v>14.31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55"/>
      <c r="G35" s="455"/>
      <c r="H35" s="455"/>
      <c r="I35" s="455"/>
      <c r="J35" s="455"/>
      <c r="K35" s="455"/>
      <c r="L35" s="455"/>
      <c r="M35" s="455"/>
      <c r="N35" s="455"/>
      <c r="O35" s="455"/>
      <c r="P35" s="455"/>
      <c r="Q35" s="455"/>
      <c r="R35" s="455"/>
      <c r="S35" s="455"/>
      <c r="T35" s="455"/>
      <c r="U35" s="455"/>
      <c r="V35" s="455"/>
      <c r="W35" s="456"/>
      <c r="X35" s="455"/>
      <c r="Y35" s="455"/>
      <c r="Z35" s="455"/>
      <c r="AA35" s="455"/>
      <c r="AB35" s="455"/>
      <c r="AC35" s="455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12.500000000000002</v>
      </c>
      <c r="AJ35" t="s">
        <v>35</v>
      </c>
    </row>
    <row r="36" spans="1:36">
      <c r="A36" s="70" t="s">
        <v>36</v>
      </c>
      <c r="B36" s="15"/>
      <c r="C36" s="15"/>
      <c r="D36" s="15"/>
      <c r="E36" s="15"/>
      <c r="F36" s="372"/>
      <c r="G36" s="372"/>
      <c r="H36" s="372"/>
      <c r="I36" s="372"/>
      <c r="J36" s="372"/>
      <c r="K36" s="374"/>
      <c r="L36" s="374"/>
      <c r="M36" s="374"/>
      <c r="N36" s="372"/>
      <c r="O36" s="372"/>
      <c r="P36" s="372"/>
      <c r="Q36" s="372"/>
      <c r="R36" s="372"/>
      <c r="S36" s="372"/>
      <c r="T36" s="372"/>
      <c r="U36" s="372"/>
      <c r="V36" s="372"/>
      <c r="W36" s="372"/>
      <c r="X36" s="372"/>
      <c r="Y36" s="372"/>
      <c r="Z36" s="372"/>
      <c r="AA36" s="372"/>
      <c r="AB36" s="372"/>
      <c r="AC36" s="372"/>
      <c r="AD36" s="41"/>
      <c r="AE36" s="41"/>
      <c r="AF36" s="11">
        <f t="shared" ref="AF36:AF59" si="11">COUNTIF(F36:AC36,$AJ$8)</f>
        <v>0</v>
      </c>
      <c r="AG36" s="11">
        <f t="shared" ref="AG36:AG59" si="12">COUNTIF(G36:AD36,$AJ$7)</f>
        <v>0</v>
      </c>
      <c r="AH36" s="11">
        <f t="shared" ref="AH36:AH59" si="13">COUNT(F36:AC36)</f>
        <v>0</v>
      </c>
      <c r="AI36" s="159">
        <f>SUM(F36:AC38,F40:AC40,F45:AC59)</f>
        <v>41.949999999999974</v>
      </c>
      <c r="AJ36" t="s">
        <v>37</v>
      </c>
    </row>
    <row r="37" spans="1:36">
      <c r="A37" s="70" t="s">
        <v>38</v>
      </c>
      <c r="B37" s="15"/>
      <c r="C37" s="15"/>
      <c r="D37" s="15"/>
      <c r="E37" s="15"/>
      <c r="F37" s="372"/>
      <c r="G37" s="372"/>
      <c r="H37" s="372"/>
      <c r="I37" s="372"/>
      <c r="J37" s="372"/>
      <c r="K37" s="374"/>
      <c r="L37" s="374"/>
      <c r="M37" s="374"/>
      <c r="N37" s="372"/>
      <c r="O37" s="372"/>
      <c r="P37" s="372"/>
      <c r="Q37" s="372"/>
      <c r="R37" s="372"/>
      <c r="S37" s="372"/>
      <c r="T37" s="372"/>
      <c r="U37" s="372"/>
      <c r="V37" s="372"/>
      <c r="W37" s="372"/>
      <c r="X37" s="372"/>
      <c r="Y37" s="372"/>
      <c r="Z37" s="372"/>
      <c r="AA37" s="372"/>
      <c r="AB37" s="372"/>
      <c r="AC37" s="372"/>
      <c r="AD37" s="41"/>
      <c r="AE37" s="41"/>
      <c r="AF37" s="11">
        <f t="shared" si="11"/>
        <v>0</v>
      </c>
      <c r="AG37" s="11">
        <f t="shared" si="12"/>
        <v>0</v>
      </c>
      <c r="AH37" s="11">
        <f t="shared" si="13"/>
        <v>0</v>
      </c>
    </row>
    <row r="38" spans="1:36">
      <c r="A38" s="70" t="s">
        <v>39</v>
      </c>
      <c r="B38" s="15"/>
      <c r="C38" s="15"/>
      <c r="D38" s="15"/>
      <c r="E38" s="15"/>
      <c r="F38" s="372"/>
      <c r="G38" s="372"/>
      <c r="H38" s="372"/>
      <c r="I38" s="372"/>
      <c r="J38" s="372"/>
      <c r="K38" s="374"/>
      <c r="L38" s="374"/>
      <c r="M38" s="374"/>
      <c r="N38" s="372"/>
      <c r="O38" s="372"/>
      <c r="P38" s="372"/>
      <c r="Q38" s="372"/>
      <c r="R38" s="372"/>
      <c r="S38" s="372"/>
      <c r="T38" s="372"/>
      <c r="U38" s="372"/>
      <c r="V38" s="372"/>
      <c r="W38" s="372"/>
      <c r="X38" s="372"/>
      <c r="Y38" s="372"/>
      <c r="Z38" s="372"/>
      <c r="AA38" s="372"/>
      <c r="AB38" s="372"/>
      <c r="AC38" s="372"/>
      <c r="AD38" s="41"/>
      <c r="AE38" s="41"/>
      <c r="AF38" s="11">
        <f t="shared" si="11"/>
        <v>0</v>
      </c>
      <c r="AG38" s="11">
        <f t="shared" si="12"/>
        <v>0</v>
      </c>
      <c r="AH38" s="11">
        <f t="shared" si="13"/>
        <v>0</v>
      </c>
    </row>
    <row r="39" spans="1:36">
      <c r="A39" s="70">
        <v>34</v>
      </c>
      <c r="B39" s="15"/>
      <c r="C39" s="15"/>
      <c r="D39" s="15"/>
      <c r="E39" s="15"/>
      <c r="F39" s="372" t="s">
        <v>9</v>
      </c>
      <c r="G39" s="372" t="s">
        <v>9</v>
      </c>
      <c r="H39" s="372" t="s">
        <v>9</v>
      </c>
      <c r="I39" s="372" t="s">
        <v>9</v>
      </c>
      <c r="J39" s="372" t="s">
        <v>9</v>
      </c>
      <c r="K39" s="374" t="s">
        <v>9</v>
      </c>
      <c r="L39" s="374" t="s">
        <v>9</v>
      </c>
      <c r="M39" s="374" t="s">
        <v>9</v>
      </c>
      <c r="N39" s="372" t="s">
        <v>9</v>
      </c>
      <c r="O39" s="372" t="s">
        <v>9</v>
      </c>
      <c r="P39" s="372" t="s">
        <v>9</v>
      </c>
      <c r="Q39" s="372" t="s">
        <v>9</v>
      </c>
      <c r="R39" s="372" t="s">
        <v>9</v>
      </c>
      <c r="S39" s="372" t="s">
        <v>9</v>
      </c>
      <c r="T39" s="372" t="s">
        <v>9</v>
      </c>
      <c r="U39" s="372" t="s">
        <v>9</v>
      </c>
      <c r="V39" s="372" t="s">
        <v>9</v>
      </c>
      <c r="W39" s="372" t="s">
        <v>9</v>
      </c>
      <c r="X39" s="372" t="s">
        <v>9</v>
      </c>
      <c r="Y39" s="372" t="s">
        <v>9</v>
      </c>
      <c r="Z39" s="372" t="s">
        <v>9</v>
      </c>
      <c r="AA39" s="372" t="s">
        <v>9</v>
      </c>
      <c r="AB39" s="372" t="s">
        <v>9</v>
      </c>
      <c r="AC39" s="372" t="s">
        <v>9</v>
      </c>
      <c r="AD39" s="41"/>
      <c r="AE39" s="41"/>
      <c r="AF39" s="11">
        <f t="shared" si="11"/>
        <v>24</v>
      </c>
      <c r="AG39" s="11">
        <f t="shared" si="12"/>
        <v>0</v>
      </c>
      <c r="AH39" s="11">
        <f t="shared" si="13"/>
        <v>0</v>
      </c>
    </row>
    <row r="40" spans="1:36">
      <c r="A40" s="70">
        <v>35</v>
      </c>
      <c r="B40" s="15"/>
      <c r="C40" s="15">
        <v>0.85</v>
      </c>
      <c r="D40" s="15"/>
      <c r="E40" s="15"/>
      <c r="F40" s="372"/>
      <c r="G40" s="372"/>
      <c r="H40" s="372"/>
      <c r="I40" s="372"/>
      <c r="J40" s="372"/>
      <c r="K40" s="374"/>
      <c r="L40" s="374"/>
      <c r="M40" s="374"/>
      <c r="N40" s="372"/>
      <c r="O40" s="372"/>
      <c r="P40" s="372"/>
      <c r="Q40" s="372"/>
      <c r="R40" s="372"/>
      <c r="S40" s="372"/>
      <c r="T40" s="372">
        <v>0.8</v>
      </c>
      <c r="U40" s="372">
        <v>0.8</v>
      </c>
      <c r="V40" s="372">
        <v>0.8</v>
      </c>
      <c r="W40" s="372"/>
      <c r="X40" s="372"/>
      <c r="Y40" s="372"/>
      <c r="Z40" s="372"/>
      <c r="AA40" s="372"/>
      <c r="AB40" s="372"/>
      <c r="AC40" s="372"/>
      <c r="AD40" s="41"/>
      <c r="AE40" s="41"/>
      <c r="AF40" s="11">
        <f t="shared" si="11"/>
        <v>0</v>
      </c>
      <c r="AG40" s="11">
        <f t="shared" si="12"/>
        <v>0</v>
      </c>
      <c r="AH40" s="11">
        <f t="shared" si="13"/>
        <v>3</v>
      </c>
    </row>
    <row r="41" spans="1:36">
      <c r="A41" s="70">
        <v>36</v>
      </c>
      <c r="B41" s="15"/>
      <c r="C41" s="15">
        <v>1</v>
      </c>
      <c r="D41" s="15"/>
      <c r="E41" s="15"/>
      <c r="F41" s="372"/>
      <c r="G41" s="372"/>
      <c r="H41" s="372"/>
      <c r="I41" s="372"/>
      <c r="J41" s="372"/>
      <c r="K41" s="374"/>
      <c r="L41" s="374"/>
      <c r="M41" s="374"/>
      <c r="N41" s="372"/>
      <c r="O41" s="372"/>
      <c r="P41" s="372"/>
      <c r="Q41" s="372"/>
      <c r="R41" s="372"/>
      <c r="S41" s="372"/>
      <c r="T41" s="372">
        <v>1</v>
      </c>
      <c r="U41" s="372">
        <v>1</v>
      </c>
      <c r="V41" s="372">
        <v>1</v>
      </c>
      <c r="W41" s="372">
        <v>1</v>
      </c>
      <c r="X41" s="372">
        <v>1</v>
      </c>
      <c r="Y41" s="372">
        <v>1</v>
      </c>
      <c r="Z41" s="372">
        <v>0.9</v>
      </c>
      <c r="AA41" s="372" t="s">
        <v>9</v>
      </c>
      <c r="AB41" s="372" t="s">
        <v>9</v>
      </c>
      <c r="AC41" s="372" t="s">
        <v>9</v>
      </c>
      <c r="AD41" s="41"/>
      <c r="AE41" s="41"/>
      <c r="AF41" s="11">
        <f t="shared" si="11"/>
        <v>3</v>
      </c>
      <c r="AG41" s="11">
        <f t="shared" si="12"/>
        <v>0</v>
      </c>
      <c r="AH41" s="11">
        <f t="shared" si="13"/>
        <v>7</v>
      </c>
    </row>
    <row r="42" spans="1:36">
      <c r="A42" s="70">
        <v>37</v>
      </c>
      <c r="B42" s="15"/>
      <c r="C42" s="15">
        <v>1</v>
      </c>
      <c r="D42" s="15"/>
      <c r="E42" s="15"/>
      <c r="F42" s="372" t="s">
        <v>9</v>
      </c>
      <c r="G42" s="372" t="s">
        <v>9</v>
      </c>
      <c r="H42" s="372" t="s">
        <v>9</v>
      </c>
      <c r="I42" s="372" t="s">
        <v>9</v>
      </c>
      <c r="J42" s="372" t="s">
        <v>9</v>
      </c>
      <c r="K42" s="372" t="s">
        <v>9</v>
      </c>
      <c r="L42" s="372" t="s">
        <v>9</v>
      </c>
      <c r="M42" s="372" t="s">
        <v>9</v>
      </c>
      <c r="N42" s="372" t="s">
        <v>9</v>
      </c>
      <c r="O42" s="372" t="s">
        <v>9</v>
      </c>
      <c r="P42" s="372" t="s">
        <v>9</v>
      </c>
      <c r="Q42" s="372" t="s">
        <v>9</v>
      </c>
      <c r="R42" s="372" t="s">
        <v>9</v>
      </c>
      <c r="S42" s="372" t="s">
        <v>9</v>
      </c>
      <c r="T42" s="372" t="s">
        <v>9</v>
      </c>
      <c r="U42" s="372" t="s">
        <v>9</v>
      </c>
      <c r="V42" s="372" t="s">
        <v>9</v>
      </c>
      <c r="W42" s="372" t="s">
        <v>9</v>
      </c>
      <c r="X42" s="372" t="s">
        <v>9</v>
      </c>
      <c r="Y42" s="372" t="s">
        <v>9</v>
      </c>
      <c r="Z42" s="372" t="s">
        <v>9</v>
      </c>
      <c r="AA42" s="372" t="s">
        <v>9</v>
      </c>
      <c r="AB42" s="372" t="s">
        <v>9</v>
      </c>
      <c r="AC42" s="372" t="s">
        <v>9</v>
      </c>
      <c r="AD42" s="41"/>
      <c r="AE42" s="41"/>
      <c r="AF42" s="11">
        <f t="shared" si="11"/>
        <v>24</v>
      </c>
      <c r="AG42" s="11">
        <f t="shared" si="12"/>
        <v>0</v>
      </c>
      <c r="AH42" s="11">
        <f t="shared" si="13"/>
        <v>0</v>
      </c>
    </row>
    <row r="43" spans="1:36">
      <c r="A43" s="70">
        <v>38</v>
      </c>
      <c r="B43" s="15"/>
      <c r="C43" s="15"/>
      <c r="D43" s="15"/>
      <c r="E43" s="15"/>
      <c r="F43" s="372" t="s">
        <v>9</v>
      </c>
      <c r="G43" s="372" t="s">
        <v>9</v>
      </c>
      <c r="H43" s="372" t="s">
        <v>9</v>
      </c>
      <c r="I43" s="372" t="s">
        <v>9</v>
      </c>
      <c r="J43" s="372" t="s">
        <v>9</v>
      </c>
      <c r="K43" s="374" t="s">
        <v>9</v>
      </c>
      <c r="L43" s="374" t="s">
        <v>9</v>
      </c>
      <c r="M43" s="374" t="s">
        <v>9</v>
      </c>
      <c r="N43" s="372" t="s">
        <v>9</v>
      </c>
      <c r="O43" s="372" t="s">
        <v>9</v>
      </c>
      <c r="P43" s="372" t="s">
        <v>9</v>
      </c>
      <c r="Q43" s="372" t="s">
        <v>9</v>
      </c>
      <c r="R43" s="372" t="s">
        <v>9</v>
      </c>
      <c r="S43" s="372" t="s">
        <v>9</v>
      </c>
      <c r="T43" s="372" t="s">
        <v>9</v>
      </c>
      <c r="U43" s="372" t="s">
        <v>9</v>
      </c>
      <c r="V43" s="372" t="s">
        <v>9</v>
      </c>
      <c r="W43" s="372" t="s">
        <v>9</v>
      </c>
      <c r="X43" s="372" t="s">
        <v>9</v>
      </c>
      <c r="Y43" s="372" t="s">
        <v>9</v>
      </c>
      <c r="Z43" s="372" t="s">
        <v>9</v>
      </c>
      <c r="AA43" s="372" t="s">
        <v>9</v>
      </c>
      <c r="AB43" s="372" t="s">
        <v>9</v>
      </c>
      <c r="AC43" s="372" t="s">
        <v>9</v>
      </c>
      <c r="AD43" s="41"/>
      <c r="AE43" s="41"/>
      <c r="AF43" s="11">
        <f t="shared" si="11"/>
        <v>24</v>
      </c>
      <c r="AG43" s="11">
        <f t="shared" si="12"/>
        <v>0</v>
      </c>
      <c r="AH43" s="11">
        <f t="shared" si="13"/>
        <v>0</v>
      </c>
    </row>
    <row r="44" spans="1:36" ht="16.5" customHeight="1">
      <c r="A44" s="70">
        <v>39</v>
      </c>
      <c r="B44" s="15"/>
      <c r="C44" s="15">
        <v>1</v>
      </c>
      <c r="D44" s="15"/>
      <c r="E44" s="15"/>
      <c r="F44" s="372" t="s">
        <v>9</v>
      </c>
      <c r="G44" s="372" t="s">
        <v>9</v>
      </c>
      <c r="H44" s="372" t="s">
        <v>9</v>
      </c>
      <c r="I44" s="372" t="s">
        <v>9</v>
      </c>
      <c r="J44" s="372" t="s">
        <v>9</v>
      </c>
      <c r="K44" s="374" t="s">
        <v>9</v>
      </c>
      <c r="L44" s="374" t="s">
        <v>9</v>
      </c>
      <c r="M44" s="374" t="s">
        <v>9</v>
      </c>
      <c r="N44" s="372" t="s">
        <v>9</v>
      </c>
      <c r="O44" s="372" t="s">
        <v>9</v>
      </c>
      <c r="P44" s="372" t="s">
        <v>9</v>
      </c>
      <c r="Q44" s="372" t="s">
        <v>9</v>
      </c>
      <c r="R44" s="372" t="s">
        <v>9</v>
      </c>
      <c r="S44" s="372" t="s">
        <v>9</v>
      </c>
      <c r="T44" s="372">
        <v>1</v>
      </c>
      <c r="U44" s="372">
        <v>1</v>
      </c>
      <c r="V44" s="372">
        <v>1</v>
      </c>
      <c r="W44" s="372">
        <v>1</v>
      </c>
      <c r="X44" s="372">
        <v>0.8</v>
      </c>
      <c r="Y44" s="372">
        <v>0.8</v>
      </c>
      <c r="Z44" s="372" t="s">
        <v>9</v>
      </c>
      <c r="AA44" s="372" t="s">
        <v>9</v>
      </c>
      <c r="AB44" s="372" t="s">
        <v>9</v>
      </c>
      <c r="AC44" s="372" t="s">
        <v>9</v>
      </c>
      <c r="AD44" s="41"/>
      <c r="AE44" s="41"/>
      <c r="AF44" s="11">
        <f t="shared" si="11"/>
        <v>18</v>
      </c>
      <c r="AG44" s="11">
        <f t="shared" si="12"/>
        <v>0</v>
      </c>
      <c r="AH44" s="11">
        <f t="shared" si="13"/>
        <v>6</v>
      </c>
    </row>
    <row r="45" spans="1:36" ht="16.5" customHeight="1">
      <c r="A45" s="70" t="s">
        <v>40</v>
      </c>
      <c r="B45" s="15"/>
      <c r="C45" s="15">
        <v>0.85</v>
      </c>
      <c r="D45" s="15"/>
      <c r="E45" s="15"/>
      <c r="F45" s="372"/>
      <c r="G45" s="372"/>
      <c r="H45" s="372"/>
      <c r="I45" s="372"/>
      <c r="J45" s="372"/>
      <c r="K45" s="374"/>
      <c r="L45" s="374"/>
      <c r="M45" s="374"/>
      <c r="N45" s="372"/>
      <c r="O45" s="372"/>
      <c r="P45" s="372"/>
      <c r="Q45" s="372"/>
      <c r="R45" s="372"/>
      <c r="S45" s="372"/>
      <c r="T45" s="372"/>
      <c r="U45" s="372"/>
      <c r="V45" s="372"/>
      <c r="W45" s="372"/>
      <c r="X45" s="372"/>
      <c r="Y45" s="372"/>
      <c r="Z45" s="372"/>
      <c r="AA45" s="372"/>
      <c r="AB45" s="372"/>
      <c r="AC45" s="372"/>
      <c r="AD45" s="41"/>
      <c r="AE45" s="41"/>
      <c r="AF45" s="11">
        <f t="shared" si="11"/>
        <v>0</v>
      </c>
      <c r="AG45" s="11">
        <f t="shared" si="12"/>
        <v>0</v>
      </c>
      <c r="AH45" s="11">
        <f t="shared" si="13"/>
        <v>0</v>
      </c>
      <c r="AI45" s="159"/>
    </row>
    <row r="46" spans="1:36">
      <c r="A46" s="70" t="s">
        <v>41</v>
      </c>
      <c r="B46" s="15"/>
      <c r="C46" s="15">
        <v>0.75</v>
      </c>
      <c r="D46" s="15"/>
      <c r="E46" s="15"/>
      <c r="F46" s="372"/>
      <c r="G46" s="372"/>
      <c r="H46" s="372"/>
      <c r="I46" s="372"/>
      <c r="J46" s="372"/>
      <c r="K46" s="374"/>
      <c r="L46" s="374"/>
      <c r="M46" s="374"/>
      <c r="N46" s="372"/>
      <c r="O46" s="372"/>
      <c r="P46" s="372"/>
      <c r="Q46" s="372"/>
      <c r="R46" s="372"/>
      <c r="S46" s="372"/>
      <c r="T46" s="372"/>
      <c r="U46" s="372"/>
      <c r="V46" s="372"/>
      <c r="W46" s="372"/>
      <c r="X46" s="372"/>
      <c r="Y46" s="372"/>
      <c r="Z46" s="372"/>
      <c r="AA46" s="372"/>
      <c r="AB46" s="372"/>
      <c r="AC46" s="372"/>
      <c r="AD46" s="41"/>
      <c r="AE46" s="41"/>
      <c r="AF46" s="11">
        <f t="shared" si="11"/>
        <v>0</v>
      </c>
      <c r="AG46" s="11">
        <f t="shared" si="12"/>
        <v>0</v>
      </c>
      <c r="AH46" s="11">
        <f t="shared" si="13"/>
        <v>0</v>
      </c>
      <c r="AI46" s="159"/>
    </row>
    <row r="47" spans="1:36">
      <c r="A47" s="70" t="s">
        <v>42</v>
      </c>
      <c r="B47" s="15"/>
      <c r="C47" s="15">
        <v>0.75</v>
      </c>
      <c r="D47" s="15"/>
      <c r="E47" s="15"/>
      <c r="F47" s="372"/>
      <c r="G47" s="372"/>
      <c r="H47" s="372">
        <v>0.8</v>
      </c>
      <c r="I47" s="372"/>
      <c r="J47" s="372"/>
      <c r="K47" s="374"/>
      <c r="L47" s="374">
        <f>2.25/3</f>
        <v>0.75</v>
      </c>
      <c r="M47" s="374">
        <v>0</v>
      </c>
      <c r="N47" s="374">
        <v>0.8</v>
      </c>
      <c r="O47" s="372">
        <v>0.8</v>
      </c>
      <c r="P47" s="372">
        <v>0.8</v>
      </c>
      <c r="Q47" s="372"/>
      <c r="R47" s="372">
        <v>0.7</v>
      </c>
      <c r="S47" s="372">
        <v>0.8</v>
      </c>
      <c r="T47" s="372">
        <v>0.7</v>
      </c>
      <c r="U47" s="372">
        <v>0.7</v>
      </c>
      <c r="V47" s="372">
        <v>0.7</v>
      </c>
      <c r="W47" s="372"/>
      <c r="X47" s="372"/>
      <c r="Y47" s="372"/>
      <c r="Z47" s="372"/>
      <c r="AA47" s="372">
        <v>0.7</v>
      </c>
      <c r="AB47" s="372"/>
      <c r="AC47" s="372"/>
      <c r="AD47" s="41"/>
      <c r="AE47" s="41"/>
      <c r="AF47" s="11">
        <f t="shared" si="11"/>
        <v>0</v>
      </c>
      <c r="AG47" s="11">
        <f t="shared" si="12"/>
        <v>0</v>
      </c>
      <c r="AH47" s="11">
        <f t="shared" si="13"/>
        <v>12</v>
      </c>
    </row>
    <row r="48" spans="1:36">
      <c r="A48" s="70" t="s">
        <v>43</v>
      </c>
      <c r="B48" s="15"/>
      <c r="C48" s="15">
        <v>0.75</v>
      </c>
      <c r="D48" s="15"/>
      <c r="E48" s="15"/>
      <c r="F48" s="372"/>
      <c r="G48" s="372"/>
      <c r="H48" s="372"/>
      <c r="I48" s="372"/>
      <c r="J48" s="372"/>
      <c r="K48" s="374"/>
      <c r="L48" s="374"/>
      <c r="M48" s="374"/>
      <c r="N48" s="372"/>
      <c r="O48" s="372"/>
      <c r="P48" s="372"/>
      <c r="Q48" s="372"/>
      <c r="R48" s="372"/>
      <c r="S48" s="372"/>
      <c r="T48" s="372"/>
      <c r="U48" s="372"/>
      <c r="V48" s="372"/>
      <c r="W48" s="372"/>
      <c r="X48" s="372"/>
      <c r="Y48" s="372"/>
      <c r="Z48" s="372"/>
      <c r="AA48" s="372"/>
      <c r="AB48" s="372"/>
      <c r="AC48" s="372"/>
      <c r="AD48" s="41"/>
      <c r="AE48" s="41"/>
      <c r="AF48" s="11">
        <f t="shared" si="11"/>
        <v>0</v>
      </c>
      <c r="AG48" s="11">
        <f t="shared" si="12"/>
        <v>0</v>
      </c>
      <c r="AH48" s="11">
        <f t="shared" si="13"/>
        <v>0</v>
      </c>
    </row>
    <row r="49" spans="1:124" ht="15" customHeight="1">
      <c r="A49" s="70" t="s">
        <v>44</v>
      </c>
      <c r="B49" s="15"/>
      <c r="C49" s="15">
        <v>0.75</v>
      </c>
      <c r="D49" s="15"/>
      <c r="E49" s="15"/>
      <c r="F49" s="372"/>
      <c r="G49" s="372"/>
      <c r="H49" s="372"/>
      <c r="I49" s="372"/>
      <c r="J49" s="372"/>
      <c r="K49" s="374"/>
      <c r="L49" s="374"/>
      <c r="M49" s="374"/>
      <c r="N49" s="372"/>
      <c r="O49" s="372"/>
      <c r="P49" s="372"/>
      <c r="Q49" s="372"/>
      <c r="R49" s="372"/>
      <c r="S49" s="372"/>
      <c r="T49" s="372"/>
      <c r="U49" s="372"/>
      <c r="V49" s="372"/>
      <c r="W49" s="372"/>
      <c r="X49" s="372"/>
      <c r="Y49" s="372"/>
      <c r="Z49" s="372"/>
      <c r="AA49" s="372"/>
      <c r="AB49" s="372"/>
      <c r="AC49" s="372"/>
      <c r="AD49" s="41"/>
      <c r="AE49" s="41"/>
      <c r="AF49" s="11">
        <f t="shared" si="11"/>
        <v>0</v>
      </c>
      <c r="AG49" s="11">
        <f t="shared" si="12"/>
        <v>0</v>
      </c>
      <c r="AH49" s="11">
        <f t="shared" si="13"/>
        <v>0</v>
      </c>
    </row>
    <row r="50" spans="1:124" ht="17.25" customHeight="1">
      <c r="A50" s="70" t="s">
        <v>45</v>
      </c>
      <c r="B50" s="15"/>
      <c r="C50" s="15">
        <v>0.75</v>
      </c>
      <c r="D50" s="15"/>
      <c r="E50" s="15"/>
      <c r="F50" s="372"/>
      <c r="G50" s="372"/>
      <c r="H50" s="372">
        <v>0.8</v>
      </c>
      <c r="I50" s="372"/>
      <c r="J50" s="372"/>
      <c r="K50" s="374"/>
      <c r="L50" s="374"/>
      <c r="M50" s="374"/>
      <c r="N50" s="374">
        <v>0</v>
      </c>
      <c r="O50" s="372">
        <v>0.8</v>
      </c>
      <c r="P50" s="372">
        <v>0.8</v>
      </c>
      <c r="Q50" s="372">
        <v>0.8</v>
      </c>
      <c r="R50" s="372">
        <v>0.8</v>
      </c>
      <c r="S50" s="372">
        <v>0.8</v>
      </c>
      <c r="T50" s="372">
        <v>0.7</v>
      </c>
      <c r="U50" s="372">
        <v>0.7</v>
      </c>
      <c r="V50" s="372">
        <v>0.7</v>
      </c>
      <c r="W50" s="372">
        <v>0.7</v>
      </c>
      <c r="X50" s="372"/>
      <c r="Y50" s="372"/>
      <c r="Z50" s="372"/>
      <c r="AA50" s="372"/>
      <c r="AB50" s="372"/>
      <c r="AC50" s="372"/>
      <c r="AD50" s="41"/>
      <c r="AE50" s="41"/>
      <c r="AF50" s="11">
        <f t="shared" si="11"/>
        <v>0</v>
      </c>
      <c r="AG50" s="11">
        <f t="shared" si="12"/>
        <v>0</v>
      </c>
      <c r="AH50" s="11">
        <f t="shared" si="13"/>
        <v>11</v>
      </c>
    </row>
    <row r="51" spans="1:124">
      <c r="A51" s="70" t="s">
        <v>46</v>
      </c>
      <c r="B51" s="15"/>
      <c r="C51" s="15">
        <v>0.85</v>
      </c>
      <c r="D51" s="15"/>
      <c r="E51" s="15"/>
      <c r="F51" s="372"/>
      <c r="G51" s="372"/>
      <c r="H51" s="372">
        <v>0.8</v>
      </c>
      <c r="I51" s="372"/>
      <c r="J51" s="372"/>
      <c r="K51" s="374"/>
      <c r="L51" s="374">
        <f>2.25/3</f>
        <v>0.75</v>
      </c>
      <c r="M51" s="374">
        <v>0</v>
      </c>
      <c r="N51" s="374">
        <v>0.8</v>
      </c>
      <c r="O51" s="372">
        <v>0.75</v>
      </c>
      <c r="P51" s="372">
        <v>0.8</v>
      </c>
      <c r="Q51" s="372"/>
      <c r="R51" s="372"/>
      <c r="S51" s="372"/>
      <c r="T51" s="372">
        <v>0.7</v>
      </c>
      <c r="U51" s="372">
        <v>0.7</v>
      </c>
      <c r="V51" s="372">
        <v>0.7</v>
      </c>
      <c r="W51" s="372">
        <v>0.8</v>
      </c>
      <c r="X51" s="372"/>
      <c r="Y51" s="372"/>
      <c r="Z51" s="372"/>
      <c r="AA51" s="372"/>
      <c r="AB51" s="372"/>
      <c r="AC51" s="372"/>
      <c r="AD51" s="41"/>
      <c r="AE51" s="41"/>
      <c r="AF51" s="11">
        <f t="shared" si="11"/>
        <v>0</v>
      </c>
      <c r="AG51" s="11">
        <f t="shared" si="12"/>
        <v>0</v>
      </c>
      <c r="AH51" s="11">
        <f t="shared" si="13"/>
        <v>10</v>
      </c>
    </row>
    <row r="52" spans="1:124">
      <c r="A52" s="70" t="s">
        <v>47</v>
      </c>
      <c r="B52" s="15"/>
      <c r="C52" s="15">
        <v>0.85</v>
      </c>
      <c r="D52" s="15"/>
      <c r="E52" s="15"/>
      <c r="F52" s="372" t="s">
        <v>9</v>
      </c>
      <c r="G52" s="372" t="s">
        <v>9</v>
      </c>
      <c r="H52" s="372" t="s">
        <v>9</v>
      </c>
      <c r="I52" s="372" t="s">
        <v>9</v>
      </c>
      <c r="J52" s="372" t="s">
        <v>9</v>
      </c>
      <c r="K52" s="374" t="s">
        <v>9</v>
      </c>
      <c r="L52" s="374" t="s">
        <v>9</v>
      </c>
      <c r="M52" s="374" t="s">
        <v>9</v>
      </c>
      <c r="N52" s="372" t="s">
        <v>9</v>
      </c>
      <c r="O52" s="372" t="s">
        <v>9</v>
      </c>
      <c r="P52" s="372" t="s">
        <v>9</v>
      </c>
      <c r="Q52" s="372" t="s">
        <v>9</v>
      </c>
      <c r="R52" s="372" t="s">
        <v>9</v>
      </c>
      <c r="S52" s="372" t="s">
        <v>9</v>
      </c>
      <c r="T52" s="372" t="s">
        <v>9</v>
      </c>
      <c r="U52" s="372" t="s">
        <v>9</v>
      </c>
      <c r="V52" s="372" t="s">
        <v>9</v>
      </c>
      <c r="W52" s="372" t="s">
        <v>9</v>
      </c>
      <c r="X52" s="372" t="s">
        <v>9</v>
      </c>
      <c r="Y52" s="372" t="s">
        <v>9</v>
      </c>
      <c r="Z52" s="372" t="s">
        <v>9</v>
      </c>
      <c r="AA52" s="372" t="s">
        <v>9</v>
      </c>
      <c r="AB52" s="372" t="s">
        <v>9</v>
      </c>
      <c r="AC52" s="372" t="s">
        <v>9</v>
      </c>
      <c r="AD52" s="41"/>
      <c r="AE52" s="41"/>
      <c r="AF52" s="11">
        <f t="shared" si="11"/>
        <v>24</v>
      </c>
      <c r="AG52" s="11">
        <f t="shared" si="12"/>
        <v>0</v>
      </c>
      <c r="AH52" s="11">
        <f t="shared" si="13"/>
        <v>0</v>
      </c>
    </row>
    <row r="53" spans="1:124">
      <c r="A53" s="70" t="s">
        <v>48</v>
      </c>
      <c r="B53" s="15"/>
      <c r="C53" s="15">
        <v>0.85</v>
      </c>
      <c r="D53" s="15"/>
      <c r="E53" s="15"/>
      <c r="F53" s="372"/>
      <c r="G53" s="372"/>
      <c r="H53" s="372"/>
      <c r="I53" s="372"/>
      <c r="J53" s="372"/>
      <c r="K53" s="374"/>
      <c r="L53" s="374"/>
      <c r="M53" s="374"/>
      <c r="N53" s="372"/>
      <c r="O53" s="372"/>
      <c r="P53" s="372"/>
      <c r="Q53" s="372"/>
      <c r="R53" s="372"/>
      <c r="S53" s="372"/>
      <c r="T53" s="372"/>
      <c r="U53" s="372"/>
      <c r="V53" s="372"/>
      <c r="W53" s="372"/>
      <c r="X53" s="372"/>
      <c r="Y53" s="372"/>
      <c r="Z53" s="372"/>
      <c r="AA53" s="372"/>
      <c r="AB53" s="372"/>
      <c r="AC53" s="372"/>
      <c r="AD53" s="41"/>
      <c r="AE53" s="41"/>
      <c r="AF53" s="11">
        <f t="shared" si="11"/>
        <v>0</v>
      </c>
      <c r="AG53" s="11">
        <f t="shared" si="12"/>
        <v>0</v>
      </c>
      <c r="AH53" s="11">
        <f t="shared" si="13"/>
        <v>0</v>
      </c>
    </row>
    <row r="54" spans="1:124" ht="16.5" customHeight="1">
      <c r="A54" s="70" t="s">
        <v>49</v>
      </c>
      <c r="B54" s="15"/>
      <c r="C54" s="15">
        <v>0.85</v>
      </c>
      <c r="D54" s="15"/>
      <c r="E54" s="15"/>
      <c r="F54" s="372"/>
      <c r="G54" s="372"/>
      <c r="H54" s="372">
        <v>0.8</v>
      </c>
      <c r="I54" s="372"/>
      <c r="J54" s="372"/>
      <c r="K54" s="374"/>
      <c r="L54" s="374">
        <f>2.25/3</f>
        <v>0.75</v>
      </c>
      <c r="M54" s="374">
        <v>0</v>
      </c>
      <c r="N54" s="374">
        <f>2.25/3</f>
        <v>0.75</v>
      </c>
      <c r="O54" s="372">
        <f>2.25/3</f>
        <v>0.75</v>
      </c>
      <c r="P54" s="372">
        <v>0</v>
      </c>
      <c r="Q54" s="372">
        <v>0.7</v>
      </c>
      <c r="R54" s="372">
        <v>0.8</v>
      </c>
      <c r="S54" s="372">
        <v>0.8</v>
      </c>
      <c r="T54" s="372">
        <v>0.7</v>
      </c>
      <c r="U54" s="372">
        <v>0.7</v>
      </c>
      <c r="V54" s="372">
        <v>0.7</v>
      </c>
      <c r="W54" s="372">
        <v>0.8</v>
      </c>
      <c r="X54" s="372"/>
      <c r="Y54" s="372"/>
      <c r="Z54" s="372"/>
      <c r="AA54" s="372"/>
      <c r="AB54" s="372"/>
      <c r="AC54" s="372"/>
      <c r="AD54" s="41"/>
      <c r="AE54" s="41"/>
      <c r="AF54" s="11">
        <f t="shared" si="11"/>
        <v>0</v>
      </c>
      <c r="AG54" s="11">
        <f t="shared" si="12"/>
        <v>0</v>
      </c>
      <c r="AH54" s="11">
        <f t="shared" si="13"/>
        <v>13</v>
      </c>
    </row>
    <row r="55" spans="1:124">
      <c r="A55" s="70" t="s">
        <v>50</v>
      </c>
      <c r="B55" s="15"/>
      <c r="C55" s="15">
        <v>0.85</v>
      </c>
      <c r="D55" s="15"/>
      <c r="E55" s="15"/>
      <c r="F55" s="372"/>
      <c r="G55" s="372"/>
      <c r="H55" s="372"/>
      <c r="I55" s="372"/>
      <c r="J55" s="372"/>
      <c r="K55" s="374"/>
      <c r="L55" s="374"/>
      <c r="M55" s="374"/>
      <c r="N55" s="372"/>
      <c r="O55" s="372"/>
      <c r="P55" s="372"/>
      <c r="Q55" s="372"/>
      <c r="R55" s="372"/>
      <c r="S55" s="372"/>
      <c r="T55" s="372"/>
      <c r="U55" s="372"/>
      <c r="V55" s="372"/>
      <c r="W55" s="372"/>
      <c r="X55" s="372"/>
      <c r="Y55" s="372"/>
      <c r="Z55" s="372"/>
      <c r="AA55" s="372"/>
      <c r="AB55" s="372"/>
      <c r="AC55" s="372"/>
      <c r="AD55" s="41"/>
      <c r="AE55" s="41"/>
      <c r="AF55" s="11">
        <f>COUNTIF(F55:AC55,$AJ$8)</f>
        <v>0</v>
      </c>
      <c r="AG55" s="11">
        <f t="shared" si="12"/>
        <v>0</v>
      </c>
      <c r="AH55" s="11">
        <f>COUNT(F55:AC55)</f>
        <v>0</v>
      </c>
    </row>
    <row r="56" spans="1:124">
      <c r="A56" s="70" t="s">
        <v>51</v>
      </c>
      <c r="B56" s="15"/>
      <c r="C56" s="15">
        <v>0.75</v>
      </c>
      <c r="D56" s="15"/>
      <c r="E56" s="15"/>
      <c r="F56" s="372"/>
      <c r="G56" s="372"/>
      <c r="H56" s="372">
        <v>0.8</v>
      </c>
      <c r="I56" s="372">
        <v>0.8</v>
      </c>
      <c r="J56" s="372">
        <v>0</v>
      </c>
      <c r="K56" s="374">
        <v>0</v>
      </c>
      <c r="L56" s="374">
        <v>0</v>
      </c>
      <c r="M56" s="374">
        <v>0</v>
      </c>
      <c r="N56" s="374">
        <f>2.25/3</f>
        <v>0.75</v>
      </c>
      <c r="O56" s="372">
        <v>0</v>
      </c>
      <c r="P56" s="372">
        <v>0.8</v>
      </c>
      <c r="Q56" s="372">
        <v>0.8</v>
      </c>
      <c r="R56" s="372">
        <v>0.8</v>
      </c>
      <c r="S56" s="372">
        <v>0.8</v>
      </c>
      <c r="T56" s="372">
        <v>0.8</v>
      </c>
      <c r="U56" s="372">
        <v>0.8</v>
      </c>
      <c r="V56" s="372">
        <v>0.7</v>
      </c>
      <c r="W56" s="372">
        <v>0.8</v>
      </c>
      <c r="X56" s="372"/>
      <c r="Y56" s="372"/>
      <c r="Z56" s="372"/>
      <c r="AA56" s="372"/>
      <c r="AB56" s="372"/>
      <c r="AC56" s="372"/>
      <c r="AD56" s="41"/>
      <c r="AE56" s="41"/>
      <c r="AF56" s="11">
        <f t="shared" si="11"/>
        <v>0</v>
      </c>
      <c r="AG56" s="11">
        <f t="shared" si="12"/>
        <v>0</v>
      </c>
      <c r="AH56" s="11">
        <f t="shared" si="13"/>
        <v>16</v>
      </c>
    </row>
    <row r="57" spans="1:124">
      <c r="A57" s="70" t="s">
        <v>52</v>
      </c>
      <c r="B57" s="15"/>
      <c r="C57" s="15">
        <v>0.75</v>
      </c>
      <c r="D57" s="15"/>
      <c r="E57" s="15"/>
      <c r="F57" s="372"/>
      <c r="G57" s="372"/>
      <c r="H57" s="372"/>
      <c r="I57" s="372"/>
      <c r="J57" s="372"/>
      <c r="K57" s="374"/>
      <c r="L57" s="374"/>
      <c r="M57" s="374"/>
      <c r="N57" s="372"/>
      <c r="O57" s="372"/>
      <c r="P57" s="372"/>
      <c r="Q57" s="372"/>
      <c r="R57" s="372"/>
      <c r="S57" s="372"/>
      <c r="T57" s="372"/>
      <c r="U57" s="372"/>
      <c r="V57" s="372"/>
      <c r="W57" s="372"/>
      <c r="X57" s="372"/>
      <c r="Y57" s="372"/>
      <c r="Z57" s="372"/>
      <c r="AA57" s="372"/>
      <c r="AB57" s="372"/>
      <c r="AC57" s="372"/>
      <c r="AD57" s="41"/>
      <c r="AE57" s="41"/>
      <c r="AF57" s="11">
        <f t="shared" si="11"/>
        <v>0</v>
      </c>
      <c r="AG57" s="11">
        <f t="shared" si="12"/>
        <v>0</v>
      </c>
      <c r="AH57" s="11">
        <f t="shared" si="13"/>
        <v>0</v>
      </c>
    </row>
    <row r="58" spans="1:124">
      <c r="A58" s="70" t="s">
        <v>53</v>
      </c>
      <c r="B58" s="15"/>
      <c r="C58" s="15">
        <v>0.85</v>
      </c>
      <c r="D58" s="15"/>
      <c r="E58" s="15"/>
      <c r="F58" s="372"/>
      <c r="G58" s="372"/>
      <c r="H58" s="372"/>
      <c r="I58" s="372"/>
      <c r="J58" s="372"/>
      <c r="K58" s="374"/>
      <c r="L58" s="374"/>
      <c r="M58" s="374"/>
      <c r="N58" s="372"/>
      <c r="O58" s="372"/>
      <c r="P58" s="372"/>
      <c r="Q58" s="372"/>
      <c r="R58" s="372"/>
      <c r="S58" s="372"/>
      <c r="T58" s="372"/>
      <c r="U58" s="372"/>
      <c r="V58" s="372"/>
      <c r="W58" s="372"/>
      <c r="X58" s="372"/>
      <c r="Y58" s="372"/>
      <c r="Z58" s="372"/>
      <c r="AA58" s="372"/>
      <c r="AB58" s="372"/>
      <c r="AC58" s="372"/>
      <c r="AD58" s="41"/>
      <c r="AE58" s="41"/>
      <c r="AF58" s="11">
        <f t="shared" si="11"/>
        <v>0</v>
      </c>
      <c r="AG58" s="11">
        <f t="shared" si="12"/>
        <v>0</v>
      </c>
      <c r="AH58" s="11">
        <f t="shared" si="13"/>
        <v>0</v>
      </c>
    </row>
    <row r="59" spans="1:124">
      <c r="A59" s="70" t="s">
        <v>54</v>
      </c>
      <c r="B59" s="15"/>
      <c r="C59" s="15">
        <v>0.85</v>
      </c>
      <c r="D59" s="15"/>
      <c r="E59" s="15"/>
      <c r="F59" s="372"/>
      <c r="G59" s="372"/>
      <c r="H59" s="372"/>
      <c r="I59" s="372"/>
      <c r="J59" s="372"/>
      <c r="K59" s="374"/>
      <c r="L59" s="374"/>
      <c r="M59" s="374"/>
      <c r="N59" s="372"/>
      <c r="O59" s="372"/>
      <c r="P59" s="372"/>
      <c r="Q59" s="372"/>
      <c r="R59" s="372"/>
      <c r="S59" s="372"/>
      <c r="T59" s="372"/>
      <c r="U59" s="372"/>
      <c r="V59" s="372"/>
      <c r="W59" s="372"/>
      <c r="X59" s="372"/>
      <c r="Y59" s="372"/>
      <c r="Z59" s="372"/>
      <c r="AA59" s="372"/>
      <c r="AB59" s="372"/>
      <c r="AC59" s="372"/>
      <c r="AD59" s="41"/>
      <c r="AE59" s="41"/>
      <c r="AF59" s="11">
        <f t="shared" si="11"/>
        <v>0</v>
      </c>
      <c r="AG59" s="11">
        <f t="shared" si="12"/>
        <v>0</v>
      </c>
      <c r="AH59" s="11">
        <f t="shared" si="13"/>
        <v>0</v>
      </c>
    </row>
    <row r="60" spans="1:124">
      <c r="A60" s="9" t="s">
        <v>26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 t="shared" ref="F60" si="14">SUM(F36:F59)</f>
        <v>0</v>
      </c>
      <c r="G60" s="19">
        <f t="shared" ref="G60:AC60" si="15">SUM(G36:G59)</f>
        <v>0</v>
      </c>
      <c r="H60" s="19">
        <f t="shared" si="15"/>
        <v>4</v>
      </c>
      <c r="I60" s="19">
        <f t="shared" si="15"/>
        <v>0.8</v>
      </c>
      <c r="J60" s="19">
        <f t="shared" si="15"/>
        <v>0</v>
      </c>
      <c r="K60" s="19">
        <f t="shared" si="15"/>
        <v>0</v>
      </c>
      <c r="L60" s="19">
        <f t="shared" si="15"/>
        <v>2.25</v>
      </c>
      <c r="M60" s="19">
        <f t="shared" si="15"/>
        <v>0</v>
      </c>
      <c r="N60" s="19">
        <f t="shared" si="15"/>
        <v>3.1</v>
      </c>
      <c r="O60" s="19">
        <f>SUM(O36:O59)</f>
        <v>3.1</v>
      </c>
      <c r="P60" s="19">
        <f t="shared" si="15"/>
        <v>3.2</v>
      </c>
      <c r="Q60" s="19">
        <f t="shared" si="15"/>
        <v>2.2999999999999998</v>
      </c>
      <c r="R60" s="19">
        <f t="shared" si="15"/>
        <v>3.0999999999999996</v>
      </c>
      <c r="S60" s="19">
        <f t="shared" si="15"/>
        <v>3.2</v>
      </c>
      <c r="T60" s="19">
        <f>SUM(T36:T59)</f>
        <v>6.4</v>
      </c>
      <c r="U60" s="19">
        <f t="shared" si="15"/>
        <v>6.4</v>
      </c>
      <c r="V60" s="19">
        <f t="shared" si="15"/>
        <v>6.3000000000000007</v>
      </c>
      <c r="W60" s="19">
        <f t="shared" si="15"/>
        <v>5.0999999999999996</v>
      </c>
      <c r="X60" s="19">
        <f t="shared" si="15"/>
        <v>1.8</v>
      </c>
      <c r="Y60" s="19">
        <f t="shared" si="15"/>
        <v>1.8</v>
      </c>
      <c r="Z60" s="19">
        <f t="shared" si="15"/>
        <v>0.9</v>
      </c>
      <c r="AA60" s="19">
        <f t="shared" si="15"/>
        <v>0.7</v>
      </c>
      <c r="AB60" s="19">
        <f t="shared" si="15"/>
        <v>0</v>
      </c>
      <c r="AC60" s="19">
        <f t="shared" si="15"/>
        <v>0</v>
      </c>
      <c r="AD60" s="34"/>
      <c r="AE60" s="34"/>
      <c r="AF60" s="11"/>
      <c r="AG60" s="11"/>
      <c r="AH60" s="11"/>
    </row>
    <row r="61" spans="1:124">
      <c r="A61" s="12" t="s">
        <v>55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30.460000000000008</v>
      </c>
      <c r="AN61" s="351"/>
    </row>
    <row r="62" spans="1:124">
      <c r="A62" s="14" t="s">
        <v>56</v>
      </c>
      <c r="B62" s="20"/>
      <c r="C62" s="15">
        <v>0.75</v>
      </c>
      <c r="D62" s="15"/>
      <c r="E62" s="15"/>
      <c r="F62" s="372">
        <v>0.5</v>
      </c>
      <c r="G62" s="372">
        <v>0.5</v>
      </c>
      <c r="H62" s="372">
        <f>0.99/2</f>
        <v>0.495</v>
      </c>
      <c r="I62" s="372">
        <f>0.98/2</f>
        <v>0.49</v>
      </c>
      <c r="J62" s="372">
        <f>1/2</f>
        <v>0.5</v>
      </c>
      <c r="K62" s="374">
        <f>1/2</f>
        <v>0.5</v>
      </c>
      <c r="L62" s="374">
        <f>1.14/2</f>
        <v>0.56999999999999995</v>
      </c>
      <c r="M62" s="374">
        <v>0.55000000000000004</v>
      </c>
      <c r="N62" s="372">
        <f>0.66/2</f>
        <v>0.33</v>
      </c>
      <c r="O62" s="372">
        <f>1.46/2</f>
        <v>0.73</v>
      </c>
      <c r="P62" s="372">
        <f>1.52/2</f>
        <v>0.76</v>
      </c>
      <c r="Q62" s="372">
        <f>1.53/2</f>
        <v>0.76500000000000001</v>
      </c>
      <c r="R62" s="372">
        <v>0.8</v>
      </c>
      <c r="S62" s="372">
        <v>0.8</v>
      </c>
      <c r="T62" s="372">
        <v>0.79</v>
      </c>
      <c r="U62" s="372">
        <f>1.58/2</f>
        <v>0.79</v>
      </c>
      <c r="V62" s="372">
        <f>1.56/2</f>
        <v>0.78</v>
      </c>
      <c r="W62" s="372">
        <f>1.52/2</f>
        <v>0.76</v>
      </c>
      <c r="X62" s="372">
        <f>1.38/2</f>
        <v>0.69</v>
      </c>
      <c r="Y62" s="372">
        <f>1.46/2</f>
        <v>0.73</v>
      </c>
      <c r="Z62" s="372">
        <f>1.39/2</f>
        <v>0.69499999999999995</v>
      </c>
      <c r="AA62" s="372">
        <f>1.3/2</f>
        <v>0.65</v>
      </c>
      <c r="AB62" s="372">
        <f>1.45/2</f>
        <v>0.72499999999999998</v>
      </c>
      <c r="AC62" s="372">
        <v>0.6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24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57</v>
      </c>
      <c r="B63" s="20"/>
      <c r="C63" s="15">
        <v>0.75</v>
      </c>
      <c r="D63" s="15"/>
      <c r="E63" s="15"/>
      <c r="F63" s="372"/>
      <c r="G63" s="372"/>
      <c r="H63" s="372"/>
      <c r="I63" s="372"/>
      <c r="J63" s="372"/>
      <c r="K63" s="374"/>
      <c r="L63" s="374"/>
      <c r="M63" s="374" t="s">
        <v>9</v>
      </c>
      <c r="N63" s="372" t="s">
        <v>9</v>
      </c>
      <c r="O63" s="372" t="s">
        <v>9</v>
      </c>
      <c r="P63" s="372" t="s">
        <v>9</v>
      </c>
      <c r="Q63" s="372" t="s">
        <v>9</v>
      </c>
      <c r="R63" s="372" t="s">
        <v>9</v>
      </c>
      <c r="S63" s="372" t="s">
        <v>9</v>
      </c>
      <c r="T63" s="372" t="s">
        <v>9</v>
      </c>
      <c r="U63" s="372" t="s">
        <v>9</v>
      </c>
      <c r="V63" s="372" t="s">
        <v>9</v>
      </c>
      <c r="W63" s="372" t="s">
        <v>9</v>
      </c>
      <c r="X63" s="372" t="s">
        <v>9</v>
      </c>
      <c r="Y63" s="372" t="s">
        <v>9</v>
      </c>
      <c r="Z63" s="372" t="s">
        <v>9</v>
      </c>
      <c r="AA63" s="372" t="s">
        <v>9</v>
      </c>
      <c r="AB63" s="372" t="s">
        <v>9</v>
      </c>
      <c r="AC63" s="372" t="s">
        <v>9</v>
      </c>
      <c r="AD63" s="32"/>
      <c r="AE63" s="32"/>
      <c r="AF63" s="11">
        <f>COUNTIF(F63:AC63,$AF$11)</f>
        <v>17</v>
      </c>
      <c r="AG63" s="11">
        <f>COUNTIF(G63:AC63,$AG$11)</f>
        <v>0</v>
      </c>
      <c r="AH63" s="11">
        <f>COUNT(F63:AC63)</f>
        <v>0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58</v>
      </c>
      <c r="B64" s="20"/>
      <c r="C64" s="15">
        <v>0.75</v>
      </c>
      <c r="D64" s="15"/>
      <c r="E64" s="15"/>
      <c r="F64" s="372">
        <v>0.5</v>
      </c>
      <c r="G64" s="372">
        <v>0.5</v>
      </c>
      <c r="H64" s="372">
        <f>0.99/2</f>
        <v>0.495</v>
      </c>
      <c r="I64" s="372">
        <f>0.98/2</f>
        <v>0.49</v>
      </c>
      <c r="J64" s="372">
        <f>1/2</f>
        <v>0.5</v>
      </c>
      <c r="K64" s="374">
        <f>1/2</f>
        <v>0.5</v>
      </c>
      <c r="L64" s="374">
        <v>0.56999999999999995</v>
      </c>
      <c r="M64" s="374">
        <v>0</v>
      </c>
      <c r="N64" s="372">
        <f>0.66/2</f>
        <v>0.33</v>
      </c>
      <c r="O64" s="372">
        <f>1.46/2</f>
        <v>0.73</v>
      </c>
      <c r="P64" s="372">
        <f>1.52/2</f>
        <v>0.76</v>
      </c>
      <c r="Q64" s="372">
        <f>1.53/2</f>
        <v>0.76500000000000001</v>
      </c>
      <c r="R64" s="372">
        <v>0.8</v>
      </c>
      <c r="S64" s="372">
        <v>0.8</v>
      </c>
      <c r="T64" s="372">
        <v>0.8</v>
      </c>
      <c r="U64" s="372">
        <f>1.58/2</f>
        <v>0.79</v>
      </c>
      <c r="V64" s="372">
        <f>1.56/2</f>
        <v>0.78</v>
      </c>
      <c r="W64" s="372">
        <f>1.52/2</f>
        <v>0.76</v>
      </c>
      <c r="X64" s="372">
        <f>1.38/2</f>
        <v>0.69</v>
      </c>
      <c r="Y64" s="372">
        <f>1.46/2</f>
        <v>0.73</v>
      </c>
      <c r="Z64" s="372">
        <f>1.39/2</f>
        <v>0.69499999999999995</v>
      </c>
      <c r="AA64" s="372">
        <f>1.3/2</f>
        <v>0.65</v>
      </c>
      <c r="AB64" s="372">
        <f>1.45/2</f>
        <v>0.72499999999999998</v>
      </c>
      <c r="AC64" s="372">
        <v>0.6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24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1</v>
      </c>
      <c r="G65" s="19">
        <f t="shared" ref="G65" si="16">SUM(G62:G64)</f>
        <v>1</v>
      </c>
      <c r="H65" s="19">
        <f>SUM(H62:H64)</f>
        <v>0.99</v>
      </c>
      <c r="I65" s="19">
        <f>SUM(I62:I64)</f>
        <v>0.98</v>
      </c>
      <c r="J65" s="19">
        <f t="shared" ref="J65" si="17">SUM(J62:J64)</f>
        <v>1</v>
      </c>
      <c r="K65" s="19">
        <f>SUM(K62:K64)</f>
        <v>1</v>
      </c>
      <c r="L65" s="19">
        <f>SUM(L62:L64)</f>
        <v>1.1399999999999999</v>
      </c>
      <c r="M65" s="19">
        <f>SUM(M62:M64)</f>
        <v>0.55000000000000004</v>
      </c>
      <c r="N65" s="19">
        <f>SUM(N62:N64)</f>
        <v>0.66</v>
      </c>
      <c r="O65" s="19">
        <f t="shared" ref="O65:AB65" si="18">SUM(O62:O64)</f>
        <v>1.46</v>
      </c>
      <c r="P65" s="19">
        <f t="shared" si="18"/>
        <v>1.52</v>
      </c>
      <c r="Q65" s="19">
        <f t="shared" si="18"/>
        <v>1.53</v>
      </c>
      <c r="R65" s="19">
        <f t="shared" si="18"/>
        <v>1.6</v>
      </c>
      <c r="S65" s="19">
        <f t="shared" si="18"/>
        <v>1.6</v>
      </c>
      <c r="T65" s="19">
        <f t="shared" si="18"/>
        <v>1.59</v>
      </c>
      <c r="U65" s="19">
        <f t="shared" si="18"/>
        <v>1.58</v>
      </c>
      <c r="V65" s="19">
        <f t="shared" si="18"/>
        <v>1.56</v>
      </c>
      <c r="W65" s="19">
        <f t="shared" si="18"/>
        <v>1.52</v>
      </c>
      <c r="X65" s="19">
        <f t="shared" si="18"/>
        <v>1.38</v>
      </c>
      <c r="Y65" s="19">
        <f>SUM(Y62:Y64)</f>
        <v>1.46</v>
      </c>
      <c r="Z65" s="19">
        <f t="shared" si="18"/>
        <v>1.39</v>
      </c>
      <c r="AA65" s="19">
        <f t="shared" si="18"/>
        <v>1.3</v>
      </c>
      <c r="AB65" s="19">
        <f t="shared" si="18"/>
        <v>1.45</v>
      </c>
      <c r="AC65" s="19">
        <f>SUM(AC62:AC64)</f>
        <v>1.2</v>
      </c>
      <c r="AD65" s="34"/>
      <c r="AE65" s="34"/>
      <c r="AF65" s="11"/>
      <c r="AG65" s="11"/>
      <c r="AH65" s="11"/>
    </row>
    <row r="66" spans="1:124" hidden="1">
      <c r="A66" s="12" t="s">
        <v>59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idden="1">
      <c r="A67" s="14" t="s">
        <v>60</v>
      </c>
      <c r="B67" s="15"/>
      <c r="C67" s="15">
        <v>0.85</v>
      </c>
      <c r="D67" s="15"/>
      <c r="E67" s="15"/>
      <c r="F67" s="372"/>
      <c r="G67" s="372"/>
      <c r="H67" s="372"/>
      <c r="I67" s="372"/>
      <c r="J67" s="372"/>
      <c r="K67" s="374"/>
      <c r="L67" s="374"/>
      <c r="M67" s="374"/>
      <c r="N67" s="372"/>
      <c r="O67" s="372"/>
      <c r="P67" s="372"/>
      <c r="Q67" s="372"/>
      <c r="R67" s="372"/>
      <c r="S67" s="372"/>
      <c r="T67" s="372"/>
      <c r="U67" s="372"/>
      <c r="V67" s="372"/>
      <c r="W67" s="372"/>
      <c r="X67" s="372"/>
      <c r="Y67" s="372"/>
      <c r="Z67" s="372"/>
      <c r="AA67" s="372"/>
      <c r="AB67" s="372"/>
      <c r="AC67" s="372"/>
      <c r="AD67" s="35"/>
      <c r="AE67" s="35"/>
      <c r="AF67" s="11">
        <f t="shared" ref="AF67:AF75" si="19">COUNTIF(F67:AC67,$AF$11)</f>
        <v>0</v>
      </c>
      <c r="AG67" s="11">
        <f t="shared" ref="AG67:AG75" si="20">COUNTIF(G67:AC67,$AG$11)</f>
        <v>0</v>
      </c>
      <c r="AH67" s="11">
        <f t="shared" ref="AH67:AH75" si="21">COUNT(F67:AC67)</f>
        <v>0</v>
      </c>
    </row>
    <row r="68" spans="1:124" hidden="1">
      <c r="A68" s="14" t="s">
        <v>61</v>
      </c>
      <c r="B68" s="15"/>
      <c r="C68" s="15">
        <v>0.85</v>
      </c>
      <c r="D68" s="15"/>
      <c r="E68" s="15"/>
      <c r="F68" s="372"/>
      <c r="G68" s="372"/>
      <c r="H68" s="372"/>
      <c r="I68" s="372"/>
      <c r="J68" s="372"/>
      <c r="K68" s="374"/>
      <c r="L68" s="374"/>
      <c r="M68" s="374"/>
      <c r="N68" s="372"/>
      <c r="O68" s="372"/>
      <c r="P68" s="372"/>
      <c r="Q68" s="372"/>
      <c r="R68" s="372"/>
      <c r="S68" s="372"/>
      <c r="T68" s="372"/>
      <c r="U68" s="372"/>
      <c r="V68" s="372"/>
      <c r="W68" s="372"/>
      <c r="X68" s="372"/>
      <c r="Y68" s="372"/>
      <c r="Z68" s="372"/>
      <c r="AA68" s="372"/>
      <c r="AB68" s="372"/>
      <c r="AC68" s="372"/>
      <c r="AD68" s="35"/>
      <c r="AE68" s="35"/>
      <c r="AF68" s="11">
        <f t="shared" si="19"/>
        <v>0</v>
      </c>
      <c r="AG68" s="11">
        <f t="shared" si="20"/>
        <v>0</v>
      </c>
      <c r="AH68" s="11">
        <f t="shared" si="21"/>
        <v>0</v>
      </c>
    </row>
    <row r="69" spans="1:124" hidden="1">
      <c r="A69" s="14" t="s">
        <v>62</v>
      </c>
      <c r="B69" s="15"/>
      <c r="C69" s="15">
        <v>0.85</v>
      </c>
      <c r="D69" s="15"/>
      <c r="E69" s="15"/>
      <c r="F69" s="372"/>
      <c r="G69" s="372"/>
      <c r="H69" s="372"/>
      <c r="I69" s="372"/>
      <c r="J69" s="372"/>
      <c r="K69" s="374"/>
      <c r="L69" s="374"/>
      <c r="M69" s="374"/>
      <c r="N69" s="372"/>
      <c r="O69" s="372"/>
      <c r="P69" s="372"/>
      <c r="Q69" s="372"/>
      <c r="R69" s="372"/>
      <c r="S69" s="372"/>
      <c r="T69" s="372"/>
      <c r="U69" s="372"/>
      <c r="V69" s="372"/>
      <c r="W69" s="372"/>
      <c r="X69" s="372"/>
      <c r="Y69" s="372"/>
      <c r="Z69" s="372"/>
      <c r="AA69" s="372"/>
      <c r="AB69" s="372"/>
      <c r="AC69" s="372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1"/>
        <v>0</v>
      </c>
    </row>
    <row r="70" spans="1:124" hidden="1">
      <c r="A70" s="14" t="s">
        <v>63</v>
      </c>
      <c r="B70" s="15"/>
      <c r="C70" s="15">
        <v>0.85</v>
      </c>
      <c r="D70" s="15"/>
      <c r="E70" s="15"/>
      <c r="F70" s="372"/>
      <c r="G70" s="372"/>
      <c r="H70" s="372"/>
      <c r="I70" s="372"/>
      <c r="J70" s="372"/>
      <c r="K70" s="374"/>
      <c r="L70" s="374"/>
      <c r="M70" s="374"/>
      <c r="N70" s="372"/>
      <c r="O70" s="372"/>
      <c r="P70" s="372"/>
      <c r="Q70" s="372"/>
      <c r="R70" s="372"/>
      <c r="S70" s="372"/>
      <c r="T70" s="372"/>
      <c r="U70" s="372"/>
      <c r="V70" s="372"/>
      <c r="W70" s="372"/>
      <c r="X70" s="372"/>
      <c r="Y70" s="372"/>
      <c r="Z70" s="372"/>
      <c r="AA70" s="372"/>
      <c r="AB70" s="372"/>
      <c r="AC70" s="372"/>
      <c r="AD70" s="35"/>
      <c r="AE70" s="35"/>
      <c r="AF70" s="11">
        <f t="shared" si="19"/>
        <v>0</v>
      </c>
      <c r="AG70" s="11">
        <f t="shared" si="20"/>
        <v>0</v>
      </c>
      <c r="AH70" s="11">
        <f t="shared" si="21"/>
        <v>0</v>
      </c>
      <c r="AI70" s="5"/>
      <c r="AJ70" s="5"/>
      <c r="AK70" s="5"/>
      <c r="AL70" s="5"/>
    </row>
    <row r="71" spans="1:124" hidden="1">
      <c r="A71" s="14" t="s">
        <v>64</v>
      </c>
      <c r="B71" s="15"/>
      <c r="C71" s="15">
        <v>0.85</v>
      </c>
      <c r="D71" s="15"/>
      <c r="E71" s="15"/>
      <c r="F71" s="372"/>
      <c r="G71" s="372"/>
      <c r="H71" s="372"/>
      <c r="I71" s="372"/>
      <c r="J71" s="372"/>
      <c r="K71" s="374"/>
      <c r="L71" s="374"/>
      <c r="M71" s="374"/>
      <c r="N71" s="372"/>
      <c r="O71" s="372"/>
      <c r="P71" s="372"/>
      <c r="Q71" s="372"/>
      <c r="R71" s="372"/>
      <c r="S71" s="372"/>
      <c r="T71" s="372"/>
      <c r="U71" s="372"/>
      <c r="V71" s="372"/>
      <c r="W71" s="372"/>
      <c r="X71" s="372"/>
      <c r="Y71" s="372"/>
      <c r="Z71" s="372"/>
      <c r="AA71" s="372"/>
      <c r="AB71" s="372"/>
      <c r="AC71" s="372"/>
      <c r="AD71" s="35"/>
      <c r="AE71" s="35"/>
      <c r="AF71" s="11">
        <f t="shared" si="19"/>
        <v>0</v>
      </c>
      <c r="AG71" s="11">
        <f t="shared" si="20"/>
        <v>0</v>
      </c>
      <c r="AH71" s="11">
        <f t="shared" si="21"/>
        <v>0</v>
      </c>
    </row>
    <row r="72" spans="1:124" hidden="1">
      <c r="A72" s="14" t="s">
        <v>65</v>
      </c>
      <c r="B72" s="15"/>
      <c r="C72" s="15">
        <v>0.85</v>
      </c>
      <c r="D72" s="15"/>
      <c r="E72" s="15"/>
      <c r="F72" s="372"/>
      <c r="G72" s="372"/>
      <c r="H72" s="372"/>
      <c r="I72" s="372"/>
      <c r="J72" s="372"/>
      <c r="K72" s="374"/>
      <c r="L72" s="374"/>
      <c r="M72" s="374"/>
      <c r="N72" s="372"/>
      <c r="O72" s="372"/>
      <c r="P72" s="372"/>
      <c r="Q72" s="372"/>
      <c r="R72" s="372"/>
      <c r="S72" s="372"/>
      <c r="T72" s="372"/>
      <c r="U72" s="372"/>
      <c r="V72" s="372"/>
      <c r="W72" s="372"/>
      <c r="X72" s="372"/>
      <c r="Y72" s="372"/>
      <c r="Z72" s="372"/>
      <c r="AA72" s="372"/>
      <c r="AB72" s="372"/>
      <c r="AC72" s="372"/>
      <c r="AD72" s="35"/>
      <c r="AE72" s="35"/>
      <c r="AF72" s="11">
        <f t="shared" si="19"/>
        <v>0</v>
      </c>
      <c r="AG72" s="11">
        <f t="shared" si="20"/>
        <v>0</v>
      </c>
      <c r="AH72" s="11">
        <f t="shared" si="21"/>
        <v>0</v>
      </c>
    </row>
    <row r="73" spans="1:124" hidden="1">
      <c r="A73" s="14" t="s">
        <v>66</v>
      </c>
      <c r="B73" s="15"/>
      <c r="C73" s="15">
        <v>0.85</v>
      </c>
      <c r="D73" s="15"/>
      <c r="E73" s="15"/>
      <c r="F73" s="372"/>
      <c r="G73" s="372"/>
      <c r="H73" s="372"/>
      <c r="I73" s="372"/>
      <c r="J73" s="372"/>
      <c r="K73" s="374"/>
      <c r="L73" s="374"/>
      <c r="M73" s="374"/>
      <c r="N73" s="372"/>
      <c r="O73" s="372"/>
      <c r="P73" s="372"/>
      <c r="Q73" s="372"/>
      <c r="R73" s="372"/>
      <c r="S73" s="372"/>
      <c r="T73" s="372"/>
      <c r="U73" s="372"/>
      <c r="V73" s="372"/>
      <c r="W73" s="372"/>
      <c r="X73" s="372"/>
      <c r="Y73" s="372"/>
      <c r="Z73" s="372"/>
      <c r="AA73" s="372"/>
      <c r="AB73" s="372"/>
      <c r="AC73" s="372"/>
      <c r="AD73" s="35"/>
      <c r="AE73" s="35"/>
      <c r="AF73" s="11">
        <f t="shared" si="19"/>
        <v>0</v>
      </c>
      <c r="AG73" s="11">
        <f t="shared" si="20"/>
        <v>0</v>
      </c>
      <c r="AH73" s="11">
        <f t="shared" si="21"/>
        <v>0</v>
      </c>
    </row>
    <row r="74" spans="1:124" hidden="1">
      <c r="A74" s="14" t="s">
        <v>67</v>
      </c>
      <c r="B74" s="19"/>
      <c r="C74" s="15">
        <v>0.85</v>
      </c>
      <c r="D74" s="15"/>
      <c r="E74" s="15"/>
      <c r="F74" s="372"/>
      <c r="G74" s="372"/>
      <c r="H74" s="372"/>
      <c r="I74" s="372"/>
      <c r="J74" s="372"/>
      <c r="K74" s="374"/>
      <c r="L74" s="374"/>
      <c r="M74" s="374"/>
      <c r="N74" s="372"/>
      <c r="O74" s="372"/>
      <c r="P74" s="372"/>
      <c r="Q74" s="372"/>
      <c r="R74" s="372"/>
      <c r="S74" s="372"/>
      <c r="T74" s="372"/>
      <c r="U74" s="372"/>
      <c r="V74" s="372"/>
      <c r="W74" s="372"/>
      <c r="X74" s="372"/>
      <c r="Y74" s="372"/>
      <c r="Z74" s="372"/>
      <c r="AA74" s="372"/>
      <c r="AB74" s="372"/>
      <c r="AC74" s="372"/>
      <c r="AD74" s="29"/>
      <c r="AE74" s="29"/>
      <c r="AF74" s="11">
        <f t="shared" si="19"/>
        <v>0</v>
      </c>
      <c r="AG74" s="11">
        <f t="shared" si="20"/>
        <v>0</v>
      </c>
      <c r="AH74" s="11">
        <f t="shared" si="21"/>
        <v>0</v>
      </c>
    </row>
    <row r="75" spans="1:124" ht="15.75" hidden="1" customHeight="1">
      <c r="A75" s="14" t="s">
        <v>68</v>
      </c>
      <c r="B75" s="9"/>
      <c r="C75" s="15">
        <v>0.85</v>
      </c>
      <c r="D75" s="15"/>
      <c r="E75" s="15"/>
      <c r="F75" s="372"/>
      <c r="G75" s="372"/>
      <c r="H75" s="372"/>
      <c r="I75" s="372"/>
      <c r="J75" s="372"/>
      <c r="K75" s="374"/>
      <c r="L75" s="374"/>
      <c r="M75" s="374"/>
      <c r="N75" s="372"/>
      <c r="O75" s="372"/>
      <c r="P75" s="372"/>
      <c r="Q75" s="372"/>
      <c r="R75" s="372"/>
      <c r="S75" s="372"/>
      <c r="T75" s="372"/>
      <c r="U75" s="372"/>
      <c r="V75" s="372"/>
      <c r="W75" s="372"/>
      <c r="X75" s="372"/>
      <c r="Y75" s="372"/>
      <c r="Z75" s="372"/>
      <c r="AA75" s="372"/>
      <c r="AB75" s="372"/>
      <c r="AC75" s="372"/>
      <c r="AD75" s="31"/>
      <c r="AE75" s="31"/>
      <c r="AF75" s="11">
        <f t="shared" si="19"/>
        <v>0</v>
      </c>
      <c r="AG75" s="11">
        <f t="shared" si="20"/>
        <v>0</v>
      </c>
      <c r="AH75" s="11">
        <f t="shared" si="21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2">SUM(F67:F75)</f>
        <v>0</v>
      </c>
      <c r="G76" s="19">
        <f t="shared" ref="G76:AC76" si="23">SUM(G67:G75)</f>
        <v>0</v>
      </c>
      <c r="H76" s="19">
        <f t="shared" si="23"/>
        <v>0</v>
      </c>
      <c r="I76" s="19">
        <f t="shared" si="23"/>
        <v>0</v>
      </c>
      <c r="J76" s="19">
        <f t="shared" si="23"/>
        <v>0</v>
      </c>
      <c r="K76" s="19">
        <f t="shared" si="23"/>
        <v>0</v>
      </c>
      <c r="L76" s="19">
        <f>SUM(L67:L75)</f>
        <v>0</v>
      </c>
      <c r="M76" s="19">
        <f t="shared" si="23"/>
        <v>0</v>
      </c>
      <c r="N76" s="19">
        <f t="shared" si="23"/>
        <v>0</v>
      </c>
      <c r="O76" s="19">
        <f t="shared" si="23"/>
        <v>0</v>
      </c>
      <c r="P76" s="19">
        <f t="shared" si="23"/>
        <v>0</v>
      </c>
      <c r="Q76" s="19">
        <f>SUM(Q67:Q75)</f>
        <v>0</v>
      </c>
      <c r="R76" s="19">
        <f t="shared" si="23"/>
        <v>0</v>
      </c>
      <c r="S76" s="19">
        <f t="shared" si="23"/>
        <v>0</v>
      </c>
      <c r="T76" s="19">
        <f t="shared" si="23"/>
        <v>0</v>
      </c>
      <c r="U76" s="19">
        <f t="shared" si="23"/>
        <v>0</v>
      </c>
      <c r="V76" s="19">
        <f t="shared" si="23"/>
        <v>0</v>
      </c>
      <c r="W76" s="19">
        <f t="shared" si="23"/>
        <v>0</v>
      </c>
      <c r="X76" s="19">
        <f t="shared" si="23"/>
        <v>0</v>
      </c>
      <c r="Y76" s="19">
        <f t="shared" si="23"/>
        <v>0</v>
      </c>
      <c r="Z76" s="19">
        <f t="shared" si="23"/>
        <v>0</v>
      </c>
      <c r="AA76" s="19">
        <f t="shared" si="23"/>
        <v>0</v>
      </c>
      <c r="AB76" s="19">
        <f t="shared" si="23"/>
        <v>0</v>
      </c>
      <c r="AC76" s="19">
        <f t="shared" si="23"/>
        <v>0</v>
      </c>
      <c r="AD76" s="34"/>
      <c r="AE76" s="34"/>
      <c r="AF76" s="11"/>
      <c r="AG76" s="11"/>
      <c r="AH76" s="11"/>
    </row>
    <row r="77" spans="1:124">
      <c r="A77" s="12" t="s">
        <v>69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 t="s">
        <v>21</v>
      </c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21.649999999999995</v>
      </c>
    </row>
    <row r="78" spans="1:124">
      <c r="A78" s="14" t="s">
        <v>70</v>
      </c>
      <c r="B78" s="20"/>
      <c r="C78" s="15">
        <v>1</v>
      </c>
      <c r="D78" s="15"/>
      <c r="E78" s="15"/>
      <c r="F78" s="372"/>
      <c r="G78" s="372"/>
      <c r="H78" s="372"/>
      <c r="I78" s="372"/>
      <c r="J78" s="372"/>
      <c r="K78" s="374"/>
      <c r="L78" s="374"/>
      <c r="M78" s="374">
        <v>0.79</v>
      </c>
      <c r="N78" s="372">
        <v>0.79</v>
      </c>
      <c r="O78" s="372">
        <v>0.85</v>
      </c>
      <c r="P78" s="372">
        <v>0.87</v>
      </c>
      <c r="Q78" s="372">
        <v>0.92</v>
      </c>
      <c r="R78" s="372">
        <v>0.93</v>
      </c>
      <c r="S78" s="372">
        <v>0.94</v>
      </c>
      <c r="T78" s="372">
        <v>0.95</v>
      </c>
      <c r="U78" s="372">
        <v>0.97</v>
      </c>
      <c r="V78" s="372">
        <v>0.94</v>
      </c>
      <c r="W78" s="372">
        <v>0.93</v>
      </c>
      <c r="X78" s="372">
        <v>0.92</v>
      </c>
      <c r="Y78" s="372"/>
      <c r="Z78" s="372"/>
      <c r="AA78" s="372"/>
      <c r="AB78" s="372"/>
      <c r="AC78" s="372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71</v>
      </c>
      <c r="B79" s="20"/>
      <c r="C79" s="15">
        <v>1</v>
      </c>
      <c r="D79" s="15"/>
      <c r="E79" s="15"/>
      <c r="F79" s="372">
        <v>0.87</v>
      </c>
      <c r="G79" s="372">
        <v>0.83</v>
      </c>
      <c r="H79" s="372">
        <v>0.82</v>
      </c>
      <c r="I79" s="372">
        <v>0.81</v>
      </c>
      <c r="J79" s="372">
        <v>0.78</v>
      </c>
      <c r="K79" s="374">
        <v>0.8</v>
      </c>
      <c r="L79" s="374">
        <v>0.83</v>
      </c>
      <c r="M79" s="374">
        <v>0</v>
      </c>
      <c r="N79" s="372">
        <v>0</v>
      </c>
      <c r="O79" s="372">
        <v>0</v>
      </c>
      <c r="P79" s="372">
        <v>0</v>
      </c>
      <c r="Q79" s="372">
        <v>0</v>
      </c>
      <c r="R79" s="372">
        <v>0</v>
      </c>
      <c r="S79" s="372">
        <v>0</v>
      </c>
      <c r="T79" s="372">
        <v>0</v>
      </c>
      <c r="U79" s="372">
        <v>0</v>
      </c>
      <c r="V79" s="372">
        <v>0</v>
      </c>
      <c r="W79" s="372">
        <v>0</v>
      </c>
      <c r="X79" s="372">
        <v>0</v>
      </c>
      <c r="Y79" s="372">
        <v>1.04</v>
      </c>
      <c r="Z79" s="372">
        <v>1.06</v>
      </c>
      <c r="AA79" s="372">
        <v>1.06</v>
      </c>
      <c r="AB79" s="372">
        <v>1</v>
      </c>
      <c r="AC79" s="372">
        <v>0.95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24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" si="24">SUM(F78:F79)</f>
        <v>0.87</v>
      </c>
      <c r="G80" s="19">
        <f t="shared" ref="G80" si="25">SUM(G78:G79)</f>
        <v>0.83</v>
      </c>
      <c r="H80" s="19">
        <f>SUM(H78:H79)</f>
        <v>0.82</v>
      </c>
      <c r="I80" s="19">
        <f>SUM(I78:I79)</f>
        <v>0.81</v>
      </c>
      <c r="J80" s="19">
        <f t="shared" ref="J80:AC80" si="26">SUM(J78:J79)</f>
        <v>0.78</v>
      </c>
      <c r="K80" s="19">
        <f t="shared" si="26"/>
        <v>0.8</v>
      </c>
      <c r="L80" s="19">
        <f>SUM(L78:L79)</f>
        <v>0.83</v>
      </c>
      <c r="M80" s="19">
        <f t="shared" si="26"/>
        <v>0.79</v>
      </c>
      <c r="N80" s="19">
        <f t="shared" si="26"/>
        <v>0.79</v>
      </c>
      <c r="O80" s="19">
        <f>SUM(O78:O79)</f>
        <v>0.85</v>
      </c>
      <c r="P80" s="19">
        <f t="shared" si="26"/>
        <v>0.87</v>
      </c>
      <c r="Q80" s="19">
        <f t="shared" si="26"/>
        <v>0.92</v>
      </c>
      <c r="R80" s="19">
        <f t="shared" si="26"/>
        <v>0.93</v>
      </c>
      <c r="S80" s="19">
        <f t="shared" si="26"/>
        <v>0.94</v>
      </c>
      <c r="T80" s="19">
        <f t="shared" si="26"/>
        <v>0.95</v>
      </c>
      <c r="U80" s="19">
        <f t="shared" si="26"/>
        <v>0.97</v>
      </c>
      <c r="V80" s="19">
        <f t="shared" si="26"/>
        <v>0.94</v>
      </c>
      <c r="W80" s="19">
        <f t="shared" si="26"/>
        <v>0.93</v>
      </c>
      <c r="X80" s="19">
        <f t="shared" si="26"/>
        <v>0.92</v>
      </c>
      <c r="Y80" s="19">
        <f t="shared" si="26"/>
        <v>1.04</v>
      </c>
      <c r="Z80" s="19">
        <f t="shared" si="26"/>
        <v>1.06</v>
      </c>
      <c r="AA80" s="19">
        <f t="shared" si="26"/>
        <v>1.06</v>
      </c>
      <c r="AB80" s="19">
        <f t="shared" si="26"/>
        <v>1</v>
      </c>
      <c r="AC80" s="19">
        <f t="shared" si="26"/>
        <v>0.95</v>
      </c>
      <c r="AD80" s="34"/>
      <c r="AE80" s="34"/>
      <c r="AF80" s="11"/>
      <c r="AG80" s="11"/>
      <c r="AH80" s="11"/>
    </row>
    <row r="81" spans="1:40" ht="17.45" hidden="1">
      <c r="A81" s="366" t="s">
        <v>72</v>
      </c>
      <c r="B81" s="365"/>
      <c r="C81" s="367">
        <v>2</v>
      </c>
      <c r="D81" s="363"/>
      <c r="E81" s="363"/>
      <c r="F81" s="364"/>
      <c r="G81" s="364"/>
      <c r="H81" s="364"/>
      <c r="I81" s="364"/>
      <c r="J81" s="364"/>
      <c r="K81" s="364"/>
      <c r="L81" s="364"/>
      <c r="M81" s="364"/>
      <c r="N81" s="364"/>
      <c r="O81" s="364"/>
      <c r="P81" s="364"/>
      <c r="Q81" s="364"/>
      <c r="R81" s="364"/>
      <c r="S81" s="364"/>
      <c r="T81" s="364"/>
      <c r="U81" s="364"/>
      <c r="V81" s="364"/>
      <c r="W81" s="364"/>
      <c r="X81" s="364"/>
      <c r="Y81" s="364"/>
      <c r="Z81" s="364"/>
      <c r="AA81" s="364"/>
      <c r="AB81" s="364"/>
      <c r="AC81" s="364"/>
    </row>
    <row r="82" spans="1:40" ht="17.45" hidden="1">
      <c r="A82" s="368"/>
      <c r="B82" s="369"/>
      <c r="C82" s="370"/>
      <c r="D82" s="371"/>
      <c r="E82" s="371"/>
      <c r="F82" s="372"/>
      <c r="G82" s="372"/>
      <c r="H82" s="372"/>
      <c r="I82" s="372"/>
      <c r="J82" s="372"/>
      <c r="K82" s="374"/>
      <c r="L82" s="374"/>
      <c r="M82" s="374"/>
      <c r="N82" s="372"/>
      <c r="O82" s="372"/>
      <c r="P82" s="372"/>
      <c r="Q82" s="372"/>
      <c r="R82" s="372"/>
      <c r="S82" s="372"/>
      <c r="T82" s="372"/>
      <c r="U82" s="372"/>
      <c r="V82" s="372"/>
      <c r="W82" s="372"/>
      <c r="X82" s="372"/>
      <c r="Y82" s="372"/>
      <c r="Z82" s="372"/>
      <c r="AA82" s="372"/>
      <c r="AB82" s="372"/>
      <c r="AC82" s="372"/>
    </row>
    <row r="83" spans="1:40">
      <c r="A83" s="21" t="s">
        <v>73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:AC83" si="27">SUM(F17,F22,F25,F31,F34,F60,F65,F76,F80,F82)</f>
        <v>47.32</v>
      </c>
      <c r="G83" s="28">
        <f t="shared" si="27"/>
        <v>46.72</v>
      </c>
      <c r="H83" s="28">
        <f t="shared" si="27"/>
        <v>45.84</v>
      </c>
      <c r="I83" s="28">
        <f t="shared" si="27"/>
        <v>42.679999999999993</v>
      </c>
      <c r="J83" s="28">
        <f t="shared" si="27"/>
        <v>41.46</v>
      </c>
      <c r="K83" s="28">
        <f t="shared" si="27"/>
        <v>41.489999999999995</v>
      </c>
      <c r="L83" s="28">
        <f t="shared" si="27"/>
        <v>44.120000000000005</v>
      </c>
      <c r="M83" s="28">
        <f t="shared" si="27"/>
        <v>42.449999999999996</v>
      </c>
      <c r="N83" s="28">
        <f>SUM(N17,N22,N25,N31,N34,N60,N65,N76,N80,N82)</f>
        <v>50.669999999999995</v>
      </c>
      <c r="O83" s="28">
        <f>SUM(O17,O22,O25,O31,O34,O60,O65,O76,O80,O82)</f>
        <v>62.440000000000005</v>
      </c>
      <c r="P83" s="28">
        <f t="shared" si="27"/>
        <v>65.220000000000013</v>
      </c>
      <c r="Q83" s="28">
        <f t="shared" si="27"/>
        <v>66.64</v>
      </c>
      <c r="R83" s="28">
        <f t="shared" si="27"/>
        <v>68.459999999999994</v>
      </c>
      <c r="S83" s="28">
        <f t="shared" si="27"/>
        <v>70.759999999999991</v>
      </c>
      <c r="T83" s="28">
        <f t="shared" si="27"/>
        <v>66.67</v>
      </c>
      <c r="U83" s="28">
        <f>SUM(U17,U22,U25,U31,U34,U60,U65,U76,U80,U82)</f>
        <v>68.569999999999993</v>
      </c>
      <c r="V83" s="28">
        <f t="shared" si="27"/>
        <v>67.899999999999991</v>
      </c>
      <c r="W83" s="28">
        <f t="shared" si="27"/>
        <v>68</v>
      </c>
      <c r="X83" s="28">
        <f t="shared" si="27"/>
        <v>62.29</v>
      </c>
      <c r="Y83" s="28">
        <f t="shared" si="27"/>
        <v>66.48</v>
      </c>
      <c r="Z83" s="28">
        <f t="shared" si="27"/>
        <v>63.74</v>
      </c>
      <c r="AA83" s="28">
        <f t="shared" si="27"/>
        <v>62.34</v>
      </c>
      <c r="AB83" s="28">
        <f t="shared" si="27"/>
        <v>57.25</v>
      </c>
      <c r="AC83" s="28">
        <f t="shared" si="27"/>
        <v>55.160000000000011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25" t="s">
        <v>74</v>
      </c>
      <c r="B85" s="525"/>
      <c r="C85" s="525"/>
      <c r="D85" s="525"/>
      <c r="E85" s="525"/>
      <c r="F85" s="525"/>
      <c r="G85" s="525"/>
      <c r="H85" s="525"/>
      <c r="I85" s="525"/>
      <c r="J85" s="525"/>
      <c r="K85" s="525"/>
      <c r="L85" s="525"/>
      <c r="M85" s="525"/>
      <c r="N85" s="525"/>
      <c r="O85" s="525"/>
      <c r="P85" s="525"/>
      <c r="Q85" s="525"/>
      <c r="R85" s="525"/>
      <c r="S85" s="525"/>
      <c r="T85" s="525"/>
      <c r="U85" s="525"/>
      <c r="V85" s="525"/>
      <c r="W85" s="525"/>
      <c r="X85" s="525"/>
      <c r="Y85" s="525"/>
      <c r="Z85" s="525"/>
      <c r="AA85" s="525"/>
      <c r="AB85" s="525"/>
      <c r="AC85" s="525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</row>
    <row r="87" spans="1:40" ht="17.45">
      <c r="A87" s="500" t="s">
        <v>75</v>
      </c>
      <c r="B87" s="501"/>
      <c r="C87" s="502"/>
      <c r="D87" s="49"/>
      <c r="E87" s="49"/>
      <c r="F87" s="506" t="s">
        <v>76</v>
      </c>
      <c r="G87" s="506"/>
      <c r="H87" s="506"/>
      <c r="I87" s="506"/>
      <c r="J87" s="506"/>
      <c r="K87" s="506"/>
      <c r="L87" s="506"/>
      <c r="M87" s="506"/>
      <c r="N87" s="506"/>
      <c r="O87" s="506"/>
      <c r="P87" s="506"/>
      <c r="Q87" s="506"/>
      <c r="R87" s="506"/>
      <c r="S87" s="506"/>
      <c r="T87" s="506"/>
      <c r="U87" s="506"/>
      <c r="V87" s="506"/>
      <c r="W87" s="506"/>
      <c r="X87" s="506"/>
      <c r="Y87" s="506"/>
      <c r="Z87" s="506"/>
      <c r="AA87" s="506"/>
      <c r="AB87" s="506"/>
      <c r="AC87" s="506"/>
      <c r="AD87" s="5"/>
      <c r="AE87" s="5"/>
      <c r="AF87" s="5"/>
      <c r="AG87" s="5"/>
      <c r="AH87" s="5"/>
    </row>
    <row r="88" spans="1:40" ht="15.6" customHeight="1">
      <c r="A88" s="503"/>
      <c r="B88" s="504"/>
      <c r="C88" s="505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07" t="s">
        <v>27</v>
      </c>
      <c r="B89" s="508"/>
      <c r="C89" s="509"/>
      <c r="D89" s="45"/>
      <c r="E89" s="45"/>
      <c r="F89" s="64">
        <f t="shared" ref="F89:AC89" si="28">SUM(F22,F25)</f>
        <v>8</v>
      </c>
      <c r="G89" s="64">
        <f t="shared" si="28"/>
        <v>10.399999999999999</v>
      </c>
      <c r="H89" s="64">
        <f t="shared" si="28"/>
        <v>10.399999999999999</v>
      </c>
      <c r="I89" s="64">
        <f t="shared" si="28"/>
        <v>3.8</v>
      </c>
      <c r="J89" s="64">
        <f t="shared" si="28"/>
        <v>3.8</v>
      </c>
      <c r="K89" s="64">
        <f t="shared" si="28"/>
        <v>3.8</v>
      </c>
      <c r="L89" s="64">
        <f t="shared" si="28"/>
        <v>3.8</v>
      </c>
      <c r="M89" s="64">
        <f t="shared" si="28"/>
        <v>6</v>
      </c>
      <c r="N89" s="64">
        <f t="shared" si="28"/>
        <v>7.6</v>
      </c>
      <c r="O89" s="64">
        <f t="shared" si="28"/>
        <v>10.399999999999999</v>
      </c>
      <c r="P89" s="64">
        <f t="shared" si="28"/>
        <v>10.399999999999999</v>
      </c>
      <c r="Q89" s="64">
        <f t="shared" si="28"/>
        <v>10.399999999999999</v>
      </c>
      <c r="R89" s="64">
        <f t="shared" si="28"/>
        <v>10.399999999999999</v>
      </c>
      <c r="S89" s="64">
        <f t="shared" si="28"/>
        <v>10.6</v>
      </c>
      <c r="T89" s="64">
        <f t="shared" si="28"/>
        <v>10.5</v>
      </c>
      <c r="U89" s="64">
        <f t="shared" si="28"/>
        <v>10.399999999999999</v>
      </c>
      <c r="V89" s="64">
        <f t="shared" si="28"/>
        <v>10.399999999999999</v>
      </c>
      <c r="W89" s="64">
        <f t="shared" si="28"/>
        <v>10.399999999999999</v>
      </c>
      <c r="X89" s="64">
        <f t="shared" si="28"/>
        <v>8</v>
      </c>
      <c r="Y89" s="64">
        <f t="shared" si="28"/>
        <v>10.399999999999999</v>
      </c>
      <c r="Z89" s="64">
        <f t="shared" si="28"/>
        <v>8</v>
      </c>
      <c r="AA89" s="64">
        <f t="shared" si="28"/>
        <v>10.399999999999999</v>
      </c>
      <c r="AB89" s="64">
        <f t="shared" si="28"/>
        <v>8.1999999999999993</v>
      </c>
      <c r="AC89" s="64">
        <f t="shared" si="28"/>
        <v>10.399999999999999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521" t="s">
        <v>77</v>
      </c>
      <c r="B90" s="521"/>
      <c r="C90" s="522"/>
      <c r="D90" s="45"/>
      <c r="E90" s="45"/>
      <c r="F90" s="68">
        <v>0.154</v>
      </c>
      <c r="G90" s="68">
        <v>0.153</v>
      </c>
      <c r="H90" s="68">
        <v>0.20599999999999999</v>
      </c>
      <c r="I90" s="68"/>
      <c r="J90" s="68"/>
      <c r="K90" s="68"/>
      <c r="L90" s="68"/>
      <c r="M90" s="68"/>
      <c r="N90" s="68">
        <v>0.19500000000000001</v>
      </c>
      <c r="O90" s="68">
        <v>0.217</v>
      </c>
      <c r="P90" s="68">
        <v>0.20200000000000001</v>
      </c>
      <c r="Q90" s="68">
        <v>0.25900000000000001</v>
      </c>
      <c r="R90" s="68">
        <v>0.251</v>
      </c>
      <c r="S90" s="68">
        <v>0.20799999999999999</v>
      </c>
      <c r="T90" s="68">
        <v>0.20799999999999999</v>
      </c>
      <c r="U90" s="68">
        <v>0.24099999999999999</v>
      </c>
      <c r="V90" s="68">
        <v>0.17899999999999999</v>
      </c>
      <c r="W90" s="68">
        <v>0.251</v>
      </c>
      <c r="X90" s="68">
        <v>0.17</v>
      </c>
      <c r="Y90" s="68">
        <v>0.24199999999999999</v>
      </c>
      <c r="Z90" s="68">
        <v>0.222</v>
      </c>
      <c r="AA90" s="68">
        <v>0.19800000000000001</v>
      </c>
      <c r="AB90" s="68">
        <v>0.20899999999999999</v>
      </c>
      <c r="AC90" s="68">
        <v>0.253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07" t="s">
        <v>78</v>
      </c>
      <c r="B91" s="508"/>
      <c r="C91" s="509"/>
      <c r="D91" s="45"/>
      <c r="E91" s="45"/>
      <c r="F91" s="64">
        <f t="shared" ref="F91:AC91" si="29">F17</f>
        <v>13.2</v>
      </c>
      <c r="G91" s="64">
        <f t="shared" si="29"/>
        <v>6.6</v>
      </c>
      <c r="H91" s="64">
        <f t="shared" si="29"/>
        <v>3</v>
      </c>
      <c r="I91" s="64">
        <f t="shared" si="29"/>
        <v>13.4</v>
      </c>
      <c r="J91" s="64">
        <f t="shared" si="29"/>
        <v>13.2</v>
      </c>
      <c r="K91" s="64">
        <f t="shared" si="29"/>
        <v>13.2</v>
      </c>
      <c r="L91" s="64">
        <f t="shared" si="29"/>
        <v>13.4</v>
      </c>
      <c r="M91" s="64">
        <f t="shared" si="29"/>
        <v>13.2</v>
      </c>
      <c r="N91" s="64">
        <f t="shared" si="29"/>
        <v>15.799999999999999</v>
      </c>
      <c r="O91" s="64">
        <f t="shared" si="29"/>
        <v>19.799999999999997</v>
      </c>
      <c r="P91" s="64">
        <f t="shared" si="29"/>
        <v>20.700000000000003</v>
      </c>
      <c r="Q91" s="64">
        <f t="shared" si="29"/>
        <v>26.4</v>
      </c>
      <c r="R91" s="64">
        <f t="shared" si="29"/>
        <v>26.4</v>
      </c>
      <c r="S91" s="64">
        <f t="shared" si="29"/>
        <v>28</v>
      </c>
      <c r="T91" s="64">
        <f t="shared" si="29"/>
        <v>25.6</v>
      </c>
      <c r="U91" s="64">
        <f t="shared" si="29"/>
        <v>26.8</v>
      </c>
      <c r="V91" s="64">
        <f t="shared" si="29"/>
        <v>26.8</v>
      </c>
      <c r="W91" s="64">
        <f t="shared" si="29"/>
        <v>25.6</v>
      </c>
      <c r="X91" s="64">
        <f t="shared" si="29"/>
        <v>26</v>
      </c>
      <c r="Y91" s="64">
        <f t="shared" si="29"/>
        <v>25.6</v>
      </c>
      <c r="Z91" s="64">
        <f t="shared" si="29"/>
        <v>26.5</v>
      </c>
      <c r="AA91" s="64">
        <f t="shared" si="29"/>
        <v>26</v>
      </c>
      <c r="AB91" s="64">
        <f t="shared" si="29"/>
        <v>26.3</v>
      </c>
      <c r="AC91" s="64">
        <f t="shared" si="29"/>
        <v>19.5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21" t="s">
        <v>79</v>
      </c>
      <c r="B92" s="521"/>
      <c r="C92" s="522"/>
      <c r="D92" s="45"/>
      <c r="E92" s="45"/>
      <c r="F92" s="68">
        <v>0.67</v>
      </c>
      <c r="G92" s="68">
        <v>0.54</v>
      </c>
      <c r="H92" s="68">
        <v>0.66400000000000003</v>
      </c>
      <c r="I92" s="68">
        <v>0.59799999999999998</v>
      </c>
      <c r="J92" s="68">
        <v>0.60799999999999998</v>
      </c>
      <c r="K92" s="68">
        <v>0.66</v>
      </c>
      <c r="L92" s="68">
        <v>0.66900000000000004</v>
      </c>
      <c r="M92" s="68">
        <v>0.60799999999999998</v>
      </c>
      <c r="N92" s="68">
        <v>0.83299999999999996</v>
      </c>
      <c r="O92" s="68">
        <v>0.77300000000000002</v>
      </c>
      <c r="P92" s="68">
        <v>0.77100000000000002</v>
      </c>
      <c r="Q92" s="68">
        <v>1.02</v>
      </c>
      <c r="R92" s="68">
        <v>1.08</v>
      </c>
      <c r="S92" s="68">
        <v>1.06</v>
      </c>
      <c r="T92" s="68">
        <v>0.91</v>
      </c>
      <c r="U92" s="68">
        <v>0.80600000000000005</v>
      </c>
      <c r="V92" s="68">
        <v>1.05</v>
      </c>
      <c r="W92" s="68">
        <v>1.08</v>
      </c>
      <c r="X92" s="68">
        <v>1.01</v>
      </c>
      <c r="Y92" s="68">
        <v>0.81299999999999994</v>
      </c>
      <c r="Z92" s="68">
        <v>0.77500000000000002</v>
      </c>
      <c r="AA92" s="68">
        <v>0.68200000000000005</v>
      </c>
      <c r="AB92" s="68">
        <v>1</v>
      </c>
      <c r="AC92" s="68">
        <v>0.80500000000000005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07" t="s">
        <v>29</v>
      </c>
      <c r="B93" s="508"/>
      <c r="C93" s="509"/>
      <c r="D93" s="45"/>
      <c r="E93" s="45"/>
      <c r="F93" s="65">
        <f t="shared" ref="F93:AC93" si="30">F31</f>
        <v>9.9600000000000009</v>
      </c>
      <c r="G93" s="65">
        <f t="shared" si="30"/>
        <v>13.61</v>
      </c>
      <c r="H93" s="65">
        <f t="shared" si="30"/>
        <v>12.36</v>
      </c>
      <c r="I93" s="65">
        <f t="shared" si="30"/>
        <v>8.6</v>
      </c>
      <c r="J93" s="65">
        <f t="shared" si="30"/>
        <v>8.4</v>
      </c>
      <c r="K93" s="65">
        <f t="shared" si="30"/>
        <v>8.4</v>
      </c>
      <c r="L93" s="65">
        <f t="shared" si="30"/>
        <v>8.4</v>
      </c>
      <c r="M93" s="65">
        <f t="shared" si="30"/>
        <v>7.6</v>
      </c>
      <c r="N93" s="65">
        <f t="shared" si="30"/>
        <v>8.4</v>
      </c>
      <c r="O93" s="65">
        <f t="shared" si="30"/>
        <v>12.600000000000001</v>
      </c>
      <c r="P93" s="65">
        <f t="shared" si="30"/>
        <v>14.3</v>
      </c>
      <c r="Q93" s="65">
        <f t="shared" si="30"/>
        <v>10.8</v>
      </c>
      <c r="R93" s="65">
        <f t="shared" si="30"/>
        <v>11.8</v>
      </c>
      <c r="S93" s="65">
        <f t="shared" si="30"/>
        <v>12.2</v>
      </c>
      <c r="T93" s="65">
        <f>T31</f>
        <v>7.4</v>
      </c>
      <c r="U93" s="65">
        <f t="shared" si="30"/>
        <v>8.1999999999999993</v>
      </c>
      <c r="V93" s="65">
        <f t="shared" si="30"/>
        <v>7.6</v>
      </c>
      <c r="W93" s="65">
        <f t="shared" si="30"/>
        <v>10.199999999999999</v>
      </c>
      <c r="X93" s="65">
        <f t="shared" si="30"/>
        <v>9.9</v>
      </c>
      <c r="Y93" s="65">
        <f t="shared" si="30"/>
        <v>11.9</v>
      </c>
      <c r="Z93" s="65">
        <f t="shared" si="30"/>
        <v>11.6</v>
      </c>
      <c r="AA93" s="65">
        <f t="shared" si="30"/>
        <v>8.6</v>
      </c>
      <c r="AB93" s="65">
        <f t="shared" si="30"/>
        <v>6</v>
      </c>
      <c r="AC93" s="65">
        <f t="shared" si="30"/>
        <v>8.8000000000000007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21" t="s">
        <v>102</v>
      </c>
      <c r="B94" s="521"/>
      <c r="C94" s="522"/>
      <c r="D94" s="45"/>
      <c r="E94" s="45"/>
      <c r="F94" s="68">
        <v>0.25800000000000001</v>
      </c>
      <c r="G94" s="68">
        <v>0.253</v>
      </c>
      <c r="H94" s="68">
        <v>0.25700000000000001</v>
      </c>
      <c r="I94" s="68">
        <v>0.26100000000000001</v>
      </c>
      <c r="J94" s="68">
        <v>0.247</v>
      </c>
      <c r="K94" s="68">
        <v>0.245</v>
      </c>
      <c r="L94" s="68">
        <v>0.23699999999999999</v>
      </c>
      <c r="M94" s="68">
        <v>0.255</v>
      </c>
      <c r="N94" s="68">
        <v>0.25600000000000001</v>
      </c>
      <c r="O94" s="68">
        <v>0.28000000000000003</v>
      </c>
      <c r="P94" s="68">
        <v>0.28999999999999998</v>
      </c>
      <c r="Q94" s="68">
        <v>0.30299999999999999</v>
      </c>
      <c r="R94" s="68">
        <v>0.28000000000000003</v>
      </c>
      <c r="S94" s="68">
        <v>0.27700000000000002</v>
      </c>
      <c r="T94" s="68">
        <v>0.27800000000000002</v>
      </c>
      <c r="U94" s="68">
        <v>0.27100000000000002</v>
      </c>
      <c r="V94" s="68">
        <v>0.28000000000000003</v>
      </c>
      <c r="W94" s="68">
        <v>0.27100000000000002</v>
      </c>
      <c r="X94" s="68">
        <v>0.26300000000000001</v>
      </c>
      <c r="Y94" s="68">
        <v>0.27300000000000002</v>
      </c>
      <c r="Z94" s="68">
        <v>0.28000000000000003</v>
      </c>
      <c r="AA94" s="68">
        <v>0.27</v>
      </c>
      <c r="AB94" s="68">
        <v>0.29399999999999998</v>
      </c>
      <c r="AC94" s="68">
        <v>0.28799999999999998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21" t="s">
        <v>104</v>
      </c>
      <c r="B95" s="521"/>
      <c r="C95" s="522"/>
      <c r="D95" s="45"/>
      <c r="E95" s="45"/>
      <c r="F95" s="68">
        <v>0.2092</v>
      </c>
      <c r="G95" s="68">
        <v>0.25469999999999998</v>
      </c>
      <c r="H95" s="68">
        <v>0.26800000000000002</v>
      </c>
      <c r="I95" s="68"/>
      <c r="J95" s="68"/>
      <c r="K95" s="68"/>
      <c r="L95" s="68"/>
      <c r="M95" s="68"/>
      <c r="N95" s="68"/>
      <c r="O95" s="68"/>
      <c r="P95" s="68"/>
      <c r="Q95" s="68"/>
      <c r="R95" s="68"/>
      <c r="S95" s="68"/>
      <c r="T95" s="68"/>
      <c r="U95" s="68" t="s">
        <v>1</v>
      </c>
      <c r="V95" s="68" t="s">
        <v>1</v>
      </c>
      <c r="W95" s="68">
        <v>0.19420000000000001</v>
      </c>
      <c r="X95" s="68">
        <v>0.21</v>
      </c>
      <c r="Y95" s="68">
        <v>0.20979999999999999</v>
      </c>
      <c r="Z95" s="68">
        <v>0.2195</v>
      </c>
      <c r="AA95" s="68" t="s">
        <v>1</v>
      </c>
      <c r="AB95" s="68" t="s">
        <v>1</v>
      </c>
      <c r="AC95" s="68" t="s">
        <v>1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07" t="s">
        <v>32</v>
      </c>
      <c r="B96" s="508"/>
      <c r="C96" s="509"/>
      <c r="D96" s="45"/>
      <c r="E96" s="45"/>
      <c r="F96" s="65">
        <f t="shared" ref="F96:AC96" si="31">F34</f>
        <v>14.29</v>
      </c>
      <c r="G96" s="65">
        <f t="shared" si="31"/>
        <v>14.28</v>
      </c>
      <c r="H96" s="65">
        <f t="shared" si="31"/>
        <v>14.27</v>
      </c>
      <c r="I96" s="65">
        <f t="shared" si="31"/>
        <v>14.29</v>
      </c>
      <c r="J96" s="65">
        <f t="shared" si="31"/>
        <v>14.28</v>
      </c>
      <c r="K96" s="65">
        <f t="shared" si="31"/>
        <v>14.29</v>
      </c>
      <c r="L96" s="65">
        <f t="shared" si="31"/>
        <v>14.3</v>
      </c>
      <c r="M96" s="65">
        <f t="shared" si="31"/>
        <v>14.31</v>
      </c>
      <c r="N96" s="65">
        <f t="shared" si="31"/>
        <v>14.32</v>
      </c>
      <c r="O96" s="65">
        <f t="shared" si="31"/>
        <v>14.23</v>
      </c>
      <c r="P96" s="65">
        <f t="shared" si="31"/>
        <v>14.23</v>
      </c>
      <c r="Q96" s="65">
        <f t="shared" si="31"/>
        <v>14.29</v>
      </c>
      <c r="R96" s="65">
        <f t="shared" si="31"/>
        <v>14.23</v>
      </c>
      <c r="S96" s="65">
        <f t="shared" si="31"/>
        <v>14.22</v>
      </c>
      <c r="T96" s="65">
        <f t="shared" si="31"/>
        <v>14.23</v>
      </c>
      <c r="U96" s="65">
        <f t="shared" si="31"/>
        <v>14.22</v>
      </c>
      <c r="V96" s="65">
        <f t="shared" si="31"/>
        <v>14.3</v>
      </c>
      <c r="W96" s="65">
        <f t="shared" si="31"/>
        <v>14.25</v>
      </c>
      <c r="X96" s="65">
        <f t="shared" si="31"/>
        <v>14.29</v>
      </c>
      <c r="Y96" s="65">
        <f t="shared" si="31"/>
        <v>14.28</v>
      </c>
      <c r="Z96" s="65">
        <f t="shared" si="31"/>
        <v>14.29</v>
      </c>
      <c r="AA96" s="65">
        <f t="shared" si="31"/>
        <v>14.28</v>
      </c>
      <c r="AB96" s="65">
        <f t="shared" si="31"/>
        <v>14.3</v>
      </c>
      <c r="AC96" s="65">
        <f t="shared" si="31"/>
        <v>14.31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21" t="s">
        <v>81</v>
      </c>
      <c r="B97" s="521"/>
      <c r="C97" s="522"/>
      <c r="D97" s="68"/>
      <c r="E97" s="68"/>
      <c r="F97" s="68">
        <v>0.71</v>
      </c>
      <c r="G97" s="68">
        <v>0.72</v>
      </c>
      <c r="H97" s="68">
        <v>0.73</v>
      </c>
      <c r="I97" s="68">
        <v>0.71</v>
      </c>
      <c r="J97" s="68">
        <v>0.72</v>
      </c>
      <c r="K97" s="68">
        <v>0.71</v>
      </c>
      <c r="L97" s="68">
        <v>0.7</v>
      </c>
      <c r="M97" s="68">
        <v>0.69</v>
      </c>
      <c r="N97" s="68">
        <v>0.83299999999999996</v>
      </c>
      <c r="O97" s="68">
        <v>0.77</v>
      </c>
      <c r="P97" s="68">
        <v>0.77</v>
      </c>
      <c r="Q97" s="68">
        <v>0.71</v>
      </c>
      <c r="R97" s="68">
        <v>0.77</v>
      </c>
      <c r="S97" s="68">
        <v>0.7</v>
      </c>
      <c r="T97" s="68">
        <v>0.7</v>
      </c>
      <c r="U97" s="68">
        <v>0.78</v>
      </c>
      <c r="V97" s="68">
        <v>0.7</v>
      </c>
      <c r="W97" s="68">
        <v>0.75</v>
      </c>
      <c r="X97" s="68">
        <v>0.71</v>
      </c>
      <c r="Y97" s="68">
        <v>0.72</v>
      </c>
      <c r="Z97" s="68">
        <v>0.71</v>
      </c>
      <c r="AA97" s="68">
        <v>0.72</v>
      </c>
      <c r="AB97" s="68">
        <v>0.71</v>
      </c>
      <c r="AC97" s="68">
        <v>0.69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07" t="s">
        <v>33</v>
      </c>
      <c r="B98" s="508"/>
      <c r="C98" s="509"/>
      <c r="D98" s="45"/>
      <c r="E98" s="45"/>
      <c r="F98" s="64">
        <f t="shared" ref="F98:AC98" si="32">F60</f>
        <v>0</v>
      </c>
      <c r="G98" s="64">
        <f t="shared" si="32"/>
        <v>0</v>
      </c>
      <c r="H98" s="64">
        <f t="shared" si="32"/>
        <v>4</v>
      </c>
      <c r="I98" s="64">
        <f t="shared" si="32"/>
        <v>0.8</v>
      </c>
      <c r="J98" s="64">
        <f t="shared" si="32"/>
        <v>0</v>
      </c>
      <c r="K98" s="64">
        <f t="shared" si="32"/>
        <v>0</v>
      </c>
      <c r="L98" s="64">
        <f t="shared" si="32"/>
        <v>2.25</v>
      </c>
      <c r="M98" s="64">
        <f t="shared" si="32"/>
        <v>0</v>
      </c>
      <c r="N98" s="64">
        <f t="shared" si="32"/>
        <v>3.1</v>
      </c>
      <c r="O98" s="64">
        <f t="shared" si="32"/>
        <v>3.1</v>
      </c>
      <c r="P98" s="64">
        <f t="shared" si="32"/>
        <v>3.2</v>
      </c>
      <c r="Q98" s="64">
        <f t="shared" si="32"/>
        <v>2.2999999999999998</v>
      </c>
      <c r="R98" s="64">
        <f t="shared" si="32"/>
        <v>3.0999999999999996</v>
      </c>
      <c r="S98" s="64">
        <f t="shared" si="32"/>
        <v>3.2</v>
      </c>
      <c r="T98" s="64">
        <f t="shared" si="32"/>
        <v>6.4</v>
      </c>
      <c r="U98" s="64">
        <f t="shared" si="32"/>
        <v>6.4</v>
      </c>
      <c r="V98" s="64">
        <f t="shared" si="32"/>
        <v>6.3000000000000007</v>
      </c>
      <c r="W98" s="64">
        <f t="shared" si="32"/>
        <v>5.0999999999999996</v>
      </c>
      <c r="X98" s="64">
        <f t="shared" si="32"/>
        <v>1.8</v>
      </c>
      <c r="Y98" s="64">
        <f t="shared" si="32"/>
        <v>1.8</v>
      </c>
      <c r="Z98" s="64">
        <f t="shared" si="32"/>
        <v>0.9</v>
      </c>
      <c r="AA98" s="64">
        <f t="shared" si="32"/>
        <v>0.7</v>
      </c>
      <c r="AB98" s="64">
        <f t="shared" si="32"/>
        <v>0</v>
      </c>
      <c r="AC98" s="64">
        <f t="shared" si="32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07" t="s">
        <v>55</v>
      </c>
      <c r="B99" s="508"/>
      <c r="C99" s="509"/>
      <c r="D99" s="45"/>
      <c r="E99" s="45"/>
      <c r="F99" s="64">
        <f t="shared" ref="F99:AC99" si="33">F65</f>
        <v>1</v>
      </c>
      <c r="G99" s="64">
        <f t="shared" si="33"/>
        <v>1</v>
      </c>
      <c r="H99" s="64">
        <f t="shared" si="33"/>
        <v>0.99</v>
      </c>
      <c r="I99" s="64">
        <f t="shared" si="33"/>
        <v>0.98</v>
      </c>
      <c r="J99" s="64">
        <f t="shared" si="33"/>
        <v>1</v>
      </c>
      <c r="K99" s="64">
        <f t="shared" si="33"/>
        <v>1</v>
      </c>
      <c r="L99" s="64">
        <f t="shared" si="33"/>
        <v>1.1399999999999999</v>
      </c>
      <c r="M99" s="64">
        <f t="shared" si="33"/>
        <v>0.55000000000000004</v>
      </c>
      <c r="N99" s="64">
        <f t="shared" si="33"/>
        <v>0.66</v>
      </c>
      <c r="O99" s="64">
        <f t="shared" si="33"/>
        <v>1.46</v>
      </c>
      <c r="P99" s="64">
        <f t="shared" si="33"/>
        <v>1.52</v>
      </c>
      <c r="Q99" s="64">
        <f t="shared" si="33"/>
        <v>1.53</v>
      </c>
      <c r="R99" s="64">
        <f t="shared" si="33"/>
        <v>1.6</v>
      </c>
      <c r="S99" s="64">
        <f t="shared" si="33"/>
        <v>1.6</v>
      </c>
      <c r="T99" s="64">
        <f t="shared" si="33"/>
        <v>1.59</v>
      </c>
      <c r="U99" s="64">
        <f t="shared" si="33"/>
        <v>1.58</v>
      </c>
      <c r="V99" s="64">
        <f t="shared" si="33"/>
        <v>1.56</v>
      </c>
      <c r="W99" s="64">
        <f t="shared" si="33"/>
        <v>1.52</v>
      </c>
      <c r="X99" s="64">
        <f t="shared" si="33"/>
        <v>1.38</v>
      </c>
      <c r="Y99" s="64">
        <f t="shared" si="33"/>
        <v>1.46</v>
      </c>
      <c r="Z99" s="64">
        <f t="shared" si="33"/>
        <v>1.39</v>
      </c>
      <c r="AA99" s="64">
        <f t="shared" si="33"/>
        <v>1.3</v>
      </c>
      <c r="AB99" s="64">
        <f t="shared" si="33"/>
        <v>1.45</v>
      </c>
      <c r="AC99" s="64">
        <f t="shared" si="33"/>
        <v>1.2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07" t="s">
        <v>59</v>
      </c>
      <c r="B100" s="508"/>
      <c r="C100" s="509"/>
      <c r="D100" s="45"/>
      <c r="E100" s="45"/>
      <c r="F100" s="64">
        <f t="shared" ref="F100:AC100" si="34">F76</f>
        <v>0</v>
      </c>
      <c r="G100" s="64">
        <f t="shared" si="34"/>
        <v>0</v>
      </c>
      <c r="H100" s="64">
        <f t="shared" si="34"/>
        <v>0</v>
      </c>
      <c r="I100" s="64">
        <f t="shared" si="34"/>
        <v>0</v>
      </c>
      <c r="J100" s="64">
        <f t="shared" si="34"/>
        <v>0</v>
      </c>
      <c r="K100" s="64">
        <f t="shared" si="34"/>
        <v>0</v>
      </c>
      <c r="L100" s="64">
        <f t="shared" si="34"/>
        <v>0</v>
      </c>
      <c r="M100" s="64">
        <f t="shared" si="34"/>
        <v>0</v>
      </c>
      <c r="N100" s="64">
        <f t="shared" si="34"/>
        <v>0</v>
      </c>
      <c r="O100" s="64">
        <f t="shared" si="34"/>
        <v>0</v>
      </c>
      <c r="P100" s="64">
        <f t="shared" si="34"/>
        <v>0</v>
      </c>
      <c r="Q100" s="64">
        <f t="shared" si="34"/>
        <v>0</v>
      </c>
      <c r="R100" s="64">
        <f t="shared" si="34"/>
        <v>0</v>
      </c>
      <c r="S100" s="64">
        <f t="shared" si="34"/>
        <v>0</v>
      </c>
      <c r="T100" s="64">
        <f t="shared" si="34"/>
        <v>0</v>
      </c>
      <c r="U100" s="64">
        <f t="shared" si="34"/>
        <v>0</v>
      </c>
      <c r="V100" s="64">
        <f t="shared" si="34"/>
        <v>0</v>
      </c>
      <c r="W100" s="64">
        <f t="shared" si="34"/>
        <v>0</v>
      </c>
      <c r="X100" s="64">
        <f t="shared" si="34"/>
        <v>0</v>
      </c>
      <c r="Y100" s="64">
        <f t="shared" si="34"/>
        <v>0</v>
      </c>
      <c r="Z100" s="64">
        <f t="shared" si="34"/>
        <v>0</v>
      </c>
      <c r="AA100" s="64">
        <f t="shared" si="34"/>
        <v>0</v>
      </c>
      <c r="AB100" s="64">
        <f t="shared" si="34"/>
        <v>0</v>
      </c>
      <c r="AC100" s="64">
        <f t="shared" si="34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07" t="s">
        <v>69</v>
      </c>
      <c r="B101" s="508"/>
      <c r="C101" s="509"/>
      <c r="D101" s="45"/>
      <c r="E101" s="45"/>
      <c r="F101" s="64">
        <f t="shared" ref="F101:AC101" si="35">F80</f>
        <v>0.87</v>
      </c>
      <c r="G101" s="64">
        <f t="shared" si="35"/>
        <v>0.83</v>
      </c>
      <c r="H101" s="64">
        <f t="shared" si="35"/>
        <v>0.82</v>
      </c>
      <c r="I101" s="64">
        <f t="shared" si="35"/>
        <v>0.81</v>
      </c>
      <c r="J101" s="64">
        <f t="shared" si="35"/>
        <v>0.78</v>
      </c>
      <c r="K101" s="64">
        <f t="shared" si="35"/>
        <v>0.8</v>
      </c>
      <c r="L101" s="64">
        <f t="shared" si="35"/>
        <v>0.83</v>
      </c>
      <c r="M101" s="64">
        <f t="shared" si="35"/>
        <v>0.79</v>
      </c>
      <c r="N101" s="64">
        <f t="shared" si="35"/>
        <v>0.79</v>
      </c>
      <c r="O101" s="64">
        <f t="shared" si="35"/>
        <v>0.85</v>
      </c>
      <c r="P101" s="64">
        <f t="shared" si="35"/>
        <v>0.87</v>
      </c>
      <c r="Q101" s="64">
        <f t="shared" si="35"/>
        <v>0.92</v>
      </c>
      <c r="R101" s="64">
        <f t="shared" si="35"/>
        <v>0.93</v>
      </c>
      <c r="S101" s="64">
        <f t="shared" si="35"/>
        <v>0.94</v>
      </c>
      <c r="T101" s="64">
        <f t="shared" si="35"/>
        <v>0.95</v>
      </c>
      <c r="U101" s="64">
        <f t="shared" si="35"/>
        <v>0.97</v>
      </c>
      <c r="V101" s="64">
        <f t="shared" si="35"/>
        <v>0.94</v>
      </c>
      <c r="W101" s="64">
        <f t="shared" si="35"/>
        <v>0.93</v>
      </c>
      <c r="X101" s="64">
        <f t="shared" si="35"/>
        <v>0.92</v>
      </c>
      <c r="Y101" s="64">
        <f t="shared" si="35"/>
        <v>1.04</v>
      </c>
      <c r="Z101" s="64">
        <f t="shared" si="35"/>
        <v>1.06</v>
      </c>
      <c r="AA101" s="64">
        <f t="shared" si="35"/>
        <v>1.06</v>
      </c>
      <c r="AB101" s="64">
        <f t="shared" si="35"/>
        <v>1</v>
      </c>
      <c r="AC101" s="64">
        <f t="shared" si="35"/>
        <v>0.95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07" t="s">
        <v>72</v>
      </c>
      <c r="B102" s="508"/>
      <c r="C102" s="509"/>
      <c r="D102" s="45"/>
      <c r="E102" s="45"/>
      <c r="F102" s="64">
        <f t="shared" ref="F102:AC102" si="36">F82</f>
        <v>0</v>
      </c>
      <c r="G102" s="64">
        <f t="shared" si="36"/>
        <v>0</v>
      </c>
      <c r="H102" s="64">
        <f t="shared" si="36"/>
        <v>0</v>
      </c>
      <c r="I102" s="64">
        <f t="shared" si="36"/>
        <v>0</v>
      </c>
      <c r="J102" s="64">
        <f t="shared" si="36"/>
        <v>0</v>
      </c>
      <c r="K102" s="64">
        <f t="shared" si="36"/>
        <v>0</v>
      </c>
      <c r="L102" s="64">
        <f t="shared" si="36"/>
        <v>0</v>
      </c>
      <c r="M102" s="64">
        <f t="shared" si="36"/>
        <v>0</v>
      </c>
      <c r="N102" s="64">
        <f t="shared" si="36"/>
        <v>0</v>
      </c>
      <c r="O102" s="64">
        <f t="shared" si="36"/>
        <v>0</v>
      </c>
      <c r="P102" s="64">
        <f t="shared" si="36"/>
        <v>0</v>
      </c>
      <c r="Q102" s="64">
        <f t="shared" si="36"/>
        <v>0</v>
      </c>
      <c r="R102" s="64">
        <f t="shared" si="36"/>
        <v>0</v>
      </c>
      <c r="S102" s="64">
        <f t="shared" si="36"/>
        <v>0</v>
      </c>
      <c r="T102" s="64">
        <f t="shared" si="36"/>
        <v>0</v>
      </c>
      <c r="U102" s="64">
        <f t="shared" si="36"/>
        <v>0</v>
      </c>
      <c r="V102" s="64">
        <f t="shared" si="36"/>
        <v>0</v>
      </c>
      <c r="W102" s="64">
        <f t="shared" si="36"/>
        <v>0</v>
      </c>
      <c r="X102" s="64">
        <f t="shared" si="36"/>
        <v>0</v>
      </c>
      <c r="Y102" s="64">
        <f t="shared" si="36"/>
        <v>0</v>
      </c>
      <c r="Z102" s="64">
        <f t="shared" si="36"/>
        <v>0</v>
      </c>
      <c r="AA102" s="64">
        <f t="shared" si="36"/>
        <v>0</v>
      </c>
      <c r="AB102" s="64">
        <f t="shared" si="36"/>
        <v>0</v>
      </c>
      <c r="AC102" s="64">
        <f t="shared" si="36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11" t="s">
        <v>82</v>
      </c>
      <c r="B103" s="511"/>
      <c r="C103" s="511"/>
      <c r="D103" s="47"/>
      <c r="E103" s="47"/>
      <c r="F103" s="61">
        <f t="shared" ref="F103:AC103" si="37">SUM(F89,F91,F93,F96,F98:F102,F81)</f>
        <v>47.32</v>
      </c>
      <c r="G103" s="61">
        <f t="shared" si="37"/>
        <v>46.72</v>
      </c>
      <c r="H103" s="61">
        <f t="shared" si="37"/>
        <v>45.84</v>
      </c>
      <c r="I103" s="61">
        <f t="shared" si="37"/>
        <v>42.679999999999993</v>
      </c>
      <c r="J103" s="61">
        <f t="shared" si="37"/>
        <v>41.46</v>
      </c>
      <c r="K103" s="61">
        <f t="shared" si="37"/>
        <v>41.489999999999995</v>
      </c>
      <c r="L103" s="61">
        <f t="shared" si="37"/>
        <v>44.120000000000005</v>
      </c>
      <c r="M103" s="61">
        <f t="shared" si="37"/>
        <v>42.449999999999996</v>
      </c>
      <c r="N103" s="61">
        <f t="shared" si="37"/>
        <v>50.669999999999995</v>
      </c>
      <c r="O103" s="61">
        <f t="shared" si="37"/>
        <v>62.440000000000005</v>
      </c>
      <c r="P103" s="61">
        <f t="shared" si="37"/>
        <v>65.220000000000013</v>
      </c>
      <c r="Q103" s="61">
        <f t="shared" si="37"/>
        <v>66.64</v>
      </c>
      <c r="R103" s="61">
        <f t="shared" si="37"/>
        <v>68.459999999999994</v>
      </c>
      <c r="S103" s="61">
        <f t="shared" si="37"/>
        <v>70.759999999999991</v>
      </c>
      <c r="T103" s="61">
        <f t="shared" si="37"/>
        <v>66.670000000000016</v>
      </c>
      <c r="U103" s="61">
        <f t="shared" si="37"/>
        <v>68.570000000000007</v>
      </c>
      <c r="V103" s="61">
        <f t="shared" si="37"/>
        <v>67.900000000000006</v>
      </c>
      <c r="W103" s="61">
        <f t="shared" si="37"/>
        <v>68</v>
      </c>
      <c r="X103" s="61">
        <f t="shared" si="37"/>
        <v>62.29</v>
      </c>
      <c r="Y103" s="61">
        <f t="shared" si="37"/>
        <v>66.48</v>
      </c>
      <c r="Z103" s="61">
        <f t="shared" si="37"/>
        <v>63.74</v>
      </c>
      <c r="AA103" s="61">
        <f t="shared" si="37"/>
        <v>62.34</v>
      </c>
      <c r="AB103" s="61">
        <f t="shared" si="37"/>
        <v>57.25</v>
      </c>
      <c r="AC103" s="61">
        <f t="shared" si="37"/>
        <v>55.160000000000011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12" t="s">
        <v>83</v>
      </c>
      <c r="B104" s="512"/>
      <c r="C104" s="512"/>
      <c r="D104" s="46"/>
      <c r="E104" s="46"/>
      <c r="F104" s="76"/>
      <c r="G104" s="76"/>
      <c r="H104" s="76"/>
      <c r="I104" s="76"/>
      <c r="J104" s="76"/>
      <c r="K104" s="76"/>
      <c r="L104" s="76"/>
      <c r="M104" s="76">
        <v>0.59</v>
      </c>
      <c r="N104" s="76">
        <v>0.59</v>
      </c>
      <c r="O104" s="76"/>
      <c r="P104" s="76"/>
      <c r="Q104" s="76"/>
      <c r="R104" s="76"/>
      <c r="S104" s="76"/>
      <c r="T104" s="76">
        <f>1.79+1.09</f>
        <v>2.88</v>
      </c>
      <c r="U104" s="76">
        <f>1.79+(5.2673-3.8538)</f>
        <v>3.2034999999999996</v>
      </c>
      <c r="V104" s="76">
        <f>1.79+(5.2673-3.8538)</f>
        <v>3.2034999999999996</v>
      </c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12" t="s">
        <v>84</v>
      </c>
      <c r="B105" s="512"/>
      <c r="C105" s="512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12" t="s">
        <v>85</v>
      </c>
      <c r="B106" s="512"/>
      <c r="C106" s="512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>
        <v>1.3</v>
      </c>
      <c r="Q106" s="76">
        <v>1.3</v>
      </c>
      <c r="R106" s="76"/>
      <c r="S106" s="76"/>
      <c r="T106" s="76"/>
      <c r="U106" s="76"/>
      <c r="V106" s="76"/>
      <c r="W106" s="76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11" t="s">
        <v>86</v>
      </c>
      <c r="B107" s="511"/>
      <c r="C107" s="511"/>
      <c r="D107" s="47"/>
      <c r="E107" s="47"/>
      <c r="F107" s="61">
        <f t="shared" ref="F107:AC107" si="38">SUM(F104:F106)</f>
        <v>0</v>
      </c>
      <c r="G107" s="61">
        <f t="shared" si="38"/>
        <v>0</v>
      </c>
      <c r="H107" s="61">
        <f t="shared" si="38"/>
        <v>0</v>
      </c>
      <c r="I107" s="61">
        <f t="shared" si="38"/>
        <v>0</v>
      </c>
      <c r="J107" s="61">
        <f t="shared" si="38"/>
        <v>0</v>
      </c>
      <c r="K107" s="61">
        <f t="shared" si="38"/>
        <v>0</v>
      </c>
      <c r="L107" s="61">
        <f t="shared" si="38"/>
        <v>0</v>
      </c>
      <c r="M107" s="61">
        <f t="shared" si="38"/>
        <v>0.59</v>
      </c>
      <c r="N107" s="61">
        <f t="shared" si="38"/>
        <v>0.59</v>
      </c>
      <c r="O107" s="61">
        <f t="shared" si="38"/>
        <v>0</v>
      </c>
      <c r="P107" s="61">
        <f t="shared" si="38"/>
        <v>1.3</v>
      </c>
      <c r="Q107" s="61">
        <f t="shared" si="38"/>
        <v>1.3</v>
      </c>
      <c r="R107" s="61">
        <f t="shared" si="38"/>
        <v>0</v>
      </c>
      <c r="S107" s="61">
        <f t="shared" si="38"/>
        <v>0</v>
      </c>
      <c r="T107" s="61">
        <f t="shared" si="38"/>
        <v>2.88</v>
      </c>
      <c r="U107" s="61">
        <f t="shared" si="38"/>
        <v>3.2034999999999996</v>
      </c>
      <c r="V107" s="61">
        <f t="shared" si="38"/>
        <v>3.2034999999999996</v>
      </c>
      <c r="W107" s="61">
        <f t="shared" si="38"/>
        <v>0</v>
      </c>
      <c r="X107" s="61">
        <f t="shared" si="38"/>
        <v>0</v>
      </c>
      <c r="Y107" s="61">
        <f t="shared" si="38"/>
        <v>0</v>
      </c>
      <c r="Z107" s="61">
        <f t="shared" si="38"/>
        <v>0</v>
      </c>
      <c r="AA107" s="61">
        <f t="shared" si="38"/>
        <v>0</v>
      </c>
      <c r="AB107" s="61">
        <f t="shared" si="38"/>
        <v>0</v>
      </c>
      <c r="AC107" s="61">
        <f t="shared" si="38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13" t="s">
        <v>87</v>
      </c>
      <c r="B108" s="513"/>
      <c r="C108" s="513"/>
      <c r="D108" s="48"/>
      <c r="E108" s="48"/>
      <c r="F108" s="62">
        <f t="shared" ref="F108:AC108" si="39">F103+F107</f>
        <v>47.32</v>
      </c>
      <c r="G108" s="62">
        <f t="shared" si="39"/>
        <v>46.72</v>
      </c>
      <c r="H108" s="62">
        <f t="shared" si="39"/>
        <v>45.84</v>
      </c>
      <c r="I108" s="62">
        <f t="shared" si="39"/>
        <v>42.679999999999993</v>
      </c>
      <c r="J108" s="62">
        <f t="shared" si="39"/>
        <v>41.46</v>
      </c>
      <c r="K108" s="62">
        <f t="shared" si="39"/>
        <v>41.489999999999995</v>
      </c>
      <c r="L108" s="62">
        <f t="shared" si="39"/>
        <v>44.120000000000005</v>
      </c>
      <c r="M108" s="62">
        <f t="shared" si="39"/>
        <v>43.04</v>
      </c>
      <c r="N108" s="62">
        <f t="shared" si="39"/>
        <v>51.26</v>
      </c>
      <c r="O108" s="62">
        <f t="shared" si="39"/>
        <v>62.440000000000005</v>
      </c>
      <c r="P108" s="62">
        <f t="shared" si="39"/>
        <v>66.52000000000001</v>
      </c>
      <c r="Q108" s="62">
        <f t="shared" si="39"/>
        <v>67.94</v>
      </c>
      <c r="R108" s="62">
        <f t="shared" si="39"/>
        <v>68.459999999999994</v>
      </c>
      <c r="S108" s="62">
        <f t="shared" si="39"/>
        <v>70.759999999999991</v>
      </c>
      <c r="T108" s="62">
        <f>T103+T107</f>
        <v>69.550000000000011</v>
      </c>
      <c r="U108" s="62">
        <f t="shared" si="39"/>
        <v>71.773500000000013</v>
      </c>
      <c r="V108" s="62">
        <f t="shared" si="39"/>
        <v>71.103500000000011</v>
      </c>
      <c r="W108" s="62">
        <f>W103+W107</f>
        <v>68</v>
      </c>
      <c r="X108" s="62">
        <f t="shared" si="39"/>
        <v>62.29</v>
      </c>
      <c r="Y108" s="62">
        <f t="shared" si="39"/>
        <v>66.48</v>
      </c>
      <c r="Z108" s="62">
        <f t="shared" si="39"/>
        <v>63.74</v>
      </c>
      <c r="AA108" s="62">
        <f t="shared" si="39"/>
        <v>62.34</v>
      </c>
      <c r="AB108" s="62">
        <f t="shared" si="39"/>
        <v>57.25</v>
      </c>
      <c r="AC108" s="62">
        <f t="shared" si="39"/>
        <v>55.160000000000011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14" t="s">
        <v>88</v>
      </c>
      <c r="B109" s="514"/>
      <c r="C109" s="514"/>
      <c r="D109" s="52"/>
      <c r="E109" s="52"/>
      <c r="F109" s="63">
        <f t="shared" ref="F109:AC109" si="40">(COUNT(F13:F16))*7.2+(COUNT(F27:F28)*4.9)+(COUNT(F19:F21)*4.5)-F91-F93</f>
        <v>17.240000000000006</v>
      </c>
      <c r="G109" s="63">
        <f t="shared" si="40"/>
        <v>12.990000000000002</v>
      </c>
      <c r="H109" s="63">
        <f t="shared" si="40"/>
        <v>25.040000000000006</v>
      </c>
      <c r="I109" s="63">
        <f t="shared" si="40"/>
        <v>18.400000000000006</v>
      </c>
      <c r="J109" s="63">
        <f t="shared" si="40"/>
        <v>18.800000000000004</v>
      </c>
      <c r="K109" s="63">
        <f t="shared" si="40"/>
        <v>18.800000000000004</v>
      </c>
      <c r="L109" s="63">
        <f t="shared" si="40"/>
        <v>18.600000000000009</v>
      </c>
      <c r="M109" s="63">
        <f t="shared" si="40"/>
        <v>19.600000000000009</v>
      </c>
      <c r="N109" s="63">
        <f t="shared" si="40"/>
        <v>23.400000000000006</v>
      </c>
      <c r="O109" s="63">
        <f t="shared" si="40"/>
        <v>15.200000000000003</v>
      </c>
      <c r="P109" s="63">
        <f t="shared" si="40"/>
        <v>12.599999999999998</v>
      </c>
      <c r="Q109" s="63">
        <f t="shared" si="40"/>
        <v>10.400000000000002</v>
      </c>
      <c r="R109" s="63">
        <f t="shared" si="40"/>
        <v>9.4000000000000021</v>
      </c>
      <c r="S109" s="63">
        <f t="shared" si="40"/>
        <v>7.4000000000000021</v>
      </c>
      <c r="T109" s="63">
        <f t="shared" si="40"/>
        <v>14.6</v>
      </c>
      <c r="U109" s="63">
        <f t="shared" si="40"/>
        <v>12.600000000000001</v>
      </c>
      <c r="V109" s="63">
        <f t="shared" si="40"/>
        <v>13.200000000000001</v>
      </c>
      <c r="W109" s="63">
        <f t="shared" si="40"/>
        <v>11.8</v>
      </c>
      <c r="X109" s="63">
        <f t="shared" si="40"/>
        <v>11.700000000000001</v>
      </c>
      <c r="Y109" s="63">
        <f t="shared" si="40"/>
        <v>10.1</v>
      </c>
      <c r="Z109" s="63">
        <f t="shared" si="40"/>
        <v>9.5000000000000018</v>
      </c>
      <c r="AA109" s="63">
        <f t="shared" si="40"/>
        <v>13.000000000000002</v>
      </c>
      <c r="AB109" s="63">
        <f t="shared" si="40"/>
        <v>15.3</v>
      </c>
      <c r="AC109" s="63">
        <f t="shared" si="40"/>
        <v>12.100000000000005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15" t="s">
        <v>89</v>
      </c>
      <c r="B110" s="516"/>
      <c r="C110" s="517"/>
      <c r="D110" s="204"/>
      <c r="E110" s="204"/>
      <c r="F110" s="205">
        <f t="shared" ref="F110:P110" si="41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4.1400000000000006</v>
      </c>
      <c r="G110" s="205">
        <f t="shared" si="41"/>
        <v>-2.5099999999999989</v>
      </c>
      <c r="H110" s="205">
        <f t="shared" si="41"/>
        <v>9.5400000000000009</v>
      </c>
      <c r="I110" s="205">
        <f t="shared" si="41"/>
        <v>1.5000000000000009</v>
      </c>
      <c r="J110" s="205">
        <f t="shared" si="41"/>
        <v>1.9000000000000012</v>
      </c>
      <c r="K110" s="205">
        <f t="shared" si="41"/>
        <v>1.9000000000000012</v>
      </c>
      <c r="L110" s="205">
        <f t="shared" si="41"/>
        <v>1.7000000000000002</v>
      </c>
      <c r="M110" s="205">
        <f t="shared" si="41"/>
        <v>5.0000000000000018</v>
      </c>
      <c r="N110" s="205">
        <f t="shared" si="41"/>
        <v>7.2000000000000037</v>
      </c>
      <c r="O110" s="205">
        <f t="shared" si="41"/>
        <v>-0.29999999999999627</v>
      </c>
      <c r="P110" s="205">
        <f t="shared" si="41"/>
        <v>-2.9000000000000012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3.5000000000000018</v>
      </c>
      <c r="R110" s="205">
        <f t="shared" ref="R110:AC110" si="42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1.7000000000000011</v>
      </c>
      <c r="S110" s="205">
        <f t="shared" si="42"/>
        <v>-0.49999999999999822</v>
      </c>
      <c r="T110" s="205">
        <f t="shared" si="42"/>
        <v>6.8000000000000007</v>
      </c>
      <c r="U110" s="205">
        <f t="shared" si="42"/>
        <v>4.9000000000000004</v>
      </c>
      <c r="V110" s="205">
        <f t="shared" si="42"/>
        <v>5.5000000000000018</v>
      </c>
      <c r="W110" s="205">
        <f t="shared" si="42"/>
        <v>4.0999999999999996</v>
      </c>
      <c r="X110" s="205">
        <f t="shared" si="42"/>
        <v>6.4</v>
      </c>
      <c r="Y110" s="205">
        <f t="shared" si="42"/>
        <v>2.4000000000000004</v>
      </c>
      <c r="Z110" s="205">
        <f t="shared" si="42"/>
        <v>4.2000000000000011</v>
      </c>
      <c r="AA110" s="205">
        <f t="shared" si="42"/>
        <v>5.3000000000000025</v>
      </c>
      <c r="AB110" s="205">
        <f t="shared" si="42"/>
        <v>9.8000000000000007</v>
      </c>
      <c r="AC110" s="205">
        <f t="shared" si="42"/>
        <v>4.4000000000000004</v>
      </c>
      <c r="AD110" s="26"/>
      <c r="AE110" s="26"/>
      <c r="AF110" s="466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10" t="s">
        <v>91</v>
      </c>
      <c r="B111" s="510"/>
      <c r="C111" s="510"/>
      <c r="D111" s="60"/>
      <c r="E111" s="72"/>
      <c r="F111" s="74">
        <v>60.18</v>
      </c>
      <c r="G111" s="74">
        <v>60.11</v>
      </c>
      <c r="H111" s="74">
        <v>60.37</v>
      </c>
      <c r="I111" s="74">
        <v>60.12</v>
      </c>
      <c r="J111" s="74">
        <v>60.17</v>
      </c>
      <c r="K111" s="74">
        <v>60.13</v>
      </c>
      <c r="L111" s="74">
        <v>60.14</v>
      </c>
      <c r="M111" s="74">
        <v>60.13</v>
      </c>
      <c r="N111" s="74">
        <v>60.07</v>
      </c>
      <c r="O111" s="74">
        <v>60.15</v>
      </c>
      <c r="P111" s="83">
        <v>60.13</v>
      </c>
      <c r="Q111" s="83">
        <v>60.1</v>
      </c>
      <c r="R111" s="83">
        <v>60.11</v>
      </c>
      <c r="S111" s="83">
        <v>60.05</v>
      </c>
      <c r="T111" s="83">
        <v>60.08</v>
      </c>
      <c r="U111" s="74">
        <v>60.13</v>
      </c>
      <c r="V111" s="74">
        <v>60.11</v>
      </c>
      <c r="W111" s="74">
        <v>60.26</v>
      </c>
      <c r="X111" s="74">
        <v>60.16</v>
      </c>
      <c r="Y111" s="74">
        <v>60.21</v>
      </c>
      <c r="Z111" s="74">
        <v>60.19</v>
      </c>
      <c r="AA111" s="74">
        <v>60.18</v>
      </c>
      <c r="AB111" s="74">
        <v>60.17</v>
      </c>
      <c r="AC111" s="74">
        <v>60.15</v>
      </c>
      <c r="AD111" s="26"/>
      <c r="AE111" s="26"/>
      <c r="AF111" s="467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18" t="s">
        <v>93</v>
      </c>
      <c r="B112" s="519"/>
      <c r="C112" s="520"/>
      <c r="D112" s="60"/>
      <c r="E112" s="72"/>
      <c r="F112" s="74"/>
      <c r="G112" s="74"/>
      <c r="H112" s="74"/>
      <c r="I112" s="74"/>
      <c r="J112" s="74"/>
      <c r="K112" s="74"/>
      <c r="L112" s="74"/>
      <c r="M112" s="74"/>
      <c r="N112" s="74"/>
      <c r="O112" s="74"/>
      <c r="P112" s="74"/>
      <c r="Q112" s="74"/>
      <c r="R112" s="74"/>
      <c r="S112" s="74"/>
      <c r="T112" s="74"/>
      <c r="U112" s="74"/>
      <c r="V112" s="74"/>
      <c r="W112" s="74"/>
      <c r="X112" s="74"/>
      <c r="Y112" s="74"/>
      <c r="Z112" s="74"/>
      <c r="AA112" s="74"/>
      <c r="AB112" s="74"/>
      <c r="AC112" s="74"/>
      <c r="AD112" s="26"/>
      <c r="AE112" s="26"/>
      <c r="AF112" s="469"/>
      <c r="AG112" s="472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18" t="s">
        <v>95</v>
      </c>
      <c r="B113" s="519"/>
      <c r="C113" s="520"/>
      <c r="D113" s="60"/>
      <c r="E113" s="74"/>
      <c r="F113" s="74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10" t="s">
        <v>96</v>
      </c>
      <c r="B114" s="510"/>
      <c r="C114" s="510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 t="s">
        <v>101</v>
      </c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10" t="s">
        <v>97</v>
      </c>
      <c r="B115" s="510"/>
      <c r="C115" s="510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499" t="s">
        <v>98</v>
      </c>
      <c r="B117" s="499"/>
      <c r="C117" s="499"/>
      <c r="D117" s="499"/>
      <c r="E117" s="499"/>
      <c r="F117" s="499"/>
      <c r="G117" s="499"/>
      <c r="H117" s="499"/>
      <c r="I117" s="499"/>
      <c r="J117" s="499"/>
      <c r="K117" s="499"/>
      <c r="L117" s="499"/>
      <c r="M117" s="499"/>
      <c r="N117" s="499"/>
      <c r="O117" s="499"/>
      <c r="P117" s="499"/>
      <c r="Q117" s="499"/>
      <c r="R117" s="499"/>
      <c r="S117" s="499"/>
      <c r="T117" s="499"/>
      <c r="U117" s="499"/>
      <c r="V117" s="499"/>
      <c r="W117" s="499"/>
      <c r="X117" s="499"/>
      <c r="Y117" s="499"/>
      <c r="Z117" s="499"/>
      <c r="AA117" s="499"/>
      <c r="AB117" s="499"/>
      <c r="AC117" s="499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00" t="s">
        <v>75</v>
      </c>
      <c r="B119" s="501"/>
      <c r="C119" s="502"/>
      <c r="D119" s="49"/>
      <c r="E119" s="49"/>
      <c r="F119" s="506" t="s">
        <v>76</v>
      </c>
      <c r="G119" s="506"/>
      <c r="H119" s="506"/>
      <c r="I119" s="506"/>
      <c r="J119" s="506"/>
      <c r="K119" s="506"/>
      <c r="L119" s="506"/>
      <c r="M119" s="506"/>
      <c r="N119" s="506"/>
      <c r="O119" s="506"/>
      <c r="P119" s="506"/>
      <c r="Q119" s="506"/>
      <c r="R119" s="506"/>
      <c r="S119" s="506"/>
      <c r="T119" s="506"/>
      <c r="U119" s="506"/>
      <c r="V119" s="506"/>
      <c r="W119" s="506"/>
      <c r="X119" s="506"/>
      <c r="Y119" s="506"/>
      <c r="Z119" s="506"/>
      <c r="AA119" s="506"/>
      <c r="AB119" s="506"/>
      <c r="AC119" s="506"/>
      <c r="AD119" s="5"/>
      <c r="AE119" s="5"/>
      <c r="AF119" s="5"/>
      <c r="AG119" s="5"/>
      <c r="AH119" s="5"/>
    </row>
    <row r="120" spans="1:124" ht="15.6" hidden="1" customHeight="1">
      <c r="A120" s="503"/>
      <c r="B120" s="504"/>
      <c r="C120" s="505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07" t="s">
        <v>27</v>
      </c>
      <c r="B121" s="508"/>
      <c r="C121" s="509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07" t="s">
        <v>78</v>
      </c>
      <c r="B122" s="508"/>
      <c r="C122" s="509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07" t="s">
        <v>29</v>
      </c>
      <c r="B123" s="508"/>
      <c r="C123" s="509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07" t="s">
        <v>32</v>
      </c>
      <c r="B124" s="508"/>
      <c r="C124" s="509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07" t="s">
        <v>33</v>
      </c>
      <c r="B125" s="508"/>
      <c r="C125" s="509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07" t="s">
        <v>55</v>
      </c>
      <c r="B126" s="508"/>
      <c r="C126" s="509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07" t="s">
        <v>59</v>
      </c>
      <c r="B127" s="508"/>
      <c r="C127" s="509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07" t="s">
        <v>69</v>
      </c>
      <c r="B128" s="508"/>
      <c r="C128" s="509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496" t="s">
        <v>99</v>
      </c>
      <c r="B129" s="497"/>
      <c r="C129" s="498"/>
      <c r="D129" s="51"/>
      <c r="E129" s="51"/>
      <c r="F129" s="44">
        <f>SUM(F121:F128)</f>
        <v>0</v>
      </c>
      <c r="G129" s="44">
        <f t="shared" ref="G129:AB129" si="43">SUM(G121:G128)</f>
        <v>0</v>
      </c>
      <c r="H129" s="44">
        <f t="shared" si="43"/>
        <v>0</v>
      </c>
      <c r="I129" s="44">
        <f t="shared" si="43"/>
        <v>0</v>
      </c>
      <c r="J129" s="44">
        <f t="shared" si="43"/>
        <v>0</v>
      </c>
      <c r="K129" s="44">
        <f t="shared" si="43"/>
        <v>0</v>
      </c>
      <c r="L129" s="44">
        <f t="shared" si="43"/>
        <v>0</v>
      </c>
      <c r="M129" s="44">
        <f t="shared" si="43"/>
        <v>0</v>
      </c>
      <c r="N129" s="44">
        <f t="shared" si="43"/>
        <v>0</v>
      </c>
      <c r="O129" s="44">
        <f t="shared" si="43"/>
        <v>0</v>
      </c>
      <c r="P129" s="44">
        <f t="shared" si="43"/>
        <v>0</v>
      </c>
      <c r="Q129" s="44">
        <f t="shared" si="43"/>
        <v>0</v>
      </c>
      <c r="R129" s="44">
        <f t="shared" si="43"/>
        <v>0</v>
      </c>
      <c r="S129" s="44">
        <f t="shared" si="43"/>
        <v>0</v>
      </c>
      <c r="T129" s="44">
        <f t="shared" si="43"/>
        <v>0</v>
      </c>
      <c r="U129" s="44">
        <f t="shared" si="43"/>
        <v>0</v>
      </c>
      <c r="V129" s="44">
        <f t="shared" si="43"/>
        <v>0</v>
      </c>
      <c r="W129" s="44">
        <f t="shared" si="43"/>
        <v>0</v>
      </c>
      <c r="X129" s="44">
        <f t="shared" si="43"/>
        <v>0</v>
      </c>
      <c r="Y129" s="44">
        <f t="shared" si="43"/>
        <v>0</v>
      </c>
      <c r="Z129" s="44">
        <f t="shared" si="43"/>
        <v>0</v>
      </c>
      <c r="AA129" s="44">
        <f t="shared" si="43"/>
        <v>0</v>
      </c>
      <c r="AB129" s="44">
        <f t="shared" si="43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3379" priority="388" operator="greaterThan">
      <formula>60.3</formula>
    </cfRule>
  </conditionalFormatting>
  <conditionalFormatting sqref="F111">
    <cfRule type="cellIs" dxfId="3378" priority="387" operator="greaterThan">
      <formula>60.3</formula>
    </cfRule>
  </conditionalFormatting>
  <conditionalFormatting sqref="G67:AC75">
    <cfRule type="cellIs" dxfId="3377" priority="379" operator="equal">
      <formula>"PMS"</formula>
    </cfRule>
    <cfRule type="containsText" dxfId="3376" priority="380" operator="containsText" text="CMS">
      <formula>NOT(ISERROR(SEARCH("CMS",G67)))</formula>
    </cfRule>
    <cfRule type="cellIs" dxfId="3375" priority="381" operator="equal">
      <formula>0</formula>
    </cfRule>
    <cfRule type="cellIs" dxfId="3374" priority="382" operator="greaterThan">
      <formula>0</formula>
    </cfRule>
    <cfRule type="cellIs" dxfId="3373" priority="383" operator="equal">
      <formula>"PMS"</formula>
    </cfRule>
    <cfRule type="containsText" dxfId="3372" priority="384" operator="containsText" text="CMS">
      <formula>NOT(ISERROR(SEARCH("CMS",G67)))</formula>
    </cfRule>
    <cfRule type="cellIs" dxfId="3371" priority="385" operator="equal">
      <formula>0</formula>
    </cfRule>
    <cfRule type="cellIs" dxfId="3370" priority="386" operator="greaterThan">
      <formula>0</formula>
    </cfRule>
  </conditionalFormatting>
  <conditionalFormatting sqref="G67:AC75">
    <cfRule type="cellIs" dxfId="3369" priority="375" operator="equal">
      <formula>"PMS"</formula>
    </cfRule>
    <cfRule type="containsText" dxfId="3368" priority="376" operator="containsText" text="CMS">
      <formula>NOT(ISERROR(SEARCH("CMS",G67)))</formula>
    </cfRule>
    <cfRule type="cellIs" dxfId="3367" priority="377" operator="equal">
      <formula>0</formula>
    </cfRule>
    <cfRule type="cellIs" dxfId="3366" priority="378" operator="greaterThan">
      <formula>0</formula>
    </cfRule>
  </conditionalFormatting>
  <conditionalFormatting sqref="G82:AC82">
    <cfRule type="cellIs" dxfId="3365" priority="367" operator="equal">
      <formula>"PMS"</formula>
    </cfRule>
    <cfRule type="containsText" dxfId="3364" priority="368" operator="containsText" text="CMS">
      <formula>NOT(ISERROR(SEARCH("CMS",G82)))</formula>
    </cfRule>
    <cfRule type="cellIs" dxfId="3363" priority="369" operator="equal">
      <formula>0</formula>
    </cfRule>
    <cfRule type="cellIs" dxfId="3362" priority="370" operator="greaterThan">
      <formula>0</formula>
    </cfRule>
    <cfRule type="cellIs" dxfId="3361" priority="371" operator="equal">
      <formula>"PMS"</formula>
    </cfRule>
    <cfRule type="containsText" dxfId="3360" priority="372" operator="containsText" text="CMS">
      <formula>NOT(ISERROR(SEARCH("CMS",G82)))</formula>
    </cfRule>
    <cfRule type="cellIs" dxfId="3359" priority="373" operator="equal">
      <formula>0</formula>
    </cfRule>
    <cfRule type="cellIs" dxfId="3358" priority="374" operator="greaterThan">
      <formula>0</formula>
    </cfRule>
  </conditionalFormatting>
  <conditionalFormatting sqref="G82:AC82">
    <cfRule type="cellIs" dxfId="3357" priority="363" operator="equal">
      <formula>"PMS"</formula>
    </cfRule>
    <cfRule type="containsText" dxfId="3356" priority="364" operator="containsText" text="CMS">
      <formula>NOT(ISERROR(SEARCH("CMS",G82)))</formula>
    </cfRule>
    <cfRule type="cellIs" dxfId="3355" priority="365" operator="equal">
      <formula>0</formula>
    </cfRule>
    <cfRule type="cellIs" dxfId="3354" priority="366" operator="greaterThan">
      <formula>0</formula>
    </cfRule>
  </conditionalFormatting>
  <conditionalFormatting sqref="E113:AC113 F112:N112">
    <cfRule type="cellIs" dxfId="3353" priority="362" operator="greaterThan">
      <formula>60.3</formula>
    </cfRule>
  </conditionalFormatting>
  <conditionalFormatting sqref="O112:AC112">
    <cfRule type="cellIs" dxfId="3352" priority="361" operator="greaterThan">
      <formula>60.3</formula>
    </cfRule>
  </conditionalFormatting>
  <conditionalFormatting sqref="G13:AC16">
    <cfRule type="cellIs" dxfId="3351" priority="281" operator="equal">
      <formula>"PMS"</formula>
    </cfRule>
    <cfRule type="containsText" dxfId="3350" priority="282" operator="containsText" text="CMS">
      <formula>NOT(ISERROR(SEARCH("CMS",G13)))</formula>
    </cfRule>
    <cfRule type="cellIs" dxfId="3349" priority="283" operator="equal">
      <formula>0</formula>
    </cfRule>
    <cfRule type="cellIs" dxfId="3348" priority="284" operator="greaterThan">
      <formula>0</formula>
    </cfRule>
    <cfRule type="cellIs" dxfId="3347" priority="285" operator="equal">
      <formula>"PMS"</formula>
    </cfRule>
    <cfRule type="containsText" dxfId="3346" priority="286" operator="containsText" text="CMS">
      <formula>NOT(ISERROR(SEARCH("CMS",G13)))</formula>
    </cfRule>
    <cfRule type="cellIs" dxfId="3345" priority="287" operator="equal">
      <formula>0</formula>
    </cfRule>
    <cfRule type="cellIs" dxfId="3344" priority="288" operator="greaterThan">
      <formula>0</formula>
    </cfRule>
  </conditionalFormatting>
  <conditionalFormatting sqref="G13:AC16">
    <cfRule type="cellIs" dxfId="3343" priority="277" operator="equal">
      <formula>"PMS"</formula>
    </cfRule>
    <cfRule type="containsText" dxfId="3342" priority="278" operator="containsText" text="CMS">
      <formula>NOT(ISERROR(SEARCH("CMS",G13)))</formula>
    </cfRule>
    <cfRule type="cellIs" dxfId="3341" priority="279" operator="equal">
      <formula>0</formula>
    </cfRule>
    <cfRule type="cellIs" dxfId="3340" priority="280" operator="greaterThan">
      <formula>0</formula>
    </cfRule>
  </conditionalFormatting>
  <conditionalFormatting sqref="F82">
    <cfRule type="cellIs" dxfId="3339" priority="245" operator="equal">
      <formula>"PMS"</formula>
    </cfRule>
    <cfRule type="containsText" dxfId="3338" priority="246" operator="containsText" text="CMS">
      <formula>NOT(ISERROR(SEARCH("CMS",F82)))</formula>
    </cfRule>
    <cfRule type="cellIs" dxfId="3337" priority="247" operator="equal">
      <formula>0</formula>
    </cfRule>
    <cfRule type="cellIs" dxfId="3336" priority="248" operator="greaterThan">
      <formula>0</formula>
    </cfRule>
    <cfRule type="cellIs" dxfId="3335" priority="249" operator="equal">
      <formula>"PMS"</formula>
    </cfRule>
    <cfRule type="containsText" dxfId="3334" priority="250" operator="containsText" text="CMS">
      <formula>NOT(ISERROR(SEARCH("CMS",F82)))</formula>
    </cfRule>
    <cfRule type="cellIs" dxfId="3333" priority="251" operator="equal">
      <formula>0</formula>
    </cfRule>
    <cfRule type="cellIs" dxfId="3332" priority="252" operator="greaterThan">
      <formula>0</formula>
    </cfRule>
  </conditionalFormatting>
  <conditionalFormatting sqref="F82">
    <cfRule type="cellIs" dxfId="3331" priority="241" operator="equal">
      <formula>"PMS"</formula>
    </cfRule>
    <cfRule type="containsText" dxfId="3330" priority="242" operator="containsText" text="CMS">
      <formula>NOT(ISERROR(SEARCH("CMS",F82)))</formula>
    </cfRule>
    <cfRule type="cellIs" dxfId="3329" priority="243" operator="equal">
      <formula>0</formula>
    </cfRule>
    <cfRule type="cellIs" dxfId="3328" priority="244" operator="greaterThan">
      <formula>0</formula>
    </cfRule>
  </conditionalFormatting>
  <conditionalFormatting sqref="G19:AC21 G24:AC24 G27:AC30 H33:AC33">
    <cfRule type="cellIs" dxfId="3327" priority="161" operator="equal">
      <formula>"PMS"</formula>
    </cfRule>
    <cfRule type="containsText" dxfId="3326" priority="162" operator="containsText" text="CMS">
      <formula>NOT(ISERROR(SEARCH("CMS",G19)))</formula>
    </cfRule>
    <cfRule type="cellIs" dxfId="3325" priority="163" operator="equal">
      <formula>0</formula>
    </cfRule>
    <cfRule type="cellIs" dxfId="3324" priority="164" operator="greaterThan">
      <formula>0</formula>
    </cfRule>
    <cfRule type="cellIs" dxfId="3323" priority="165" operator="equal">
      <formula>"PMS"</formula>
    </cfRule>
    <cfRule type="containsText" dxfId="3322" priority="166" operator="containsText" text="CMS">
      <formula>NOT(ISERROR(SEARCH("CMS",G19)))</formula>
    </cfRule>
    <cfRule type="cellIs" dxfId="3321" priority="167" operator="equal">
      <formula>0</formula>
    </cfRule>
    <cfRule type="cellIs" dxfId="3320" priority="168" operator="greaterThan">
      <formula>0</formula>
    </cfRule>
  </conditionalFormatting>
  <conditionalFormatting sqref="G19:AC21 G24:AC24 G27:AC30 H33:AC33">
    <cfRule type="cellIs" dxfId="3319" priority="157" operator="equal">
      <formula>"PMS"</formula>
    </cfRule>
    <cfRule type="containsText" dxfId="3318" priority="158" operator="containsText" text="CMS">
      <formula>NOT(ISERROR(SEARCH("CMS",G19)))</formula>
    </cfRule>
    <cfRule type="cellIs" dxfId="3317" priority="159" operator="equal">
      <formula>0</formula>
    </cfRule>
    <cfRule type="cellIs" dxfId="3316" priority="160" operator="greaterThan">
      <formula>0</formula>
    </cfRule>
  </conditionalFormatting>
  <conditionalFormatting sqref="V42:X42 G36:AC38 G44:AC59 G43:X43 G39:X41 Y39:AC43">
    <cfRule type="cellIs" dxfId="3315" priority="137" operator="equal">
      <formula>"PMS"</formula>
    </cfRule>
    <cfRule type="containsText" dxfId="3314" priority="138" operator="containsText" text="CMS">
      <formula>NOT(ISERROR(SEARCH("CMS",G36)))</formula>
    </cfRule>
    <cfRule type="cellIs" dxfId="3313" priority="139" operator="equal">
      <formula>0</formula>
    </cfRule>
    <cfRule type="cellIs" dxfId="3312" priority="140" operator="greaterThan">
      <formula>0</formula>
    </cfRule>
    <cfRule type="cellIs" dxfId="3311" priority="141" operator="equal">
      <formula>"PMS"</formula>
    </cfRule>
    <cfRule type="containsText" dxfId="3310" priority="142" operator="containsText" text="CMS">
      <formula>NOT(ISERROR(SEARCH("CMS",G36)))</formula>
    </cfRule>
    <cfRule type="cellIs" dxfId="3309" priority="143" operator="equal">
      <formula>0</formula>
    </cfRule>
    <cfRule type="cellIs" dxfId="3308" priority="144" operator="greaterThan">
      <formula>0</formula>
    </cfRule>
  </conditionalFormatting>
  <conditionalFormatting sqref="V42:X42 G36:AC38 G44:AC59 G43:X43 G39:X41 Y39:AC43">
    <cfRule type="cellIs" dxfId="3307" priority="133" operator="equal">
      <formula>"PMS"</formula>
    </cfRule>
    <cfRule type="containsText" dxfId="3306" priority="134" operator="containsText" text="CMS">
      <formula>NOT(ISERROR(SEARCH("CMS",G36)))</formula>
    </cfRule>
    <cfRule type="cellIs" dxfId="3305" priority="135" operator="equal">
      <formula>0</formula>
    </cfRule>
    <cfRule type="cellIs" dxfId="3304" priority="136" operator="greaterThan">
      <formula>0</formula>
    </cfRule>
  </conditionalFormatting>
  <conditionalFormatting sqref="G78:AC79 G62:AC64">
    <cfRule type="cellIs" dxfId="3303" priority="113" operator="equal">
      <formula>"PMS"</formula>
    </cfRule>
    <cfRule type="containsText" dxfId="3302" priority="114" operator="containsText" text="CMS">
      <formula>NOT(ISERROR(SEARCH("CMS",G62)))</formula>
    </cfRule>
    <cfRule type="cellIs" dxfId="3301" priority="115" operator="equal">
      <formula>0</formula>
    </cfRule>
    <cfRule type="cellIs" dxfId="3300" priority="116" operator="greaterThan">
      <formula>0</formula>
    </cfRule>
    <cfRule type="cellIs" dxfId="3299" priority="117" operator="equal">
      <formula>"PMS"</formula>
    </cfRule>
    <cfRule type="containsText" dxfId="3298" priority="118" operator="containsText" text="CMS">
      <formula>NOT(ISERROR(SEARCH("CMS",G62)))</formula>
    </cfRule>
    <cfRule type="cellIs" dxfId="3297" priority="119" operator="equal">
      <formula>0</formula>
    </cfRule>
    <cfRule type="cellIs" dxfId="3296" priority="120" operator="greaterThan">
      <formula>0</formula>
    </cfRule>
  </conditionalFormatting>
  <conditionalFormatting sqref="G78:AC79 G62:AC64">
    <cfRule type="cellIs" dxfId="3295" priority="109" operator="equal">
      <formula>"PMS"</formula>
    </cfRule>
    <cfRule type="containsText" dxfId="3294" priority="110" operator="containsText" text="CMS">
      <formula>NOT(ISERROR(SEARCH("CMS",G62)))</formula>
    </cfRule>
    <cfRule type="cellIs" dxfId="3293" priority="111" operator="equal">
      <formula>0</formula>
    </cfRule>
    <cfRule type="cellIs" dxfId="3292" priority="112" operator="greaterThan">
      <formula>0</formula>
    </cfRule>
  </conditionalFormatting>
  <conditionalFormatting sqref="F67:F75 F78:F79">
    <cfRule type="cellIs" dxfId="3291" priority="89" operator="equal">
      <formula>"PMS"</formula>
    </cfRule>
    <cfRule type="containsText" dxfId="3290" priority="90" operator="containsText" text="CMS">
      <formula>NOT(ISERROR(SEARCH("CMS",F67)))</formula>
    </cfRule>
    <cfRule type="cellIs" dxfId="3289" priority="91" operator="equal">
      <formula>0</formula>
    </cfRule>
    <cfRule type="cellIs" dxfId="3288" priority="92" operator="greaterThan">
      <formula>0</formula>
    </cfRule>
    <cfRule type="cellIs" dxfId="3287" priority="93" operator="equal">
      <formula>"PMS"</formula>
    </cfRule>
    <cfRule type="containsText" dxfId="3286" priority="94" operator="containsText" text="CMS">
      <formula>NOT(ISERROR(SEARCH("CMS",F67)))</formula>
    </cfRule>
    <cfRule type="cellIs" dxfId="3285" priority="95" operator="equal">
      <formula>0</formula>
    </cfRule>
    <cfRule type="cellIs" dxfId="3284" priority="96" operator="greaterThan">
      <formula>0</formula>
    </cfRule>
  </conditionalFormatting>
  <conditionalFormatting sqref="F67:F75 F78:F79">
    <cfRule type="cellIs" dxfId="3283" priority="85" operator="equal">
      <formula>"PMS"</formula>
    </cfRule>
    <cfRule type="containsText" dxfId="3282" priority="86" operator="containsText" text="CMS">
      <formula>NOT(ISERROR(SEARCH("CMS",F67)))</formula>
    </cfRule>
    <cfRule type="cellIs" dxfId="3281" priority="87" operator="equal">
      <formula>0</formula>
    </cfRule>
    <cfRule type="cellIs" dxfId="3280" priority="88" operator="greaterThan">
      <formula>0</formula>
    </cfRule>
  </conditionalFormatting>
  <conditionalFormatting sqref="F62:F64">
    <cfRule type="cellIs" dxfId="3279" priority="77" operator="equal">
      <formula>"PMS"</formula>
    </cfRule>
    <cfRule type="containsText" dxfId="3278" priority="78" operator="containsText" text="CMS">
      <formula>NOT(ISERROR(SEARCH("CMS",F62)))</formula>
    </cfRule>
    <cfRule type="cellIs" dxfId="3277" priority="79" operator="equal">
      <formula>0</formula>
    </cfRule>
    <cfRule type="cellIs" dxfId="3276" priority="80" operator="greaterThan">
      <formula>0</formula>
    </cfRule>
    <cfRule type="cellIs" dxfId="3275" priority="81" operator="equal">
      <formula>"PMS"</formula>
    </cfRule>
    <cfRule type="containsText" dxfId="3274" priority="82" operator="containsText" text="CMS">
      <formula>NOT(ISERROR(SEARCH("CMS",F62)))</formula>
    </cfRule>
    <cfRule type="cellIs" dxfId="3273" priority="83" operator="equal">
      <formula>0</formula>
    </cfRule>
    <cfRule type="cellIs" dxfId="3272" priority="84" operator="greaterThan">
      <formula>0</formula>
    </cfRule>
  </conditionalFormatting>
  <conditionalFormatting sqref="F62:F64">
    <cfRule type="cellIs" dxfId="3271" priority="73" operator="equal">
      <formula>"PMS"</formula>
    </cfRule>
    <cfRule type="containsText" dxfId="3270" priority="74" operator="containsText" text="CMS">
      <formula>NOT(ISERROR(SEARCH("CMS",F62)))</formula>
    </cfRule>
    <cfRule type="cellIs" dxfId="3269" priority="75" operator="equal">
      <formula>0</formula>
    </cfRule>
    <cfRule type="cellIs" dxfId="3268" priority="76" operator="greaterThan">
      <formula>0</formula>
    </cfRule>
  </conditionalFormatting>
  <conditionalFormatting sqref="F36:F59 G42:U42">
    <cfRule type="cellIs" dxfId="3267" priority="65" operator="equal">
      <formula>"PMS"</formula>
    </cfRule>
    <cfRule type="containsText" dxfId="3266" priority="66" operator="containsText" text="CMS">
      <formula>NOT(ISERROR(SEARCH("CMS",F36)))</formula>
    </cfRule>
    <cfRule type="cellIs" dxfId="3265" priority="67" operator="equal">
      <formula>0</formula>
    </cfRule>
    <cfRule type="cellIs" dxfId="3264" priority="68" operator="greaterThan">
      <formula>0</formula>
    </cfRule>
    <cfRule type="cellIs" dxfId="3263" priority="69" operator="equal">
      <formula>"PMS"</formula>
    </cfRule>
    <cfRule type="containsText" dxfId="3262" priority="70" operator="containsText" text="CMS">
      <formula>NOT(ISERROR(SEARCH("CMS",F36)))</formula>
    </cfRule>
    <cfRule type="cellIs" dxfId="3261" priority="71" operator="equal">
      <formula>0</formula>
    </cfRule>
    <cfRule type="cellIs" dxfId="3260" priority="72" operator="greaterThan">
      <formula>0</formula>
    </cfRule>
  </conditionalFormatting>
  <conditionalFormatting sqref="F36:F59 G42:U42">
    <cfRule type="cellIs" dxfId="3259" priority="61" operator="equal">
      <formula>"PMS"</formula>
    </cfRule>
    <cfRule type="containsText" dxfId="3258" priority="62" operator="containsText" text="CMS">
      <formula>NOT(ISERROR(SEARCH("CMS",F36)))</formula>
    </cfRule>
    <cfRule type="cellIs" dxfId="3257" priority="63" operator="equal">
      <formula>0</formula>
    </cfRule>
    <cfRule type="cellIs" dxfId="3256" priority="64" operator="greaterThan">
      <formula>0</formula>
    </cfRule>
  </conditionalFormatting>
  <conditionalFormatting sqref="F33:G33">
    <cfRule type="cellIs" dxfId="3255" priority="53" operator="equal">
      <formula>"PMS"</formula>
    </cfRule>
    <cfRule type="containsText" dxfId="3254" priority="54" operator="containsText" text="CMS">
      <formula>NOT(ISERROR(SEARCH("CMS",F33)))</formula>
    </cfRule>
    <cfRule type="cellIs" dxfId="3253" priority="55" operator="equal">
      <formula>0</formula>
    </cfRule>
    <cfRule type="cellIs" dxfId="3252" priority="56" operator="greaterThan">
      <formula>0</formula>
    </cfRule>
    <cfRule type="cellIs" dxfId="3251" priority="57" operator="equal">
      <formula>"PMS"</formula>
    </cfRule>
    <cfRule type="containsText" dxfId="3250" priority="58" operator="containsText" text="CMS">
      <formula>NOT(ISERROR(SEARCH("CMS",F33)))</formula>
    </cfRule>
    <cfRule type="cellIs" dxfId="3249" priority="59" operator="equal">
      <formula>0</formula>
    </cfRule>
    <cfRule type="cellIs" dxfId="3248" priority="60" operator="greaterThan">
      <formula>0</formula>
    </cfRule>
  </conditionalFormatting>
  <conditionalFormatting sqref="F33:G33">
    <cfRule type="cellIs" dxfId="3247" priority="49" operator="equal">
      <formula>"PMS"</formula>
    </cfRule>
    <cfRule type="containsText" dxfId="3246" priority="50" operator="containsText" text="CMS">
      <formula>NOT(ISERROR(SEARCH("CMS",F33)))</formula>
    </cfRule>
    <cfRule type="cellIs" dxfId="3245" priority="51" operator="equal">
      <formula>0</formula>
    </cfRule>
    <cfRule type="cellIs" dxfId="3244" priority="52" operator="greaterThan">
      <formula>0</formula>
    </cfRule>
  </conditionalFormatting>
  <conditionalFormatting sqref="F27:F30">
    <cfRule type="cellIs" dxfId="3243" priority="41" operator="equal">
      <formula>"PMS"</formula>
    </cfRule>
    <cfRule type="containsText" dxfId="3242" priority="42" operator="containsText" text="CMS">
      <formula>NOT(ISERROR(SEARCH("CMS",F27)))</formula>
    </cfRule>
    <cfRule type="cellIs" dxfId="3241" priority="43" operator="equal">
      <formula>0</formula>
    </cfRule>
    <cfRule type="cellIs" dxfId="3240" priority="44" operator="greaterThan">
      <formula>0</formula>
    </cfRule>
    <cfRule type="cellIs" dxfId="3239" priority="45" operator="equal">
      <formula>"PMS"</formula>
    </cfRule>
    <cfRule type="containsText" dxfId="3238" priority="46" operator="containsText" text="CMS">
      <formula>NOT(ISERROR(SEARCH("CMS",F27)))</formula>
    </cfRule>
    <cfRule type="cellIs" dxfId="3237" priority="47" operator="equal">
      <formula>0</formula>
    </cfRule>
    <cfRule type="cellIs" dxfId="3236" priority="48" operator="greaterThan">
      <formula>0</formula>
    </cfRule>
  </conditionalFormatting>
  <conditionalFormatting sqref="F27:F30">
    <cfRule type="cellIs" dxfId="3235" priority="37" operator="equal">
      <formula>"PMS"</formula>
    </cfRule>
    <cfRule type="containsText" dxfId="3234" priority="38" operator="containsText" text="CMS">
      <formula>NOT(ISERROR(SEARCH("CMS",F27)))</formula>
    </cfRule>
    <cfRule type="cellIs" dxfId="3233" priority="39" operator="equal">
      <formula>0</formula>
    </cfRule>
    <cfRule type="cellIs" dxfId="3232" priority="40" operator="greaterThan">
      <formula>0</formula>
    </cfRule>
  </conditionalFormatting>
  <conditionalFormatting sqref="F24">
    <cfRule type="cellIs" dxfId="3231" priority="29" operator="equal">
      <formula>"PMS"</formula>
    </cfRule>
    <cfRule type="containsText" dxfId="3230" priority="30" operator="containsText" text="CMS">
      <formula>NOT(ISERROR(SEARCH("CMS",F24)))</formula>
    </cfRule>
    <cfRule type="cellIs" dxfId="3229" priority="31" operator="equal">
      <formula>0</formula>
    </cfRule>
    <cfRule type="cellIs" dxfId="3228" priority="32" operator="greaterThan">
      <formula>0</formula>
    </cfRule>
    <cfRule type="cellIs" dxfId="3227" priority="33" operator="equal">
      <formula>"PMS"</formula>
    </cfRule>
    <cfRule type="containsText" dxfId="3226" priority="34" operator="containsText" text="CMS">
      <formula>NOT(ISERROR(SEARCH("CMS",F24)))</formula>
    </cfRule>
    <cfRule type="cellIs" dxfId="3225" priority="35" operator="equal">
      <formula>0</formula>
    </cfRule>
    <cfRule type="cellIs" dxfId="3224" priority="36" operator="greaterThan">
      <formula>0</formula>
    </cfRule>
  </conditionalFormatting>
  <conditionalFormatting sqref="F24">
    <cfRule type="cellIs" dxfId="3223" priority="25" operator="equal">
      <formula>"PMS"</formula>
    </cfRule>
    <cfRule type="containsText" dxfId="3222" priority="26" operator="containsText" text="CMS">
      <formula>NOT(ISERROR(SEARCH("CMS",F24)))</formula>
    </cfRule>
    <cfRule type="cellIs" dxfId="3221" priority="27" operator="equal">
      <formula>0</formula>
    </cfRule>
    <cfRule type="cellIs" dxfId="3220" priority="28" operator="greaterThan">
      <formula>0</formula>
    </cfRule>
  </conditionalFormatting>
  <conditionalFormatting sqref="F19:F21">
    <cfRule type="cellIs" dxfId="3219" priority="17" operator="equal">
      <formula>"PMS"</formula>
    </cfRule>
    <cfRule type="containsText" dxfId="3218" priority="18" operator="containsText" text="CMS">
      <formula>NOT(ISERROR(SEARCH("CMS",F19)))</formula>
    </cfRule>
    <cfRule type="cellIs" dxfId="3217" priority="19" operator="equal">
      <formula>0</formula>
    </cfRule>
    <cfRule type="cellIs" dxfId="3216" priority="20" operator="greaterThan">
      <formula>0</formula>
    </cfRule>
    <cfRule type="cellIs" dxfId="3215" priority="21" operator="equal">
      <formula>"PMS"</formula>
    </cfRule>
    <cfRule type="containsText" dxfId="3214" priority="22" operator="containsText" text="CMS">
      <formula>NOT(ISERROR(SEARCH("CMS",F19)))</formula>
    </cfRule>
    <cfRule type="cellIs" dxfId="3213" priority="23" operator="equal">
      <formula>0</formula>
    </cfRule>
    <cfRule type="cellIs" dxfId="3212" priority="24" operator="greaterThan">
      <formula>0</formula>
    </cfRule>
  </conditionalFormatting>
  <conditionalFormatting sqref="F19:F21">
    <cfRule type="cellIs" dxfId="3211" priority="13" operator="equal">
      <formula>"PMS"</formula>
    </cfRule>
    <cfRule type="containsText" dxfId="3210" priority="14" operator="containsText" text="CMS">
      <formula>NOT(ISERROR(SEARCH("CMS",F19)))</formula>
    </cfRule>
    <cfRule type="cellIs" dxfId="3209" priority="15" operator="equal">
      <formula>0</formula>
    </cfRule>
    <cfRule type="cellIs" dxfId="3208" priority="16" operator="greaterThan">
      <formula>0</formula>
    </cfRule>
  </conditionalFormatting>
  <conditionalFormatting sqref="F13:F16">
    <cfRule type="cellIs" dxfId="3207" priority="5" operator="equal">
      <formula>"PMS"</formula>
    </cfRule>
    <cfRule type="containsText" dxfId="3206" priority="6" operator="containsText" text="CMS">
      <formula>NOT(ISERROR(SEARCH("CMS",F13)))</formula>
    </cfRule>
    <cfRule type="cellIs" dxfId="3205" priority="7" operator="equal">
      <formula>0</formula>
    </cfRule>
    <cfRule type="cellIs" dxfId="3204" priority="8" operator="greaterThan">
      <formula>0</formula>
    </cfRule>
    <cfRule type="cellIs" dxfId="3203" priority="9" operator="equal">
      <formula>"PMS"</formula>
    </cfRule>
    <cfRule type="containsText" dxfId="3202" priority="10" operator="containsText" text="CMS">
      <formula>NOT(ISERROR(SEARCH("CMS",F13)))</formula>
    </cfRule>
    <cfRule type="cellIs" dxfId="3201" priority="11" operator="equal">
      <formula>0</formula>
    </cfRule>
    <cfRule type="cellIs" dxfId="3200" priority="12" operator="greaterThan">
      <formula>0</formula>
    </cfRule>
  </conditionalFormatting>
  <conditionalFormatting sqref="F13:F16">
    <cfRule type="cellIs" dxfId="3199" priority="1" operator="equal">
      <formula>"PMS"</formula>
    </cfRule>
    <cfRule type="containsText" dxfId="3198" priority="2" operator="containsText" text="CMS">
      <formula>NOT(ISERROR(SEARCH("CMS",F13)))</formula>
    </cfRule>
    <cfRule type="cellIs" dxfId="3197" priority="3" operator="equal">
      <formula>0</formula>
    </cfRule>
    <cfRule type="cellIs" dxfId="3196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9401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C4CCB-4FEB-4F83-8D54-384F7A894040}">
  <sheetPr codeName="Sheet178"/>
  <dimension ref="A2:DT141"/>
  <sheetViews>
    <sheetView zoomScale="70" zoomScaleNormal="70" zoomScaleSheetLayoutView="51" zoomScalePageLayoutView="55" workbookViewId="0">
      <pane xSplit="5" ySplit="11" topLeftCell="F12" activePane="bottomRight" state="frozen"/>
      <selection pane="bottomRight" activeCell="S27" sqref="S27"/>
      <selection pane="bottomLeft" activeCell="AJ44" sqref="AJ44"/>
      <selection pane="topRight" activeCell="AJ44" sqref="AJ4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23"/>
      <c r="N8" s="523"/>
      <c r="O8" s="52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24" t="e" cm="1">
        <f t="array" aca="1" ref="M9" ca="1">TEXT(TODAY(),"mmmm")&amp;" "&amp;MID(CELL("filename",A1),FIND("]",CELL("filename",A1))+1,255)&amp;", "&amp;TEXT(TODAY(),"yyyy")</f>
        <v>#VALUE!</v>
      </c>
      <c r="N9" s="524"/>
      <c r="O9" s="524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4"/>
      <c r="R10" s="344"/>
      <c r="S10" s="344"/>
      <c r="T10" s="344"/>
      <c r="U10" s="344"/>
      <c r="V10" s="344"/>
      <c r="W10" s="344"/>
      <c r="X10" s="344"/>
      <c r="Y10" s="344"/>
      <c r="Z10" s="344"/>
      <c r="AA10" s="344"/>
      <c r="AB10" s="344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17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562.60000000000025</v>
      </c>
    </row>
    <row r="13" spans="1:41">
      <c r="A13" s="14" t="s">
        <v>22</v>
      </c>
      <c r="B13" s="15"/>
      <c r="C13" s="15">
        <v>7.2</v>
      </c>
      <c r="D13" s="15"/>
      <c r="E13" s="15"/>
      <c r="F13" s="372">
        <v>6.4</v>
      </c>
      <c r="G13" s="372">
        <v>6.8</v>
      </c>
      <c r="H13" s="372">
        <v>6.8</v>
      </c>
      <c r="I13" s="372">
        <v>6.7</v>
      </c>
      <c r="J13" s="372">
        <v>0</v>
      </c>
      <c r="K13" s="374">
        <v>0</v>
      </c>
      <c r="L13" s="374">
        <v>1.3</v>
      </c>
      <c r="M13" s="374">
        <v>0</v>
      </c>
      <c r="N13" s="372">
        <v>0</v>
      </c>
      <c r="O13" s="372">
        <v>0</v>
      </c>
      <c r="P13" s="372">
        <v>6.6</v>
      </c>
      <c r="Q13" s="372">
        <v>6.9</v>
      </c>
      <c r="R13" s="372">
        <v>6.5</v>
      </c>
      <c r="S13" s="372">
        <v>6.7</v>
      </c>
      <c r="T13" s="372">
        <v>6.5</v>
      </c>
      <c r="U13" s="372">
        <v>6.5</v>
      </c>
      <c r="V13" s="372">
        <v>6.7</v>
      </c>
      <c r="W13" s="372">
        <v>6.5</v>
      </c>
      <c r="X13" s="374">
        <v>6.6</v>
      </c>
      <c r="Y13" s="372">
        <v>6.6</v>
      </c>
      <c r="Z13" s="372">
        <v>6.5</v>
      </c>
      <c r="AA13" s="372">
        <v>6.5</v>
      </c>
      <c r="AB13" s="372">
        <v>6.1</v>
      </c>
      <c r="AC13" s="372">
        <v>6.4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1">
      <c r="A14" s="14" t="s">
        <v>23</v>
      </c>
      <c r="B14" s="15"/>
      <c r="C14" s="15">
        <v>7.2</v>
      </c>
      <c r="D14" s="15"/>
      <c r="E14" s="15"/>
      <c r="F14" s="372">
        <v>6.5</v>
      </c>
      <c r="G14" s="372">
        <v>6.8</v>
      </c>
      <c r="H14" s="372">
        <v>6.8</v>
      </c>
      <c r="I14" s="372">
        <v>6.7</v>
      </c>
      <c r="J14" s="372">
        <v>6.5</v>
      </c>
      <c r="K14" s="374">
        <v>6.6</v>
      </c>
      <c r="L14" s="374">
        <v>6.3</v>
      </c>
      <c r="M14" s="374">
        <v>6.8</v>
      </c>
      <c r="N14" s="372">
        <v>7.1</v>
      </c>
      <c r="O14" s="372">
        <v>6.7</v>
      </c>
      <c r="P14" s="372">
        <v>6.6</v>
      </c>
      <c r="Q14" s="372">
        <v>6.9</v>
      </c>
      <c r="R14" s="372">
        <v>6.5</v>
      </c>
      <c r="S14" s="372">
        <v>6.7</v>
      </c>
      <c r="T14" s="372">
        <v>6.5</v>
      </c>
      <c r="U14" s="372">
        <v>6.5</v>
      </c>
      <c r="V14" s="372">
        <v>6.7</v>
      </c>
      <c r="W14" s="372">
        <v>6.5</v>
      </c>
      <c r="X14" s="374">
        <v>6.6</v>
      </c>
      <c r="Y14" s="372">
        <v>6.6</v>
      </c>
      <c r="Z14" s="372">
        <v>6.5</v>
      </c>
      <c r="AA14" s="372">
        <v>6.5</v>
      </c>
      <c r="AB14" s="372">
        <v>7.1</v>
      </c>
      <c r="AC14" s="372">
        <v>0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372"/>
      <c r="G15" s="372"/>
      <c r="H15" s="372"/>
      <c r="I15" s="372"/>
      <c r="J15" s="372">
        <v>6.5</v>
      </c>
      <c r="K15" s="374">
        <v>6.6</v>
      </c>
      <c r="L15" s="374">
        <v>6.3</v>
      </c>
      <c r="M15" s="374">
        <v>6.8</v>
      </c>
      <c r="N15" s="372">
        <v>7.1</v>
      </c>
      <c r="O15" s="372">
        <v>6.7</v>
      </c>
      <c r="P15" s="372">
        <v>6.6</v>
      </c>
      <c r="Q15" s="372">
        <v>6.9</v>
      </c>
      <c r="R15" s="372">
        <v>6.5</v>
      </c>
      <c r="S15" s="372">
        <v>6.7</v>
      </c>
      <c r="T15" s="372">
        <v>6.5</v>
      </c>
      <c r="U15" s="372">
        <v>6.5</v>
      </c>
      <c r="V15" s="372">
        <v>6.7</v>
      </c>
      <c r="W15" s="372">
        <v>6.5</v>
      </c>
      <c r="X15" s="374">
        <v>6.6</v>
      </c>
      <c r="Y15" s="372">
        <v>6.6</v>
      </c>
      <c r="Z15" s="372">
        <v>6.5</v>
      </c>
      <c r="AA15" s="372">
        <v>6.5</v>
      </c>
      <c r="AB15" s="372">
        <v>6.1</v>
      </c>
      <c r="AC15" s="372">
        <v>6.4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20</v>
      </c>
    </row>
    <row r="16" spans="1:41">
      <c r="A16" s="14" t="s">
        <v>25</v>
      </c>
      <c r="B16" s="15"/>
      <c r="C16" s="15">
        <v>7.2</v>
      </c>
      <c r="D16" s="15"/>
      <c r="E16" s="15"/>
      <c r="F16" s="372">
        <v>6.5</v>
      </c>
      <c r="G16" s="372">
        <v>6.8</v>
      </c>
      <c r="H16" s="372">
        <v>6.8</v>
      </c>
      <c r="I16" s="372">
        <v>6.7</v>
      </c>
      <c r="J16" s="372">
        <v>6.5</v>
      </c>
      <c r="K16" s="374">
        <v>6.6</v>
      </c>
      <c r="L16" s="374">
        <v>6.3</v>
      </c>
      <c r="M16" s="374">
        <v>6.8</v>
      </c>
      <c r="N16" s="372">
        <v>7.1</v>
      </c>
      <c r="O16" s="372">
        <v>6.7</v>
      </c>
      <c r="P16" s="372">
        <v>6.6</v>
      </c>
      <c r="Q16" s="372">
        <v>6.9</v>
      </c>
      <c r="R16" s="372">
        <v>6.5</v>
      </c>
      <c r="S16" s="372">
        <v>6.7</v>
      </c>
      <c r="T16" s="372">
        <v>6.5</v>
      </c>
      <c r="U16" s="372">
        <v>6.5</v>
      </c>
      <c r="V16" s="372">
        <v>6.7</v>
      </c>
      <c r="W16" s="372">
        <v>6.5</v>
      </c>
      <c r="X16" s="374">
        <v>6.6</v>
      </c>
      <c r="Y16" s="372">
        <v>6.6</v>
      </c>
      <c r="Z16" s="372">
        <v>6.5</v>
      </c>
      <c r="AA16" s="372">
        <v>6.5</v>
      </c>
      <c r="AB16" s="372">
        <v>6.1</v>
      </c>
      <c r="AC16" s="372">
        <v>6.4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19.399999999999999</v>
      </c>
      <c r="G17" s="19">
        <f t="shared" si="0"/>
        <v>20.399999999999999</v>
      </c>
      <c r="H17" s="19">
        <f>SUM(H13:H16)</f>
        <v>20.399999999999999</v>
      </c>
      <c r="I17" s="19">
        <f t="shared" si="0"/>
        <v>20.100000000000001</v>
      </c>
      <c r="J17" s="19">
        <f t="shared" si="0"/>
        <v>19.5</v>
      </c>
      <c r="K17" s="19">
        <f t="shared" si="0"/>
        <v>19.799999999999997</v>
      </c>
      <c r="L17" s="19">
        <f t="shared" si="0"/>
        <v>20.2</v>
      </c>
      <c r="M17" s="19">
        <f t="shared" si="0"/>
        <v>20.399999999999999</v>
      </c>
      <c r="N17" s="19">
        <f t="shared" si="0"/>
        <v>21.299999999999997</v>
      </c>
      <c r="O17" s="19">
        <f t="shared" si="0"/>
        <v>20.100000000000001</v>
      </c>
      <c r="P17" s="19">
        <f t="shared" si="0"/>
        <v>26.4</v>
      </c>
      <c r="Q17" s="19">
        <f t="shared" si="0"/>
        <v>27.6</v>
      </c>
      <c r="R17" s="19">
        <f t="shared" si="0"/>
        <v>26</v>
      </c>
      <c r="S17" s="19">
        <f t="shared" si="0"/>
        <v>26.8</v>
      </c>
      <c r="T17" s="19">
        <f t="shared" si="0"/>
        <v>26</v>
      </c>
      <c r="U17" s="19">
        <f t="shared" si="0"/>
        <v>26</v>
      </c>
      <c r="V17" s="19">
        <f t="shared" si="0"/>
        <v>26.8</v>
      </c>
      <c r="W17" s="19">
        <f t="shared" si="0"/>
        <v>26</v>
      </c>
      <c r="X17" s="19">
        <f t="shared" si="0"/>
        <v>26.4</v>
      </c>
      <c r="Y17" s="19">
        <f t="shared" si="0"/>
        <v>26.4</v>
      </c>
      <c r="Z17" s="19">
        <f t="shared" si="0"/>
        <v>26</v>
      </c>
      <c r="AA17" s="19">
        <f t="shared" si="0"/>
        <v>26</v>
      </c>
      <c r="AB17" s="19">
        <f t="shared" si="0"/>
        <v>25.4</v>
      </c>
      <c r="AC17" s="19">
        <f t="shared" si="0"/>
        <v>19.200000000000003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97.599999999999966</v>
      </c>
    </row>
    <row r="19" spans="1:51">
      <c r="A19" s="14" t="s">
        <v>22</v>
      </c>
      <c r="B19" s="15"/>
      <c r="C19" s="15">
        <v>3</v>
      </c>
      <c r="D19" s="15"/>
      <c r="E19" s="15"/>
      <c r="F19" s="372"/>
      <c r="G19" s="372"/>
      <c r="H19" s="372"/>
      <c r="I19" s="372"/>
      <c r="J19" s="372"/>
      <c r="K19" s="374"/>
      <c r="L19" s="374"/>
      <c r="M19" s="374"/>
      <c r="N19" s="372"/>
      <c r="O19" s="372">
        <v>2.8</v>
      </c>
      <c r="P19" s="372">
        <v>2.8</v>
      </c>
      <c r="Q19" s="372">
        <v>2.8</v>
      </c>
      <c r="R19" s="372" t="s">
        <v>9</v>
      </c>
      <c r="S19" s="372">
        <v>2.5</v>
      </c>
      <c r="T19" s="372">
        <v>2.6</v>
      </c>
      <c r="U19" s="372">
        <v>2.8</v>
      </c>
      <c r="V19" s="372">
        <v>2.8</v>
      </c>
      <c r="W19" s="372">
        <v>2.8</v>
      </c>
      <c r="X19" s="372">
        <v>2</v>
      </c>
      <c r="Y19" s="372">
        <v>2.8</v>
      </c>
      <c r="Z19" s="372">
        <v>2</v>
      </c>
      <c r="AA19" s="372">
        <v>2.8</v>
      </c>
      <c r="AB19" s="372">
        <v>2</v>
      </c>
      <c r="AC19" s="372">
        <v>2.8</v>
      </c>
      <c r="AD19" s="41"/>
      <c r="AE19" s="41"/>
      <c r="AF19" s="11">
        <f>COUNTIF(F19:AC19,$AJ$8)</f>
        <v>1</v>
      </c>
      <c r="AG19" s="11">
        <f>COUNTIF(G19:AD19,$AJ$7)</f>
        <v>0</v>
      </c>
      <c r="AH19" s="11">
        <f>COUNT(F19:AC19)</f>
        <v>14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372"/>
      <c r="G20" s="372"/>
      <c r="H20" s="372"/>
      <c r="I20" s="372"/>
      <c r="J20" s="372"/>
      <c r="K20" s="374"/>
      <c r="L20" s="374"/>
      <c r="M20" s="374"/>
      <c r="N20" s="372"/>
      <c r="O20" s="372"/>
      <c r="P20" s="372"/>
      <c r="Q20" s="372"/>
      <c r="R20" s="372"/>
      <c r="S20" s="372"/>
      <c r="T20" s="372"/>
      <c r="U20" s="372"/>
      <c r="V20" s="372"/>
      <c r="W20" s="372"/>
      <c r="X20" s="372"/>
      <c r="Y20" s="372"/>
      <c r="Z20" s="372"/>
      <c r="AA20" s="372"/>
      <c r="AB20" s="372"/>
      <c r="AC20" s="372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2">
        <v>3</v>
      </c>
      <c r="G21" s="372"/>
      <c r="H21" s="372"/>
      <c r="I21" s="372"/>
      <c r="J21" s="372"/>
      <c r="K21" s="374"/>
      <c r="L21" s="374"/>
      <c r="M21" s="374"/>
      <c r="N21" s="372">
        <v>3.8</v>
      </c>
      <c r="O21" s="372">
        <v>3.8</v>
      </c>
      <c r="P21" s="372">
        <v>3.8</v>
      </c>
      <c r="Q21" s="372">
        <v>3.8</v>
      </c>
      <c r="R21" s="372">
        <v>3.8</v>
      </c>
      <c r="S21" s="372">
        <v>3.8</v>
      </c>
      <c r="T21" s="372">
        <v>3.5</v>
      </c>
      <c r="U21" s="372">
        <v>3.8</v>
      </c>
      <c r="V21" s="372">
        <v>3.8</v>
      </c>
      <c r="W21" s="372">
        <v>3.8</v>
      </c>
      <c r="X21" s="372">
        <v>3</v>
      </c>
      <c r="Y21" s="372">
        <v>3.8</v>
      </c>
      <c r="Z21" s="372">
        <v>3</v>
      </c>
      <c r="AA21" s="372">
        <v>3.8</v>
      </c>
      <c r="AB21" s="372">
        <v>3.2</v>
      </c>
      <c r="AC21" s="372">
        <v>3.8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17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1">SUM(F19:F21)</f>
        <v>3</v>
      </c>
      <c r="G22" s="19">
        <f>SUM(G19:G21)</f>
        <v>0</v>
      </c>
      <c r="H22" s="19">
        <f t="shared" ref="H22:AC22" si="2">SUM(H19:H21)</f>
        <v>0</v>
      </c>
      <c r="I22" s="19">
        <f t="shared" si="2"/>
        <v>0</v>
      </c>
      <c r="J22" s="19">
        <f t="shared" si="2"/>
        <v>0</v>
      </c>
      <c r="K22" s="19">
        <f t="shared" si="2"/>
        <v>0</v>
      </c>
      <c r="L22" s="19">
        <f t="shared" si="2"/>
        <v>0</v>
      </c>
      <c r="M22" s="19">
        <f t="shared" si="2"/>
        <v>0</v>
      </c>
      <c r="N22" s="19">
        <f t="shared" si="2"/>
        <v>3.8</v>
      </c>
      <c r="O22" s="19">
        <f t="shared" si="2"/>
        <v>6.6</v>
      </c>
      <c r="P22" s="19">
        <f t="shared" si="2"/>
        <v>6.6</v>
      </c>
      <c r="Q22" s="19">
        <f t="shared" si="2"/>
        <v>6.6</v>
      </c>
      <c r="R22" s="19">
        <f t="shared" si="2"/>
        <v>3.8</v>
      </c>
      <c r="S22" s="19">
        <f>SUM(S19:S21)</f>
        <v>6.3</v>
      </c>
      <c r="T22" s="19">
        <f t="shared" ref="T22" si="3">SUM(T19:T21)</f>
        <v>6.1</v>
      </c>
      <c r="U22" s="19">
        <f t="shared" si="2"/>
        <v>6.6</v>
      </c>
      <c r="V22" s="19">
        <f t="shared" si="2"/>
        <v>6.6</v>
      </c>
      <c r="W22" s="19">
        <f t="shared" si="2"/>
        <v>6.6</v>
      </c>
      <c r="X22" s="19">
        <f t="shared" si="2"/>
        <v>5</v>
      </c>
      <c r="Y22" s="19">
        <f t="shared" si="2"/>
        <v>6.6</v>
      </c>
      <c r="Z22" s="19">
        <f t="shared" si="2"/>
        <v>5</v>
      </c>
      <c r="AA22" s="19">
        <f t="shared" si="2"/>
        <v>6.6</v>
      </c>
      <c r="AB22" s="19">
        <f>SUM(AB19:AB21)</f>
        <v>5.2</v>
      </c>
      <c r="AC22" s="19">
        <f t="shared" si="2"/>
        <v>6.6</v>
      </c>
      <c r="AD22" s="41"/>
      <c r="AE22" s="41"/>
      <c r="AF22" s="11"/>
      <c r="AG22" s="11"/>
      <c r="AH22" s="11"/>
      <c r="AI22" s="400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409">
        <f>SUM(F24:AC24)</f>
        <v>60.899999999999984</v>
      </c>
    </row>
    <row r="24" spans="1:51">
      <c r="A24" s="14" t="s">
        <v>22</v>
      </c>
      <c r="B24" s="20"/>
      <c r="C24" s="15">
        <v>4.5</v>
      </c>
      <c r="D24" s="15"/>
      <c r="E24" s="15"/>
      <c r="F24" s="372">
        <v>3</v>
      </c>
      <c r="G24" s="372">
        <v>3</v>
      </c>
      <c r="H24" s="372"/>
      <c r="I24" s="372"/>
      <c r="J24" s="372"/>
      <c r="K24" s="374"/>
      <c r="L24" s="374"/>
      <c r="M24" s="374"/>
      <c r="N24" s="372"/>
      <c r="O24" s="372">
        <v>3.8</v>
      </c>
      <c r="P24" s="372">
        <v>3.8</v>
      </c>
      <c r="Q24" s="372">
        <v>3.8</v>
      </c>
      <c r="R24" s="372">
        <v>3.8</v>
      </c>
      <c r="S24" s="372">
        <v>3.8</v>
      </c>
      <c r="T24" s="372">
        <v>3.8</v>
      </c>
      <c r="U24" s="372">
        <v>3.8</v>
      </c>
      <c r="V24" s="372">
        <v>3.8</v>
      </c>
      <c r="W24" s="372">
        <v>3.8</v>
      </c>
      <c r="X24" s="372">
        <v>3</v>
      </c>
      <c r="Y24" s="372">
        <v>3.8</v>
      </c>
      <c r="Z24" s="372">
        <v>3</v>
      </c>
      <c r="AA24" s="372">
        <v>3.8</v>
      </c>
      <c r="AB24" s="372">
        <v>3.3</v>
      </c>
      <c r="AC24" s="372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17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4">SUM(F24)</f>
        <v>3</v>
      </c>
      <c r="G25" s="19">
        <f t="shared" ref="G25:AC25" si="5">SUM(G24)</f>
        <v>3</v>
      </c>
      <c r="H25" s="19">
        <f t="shared" si="5"/>
        <v>0</v>
      </c>
      <c r="I25" s="19">
        <f t="shared" si="5"/>
        <v>0</v>
      </c>
      <c r="J25" s="19">
        <f t="shared" si="5"/>
        <v>0</v>
      </c>
      <c r="K25" s="19">
        <f t="shared" si="5"/>
        <v>0</v>
      </c>
      <c r="L25" s="19">
        <f t="shared" si="5"/>
        <v>0</v>
      </c>
      <c r="M25" s="19">
        <f t="shared" si="5"/>
        <v>0</v>
      </c>
      <c r="N25" s="19">
        <f t="shared" si="5"/>
        <v>0</v>
      </c>
      <c r="O25" s="19">
        <f t="shared" si="5"/>
        <v>3.8</v>
      </c>
      <c r="P25" s="19">
        <f t="shared" si="5"/>
        <v>3.8</v>
      </c>
      <c r="Q25" s="19">
        <f t="shared" si="5"/>
        <v>3.8</v>
      </c>
      <c r="R25" s="19">
        <f t="shared" si="5"/>
        <v>3.8</v>
      </c>
      <c r="S25" s="19">
        <f t="shared" si="5"/>
        <v>3.8</v>
      </c>
      <c r="T25" s="19">
        <f t="shared" si="5"/>
        <v>3.8</v>
      </c>
      <c r="U25" s="19">
        <f t="shared" si="5"/>
        <v>3.8</v>
      </c>
      <c r="V25" s="19">
        <f t="shared" si="5"/>
        <v>3.8</v>
      </c>
      <c r="W25" s="19">
        <f t="shared" si="5"/>
        <v>3.8</v>
      </c>
      <c r="X25" s="19">
        <f t="shared" si="5"/>
        <v>3</v>
      </c>
      <c r="Y25" s="19">
        <f t="shared" si="5"/>
        <v>3.8</v>
      </c>
      <c r="Z25" s="19">
        <f t="shared" si="5"/>
        <v>3</v>
      </c>
      <c r="AA25" s="19">
        <f t="shared" si="5"/>
        <v>3.8</v>
      </c>
      <c r="AB25" s="19">
        <f t="shared" si="5"/>
        <v>3.3</v>
      </c>
      <c r="AC25" s="19">
        <f t="shared" si="5"/>
        <v>3.8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183.59999999999994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2">
        <v>4</v>
      </c>
      <c r="G27" s="372">
        <v>4</v>
      </c>
      <c r="H27" s="372">
        <v>4.4000000000000004</v>
      </c>
      <c r="I27" s="372">
        <v>3.5</v>
      </c>
      <c r="J27" s="372">
        <v>3.5</v>
      </c>
      <c r="K27" s="374">
        <v>3.2</v>
      </c>
      <c r="L27" s="374">
        <v>4</v>
      </c>
      <c r="M27" s="374">
        <v>4.0999999999999996</v>
      </c>
      <c r="N27" s="372">
        <v>4.2</v>
      </c>
      <c r="O27" s="372">
        <v>4.2</v>
      </c>
      <c r="P27" s="372">
        <v>4</v>
      </c>
      <c r="Q27" s="372">
        <v>4.2</v>
      </c>
      <c r="R27" s="372">
        <v>4.2</v>
      </c>
      <c r="S27" s="372">
        <v>4.0999999999999996</v>
      </c>
      <c r="T27" s="372" t="s">
        <v>9</v>
      </c>
      <c r="U27" s="372">
        <v>2.7</v>
      </c>
      <c r="V27" s="372">
        <v>4.2</v>
      </c>
      <c r="W27" s="372">
        <v>4</v>
      </c>
      <c r="X27" s="372">
        <v>4</v>
      </c>
      <c r="Y27" s="372">
        <v>4</v>
      </c>
      <c r="Z27" s="374">
        <v>4</v>
      </c>
      <c r="AA27" s="372">
        <v>4.2</v>
      </c>
      <c r="AB27" s="372">
        <v>3</v>
      </c>
      <c r="AC27" s="372">
        <v>4.0999999999999996</v>
      </c>
      <c r="AD27" s="41"/>
      <c r="AE27" s="41"/>
      <c r="AF27" s="11">
        <f>COUNTIF(F27:AC27,$AJ$8)</f>
        <v>1</v>
      </c>
      <c r="AG27" s="11">
        <f>COUNTIF(G27:AD27,$AJ$7)</f>
        <v>0</v>
      </c>
      <c r="AH27" s="11">
        <f>COUNT(F27:AC27)</f>
        <v>23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2">
        <v>4</v>
      </c>
      <c r="G28" s="372">
        <v>4</v>
      </c>
      <c r="H28" s="372">
        <v>4.4000000000000004</v>
      </c>
      <c r="I28" s="372">
        <v>3.5</v>
      </c>
      <c r="J28" s="372">
        <v>3.5</v>
      </c>
      <c r="K28" s="374">
        <v>3.2</v>
      </c>
      <c r="L28" s="374">
        <v>4</v>
      </c>
      <c r="M28" s="374">
        <v>4.0999999999999996</v>
      </c>
      <c r="N28" s="372">
        <v>4.2</v>
      </c>
      <c r="O28" s="372">
        <v>4.2</v>
      </c>
      <c r="P28" s="372">
        <v>4</v>
      </c>
      <c r="Q28" s="372">
        <v>4.2</v>
      </c>
      <c r="R28" s="372">
        <v>4.2</v>
      </c>
      <c r="S28" s="372">
        <v>4.0999999999999996</v>
      </c>
      <c r="T28" s="372">
        <v>4</v>
      </c>
      <c r="U28" s="372">
        <v>2.7</v>
      </c>
      <c r="V28" s="372">
        <v>4.2</v>
      </c>
      <c r="W28" s="372">
        <v>4</v>
      </c>
      <c r="X28" s="372">
        <v>4</v>
      </c>
      <c r="Y28" s="372">
        <v>4</v>
      </c>
      <c r="Z28" s="374">
        <v>4</v>
      </c>
      <c r="AA28" s="372">
        <v>4.2</v>
      </c>
      <c r="AB28" s="372">
        <v>3</v>
      </c>
      <c r="AC28" s="372">
        <v>4.0999999999999996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60.199999999999989</v>
      </c>
    </row>
    <row r="29" spans="1:51" ht="15" customHeight="1">
      <c r="A29" s="14" t="s">
        <v>30</v>
      </c>
      <c r="B29" s="369"/>
      <c r="C29" s="370">
        <v>8.8000000000000007</v>
      </c>
      <c r="D29" s="371"/>
      <c r="E29" s="371"/>
      <c r="F29" s="372"/>
      <c r="G29" s="372"/>
      <c r="H29" s="372"/>
      <c r="I29" s="372"/>
      <c r="J29" s="372"/>
      <c r="K29" s="374"/>
      <c r="L29" s="374"/>
      <c r="M29" s="374"/>
      <c r="N29" s="372"/>
      <c r="O29" s="372">
        <v>4.2</v>
      </c>
      <c r="P29" s="372">
        <v>5.5</v>
      </c>
      <c r="Q29" s="372">
        <v>5.5</v>
      </c>
      <c r="R29" s="372">
        <v>6.1</v>
      </c>
      <c r="S29" s="372">
        <v>5.4</v>
      </c>
      <c r="T29" s="372">
        <v>5.3</v>
      </c>
      <c r="U29" s="372">
        <v>8.1</v>
      </c>
      <c r="V29" s="372">
        <v>5.4</v>
      </c>
      <c r="W29" s="372">
        <v>4.5</v>
      </c>
      <c r="X29" s="372">
        <v>2.8</v>
      </c>
      <c r="Y29" s="372">
        <v>4.4000000000000004</v>
      </c>
      <c r="Z29" s="372">
        <v>3</v>
      </c>
      <c r="AA29" s="372"/>
      <c r="AB29" s="372"/>
      <c r="AC29" s="372"/>
    </row>
    <row r="30" spans="1:51" ht="15" customHeight="1">
      <c r="A30" s="14" t="s">
        <v>31</v>
      </c>
      <c r="B30" s="369"/>
      <c r="C30" s="370">
        <v>8.8000000000000007</v>
      </c>
      <c r="D30" s="371"/>
      <c r="E30" s="371"/>
      <c r="F30" s="372"/>
      <c r="G30" s="372"/>
      <c r="H30" s="372"/>
      <c r="I30" s="372"/>
      <c r="J30" s="372"/>
      <c r="K30" s="374"/>
      <c r="L30" s="374"/>
      <c r="M30" s="374"/>
      <c r="N30" s="372"/>
      <c r="O30" s="372"/>
      <c r="P30" s="372"/>
      <c r="Q30" s="372"/>
      <c r="R30" s="372"/>
      <c r="S30" s="372"/>
      <c r="T30" s="372"/>
      <c r="U30" s="372"/>
      <c r="V30" s="372"/>
      <c r="W30" s="372"/>
      <c r="X30" s="372"/>
      <c r="Y30" s="372"/>
      <c r="Z30" s="372"/>
      <c r="AA30" s="372"/>
      <c r="AB30" s="372"/>
      <c r="AC30" s="372"/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:AC31" si="6">SUM(F27:F29)</f>
        <v>8</v>
      </c>
      <c r="G31" s="19">
        <f t="shared" si="6"/>
        <v>8</v>
      </c>
      <c r="H31" s="19">
        <f t="shared" si="6"/>
        <v>8.8000000000000007</v>
      </c>
      <c r="I31" s="19">
        <f t="shared" si="6"/>
        <v>7</v>
      </c>
      <c r="J31" s="19">
        <f t="shared" si="6"/>
        <v>7</v>
      </c>
      <c r="K31" s="19">
        <f t="shared" si="6"/>
        <v>6.4</v>
      </c>
      <c r="L31" s="19">
        <f t="shared" si="6"/>
        <v>8</v>
      </c>
      <c r="M31" s="19">
        <f t="shared" si="6"/>
        <v>8.1999999999999993</v>
      </c>
      <c r="N31" s="19">
        <f t="shared" si="6"/>
        <v>8.4</v>
      </c>
      <c r="O31" s="19">
        <f t="shared" si="6"/>
        <v>12.600000000000001</v>
      </c>
      <c r="P31" s="19">
        <f t="shared" si="6"/>
        <v>13.5</v>
      </c>
      <c r="Q31" s="19">
        <f t="shared" si="6"/>
        <v>13.9</v>
      </c>
      <c r="R31" s="19">
        <f t="shared" si="6"/>
        <v>14.5</v>
      </c>
      <c r="S31" s="19">
        <f t="shared" si="6"/>
        <v>13.6</v>
      </c>
      <c r="T31" s="19">
        <f>SUM(T27:T29)</f>
        <v>9.3000000000000007</v>
      </c>
      <c r="U31" s="19">
        <f t="shared" si="6"/>
        <v>13.5</v>
      </c>
      <c r="V31" s="19">
        <f t="shared" si="6"/>
        <v>13.8</v>
      </c>
      <c r="W31" s="19">
        <f t="shared" si="6"/>
        <v>12.5</v>
      </c>
      <c r="X31" s="19">
        <f>SUM(X27:X30)</f>
        <v>10.8</v>
      </c>
      <c r="Y31" s="19">
        <f t="shared" si="6"/>
        <v>12.4</v>
      </c>
      <c r="Z31" s="19">
        <f t="shared" si="6"/>
        <v>11</v>
      </c>
      <c r="AA31" s="19">
        <f t="shared" si="6"/>
        <v>8.4</v>
      </c>
      <c r="AB31" s="19">
        <f t="shared" si="6"/>
        <v>6</v>
      </c>
      <c r="AC31" s="19">
        <f t="shared" si="6"/>
        <v>8.1999999999999993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342.84999999999997</v>
      </c>
    </row>
    <row r="33" spans="1:36">
      <c r="A33" s="14" t="s">
        <v>22</v>
      </c>
      <c r="B33" s="15"/>
      <c r="C33" s="15">
        <v>15</v>
      </c>
      <c r="D33" s="15"/>
      <c r="E33" s="15"/>
      <c r="F33" s="372">
        <v>14.28</v>
      </c>
      <c r="G33" s="372">
        <v>14.31</v>
      </c>
      <c r="H33" s="372">
        <v>14.32</v>
      </c>
      <c r="I33" s="372">
        <v>14.32</v>
      </c>
      <c r="J33" s="372">
        <v>14.3</v>
      </c>
      <c r="K33" s="374">
        <v>14.29</v>
      </c>
      <c r="L33" s="374">
        <v>14.24</v>
      </c>
      <c r="M33" s="374">
        <v>14.32</v>
      </c>
      <c r="N33" s="372">
        <v>14.31</v>
      </c>
      <c r="O33" s="372">
        <v>14.29</v>
      </c>
      <c r="P33" s="372">
        <v>14.24</v>
      </c>
      <c r="Q33" s="372">
        <v>14.27</v>
      </c>
      <c r="R33" s="372">
        <v>14.26</v>
      </c>
      <c r="S33" s="372">
        <v>14.28</v>
      </c>
      <c r="T33" s="372">
        <v>14.29</v>
      </c>
      <c r="U33" s="372">
        <v>14.28</v>
      </c>
      <c r="V33" s="372">
        <v>14.28</v>
      </c>
      <c r="W33" s="372">
        <v>14.25</v>
      </c>
      <c r="X33" s="372">
        <v>14.26</v>
      </c>
      <c r="Y33" s="372">
        <v>14.26</v>
      </c>
      <c r="Z33" s="372">
        <v>14.28</v>
      </c>
      <c r="AA33" s="372">
        <v>14.29</v>
      </c>
      <c r="AB33" s="372">
        <v>14.31</v>
      </c>
      <c r="AC33" s="372">
        <v>14.32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7">SUM(F33)</f>
        <v>14.28</v>
      </c>
      <c r="G34" s="19">
        <f t="shared" ref="G34:AC34" si="8">SUM(G33)</f>
        <v>14.31</v>
      </c>
      <c r="H34" s="19">
        <f t="shared" si="8"/>
        <v>14.32</v>
      </c>
      <c r="I34" s="19">
        <f t="shared" si="8"/>
        <v>14.32</v>
      </c>
      <c r="J34" s="19">
        <f>SUM(J33)</f>
        <v>14.3</v>
      </c>
      <c r="K34" s="19">
        <f t="shared" si="8"/>
        <v>14.29</v>
      </c>
      <c r="L34" s="19">
        <f t="shared" si="8"/>
        <v>14.24</v>
      </c>
      <c r="M34" s="19">
        <f t="shared" si="8"/>
        <v>14.32</v>
      </c>
      <c r="N34" s="19">
        <f t="shared" si="8"/>
        <v>14.31</v>
      </c>
      <c r="O34" s="19">
        <f t="shared" si="8"/>
        <v>14.29</v>
      </c>
      <c r="P34" s="19">
        <f t="shared" si="8"/>
        <v>14.24</v>
      </c>
      <c r="Q34" s="19">
        <f t="shared" si="8"/>
        <v>14.27</v>
      </c>
      <c r="R34" s="19">
        <f t="shared" si="8"/>
        <v>14.26</v>
      </c>
      <c r="S34" s="19">
        <f t="shared" si="8"/>
        <v>14.28</v>
      </c>
      <c r="T34" s="19">
        <f t="shared" si="8"/>
        <v>14.29</v>
      </c>
      <c r="U34" s="19">
        <f t="shared" si="8"/>
        <v>14.28</v>
      </c>
      <c r="V34" s="19">
        <f t="shared" si="8"/>
        <v>14.28</v>
      </c>
      <c r="W34" s="19">
        <f t="shared" si="8"/>
        <v>14.25</v>
      </c>
      <c r="X34" s="19">
        <f t="shared" si="8"/>
        <v>14.26</v>
      </c>
      <c r="Y34" s="19">
        <f t="shared" si="8"/>
        <v>14.26</v>
      </c>
      <c r="Z34" s="19">
        <f t="shared" si="8"/>
        <v>14.28</v>
      </c>
      <c r="AA34" s="19">
        <f t="shared" si="8"/>
        <v>14.29</v>
      </c>
      <c r="AB34" s="19">
        <f t="shared" si="8"/>
        <v>14.31</v>
      </c>
      <c r="AC34" s="19">
        <f t="shared" si="8"/>
        <v>14.32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55"/>
      <c r="G35" s="455"/>
      <c r="H35" s="455"/>
      <c r="I35" s="455"/>
      <c r="J35" s="455"/>
      <c r="K35" s="455"/>
      <c r="L35" s="455"/>
      <c r="M35" s="455"/>
      <c r="N35" s="455"/>
      <c r="O35" s="455"/>
      <c r="P35" s="455"/>
      <c r="Q35" s="455"/>
      <c r="R35" s="455"/>
      <c r="S35" s="455"/>
      <c r="T35" s="455"/>
      <c r="U35" s="455"/>
      <c r="V35" s="455"/>
      <c r="W35" s="456"/>
      <c r="X35" s="455"/>
      <c r="Y35" s="455"/>
      <c r="Z35" s="455"/>
      <c r="AA35" s="455"/>
      <c r="AB35" s="455"/>
      <c r="AC35" s="455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4.8</v>
      </c>
      <c r="AJ35" t="s">
        <v>35</v>
      </c>
    </row>
    <row r="36" spans="1:36">
      <c r="A36" s="70" t="s">
        <v>36</v>
      </c>
      <c r="B36" s="15"/>
      <c r="C36" s="15"/>
      <c r="D36" s="15"/>
      <c r="E36" s="15"/>
      <c r="F36" s="372"/>
      <c r="G36" s="372"/>
      <c r="H36" s="372"/>
      <c r="I36" s="372"/>
      <c r="J36" s="372"/>
      <c r="K36" s="374"/>
      <c r="L36" s="374"/>
      <c r="M36" s="374"/>
      <c r="N36" s="372"/>
      <c r="O36" s="372"/>
      <c r="P36" s="372"/>
      <c r="Q36" s="372"/>
      <c r="R36" s="372"/>
      <c r="S36" s="372"/>
      <c r="T36" s="372"/>
      <c r="U36" s="372"/>
      <c r="V36" s="372"/>
      <c r="W36" s="372"/>
      <c r="X36" s="372"/>
      <c r="Y36" s="372"/>
      <c r="Z36" s="372"/>
      <c r="AA36" s="372"/>
      <c r="AB36" s="372"/>
      <c r="AC36" s="372"/>
      <c r="AD36" s="41"/>
      <c r="AE36" s="41"/>
      <c r="AF36" s="11">
        <f t="shared" ref="AF36:AF59" si="9">COUNTIF(F36:AC36,$AJ$8)</f>
        <v>0</v>
      </c>
      <c r="AG36" s="11">
        <f t="shared" ref="AG36:AG59" si="10">COUNTIF(G36:AD36,$AJ$7)</f>
        <v>0</v>
      </c>
      <c r="AH36" s="11">
        <f t="shared" ref="AH36:AH59" si="11">COUNT(F36:AC36)</f>
        <v>0</v>
      </c>
      <c r="AI36" s="159">
        <f>SUM(F36:AC38,F40:AC40,F45:AC59)</f>
        <v>25.999999999999993</v>
      </c>
      <c r="AJ36" t="s">
        <v>37</v>
      </c>
    </row>
    <row r="37" spans="1:36">
      <c r="A37" s="70" t="s">
        <v>38</v>
      </c>
      <c r="B37" s="15"/>
      <c r="C37" s="15"/>
      <c r="D37" s="15"/>
      <c r="E37" s="15"/>
      <c r="F37" s="372"/>
      <c r="G37" s="372"/>
      <c r="H37" s="372"/>
      <c r="I37" s="372"/>
      <c r="J37" s="372"/>
      <c r="K37" s="374"/>
      <c r="L37" s="374"/>
      <c r="M37" s="374"/>
      <c r="N37" s="372"/>
      <c r="O37" s="372"/>
      <c r="P37" s="372"/>
      <c r="Q37" s="372"/>
      <c r="R37" s="372"/>
      <c r="S37" s="372"/>
      <c r="T37" s="372"/>
      <c r="U37" s="372"/>
      <c r="V37" s="372"/>
      <c r="W37" s="372"/>
      <c r="X37" s="372"/>
      <c r="Y37" s="372"/>
      <c r="Z37" s="372"/>
      <c r="AA37" s="372"/>
      <c r="AB37" s="372"/>
      <c r="AC37" s="372"/>
      <c r="AD37" s="41"/>
      <c r="AE37" s="41"/>
      <c r="AF37" s="11">
        <f t="shared" si="9"/>
        <v>0</v>
      </c>
      <c r="AG37" s="11">
        <f t="shared" si="10"/>
        <v>0</v>
      </c>
      <c r="AH37" s="11">
        <f t="shared" si="11"/>
        <v>0</v>
      </c>
    </row>
    <row r="38" spans="1:36">
      <c r="A38" s="70" t="s">
        <v>39</v>
      </c>
      <c r="B38" s="15"/>
      <c r="C38" s="15"/>
      <c r="D38" s="15"/>
      <c r="E38" s="15"/>
      <c r="F38" s="372"/>
      <c r="G38" s="372"/>
      <c r="H38" s="372"/>
      <c r="I38" s="372"/>
      <c r="J38" s="372"/>
      <c r="K38" s="374"/>
      <c r="L38" s="374"/>
      <c r="M38" s="374"/>
      <c r="N38" s="372"/>
      <c r="O38" s="372"/>
      <c r="P38" s="372"/>
      <c r="Q38" s="372"/>
      <c r="R38" s="372"/>
      <c r="S38" s="372"/>
      <c r="T38" s="372"/>
      <c r="U38" s="372"/>
      <c r="V38" s="372"/>
      <c r="W38" s="372"/>
      <c r="X38" s="372"/>
      <c r="Y38" s="372"/>
      <c r="Z38" s="372"/>
      <c r="AA38" s="372"/>
      <c r="AB38" s="372"/>
      <c r="AC38" s="372"/>
      <c r="AD38" s="41"/>
      <c r="AE38" s="41"/>
      <c r="AF38" s="11">
        <f t="shared" si="9"/>
        <v>0</v>
      </c>
      <c r="AG38" s="11">
        <f t="shared" si="10"/>
        <v>0</v>
      </c>
      <c r="AH38" s="11">
        <f t="shared" si="11"/>
        <v>0</v>
      </c>
    </row>
    <row r="39" spans="1:36">
      <c r="A39" s="70">
        <v>34</v>
      </c>
      <c r="B39" s="15"/>
      <c r="C39" s="15"/>
      <c r="D39" s="15"/>
      <c r="E39" s="15"/>
      <c r="F39" s="372" t="s">
        <v>9</v>
      </c>
      <c r="G39" s="372" t="s">
        <v>9</v>
      </c>
      <c r="H39" s="372" t="s">
        <v>9</v>
      </c>
      <c r="I39" s="372" t="s">
        <v>9</v>
      </c>
      <c r="J39" s="372" t="s">
        <v>9</v>
      </c>
      <c r="K39" s="374" t="s">
        <v>9</v>
      </c>
      <c r="L39" s="374" t="s">
        <v>9</v>
      </c>
      <c r="M39" s="374" t="s">
        <v>9</v>
      </c>
      <c r="N39" s="372" t="s">
        <v>9</v>
      </c>
      <c r="O39" s="372" t="s">
        <v>9</v>
      </c>
      <c r="P39" s="372" t="s">
        <v>9</v>
      </c>
      <c r="Q39" s="372" t="s">
        <v>9</v>
      </c>
      <c r="R39" s="372" t="s">
        <v>9</v>
      </c>
      <c r="S39" s="372" t="s">
        <v>9</v>
      </c>
      <c r="T39" s="372" t="s">
        <v>9</v>
      </c>
      <c r="U39" s="372" t="s">
        <v>9</v>
      </c>
      <c r="V39" s="372" t="s">
        <v>9</v>
      </c>
      <c r="W39" s="372" t="s">
        <v>9</v>
      </c>
      <c r="X39" s="372" t="s">
        <v>9</v>
      </c>
      <c r="Y39" s="372" t="s">
        <v>9</v>
      </c>
      <c r="Z39" s="372" t="s">
        <v>9</v>
      </c>
      <c r="AA39" s="372" t="s">
        <v>9</v>
      </c>
      <c r="AB39" s="372" t="s">
        <v>9</v>
      </c>
      <c r="AC39" s="372" t="s">
        <v>9</v>
      </c>
      <c r="AD39" s="41"/>
      <c r="AE39" s="41"/>
      <c r="AF39" s="11">
        <f t="shared" si="9"/>
        <v>24</v>
      </c>
      <c r="AG39" s="11">
        <f t="shared" si="10"/>
        <v>0</v>
      </c>
      <c r="AH39" s="11">
        <f t="shared" si="11"/>
        <v>0</v>
      </c>
    </row>
    <row r="40" spans="1:36">
      <c r="A40" s="70">
        <v>35</v>
      </c>
      <c r="B40" s="15"/>
      <c r="C40" s="15">
        <v>0.85</v>
      </c>
      <c r="D40" s="15"/>
      <c r="E40" s="15"/>
      <c r="F40" s="372"/>
      <c r="G40" s="372"/>
      <c r="H40" s="372"/>
      <c r="I40" s="372"/>
      <c r="J40" s="372"/>
      <c r="K40" s="374"/>
      <c r="L40" s="374"/>
      <c r="M40" s="374"/>
      <c r="N40" s="372"/>
      <c r="O40" s="372"/>
      <c r="P40" s="372"/>
      <c r="Q40" s="372"/>
      <c r="R40" s="372"/>
      <c r="S40" s="372"/>
      <c r="T40" s="372"/>
      <c r="U40" s="372"/>
      <c r="V40" s="372"/>
      <c r="W40" s="372"/>
      <c r="X40" s="372"/>
      <c r="Y40" s="372"/>
      <c r="Z40" s="372"/>
      <c r="AA40" s="372"/>
      <c r="AB40" s="372"/>
      <c r="AC40" s="372"/>
      <c r="AD40" s="41"/>
      <c r="AE40" s="41"/>
      <c r="AF40" s="11">
        <f t="shared" si="9"/>
        <v>0</v>
      </c>
      <c r="AG40" s="11">
        <f t="shared" si="10"/>
        <v>0</v>
      </c>
      <c r="AH40" s="11">
        <f t="shared" si="11"/>
        <v>0</v>
      </c>
    </row>
    <row r="41" spans="1:36">
      <c r="A41" s="70">
        <v>36</v>
      </c>
      <c r="B41" s="15"/>
      <c r="C41" s="15">
        <v>1</v>
      </c>
      <c r="D41" s="15"/>
      <c r="E41" s="15"/>
      <c r="F41" s="372" t="s">
        <v>9</v>
      </c>
      <c r="G41" s="372" t="s">
        <v>9</v>
      </c>
      <c r="H41" s="372" t="s">
        <v>9</v>
      </c>
      <c r="I41" s="372" t="s">
        <v>9</v>
      </c>
      <c r="J41" s="372" t="s">
        <v>9</v>
      </c>
      <c r="K41" s="374" t="s">
        <v>9</v>
      </c>
      <c r="L41" s="374" t="s">
        <v>9</v>
      </c>
      <c r="M41" s="374" t="s">
        <v>9</v>
      </c>
      <c r="N41" s="372" t="s">
        <v>9</v>
      </c>
      <c r="O41" s="372" t="s">
        <v>9</v>
      </c>
      <c r="P41" s="372" t="s">
        <v>9</v>
      </c>
      <c r="Q41" s="372" t="s">
        <v>9</v>
      </c>
      <c r="R41" s="372" t="s">
        <v>9</v>
      </c>
      <c r="S41" s="372" t="s">
        <v>9</v>
      </c>
      <c r="T41" s="372" t="s">
        <v>9</v>
      </c>
      <c r="U41" s="372" t="s">
        <v>9</v>
      </c>
      <c r="V41" s="372" t="s">
        <v>9</v>
      </c>
      <c r="W41" s="372" t="s">
        <v>9</v>
      </c>
      <c r="X41" s="372" t="s">
        <v>9</v>
      </c>
      <c r="Y41" s="372" t="s">
        <v>9</v>
      </c>
      <c r="Z41" s="372" t="s">
        <v>9</v>
      </c>
      <c r="AA41" s="372" t="s">
        <v>9</v>
      </c>
      <c r="AB41" s="372" t="s">
        <v>9</v>
      </c>
      <c r="AC41" s="372" t="s">
        <v>9</v>
      </c>
      <c r="AD41" s="41"/>
      <c r="AE41" s="41"/>
      <c r="AF41" s="11">
        <f t="shared" si="9"/>
        <v>24</v>
      </c>
      <c r="AG41" s="11">
        <f t="shared" si="10"/>
        <v>0</v>
      </c>
      <c r="AH41" s="11">
        <f t="shared" si="11"/>
        <v>0</v>
      </c>
    </row>
    <row r="42" spans="1:36">
      <c r="A42" s="70">
        <v>37</v>
      </c>
      <c r="B42" s="15"/>
      <c r="C42" s="15">
        <v>1</v>
      </c>
      <c r="D42" s="15"/>
      <c r="E42" s="15"/>
      <c r="F42" s="372" t="s">
        <v>9</v>
      </c>
      <c r="G42" s="372" t="s">
        <v>9</v>
      </c>
      <c r="H42" s="372" t="s">
        <v>9</v>
      </c>
      <c r="I42" s="372" t="s">
        <v>9</v>
      </c>
      <c r="J42" s="372" t="s">
        <v>9</v>
      </c>
      <c r="K42" s="372" t="s">
        <v>9</v>
      </c>
      <c r="L42" s="372" t="s">
        <v>9</v>
      </c>
      <c r="M42" s="372" t="s">
        <v>9</v>
      </c>
      <c r="N42" s="372" t="s">
        <v>9</v>
      </c>
      <c r="O42" s="372" t="s">
        <v>9</v>
      </c>
      <c r="P42" s="372" t="s">
        <v>9</v>
      </c>
      <c r="Q42" s="372" t="s">
        <v>9</v>
      </c>
      <c r="R42" s="372" t="s">
        <v>9</v>
      </c>
      <c r="S42" s="372" t="s">
        <v>9</v>
      </c>
      <c r="T42" s="372" t="s">
        <v>9</v>
      </c>
      <c r="U42" s="372" t="s">
        <v>9</v>
      </c>
      <c r="V42" s="372" t="s">
        <v>9</v>
      </c>
      <c r="W42" s="372" t="s">
        <v>9</v>
      </c>
      <c r="X42" s="372" t="s">
        <v>9</v>
      </c>
      <c r="Y42" s="372" t="s">
        <v>9</v>
      </c>
      <c r="Z42" s="372" t="s">
        <v>9</v>
      </c>
      <c r="AA42" s="372" t="s">
        <v>9</v>
      </c>
      <c r="AB42" s="372" t="s">
        <v>9</v>
      </c>
      <c r="AC42" s="372" t="s">
        <v>9</v>
      </c>
      <c r="AD42" s="41"/>
      <c r="AE42" s="41"/>
      <c r="AF42" s="11">
        <f t="shared" si="9"/>
        <v>24</v>
      </c>
      <c r="AG42" s="11">
        <f t="shared" si="10"/>
        <v>0</v>
      </c>
      <c r="AH42" s="11">
        <f t="shared" si="11"/>
        <v>0</v>
      </c>
    </row>
    <row r="43" spans="1:36">
      <c r="A43" s="70">
        <v>38</v>
      </c>
      <c r="B43" s="15"/>
      <c r="C43" s="15"/>
      <c r="D43" s="15"/>
      <c r="E43" s="15"/>
      <c r="F43" s="372" t="s">
        <v>9</v>
      </c>
      <c r="G43" s="372" t="s">
        <v>9</v>
      </c>
      <c r="H43" s="372" t="s">
        <v>9</v>
      </c>
      <c r="I43" s="372" t="s">
        <v>9</v>
      </c>
      <c r="J43" s="372" t="s">
        <v>9</v>
      </c>
      <c r="K43" s="374" t="s">
        <v>9</v>
      </c>
      <c r="L43" s="374" t="s">
        <v>9</v>
      </c>
      <c r="M43" s="374" t="s">
        <v>9</v>
      </c>
      <c r="N43" s="372" t="s">
        <v>9</v>
      </c>
      <c r="O43" s="372" t="s">
        <v>9</v>
      </c>
      <c r="P43" s="372" t="s">
        <v>9</v>
      </c>
      <c r="Q43" s="372" t="s">
        <v>9</v>
      </c>
      <c r="R43" s="372" t="s">
        <v>9</v>
      </c>
      <c r="S43" s="372" t="s">
        <v>9</v>
      </c>
      <c r="T43" s="372" t="s">
        <v>9</v>
      </c>
      <c r="U43" s="372" t="s">
        <v>9</v>
      </c>
      <c r="V43" s="372" t="s">
        <v>9</v>
      </c>
      <c r="W43" s="372" t="s">
        <v>9</v>
      </c>
      <c r="X43" s="372" t="s">
        <v>9</v>
      </c>
      <c r="Y43" s="372" t="s">
        <v>9</v>
      </c>
      <c r="Z43" s="372" t="s">
        <v>9</v>
      </c>
      <c r="AA43" s="372" t="s">
        <v>9</v>
      </c>
      <c r="AB43" s="372" t="s">
        <v>9</v>
      </c>
      <c r="AC43" s="372" t="s">
        <v>9</v>
      </c>
      <c r="AD43" s="41"/>
      <c r="AE43" s="41"/>
      <c r="AF43" s="11">
        <f t="shared" si="9"/>
        <v>24</v>
      </c>
      <c r="AG43" s="11">
        <f t="shared" si="10"/>
        <v>0</v>
      </c>
      <c r="AH43" s="11">
        <f t="shared" si="11"/>
        <v>0</v>
      </c>
    </row>
    <row r="44" spans="1:36" ht="16.5" customHeight="1">
      <c r="A44" s="70">
        <v>39</v>
      </c>
      <c r="B44" s="15"/>
      <c r="C44" s="15">
        <v>1</v>
      </c>
      <c r="D44" s="15"/>
      <c r="E44" s="15"/>
      <c r="F44" s="372" t="s">
        <v>9</v>
      </c>
      <c r="G44" s="372" t="s">
        <v>9</v>
      </c>
      <c r="H44" s="372" t="s">
        <v>9</v>
      </c>
      <c r="I44" s="372" t="s">
        <v>9</v>
      </c>
      <c r="J44" s="372" t="s">
        <v>9</v>
      </c>
      <c r="K44" s="374" t="s">
        <v>9</v>
      </c>
      <c r="L44" s="374" t="s">
        <v>9</v>
      </c>
      <c r="M44" s="374" t="s">
        <v>9</v>
      </c>
      <c r="N44" s="372" t="s">
        <v>9</v>
      </c>
      <c r="O44" s="372" t="s">
        <v>9</v>
      </c>
      <c r="P44" s="372" t="s">
        <v>9</v>
      </c>
      <c r="Q44" s="372" t="s">
        <v>9</v>
      </c>
      <c r="R44" s="372" t="s">
        <v>9</v>
      </c>
      <c r="S44" s="372" t="s">
        <v>9</v>
      </c>
      <c r="T44" s="372" t="s">
        <v>9</v>
      </c>
      <c r="U44" s="372">
        <v>0.9</v>
      </c>
      <c r="V44" s="372">
        <v>0.8</v>
      </c>
      <c r="W44" s="372">
        <v>0.8</v>
      </c>
      <c r="X44" s="372">
        <v>0.8</v>
      </c>
      <c r="Y44" s="372">
        <v>0.7</v>
      </c>
      <c r="Z44" s="372">
        <v>0.8</v>
      </c>
      <c r="AA44" s="372" t="s">
        <v>9</v>
      </c>
      <c r="AB44" s="372" t="s">
        <v>9</v>
      </c>
      <c r="AC44" s="372" t="s">
        <v>9</v>
      </c>
      <c r="AD44" s="41"/>
      <c r="AE44" s="41"/>
      <c r="AF44" s="11">
        <f t="shared" si="9"/>
        <v>18</v>
      </c>
      <c r="AG44" s="11">
        <f t="shared" si="10"/>
        <v>0</v>
      </c>
      <c r="AH44" s="11">
        <f t="shared" si="11"/>
        <v>6</v>
      </c>
    </row>
    <row r="45" spans="1:36" ht="16.5" customHeight="1">
      <c r="A45" s="70" t="s">
        <v>40</v>
      </c>
      <c r="B45" s="15"/>
      <c r="C45" s="15">
        <v>0.85</v>
      </c>
      <c r="D45" s="15"/>
      <c r="E45" s="15"/>
      <c r="F45" s="372"/>
      <c r="G45" s="372"/>
      <c r="H45" s="372"/>
      <c r="I45" s="372"/>
      <c r="J45" s="372"/>
      <c r="K45" s="374"/>
      <c r="L45" s="374"/>
      <c r="M45" s="374"/>
      <c r="N45" s="372"/>
      <c r="O45" s="372"/>
      <c r="P45" s="372"/>
      <c r="Q45" s="372"/>
      <c r="R45" s="372"/>
      <c r="S45" s="372"/>
      <c r="T45" s="372"/>
      <c r="U45" s="372"/>
      <c r="V45" s="372"/>
      <c r="W45" s="372"/>
      <c r="X45" s="372"/>
      <c r="Y45" s="372"/>
      <c r="Z45" s="372"/>
      <c r="AA45" s="372"/>
      <c r="AB45" s="372"/>
      <c r="AC45" s="372"/>
      <c r="AD45" s="41"/>
      <c r="AE45" s="41"/>
      <c r="AF45" s="11">
        <f t="shared" si="9"/>
        <v>0</v>
      </c>
      <c r="AG45" s="11">
        <f t="shared" si="10"/>
        <v>0</v>
      </c>
      <c r="AH45" s="11">
        <f t="shared" si="11"/>
        <v>0</v>
      </c>
      <c r="AI45" s="159"/>
    </row>
    <row r="46" spans="1:36">
      <c r="A46" s="70" t="s">
        <v>41</v>
      </c>
      <c r="B46" s="15"/>
      <c r="C46" s="15">
        <v>0.75</v>
      </c>
      <c r="D46" s="15"/>
      <c r="E46" s="15"/>
      <c r="F46" s="372"/>
      <c r="G46" s="372"/>
      <c r="H46" s="372"/>
      <c r="I46" s="372"/>
      <c r="J46" s="372"/>
      <c r="K46" s="374"/>
      <c r="L46" s="374"/>
      <c r="M46" s="374"/>
      <c r="N46" s="372"/>
      <c r="O46" s="372"/>
      <c r="P46" s="372"/>
      <c r="Q46" s="372"/>
      <c r="R46" s="372"/>
      <c r="S46" s="372"/>
      <c r="T46" s="372"/>
      <c r="U46" s="372"/>
      <c r="V46" s="372"/>
      <c r="W46" s="372"/>
      <c r="X46" s="372"/>
      <c r="Y46" s="372"/>
      <c r="Z46" s="372"/>
      <c r="AA46" s="372"/>
      <c r="AB46" s="372"/>
      <c r="AC46" s="372"/>
      <c r="AD46" s="41"/>
      <c r="AE46" s="41"/>
      <c r="AF46" s="11">
        <f t="shared" si="9"/>
        <v>0</v>
      </c>
      <c r="AG46" s="11">
        <f t="shared" si="10"/>
        <v>0</v>
      </c>
      <c r="AH46" s="11">
        <f t="shared" si="11"/>
        <v>0</v>
      </c>
      <c r="AI46" s="159"/>
    </row>
    <row r="47" spans="1:36">
      <c r="A47" s="70" t="s">
        <v>42</v>
      </c>
      <c r="B47" s="15"/>
      <c r="C47" s="15">
        <v>0.75</v>
      </c>
      <c r="D47" s="15"/>
      <c r="E47" s="15"/>
      <c r="F47" s="372"/>
      <c r="G47" s="372"/>
      <c r="H47" s="372"/>
      <c r="I47" s="372"/>
      <c r="J47" s="372"/>
      <c r="K47" s="374"/>
      <c r="L47" s="374">
        <v>0.7</v>
      </c>
      <c r="M47" s="374">
        <v>0</v>
      </c>
      <c r="N47" s="374">
        <v>0.75</v>
      </c>
      <c r="O47" s="372">
        <v>0.75</v>
      </c>
      <c r="P47" s="372">
        <v>0</v>
      </c>
      <c r="Q47" s="372">
        <v>0</v>
      </c>
      <c r="R47" s="372">
        <v>0.7</v>
      </c>
      <c r="S47" s="372">
        <v>0.7</v>
      </c>
      <c r="T47" s="372">
        <v>0.7</v>
      </c>
      <c r="U47" s="372">
        <v>0.7</v>
      </c>
      <c r="V47" s="372"/>
      <c r="W47" s="372"/>
      <c r="X47" s="372"/>
      <c r="Y47" s="372"/>
      <c r="Z47" s="372"/>
      <c r="AA47" s="372"/>
      <c r="AB47" s="372"/>
      <c r="AC47" s="372"/>
      <c r="AD47" s="41"/>
      <c r="AE47" s="41"/>
      <c r="AF47" s="11">
        <f t="shared" si="9"/>
        <v>0</v>
      </c>
      <c r="AG47" s="11">
        <f t="shared" si="10"/>
        <v>0</v>
      </c>
      <c r="AH47" s="11">
        <f t="shared" si="11"/>
        <v>10</v>
      </c>
    </row>
    <row r="48" spans="1:36">
      <c r="A48" s="70" t="s">
        <v>43</v>
      </c>
      <c r="B48" s="15"/>
      <c r="C48" s="15">
        <v>0.75</v>
      </c>
      <c r="D48" s="15"/>
      <c r="E48" s="15"/>
      <c r="F48" s="372"/>
      <c r="G48" s="372"/>
      <c r="H48" s="372"/>
      <c r="I48" s="372"/>
      <c r="J48" s="372"/>
      <c r="K48" s="374"/>
      <c r="L48" s="374"/>
      <c r="M48" s="374"/>
      <c r="N48" s="372"/>
      <c r="O48" s="372"/>
      <c r="P48" s="372"/>
      <c r="Q48" s="372"/>
      <c r="R48" s="372"/>
      <c r="S48" s="372"/>
      <c r="T48" s="372"/>
      <c r="U48" s="372"/>
      <c r="V48" s="372"/>
      <c r="W48" s="372"/>
      <c r="X48" s="372"/>
      <c r="Y48" s="372"/>
      <c r="Z48" s="372"/>
      <c r="AA48" s="372"/>
      <c r="AB48" s="372"/>
      <c r="AC48" s="372"/>
      <c r="AD48" s="41"/>
      <c r="AE48" s="41"/>
      <c r="AF48" s="11">
        <f t="shared" si="9"/>
        <v>0</v>
      </c>
      <c r="AG48" s="11">
        <f t="shared" si="10"/>
        <v>0</v>
      </c>
      <c r="AH48" s="11">
        <f t="shared" si="11"/>
        <v>0</v>
      </c>
    </row>
    <row r="49" spans="1:124" ht="15" customHeight="1">
      <c r="A49" s="70" t="s">
        <v>44</v>
      </c>
      <c r="B49" s="15"/>
      <c r="C49" s="15">
        <v>0.75</v>
      </c>
      <c r="D49" s="15"/>
      <c r="E49" s="15"/>
      <c r="F49" s="372"/>
      <c r="G49" s="372"/>
      <c r="H49" s="372"/>
      <c r="I49" s="372"/>
      <c r="J49" s="372"/>
      <c r="K49" s="374"/>
      <c r="L49" s="374"/>
      <c r="M49" s="374"/>
      <c r="N49" s="372"/>
      <c r="O49" s="372"/>
      <c r="P49" s="372"/>
      <c r="Q49" s="372"/>
      <c r="R49" s="372"/>
      <c r="S49" s="372"/>
      <c r="T49" s="372"/>
      <c r="U49" s="372"/>
      <c r="V49" s="372"/>
      <c r="W49" s="372"/>
      <c r="X49" s="372"/>
      <c r="Y49" s="372"/>
      <c r="Z49" s="372"/>
      <c r="AA49" s="372"/>
      <c r="AB49" s="372"/>
      <c r="AC49" s="372"/>
      <c r="AD49" s="41"/>
      <c r="AE49" s="41"/>
      <c r="AF49" s="11">
        <f t="shared" si="9"/>
        <v>0</v>
      </c>
      <c r="AG49" s="11">
        <f t="shared" si="10"/>
        <v>0</v>
      </c>
      <c r="AH49" s="11">
        <f t="shared" si="11"/>
        <v>0</v>
      </c>
    </row>
    <row r="50" spans="1:124" ht="17.25" customHeight="1">
      <c r="A50" s="70" t="s">
        <v>45</v>
      </c>
      <c r="B50" s="15"/>
      <c r="C50" s="15">
        <v>0.75</v>
      </c>
      <c r="D50" s="15"/>
      <c r="E50" s="15"/>
      <c r="F50" s="372"/>
      <c r="G50" s="372"/>
      <c r="H50" s="372"/>
      <c r="I50" s="372"/>
      <c r="J50" s="372"/>
      <c r="K50" s="374"/>
      <c r="L50" s="374"/>
      <c r="M50" s="374"/>
      <c r="N50" s="374">
        <v>0.75</v>
      </c>
      <c r="O50" s="372">
        <v>0</v>
      </c>
      <c r="P50" s="372">
        <v>0.6</v>
      </c>
      <c r="Q50" s="372">
        <v>0</v>
      </c>
      <c r="R50" s="372">
        <v>0.7</v>
      </c>
      <c r="S50" s="372">
        <v>0.7</v>
      </c>
      <c r="T50" s="372">
        <v>0.7</v>
      </c>
      <c r="U50" s="372">
        <v>0.7</v>
      </c>
      <c r="V50" s="372"/>
      <c r="W50" s="372"/>
      <c r="X50" s="372"/>
      <c r="Y50" s="372"/>
      <c r="Z50" s="372"/>
      <c r="AA50" s="372"/>
      <c r="AB50" s="372"/>
      <c r="AC50" s="372">
        <v>0</v>
      </c>
      <c r="AD50" s="41"/>
      <c r="AE50" s="41"/>
      <c r="AF50" s="11">
        <f t="shared" si="9"/>
        <v>0</v>
      </c>
      <c r="AG50" s="11">
        <f t="shared" si="10"/>
        <v>0</v>
      </c>
      <c r="AH50" s="11">
        <f t="shared" si="11"/>
        <v>9</v>
      </c>
    </row>
    <row r="51" spans="1:124">
      <c r="A51" s="70" t="s">
        <v>46</v>
      </c>
      <c r="B51" s="15"/>
      <c r="C51" s="15">
        <v>0.85</v>
      </c>
      <c r="D51" s="15"/>
      <c r="E51" s="15"/>
      <c r="F51" s="372"/>
      <c r="G51" s="372"/>
      <c r="H51" s="372"/>
      <c r="I51" s="372"/>
      <c r="J51" s="372"/>
      <c r="K51" s="374"/>
      <c r="L51" s="374"/>
      <c r="M51" s="374"/>
      <c r="N51" s="374">
        <v>0.75</v>
      </c>
      <c r="O51" s="372">
        <v>0.75</v>
      </c>
      <c r="P51" s="372">
        <v>0</v>
      </c>
      <c r="Q51" s="372">
        <v>0</v>
      </c>
      <c r="R51" s="372">
        <v>0.7</v>
      </c>
      <c r="S51" s="372">
        <v>0.7</v>
      </c>
      <c r="T51" s="372">
        <v>0.7</v>
      </c>
      <c r="U51" s="372">
        <v>0.7</v>
      </c>
      <c r="V51" s="372">
        <v>0.7</v>
      </c>
      <c r="W51" s="372">
        <v>0.7</v>
      </c>
      <c r="X51" s="372"/>
      <c r="Y51" s="372"/>
      <c r="Z51" s="372"/>
      <c r="AA51" s="372"/>
      <c r="AB51" s="372"/>
      <c r="AC51" s="372"/>
      <c r="AD51" s="41"/>
      <c r="AE51" s="41"/>
      <c r="AF51" s="11">
        <f t="shared" si="9"/>
        <v>0</v>
      </c>
      <c r="AG51" s="11">
        <f t="shared" si="10"/>
        <v>0</v>
      </c>
      <c r="AH51" s="11">
        <f t="shared" si="11"/>
        <v>10</v>
      </c>
    </row>
    <row r="52" spans="1:124">
      <c r="A52" s="70" t="s">
        <v>47</v>
      </c>
      <c r="B52" s="15"/>
      <c r="C52" s="15">
        <v>0.85</v>
      </c>
      <c r="D52" s="15"/>
      <c r="E52" s="15"/>
      <c r="F52" s="372" t="s">
        <v>9</v>
      </c>
      <c r="G52" s="372" t="s">
        <v>9</v>
      </c>
      <c r="H52" s="372" t="s">
        <v>9</v>
      </c>
      <c r="I52" s="372" t="s">
        <v>9</v>
      </c>
      <c r="J52" s="372" t="s">
        <v>9</v>
      </c>
      <c r="K52" s="374" t="s">
        <v>9</v>
      </c>
      <c r="L52" s="374" t="s">
        <v>9</v>
      </c>
      <c r="M52" s="374" t="s">
        <v>9</v>
      </c>
      <c r="N52" s="372" t="s">
        <v>9</v>
      </c>
      <c r="O52" s="372" t="s">
        <v>9</v>
      </c>
      <c r="P52" s="372" t="s">
        <v>9</v>
      </c>
      <c r="Q52" s="372" t="s">
        <v>9</v>
      </c>
      <c r="R52" s="372" t="s">
        <v>9</v>
      </c>
      <c r="S52" s="372" t="s">
        <v>9</v>
      </c>
      <c r="T52" s="372" t="s">
        <v>9</v>
      </c>
      <c r="U52" s="372" t="s">
        <v>9</v>
      </c>
      <c r="V52" s="372" t="s">
        <v>9</v>
      </c>
      <c r="W52" s="372" t="s">
        <v>9</v>
      </c>
      <c r="X52" s="372" t="s">
        <v>9</v>
      </c>
      <c r="Y52" s="372" t="s">
        <v>9</v>
      </c>
      <c r="Z52" s="372" t="s">
        <v>9</v>
      </c>
      <c r="AA52" s="372" t="s">
        <v>9</v>
      </c>
      <c r="AB52" s="372" t="s">
        <v>9</v>
      </c>
      <c r="AC52" s="372" t="s">
        <v>9</v>
      </c>
      <c r="AD52" s="41"/>
      <c r="AE52" s="41"/>
      <c r="AF52" s="11">
        <f t="shared" si="9"/>
        <v>24</v>
      </c>
      <c r="AG52" s="11">
        <f t="shared" si="10"/>
        <v>0</v>
      </c>
      <c r="AH52" s="11">
        <f t="shared" si="11"/>
        <v>0</v>
      </c>
    </row>
    <row r="53" spans="1:124">
      <c r="A53" s="70" t="s">
        <v>48</v>
      </c>
      <c r="B53" s="15"/>
      <c r="C53" s="15">
        <v>0.85</v>
      </c>
      <c r="D53" s="15"/>
      <c r="E53" s="15"/>
      <c r="F53" s="372"/>
      <c r="G53" s="372"/>
      <c r="H53" s="372"/>
      <c r="I53" s="372"/>
      <c r="J53" s="372"/>
      <c r="K53" s="374"/>
      <c r="L53" s="374"/>
      <c r="M53" s="374"/>
      <c r="N53" s="372"/>
      <c r="O53" s="372"/>
      <c r="P53" s="372"/>
      <c r="Q53" s="372"/>
      <c r="R53" s="372"/>
      <c r="S53" s="372"/>
      <c r="T53" s="372"/>
      <c r="U53" s="372"/>
      <c r="V53" s="372"/>
      <c r="W53" s="372"/>
      <c r="X53" s="372"/>
      <c r="Y53" s="372"/>
      <c r="Z53" s="372"/>
      <c r="AA53" s="372"/>
      <c r="AB53" s="372"/>
      <c r="AC53" s="372"/>
      <c r="AD53" s="41"/>
      <c r="AE53" s="41"/>
      <c r="AF53" s="11">
        <f t="shared" si="9"/>
        <v>0</v>
      </c>
      <c r="AG53" s="11">
        <f t="shared" si="10"/>
        <v>0</v>
      </c>
      <c r="AH53" s="11">
        <f t="shared" si="11"/>
        <v>0</v>
      </c>
    </row>
    <row r="54" spans="1:124" ht="16.5" customHeight="1">
      <c r="A54" s="70" t="s">
        <v>49</v>
      </c>
      <c r="B54" s="15"/>
      <c r="C54" s="15">
        <v>0.85</v>
      </c>
      <c r="D54" s="15"/>
      <c r="E54" s="15"/>
      <c r="F54" s="372"/>
      <c r="G54" s="372"/>
      <c r="H54" s="372"/>
      <c r="I54" s="372"/>
      <c r="J54" s="372"/>
      <c r="K54" s="374"/>
      <c r="L54" s="374"/>
      <c r="M54" s="374"/>
      <c r="N54" s="374">
        <v>0.75</v>
      </c>
      <c r="O54" s="372">
        <v>0.75</v>
      </c>
      <c r="P54" s="372">
        <v>0</v>
      </c>
      <c r="Q54" s="372">
        <v>0</v>
      </c>
      <c r="R54" s="372">
        <v>0.7</v>
      </c>
      <c r="S54" s="372">
        <v>0.7</v>
      </c>
      <c r="T54" s="372">
        <v>0.7</v>
      </c>
      <c r="U54" s="372">
        <v>0.7</v>
      </c>
      <c r="V54" s="372">
        <v>0.7</v>
      </c>
      <c r="W54" s="372">
        <v>0.8</v>
      </c>
      <c r="X54" s="372"/>
      <c r="Y54" s="372"/>
      <c r="Z54" s="372"/>
      <c r="AA54" s="372"/>
      <c r="AB54" s="372"/>
      <c r="AC54" s="372"/>
      <c r="AD54" s="41"/>
      <c r="AE54" s="41"/>
      <c r="AF54" s="11">
        <f t="shared" si="9"/>
        <v>0</v>
      </c>
      <c r="AG54" s="11">
        <f t="shared" si="10"/>
        <v>0</v>
      </c>
      <c r="AH54" s="11">
        <f t="shared" si="11"/>
        <v>10</v>
      </c>
    </row>
    <row r="55" spans="1:124">
      <c r="A55" s="70" t="s">
        <v>50</v>
      </c>
      <c r="B55" s="15"/>
      <c r="C55" s="15">
        <v>0.85</v>
      </c>
      <c r="D55" s="15"/>
      <c r="E55" s="15"/>
      <c r="F55" s="372"/>
      <c r="G55" s="372"/>
      <c r="H55" s="372"/>
      <c r="I55" s="372"/>
      <c r="J55" s="372"/>
      <c r="K55" s="374"/>
      <c r="L55" s="374"/>
      <c r="M55" s="374"/>
      <c r="N55" s="372"/>
      <c r="O55" s="372"/>
      <c r="P55" s="372"/>
      <c r="Q55" s="372"/>
      <c r="R55" s="372"/>
      <c r="S55" s="372"/>
      <c r="T55" s="372"/>
      <c r="U55" s="372"/>
      <c r="V55" s="372"/>
      <c r="W55" s="372"/>
      <c r="X55" s="372"/>
      <c r="Y55" s="372"/>
      <c r="Z55" s="372"/>
      <c r="AA55" s="372"/>
      <c r="AB55" s="372"/>
      <c r="AC55" s="372"/>
      <c r="AD55" s="41"/>
      <c r="AE55" s="41"/>
      <c r="AF55" s="11">
        <f>COUNTIF(F55:AC55,$AJ$8)</f>
        <v>0</v>
      </c>
      <c r="AG55" s="11">
        <f t="shared" si="10"/>
        <v>0</v>
      </c>
      <c r="AH55" s="11">
        <f>COUNT(F55:AC55)</f>
        <v>0</v>
      </c>
    </row>
    <row r="56" spans="1:124">
      <c r="A56" s="70" t="s">
        <v>51</v>
      </c>
      <c r="B56" s="15"/>
      <c r="C56" s="15">
        <v>0.75</v>
      </c>
      <c r="D56" s="15"/>
      <c r="E56" s="15"/>
      <c r="F56" s="372"/>
      <c r="G56" s="372"/>
      <c r="H56" s="372"/>
      <c r="I56" s="372"/>
      <c r="J56" s="372"/>
      <c r="K56" s="374"/>
      <c r="L56" s="374"/>
      <c r="M56" s="374"/>
      <c r="N56" s="374">
        <v>0.8</v>
      </c>
      <c r="O56" s="372">
        <v>0.75</v>
      </c>
      <c r="P56" s="372">
        <v>0</v>
      </c>
      <c r="Q56" s="372">
        <v>0</v>
      </c>
      <c r="R56" s="372">
        <v>0.8</v>
      </c>
      <c r="S56" s="372">
        <v>0.8</v>
      </c>
      <c r="T56" s="372">
        <v>0.8</v>
      </c>
      <c r="U56" s="372">
        <v>0.7</v>
      </c>
      <c r="V56" s="372">
        <v>0.7</v>
      </c>
      <c r="W56" s="372"/>
      <c r="X56" s="372"/>
      <c r="Y56" s="372"/>
      <c r="Z56" s="372"/>
      <c r="AA56" s="372"/>
      <c r="AB56" s="372"/>
      <c r="AC56" s="372">
        <v>0</v>
      </c>
      <c r="AD56" s="41"/>
      <c r="AE56" s="41"/>
      <c r="AF56" s="11">
        <f t="shared" si="9"/>
        <v>0</v>
      </c>
      <c r="AG56" s="11">
        <f t="shared" si="10"/>
        <v>0</v>
      </c>
      <c r="AH56" s="11">
        <f t="shared" si="11"/>
        <v>10</v>
      </c>
    </row>
    <row r="57" spans="1:124">
      <c r="A57" s="70" t="s">
        <v>52</v>
      </c>
      <c r="B57" s="15"/>
      <c r="C57" s="15">
        <v>0.75</v>
      </c>
      <c r="D57" s="15"/>
      <c r="E57" s="15"/>
      <c r="F57" s="372"/>
      <c r="G57" s="372"/>
      <c r="H57" s="372"/>
      <c r="I57" s="372"/>
      <c r="J57" s="372"/>
      <c r="K57" s="374"/>
      <c r="L57" s="374"/>
      <c r="M57" s="374"/>
      <c r="N57" s="372"/>
      <c r="O57" s="372"/>
      <c r="P57" s="372"/>
      <c r="Q57" s="372"/>
      <c r="R57" s="372"/>
      <c r="S57" s="372"/>
      <c r="T57" s="372"/>
      <c r="U57" s="372"/>
      <c r="V57" s="372"/>
      <c r="W57" s="372"/>
      <c r="X57" s="372"/>
      <c r="Y57" s="372"/>
      <c r="Z57" s="372"/>
      <c r="AA57" s="372"/>
      <c r="AB57" s="372"/>
      <c r="AC57" s="372"/>
      <c r="AD57" s="41"/>
      <c r="AE57" s="41"/>
      <c r="AF57" s="11">
        <f t="shared" si="9"/>
        <v>0</v>
      </c>
      <c r="AG57" s="11">
        <f t="shared" si="10"/>
        <v>0</v>
      </c>
      <c r="AH57" s="11">
        <f t="shared" si="11"/>
        <v>0</v>
      </c>
    </row>
    <row r="58" spans="1:124">
      <c r="A58" s="70" t="s">
        <v>53</v>
      </c>
      <c r="B58" s="15"/>
      <c r="C58" s="15">
        <v>0.85</v>
      </c>
      <c r="D58" s="15"/>
      <c r="E58" s="15"/>
      <c r="F58" s="372"/>
      <c r="G58" s="372"/>
      <c r="H58" s="372"/>
      <c r="I58" s="372"/>
      <c r="J58" s="372"/>
      <c r="K58" s="374"/>
      <c r="L58" s="374"/>
      <c r="M58" s="374"/>
      <c r="N58" s="372"/>
      <c r="O58" s="372"/>
      <c r="P58" s="372"/>
      <c r="Q58" s="372"/>
      <c r="R58" s="372"/>
      <c r="S58" s="372"/>
      <c r="T58" s="372"/>
      <c r="U58" s="372"/>
      <c r="V58" s="372"/>
      <c r="W58" s="372"/>
      <c r="X58" s="372"/>
      <c r="Y58" s="372"/>
      <c r="Z58" s="372"/>
      <c r="AA58" s="372"/>
      <c r="AB58" s="372"/>
      <c r="AC58" s="372"/>
      <c r="AD58" s="41"/>
      <c r="AE58" s="41"/>
      <c r="AF58" s="11">
        <f t="shared" si="9"/>
        <v>0</v>
      </c>
      <c r="AG58" s="11">
        <f t="shared" si="10"/>
        <v>0</v>
      </c>
      <c r="AH58" s="11">
        <f t="shared" si="11"/>
        <v>0</v>
      </c>
    </row>
    <row r="59" spans="1:124">
      <c r="A59" s="70" t="s">
        <v>54</v>
      </c>
      <c r="B59" s="15"/>
      <c r="C59" s="15">
        <v>0.85</v>
      </c>
      <c r="D59" s="15"/>
      <c r="E59" s="15"/>
      <c r="F59" s="372"/>
      <c r="G59" s="372"/>
      <c r="H59" s="372"/>
      <c r="I59" s="372"/>
      <c r="J59" s="372"/>
      <c r="K59" s="374"/>
      <c r="L59" s="374"/>
      <c r="M59" s="374"/>
      <c r="N59" s="372"/>
      <c r="O59" s="372"/>
      <c r="P59" s="372"/>
      <c r="Q59" s="372"/>
      <c r="R59" s="372"/>
      <c r="S59" s="372"/>
      <c r="T59" s="372"/>
      <c r="U59" s="372"/>
      <c r="V59" s="372"/>
      <c r="W59" s="372"/>
      <c r="X59" s="372"/>
      <c r="Y59" s="372"/>
      <c r="Z59" s="372"/>
      <c r="AA59" s="372"/>
      <c r="AB59" s="372"/>
      <c r="AC59" s="372"/>
      <c r="AD59" s="41"/>
      <c r="AE59" s="41"/>
      <c r="AF59" s="11">
        <f t="shared" si="9"/>
        <v>0</v>
      </c>
      <c r="AG59" s="11">
        <f t="shared" si="10"/>
        <v>0</v>
      </c>
      <c r="AH59" s="11">
        <f t="shared" si="11"/>
        <v>0</v>
      </c>
    </row>
    <row r="60" spans="1:124">
      <c r="A60" s="9" t="s">
        <v>26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 t="shared" ref="F60:AC60" si="12">SUM(F36:F59)</f>
        <v>0</v>
      </c>
      <c r="G60" s="19">
        <f t="shared" si="12"/>
        <v>0</v>
      </c>
      <c r="H60" s="19">
        <f t="shared" si="12"/>
        <v>0</v>
      </c>
      <c r="I60" s="19">
        <f t="shared" si="12"/>
        <v>0</v>
      </c>
      <c r="J60" s="19">
        <f t="shared" si="12"/>
        <v>0</v>
      </c>
      <c r="K60" s="19">
        <f t="shared" si="12"/>
        <v>0</v>
      </c>
      <c r="L60" s="19">
        <f t="shared" si="12"/>
        <v>0.7</v>
      </c>
      <c r="M60" s="19">
        <f t="shared" si="12"/>
        <v>0</v>
      </c>
      <c r="N60" s="19">
        <f t="shared" si="12"/>
        <v>3.8</v>
      </c>
      <c r="O60" s="19">
        <f>SUM(O36:O59)</f>
        <v>3</v>
      </c>
      <c r="P60" s="19">
        <f t="shared" si="12"/>
        <v>0.6</v>
      </c>
      <c r="Q60" s="19">
        <f t="shared" si="12"/>
        <v>0</v>
      </c>
      <c r="R60" s="19">
        <f t="shared" si="12"/>
        <v>3.5999999999999996</v>
      </c>
      <c r="S60" s="19">
        <f t="shared" si="12"/>
        <v>3.5999999999999996</v>
      </c>
      <c r="T60" s="19">
        <f>SUM(T36:T59)</f>
        <v>3.5999999999999996</v>
      </c>
      <c r="U60" s="19">
        <f t="shared" si="12"/>
        <v>4.4000000000000004</v>
      </c>
      <c r="V60" s="19">
        <f t="shared" si="12"/>
        <v>2.9000000000000004</v>
      </c>
      <c r="W60" s="19">
        <f t="shared" si="12"/>
        <v>2.2999999999999998</v>
      </c>
      <c r="X60" s="19">
        <f t="shared" si="12"/>
        <v>0.8</v>
      </c>
      <c r="Y60" s="19">
        <f t="shared" si="12"/>
        <v>0.7</v>
      </c>
      <c r="Z60" s="19">
        <f t="shared" si="12"/>
        <v>0.8</v>
      </c>
      <c r="AA60" s="19">
        <f t="shared" si="12"/>
        <v>0</v>
      </c>
      <c r="AB60" s="19">
        <f t="shared" si="12"/>
        <v>0</v>
      </c>
      <c r="AC60" s="19">
        <f t="shared" si="12"/>
        <v>0</v>
      </c>
      <c r="AD60" s="34"/>
      <c r="AE60" s="34"/>
      <c r="AF60" s="11"/>
      <c r="AG60" s="11"/>
      <c r="AH60" s="11"/>
    </row>
    <row r="61" spans="1:124">
      <c r="A61" s="12" t="s">
        <v>55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31.57</v>
      </c>
      <c r="AN61" s="351"/>
    </row>
    <row r="62" spans="1:124">
      <c r="A62" s="14" t="s">
        <v>56</v>
      </c>
      <c r="B62" s="20"/>
      <c r="C62" s="15">
        <v>0.75</v>
      </c>
      <c r="D62" s="15"/>
      <c r="E62" s="15"/>
      <c r="F62" s="372">
        <v>0.56999999999999995</v>
      </c>
      <c r="G62" s="372">
        <v>0.54500000000000004</v>
      </c>
      <c r="H62" s="372">
        <v>0.53</v>
      </c>
      <c r="I62" s="372">
        <f>0.99/2</f>
        <v>0.495</v>
      </c>
      <c r="J62" s="372">
        <f>0.99/2</f>
        <v>0.495</v>
      </c>
      <c r="K62" s="374">
        <f>1.04/2</f>
        <v>0.52</v>
      </c>
      <c r="L62" s="374">
        <f>1.05/2</f>
        <v>0.52500000000000002</v>
      </c>
      <c r="M62" s="374">
        <f>1.09/2</f>
        <v>0.54500000000000004</v>
      </c>
      <c r="N62" s="372">
        <f>1.25/2</f>
        <v>0.625</v>
      </c>
      <c r="O62" s="372">
        <f>1.38/2</f>
        <v>0.69</v>
      </c>
      <c r="P62" s="372">
        <f>1.44/2</f>
        <v>0.72</v>
      </c>
      <c r="Q62" s="372">
        <f>1.54/3</f>
        <v>0.51333333333333331</v>
      </c>
      <c r="R62" s="372">
        <f>1.56/3</f>
        <v>0.52</v>
      </c>
      <c r="S62" s="372">
        <f>1.55/3</f>
        <v>0.51666666666666672</v>
      </c>
      <c r="T62" s="372">
        <f>1.55/2</f>
        <v>0.77500000000000002</v>
      </c>
      <c r="U62" s="372">
        <f>1.58/3</f>
        <v>0.52666666666666673</v>
      </c>
      <c r="V62" s="372">
        <f>1.56/3</f>
        <v>0.52</v>
      </c>
      <c r="W62" s="372"/>
      <c r="X62" s="372">
        <f>1.29/2</f>
        <v>0.64500000000000002</v>
      </c>
      <c r="Y62" s="372">
        <f>1.6/2</f>
        <v>0.8</v>
      </c>
      <c r="Z62" s="372"/>
      <c r="AA62" s="372">
        <f>1.29/3</f>
        <v>0.43</v>
      </c>
      <c r="AB62" s="372">
        <v>0.66500000000000004</v>
      </c>
      <c r="AC62" s="372">
        <v>0.62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22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57</v>
      </c>
      <c r="B63" s="20"/>
      <c r="C63" s="15">
        <v>0.75</v>
      </c>
      <c r="D63" s="15"/>
      <c r="E63" s="15"/>
      <c r="F63" s="372" t="s">
        <v>9</v>
      </c>
      <c r="G63" s="372" t="s">
        <v>9</v>
      </c>
      <c r="H63" s="372" t="s">
        <v>9</v>
      </c>
      <c r="I63" s="372" t="s">
        <v>9</v>
      </c>
      <c r="J63" s="372" t="s">
        <v>9</v>
      </c>
      <c r="K63" s="374" t="s">
        <v>9</v>
      </c>
      <c r="L63" s="374" t="s">
        <v>9</v>
      </c>
      <c r="M63" s="374" t="s">
        <v>9</v>
      </c>
      <c r="N63" s="372" t="s">
        <v>9</v>
      </c>
      <c r="O63" s="372" t="s">
        <v>9</v>
      </c>
      <c r="P63" s="372" t="s">
        <v>9</v>
      </c>
      <c r="Q63" s="372">
        <f>1.54/3</f>
        <v>0.51333333333333331</v>
      </c>
      <c r="R63" s="372">
        <f>1.56/3</f>
        <v>0.52</v>
      </c>
      <c r="S63" s="372">
        <f t="shared" ref="S63:S64" si="13">1.55/3</f>
        <v>0.51666666666666672</v>
      </c>
      <c r="T63" s="372"/>
      <c r="U63" s="372">
        <f>1.58/3</f>
        <v>0.52666666666666673</v>
      </c>
      <c r="V63" s="372">
        <f>1.56/3</f>
        <v>0.52</v>
      </c>
      <c r="W63" s="372">
        <f>1.39/2</f>
        <v>0.69499999999999995</v>
      </c>
      <c r="X63" s="372" t="s">
        <v>9</v>
      </c>
      <c r="Y63" s="372" t="s">
        <v>9</v>
      </c>
      <c r="Z63" s="372">
        <f>1.57/2</f>
        <v>0.78500000000000003</v>
      </c>
      <c r="AA63" s="372">
        <f>1.29/3</f>
        <v>0.43</v>
      </c>
      <c r="AB63" s="372"/>
      <c r="AC63" s="372"/>
      <c r="AD63" s="32"/>
      <c r="AE63" s="32"/>
      <c r="AF63" s="11">
        <f>COUNTIF(F63:AC63,$AF$11)</f>
        <v>13</v>
      </c>
      <c r="AG63" s="11">
        <f>COUNTIF(G63:AC63,$AG$11)</f>
        <v>0</v>
      </c>
      <c r="AH63" s="11">
        <f>COUNT(F63:AC63)</f>
        <v>8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58</v>
      </c>
      <c r="B64" s="20"/>
      <c r="C64" s="15">
        <v>0.75</v>
      </c>
      <c r="D64" s="15"/>
      <c r="E64" s="15"/>
      <c r="F64" s="372">
        <v>0.56999999999999995</v>
      </c>
      <c r="G64" s="372">
        <v>0.54500000000000004</v>
      </c>
      <c r="H64" s="372">
        <v>0.53</v>
      </c>
      <c r="I64" s="372">
        <f>0.99/2</f>
        <v>0.495</v>
      </c>
      <c r="J64" s="372">
        <f>0.99/2</f>
        <v>0.495</v>
      </c>
      <c r="K64" s="374">
        <f>1.04/2</f>
        <v>0.52</v>
      </c>
      <c r="L64" s="374">
        <f>1.05/2</f>
        <v>0.52500000000000002</v>
      </c>
      <c r="M64" s="374">
        <f>1.09/2</f>
        <v>0.54500000000000004</v>
      </c>
      <c r="N64" s="372">
        <f>1.25/2</f>
        <v>0.625</v>
      </c>
      <c r="O64" s="372">
        <f>1.38/2</f>
        <v>0.69</v>
      </c>
      <c r="P64" s="372">
        <f>1.44/2</f>
        <v>0.72</v>
      </c>
      <c r="Q64" s="372">
        <f>1.54/3</f>
        <v>0.51333333333333331</v>
      </c>
      <c r="R64" s="372">
        <f>1.56/3</f>
        <v>0.52</v>
      </c>
      <c r="S64" s="372">
        <f t="shared" si="13"/>
        <v>0.51666666666666672</v>
      </c>
      <c r="T64" s="372">
        <f>1.55/2</f>
        <v>0.77500000000000002</v>
      </c>
      <c r="U64" s="372">
        <f>1.58/3</f>
        <v>0.52666666666666673</v>
      </c>
      <c r="V64" s="372">
        <f>1.56/3</f>
        <v>0.52</v>
      </c>
      <c r="W64" s="372">
        <f>1.39/2</f>
        <v>0.69499999999999995</v>
      </c>
      <c r="X64" s="372">
        <f>1.29/2</f>
        <v>0.64500000000000002</v>
      </c>
      <c r="Y64" s="372">
        <f>1.6/2</f>
        <v>0.8</v>
      </c>
      <c r="Z64" s="372">
        <f>1.57/2</f>
        <v>0.78500000000000003</v>
      </c>
      <c r="AA64" s="372">
        <f>1.29/3</f>
        <v>0.43</v>
      </c>
      <c r="AB64" s="372">
        <v>0.66500000000000004</v>
      </c>
      <c r="AC64" s="372">
        <v>0.62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24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1.1399999999999999</v>
      </c>
      <c r="G65" s="19">
        <f t="shared" ref="G65" si="14">SUM(G62:G64)</f>
        <v>1.0900000000000001</v>
      </c>
      <c r="H65" s="19">
        <f>SUM(H62:H64)</f>
        <v>1.06</v>
      </c>
      <c r="I65" s="19">
        <f>SUM(I62:I64)</f>
        <v>0.99</v>
      </c>
      <c r="J65" s="19">
        <f t="shared" ref="J65" si="15">SUM(J62:J64)</f>
        <v>0.99</v>
      </c>
      <c r="K65" s="19">
        <f>SUM(K62:K64)</f>
        <v>1.04</v>
      </c>
      <c r="L65" s="19">
        <f>SUM(L62:L64)</f>
        <v>1.05</v>
      </c>
      <c r="M65" s="19">
        <f>SUM(M62:M64)</f>
        <v>1.0900000000000001</v>
      </c>
      <c r="N65" s="19">
        <f>SUM(N62:N64)</f>
        <v>1.25</v>
      </c>
      <c r="O65" s="19">
        <f t="shared" ref="O65:AB65" si="16">SUM(O62:O64)</f>
        <v>1.38</v>
      </c>
      <c r="P65" s="19">
        <f t="shared" si="16"/>
        <v>1.44</v>
      </c>
      <c r="Q65" s="19">
        <f t="shared" si="16"/>
        <v>1.54</v>
      </c>
      <c r="R65" s="19">
        <f t="shared" si="16"/>
        <v>1.56</v>
      </c>
      <c r="S65" s="19">
        <f t="shared" si="16"/>
        <v>1.5500000000000003</v>
      </c>
      <c r="T65" s="19">
        <f t="shared" si="16"/>
        <v>1.55</v>
      </c>
      <c r="U65" s="19">
        <f t="shared" si="16"/>
        <v>1.58</v>
      </c>
      <c r="V65" s="19">
        <f t="shared" si="16"/>
        <v>1.56</v>
      </c>
      <c r="W65" s="19">
        <f t="shared" si="16"/>
        <v>1.39</v>
      </c>
      <c r="X65" s="19">
        <f t="shared" si="16"/>
        <v>1.29</v>
      </c>
      <c r="Y65" s="19">
        <f>SUM(Y62:Y64)</f>
        <v>1.6</v>
      </c>
      <c r="Z65" s="19">
        <f t="shared" si="16"/>
        <v>1.57</v>
      </c>
      <c r="AA65" s="19">
        <f t="shared" si="16"/>
        <v>1.29</v>
      </c>
      <c r="AB65" s="19">
        <f t="shared" si="16"/>
        <v>1.33</v>
      </c>
      <c r="AC65" s="19">
        <f>SUM(AC62:AC64)</f>
        <v>1.24</v>
      </c>
      <c r="AD65" s="34"/>
      <c r="AE65" s="34"/>
      <c r="AF65" s="11"/>
      <c r="AG65" s="11"/>
      <c r="AH65" s="11"/>
    </row>
    <row r="66" spans="1:124" hidden="1">
      <c r="A66" s="12" t="s">
        <v>59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idden="1">
      <c r="A67" s="14" t="s">
        <v>60</v>
      </c>
      <c r="B67" s="15"/>
      <c r="C67" s="15">
        <v>0.85</v>
      </c>
      <c r="D67" s="15"/>
      <c r="E67" s="15"/>
      <c r="F67" s="372"/>
      <c r="G67" s="372"/>
      <c r="H67" s="372"/>
      <c r="I67" s="372"/>
      <c r="J67" s="372"/>
      <c r="K67" s="374"/>
      <c r="L67" s="374"/>
      <c r="M67" s="374"/>
      <c r="N67" s="372"/>
      <c r="O67" s="372"/>
      <c r="P67" s="372"/>
      <c r="Q67" s="372"/>
      <c r="R67" s="372"/>
      <c r="S67" s="372"/>
      <c r="T67" s="372"/>
      <c r="U67" s="372"/>
      <c r="V67" s="372"/>
      <c r="W67" s="372"/>
      <c r="X67" s="372"/>
      <c r="Y67" s="372"/>
      <c r="Z67" s="372"/>
      <c r="AA67" s="372"/>
      <c r="AB67" s="372"/>
      <c r="AC67" s="372"/>
      <c r="AD67" s="35"/>
      <c r="AE67" s="35"/>
      <c r="AF67" s="11">
        <f t="shared" ref="AF67:AF75" si="17">COUNTIF(F67:AC67,$AF$11)</f>
        <v>0</v>
      </c>
      <c r="AG67" s="11">
        <f t="shared" ref="AG67:AG75" si="18">COUNTIF(G67:AC67,$AG$11)</f>
        <v>0</v>
      </c>
      <c r="AH67" s="11">
        <f t="shared" ref="AH67:AH75" si="19">COUNT(F67:AC67)</f>
        <v>0</v>
      </c>
    </row>
    <row r="68" spans="1:124" hidden="1">
      <c r="A68" s="14" t="s">
        <v>61</v>
      </c>
      <c r="B68" s="15"/>
      <c r="C68" s="15">
        <v>0.85</v>
      </c>
      <c r="D68" s="15"/>
      <c r="E68" s="15"/>
      <c r="F68" s="372"/>
      <c r="G68" s="372"/>
      <c r="H68" s="372"/>
      <c r="I68" s="372"/>
      <c r="J68" s="372"/>
      <c r="K68" s="374"/>
      <c r="L68" s="374"/>
      <c r="M68" s="374"/>
      <c r="N68" s="372"/>
      <c r="O68" s="372"/>
      <c r="P68" s="372"/>
      <c r="Q68" s="372"/>
      <c r="R68" s="372"/>
      <c r="S68" s="372"/>
      <c r="T68" s="372"/>
      <c r="U68" s="372"/>
      <c r="V68" s="372"/>
      <c r="W68" s="372"/>
      <c r="X68" s="372"/>
      <c r="Y68" s="372"/>
      <c r="Z68" s="372"/>
      <c r="AA68" s="372"/>
      <c r="AB68" s="372"/>
      <c r="AC68" s="372"/>
      <c r="AD68" s="35"/>
      <c r="AE68" s="35"/>
      <c r="AF68" s="11">
        <f t="shared" si="17"/>
        <v>0</v>
      </c>
      <c r="AG68" s="11">
        <f t="shared" si="18"/>
        <v>0</v>
      </c>
      <c r="AH68" s="11">
        <f t="shared" si="19"/>
        <v>0</v>
      </c>
    </row>
    <row r="69" spans="1:124" hidden="1">
      <c r="A69" s="14" t="s">
        <v>62</v>
      </c>
      <c r="B69" s="15"/>
      <c r="C69" s="15">
        <v>0.85</v>
      </c>
      <c r="D69" s="15"/>
      <c r="E69" s="15"/>
      <c r="F69" s="372"/>
      <c r="G69" s="372"/>
      <c r="H69" s="372"/>
      <c r="I69" s="372"/>
      <c r="J69" s="372"/>
      <c r="K69" s="374"/>
      <c r="L69" s="374"/>
      <c r="M69" s="374"/>
      <c r="N69" s="372"/>
      <c r="O69" s="372"/>
      <c r="P69" s="372"/>
      <c r="Q69" s="372"/>
      <c r="R69" s="372"/>
      <c r="S69" s="372"/>
      <c r="T69" s="372"/>
      <c r="U69" s="372"/>
      <c r="V69" s="372"/>
      <c r="W69" s="372"/>
      <c r="X69" s="372"/>
      <c r="Y69" s="372"/>
      <c r="Z69" s="372"/>
      <c r="AA69" s="372"/>
      <c r="AB69" s="372"/>
      <c r="AC69" s="372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9"/>
        <v>0</v>
      </c>
    </row>
    <row r="70" spans="1:124" hidden="1">
      <c r="A70" s="14" t="s">
        <v>63</v>
      </c>
      <c r="B70" s="15"/>
      <c r="C70" s="15">
        <v>0.85</v>
      </c>
      <c r="D70" s="15"/>
      <c r="E70" s="15"/>
      <c r="F70" s="372"/>
      <c r="G70" s="372"/>
      <c r="H70" s="372"/>
      <c r="I70" s="372"/>
      <c r="J70" s="372"/>
      <c r="K70" s="374"/>
      <c r="L70" s="374"/>
      <c r="M70" s="374"/>
      <c r="N70" s="372"/>
      <c r="O70" s="372"/>
      <c r="P70" s="372"/>
      <c r="Q70" s="372"/>
      <c r="R70" s="372"/>
      <c r="S70" s="372"/>
      <c r="T70" s="372"/>
      <c r="U70" s="372"/>
      <c r="V70" s="372"/>
      <c r="W70" s="372"/>
      <c r="X70" s="372"/>
      <c r="Y70" s="372"/>
      <c r="Z70" s="372"/>
      <c r="AA70" s="372"/>
      <c r="AB70" s="372"/>
      <c r="AC70" s="372"/>
      <c r="AD70" s="35"/>
      <c r="AE70" s="35"/>
      <c r="AF70" s="11">
        <f t="shared" si="17"/>
        <v>0</v>
      </c>
      <c r="AG70" s="11">
        <f t="shared" si="18"/>
        <v>0</v>
      </c>
      <c r="AH70" s="11">
        <f t="shared" si="19"/>
        <v>0</v>
      </c>
      <c r="AI70" s="5"/>
      <c r="AJ70" s="5"/>
      <c r="AK70" s="5"/>
      <c r="AL70" s="5"/>
    </row>
    <row r="71" spans="1:124" hidden="1">
      <c r="A71" s="14" t="s">
        <v>64</v>
      </c>
      <c r="B71" s="15"/>
      <c r="C71" s="15">
        <v>0.85</v>
      </c>
      <c r="D71" s="15"/>
      <c r="E71" s="15"/>
      <c r="F71" s="372"/>
      <c r="G71" s="372"/>
      <c r="H71" s="372"/>
      <c r="I71" s="372"/>
      <c r="J71" s="372"/>
      <c r="K71" s="374"/>
      <c r="L71" s="374"/>
      <c r="M71" s="374"/>
      <c r="N71" s="372"/>
      <c r="O71" s="372"/>
      <c r="P71" s="372"/>
      <c r="Q71" s="372"/>
      <c r="R71" s="372"/>
      <c r="S71" s="372"/>
      <c r="T71" s="372"/>
      <c r="U71" s="372"/>
      <c r="V71" s="372"/>
      <c r="W71" s="372"/>
      <c r="X71" s="372"/>
      <c r="Y71" s="372"/>
      <c r="Z71" s="372"/>
      <c r="AA71" s="372"/>
      <c r="AB71" s="372"/>
      <c r="AC71" s="372"/>
      <c r="AD71" s="35"/>
      <c r="AE71" s="35"/>
      <c r="AF71" s="11">
        <f t="shared" si="17"/>
        <v>0</v>
      </c>
      <c r="AG71" s="11">
        <f t="shared" si="18"/>
        <v>0</v>
      </c>
      <c r="AH71" s="11">
        <f t="shared" si="19"/>
        <v>0</v>
      </c>
    </row>
    <row r="72" spans="1:124" hidden="1">
      <c r="A72" s="14" t="s">
        <v>65</v>
      </c>
      <c r="B72" s="15"/>
      <c r="C72" s="15">
        <v>0.85</v>
      </c>
      <c r="D72" s="15"/>
      <c r="E72" s="15"/>
      <c r="F72" s="372"/>
      <c r="G72" s="372"/>
      <c r="H72" s="372"/>
      <c r="I72" s="372"/>
      <c r="J72" s="372"/>
      <c r="K72" s="374"/>
      <c r="L72" s="374"/>
      <c r="M72" s="374"/>
      <c r="N72" s="372"/>
      <c r="O72" s="372"/>
      <c r="P72" s="372"/>
      <c r="Q72" s="372"/>
      <c r="R72" s="372"/>
      <c r="S72" s="372"/>
      <c r="T72" s="372"/>
      <c r="U72" s="372"/>
      <c r="V72" s="372"/>
      <c r="W72" s="372"/>
      <c r="X72" s="372"/>
      <c r="Y72" s="372"/>
      <c r="Z72" s="372"/>
      <c r="AA72" s="372"/>
      <c r="AB72" s="372"/>
      <c r="AC72" s="372"/>
      <c r="AD72" s="35"/>
      <c r="AE72" s="35"/>
      <c r="AF72" s="11">
        <f t="shared" si="17"/>
        <v>0</v>
      </c>
      <c r="AG72" s="11">
        <f t="shared" si="18"/>
        <v>0</v>
      </c>
      <c r="AH72" s="11">
        <f t="shared" si="19"/>
        <v>0</v>
      </c>
    </row>
    <row r="73" spans="1:124" hidden="1">
      <c r="A73" s="14" t="s">
        <v>66</v>
      </c>
      <c r="B73" s="15"/>
      <c r="C73" s="15">
        <v>0.85</v>
      </c>
      <c r="D73" s="15"/>
      <c r="E73" s="15"/>
      <c r="F73" s="372"/>
      <c r="G73" s="372"/>
      <c r="H73" s="372"/>
      <c r="I73" s="372"/>
      <c r="J73" s="372"/>
      <c r="K73" s="374"/>
      <c r="L73" s="374"/>
      <c r="M73" s="374"/>
      <c r="N73" s="372"/>
      <c r="O73" s="372"/>
      <c r="P73" s="372"/>
      <c r="Q73" s="372"/>
      <c r="R73" s="372"/>
      <c r="S73" s="372"/>
      <c r="T73" s="372"/>
      <c r="U73" s="372"/>
      <c r="V73" s="372"/>
      <c r="W73" s="372"/>
      <c r="X73" s="372"/>
      <c r="Y73" s="372"/>
      <c r="Z73" s="372"/>
      <c r="AA73" s="372"/>
      <c r="AB73" s="372"/>
      <c r="AC73" s="372"/>
      <c r="AD73" s="35"/>
      <c r="AE73" s="35"/>
      <c r="AF73" s="11">
        <f t="shared" si="17"/>
        <v>0</v>
      </c>
      <c r="AG73" s="11">
        <f t="shared" si="18"/>
        <v>0</v>
      </c>
      <c r="AH73" s="11">
        <f t="shared" si="19"/>
        <v>0</v>
      </c>
    </row>
    <row r="74" spans="1:124" hidden="1">
      <c r="A74" s="14" t="s">
        <v>67</v>
      </c>
      <c r="B74" s="19"/>
      <c r="C74" s="15">
        <v>0.85</v>
      </c>
      <c r="D74" s="15"/>
      <c r="E74" s="15"/>
      <c r="F74" s="372"/>
      <c r="G74" s="372"/>
      <c r="H74" s="372"/>
      <c r="I74" s="372"/>
      <c r="J74" s="372"/>
      <c r="K74" s="374"/>
      <c r="L74" s="374"/>
      <c r="M74" s="374"/>
      <c r="N74" s="372"/>
      <c r="O74" s="372"/>
      <c r="P74" s="372"/>
      <c r="Q74" s="372"/>
      <c r="R74" s="372"/>
      <c r="S74" s="372"/>
      <c r="T74" s="372"/>
      <c r="U74" s="372"/>
      <c r="V74" s="372"/>
      <c r="W74" s="372"/>
      <c r="X74" s="372"/>
      <c r="Y74" s="372"/>
      <c r="Z74" s="372"/>
      <c r="AA74" s="372"/>
      <c r="AB74" s="372"/>
      <c r="AC74" s="372"/>
      <c r="AD74" s="29"/>
      <c r="AE74" s="29"/>
      <c r="AF74" s="11">
        <f t="shared" si="17"/>
        <v>0</v>
      </c>
      <c r="AG74" s="11">
        <f t="shared" si="18"/>
        <v>0</v>
      </c>
      <c r="AH74" s="11">
        <f t="shared" si="19"/>
        <v>0</v>
      </c>
    </row>
    <row r="75" spans="1:124" ht="15.75" hidden="1" customHeight="1">
      <c r="A75" s="14" t="s">
        <v>68</v>
      </c>
      <c r="B75" s="9"/>
      <c r="C75" s="15">
        <v>0.85</v>
      </c>
      <c r="D75" s="15"/>
      <c r="E75" s="15"/>
      <c r="F75" s="372"/>
      <c r="G75" s="372"/>
      <c r="H75" s="372"/>
      <c r="I75" s="372"/>
      <c r="J75" s="372"/>
      <c r="K75" s="374"/>
      <c r="L75" s="374"/>
      <c r="M75" s="374"/>
      <c r="N75" s="372"/>
      <c r="O75" s="372"/>
      <c r="P75" s="372"/>
      <c r="Q75" s="372"/>
      <c r="R75" s="372"/>
      <c r="S75" s="372"/>
      <c r="T75" s="372"/>
      <c r="U75" s="372"/>
      <c r="V75" s="372"/>
      <c r="W75" s="372"/>
      <c r="X75" s="372"/>
      <c r="Y75" s="372"/>
      <c r="Z75" s="372"/>
      <c r="AA75" s="372"/>
      <c r="AB75" s="372"/>
      <c r="AC75" s="372"/>
      <c r="AD75" s="31"/>
      <c r="AE75" s="31"/>
      <c r="AF75" s="11">
        <f t="shared" si="17"/>
        <v>0</v>
      </c>
      <c r="AG75" s="11">
        <f t="shared" si="18"/>
        <v>0</v>
      </c>
      <c r="AH75" s="11">
        <f t="shared" si="19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20">SUM(F67:F75)</f>
        <v>0</v>
      </c>
      <c r="G76" s="19">
        <f t="shared" si="20"/>
        <v>0</v>
      </c>
      <c r="H76" s="19">
        <f t="shared" si="20"/>
        <v>0</v>
      </c>
      <c r="I76" s="19">
        <f t="shared" si="20"/>
        <v>0</v>
      </c>
      <c r="J76" s="19">
        <f t="shared" si="20"/>
        <v>0</v>
      </c>
      <c r="K76" s="19">
        <f t="shared" si="20"/>
        <v>0</v>
      </c>
      <c r="L76" s="19">
        <f>SUM(L67:L75)</f>
        <v>0</v>
      </c>
      <c r="M76" s="19">
        <f t="shared" si="20"/>
        <v>0</v>
      </c>
      <c r="N76" s="19">
        <f t="shared" si="20"/>
        <v>0</v>
      </c>
      <c r="O76" s="19">
        <f t="shared" si="20"/>
        <v>0</v>
      </c>
      <c r="P76" s="19">
        <f t="shared" si="20"/>
        <v>0</v>
      </c>
      <c r="Q76" s="19">
        <f>SUM(Q67:Q75)</f>
        <v>0</v>
      </c>
      <c r="R76" s="19">
        <f t="shared" si="20"/>
        <v>0</v>
      </c>
      <c r="S76" s="19">
        <f t="shared" si="20"/>
        <v>0</v>
      </c>
      <c r="T76" s="19">
        <f t="shared" si="20"/>
        <v>0</v>
      </c>
      <c r="U76" s="19">
        <f t="shared" si="20"/>
        <v>0</v>
      </c>
      <c r="V76" s="19">
        <f t="shared" si="20"/>
        <v>0</v>
      </c>
      <c r="W76" s="19">
        <f t="shared" si="20"/>
        <v>0</v>
      </c>
      <c r="X76" s="19">
        <f t="shared" si="20"/>
        <v>0</v>
      </c>
      <c r="Y76" s="19">
        <f t="shared" si="20"/>
        <v>0</v>
      </c>
      <c r="Z76" s="19">
        <f t="shared" si="20"/>
        <v>0</v>
      </c>
      <c r="AA76" s="19">
        <f t="shared" si="20"/>
        <v>0</v>
      </c>
      <c r="AB76" s="19">
        <f t="shared" si="20"/>
        <v>0</v>
      </c>
      <c r="AC76" s="19">
        <f t="shared" si="20"/>
        <v>0</v>
      </c>
      <c r="AD76" s="34"/>
      <c r="AE76" s="34"/>
      <c r="AF76" s="11"/>
      <c r="AG76" s="11"/>
      <c r="AH76" s="11"/>
    </row>
    <row r="77" spans="1:124">
      <c r="A77" s="12" t="s">
        <v>69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 t="s">
        <v>21</v>
      </c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21.099999999999998</v>
      </c>
    </row>
    <row r="78" spans="1:124">
      <c r="A78" s="14" t="s">
        <v>70</v>
      </c>
      <c r="B78" s="20"/>
      <c r="C78" s="15">
        <v>1</v>
      </c>
      <c r="D78" s="15"/>
      <c r="E78" s="15"/>
      <c r="F78" s="372"/>
      <c r="G78" s="372"/>
      <c r="H78" s="372"/>
      <c r="I78" s="372"/>
      <c r="J78" s="372"/>
      <c r="K78" s="374"/>
      <c r="L78" s="374"/>
      <c r="M78" s="374">
        <v>0.76</v>
      </c>
      <c r="N78" s="372">
        <v>0.8</v>
      </c>
      <c r="O78" s="372">
        <v>0.87</v>
      </c>
      <c r="P78" s="372">
        <v>0.88</v>
      </c>
      <c r="Q78" s="372">
        <v>0.93</v>
      </c>
      <c r="R78" s="372">
        <v>0.94</v>
      </c>
      <c r="S78" s="372">
        <v>0.96</v>
      </c>
      <c r="T78" s="372">
        <v>0.9</v>
      </c>
      <c r="U78" s="372">
        <v>0.92</v>
      </c>
      <c r="V78" s="372">
        <v>0.91</v>
      </c>
      <c r="W78" s="372">
        <v>0.88</v>
      </c>
      <c r="X78" s="372">
        <v>0.87</v>
      </c>
      <c r="Y78" s="372"/>
      <c r="Z78" s="372"/>
      <c r="AA78" s="372"/>
      <c r="AB78" s="372"/>
      <c r="AC78" s="372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71</v>
      </c>
      <c r="B79" s="20"/>
      <c r="C79" s="15">
        <v>1</v>
      </c>
      <c r="D79" s="15"/>
      <c r="E79" s="15"/>
      <c r="F79" s="372">
        <v>0.89</v>
      </c>
      <c r="G79" s="372">
        <v>0.84</v>
      </c>
      <c r="H79" s="372">
        <v>0.83</v>
      </c>
      <c r="I79" s="372">
        <v>0.78</v>
      </c>
      <c r="J79" s="372">
        <v>0.77</v>
      </c>
      <c r="K79" s="374">
        <v>0.8</v>
      </c>
      <c r="L79" s="374">
        <v>0.81</v>
      </c>
      <c r="M79" s="374">
        <v>0</v>
      </c>
      <c r="N79" s="372">
        <v>0</v>
      </c>
      <c r="O79" s="372">
        <v>0</v>
      </c>
      <c r="P79" s="372">
        <v>0</v>
      </c>
      <c r="Q79" s="372">
        <v>0</v>
      </c>
      <c r="R79" s="372">
        <v>0</v>
      </c>
      <c r="S79" s="372">
        <v>0</v>
      </c>
      <c r="T79" s="372">
        <v>0</v>
      </c>
      <c r="U79" s="372">
        <v>0</v>
      </c>
      <c r="V79" s="372">
        <v>0</v>
      </c>
      <c r="W79" s="372">
        <v>0</v>
      </c>
      <c r="X79" s="372">
        <v>0</v>
      </c>
      <c r="Y79" s="372">
        <v>0.98</v>
      </c>
      <c r="Z79" s="372">
        <v>0.98</v>
      </c>
      <c r="AA79" s="372">
        <v>0.99</v>
      </c>
      <c r="AB79" s="372">
        <v>0.93</v>
      </c>
      <c r="AC79" s="372">
        <v>0.88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24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21">SUM(F78:F79)</f>
        <v>0.89</v>
      </c>
      <c r="G80" s="19">
        <f t="shared" si="21"/>
        <v>0.84</v>
      </c>
      <c r="H80" s="19">
        <f>SUM(H78:H79)</f>
        <v>0.83</v>
      </c>
      <c r="I80" s="19">
        <f>SUM(I78:I79)</f>
        <v>0.78</v>
      </c>
      <c r="J80" s="19">
        <f t="shared" ref="J80:AC80" si="22">SUM(J78:J79)</f>
        <v>0.77</v>
      </c>
      <c r="K80" s="19">
        <f t="shared" si="22"/>
        <v>0.8</v>
      </c>
      <c r="L80" s="19">
        <f>SUM(L78:L79)</f>
        <v>0.81</v>
      </c>
      <c r="M80" s="19">
        <f t="shared" si="22"/>
        <v>0.76</v>
      </c>
      <c r="N80" s="19">
        <f t="shared" si="22"/>
        <v>0.8</v>
      </c>
      <c r="O80" s="19">
        <f>SUM(O78:O79)</f>
        <v>0.87</v>
      </c>
      <c r="P80" s="19">
        <f t="shared" si="22"/>
        <v>0.88</v>
      </c>
      <c r="Q80" s="19">
        <f t="shared" si="22"/>
        <v>0.93</v>
      </c>
      <c r="R80" s="19">
        <f t="shared" si="22"/>
        <v>0.94</v>
      </c>
      <c r="S80" s="19">
        <f t="shared" si="22"/>
        <v>0.96</v>
      </c>
      <c r="T80" s="19">
        <f t="shared" si="22"/>
        <v>0.9</v>
      </c>
      <c r="U80" s="19">
        <f t="shared" si="22"/>
        <v>0.92</v>
      </c>
      <c r="V80" s="19">
        <f t="shared" si="22"/>
        <v>0.91</v>
      </c>
      <c r="W80" s="19">
        <f t="shared" si="22"/>
        <v>0.88</v>
      </c>
      <c r="X80" s="19">
        <f t="shared" si="22"/>
        <v>0.87</v>
      </c>
      <c r="Y80" s="19">
        <f t="shared" si="22"/>
        <v>0.98</v>
      </c>
      <c r="Z80" s="19">
        <f t="shared" si="22"/>
        <v>0.98</v>
      </c>
      <c r="AA80" s="19">
        <f t="shared" si="22"/>
        <v>0.99</v>
      </c>
      <c r="AB80" s="19">
        <f t="shared" si="22"/>
        <v>0.93</v>
      </c>
      <c r="AC80" s="19">
        <f t="shared" si="22"/>
        <v>0.88</v>
      </c>
      <c r="AD80" s="34"/>
      <c r="AE80" s="34"/>
      <c r="AF80" s="11"/>
      <c r="AG80" s="11"/>
      <c r="AH80" s="11"/>
    </row>
    <row r="81" spans="1:40" ht="17.45" hidden="1">
      <c r="A81" s="366" t="s">
        <v>72</v>
      </c>
      <c r="B81" s="365"/>
      <c r="C81" s="367">
        <v>2</v>
      </c>
      <c r="D81" s="363"/>
      <c r="E81" s="363"/>
      <c r="F81" s="364"/>
      <c r="G81" s="364"/>
      <c r="H81" s="364"/>
      <c r="I81" s="364"/>
      <c r="J81" s="364"/>
      <c r="K81" s="364"/>
      <c r="L81" s="364"/>
      <c r="M81" s="364"/>
      <c r="N81" s="364"/>
      <c r="O81" s="364"/>
      <c r="P81" s="364"/>
      <c r="Q81" s="364"/>
      <c r="R81" s="364"/>
      <c r="S81" s="364"/>
      <c r="T81" s="364"/>
      <c r="U81" s="364"/>
      <c r="V81" s="364"/>
      <c r="W81" s="364"/>
      <c r="X81" s="364"/>
      <c r="Y81" s="364"/>
      <c r="Z81" s="364"/>
      <c r="AA81" s="364"/>
      <c r="AB81" s="364"/>
      <c r="AC81" s="364"/>
    </row>
    <row r="82" spans="1:40" ht="17.45" hidden="1">
      <c r="A82" s="368"/>
      <c r="B82" s="369"/>
      <c r="C82" s="370"/>
      <c r="D82" s="371"/>
      <c r="E82" s="371"/>
      <c r="F82" s="372"/>
      <c r="G82" s="372"/>
      <c r="H82" s="372"/>
      <c r="I82" s="372"/>
      <c r="J82" s="372"/>
      <c r="K82" s="374"/>
      <c r="L82" s="374"/>
      <c r="M82" s="374"/>
      <c r="N82" s="372"/>
      <c r="O82" s="372"/>
      <c r="P82" s="372"/>
      <c r="Q82" s="372"/>
      <c r="R82" s="372"/>
      <c r="S82" s="372"/>
      <c r="T82" s="372"/>
      <c r="U82" s="372"/>
      <c r="V82" s="372"/>
      <c r="W82" s="372"/>
      <c r="X82" s="372"/>
      <c r="Y82" s="372"/>
      <c r="Z82" s="372"/>
      <c r="AA82" s="372"/>
      <c r="AB82" s="372"/>
      <c r="AC82" s="372"/>
    </row>
    <row r="83" spans="1:40">
      <c r="A83" s="21" t="s">
        <v>73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:AC83" si="23">SUM(F17,F22,F25,F31,F34,F60,F65,F76,F80,F82)</f>
        <v>49.71</v>
      </c>
      <c r="G83" s="28">
        <f t="shared" si="23"/>
        <v>47.640000000000008</v>
      </c>
      <c r="H83" s="28">
        <f t="shared" si="23"/>
        <v>45.41</v>
      </c>
      <c r="I83" s="28">
        <f t="shared" si="23"/>
        <v>43.190000000000005</v>
      </c>
      <c r="J83" s="28">
        <f t="shared" si="23"/>
        <v>42.56</v>
      </c>
      <c r="K83" s="28">
        <f t="shared" si="23"/>
        <v>42.329999999999991</v>
      </c>
      <c r="L83" s="28">
        <f t="shared" si="23"/>
        <v>45</v>
      </c>
      <c r="M83" s="28">
        <f t="shared" si="23"/>
        <v>44.77</v>
      </c>
      <c r="N83" s="28">
        <f>SUM(N17,N22,N25,N31,N34,N60,N65,N76,N80,N82)</f>
        <v>53.66</v>
      </c>
      <c r="O83" s="28">
        <f>SUM(O17,O22,O25,O31,O34,O60,O65,O76,O80,O82)</f>
        <v>62.640000000000008</v>
      </c>
      <c r="P83" s="28">
        <f t="shared" si="23"/>
        <v>67.45999999999998</v>
      </c>
      <c r="Q83" s="28">
        <f t="shared" si="23"/>
        <v>68.640000000000015</v>
      </c>
      <c r="R83" s="28">
        <f t="shared" si="23"/>
        <v>68.459999999999994</v>
      </c>
      <c r="S83" s="28">
        <f t="shared" si="23"/>
        <v>70.889999999999986</v>
      </c>
      <c r="T83" s="28">
        <f t="shared" si="23"/>
        <v>65.540000000000006</v>
      </c>
      <c r="U83" s="28">
        <f>SUM(U17,U22,U25,U31,U34,U60,U65,U76,U80,U82)</f>
        <v>71.08</v>
      </c>
      <c r="V83" s="28">
        <f t="shared" si="23"/>
        <v>70.650000000000006</v>
      </c>
      <c r="W83" s="28">
        <f t="shared" si="23"/>
        <v>67.72</v>
      </c>
      <c r="X83" s="28">
        <f t="shared" si="23"/>
        <v>62.419999999999995</v>
      </c>
      <c r="Y83" s="28">
        <f t="shared" si="23"/>
        <v>66.739999999999995</v>
      </c>
      <c r="Z83" s="28">
        <f t="shared" si="23"/>
        <v>62.629999999999995</v>
      </c>
      <c r="AA83" s="28">
        <f t="shared" si="23"/>
        <v>61.37</v>
      </c>
      <c r="AB83" s="28">
        <f t="shared" si="23"/>
        <v>56.47</v>
      </c>
      <c r="AC83" s="28">
        <f t="shared" si="23"/>
        <v>54.240000000000009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25" t="s">
        <v>74</v>
      </c>
      <c r="B85" s="525"/>
      <c r="C85" s="525"/>
      <c r="D85" s="525"/>
      <c r="E85" s="525"/>
      <c r="F85" s="525"/>
      <c r="G85" s="525"/>
      <c r="H85" s="525"/>
      <c r="I85" s="525"/>
      <c r="J85" s="525"/>
      <c r="K85" s="525"/>
      <c r="L85" s="525"/>
      <c r="M85" s="525"/>
      <c r="N85" s="525"/>
      <c r="O85" s="525"/>
      <c r="P85" s="525"/>
      <c r="Q85" s="525"/>
      <c r="R85" s="525"/>
      <c r="S85" s="525"/>
      <c r="T85" s="525"/>
      <c r="U85" s="525"/>
      <c r="V85" s="525"/>
      <c r="W85" s="525"/>
      <c r="X85" s="525"/>
      <c r="Y85" s="525"/>
      <c r="Z85" s="525"/>
      <c r="AA85" s="525"/>
      <c r="AB85" s="525"/>
      <c r="AC85" s="525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</row>
    <row r="87" spans="1:40" ht="17.45">
      <c r="A87" s="500" t="s">
        <v>75</v>
      </c>
      <c r="B87" s="501"/>
      <c r="C87" s="502"/>
      <c r="D87" s="49"/>
      <c r="E87" s="49"/>
      <c r="F87" s="506" t="s">
        <v>76</v>
      </c>
      <c r="G87" s="506"/>
      <c r="H87" s="506"/>
      <c r="I87" s="506"/>
      <c r="J87" s="506"/>
      <c r="K87" s="506"/>
      <c r="L87" s="506"/>
      <c r="M87" s="506"/>
      <c r="N87" s="506"/>
      <c r="O87" s="506"/>
      <c r="P87" s="506"/>
      <c r="Q87" s="506"/>
      <c r="R87" s="506"/>
      <c r="S87" s="506"/>
      <c r="T87" s="506"/>
      <c r="U87" s="506"/>
      <c r="V87" s="506"/>
      <c r="W87" s="506"/>
      <c r="X87" s="506"/>
      <c r="Y87" s="506"/>
      <c r="Z87" s="506"/>
      <c r="AA87" s="506"/>
      <c r="AB87" s="506"/>
      <c r="AC87" s="506"/>
      <c r="AD87" s="5"/>
      <c r="AE87" s="5"/>
      <c r="AF87" s="5"/>
      <c r="AG87" s="5"/>
      <c r="AH87" s="5"/>
    </row>
    <row r="88" spans="1:40" ht="15.6" customHeight="1">
      <c r="A88" s="503"/>
      <c r="B88" s="504"/>
      <c r="C88" s="505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07" t="s">
        <v>27</v>
      </c>
      <c r="B89" s="508"/>
      <c r="C89" s="509"/>
      <c r="D89" s="45"/>
      <c r="E89" s="45"/>
      <c r="F89" s="64">
        <f t="shared" ref="F89:AC89" si="24">SUM(F22,F25)</f>
        <v>6</v>
      </c>
      <c r="G89" s="64">
        <f t="shared" si="24"/>
        <v>3</v>
      </c>
      <c r="H89" s="64">
        <f t="shared" si="24"/>
        <v>0</v>
      </c>
      <c r="I89" s="64">
        <f t="shared" si="24"/>
        <v>0</v>
      </c>
      <c r="J89" s="64">
        <f t="shared" si="24"/>
        <v>0</v>
      </c>
      <c r="K89" s="64">
        <f t="shared" si="24"/>
        <v>0</v>
      </c>
      <c r="L89" s="64">
        <f t="shared" si="24"/>
        <v>0</v>
      </c>
      <c r="M89" s="64">
        <f t="shared" si="24"/>
        <v>0</v>
      </c>
      <c r="N89" s="64">
        <f t="shared" si="24"/>
        <v>3.8</v>
      </c>
      <c r="O89" s="64">
        <f t="shared" si="24"/>
        <v>10.399999999999999</v>
      </c>
      <c r="P89" s="64">
        <f t="shared" si="24"/>
        <v>10.399999999999999</v>
      </c>
      <c r="Q89" s="64">
        <f t="shared" si="24"/>
        <v>10.399999999999999</v>
      </c>
      <c r="R89" s="64">
        <f t="shared" si="24"/>
        <v>7.6</v>
      </c>
      <c r="S89" s="64">
        <f t="shared" si="24"/>
        <v>10.1</v>
      </c>
      <c r="T89" s="64">
        <f t="shared" si="24"/>
        <v>9.8999999999999986</v>
      </c>
      <c r="U89" s="64">
        <f t="shared" si="24"/>
        <v>10.399999999999999</v>
      </c>
      <c r="V89" s="64">
        <f t="shared" si="24"/>
        <v>10.399999999999999</v>
      </c>
      <c r="W89" s="64">
        <f t="shared" si="24"/>
        <v>10.399999999999999</v>
      </c>
      <c r="X89" s="64">
        <f t="shared" si="24"/>
        <v>8</v>
      </c>
      <c r="Y89" s="64">
        <f t="shared" si="24"/>
        <v>10.399999999999999</v>
      </c>
      <c r="Z89" s="64">
        <f t="shared" si="24"/>
        <v>8</v>
      </c>
      <c r="AA89" s="64">
        <f t="shared" si="24"/>
        <v>10.399999999999999</v>
      </c>
      <c r="AB89" s="64">
        <f t="shared" si="24"/>
        <v>8.5</v>
      </c>
      <c r="AC89" s="64">
        <f t="shared" si="24"/>
        <v>10.399999999999999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521" t="s">
        <v>77</v>
      </c>
      <c r="B90" s="521"/>
      <c r="C90" s="522"/>
      <c r="D90" s="45"/>
      <c r="E90" s="45"/>
      <c r="F90" s="68">
        <v>0.20499999999999999</v>
      </c>
      <c r="G90" s="68">
        <v>0.19800000000000001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/>
      <c r="N90" s="68"/>
      <c r="O90" s="68">
        <v>0.20100000000000001</v>
      </c>
      <c r="P90" s="68">
        <v>0.252</v>
      </c>
      <c r="Q90" s="68">
        <v>0.219</v>
      </c>
      <c r="R90" s="68">
        <v>0.249</v>
      </c>
      <c r="S90" s="68">
        <v>0.22900000000000001</v>
      </c>
      <c r="T90" s="68">
        <v>0.18</v>
      </c>
      <c r="U90" s="68">
        <v>0.252</v>
      </c>
      <c r="V90" s="68">
        <v>0.20100000000000001</v>
      </c>
      <c r="W90" s="68">
        <v>0.24</v>
      </c>
      <c r="X90" s="68">
        <v>0.22800000000000001</v>
      </c>
      <c r="Y90" s="68">
        <v>0.23599999999999999</v>
      </c>
      <c r="Z90" s="68">
        <v>0.19900000000000001</v>
      </c>
      <c r="AA90" s="68">
        <v>0.21199999999999999</v>
      </c>
      <c r="AB90" s="68">
        <v>0.2</v>
      </c>
      <c r="AC90" s="68">
        <v>0.16900000000000001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07" t="s">
        <v>78</v>
      </c>
      <c r="B91" s="508"/>
      <c r="C91" s="509"/>
      <c r="D91" s="45"/>
      <c r="E91" s="45"/>
      <c r="F91" s="64">
        <f t="shared" ref="F91:AC91" si="25">F17</f>
        <v>19.399999999999999</v>
      </c>
      <c r="G91" s="64">
        <f t="shared" si="25"/>
        <v>20.399999999999999</v>
      </c>
      <c r="H91" s="64">
        <f t="shared" si="25"/>
        <v>20.399999999999999</v>
      </c>
      <c r="I91" s="64">
        <f t="shared" si="25"/>
        <v>20.100000000000001</v>
      </c>
      <c r="J91" s="64">
        <f t="shared" si="25"/>
        <v>19.5</v>
      </c>
      <c r="K91" s="64">
        <f t="shared" si="25"/>
        <v>19.799999999999997</v>
      </c>
      <c r="L91" s="64">
        <f t="shared" si="25"/>
        <v>20.2</v>
      </c>
      <c r="M91" s="64">
        <f t="shared" si="25"/>
        <v>20.399999999999999</v>
      </c>
      <c r="N91" s="64">
        <f t="shared" si="25"/>
        <v>21.299999999999997</v>
      </c>
      <c r="O91" s="64">
        <f t="shared" si="25"/>
        <v>20.100000000000001</v>
      </c>
      <c r="P91" s="64">
        <f t="shared" si="25"/>
        <v>26.4</v>
      </c>
      <c r="Q91" s="64">
        <f t="shared" si="25"/>
        <v>27.6</v>
      </c>
      <c r="R91" s="64">
        <f t="shared" si="25"/>
        <v>26</v>
      </c>
      <c r="S91" s="64">
        <f t="shared" si="25"/>
        <v>26.8</v>
      </c>
      <c r="T91" s="64">
        <f t="shared" si="25"/>
        <v>26</v>
      </c>
      <c r="U91" s="64">
        <f t="shared" si="25"/>
        <v>26</v>
      </c>
      <c r="V91" s="64">
        <f t="shared" si="25"/>
        <v>26.8</v>
      </c>
      <c r="W91" s="64">
        <f t="shared" si="25"/>
        <v>26</v>
      </c>
      <c r="X91" s="64">
        <f t="shared" si="25"/>
        <v>26.4</v>
      </c>
      <c r="Y91" s="64">
        <f t="shared" si="25"/>
        <v>26.4</v>
      </c>
      <c r="Z91" s="64">
        <f t="shared" si="25"/>
        <v>26</v>
      </c>
      <c r="AA91" s="64">
        <f t="shared" si="25"/>
        <v>26</v>
      </c>
      <c r="AB91" s="64">
        <f t="shared" si="25"/>
        <v>25.4</v>
      </c>
      <c r="AC91" s="64">
        <f t="shared" si="25"/>
        <v>19.200000000000003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21" t="s">
        <v>79</v>
      </c>
      <c r="B92" s="521"/>
      <c r="C92" s="522"/>
      <c r="D92" s="45"/>
      <c r="E92" s="45"/>
      <c r="F92" s="68">
        <v>0.71399999999999997</v>
      </c>
      <c r="G92" s="68">
        <v>0.71199999999999997</v>
      </c>
      <c r="H92" s="68">
        <v>0.98199999999999998</v>
      </c>
      <c r="I92" s="68">
        <v>1.0329999999999999</v>
      </c>
      <c r="J92" s="68">
        <v>0.94</v>
      </c>
      <c r="K92" s="68">
        <v>0.81499999999999995</v>
      </c>
      <c r="L92" s="68">
        <v>0.71099999999999997</v>
      </c>
      <c r="M92" s="68">
        <v>0.80300000000000005</v>
      </c>
      <c r="N92" s="68">
        <v>0.94799999999999995</v>
      </c>
      <c r="O92" s="68">
        <v>0.99199999999999999</v>
      </c>
      <c r="P92" s="68">
        <v>0.81699999999999995</v>
      </c>
      <c r="Q92" s="68">
        <v>0.76400000000000001</v>
      </c>
      <c r="R92" s="68">
        <v>0.77900000000000003</v>
      </c>
      <c r="S92" s="68">
        <v>1.02</v>
      </c>
      <c r="T92" s="68">
        <v>0.995</v>
      </c>
      <c r="U92" s="68">
        <v>0.997</v>
      </c>
      <c r="V92" s="68">
        <v>1</v>
      </c>
      <c r="W92" s="68">
        <v>0.81</v>
      </c>
      <c r="X92" s="68">
        <v>0.77100000000000002</v>
      </c>
      <c r="Y92" s="68">
        <v>0.82599999999999996</v>
      </c>
      <c r="Z92" s="68">
        <v>1.0629999999999999</v>
      </c>
      <c r="AA92" s="68">
        <v>1.0129999999999999</v>
      </c>
      <c r="AB92" s="68">
        <v>1.0509999999999999</v>
      </c>
      <c r="AC92" s="68">
        <v>0.72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07" t="s">
        <v>29</v>
      </c>
      <c r="B93" s="508"/>
      <c r="C93" s="509"/>
      <c r="D93" s="45"/>
      <c r="E93" s="45"/>
      <c r="F93" s="65">
        <f t="shared" ref="F93:AC93" si="26">F31</f>
        <v>8</v>
      </c>
      <c r="G93" s="65">
        <f t="shared" si="26"/>
        <v>8</v>
      </c>
      <c r="H93" s="65">
        <f t="shared" si="26"/>
        <v>8.8000000000000007</v>
      </c>
      <c r="I93" s="65">
        <f t="shared" si="26"/>
        <v>7</v>
      </c>
      <c r="J93" s="65">
        <f t="shared" si="26"/>
        <v>7</v>
      </c>
      <c r="K93" s="65">
        <f t="shared" si="26"/>
        <v>6.4</v>
      </c>
      <c r="L93" s="65">
        <f t="shared" si="26"/>
        <v>8</v>
      </c>
      <c r="M93" s="65">
        <f t="shared" si="26"/>
        <v>8.1999999999999993</v>
      </c>
      <c r="N93" s="65">
        <f t="shared" si="26"/>
        <v>8.4</v>
      </c>
      <c r="O93" s="65">
        <f t="shared" si="26"/>
        <v>12.600000000000001</v>
      </c>
      <c r="P93" s="65">
        <f t="shared" si="26"/>
        <v>13.5</v>
      </c>
      <c r="Q93" s="65">
        <f t="shared" si="26"/>
        <v>13.9</v>
      </c>
      <c r="R93" s="65">
        <f t="shared" si="26"/>
        <v>14.5</v>
      </c>
      <c r="S93" s="65">
        <f t="shared" si="26"/>
        <v>13.6</v>
      </c>
      <c r="T93" s="65">
        <f>T31</f>
        <v>9.3000000000000007</v>
      </c>
      <c r="U93" s="65">
        <f t="shared" si="26"/>
        <v>13.5</v>
      </c>
      <c r="V93" s="65">
        <f t="shared" si="26"/>
        <v>13.8</v>
      </c>
      <c r="W93" s="65">
        <f t="shared" si="26"/>
        <v>12.5</v>
      </c>
      <c r="X93" s="65">
        <f t="shared" si="26"/>
        <v>10.8</v>
      </c>
      <c r="Y93" s="65">
        <f t="shared" si="26"/>
        <v>12.4</v>
      </c>
      <c r="Z93" s="65">
        <f t="shared" si="26"/>
        <v>11</v>
      </c>
      <c r="AA93" s="65">
        <f t="shared" si="26"/>
        <v>8.4</v>
      </c>
      <c r="AB93" s="65">
        <f t="shared" si="26"/>
        <v>6</v>
      </c>
      <c r="AC93" s="65">
        <f t="shared" si="26"/>
        <v>8.1999999999999993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21" t="s">
        <v>102</v>
      </c>
      <c r="B94" s="521"/>
      <c r="C94" s="522"/>
      <c r="D94" s="45"/>
      <c r="E94" s="45"/>
      <c r="F94" s="68">
        <v>0.26200000000000001</v>
      </c>
      <c r="G94" s="68">
        <v>0.27</v>
      </c>
      <c r="H94" s="68">
        <v>0.26600000000000001</v>
      </c>
      <c r="I94" s="68">
        <v>0.25800000000000001</v>
      </c>
      <c r="J94" s="68">
        <v>0.25</v>
      </c>
      <c r="K94" s="68">
        <v>0.255</v>
      </c>
      <c r="L94" s="68">
        <v>0.252</v>
      </c>
      <c r="M94" s="68">
        <v>0.26500000000000001</v>
      </c>
      <c r="N94" s="68">
        <v>0.26800000000000002</v>
      </c>
      <c r="O94" s="68">
        <v>0.27800000000000002</v>
      </c>
      <c r="P94" s="68">
        <v>0.28499999999999998</v>
      </c>
      <c r="Q94" s="68">
        <v>0.28999999999999998</v>
      </c>
      <c r="R94" s="68">
        <v>0.28000000000000003</v>
      </c>
      <c r="S94" s="68">
        <v>0.27900000000000003</v>
      </c>
      <c r="T94" s="68">
        <v>0.28599999999999998</v>
      </c>
      <c r="U94" s="68">
        <v>0.31</v>
      </c>
      <c r="V94" s="68">
        <v>0.27400000000000002</v>
      </c>
      <c r="W94" s="68">
        <v>0.28499999999999998</v>
      </c>
      <c r="X94" s="68">
        <v>0.27500000000000002</v>
      </c>
      <c r="Y94" s="68">
        <v>0.26200000000000001</v>
      </c>
      <c r="Z94" s="68">
        <v>0.26500000000000001</v>
      </c>
      <c r="AA94" s="68">
        <v>0.26400000000000001</v>
      </c>
      <c r="AB94" s="68">
        <v>0.26800000000000002</v>
      </c>
      <c r="AC94" s="68">
        <v>0.27300000000000002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21" t="s">
        <v>104</v>
      </c>
      <c r="B95" s="521"/>
      <c r="C95" s="522"/>
      <c r="D95" s="45"/>
      <c r="E95" s="45"/>
      <c r="F95" s="68" t="s">
        <v>1</v>
      </c>
      <c r="G95" s="68" t="s">
        <v>1</v>
      </c>
      <c r="H95" s="68" t="s">
        <v>1</v>
      </c>
      <c r="I95" s="68" t="s">
        <v>1</v>
      </c>
      <c r="J95" s="68" t="s">
        <v>1</v>
      </c>
      <c r="K95" s="68" t="s">
        <v>1</v>
      </c>
      <c r="L95" s="68" t="s">
        <v>1</v>
      </c>
      <c r="M95" s="68"/>
      <c r="N95" s="68"/>
      <c r="O95" s="68">
        <v>0.2069</v>
      </c>
      <c r="P95" s="68">
        <v>0.2079</v>
      </c>
      <c r="Q95" s="68">
        <v>0.2064</v>
      </c>
      <c r="R95" s="68">
        <v>0.20749999999999999</v>
      </c>
      <c r="S95" s="68">
        <v>0.2059</v>
      </c>
      <c r="T95" s="68">
        <v>0.21690000000000001</v>
      </c>
      <c r="U95" s="68">
        <v>0.191</v>
      </c>
      <c r="V95" s="68">
        <v>0.20419999999999999</v>
      </c>
      <c r="W95" s="68">
        <v>0.2036</v>
      </c>
      <c r="X95" s="68">
        <v>0.21129999999999999</v>
      </c>
      <c r="Y95" s="68">
        <v>0.2145</v>
      </c>
      <c r="Z95" s="68">
        <v>0.2213</v>
      </c>
      <c r="AA95" s="68" t="s">
        <v>1</v>
      </c>
      <c r="AB95" s="68" t="s">
        <v>1</v>
      </c>
      <c r="AC95" s="68" t="s">
        <v>1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07" t="s">
        <v>32</v>
      </c>
      <c r="B96" s="508"/>
      <c r="C96" s="509"/>
      <c r="D96" s="45"/>
      <c r="E96" s="45"/>
      <c r="F96" s="65">
        <f t="shared" ref="F96:AC96" si="27">F34</f>
        <v>14.28</v>
      </c>
      <c r="G96" s="65">
        <f t="shared" si="27"/>
        <v>14.31</v>
      </c>
      <c r="H96" s="65">
        <f t="shared" si="27"/>
        <v>14.32</v>
      </c>
      <c r="I96" s="65">
        <f t="shared" si="27"/>
        <v>14.32</v>
      </c>
      <c r="J96" s="65">
        <f t="shared" si="27"/>
        <v>14.3</v>
      </c>
      <c r="K96" s="65">
        <f t="shared" si="27"/>
        <v>14.29</v>
      </c>
      <c r="L96" s="65">
        <f t="shared" si="27"/>
        <v>14.24</v>
      </c>
      <c r="M96" s="65">
        <f t="shared" si="27"/>
        <v>14.32</v>
      </c>
      <c r="N96" s="65">
        <f t="shared" si="27"/>
        <v>14.31</v>
      </c>
      <c r="O96" s="65">
        <f t="shared" si="27"/>
        <v>14.29</v>
      </c>
      <c r="P96" s="65">
        <f t="shared" si="27"/>
        <v>14.24</v>
      </c>
      <c r="Q96" s="65">
        <f t="shared" si="27"/>
        <v>14.27</v>
      </c>
      <c r="R96" s="65">
        <f t="shared" si="27"/>
        <v>14.26</v>
      </c>
      <c r="S96" s="65">
        <f t="shared" si="27"/>
        <v>14.28</v>
      </c>
      <c r="T96" s="65">
        <f t="shared" si="27"/>
        <v>14.29</v>
      </c>
      <c r="U96" s="65">
        <f t="shared" si="27"/>
        <v>14.28</v>
      </c>
      <c r="V96" s="65">
        <f t="shared" si="27"/>
        <v>14.28</v>
      </c>
      <c r="W96" s="65">
        <f t="shared" si="27"/>
        <v>14.25</v>
      </c>
      <c r="X96" s="65">
        <f t="shared" si="27"/>
        <v>14.26</v>
      </c>
      <c r="Y96" s="65">
        <f t="shared" si="27"/>
        <v>14.26</v>
      </c>
      <c r="Z96" s="65">
        <f t="shared" si="27"/>
        <v>14.28</v>
      </c>
      <c r="AA96" s="65">
        <f t="shared" si="27"/>
        <v>14.29</v>
      </c>
      <c r="AB96" s="65">
        <f t="shared" si="27"/>
        <v>14.31</v>
      </c>
      <c r="AC96" s="65">
        <f t="shared" si="27"/>
        <v>14.32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21" t="s">
        <v>81</v>
      </c>
      <c r="B97" s="521"/>
      <c r="C97" s="522"/>
      <c r="D97" s="68"/>
      <c r="E97" s="68"/>
      <c r="F97" s="68">
        <v>0.72</v>
      </c>
      <c r="G97" s="68">
        <v>0.69</v>
      </c>
      <c r="H97" s="68">
        <v>0.68</v>
      </c>
      <c r="I97" s="68">
        <v>0.68</v>
      </c>
      <c r="J97" s="68">
        <v>0.7</v>
      </c>
      <c r="K97" s="68">
        <v>0.71</v>
      </c>
      <c r="L97" s="68">
        <v>0.76</v>
      </c>
      <c r="M97" s="68">
        <v>0.68</v>
      </c>
      <c r="N97" s="68">
        <v>0.69</v>
      </c>
      <c r="O97" s="68">
        <v>0.71</v>
      </c>
      <c r="P97" s="68">
        <v>0.76</v>
      </c>
      <c r="Q97" s="68">
        <v>0.73</v>
      </c>
      <c r="R97" s="68">
        <v>0.74</v>
      </c>
      <c r="S97" s="68">
        <v>0.72</v>
      </c>
      <c r="T97" s="68">
        <v>0.71</v>
      </c>
      <c r="U97" s="68">
        <v>0.72</v>
      </c>
      <c r="V97" s="68">
        <v>0.72</v>
      </c>
      <c r="W97" s="68">
        <v>0.75</v>
      </c>
      <c r="X97" s="68">
        <v>0.74</v>
      </c>
      <c r="Y97" s="68">
        <v>0.74</v>
      </c>
      <c r="Z97" s="68">
        <v>0.72</v>
      </c>
      <c r="AA97" s="68">
        <v>0.71</v>
      </c>
      <c r="AB97" s="68">
        <v>0.69</v>
      </c>
      <c r="AC97" s="68">
        <v>0.68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07" t="s">
        <v>33</v>
      </c>
      <c r="B98" s="508"/>
      <c r="C98" s="509"/>
      <c r="D98" s="45"/>
      <c r="E98" s="45"/>
      <c r="F98" s="64">
        <f t="shared" ref="F98:AC98" si="28">F60</f>
        <v>0</v>
      </c>
      <c r="G98" s="64">
        <f t="shared" si="28"/>
        <v>0</v>
      </c>
      <c r="H98" s="64">
        <f t="shared" si="28"/>
        <v>0</v>
      </c>
      <c r="I98" s="64">
        <f t="shared" si="28"/>
        <v>0</v>
      </c>
      <c r="J98" s="64">
        <f t="shared" si="28"/>
        <v>0</v>
      </c>
      <c r="K98" s="64">
        <f t="shared" si="28"/>
        <v>0</v>
      </c>
      <c r="L98" s="64">
        <f t="shared" si="28"/>
        <v>0.7</v>
      </c>
      <c r="M98" s="64">
        <f t="shared" si="28"/>
        <v>0</v>
      </c>
      <c r="N98" s="64">
        <f t="shared" si="28"/>
        <v>3.8</v>
      </c>
      <c r="O98" s="64">
        <f t="shared" si="28"/>
        <v>3</v>
      </c>
      <c r="P98" s="64">
        <f t="shared" si="28"/>
        <v>0.6</v>
      </c>
      <c r="Q98" s="64">
        <f t="shared" si="28"/>
        <v>0</v>
      </c>
      <c r="R98" s="64">
        <f t="shared" si="28"/>
        <v>3.5999999999999996</v>
      </c>
      <c r="S98" s="64">
        <f t="shared" si="28"/>
        <v>3.5999999999999996</v>
      </c>
      <c r="T98" s="64">
        <f t="shared" si="28"/>
        <v>3.5999999999999996</v>
      </c>
      <c r="U98" s="64">
        <f t="shared" si="28"/>
        <v>4.4000000000000004</v>
      </c>
      <c r="V98" s="64">
        <f t="shared" si="28"/>
        <v>2.9000000000000004</v>
      </c>
      <c r="W98" s="64">
        <f t="shared" si="28"/>
        <v>2.2999999999999998</v>
      </c>
      <c r="X98" s="64">
        <f t="shared" si="28"/>
        <v>0.8</v>
      </c>
      <c r="Y98" s="64">
        <f t="shared" si="28"/>
        <v>0.7</v>
      </c>
      <c r="Z98" s="64">
        <f t="shared" si="28"/>
        <v>0.8</v>
      </c>
      <c r="AA98" s="64">
        <f t="shared" si="28"/>
        <v>0</v>
      </c>
      <c r="AB98" s="64">
        <f t="shared" si="28"/>
        <v>0</v>
      </c>
      <c r="AC98" s="64">
        <f t="shared" si="28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07" t="s">
        <v>55</v>
      </c>
      <c r="B99" s="508"/>
      <c r="C99" s="509"/>
      <c r="D99" s="45"/>
      <c r="E99" s="45"/>
      <c r="F99" s="64">
        <f t="shared" ref="F99:AC99" si="29">F65</f>
        <v>1.1399999999999999</v>
      </c>
      <c r="G99" s="64">
        <f t="shared" si="29"/>
        <v>1.0900000000000001</v>
      </c>
      <c r="H99" s="64">
        <f t="shared" si="29"/>
        <v>1.06</v>
      </c>
      <c r="I99" s="64">
        <f t="shared" si="29"/>
        <v>0.99</v>
      </c>
      <c r="J99" s="64">
        <f t="shared" si="29"/>
        <v>0.99</v>
      </c>
      <c r="K99" s="64">
        <f t="shared" si="29"/>
        <v>1.04</v>
      </c>
      <c r="L99" s="64">
        <f t="shared" si="29"/>
        <v>1.05</v>
      </c>
      <c r="M99" s="64">
        <f t="shared" si="29"/>
        <v>1.0900000000000001</v>
      </c>
      <c r="N99" s="64">
        <f t="shared" si="29"/>
        <v>1.25</v>
      </c>
      <c r="O99" s="64">
        <f t="shared" si="29"/>
        <v>1.38</v>
      </c>
      <c r="P99" s="64">
        <f t="shared" si="29"/>
        <v>1.44</v>
      </c>
      <c r="Q99" s="64">
        <f t="shared" si="29"/>
        <v>1.54</v>
      </c>
      <c r="R99" s="64">
        <f t="shared" si="29"/>
        <v>1.56</v>
      </c>
      <c r="S99" s="64">
        <f t="shared" si="29"/>
        <v>1.5500000000000003</v>
      </c>
      <c r="T99" s="64">
        <f t="shared" si="29"/>
        <v>1.55</v>
      </c>
      <c r="U99" s="64">
        <f t="shared" si="29"/>
        <v>1.58</v>
      </c>
      <c r="V99" s="64">
        <f t="shared" si="29"/>
        <v>1.56</v>
      </c>
      <c r="W99" s="64">
        <f t="shared" si="29"/>
        <v>1.39</v>
      </c>
      <c r="X99" s="64">
        <f t="shared" si="29"/>
        <v>1.29</v>
      </c>
      <c r="Y99" s="64">
        <f t="shared" si="29"/>
        <v>1.6</v>
      </c>
      <c r="Z99" s="64">
        <f t="shared" si="29"/>
        <v>1.57</v>
      </c>
      <c r="AA99" s="64">
        <f t="shared" si="29"/>
        <v>1.29</v>
      </c>
      <c r="AB99" s="64">
        <f t="shared" si="29"/>
        <v>1.33</v>
      </c>
      <c r="AC99" s="64">
        <f t="shared" si="29"/>
        <v>1.24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07" t="s">
        <v>59</v>
      </c>
      <c r="B100" s="508"/>
      <c r="C100" s="509"/>
      <c r="D100" s="45"/>
      <c r="E100" s="45"/>
      <c r="F100" s="64">
        <f t="shared" ref="F100:AC100" si="30">F76</f>
        <v>0</v>
      </c>
      <c r="G100" s="64">
        <f t="shared" si="30"/>
        <v>0</v>
      </c>
      <c r="H100" s="64">
        <f t="shared" si="30"/>
        <v>0</v>
      </c>
      <c r="I100" s="64">
        <f t="shared" si="30"/>
        <v>0</v>
      </c>
      <c r="J100" s="64">
        <f t="shared" si="30"/>
        <v>0</v>
      </c>
      <c r="K100" s="64">
        <f t="shared" si="30"/>
        <v>0</v>
      </c>
      <c r="L100" s="64">
        <f t="shared" si="30"/>
        <v>0</v>
      </c>
      <c r="M100" s="64">
        <f t="shared" si="30"/>
        <v>0</v>
      </c>
      <c r="N100" s="64">
        <f t="shared" si="30"/>
        <v>0</v>
      </c>
      <c r="O100" s="64">
        <f t="shared" si="30"/>
        <v>0</v>
      </c>
      <c r="P100" s="64">
        <f t="shared" si="30"/>
        <v>0</v>
      </c>
      <c r="Q100" s="64">
        <f t="shared" si="30"/>
        <v>0</v>
      </c>
      <c r="R100" s="64">
        <f t="shared" si="30"/>
        <v>0</v>
      </c>
      <c r="S100" s="64">
        <f t="shared" si="30"/>
        <v>0</v>
      </c>
      <c r="T100" s="64">
        <f t="shared" si="30"/>
        <v>0</v>
      </c>
      <c r="U100" s="64">
        <f t="shared" si="30"/>
        <v>0</v>
      </c>
      <c r="V100" s="64">
        <f t="shared" si="30"/>
        <v>0</v>
      </c>
      <c r="W100" s="64">
        <f t="shared" si="30"/>
        <v>0</v>
      </c>
      <c r="X100" s="64">
        <f t="shared" si="30"/>
        <v>0</v>
      </c>
      <c r="Y100" s="64">
        <f t="shared" si="30"/>
        <v>0</v>
      </c>
      <c r="Z100" s="64">
        <f t="shared" si="30"/>
        <v>0</v>
      </c>
      <c r="AA100" s="64">
        <f t="shared" si="30"/>
        <v>0</v>
      </c>
      <c r="AB100" s="64">
        <f t="shared" si="30"/>
        <v>0</v>
      </c>
      <c r="AC100" s="64">
        <f t="shared" si="30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07" t="s">
        <v>69</v>
      </c>
      <c r="B101" s="508"/>
      <c r="C101" s="509"/>
      <c r="D101" s="45"/>
      <c r="E101" s="45"/>
      <c r="F101" s="64">
        <f t="shared" ref="F101:AC101" si="31">F80</f>
        <v>0.89</v>
      </c>
      <c r="G101" s="64">
        <f t="shared" si="31"/>
        <v>0.84</v>
      </c>
      <c r="H101" s="64">
        <f t="shared" si="31"/>
        <v>0.83</v>
      </c>
      <c r="I101" s="64">
        <f t="shared" si="31"/>
        <v>0.78</v>
      </c>
      <c r="J101" s="64">
        <f t="shared" si="31"/>
        <v>0.77</v>
      </c>
      <c r="K101" s="64">
        <f t="shared" si="31"/>
        <v>0.8</v>
      </c>
      <c r="L101" s="64">
        <f t="shared" si="31"/>
        <v>0.81</v>
      </c>
      <c r="M101" s="64">
        <f t="shared" si="31"/>
        <v>0.76</v>
      </c>
      <c r="N101" s="64">
        <f t="shared" si="31"/>
        <v>0.8</v>
      </c>
      <c r="O101" s="64">
        <f t="shared" si="31"/>
        <v>0.87</v>
      </c>
      <c r="P101" s="64">
        <f t="shared" si="31"/>
        <v>0.88</v>
      </c>
      <c r="Q101" s="64">
        <f t="shared" si="31"/>
        <v>0.93</v>
      </c>
      <c r="R101" s="64">
        <f t="shared" si="31"/>
        <v>0.94</v>
      </c>
      <c r="S101" s="64">
        <f t="shared" si="31"/>
        <v>0.96</v>
      </c>
      <c r="T101" s="64">
        <f t="shared" si="31"/>
        <v>0.9</v>
      </c>
      <c r="U101" s="64">
        <f t="shared" si="31"/>
        <v>0.92</v>
      </c>
      <c r="V101" s="64">
        <f t="shared" si="31"/>
        <v>0.91</v>
      </c>
      <c r="W101" s="64">
        <f t="shared" si="31"/>
        <v>0.88</v>
      </c>
      <c r="X101" s="64">
        <f t="shared" si="31"/>
        <v>0.87</v>
      </c>
      <c r="Y101" s="64">
        <f t="shared" si="31"/>
        <v>0.98</v>
      </c>
      <c r="Z101" s="64">
        <f t="shared" si="31"/>
        <v>0.98</v>
      </c>
      <c r="AA101" s="64">
        <f t="shared" si="31"/>
        <v>0.99</v>
      </c>
      <c r="AB101" s="64">
        <f t="shared" si="31"/>
        <v>0.93</v>
      </c>
      <c r="AC101" s="64">
        <f t="shared" si="31"/>
        <v>0.88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07" t="s">
        <v>72</v>
      </c>
      <c r="B102" s="508"/>
      <c r="C102" s="509"/>
      <c r="D102" s="45"/>
      <c r="E102" s="45"/>
      <c r="F102" s="64">
        <f t="shared" ref="F102:AC102" si="32">F82</f>
        <v>0</v>
      </c>
      <c r="G102" s="64">
        <f t="shared" si="32"/>
        <v>0</v>
      </c>
      <c r="H102" s="64">
        <f t="shared" si="32"/>
        <v>0</v>
      </c>
      <c r="I102" s="64">
        <f t="shared" si="32"/>
        <v>0</v>
      </c>
      <c r="J102" s="64">
        <f t="shared" si="32"/>
        <v>0</v>
      </c>
      <c r="K102" s="64">
        <f t="shared" si="32"/>
        <v>0</v>
      </c>
      <c r="L102" s="64">
        <f t="shared" si="32"/>
        <v>0</v>
      </c>
      <c r="M102" s="64">
        <f t="shared" si="32"/>
        <v>0</v>
      </c>
      <c r="N102" s="64">
        <f t="shared" si="32"/>
        <v>0</v>
      </c>
      <c r="O102" s="64">
        <f t="shared" si="32"/>
        <v>0</v>
      </c>
      <c r="P102" s="64">
        <f t="shared" si="32"/>
        <v>0</v>
      </c>
      <c r="Q102" s="64">
        <f t="shared" si="32"/>
        <v>0</v>
      </c>
      <c r="R102" s="64">
        <f t="shared" si="32"/>
        <v>0</v>
      </c>
      <c r="S102" s="64">
        <f t="shared" si="32"/>
        <v>0</v>
      </c>
      <c r="T102" s="64">
        <f t="shared" si="32"/>
        <v>0</v>
      </c>
      <c r="U102" s="64">
        <f t="shared" si="32"/>
        <v>0</v>
      </c>
      <c r="V102" s="64">
        <f t="shared" si="32"/>
        <v>0</v>
      </c>
      <c r="W102" s="64">
        <f t="shared" si="32"/>
        <v>0</v>
      </c>
      <c r="X102" s="64">
        <f t="shared" si="32"/>
        <v>0</v>
      </c>
      <c r="Y102" s="64">
        <f t="shared" si="32"/>
        <v>0</v>
      </c>
      <c r="Z102" s="64">
        <f t="shared" si="32"/>
        <v>0</v>
      </c>
      <c r="AA102" s="64">
        <f t="shared" si="32"/>
        <v>0</v>
      </c>
      <c r="AB102" s="64">
        <f t="shared" si="32"/>
        <v>0</v>
      </c>
      <c r="AC102" s="64">
        <f t="shared" si="32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11" t="s">
        <v>82</v>
      </c>
      <c r="B103" s="511"/>
      <c r="C103" s="511"/>
      <c r="D103" s="47"/>
      <c r="E103" s="47"/>
      <c r="F103" s="61">
        <f t="shared" ref="F103:AC103" si="33">SUM(F89,F91,F93,F96,F98:F102,F81)</f>
        <v>49.71</v>
      </c>
      <c r="G103" s="61">
        <f t="shared" si="33"/>
        <v>47.640000000000008</v>
      </c>
      <c r="H103" s="61">
        <f t="shared" si="33"/>
        <v>45.41</v>
      </c>
      <c r="I103" s="61">
        <f t="shared" si="33"/>
        <v>43.190000000000005</v>
      </c>
      <c r="J103" s="61">
        <f t="shared" si="33"/>
        <v>42.56</v>
      </c>
      <c r="K103" s="61">
        <f t="shared" si="33"/>
        <v>42.329999999999991</v>
      </c>
      <c r="L103" s="61">
        <f t="shared" si="33"/>
        <v>45</v>
      </c>
      <c r="M103" s="61">
        <f t="shared" si="33"/>
        <v>44.77</v>
      </c>
      <c r="N103" s="61">
        <f t="shared" si="33"/>
        <v>53.66</v>
      </c>
      <c r="O103" s="61">
        <f t="shared" si="33"/>
        <v>62.64</v>
      </c>
      <c r="P103" s="61">
        <f t="shared" si="33"/>
        <v>67.45999999999998</v>
      </c>
      <c r="Q103" s="61">
        <f t="shared" si="33"/>
        <v>68.640000000000015</v>
      </c>
      <c r="R103" s="61">
        <f t="shared" si="33"/>
        <v>68.459999999999994</v>
      </c>
      <c r="S103" s="61">
        <f>SUM(S89,S91,S93,S96,S98:S102,S81)</f>
        <v>70.889999999999986</v>
      </c>
      <c r="T103" s="61">
        <f t="shared" si="33"/>
        <v>65.540000000000006</v>
      </c>
      <c r="U103" s="61">
        <f t="shared" si="33"/>
        <v>71.08</v>
      </c>
      <c r="V103" s="61">
        <f t="shared" si="33"/>
        <v>70.650000000000006</v>
      </c>
      <c r="W103" s="61">
        <f t="shared" si="33"/>
        <v>67.72</v>
      </c>
      <c r="X103" s="61">
        <f t="shared" si="33"/>
        <v>62.419999999999995</v>
      </c>
      <c r="Y103" s="61">
        <f t="shared" si="33"/>
        <v>66.739999999999995</v>
      </c>
      <c r="Z103" s="61">
        <f t="shared" si="33"/>
        <v>62.629999999999995</v>
      </c>
      <c r="AA103" s="61">
        <f t="shared" si="33"/>
        <v>61.37</v>
      </c>
      <c r="AB103" s="61">
        <f t="shared" si="33"/>
        <v>56.47</v>
      </c>
      <c r="AC103" s="61">
        <f t="shared" si="33"/>
        <v>54.24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12" t="s">
        <v>83</v>
      </c>
      <c r="B104" s="512"/>
      <c r="C104" s="512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>
        <v>5.3</v>
      </c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12" t="s">
        <v>84</v>
      </c>
      <c r="B105" s="512"/>
      <c r="C105" s="512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12" t="s">
        <v>85</v>
      </c>
      <c r="B106" s="512"/>
      <c r="C106" s="512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11" t="s">
        <v>86</v>
      </c>
      <c r="B107" s="511"/>
      <c r="C107" s="511"/>
      <c r="D107" s="47"/>
      <c r="E107" s="47"/>
      <c r="F107" s="61">
        <f t="shared" ref="F107:AC107" si="34">SUM(F104:F106)</f>
        <v>0</v>
      </c>
      <c r="G107" s="61">
        <f t="shared" si="34"/>
        <v>0</v>
      </c>
      <c r="H107" s="61">
        <f t="shared" si="34"/>
        <v>0</v>
      </c>
      <c r="I107" s="61">
        <f t="shared" si="34"/>
        <v>0</v>
      </c>
      <c r="J107" s="61">
        <f t="shared" si="34"/>
        <v>0</v>
      </c>
      <c r="K107" s="61">
        <f t="shared" si="34"/>
        <v>0</v>
      </c>
      <c r="L107" s="61">
        <f t="shared" si="34"/>
        <v>0</v>
      </c>
      <c r="M107" s="61">
        <f t="shared" si="34"/>
        <v>0</v>
      </c>
      <c r="N107" s="61">
        <f t="shared" si="34"/>
        <v>0</v>
      </c>
      <c r="O107" s="61">
        <f t="shared" si="34"/>
        <v>0</v>
      </c>
      <c r="P107" s="61">
        <f t="shared" si="34"/>
        <v>0</v>
      </c>
      <c r="Q107" s="61">
        <f t="shared" si="34"/>
        <v>0</v>
      </c>
      <c r="R107" s="61">
        <f t="shared" si="34"/>
        <v>0</v>
      </c>
      <c r="S107" s="61">
        <f t="shared" si="34"/>
        <v>0</v>
      </c>
      <c r="T107" s="61">
        <f t="shared" si="34"/>
        <v>5.3</v>
      </c>
      <c r="U107" s="61">
        <f t="shared" si="34"/>
        <v>0</v>
      </c>
      <c r="V107" s="61">
        <f t="shared" si="34"/>
        <v>0</v>
      </c>
      <c r="W107" s="61">
        <f t="shared" si="34"/>
        <v>0</v>
      </c>
      <c r="X107" s="61">
        <f t="shared" si="34"/>
        <v>0</v>
      </c>
      <c r="Y107" s="61">
        <f t="shared" si="34"/>
        <v>0</v>
      </c>
      <c r="Z107" s="61">
        <f t="shared" si="34"/>
        <v>0</v>
      </c>
      <c r="AA107" s="61">
        <f t="shared" si="34"/>
        <v>0</v>
      </c>
      <c r="AB107" s="61">
        <f t="shared" si="34"/>
        <v>0</v>
      </c>
      <c r="AC107" s="61">
        <f t="shared" si="34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13" t="s">
        <v>87</v>
      </c>
      <c r="B108" s="513"/>
      <c r="C108" s="513"/>
      <c r="D108" s="48"/>
      <c r="E108" s="48"/>
      <c r="F108" s="62">
        <f t="shared" ref="F108:AC108" si="35">F103+F107</f>
        <v>49.71</v>
      </c>
      <c r="G108" s="62">
        <f t="shared" si="35"/>
        <v>47.640000000000008</v>
      </c>
      <c r="H108" s="62">
        <f t="shared" si="35"/>
        <v>45.41</v>
      </c>
      <c r="I108" s="62">
        <f t="shared" si="35"/>
        <v>43.190000000000005</v>
      </c>
      <c r="J108" s="62">
        <f t="shared" si="35"/>
        <v>42.56</v>
      </c>
      <c r="K108" s="62">
        <f t="shared" si="35"/>
        <v>42.329999999999991</v>
      </c>
      <c r="L108" s="62">
        <f t="shared" si="35"/>
        <v>45</v>
      </c>
      <c r="M108" s="62">
        <f t="shared" si="35"/>
        <v>44.77</v>
      </c>
      <c r="N108" s="62">
        <f t="shared" si="35"/>
        <v>53.66</v>
      </c>
      <c r="O108" s="62">
        <f t="shared" si="35"/>
        <v>62.64</v>
      </c>
      <c r="P108" s="62">
        <f t="shared" si="35"/>
        <v>67.45999999999998</v>
      </c>
      <c r="Q108" s="62">
        <f t="shared" si="35"/>
        <v>68.640000000000015</v>
      </c>
      <c r="R108" s="62">
        <f t="shared" si="35"/>
        <v>68.459999999999994</v>
      </c>
      <c r="S108" s="62">
        <f>S103+S107</f>
        <v>70.889999999999986</v>
      </c>
      <c r="T108" s="62">
        <f>T103+T107</f>
        <v>70.84</v>
      </c>
      <c r="U108" s="62">
        <f t="shared" si="35"/>
        <v>71.08</v>
      </c>
      <c r="V108" s="62">
        <f t="shared" si="35"/>
        <v>70.650000000000006</v>
      </c>
      <c r="W108" s="62">
        <f>W103+W107</f>
        <v>67.72</v>
      </c>
      <c r="X108" s="62">
        <f t="shared" si="35"/>
        <v>62.419999999999995</v>
      </c>
      <c r="Y108" s="62">
        <f t="shared" si="35"/>
        <v>66.739999999999995</v>
      </c>
      <c r="Z108" s="62">
        <f t="shared" si="35"/>
        <v>62.629999999999995</v>
      </c>
      <c r="AA108" s="62">
        <f t="shared" si="35"/>
        <v>61.37</v>
      </c>
      <c r="AB108" s="62">
        <f t="shared" si="35"/>
        <v>56.47</v>
      </c>
      <c r="AC108" s="62">
        <f t="shared" si="35"/>
        <v>54.24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14" t="s">
        <v>88</v>
      </c>
      <c r="B109" s="514"/>
      <c r="C109" s="514"/>
      <c r="D109" s="52"/>
      <c r="E109" s="52"/>
      <c r="F109" s="63">
        <f t="shared" ref="F109:AC109" si="36">(COUNT(F13:F16))*7.2+(COUNT(F27:F28)*4.9)+(COUNT(F19:F21)*4.5)-F91-F93</f>
        <v>8.5000000000000071</v>
      </c>
      <c r="G109" s="63">
        <f t="shared" si="36"/>
        <v>3.0000000000000036</v>
      </c>
      <c r="H109" s="63">
        <f t="shared" si="36"/>
        <v>2.2000000000000028</v>
      </c>
      <c r="I109" s="63">
        <f t="shared" si="36"/>
        <v>4.3000000000000007</v>
      </c>
      <c r="J109" s="63">
        <f t="shared" si="36"/>
        <v>12.100000000000001</v>
      </c>
      <c r="K109" s="63">
        <f t="shared" si="36"/>
        <v>12.400000000000004</v>
      </c>
      <c r="L109" s="63">
        <f t="shared" si="36"/>
        <v>10.400000000000002</v>
      </c>
      <c r="M109" s="63">
        <f t="shared" si="36"/>
        <v>10.000000000000004</v>
      </c>
      <c r="N109" s="63">
        <f t="shared" si="36"/>
        <v>13.400000000000004</v>
      </c>
      <c r="O109" s="63">
        <f t="shared" si="36"/>
        <v>14.899999999999999</v>
      </c>
      <c r="P109" s="63">
        <f t="shared" si="36"/>
        <v>7.7000000000000028</v>
      </c>
      <c r="Q109" s="63">
        <f t="shared" si="36"/>
        <v>6.1</v>
      </c>
      <c r="R109" s="63">
        <f t="shared" si="36"/>
        <v>2.6000000000000014</v>
      </c>
      <c r="S109" s="63">
        <f t="shared" si="36"/>
        <v>7.2000000000000011</v>
      </c>
      <c r="T109" s="63">
        <f t="shared" si="36"/>
        <v>7.4000000000000021</v>
      </c>
      <c r="U109" s="63">
        <f t="shared" si="36"/>
        <v>8.1000000000000014</v>
      </c>
      <c r="V109" s="63">
        <f t="shared" si="36"/>
        <v>7</v>
      </c>
      <c r="W109" s="63">
        <f t="shared" si="36"/>
        <v>9.1000000000000014</v>
      </c>
      <c r="X109" s="63">
        <f t="shared" si="36"/>
        <v>10.400000000000002</v>
      </c>
      <c r="Y109" s="63">
        <f t="shared" si="36"/>
        <v>8.8000000000000025</v>
      </c>
      <c r="Z109" s="63">
        <f t="shared" si="36"/>
        <v>10.600000000000001</v>
      </c>
      <c r="AA109" s="63">
        <f t="shared" si="36"/>
        <v>13.200000000000001</v>
      </c>
      <c r="AB109" s="63">
        <f t="shared" si="36"/>
        <v>16.200000000000003</v>
      </c>
      <c r="AC109" s="63">
        <f t="shared" si="36"/>
        <v>20.2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15" t="s">
        <v>89</v>
      </c>
      <c r="B110" s="516"/>
      <c r="C110" s="517"/>
      <c r="D110" s="204"/>
      <c r="E110" s="204"/>
      <c r="F110" s="205">
        <f t="shared" ref="F110:P110" si="37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5.6000000000000032</v>
      </c>
      <c r="G110" s="205">
        <f t="shared" si="37"/>
        <v>3.1000000000000032</v>
      </c>
      <c r="H110" s="205">
        <f t="shared" si="37"/>
        <v>0.80000000000000249</v>
      </c>
      <c r="I110" s="205">
        <f t="shared" si="37"/>
        <v>2.9000000000000004</v>
      </c>
      <c r="J110" s="205">
        <f t="shared" si="37"/>
        <v>3.5000000000000018</v>
      </c>
      <c r="K110" s="205">
        <f t="shared" si="37"/>
        <v>3.8000000000000043</v>
      </c>
      <c r="L110" s="205">
        <f t="shared" si="37"/>
        <v>9</v>
      </c>
      <c r="M110" s="205">
        <f t="shared" si="37"/>
        <v>1.4000000000000039</v>
      </c>
      <c r="N110" s="205">
        <f t="shared" si="37"/>
        <v>1.0000000000000044</v>
      </c>
      <c r="O110" s="205">
        <f t="shared" si="37"/>
        <v>-0.60000000000000053</v>
      </c>
      <c r="P110" s="205">
        <f t="shared" si="37"/>
        <v>-0.59999999999999698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-0.79999999999999982</v>
      </c>
      <c r="R110" s="205">
        <f t="shared" ref="R110:AC110" si="38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-1.2999999999999989</v>
      </c>
      <c r="S110" s="205">
        <f t="shared" si="38"/>
        <v>-0.19999999999999929</v>
      </c>
      <c r="T110" s="205">
        <f t="shared" si="38"/>
        <v>0.60000000000000053</v>
      </c>
      <c r="U110" s="205">
        <f t="shared" si="38"/>
        <v>0.40000000000000124</v>
      </c>
      <c r="V110" s="205">
        <f t="shared" si="38"/>
        <v>-0.70000000000000018</v>
      </c>
      <c r="W110" s="205">
        <f t="shared" si="38"/>
        <v>1.4000000000000004</v>
      </c>
      <c r="X110" s="205">
        <f t="shared" si="38"/>
        <v>5.1000000000000014</v>
      </c>
      <c r="Y110" s="205">
        <f t="shared" si="38"/>
        <v>1.1000000000000023</v>
      </c>
      <c r="Z110" s="205">
        <f t="shared" si="38"/>
        <v>5.3000000000000007</v>
      </c>
      <c r="AA110" s="205">
        <f t="shared" si="38"/>
        <v>5.5000000000000018</v>
      </c>
      <c r="AB110" s="205">
        <f t="shared" si="38"/>
        <v>10.400000000000002</v>
      </c>
      <c r="AC110" s="205">
        <f t="shared" si="38"/>
        <v>5.2999999999999989</v>
      </c>
      <c r="AD110" s="26"/>
      <c r="AE110" s="26"/>
      <c r="AF110" s="466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10" t="s">
        <v>91</v>
      </c>
      <c r="B111" s="510"/>
      <c r="C111" s="510"/>
      <c r="D111" s="60"/>
      <c r="E111" s="72"/>
      <c r="F111" s="74">
        <v>60.19</v>
      </c>
      <c r="G111" s="74">
        <v>60.14</v>
      </c>
      <c r="H111" s="74">
        <v>60.09</v>
      </c>
      <c r="I111" s="74">
        <v>60.16</v>
      </c>
      <c r="J111" s="74">
        <v>60.19</v>
      </c>
      <c r="K111" s="74">
        <v>60.14</v>
      </c>
      <c r="L111" s="74">
        <v>60.13</v>
      </c>
      <c r="M111" s="74">
        <v>60.1</v>
      </c>
      <c r="N111" s="74">
        <v>60.01</v>
      </c>
      <c r="O111" s="74">
        <v>60.07</v>
      </c>
      <c r="P111" s="83">
        <v>60.12</v>
      </c>
      <c r="Q111" s="83">
        <v>60.02</v>
      </c>
      <c r="R111" s="83">
        <v>60.19</v>
      </c>
      <c r="S111" s="83">
        <v>60.12</v>
      </c>
      <c r="T111" s="83">
        <v>60.16</v>
      </c>
      <c r="U111" s="74">
        <v>60.21</v>
      </c>
      <c r="V111" s="74">
        <v>60.12</v>
      </c>
      <c r="W111" s="74">
        <v>60.21</v>
      </c>
      <c r="X111" s="74">
        <v>60.19</v>
      </c>
      <c r="Y111" s="74">
        <v>60.16</v>
      </c>
      <c r="Z111" s="74">
        <v>60.16</v>
      </c>
      <c r="AA111" s="74">
        <v>60.12</v>
      </c>
      <c r="AB111" s="74">
        <v>60.16</v>
      </c>
      <c r="AC111" s="74">
        <v>60.16</v>
      </c>
      <c r="AD111" s="26"/>
      <c r="AE111" s="26"/>
      <c r="AF111" s="467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18" t="s">
        <v>93</v>
      </c>
      <c r="B112" s="519"/>
      <c r="C112" s="520"/>
      <c r="D112" s="60"/>
      <c r="E112" s="72"/>
      <c r="F112" s="74"/>
      <c r="G112" s="74"/>
      <c r="H112" s="74"/>
      <c r="I112" s="74"/>
      <c r="J112" s="74"/>
      <c r="K112" s="74"/>
      <c r="L112" s="74"/>
      <c r="M112" s="74"/>
      <c r="N112" s="74"/>
      <c r="O112" s="74"/>
      <c r="P112" s="74"/>
      <c r="Q112" s="74"/>
      <c r="R112" s="74"/>
      <c r="S112" s="74"/>
      <c r="T112" s="74"/>
      <c r="U112" s="74"/>
      <c r="V112" s="74"/>
      <c r="W112" s="74"/>
      <c r="X112" s="74"/>
      <c r="Y112" s="74"/>
      <c r="Z112" s="74"/>
      <c r="AA112" s="74"/>
      <c r="AB112" s="74"/>
      <c r="AC112" s="74"/>
      <c r="AD112" s="26"/>
      <c r="AE112" s="26"/>
      <c r="AF112" s="469"/>
      <c r="AG112" s="472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18" t="s">
        <v>95</v>
      </c>
      <c r="B113" s="519"/>
      <c r="C113" s="520"/>
      <c r="D113" s="60"/>
      <c r="E113" s="74"/>
      <c r="F113" s="74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10" t="s">
        <v>96</v>
      </c>
      <c r="B114" s="510"/>
      <c r="C114" s="510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 t="s">
        <v>101</v>
      </c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10" t="s">
        <v>97</v>
      </c>
      <c r="B115" s="510"/>
      <c r="C115" s="510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499" t="s">
        <v>98</v>
      </c>
      <c r="B117" s="499"/>
      <c r="C117" s="499"/>
      <c r="D117" s="499"/>
      <c r="E117" s="499"/>
      <c r="F117" s="499"/>
      <c r="G117" s="499"/>
      <c r="H117" s="499"/>
      <c r="I117" s="499"/>
      <c r="J117" s="499"/>
      <c r="K117" s="499"/>
      <c r="L117" s="499"/>
      <c r="M117" s="499"/>
      <c r="N117" s="499"/>
      <c r="O117" s="499"/>
      <c r="P117" s="499"/>
      <c r="Q117" s="499"/>
      <c r="R117" s="499"/>
      <c r="S117" s="499"/>
      <c r="T117" s="499"/>
      <c r="U117" s="499"/>
      <c r="V117" s="499"/>
      <c r="W117" s="499"/>
      <c r="X117" s="499"/>
      <c r="Y117" s="499"/>
      <c r="Z117" s="499"/>
      <c r="AA117" s="499"/>
      <c r="AB117" s="499"/>
      <c r="AC117" s="499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00" t="s">
        <v>75</v>
      </c>
      <c r="B119" s="501"/>
      <c r="C119" s="502"/>
      <c r="D119" s="49"/>
      <c r="E119" s="49"/>
      <c r="F119" s="506" t="s">
        <v>76</v>
      </c>
      <c r="G119" s="506"/>
      <c r="H119" s="506"/>
      <c r="I119" s="506"/>
      <c r="J119" s="506"/>
      <c r="K119" s="506"/>
      <c r="L119" s="506"/>
      <c r="M119" s="506"/>
      <c r="N119" s="506"/>
      <c r="O119" s="506"/>
      <c r="P119" s="506"/>
      <c r="Q119" s="506"/>
      <c r="R119" s="506"/>
      <c r="S119" s="506"/>
      <c r="T119" s="506"/>
      <c r="U119" s="506"/>
      <c r="V119" s="506"/>
      <c r="W119" s="506"/>
      <c r="X119" s="506"/>
      <c r="Y119" s="506"/>
      <c r="Z119" s="506"/>
      <c r="AA119" s="506"/>
      <c r="AB119" s="506"/>
      <c r="AC119" s="506"/>
      <c r="AD119" s="5"/>
      <c r="AE119" s="5"/>
      <c r="AF119" s="5"/>
      <c r="AG119" s="5"/>
      <c r="AH119" s="5"/>
    </row>
    <row r="120" spans="1:124" ht="15.6" hidden="1" customHeight="1">
      <c r="A120" s="503"/>
      <c r="B120" s="504"/>
      <c r="C120" s="505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07" t="s">
        <v>27</v>
      </c>
      <c r="B121" s="508"/>
      <c r="C121" s="509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07" t="s">
        <v>78</v>
      </c>
      <c r="B122" s="508"/>
      <c r="C122" s="509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07" t="s">
        <v>29</v>
      </c>
      <c r="B123" s="508"/>
      <c r="C123" s="509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07" t="s">
        <v>32</v>
      </c>
      <c r="B124" s="508"/>
      <c r="C124" s="509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07" t="s">
        <v>33</v>
      </c>
      <c r="B125" s="508"/>
      <c r="C125" s="509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07" t="s">
        <v>55</v>
      </c>
      <c r="B126" s="508"/>
      <c r="C126" s="509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07" t="s">
        <v>59</v>
      </c>
      <c r="B127" s="508"/>
      <c r="C127" s="509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07" t="s">
        <v>69</v>
      </c>
      <c r="B128" s="508"/>
      <c r="C128" s="509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496" t="s">
        <v>99</v>
      </c>
      <c r="B129" s="497"/>
      <c r="C129" s="498"/>
      <c r="D129" s="51"/>
      <c r="E129" s="51"/>
      <c r="F129" s="44">
        <f>SUM(F121:F128)</f>
        <v>0</v>
      </c>
      <c r="G129" s="44">
        <f t="shared" ref="G129:AB129" si="39">SUM(G121:G128)</f>
        <v>0</v>
      </c>
      <c r="H129" s="44">
        <f t="shared" si="39"/>
        <v>0</v>
      </c>
      <c r="I129" s="44">
        <f t="shared" si="39"/>
        <v>0</v>
      </c>
      <c r="J129" s="44">
        <f t="shared" si="39"/>
        <v>0</v>
      </c>
      <c r="K129" s="44">
        <f t="shared" si="39"/>
        <v>0</v>
      </c>
      <c r="L129" s="44">
        <f t="shared" si="39"/>
        <v>0</v>
      </c>
      <c r="M129" s="44">
        <f t="shared" si="39"/>
        <v>0</v>
      </c>
      <c r="N129" s="44">
        <f t="shared" si="39"/>
        <v>0</v>
      </c>
      <c r="O129" s="44">
        <f t="shared" si="39"/>
        <v>0</v>
      </c>
      <c r="P129" s="44">
        <f t="shared" si="39"/>
        <v>0</v>
      </c>
      <c r="Q129" s="44">
        <f t="shared" si="39"/>
        <v>0</v>
      </c>
      <c r="R129" s="44">
        <f t="shared" si="39"/>
        <v>0</v>
      </c>
      <c r="S129" s="44">
        <f t="shared" si="39"/>
        <v>0</v>
      </c>
      <c r="T129" s="44">
        <f t="shared" si="39"/>
        <v>0</v>
      </c>
      <c r="U129" s="44">
        <f t="shared" si="39"/>
        <v>0</v>
      </c>
      <c r="V129" s="44">
        <f t="shared" si="39"/>
        <v>0</v>
      </c>
      <c r="W129" s="44">
        <f t="shared" si="39"/>
        <v>0</v>
      </c>
      <c r="X129" s="44">
        <f t="shared" si="39"/>
        <v>0</v>
      </c>
      <c r="Y129" s="44">
        <f t="shared" si="39"/>
        <v>0</v>
      </c>
      <c r="Z129" s="44">
        <f t="shared" si="39"/>
        <v>0</v>
      </c>
      <c r="AA129" s="44">
        <f t="shared" si="39"/>
        <v>0</v>
      </c>
      <c r="AB129" s="44">
        <f t="shared" si="39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3195" priority="280" operator="greaterThan">
      <formula>60.3</formula>
    </cfRule>
  </conditionalFormatting>
  <conditionalFormatting sqref="F111">
    <cfRule type="cellIs" dxfId="3194" priority="279" operator="greaterThan">
      <formula>60.3</formula>
    </cfRule>
  </conditionalFormatting>
  <conditionalFormatting sqref="G67:AC75">
    <cfRule type="cellIs" dxfId="3193" priority="271" operator="equal">
      <formula>"PMS"</formula>
    </cfRule>
    <cfRule type="containsText" dxfId="3192" priority="272" operator="containsText" text="CMS">
      <formula>NOT(ISERROR(SEARCH("CMS",G67)))</formula>
    </cfRule>
    <cfRule type="cellIs" dxfId="3191" priority="273" operator="equal">
      <formula>0</formula>
    </cfRule>
    <cfRule type="cellIs" dxfId="3190" priority="274" operator="greaterThan">
      <formula>0</formula>
    </cfRule>
    <cfRule type="cellIs" dxfId="3189" priority="275" operator="equal">
      <formula>"PMS"</formula>
    </cfRule>
    <cfRule type="containsText" dxfId="3188" priority="276" operator="containsText" text="CMS">
      <formula>NOT(ISERROR(SEARCH("CMS",G67)))</formula>
    </cfRule>
    <cfRule type="cellIs" dxfId="3187" priority="277" operator="equal">
      <formula>0</formula>
    </cfRule>
    <cfRule type="cellIs" dxfId="3186" priority="278" operator="greaterThan">
      <formula>0</formula>
    </cfRule>
  </conditionalFormatting>
  <conditionalFormatting sqref="G67:AC75">
    <cfRule type="cellIs" dxfId="3185" priority="267" operator="equal">
      <formula>"PMS"</formula>
    </cfRule>
    <cfRule type="containsText" dxfId="3184" priority="268" operator="containsText" text="CMS">
      <formula>NOT(ISERROR(SEARCH("CMS",G67)))</formula>
    </cfRule>
    <cfRule type="cellIs" dxfId="3183" priority="269" operator="equal">
      <formula>0</formula>
    </cfRule>
    <cfRule type="cellIs" dxfId="3182" priority="270" operator="greaterThan">
      <formula>0</formula>
    </cfRule>
  </conditionalFormatting>
  <conditionalFormatting sqref="G82:AC82">
    <cfRule type="cellIs" dxfId="3181" priority="259" operator="equal">
      <formula>"PMS"</formula>
    </cfRule>
    <cfRule type="containsText" dxfId="3180" priority="260" operator="containsText" text="CMS">
      <formula>NOT(ISERROR(SEARCH("CMS",G82)))</formula>
    </cfRule>
    <cfRule type="cellIs" dxfId="3179" priority="261" operator="equal">
      <formula>0</formula>
    </cfRule>
    <cfRule type="cellIs" dxfId="3178" priority="262" operator="greaterThan">
      <formula>0</formula>
    </cfRule>
    <cfRule type="cellIs" dxfId="3177" priority="263" operator="equal">
      <formula>"PMS"</formula>
    </cfRule>
    <cfRule type="containsText" dxfId="3176" priority="264" operator="containsText" text="CMS">
      <formula>NOT(ISERROR(SEARCH("CMS",G82)))</formula>
    </cfRule>
    <cfRule type="cellIs" dxfId="3175" priority="265" operator="equal">
      <formula>0</formula>
    </cfRule>
    <cfRule type="cellIs" dxfId="3174" priority="266" operator="greaterThan">
      <formula>0</formula>
    </cfRule>
  </conditionalFormatting>
  <conditionalFormatting sqref="G82:AC82">
    <cfRule type="cellIs" dxfId="3173" priority="255" operator="equal">
      <formula>"PMS"</formula>
    </cfRule>
    <cfRule type="containsText" dxfId="3172" priority="256" operator="containsText" text="CMS">
      <formula>NOT(ISERROR(SEARCH("CMS",G82)))</formula>
    </cfRule>
    <cfRule type="cellIs" dxfId="3171" priority="257" operator="equal">
      <formula>0</formula>
    </cfRule>
    <cfRule type="cellIs" dxfId="3170" priority="258" operator="greaterThan">
      <formula>0</formula>
    </cfRule>
  </conditionalFormatting>
  <conditionalFormatting sqref="E113:AC113 F112:N112">
    <cfRule type="cellIs" dxfId="3169" priority="254" operator="greaterThan">
      <formula>60.3</formula>
    </cfRule>
  </conditionalFormatting>
  <conditionalFormatting sqref="O112:AC112">
    <cfRule type="cellIs" dxfId="3168" priority="253" operator="greaterThan">
      <formula>60.3</formula>
    </cfRule>
  </conditionalFormatting>
  <conditionalFormatting sqref="G13:AC16">
    <cfRule type="cellIs" dxfId="3167" priority="245" operator="equal">
      <formula>"PMS"</formula>
    </cfRule>
    <cfRule type="containsText" dxfId="3166" priority="246" operator="containsText" text="CMS">
      <formula>NOT(ISERROR(SEARCH("CMS",G13)))</formula>
    </cfRule>
    <cfRule type="cellIs" dxfId="3165" priority="247" operator="equal">
      <formula>0</formula>
    </cfRule>
    <cfRule type="cellIs" dxfId="3164" priority="248" operator="greaterThan">
      <formula>0</formula>
    </cfRule>
    <cfRule type="cellIs" dxfId="3163" priority="249" operator="equal">
      <formula>"PMS"</formula>
    </cfRule>
    <cfRule type="containsText" dxfId="3162" priority="250" operator="containsText" text="CMS">
      <formula>NOT(ISERROR(SEARCH("CMS",G13)))</formula>
    </cfRule>
    <cfRule type="cellIs" dxfId="3161" priority="251" operator="equal">
      <formula>0</formula>
    </cfRule>
    <cfRule type="cellIs" dxfId="3160" priority="252" operator="greaterThan">
      <formula>0</formula>
    </cfRule>
  </conditionalFormatting>
  <conditionalFormatting sqref="G13:AC16">
    <cfRule type="cellIs" dxfId="3159" priority="241" operator="equal">
      <formula>"PMS"</formula>
    </cfRule>
    <cfRule type="containsText" dxfId="3158" priority="242" operator="containsText" text="CMS">
      <formula>NOT(ISERROR(SEARCH("CMS",G13)))</formula>
    </cfRule>
    <cfRule type="cellIs" dxfId="3157" priority="243" operator="equal">
      <formula>0</formula>
    </cfRule>
    <cfRule type="cellIs" dxfId="3156" priority="244" operator="greaterThan">
      <formula>0</formula>
    </cfRule>
  </conditionalFormatting>
  <conditionalFormatting sqref="F82">
    <cfRule type="cellIs" dxfId="3155" priority="233" operator="equal">
      <formula>"PMS"</formula>
    </cfRule>
    <cfRule type="containsText" dxfId="3154" priority="234" operator="containsText" text="CMS">
      <formula>NOT(ISERROR(SEARCH("CMS",F82)))</formula>
    </cfRule>
    <cfRule type="cellIs" dxfId="3153" priority="235" operator="equal">
      <formula>0</formula>
    </cfRule>
    <cfRule type="cellIs" dxfId="3152" priority="236" operator="greaterThan">
      <formula>0</formula>
    </cfRule>
    <cfRule type="cellIs" dxfId="3151" priority="237" operator="equal">
      <formula>"PMS"</formula>
    </cfRule>
    <cfRule type="containsText" dxfId="3150" priority="238" operator="containsText" text="CMS">
      <formula>NOT(ISERROR(SEARCH("CMS",F82)))</formula>
    </cfRule>
    <cfRule type="cellIs" dxfId="3149" priority="239" operator="equal">
      <formula>0</formula>
    </cfRule>
    <cfRule type="cellIs" dxfId="3148" priority="240" operator="greaterThan">
      <formula>0</formula>
    </cfRule>
  </conditionalFormatting>
  <conditionalFormatting sqref="F82">
    <cfRule type="cellIs" dxfId="3147" priority="229" operator="equal">
      <formula>"PMS"</formula>
    </cfRule>
    <cfRule type="containsText" dxfId="3146" priority="230" operator="containsText" text="CMS">
      <formula>NOT(ISERROR(SEARCH("CMS",F82)))</formula>
    </cfRule>
    <cfRule type="cellIs" dxfId="3145" priority="231" operator="equal">
      <formula>0</formula>
    </cfRule>
    <cfRule type="cellIs" dxfId="3144" priority="232" operator="greaterThan">
      <formula>0</formula>
    </cfRule>
  </conditionalFormatting>
  <conditionalFormatting sqref="G19:AC21 G24:AC24 G27:AC30 H33:AC33">
    <cfRule type="cellIs" dxfId="3143" priority="221" operator="equal">
      <formula>"PMS"</formula>
    </cfRule>
    <cfRule type="containsText" dxfId="3142" priority="222" operator="containsText" text="CMS">
      <formula>NOT(ISERROR(SEARCH("CMS",G19)))</formula>
    </cfRule>
    <cfRule type="cellIs" dxfId="3141" priority="223" operator="equal">
      <formula>0</formula>
    </cfRule>
    <cfRule type="cellIs" dxfId="3140" priority="224" operator="greaterThan">
      <formula>0</formula>
    </cfRule>
    <cfRule type="cellIs" dxfId="3139" priority="225" operator="equal">
      <formula>"PMS"</formula>
    </cfRule>
    <cfRule type="containsText" dxfId="3138" priority="226" operator="containsText" text="CMS">
      <formula>NOT(ISERROR(SEARCH("CMS",G19)))</formula>
    </cfRule>
    <cfRule type="cellIs" dxfId="3137" priority="227" operator="equal">
      <formula>0</formula>
    </cfRule>
    <cfRule type="cellIs" dxfId="3136" priority="228" operator="greaterThan">
      <formula>0</formula>
    </cfRule>
  </conditionalFormatting>
  <conditionalFormatting sqref="G19:AC21 G24:AC24 G27:AC30 H33:AC33">
    <cfRule type="cellIs" dxfId="3135" priority="217" operator="equal">
      <formula>"PMS"</formula>
    </cfRule>
    <cfRule type="containsText" dxfId="3134" priority="218" operator="containsText" text="CMS">
      <formula>NOT(ISERROR(SEARCH("CMS",G19)))</formula>
    </cfRule>
    <cfRule type="cellIs" dxfId="3133" priority="219" operator="equal">
      <formula>0</formula>
    </cfRule>
    <cfRule type="cellIs" dxfId="3132" priority="220" operator="greaterThan">
      <formula>0</formula>
    </cfRule>
  </conditionalFormatting>
  <conditionalFormatting sqref="V42:X42 G36:AC38 G44:AC59 G43:X43 G39:X41 Y39:AC43">
    <cfRule type="cellIs" dxfId="3131" priority="209" operator="equal">
      <formula>"PMS"</formula>
    </cfRule>
    <cfRule type="containsText" dxfId="3130" priority="210" operator="containsText" text="CMS">
      <formula>NOT(ISERROR(SEARCH("CMS",G36)))</formula>
    </cfRule>
    <cfRule type="cellIs" dxfId="3129" priority="211" operator="equal">
      <formula>0</formula>
    </cfRule>
    <cfRule type="cellIs" dxfId="3128" priority="212" operator="greaterThan">
      <formula>0</formula>
    </cfRule>
    <cfRule type="cellIs" dxfId="3127" priority="213" operator="equal">
      <formula>"PMS"</formula>
    </cfRule>
    <cfRule type="containsText" dxfId="3126" priority="214" operator="containsText" text="CMS">
      <formula>NOT(ISERROR(SEARCH("CMS",G36)))</formula>
    </cfRule>
    <cfRule type="cellIs" dxfId="3125" priority="215" operator="equal">
      <formula>0</formula>
    </cfRule>
    <cfRule type="cellIs" dxfId="3124" priority="216" operator="greaterThan">
      <formula>0</formula>
    </cfRule>
  </conditionalFormatting>
  <conditionalFormatting sqref="V42:X42 G36:AC38 G44:AC59 G43:X43 G39:X41 Y39:AC43">
    <cfRule type="cellIs" dxfId="3123" priority="205" operator="equal">
      <formula>"PMS"</formula>
    </cfRule>
    <cfRule type="containsText" dxfId="3122" priority="206" operator="containsText" text="CMS">
      <formula>NOT(ISERROR(SEARCH("CMS",G36)))</formula>
    </cfRule>
    <cfRule type="cellIs" dxfId="3121" priority="207" operator="equal">
      <formula>0</formula>
    </cfRule>
    <cfRule type="cellIs" dxfId="3120" priority="208" operator="greaterThan">
      <formula>0</formula>
    </cfRule>
  </conditionalFormatting>
  <conditionalFormatting sqref="G78:AC79 G62:AC64">
    <cfRule type="cellIs" dxfId="3119" priority="197" operator="equal">
      <formula>"PMS"</formula>
    </cfRule>
    <cfRule type="containsText" dxfId="3118" priority="198" operator="containsText" text="CMS">
      <formula>NOT(ISERROR(SEARCH("CMS",G62)))</formula>
    </cfRule>
    <cfRule type="cellIs" dxfId="3117" priority="199" operator="equal">
      <formula>0</formula>
    </cfRule>
    <cfRule type="cellIs" dxfId="3116" priority="200" operator="greaterThan">
      <formula>0</formula>
    </cfRule>
    <cfRule type="cellIs" dxfId="3115" priority="201" operator="equal">
      <formula>"PMS"</formula>
    </cfRule>
    <cfRule type="containsText" dxfId="3114" priority="202" operator="containsText" text="CMS">
      <formula>NOT(ISERROR(SEARCH("CMS",G62)))</formula>
    </cfRule>
    <cfRule type="cellIs" dxfId="3113" priority="203" operator="equal">
      <formula>0</formula>
    </cfRule>
    <cfRule type="cellIs" dxfId="3112" priority="204" operator="greaterThan">
      <formula>0</formula>
    </cfRule>
  </conditionalFormatting>
  <conditionalFormatting sqref="G78:AC79 G62:AC64">
    <cfRule type="cellIs" dxfId="3111" priority="193" operator="equal">
      <formula>"PMS"</formula>
    </cfRule>
    <cfRule type="containsText" dxfId="3110" priority="194" operator="containsText" text="CMS">
      <formula>NOT(ISERROR(SEARCH("CMS",G62)))</formula>
    </cfRule>
    <cfRule type="cellIs" dxfId="3109" priority="195" operator="equal">
      <formula>0</formula>
    </cfRule>
    <cfRule type="cellIs" dxfId="3108" priority="196" operator="greaterThan">
      <formula>0</formula>
    </cfRule>
  </conditionalFormatting>
  <conditionalFormatting sqref="F67:F75">
    <cfRule type="cellIs" dxfId="3107" priority="185" operator="equal">
      <formula>"PMS"</formula>
    </cfRule>
    <cfRule type="containsText" dxfId="3106" priority="186" operator="containsText" text="CMS">
      <formula>NOT(ISERROR(SEARCH("CMS",F67)))</formula>
    </cfRule>
    <cfRule type="cellIs" dxfId="3105" priority="187" operator="equal">
      <formula>0</formula>
    </cfRule>
    <cfRule type="cellIs" dxfId="3104" priority="188" operator="greaterThan">
      <formula>0</formula>
    </cfRule>
    <cfRule type="cellIs" dxfId="3103" priority="189" operator="equal">
      <formula>"PMS"</formula>
    </cfRule>
    <cfRule type="containsText" dxfId="3102" priority="190" operator="containsText" text="CMS">
      <formula>NOT(ISERROR(SEARCH("CMS",F67)))</formula>
    </cfRule>
    <cfRule type="cellIs" dxfId="3101" priority="191" operator="equal">
      <formula>0</formula>
    </cfRule>
    <cfRule type="cellIs" dxfId="3100" priority="192" operator="greaterThan">
      <formula>0</formula>
    </cfRule>
  </conditionalFormatting>
  <conditionalFormatting sqref="F67:F75">
    <cfRule type="cellIs" dxfId="3099" priority="181" operator="equal">
      <formula>"PMS"</formula>
    </cfRule>
    <cfRule type="containsText" dxfId="3098" priority="182" operator="containsText" text="CMS">
      <formula>NOT(ISERROR(SEARCH("CMS",F67)))</formula>
    </cfRule>
    <cfRule type="cellIs" dxfId="3097" priority="183" operator="equal">
      <formula>0</formula>
    </cfRule>
    <cfRule type="cellIs" dxfId="3096" priority="184" operator="greaterThan">
      <formula>0</formula>
    </cfRule>
  </conditionalFormatting>
  <conditionalFormatting sqref="G42:U42">
    <cfRule type="cellIs" dxfId="3095" priority="161" operator="equal">
      <formula>"PMS"</formula>
    </cfRule>
    <cfRule type="containsText" dxfId="3094" priority="162" operator="containsText" text="CMS">
      <formula>NOT(ISERROR(SEARCH("CMS",G42)))</formula>
    </cfRule>
    <cfRule type="cellIs" dxfId="3093" priority="163" operator="equal">
      <formula>0</formula>
    </cfRule>
    <cfRule type="cellIs" dxfId="3092" priority="164" operator="greaterThan">
      <formula>0</formula>
    </cfRule>
    <cfRule type="cellIs" dxfId="3091" priority="165" operator="equal">
      <formula>"PMS"</formula>
    </cfRule>
    <cfRule type="containsText" dxfId="3090" priority="166" operator="containsText" text="CMS">
      <formula>NOT(ISERROR(SEARCH("CMS",G42)))</formula>
    </cfRule>
    <cfRule type="cellIs" dxfId="3089" priority="167" operator="equal">
      <formula>0</formula>
    </cfRule>
    <cfRule type="cellIs" dxfId="3088" priority="168" operator="greaterThan">
      <formula>0</formula>
    </cfRule>
  </conditionalFormatting>
  <conditionalFormatting sqref="G42:U42">
    <cfRule type="cellIs" dxfId="3087" priority="157" operator="equal">
      <formula>"PMS"</formula>
    </cfRule>
    <cfRule type="containsText" dxfId="3086" priority="158" operator="containsText" text="CMS">
      <formula>NOT(ISERROR(SEARCH("CMS",G42)))</formula>
    </cfRule>
    <cfRule type="cellIs" dxfId="3085" priority="159" operator="equal">
      <formula>0</formula>
    </cfRule>
    <cfRule type="cellIs" dxfId="3084" priority="160" operator="greaterThan">
      <formula>0</formula>
    </cfRule>
  </conditionalFormatting>
  <conditionalFormatting sqref="G33">
    <cfRule type="cellIs" dxfId="3083" priority="149" operator="equal">
      <formula>"PMS"</formula>
    </cfRule>
    <cfRule type="containsText" dxfId="3082" priority="150" operator="containsText" text="CMS">
      <formula>NOT(ISERROR(SEARCH("CMS",G33)))</formula>
    </cfRule>
    <cfRule type="cellIs" dxfId="3081" priority="151" operator="equal">
      <formula>0</formula>
    </cfRule>
    <cfRule type="cellIs" dxfId="3080" priority="152" operator="greaterThan">
      <formula>0</formula>
    </cfRule>
    <cfRule type="cellIs" dxfId="3079" priority="153" operator="equal">
      <formula>"PMS"</formula>
    </cfRule>
    <cfRule type="containsText" dxfId="3078" priority="154" operator="containsText" text="CMS">
      <formula>NOT(ISERROR(SEARCH("CMS",G33)))</formula>
    </cfRule>
    <cfRule type="cellIs" dxfId="3077" priority="155" operator="equal">
      <formula>0</formula>
    </cfRule>
    <cfRule type="cellIs" dxfId="3076" priority="156" operator="greaterThan">
      <formula>0</formula>
    </cfRule>
  </conditionalFormatting>
  <conditionalFormatting sqref="G33">
    <cfRule type="cellIs" dxfId="3075" priority="145" operator="equal">
      <formula>"PMS"</formula>
    </cfRule>
    <cfRule type="containsText" dxfId="3074" priority="146" operator="containsText" text="CMS">
      <formula>NOT(ISERROR(SEARCH("CMS",G33)))</formula>
    </cfRule>
    <cfRule type="cellIs" dxfId="3073" priority="147" operator="equal">
      <formula>0</formula>
    </cfRule>
    <cfRule type="cellIs" dxfId="3072" priority="148" operator="greaterThan">
      <formula>0</formula>
    </cfRule>
  </conditionalFormatting>
  <conditionalFormatting sqref="F13:F16">
    <cfRule type="cellIs" dxfId="3071" priority="89" operator="equal">
      <formula>"PMS"</formula>
    </cfRule>
    <cfRule type="containsText" dxfId="3070" priority="90" operator="containsText" text="CMS">
      <formula>NOT(ISERROR(SEARCH("CMS",F13)))</formula>
    </cfRule>
    <cfRule type="cellIs" dxfId="3069" priority="91" operator="equal">
      <formula>0</formula>
    </cfRule>
    <cfRule type="cellIs" dxfId="3068" priority="92" operator="greaterThan">
      <formula>0</formula>
    </cfRule>
    <cfRule type="cellIs" dxfId="3067" priority="93" operator="equal">
      <formula>"PMS"</formula>
    </cfRule>
    <cfRule type="containsText" dxfId="3066" priority="94" operator="containsText" text="CMS">
      <formula>NOT(ISERROR(SEARCH("CMS",F13)))</formula>
    </cfRule>
    <cfRule type="cellIs" dxfId="3065" priority="95" operator="equal">
      <formula>0</formula>
    </cfRule>
    <cfRule type="cellIs" dxfId="3064" priority="96" operator="greaterThan">
      <formula>0</formula>
    </cfRule>
  </conditionalFormatting>
  <conditionalFormatting sqref="F13:F16">
    <cfRule type="cellIs" dxfId="3063" priority="85" operator="equal">
      <formula>"PMS"</formula>
    </cfRule>
    <cfRule type="containsText" dxfId="3062" priority="86" operator="containsText" text="CMS">
      <formula>NOT(ISERROR(SEARCH("CMS",F13)))</formula>
    </cfRule>
    <cfRule type="cellIs" dxfId="3061" priority="87" operator="equal">
      <formula>0</formula>
    </cfRule>
    <cfRule type="cellIs" dxfId="3060" priority="88" operator="greaterThan">
      <formula>0</formula>
    </cfRule>
  </conditionalFormatting>
  <conditionalFormatting sqref="F19:F21">
    <cfRule type="cellIs" dxfId="3059" priority="77" operator="equal">
      <formula>"PMS"</formula>
    </cfRule>
    <cfRule type="containsText" dxfId="3058" priority="78" operator="containsText" text="CMS">
      <formula>NOT(ISERROR(SEARCH("CMS",F19)))</formula>
    </cfRule>
    <cfRule type="cellIs" dxfId="3057" priority="79" operator="equal">
      <formula>0</formula>
    </cfRule>
    <cfRule type="cellIs" dxfId="3056" priority="80" operator="greaterThan">
      <formula>0</formula>
    </cfRule>
    <cfRule type="cellIs" dxfId="3055" priority="81" operator="equal">
      <formula>"PMS"</formula>
    </cfRule>
    <cfRule type="containsText" dxfId="3054" priority="82" operator="containsText" text="CMS">
      <formula>NOT(ISERROR(SEARCH("CMS",F19)))</formula>
    </cfRule>
    <cfRule type="cellIs" dxfId="3053" priority="83" operator="equal">
      <formula>0</formula>
    </cfRule>
    <cfRule type="cellIs" dxfId="3052" priority="84" operator="greaterThan">
      <formula>0</formula>
    </cfRule>
  </conditionalFormatting>
  <conditionalFormatting sqref="F19:F21">
    <cfRule type="cellIs" dxfId="3051" priority="73" operator="equal">
      <formula>"PMS"</formula>
    </cfRule>
    <cfRule type="containsText" dxfId="3050" priority="74" operator="containsText" text="CMS">
      <formula>NOT(ISERROR(SEARCH("CMS",F19)))</formula>
    </cfRule>
    <cfRule type="cellIs" dxfId="3049" priority="75" operator="equal">
      <formula>0</formula>
    </cfRule>
    <cfRule type="cellIs" dxfId="3048" priority="76" operator="greaterThan">
      <formula>0</formula>
    </cfRule>
  </conditionalFormatting>
  <conditionalFormatting sqref="F24">
    <cfRule type="cellIs" dxfId="3047" priority="65" operator="equal">
      <formula>"PMS"</formula>
    </cfRule>
    <cfRule type="containsText" dxfId="3046" priority="66" operator="containsText" text="CMS">
      <formula>NOT(ISERROR(SEARCH("CMS",F24)))</formula>
    </cfRule>
    <cfRule type="cellIs" dxfId="3045" priority="67" operator="equal">
      <formula>0</formula>
    </cfRule>
    <cfRule type="cellIs" dxfId="3044" priority="68" operator="greaterThan">
      <formula>0</formula>
    </cfRule>
    <cfRule type="cellIs" dxfId="3043" priority="69" operator="equal">
      <formula>"PMS"</formula>
    </cfRule>
    <cfRule type="containsText" dxfId="3042" priority="70" operator="containsText" text="CMS">
      <formula>NOT(ISERROR(SEARCH("CMS",F24)))</formula>
    </cfRule>
    <cfRule type="cellIs" dxfId="3041" priority="71" operator="equal">
      <formula>0</formula>
    </cfRule>
    <cfRule type="cellIs" dxfId="3040" priority="72" operator="greaterThan">
      <formula>0</formula>
    </cfRule>
  </conditionalFormatting>
  <conditionalFormatting sqref="F24">
    <cfRule type="cellIs" dxfId="3039" priority="61" operator="equal">
      <formula>"PMS"</formula>
    </cfRule>
    <cfRule type="containsText" dxfId="3038" priority="62" operator="containsText" text="CMS">
      <formula>NOT(ISERROR(SEARCH("CMS",F24)))</formula>
    </cfRule>
    <cfRule type="cellIs" dxfId="3037" priority="63" operator="equal">
      <formula>0</formula>
    </cfRule>
    <cfRule type="cellIs" dxfId="3036" priority="64" operator="greaterThan">
      <formula>0</formula>
    </cfRule>
  </conditionalFormatting>
  <conditionalFormatting sqref="F27:F30">
    <cfRule type="cellIs" dxfId="3035" priority="53" operator="equal">
      <formula>"PMS"</formula>
    </cfRule>
    <cfRule type="containsText" dxfId="3034" priority="54" operator="containsText" text="CMS">
      <formula>NOT(ISERROR(SEARCH("CMS",F27)))</formula>
    </cfRule>
    <cfRule type="cellIs" dxfId="3033" priority="55" operator="equal">
      <formula>0</formula>
    </cfRule>
    <cfRule type="cellIs" dxfId="3032" priority="56" operator="greaterThan">
      <formula>0</formula>
    </cfRule>
    <cfRule type="cellIs" dxfId="3031" priority="57" operator="equal">
      <formula>"PMS"</formula>
    </cfRule>
    <cfRule type="containsText" dxfId="3030" priority="58" operator="containsText" text="CMS">
      <formula>NOT(ISERROR(SEARCH("CMS",F27)))</formula>
    </cfRule>
    <cfRule type="cellIs" dxfId="3029" priority="59" operator="equal">
      <formula>0</formula>
    </cfRule>
    <cfRule type="cellIs" dxfId="3028" priority="60" operator="greaterThan">
      <formula>0</formula>
    </cfRule>
  </conditionalFormatting>
  <conditionalFormatting sqref="F27:F30">
    <cfRule type="cellIs" dxfId="3027" priority="49" operator="equal">
      <formula>"PMS"</formula>
    </cfRule>
    <cfRule type="containsText" dxfId="3026" priority="50" operator="containsText" text="CMS">
      <formula>NOT(ISERROR(SEARCH("CMS",F27)))</formula>
    </cfRule>
    <cfRule type="cellIs" dxfId="3025" priority="51" operator="equal">
      <formula>0</formula>
    </cfRule>
    <cfRule type="cellIs" dxfId="3024" priority="52" operator="greaterThan">
      <formula>0</formula>
    </cfRule>
  </conditionalFormatting>
  <conditionalFormatting sqref="F33">
    <cfRule type="cellIs" dxfId="3023" priority="41" operator="equal">
      <formula>"PMS"</formula>
    </cfRule>
    <cfRule type="containsText" dxfId="3022" priority="42" operator="containsText" text="CMS">
      <formula>NOT(ISERROR(SEARCH("CMS",F33)))</formula>
    </cfRule>
    <cfRule type="cellIs" dxfId="3021" priority="43" operator="equal">
      <formula>0</formula>
    </cfRule>
    <cfRule type="cellIs" dxfId="3020" priority="44" operator="greaterThan">
      <formula>0</formula>
    </cfRule>
    <cfRule type="cellIs" dxfId="3019" priority="45" operator="equal">
      <formula>"PMS"</formula>
    </cfRule>
    <cfRule type="containsText" dxfId="3018" priority="46" operator="containsText" text="CMS">
      <formula>NOT(ISERROR(SEARCH("CMS",F33)))</formula>
    </cfRule>
    <cfRule type="cellIs" dxfId="3017" priority="47" operator="equal">
      <formula>0</formula>
    </cfRule>
    <cfRule type="cellIs" dxfId="3016" priority="48" operator="greaterThan">
      <formula>0</formula>
    </cfRule>
  </conditionalFormatting>
  <conditionalFormatting sqref="F33">
    <cfRule type="cellIs" dxfId="3015" priority="37" operator="equal">
      <formula>"PMS"</formula>
    </cfRule>
    <cfRule type="containsText" dxfId="3014" priority="38" operator="containsText" text="CMS">
      <formula>NOT(ISERROR(SEARCH("CMS",F33)))</formula>
    </cfRule>
    <cfRule type="cellIs" dxfId="3013" priority="39" operator="equal">
      <formula>0</formula>
    </cfRule>
    <cfRule type="cellIs" dxfId="3012" priority="40" operator="greaterThan">
      <formula>0</formula>
    </cfRule>
  </conditionalFormatting>
  <conditionalFormatting sqref="F36:F59">
    <cfRule type="cellIs" dxfId="3011" priority="29" operator="equal">
      <formula>"PMS"</formula>
    </cfRule>
    <cfRule type="containsText" dxfId="3010" priority="30" operator="containsText" text="CMS">
      <formula>NOT(ISERROR(SEARCH("CMS",F36)))</formula>
    </cfRule>
    <cfRule type="cellIs" dxfId="3009" priority="31" operator="equal">
      <formula>0</formula>
    </cfRule>
    <cfRule type="cellIs" dxfId="3008" priority="32" operator="greaterThan">
      <formula>0</formula>
    </cfRule>
    <cfRule type="cellIs" dxfId="3007" priority="33" operator="equal">
      <formula>"PMS"</formula>
    </cfRule>
    <cfRule type="containsText" dxfId="3006" priority="34" operator="containsText" text="CMS">
      <formula>NOT(ISERROR(SEARCH("CMS",F36)))</formula>
    </cfRule>
    <cfRule type="cellIs" dxfId="3005" priority="35" operator="equal">
      <formula>0</formula>
    </cfRule>
    <cfRule type="cellIs" dxfId="3004" priority="36" operator="greaterThan">
      <formula>0</formula>
    </cfRule>
  </conditionalFormatting>
  <conditionalFormatting sqref="F36:F59">
    <cfRule type="cellIs" dxfId="3003" priority="25" operator="equal">
      <formula>"PMS"</formula>
    </cfRule>
    <cfRule type="containsText" dxfId="3002" priority="26" operator="containsText" text="CMS">
      <formula>NOT(ISERROR(SEARCH("CMS",F36)))</formula>
    </cfRule>
    <cfRule type="cellIs" dxfId="3001" priority="27" operator="equal">
      <formula>0</formula>
    </cfRule>
    <cfRule type="cellIs" dxfId="3000" priority="28" operator="greaterThan">
      <formula>0</formula>
    </cfRule>
  </conditionalFormatting>
  <conditionalFormatting sqref="F62:F64">
    <cfRule type="cellIs" dxfId="2999" priority="17" operator="equal">
      <formula>"PMS"</formula>
    </cfRule>
    <cfRule type="containsText" dxfId="2998" priority="18" operator="containsText" text="CMS">
      <formula>NOT(ISERROR(SEARCH("CMS",F62)))</formula>
    </cfRule>
    <cfRule type="cellIs" dxfId="2997" priority="19" operator="equal">
      <formula>0</formula>
    </cfRule>
    <cfRule type="cellIs" dxfId="2996" priority="20" operator="greaterThan">
      <formula>0</formula>
    </cfRule>
    <cfRule type="cellIs" dxfId="2995" priority="21" operator="equal">
      <formula>"PMS"</formula>
    </cfRule>
    <cfRule type="containsText" dxfId="2994" priority="22" operator="containsText" text="CMS">
      <formula>NOT(ISERROR(SEARCH("CMS",F62)))</formula>
    </cfRule>
    <cfRule type="cellIs" dxfId="2993" priority="23" operator="equal">
      <formula>0</formula>
    </cfRule>
    <cfRule type="cellIs" dxfId="2992" priority="24" operator="greaterThan">
      <formula>0</formula>
    </cfRule>
  </conditionalFormatting>
  <conditionalFormatting sqref="F62:F64">
    <cfRule type="cellIs" dxfId="2991" priority="13" operator="equal">
      <formula>"PMS"</formula>
    </cfRule>
    <cfRule type="containsText" dxfId="2990" priority="14" operator="containsText" text="CMS">
      <formula>NOT(ISERROR(SEARCH("CMS",F62)))</formula>
    </cfRule>
    <cfRule type="cellIs" dxfId="2989" priority="15" operator="equal">
      <formula>0</formula>
    </cfRule>
    <cfRule type="cellIs" dxfId="2988" priority="16" operator="greaterThan">
      <formula>0</formula>
    </cfRule>
  </conditionalFormatting>
  <conditionalFormatting sqref="F78:F79">
    <cfRule type="cellIs" dxfId="2987" priority="5" operator="equal">
      <formula>"PMS"</formula>
    </cfRule>
    <cfRule type="containsText" dxfId="2986" priority="6" operator="containsText" text="CMS">
      <formula>NOT(ISERROR(SEARCH("CMS",F78)))</formula>
    </cfRule>
    <cfRule type="cellIs" dxfId="2985" priority="7" operator="equal">
      <formula>0</formula>
    </cfRule>
    <cfRule type="cellIs" dxfId="2984" priority="8" operator="greaterThan">
      <formula>0</formula>
    </cfRule>
    <cfRule type="cellIs" dxfId="2983" priority="9" operator="equal">
      <formula>"PMS"</formula>
    </cfRule>
    <cfRule type="containsText" dxfId="2982" priority="10" operator="containsText" text="CMS">
      <formula>NOT(ISERROR(SEARCH("CMS",F78)))</formula>
    </cfRule>
    <cfRule type="cellIs" dxfId="2981" priority="11" operator="equal">
      <formula>0</formula>
    </cfRule>
    <cfRule type="cellIs" dxfId="2980" priority="12" operator="greaterThan">
      <formula>0</formula>
    </cfRule>
  </conditionalFormatting>
  <conditionalFormatting sqref="F78:F79">
    <cfRule type="cellIs" dxfId="2979" priority="1" operator="equal">
      <formula>"PMS"</formula>
    </cfRule>
    <cfRule type="containsText" dxfId="2978" priority="2" operator="containsText" text="CMS">
      <formula>NOT(ISERROR(SEARCH("CMS",F78)))</formula>
    </cfRule>
    <cfRule type="cellIs" dxfId="2977" priority="3" operator="equal">
      <formula>0</formula>
    </cfRule>
    <cfRule type="cellIs" dxfId="2976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1142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F35D6-0FA6-4717-941B-8903022C8CD5}">
  <sheetPr codeName="Sheet179"/>
  <dimension ref="A2:DT141"/>
  <sheetViews>
    <sheetView zoomScale="70" zoomScaleNormal="70" zoomScaleSheetLayoutView="51" zoomScalePageLayoutView="55" workbookViewId="0">
      <pane xSplit="5" ySplit="11" topLeftCell="P12" activePane="bottomRight" state="frozen"/>
      <selection pane="bottomRight" activeCell="M19" sqref="M19"/>
      <selection pane="bottomLeft" activeCell="AJ44" sqref="AJ44"/>
      <selection pane="topRight" activeCell="AJ44" sqref="AJ4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23"/>
      <c r="N8" s="523"/>
      <c r="O8" s="52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24" t="e" cm="1">
        <f t="array" aca="1" ref="M9" ca="1">TEXT(TODAY(),"mmmm")&amp;" "&amp;MID(CELL("filename",A1),FIND("]",CELL("filename",A1))+1,255)&amp;", "&amp;TEXT(TODAY(),"yyyy")</f>
        <v>#VALUE!</v>
      </c>
      <c r="N9" s="524"/>
      <c r="O9" s="524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4"/>
      <c r="R10" s="344"/>
      <c r="S10" s="344"/>
      <c r="T10" s="344"/>
      <c r="U10" s="344"/>
      <c r="V10" s="344"/>
      <c r="W10" s="344"/>
      <c r="X10" s="344"/>
      <c r="Y10" s="344"/>
      <c r="Z10" s="344"/>
      <c r="AA10" s="344"/>
      <c r="AB10" s="344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17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560.39999999999986</v>
      </c>
    </row>
    <row r="13" spans="1:41">
      <c r="A13" s="14" t="s">
        <v>22</v>
      </c>
      <c r="B13" s="15"/>
      <c r="C13" s="15">
        <v>7.2</v>
      </c>
      <c r="D13" s="15"/>
      <c r="E13" s="15"/>
      <c r="F13" s="372">
        <v>6.6</v>
      </c>
      <c r="G13" s="372">
        <v>6.6</v>
      </c>
      <c r="H13" s="372">
        <v>6.6</v>
      </c>
      <c r="I13" s="372">
        <v>6.7</v>
      </c>
      <c r="J13" s="372">
        <v>6.6</v>
      </c>
      <c r="K13" s="374">
        <v>6.7</v>
      </c>
      <c r="L13" s="374">
        <v>6.7</v>
      </c>
      <c r="M13" s="374">
        <v>6.4</v>
      </c>
      <c r="N13" s="372">
        <v>6.7</v>
      </c>
      <c r="O13" s="372">
        <v>7</v>
      </c>
      <c r="P13" s="372">
        <v>6.7</v>
      </c>
      <c r="Q13" s="372">
        <v>6.9</v>
      </c>
      <c r="R13" s="372">
        <v>6.7</v>
      </c>
      <c r="S13" s="372">
        <v>6.7</v>
      </c>
      <c r="T13" s="372">
        <v>6.8</v>
      </c>
      <c r="U13" s="372">
        <v>6.4</v>
      </c>
      <c r="V13" s="372">
        <v>6.7</v>
      </c>
      <c r="W13" s="372">
        <v>6.4</v>
      </c>
      <c r="X13" s="374">
        <v>6.7</v>
      </c>
      <c r="Y13" s="372">
        <v>6.6</v>
      </c>
      <c r="Z13" s="372">
        <v>6.5</v>
      </c>
      <c r="AA13" s="372">
        <v>7.2</v>
      </c>
      <c r="AB13" s="372">
        <v>6.3</v>
      </c>
      <c r="AC13" s="372"/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23</v>
      </c>
    </row>
    <row r="14" spans="1:41">
      <c r="A14" s="14" t="s">
        <v>23</v>
      </c>
      <c r="B14" s="15"/>
      <c r="C14" s="15">
        <v>7.2</v>
      </c>
      <c r="D14" s="15"/>
      <c r="E14" s="15"/>
      <c r="F14" s="372"/>
      <c r="G14" s="372"/>
      <c r="H14" s="372"/>
      <c r="I14" s="372"/>
      <c r="J14" s="372"/>
      <c r="K14" s="374"/>
      <c r="L14" s="374"/>
      <c r="M14" s="374">
        <v>7</v>
      </c>
      <c r="N14" s="372">
        <v>6.7</v>
      </c>
      <c r="O14" s="372">
        <v>7</v>
      </c>
      <c r="P14" s="372">
        <v>6.7</v>
      </c>
      <c r="Q14" s="372">
        <v>6.9</v>
      </c>
      <c r="R14" s="372">
        <v>6.7</v>
      </c>
      <c r="S14" s="372">
        <v>6.7</v>
      </c>
      <c r="T14" s="372">
        <v>6.8</v>
      </c>
      <c r="U14" s="372">
        <v>6.4</v>
      </c>
      <c r="V14" s="372">
        <v>6.7</v>
      </c>
      <c r="W14" s="372">
        <v>6.4</v>
      </c>
      <c r="X14" s="374">
        <v>6.7</v>
      </c>
      <c r="Y14" s="372">
        <v>6.6</v>
      </c>
      <c r="Z14" s="372">
        <v>6.5</v>
      </c>
      <c r="AA14" s="372">
        <v>6.3</v>
      </c>
      <c r="AB14" s="372">
        <v>6.3</v>
      </c>
      <c r="AC14" s="372">
        <v>6.8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17</v>
      </c>
    </row>
    <row r="15" spans="1:41">
      <c r="A15" s="66" t="s">
        <v>24</v>
      </c>
      <c r="B15" s="15"/>
      <c r="C15" s="15">
        <v>7.2</v>
      </c>
      <c r="D15" s="15"/>
      <c r="E15" s="15"/>
      <c r="F15" s="372">
        <v>6.6</v>
      </c>
      <c r="G15" s="372">
        <v>6.6</v>
      </c>
      <c r="H15" s="372">
        <v>6.6</v>
      </c>
      <c r="I15" s="372">
        <v>6.7</v>
      </c>
      <c r="J15" s="372">
        <v>6.6</v>
      </c>
      <c r="K15" s="374">
        <v>6.7</v>
      </c>
      <c r="L15" s="374">
        <v>6.7</v>
      </c>
      <c r="M15" s="374">
        <v>6.4</v>
      </c>
      <c r="N15" s="372">
        <v>6.7</v>
      </c>
      <c r="O15" s="372">
        <v>7</v>
      </c>
      <c r="P15" s="372">
        <v>6.7</v>
      </c>
      <c r="Q15" s="372">
        <v>6.9</v>
      </c>
      <c r="R15" s="372">
        <v>6.7</v>
      </c>
      <c r="S15" s="372">
        <v>6.7</v>
      </c>
      <c r="T15" s="372">
        <v>6.8</v>
      </c>
      <c r="U15" s="372">
        <v>6.4</v>
      </c>
      <c r="V15" s="372">
        <v>6.7</v>
      </c>
      <c r="W15" s="372">
        <v>6.4</v>
      </c>
      <c r="X15" s="374">
        <v>6.7</v>
      </c>
      <c r="Y15" s="372">
        <v>6.6</v>
      </c>
      <c r="Z15" s="372">
        <v>6.5</v>
      </c>
      <c r="AA15" s="372">
        <v>6.3</v>
      </c>
      <c r="AB15" s="372">
        <v>6.3</v>
      </c>
      <c r="AC15" s="372">
        <v>6.8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372">
        <v>6.6</v>
      </c>
      <c r="G16" s="372">
        <v>6.6</v>
      </c>
      <c r="H16" s="372">
        <v>6.6</v>
      </c>
      <c r="I16" s="372">
        <v>6.7</v>
      </c>
      <c r="J16" s="372">
        <v>6.6</v>
      </c>
      <c r="K16" s="374">
        <v>6.7</v>
      </c>
      <c r="L16" s="374">
        <v>6.7</v>
      </c>
      <c r="M16" s="374">
        <v>0</v>
      </c>
      <c r="N16" s="372">
        <v>0</v>
      </c>
      <c r="O16" s="372">
        <v>0</v>
      </c>
      <c r="P16" s="372">
        <v>2.6</v>
      </c>
      <c r="Q16" s="372">
        <v>6.9</v>
      </c>
      <c r="R16" s="372">
        <v>6.7</v>
      </c>
      <c r="S16" s="372">
        <v>6.7</v>
      </c>
      <c r="T16" s="372">
        <v>6.8</v>
      </c>
      <c r="U16" s="372">
        <v>6.4</v>
      </c>
      <c r="V16" s="372">
        <v>6.7</v>
      </c>
      <c r="W16" s="372">
        <v>6.4</v>
      </c>
      <c r="X16" s="374">
        <v>6.7</v>
      </c>
      <c r="Y16" s="372">
        <v>6.6</v>
      </c>
      <c r="Z16" s="372">
        <v>6.5</v>
      </c>
      <c r="AA16" s="372">
        <v>6.3</v>
      </c>
      <c r="AB16" s="372">
        <v>6.3</v>
      </c>
      <c r="AC16" s="372">
        <v>6.8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19.799999999999997</v>
      </c>
      <c r="G17" s="19">
        <f t="shared" si="0"/>
        <v>19.799999999999997</v>
      </c>
      <c r="H17" s="19">
        <f>SUM(H13:H16)</f>
        <v>19.799999999999997</v>
      </c>
      <c r="I17" s="19">
        <f t="shared" si="0"/>
        <v>20.100000000000001</v>
      </c>
      <c r="J17" s="19">
        <f t="shared" si="0"/>
        <v>19.799999999999997</v>
      </c>
      <c r="K17" s="19">
        <f t="shared" si="0"/>
        <v>20.100000000000001</v>
      </c>
      <c r="L17" s="19">
        <f t="shared" si="0"/>
        <v>20.100000000000001</v>
      </c>
      <c r="M17" s="19">
        <f t="shared" si="0"/>
        <v>19.8</v>
      </c>
      <c r="N17" s="19">
        <f t="shared" si="0"/>
        <v>20.100000000000001</v>
      </c>
      <c r="O17" s="19">
        <f t="shared" si="0"/>
        <v>21</v>
      </c>
      <c r="P17" s="19">
        <f t="shared" si="0"/>
        <v>22.700000000000003</v>
      </c>
      <c r="Q17" s="19">
        <f t="shared" si="0"/>
        <v>27.6</v>
      </c>
      <c r="R17" s="19">
        <f t="shared" si="0"/>
        <v>26.8</v>
      </c>
      <c r="S17" s="19">
        <f t="shared" si="0"/>
        <v>26.8</v>
      </c>
      <c r="T17" s="19">
        <f t="shared" si="0"/>
        <v>27.2</v>
      </c>
      <c r="U17" s="19">
        <f t="shared" si="0"/>
        <v>25.6</v>
      </c>
      <c r="V17" s="19">
        <f t="shared" si="0"/>
        <v>26.8</v>
      </c>
      <c r="W17" s="19">
        <f t="shared" si="0"/>
        <v>25.6</v>
      </c>
      <c r="X17" s="19">
        <f t="shared" si="0"/>
        <v>26.8</v>
      </c>
      <c r="Y17" s="19">
        <f t="shared" si="0"/>
        <v>26.4</v>
      </c>
      <c r="Z17" s="19">
        <f t="shared" si="0"/>
        <v>26</v>
      </c>
      <c r="AA17" s="19">
        <f t="shared" si="0"/>
        <v>26.1</v>
      </c>
      <c r="AB17" s="19">
        <f t="shared" si="0"/>
        <v>25.2</v>
      </c>
      <c r="AC17" s="19">
        <f t="shared" si="0"/>
        <v>20.399999999999999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111.79999999999998</v>
      </c>
    </row>
    <row r="19" spans="1:51">
      <c r="A19" s="14" t="s">
        <v>22</v>
      </c>
      <c r="B19" s="15"/>
      <c r="C19" s="15">
        <v>3</v>
      </c>
      <c r="D19" s="15"/>
      <c r="E19" s="15"/>
      <c r="F19" s="372">
        <v>0</v>
      </c>
      <c r="G19" s="372">
        <v>0</v>
      </c>
      <c r="H19" s="372">
        <v>0</v>
      </c>
      <c r="I19" s="372">
        <v>0</v>
      </c>
      <c r="J19" s="372">
        <v>0</v>
      </c>
      <c r="K19" s="374">
        <v>0</v>
      </c>
      <c r="L19" s="374">
        <v>0</v>
      </c>
      <c r="M19" s="374">
        <v>2.5</v>
      </c>
      <c r="N19" s="372">
        <v>2.8</v>
      </c>
      <c r="O19" s="372">
        <v>2.8</v>
      </c>
      <c r="P19" s="372">
        <v>2.8</v>
      </c>
      <c r="Q19" s="372">
        <v>2.8</v>
      </c>
      <c r="R19" s="372">
        <v>2.8</v>
      </c>
      <c r="S19" s="372">
        <v>2.8</v>
      </c>
      <c r="T19" s="372">
        <v>2.8</v>
      </c>
      <c r="U19" s="372">
        <v>2.7</v>
      </c>
      <c r="V19" s="372">
        <v>2.8</v>
      </c>
      <c r="W19" s="372">
        <v>2.8</v>
      </c>
      <c r="X19" s="372">
        <v>2.2999999999999998</v>
      </c>
      <c r="Y19" s="372">
        <v>2.8</v>
      </c>
      <c r="Z19" s="372">
        <v>2.2000000000000002</v>
      </c>
      <c r="AA19" s="372">
        <v>2</v>
      </c>
      <c r="AB19" s="372">
        <v>2</v>
      </c>
      <c r="AC19" s="372">
        <v>2.8</v>
      </c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24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372"/>
      <c r="G20" s="372"/>
      <c r="H20" s="372"/>
      <c r="I20" s="372"/>
      <c r="J20" s="372"/>
      <c r="K20" s="374"/>
      <c r="L20" s="374"/>
      <c r="M20" s="374"/>
      <c r="N20" s="372"/>
      <c r="O20" s="372"/>
      <c r="P20" s="372"/>
      <c r="Q20" s="372"/>
      <c r="R20" s="372"/>
      <c r="S20" s="372"/>
      <c r="T20" s="372"/>
      <c r="U20" s="372"/>
      <c r="V20" s="372"/>
      <c r="W20" s="372"/>
      <c r="X20" s="372"/>
      <c r="Y20" s="372"/>
      <c r="Z20" s="372"/>
      <c r="AA20" s="372"/>
      <c r="AB20" s="372"/>
      <c r="AC20" s="372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2">
        <v>3.8</v>
      </c>
      <c r="G21" s="372">
        <v>3</v>
      </c>
      <c r="H21" s="372">
        <v>2.5</v>
      </c>
      <c r="I21" s="372"/>
      <c r="J21" s="372"/>
      <c r="K21" s="374"/>
      <c r="L21" s="374"/>
      <c r="M21" s="374"/>
      <c r="N21" s="372">
        <v>3</v>
      </c>
      <c r="O21" s="372">
        <v>4</v>
      </c>
      <c r="P21" s="372">
        <v>3.8</v>
      </c>
      <c r="Q21" s="372">
        <v>3.8</v>
      </c>
      <c r="R21" s="372">
        <v>3.8</v>
      </c>
      <c r="S21" s="372">
        <v>3.8</v>
      </c>
      <c r="T21" s="372">
        <v>3.8</v>
      </c>
      <c r="U21" s="372">
        <v>3.6</v>
      </c>
      <c r="V21" s="372">
        <v>3.8</v>
      </c>
      <c r="W21" s="372">
        <v>3.8</v>
      </c>
      <c r="X21" s="372">
        <v>3.4</v>
      </c>
      <c r="Y21" s="372">
        <v>3.8</v>
      </c>
      <c r="Z21" s="372">
        <v>3.4</v>
      </c>
      <c r="AA21" s="372">
        <v>3.2</v>
      </c>
      <c r="AB21" s="372">
        <v>3.2</v>
      </c>
      <c r="AC21" s="372">
        <v>3.8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19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1">SUM(F19:F21)</f>
        <v>3.8</v>
      </c>
      <c r="G22" s="19">
        <f>SUM(G19:G21)</f>
        <v>3</v>
      </c>
      <c r="H22" s="19">
        <f t="shared" ref="H22:AC22" si="2">SUM(H19:H21)</f>
        <v>2.5</v>
      </c>
      <c r="I22" s="19">
        <f t="shared" si="2"/>
        <v>0</v>
      </c>
      <c r="J22" s="19">
        <f t="shared" si="2"/>
        <v>0</v>
      </c>
      <c r="K22" s="19">
        <f t="shared" si="2"/>
        <v>0</v>
      </c>
      <c r="L22" s="19">
        <f t="shared" si="2"/>
        <v>0</v>
      </c>
      <c r="M22" s="19">
        <f t="shared" si="2"/>
        <v>2.5</v>
      </c>
      <c r="N22" s="19">
        <f t="shared" si="2"/>
        <v>5.8</v>
      </c>
      <c r="O22" s="19">
        <f t="shared" si="2"/>
        <v>6.8</v>
      </c>
      <c r="P22" s="19">
        <f t="shared" si="2"/>
        <v>6.6</v>
      </c>
      <c r="Q22" s="19">
        <f t="shared" si="2"/>
        <v>6.6</v>
      </c>
      <c r="R22" s="19">
        <f t="shared" si="2"/>
        <v>6.6</v>
      </c>
      <c r="S22" s="19">
        <f>SUM(S19:S21)</f>
        <v>6.6</v>
      </c>
      <c r="T22" s="19">
        <f t="shared" ref="T22" si="3">SUM(T19:T21)</f>
        <v>6.6</v>
      </c>
      <c r="U22" s="19">
        <f t="shared" si="2"/>
        <v>6.3000000000000007</v>
      </c>
      <c r="V22" s="19">
        <f t="shared" si="2"/>
        <v>6.6</v>
      </c>
      <c r="W22" s="19">
        <f t="shared" si="2"/>
        <v>6.6</v>
      </c>
      <c r="X22" s="19">
        <f t="shared" si="2"/>
        <v>5.6999999999999993</v>
      </c>
      <c r="Y22" s="19">
        <f t="shared" si="2"/>
        <v>6.6</v>
      </c>
      <c r="Z22" s="19">
        <f t="shared" si="2"/>
        <v>5.6</v>
      </c>
      <c r="AA22" s="19">
        <f t="shared" si="2"/>
        <v>5.2</v>
      </c>
      <c r="AB22" s="19">
        <f>SUM(AB19:AB21)</f>
        <v>5.2</v>
      </c>
      <c r="AC22" s="19">
        <f t="shared" si="2"/>
        <v>6.6</v>
      </c>
      <c r="AD22" s="41"/>
      <c r="AE22" s="41"/>
      <c r="AF22" s="11"/>
      <c r="AG22" s="11"/>
      <c r="AH22" s="11"/>
      <c r="AI22" s="400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409">
        <f>SUM(F24:AC24)</f>
        <v>56.199999999999989</v>
      </c>
    </row>
    <row r="24" spans="1:51">
      <c r="A24" s="14" t="s">
        <v>22</v>
      </c>
      <c r="B24" s="20"/>
      <c r="C24" s="15">
        <v>4.5</v>
      </c>
      <c r="D24" s="15"/>
      <c r="E24" s="15"/>
      <c r="F24" s="372">
        <v>0</v>
      </c>
      <c r="G24" s="372">
        <v>0</v>
      </c>
      <c r="H24" s="372">
        <v>0</v>
      </c>
      <c r="I24" s="372">
        <v>0</v>
      </c>
      <c r="J24" s="372">
        <v>0</v>
      </c>
      <c r="K24" s="374">
        <v>0</v>
      </c>
      <c r="L24" s="374">
        <v>0</v>
      </c>
      <c r="M24" s="374">
        <v>0</v>
      </c>
      <c r="N24" s="372">
        <v>0</v>
      </c>
      <c r="O24" s="372">
        <v>3.8</v>
      </c>
      <c r="P24" s="372">
        <v>3.8</v>
      </c>
      <c r="Q24" s="372">
        <v>3.8</v>
      </c>
      <c r="R24" s="372">
        <v>3.8</v>
      </c>
      <c r="S24" s="372">
        <v>3.8</v>
      </c>
      <c r="T24" s="372">
        <v>3.8</v>
      </c>
      <c r="U24" s="372">
        <v>3.8</v>
      </c>
      <c r="V24" s="372">
        <v>3.8</v>
      </c>
      <c r="W24" s="372">
        <v>3.8</v>
      </c>
      <c r="X24" s="372">
        <v>3.8</v>
      </c>
      <c r="Y24" s="372">
        <v>3.8</v>
      </c>
      <c r="Z24" s="372">
        <v>3.8</v>
      </c>
      <c r="AA24" s="372">
        <v>3</v>
      </c>
      <c r="AB24" s="372">
        <v>3.8</v>
      </c>
      <c r="AC24" s="372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4">SUM(F24)</f>
        <v>0</v>
      </c>
      <c r="G25" s="19">
        <f t="shared" ref="G25:AC25" si="5">SUM(G24)</f>
        <v>0</v>
      </c>
      <c r="H25" s="19">
        <f t="shared" si="5"/>
        <v>0</v>
      </c>
      <c r="I25" s="19">
        <f t="shared" si="5"/>
        <v>0</v>
      </c>
      <c r="J25" s="19">
        <f t="shared" si="5"/>
        <v>0</v>
      </c>
      <c r="K25" s="19">
        <f t="shared" si="5"/>
        <v>0</v>
      </c>
      <c r="L25" s="19">
        <f t="shared" si="5"/>
        <v>0</v>
      </c>
      <c r="M25" s="19">
        <f t="shared" si="5"/>
        <v>0</v>
      </c>
      <c r="N25" s="19">
        <f t="shared" si="5"/>
        <v>0</v>
      </c>
      <c r="O25" s="19">
        <f t="shared" si="5"/>
        <v>3.8</v>
      </c>
      <c r="P25" s="19">
        <f t="shared" si="5"/>
        <v>3.8</v>
      </c>
      <c r="Q25" s="19">
        <f t="shared" si="5"/>
        <v>3.8</v>
      </c>
      <c r="R25" s="19">
        <f t="shared" si="5"/>
        <v>3.8</v>
      </c>
      <c r="S25" s="19">
        <f t="shared" si="5"/>
        <v>3.8</v>
      </c>
      <c r="T25" s="19">
        <f t="shared" si="5"/>
        <v>3.8</v>
      </c>
      <c r="U25" s="19">
        <f t="shared" si="5"/>
        <v>3.8</v>
      </c>
      <c r="V25" s="19">
        <f t="shared" si="5"/>
        <v>3.8</v>
      </c>
      <c r="W25" s="19">
        <f t="shared" si="5"/>
        <v>3.8</v>
      </c>
      <c r="X25" s="19">
        <f t="shared" si="5"/>
        <v>3.8</v>
      </c>
      <c r="Y25" s="19">
        <f t="shared" si="5"/>
        <v>3.8</v>
      </c>
      <c r="Z25" s="19">
        <f t="shared" si="5"/>
        <v>3.8</v>
      </c>
      <c r="AA25" s="19">
        <f t="shared" si="5"/>
        <v>3</v>
      </c>
      <c r="AB25" s="19">
        <f t="shared" si="5"/>
        <v>3.8</v>
      </c>
      <c r="AC25" s="19">
        <f t="shared" si="5"/>
        <v>3.8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177.69999999999996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2">
        <v>3.5</v>
      </c>
      <c r="G27" s="372">
        <v>4.0999999999999996</v>
      </c>
      <c r="H27" s="372">
        <v>3</v>
      </c>
      <c r="I27" s="372">
        <v>3.5</v>
      </c>
      <c r="J27" s="372">
        <v>3</v>
      </c>
      <c r="K27" s="374">
        <v>3</v>
      </c>
      <c r="L27" s="374">
        <v>3.9</v>
      </c>
      <c r="M27" s="374">
        <v>3.9</v>
      </c>
      <c r="N27" s="372">
        <v>4</v>
      </c>
      <c r="O27" s="372">
        <v>4</v>
      </c>
      <c r="P27" s="372">
        <v>3.9</v>
      </c>
      <c r="Q27" s="372">
        <v>4</v>
      </c>
      <c r="R27" s="372">
        <v>3.8</v>
      </c>
      <c r="S27" s="372">
        <v>4.2</v>
      </c>
      <c r="T27" s="372">
        <v>4.2</v>
      </c>
      <c r="U27" s="372">
        <v>4.2</v>
      </c>
      <c r="V27" s="372">
        <v>4.2</v>
      </c>
      <c r="W27" s="372">
        <v>4.2</v>
      </c>
      <c r="X27" s="372">
        <v>4.2</v>
      </c>
      <c r="Y27" s="372">
        <v>4.2</v>
      </c>
      <c r="Z27" s="374">
        <v>4.2</v>
      </c>
      <c r="AA27" s="372">
        <v>3.7</v>
      </c>
      <c r="AB27" s="372" t="s">
        <v>9</v>
      </c>
      <c r="AC27" s="372" t="s">
        <v>9</v>
      </c>
      <c r="AD27" s="41"/>
      <c r="AE27" s="41"/>
      <c r="AF27" s="11">
        <f>COUNTIF(F27:AC27,$AJ$8)</f>
        <v>2</v>
      </c>
      <c r="AG27" s="11">
        <f>COUNTIF(G27:AD27,$AJ$7)</f>
        <v>0</v>
      </c>
      <c r="AH27" s="11">
        <f>COUNT(F27:AC27)</f>
        <v>22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2">
        <v>3.5</v>
      </c>
      <c r="G28" s="372">
        <v>4.0999999999999996</v>
      </c>
      <c r="H28" s="372">
        <v>3</v>
      </c>
      <c r="I28" s="372">
        <v>3.5</v>
      </c>
      <c r="J28" s="372">
        <v>3</v>
      </c>
      <c r="K28" s="374">
        <v>3</v>
      </c>
      <c r="L28" s="374">
        <v>3.9</v>
      </c>
      <c r="M28" s="374">
        <v>3.9</v>
      </c>
      <c r="N28" s="372">
        <v>4</v>
      </c>
      <c r="O28" s="372">
        <v>4</v>
      </c>
      <c r="P28" s="372">
        <v>3.9</v>
      </c>
      <c r="Q28" s="372">
        <v>4</v>
      </c>
      <c r="R28" s="372">
        <v>3.8</v>
      </c>
      <c r="S28" s="372">
        <v>4.2</v>
      </c>
      <c r="T28" s="372">
        <v>4.2</v>
      </c>
      <c r="U28" s="372">
        <v>4.2</v>
      </c>
      <c r="V28" s="372">
        <v>4.2</v>
      </c>
      <c r="W28" s="372">
        <v>4.2</v>
      </c>
      <c r="X28" s="372">
        <v>4.2</v>
      </c>
      <c r="Y28" s="372">
        <v>4.2</v>
      </c>
      <c r="Z28" s="374">
        <v>4.2</v>
      </c>
      <c r="AA28" s="372">
        <v>3.7</v>
      </c>
      <c r="AB28" s="372">
        <v>3.8</v>
      </c>
      <c r="AC28" s="372">
        <v>4.0999999999999996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39.899999999999991</v>
      </c>
    </row>
    <row r="29" spans="1:51" ht="15" customHeight="1">
      <c r="A29" s="14" t="s">
        <v>30</v>
      </c>
      <c r="B29" s="369"/>
      <c r="C29" s="370">
        <v>8.8000000000000007</v>
      </c>
      <c r="D29" s="371"/>
      <c r="E29" s="371"/>
      <c r="F29" s="372"/>
      <c r="G29" s="372"/>
      <c r="H29" s="372"/>
      <c r="I29" s="372"/>
      <c r="J29" s="372"/>
      <c r="K29" s="374"/>
      <c r="L29" s="374"/>
      <c r="M29" s="374"/>
      <c r="N29" s="372"/>
      <c r="O29" s="372">
        <v>1.8</v>
      </c>
      <c r="P29" s="372">
        <v>1.8</v>
      </c>
      <c r="Q29" s="372">
        <v>5.0999999999999996</v>
      </c>
      <c r="R29" s="372">
        <v>4.5999999999999996</v>
      </c>
      <c r="S29" s="372">
        <v>4.2</v>
      </c>
      <c r="T29" s="372">
        <v>4.7</v>
      </c>
      <c r="U29" s="372">
        <v>3.7</v>
      </c>
      <c r="V29" s="372">
        <v>3.2</v>
      </c>
      <c r="W29" s="372">
        <v>2.2000000000000002</v>
      </c>
      <c r="X29" s="372">
        <v>2.2999999999999998</v>
      </c>
      <c r="Y29" s="372">
        <v>2.7</v>
      </c>
      <c r="Z29" s="372">
        <v>2.2999999999999998</v>
      </c>
      <c r="AA29" s="372">
        <v>0</v>
      </c>
      <c r="AB29" s="372">
        <v>0</v>
      </c>
      <c r="AC29" s="372">
        <v>0</v>
      </c>
    </row>
    <row r="30" spans="1:51" ht="15" customHeight="1">
      <c r="A30" s="14" t="s">
        <v>31</v>
      </c>
      <c r="B30" s="369"/>
      <c r="C30" s="370">
        <v>8.8000000000000007</v>
      </c>
      <c r="D30" s="371"/>
      <c r="E30" s="371"/>
      <c r="F30" s="372"/>
      <c r="G30" s="372"/>
      <c r="H30" s="372"/>
      <c r="I30" s="372"/>
      <c r="J30" s="372"/>
      <c r="K30" s="374"/>
      <c r="L30" s="374"/>
      <c r="M30" s="374"/>
      <c r="N30" s="372"/>
      <c r="O30" s="372"/>
      <c r="P30" s="372"/>
      <c r="Q30" s="372"/>
      <c r="R30" s="372"/>
      <c r="S30" s="372"/>
      <c r="T30" s="372"/>
      <c r="U30" s="372"/>
      <c r="V30" s="372"/>
      <c r="W30" s="372"/>
      <c r="X30" s="372"/>
      <c r="Y30" s="372"/>
      <c r="Z30" s="372">
        <v>0.3</v>
      </c>
      <c r="AA30" s="372">
        <v>1</v>
      </c>
      <c r="AB30" s="372">
        <v>0</v>
      </c>
      <c r="AC30" s="372">
        <v>0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:AC31" si="6">SUM(F27:F29)</f>
        <v>7</v>
      </c>
      <c r="G31" s="19">
        <f t="shared" si="6"/>
        <v>8.1999999999999993</v>
      </c>
      <c r="H31" s="19">
        <f t="shared" si="6"/>
        <v>6</v>
      </c>
      <c r="I31" s="19">
        <f t="shared" si="6"/>
        <v>7</v>
      </c>
      <c r="J31" s="19">
        <f t="shared" si="6"/>
        <v>6</v>
      </c>
      <c r="K31" s="19">
        <f t="shared" si="6"/>
        <v>6</v>
      </c>
      <c r="L31" s="19">
        <f t="shared" si="6"/>
        <v>7.8</v>
      </c>
      <c r="M31" s="19">
        <f t="shared" si="6"/>
        <v>7.8</v>
      </c>
      <c r="N31" s="19">
        <f t="shared" si="6"/>
        <v>8</v>
      </c>
      <c r="O31" s="19">
        <f t="shared" si="6"/>
        <v>9.8000000000000007</v>
      </c>
      <c r="P31" s="19">
        <f t="shared" si="6"/>
        <v>9.6</v>
      </c>
      <c r="Q31" s="19">
        <f t="shared" si="6"/>
        <v>13.1</v>
      </c>
      <c r="R31" s="19">
        <f t="shared" si="6"/>
        <v>12.2</v>
      </c>
      <c r="S31" s="19">
        <f t="shared" si="6"/>
        <v>12.600000000000001</v>
      </c>
      <c r="T31" s="19">
        <f>SUM(T27:T29)</f>
        <v>13.100000000000001</v>
      </c>
      <c r="U31" s="19">
        <f t="shared" si="6"/>
        <v>12.100000000000001</v>
      </c>
      <c r="V31" s="19">
        <f t="shared" si="6"/>
        <v>11.600000000000001</v>
      </c>
      <c r="W31" s="19">
        <f t="shared" si="6"/>
        <v>10.600000000000001</v>
      </c>
      <c r="X31" s="19">
        <f>SUM(X27:X30)</f>
        <v>10.7</v>
      </c>
      <c r="Y31" s="19">
        <f>SUM(Y27:Y30)</f>
        <v>11.100000000000001</v>
      </c>
      <c r="Z31" s="19">
        <f t="shared" si="6"/>
        <v>10.7</v>
      </c>
      <c r="AA31" s="19">
        <f t="shared" si="6"/>
        <v>7.4</v>
      </c>
      <c r="AB31" s="19">
        <f t="shared" si="6"/>
        <v>3.8</v>
      </c>
      <c r="AC31" s="19">
        <f t="shared" si="6"/>
        <v>4.0999999999999996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340.39000000000004</v>
      </c>
    </row>
    <row r="33" spans="1:36">
      <c r="A33" s="14" t="s">
        <v>22</v>
      </c>
      <c r="B33" s="15"/>
      <c r="C33" s="15">
        <v>15</v>
      </c>
      <c r="D33" s="15"/>
      <c r="E33" s="15"/>
      <c r="F33" s="372">
        <v>14.26</v>
      </c>
      <c r="G33" s="372">
        <v>14.08</v>
      </c>
      <c r="H33" s="372">
        <v>14.31</v>
      </c>
      <c r="I33" s="372">
        <v>14.32</v>
      </c>
      <c r="J33" s="372">
        <v>14.28</v>
      </c>
      <c r="K33" s="374">
        <v>14.26</v>
      </c>
      <c r="L33" s="374">
        <v>14.2</v>
      </c>
      <c r="M33" s="374">
        <v>12.8</v>
      </c>
      <c r="N33" s="372">
        <v>14.3</v>
      </c>
      <c r="O33" s="372">
        <v>14.3</v>
      </c>
      <c r="P33" s="372">
        <v>14.29</v>
      </c>
      <c r="Q33" s="372">
        <v>14.32</v>
      </c>
      <c r="R33" s="372">
        <v>14.31</v>
      </c>
      <c r="S33" s="372">
        <v>14.33</v>
      </c>
      <c r="T33" s="372">
        <v>14.31</v>
      </c>
      <c r="U33" s="372">
        <v>14.29</v>
      </c>
      <c r="V33" s="372">
        <v>14.33</v>
      </c>
      <c r="W33" s="372">
        <v>14.32</v>
      </c>
      <c r="X33" s="372">
        <v>14.31</v>
      </c>
      <c r="Y33" s="372">
        <v>14.28</v>
      </c>
      <c r="Z33" s="372">
        <v>14.32</v>
      </c>
      <c r="AA33" s="372">
        <v>13.6</v>
      </c>
      <c r="AB33" s="372">
        <v>14.22</v>
      </c>
      <c r="AC33" s="372">
        <v>14.05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7">SUM(F33)</f>
        <v>14.26</v>
      </c>
      <c r="G34" s="19">
        <f t="shared" ref="G34:AC34" si="8">SUM(G33)</f>
        <v>14.08</v>
      </c>
      <c r="H34" s="19">
        <f t="shared" si="8"/>
        <v>14.31</v>
      </c>
      <c r="I34" s="19">
        <f t="shared" si="8"/>
        <v>14.32</v>
      </c>
      <c r="J34" s="19">
        <f>SUM(J33)</f>
        <v>14.28</v>
      </c>
      <c r="K34" s="19">
        <f t="shared" si="8"/>
        <v>14.26</v>
      </c>
      <c r="L34" s="19">
        <f t="shared" si="8"/>
        <v>14.2</v>
      </c>
      <c r="M34" s="19">
        <f t="shared" si="8"/>
        <v>12.8</v>
      </c>
      <c r="N34" s="19">
        <f t="shared" si="8"/>
        <v>14.3</v>
      </c>
      <c r="O34" s="19">
        <f t="shared" si="8"/>
        <v>14.3</v>
      </c>
      <c r="P34" s="19">
        <f t="shared" si="8"/>
        <v>14.29</v>
      </c>
      <c r="Q34" s="19">
        <f t="shared" si="8"/>
        <v>14.32</v>
      </c>
      <c r="R34" s="19">
        <f t="shared" si="8"/>
        <v>14.31</v>
      </c>
      <c r="S34" s="19">
        <f t="shared" si="8"/>
        <v>14.33</v>
      </c>
      <c r="T34" s="19">
        <f t="shared" si="8"/>
        <v>14.31</v>
      </c>
      <c r="U34" s="19">
        <f t="shared" si="8"/>
        <v>14.29</v>
      </c>
      <c r="V34" s="19">
        <f t="shared" si="8"/>
        <v>14.33</v>
      </c>
      <c r="W34" s="19">
        <f t="shared" si="8"/>
        <v>14.32</v>
      </c>
      <c r="X34" s="19">
        <f t="shared" si="8"/>
        <v>14.31</v>
      </c>
      <c r="Y34" s="19">
        <f t="shared" si="8"/>
        <v>14.28</v>
      </c>
      <c r="Z34" s="19">
        <f t="shared" si="8"/>
        <v>14.32</v>
      </c>
      <c r="AA34" s="19">
        <f t="shared" si="8"/>
        <v>13.6</v>
      </c>
      <c r="AB34" s="19">
        <f t="shared" si="8"/>
        <v>14.22</v>
      </c>
      <c r="AC34" s="19">
        <f t="shared" si="8"/>
        <v>14.05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55"/>
      <c r="G35" s="455"/>
      <c r="H35" s="455"/>
      <c r="I35" s="455"/>
      <c r="J35" s="455"/>
      <c r="K35" s="455"/>
      <c r="L35" s="455"/>
      <c r="M35" s="455"/>
      <c r="N35" s="455"/>
      <c r="O35" s="455"/>
      <c r="P35" s="455"/>
      <c r="Q35" s="455"/>
      <c r="R35" s="455"/>
      <c r="S35" s="455"/>
      <c r="T35" s="455"/>
      <c r="U35" s="455"/>
      <c r="V35" s="455"/>
      <c r="W35" s="456"/>
      <c r="X35" s="455"/>
      <c r="Y35" s="455"/>
      <c r="Z35" s="455"/>
      <c r="AA35" s="455"/>
      <c r="AB35" s="455"/>
      <c r="AC35" s="455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6.2</v>
      </c>
      <c r="AJ35" t="s">
        <v>35</v>
      </c>
    </row>
    <row r="36" spans="1:36">
      <c r="A36" s="70" t="s">
        <v>36</v>
      </c>
      <c r="B36" s="15"/>
      <c r="C36" s="15"/>
      <c r="D36" s="15"/>
      <c r="E36" s="15"/>
      <c r="F36" s="372"/>
      <c r="G36" s="372"/>
      <c r="H36" s="372"/>
      <c r="I36" s="372"/>
      <c r="J36" s="372"/>
      <c r="K36" s="374"/>
      <c r="L36" s="374"/>
      <c r="M36" s="374"/>
      <c r="N36" s="372"/>
      <c r="O36" s="372"/>
      <c r="P36" s="372"/>
      <c r="Q36" s="372"/>
      <c r="R36" s="372"/>
      <c r="S36" s="372"/>
      <c r="T36" s="372"/>
      <c r="U36" s="372"/>
      <c r="V36" s="372"/>
      <c r="W36" s="372"/>
      <c r="X36" s="372"/>
      <c r="Y36" s="372"/>
      <c r="Z36" s="372"/>
      <c r="AA36" s="372"/>
      <c r="AB36" s="372"/>
      <c r="AC36" s="372"/>
      <c r="AD36" s="41"/>
      <c r="AE36" s="41"/>
      <c r="AF36" s="11">
        <f t="shared" ref="AF36:AF59" si="9">COUNTIF(F36:AC36,$AJ$8)</f>
        <v>0</v>
      </c>
      <c r="AG36" s="11">
        <f t="shared" ref="AG36:AG59" si="10">COUNTIF(G36:AD36,$AJ$7)</f>
        <v>0</v>
      </c>
      <c r="AH36" s="11">
        <f t="shared" ref="AH36:AH59" si="11">COUNT(F36:AC36)</f>
        <v>0</v>
      </c>
      <c r="AI36" s="159">
        <f>SUM(F36:AC38,F40:AC40,F45:AC59)</f>
        <v>33.499999999999993</v>
      </c>
      <c r="AJ36" t="s">
        <v>37</v>
      </c>
    </row>
    <row r="37" spans="1:36">
      <c r="A37" s="70" t="s">
        <v>38</v>
      </c>
      <c r="B37" s="15"/>
      <c r="C37" s="15"/>
      <c r="D37" s="15"/>
      <c r="E37" s="15"/>
      <c r="F37" s="372"/>
      <c r="G37" s="372"/>
      <c r="H37" s="372"/>
      <c r="I37" s="372"/>
      <c r="J37" s="372"/>
      <c r="K37" s="374"/>
      <c r="L37" s="374"/>
      <c r="M37" s="374"/>
      <c r="N37" s="372"/>
      <c r="O37" s="372"/>
      <c r="P37" s="372"/>
      <c r="Q37" s="372"/>
      <c r="R37" s="372"/>
      <c r="S37" s="372"/>
      <c r="T37" s="372"/>
      <c r="U37" s="372"/>
      <c r="V37" s="372"/>
      <c r="W37" s="372"/>
      <c r="X37" s="372"/>
      <c r="Y37" s="372"/>
      <c r="Z37" s="372"/>
      <c r="AA37" s="372"/>
      <c r="AB37" s="372"/>
      <c r="AC37" s="372"/>
      <c r="AD37" s="41"/>
      <c r="AE37" s="41"/>
      <c r="AF37" s="11">
        <f t="shared" si="9"/>
        <v>0</v>
      </c>
      <c r="AG37" s="11">
        <f t="shared" si="10"/>
        <v>0</v>
      </c>
      <c r="AH37" s="11">
        <f t="shared" si="11"/>
        <v>0</v>
      </c>
    </row>
    <row r="38" spans="1:36">
      <c r="A38" s="70" t="s">
        <v>39</v>
      </c>
      <c r="B38" s="15"/>
      <c r="C38" s="15"/>
      <c r="D38" s="15"/>
      <c r="E38" s="15"/>
      <c r="F38" s="372"/>
      <c r="G38" s="372"/>
      <c r="H38" s="372"/>
      <c r="I38" s="372"/>
      <c r="J38" s="372"/>
      <c r="K38" s="374"/>
      <c r="L38" s="374"/>
      <c r="M38" s="374"/>
      <c r="N38" s="372"/>
      <c r="O38" s="372"/>
      <c r="P38" s="372"/>
      <c r="Q38" s="372"/>
      <c r="R38" s="372"/>
      <c r="S38" s="372"/>
      <c r="T38" s="372"/>
      <c r="U38" s="372"/>
      <c r="V38" s="372"/>
      <c r="W38" s="372"/>
      <c r="X38" s="372"/>
      <c r="Y38" s="372"/>
      <c r="Z38" s="372"/>
      <c r="AA38" s="372"/>
      <c r="AB38" s="372"/>
      <c r="AC38" s="372"/>
      <c r="AD38" s="41"/>
      <c r="AE38" s="41"/>
      <c r="AF38" s="11">
        <f t="shared" si="9"/>
        <v>0</v>
      </c>
      <c r="AG38" s="11">
        <f t="shared" si="10"/>
        <v>0</v>
      </c>
      <c r="AH38" s="11">
        <f t="shared" si="11"/>
        <v>0</v>
      </c>
    </row>
    <row r="39" spans="1:36">
      <c r="A39" s="70">
        <v>34</v>
      </c>
      <c r="B39" s="15"/>
      <c r="C39" s="15"/>
      <c r="D39" s="15"/>
      <c r="E39" s="15"/>
      <c r="F39" s="372" t="s">
        <v>9</v>
      </c>
      <c r="G39" s="372" t="s">
        <v>9</v>
      </c>
      <c r="H39" s="372" t="s">
        <v>9</v>
      </c>
      <c r="I39" s="372" t="s">
        <v>9</v>
      </c>
      <c r="J39" s="372" t="s">
        <v>9</v>
      </c>
      <c r="K39" s="374" t="s">
        <v>9</v>
      </c>
      <c r="L39" s="374" t="s">
        <v>9</v>
      </c>
      <c r="M39" s="374" t="s">
        <v>9</v>
      </c>
      <c r="N39" s="372" t="s">
        <v>9</v>
      </c>
      <c r="O39" s="372" t="s">
        <v>9</v>
      </c>
      <c r="P39" s="372" t="s">
        <v>9</v>
      </c>
      <c r="Q39" s="372" t="s">
        <v>9</v>
      </c>
      <c r="R39" s="372" t="s">
        <v>9</v>
      </c>
      <c r="S39" s="372" t="s">
        <v>9</v>
      </c>
      <c r="T39" s="372" t="s">
        <v>9</v>
      </c>
      <c r="U39" s="372" t="s">
        <v>9</v>
      </c>
      <c r="V39" s="372" t="s">
        <v>9</v>
      </c>
      <c r="W39" s="372" t="s">
        <v>9</v>
      </c>
      <c r="X39" s="372" t="s">
        <v>9</v>
      </c>
      <c r="Y39" s="372" t="s">
        <v>9</v>
      </c>
      <c r="Z39" s="372" t="s">
        <v>9</v>
      </c>
      <c r="AA39" s="372" t="s">
        <v>9</v>
      </c>
      <c r="AB39" s="372" t="s">
        <v>9</v>
      </c>
      <c r="AC39" s="372" t="s">
        <v>9</v>
      </c>
      <c r="AD39" s="41"/>
      <c r="AE39" s="41"/>
      <c r="AF39" s="11">
        <f t="shared" si="9"/>
        <v>24</v>
      </c>
      <c r="AG39" s="11">
        <f t="shared" si="10"/>
        <v>0</v>
      </c>
      <c r="AH39" s="11">
        <f t="shared" si="11"/>
        <v>0</v>
      </c>
    </row>
    <row r="40" spans="1:36">
      <c r="A40" s="70">
        <v>35</v>
      </c>
      <c r="B40" s="15"/>
      <c r="C40" s="15">
        <v>0.85</v>
      </c>
      <c r="D40" s="15"/>
      <c r="E40" s="15"/>
      <c r="F40" s="372"/>
      <c r="G40" s="372"/>
      <c r="H40" s="372"/>
      <c r="I40" s="372"/>
      <c r="J40" s="372"/>
      <c r="K40" s="374"/>
      <c r="L40" s="374"/>
      <c r="M40" s="374"/>
      <c r="N40" s="372"/>
      <c r="O40" s="372"/>
      <c r="P40" s="372"/>
      <c r="Q40" s="372"/>
      <c r="R40" s="372"/>
      <c r="S40" s="372"/>
      <c r="T40" s="372"/>
      <c r="U40" s="372"/>
      <c r="V40" s="372"/>
      <c r="W40" s="372"/>
      <c r="X40" s="372"/>
      <c r="Y40" s="372"/>
      <c r="Z40" s="372"/>
      <c r="AA40" s="372"/>
      <c r="AB40" s="372"/>
      <c r="AC40" s="372"/>
      <c r="AD40" s="41"/>
      <c r="AE40" s="41"/>
      <c r="AF40" s="11">
        <f t="shared" si="9"/>
        <v>0</v>
      </c>
      <c r="AG40" s="11">
        <f t="shared" si="10"/>
        <v>0</v>
      </c>
      <c r="AH40" s="11">
        <f t="shared" si="11"/>
        <v>0</v>
      </c>
    </row>
    <row r="41" spans="1:36">
      <c r="A41" s="70">
        <v>36</v>
      </c>
      <c r="B41" s="15"/>
      <c r="C41" s="15">
        <v>1</v>
      </c>
      <c r="D41" s="15"/>
      <c r="E41" s="15"/>
      <c r="F41" s="372" t="s">
        <v>9</v>
      </c>
      <c r="G41" s="372" t="s">
        <v>9</v>
      </c>
      <c r="H41" s="372" t="s">
        <v>9</v>
      </c>
      <c r="I41" s="372" t="s">
        <v>9</v>
      </c>
      <c r="J41" s="372" t="s">
        <v>9</v>
      </c>
      <c r="K41" s="374" t="s">
        <v>9</v>
      </c>
      <c r="L41" s="374" t="s">
        <v>9</v>
      </c>
      <c r="M41" s="374" t="s">
        <v>9</v>
      </c>
      <c r="N41" s="372" t="s">
        <v>9</v>
      </c>
      <c r="O41" s="372" t="s">
        <v>9</v>
      </c>
      <c r="P41" s="372" t="s">
        <v>9</v>
      </c>
      <c r="Q41" s="372" t="s">
        <v>9</v>
      </c>
      <c r="R41" s="372" t="s">
        <v>9</v>
      </c>
      <c r="S41" s="372" t="s">
        <v>9</v>
      </c>
      <c r="T41" s="372" t="s">
        <v>9</v>
      </c>
      <c r="U41" s="372" t="s">
        <v>9</v>
      </c>
      <c r="V41" s="372" t="s">
        <v>9</v>
      </c>
      <c r="W41" s="372" t="s">
        <v>9</v>
      </c>
      <c r="X41" s="372" t="s">
        <v>9</v>
      </c>
      <c r="Y41" s="372" t="s">
        <v>9</v>
      </c>
      <c r="Z41" s="372" t="s">
        <v>9</v>
      </c>
      <c r="AA41" s="372" t="s">
        <v>9</v>
      </c>
      <c r="AB41" s="372" t="s">
        <v>9</v>
      </c>
      <c r="AC41" s="372" t="s">
        <v>9</v>
      </c>
      <c r="AD41" s="41"/>
      <c r="AE41" s="41"/>
      <c r="AF41" s="11">
        <f t="shared" si="9"/>
        <v>24</v>
      </c>
      <c r="AG41" s="11">
        <f t="shared" si="10"/>
        <v>0</v>
      </c>
      <c r="AH41" s="11">
        <f t="shared" si="11"/>
        <v>0</v>
      </c>
    </row>
    <row r="42" spans="1:36">
      <c r="A42" s="70">
        <v>37</v>
      </c>
      <c r="B42" s="15"/>
      <c r="C42" s="15">
        <v>1</v>
      </c>
      <c r="D42" s="15"/>
      <c r="E42" s="15"/>
      <c r="F42" s="372" t="s">
        <v>9</v>
      </c>
      <c r="G42" s="372" t="s">
        <v>9</v>
      </c>
      <c r="H42" s="372" t="s">
        <v>9</v>
      </c>
      <c r="I42" s="372" t="s">
        <v>9</v>
      </c>
      <c r="J42" s="372" t="s">
        <v>9</v>
      </c>
      <c r="K42" s="372" t="s">
        <v>9</v>
      </c>
      <c r="L42" s="372" t="s">
        <v>9</v>
      </c>
      <c r="M42" s="372" t="s">
        <v>9</v>
      </c>
      <c r="N42" s="372" t="s">
        <v>9</v>
      </c>
      <c r="O42" s="372" t="s">
        <v>9</v>
      </c>
      <c r="P42" s="372" t="s">
        <v>9</v>
      </c>
      <c r="Q42" s="372" t="s">
        <v>9</v>
      </c>
      <c r="R42" s="372" t="s">
        <v>9</v>
      </c>
      <c r="S42" s="372" t="s">
        <v>9</v>
      </c>
      <c r="T42" s="372" t="s">
        <v>9</v>
      </c>
      <c r="U42" s="372" t="s">
        <v>9</v>
      </c>
      <c r="V42" s="372" t="s">
        <v>9</v>
      </c>
      <c r="W42" s="372" t="s">
        <v>9</v>
      </c>
      <c r="X42" s="372" t="s">
        <v>9</v>
      </c>
      <c r="Y42" s="372" t="s">
        <v>9</v>
      </c>
      <c r="Z42" s="372" t="s">
        <v>9</v>
      </c>
      <c r="AA42" s="372" t="s">
        <v>9</v>
      </c>
      <c r="AB42" s="372" t="s">
        <v>9</v>
      </c>
      <c r="AC42" s="372" t="s">
        <v>9</v>
      </c>
      <c r="AD42" s="41"/>
      <c r="AE42" s="41"/>
      <c r="AF42" s="11">
        <f t="shared" si="9"/>
        <v>24</v>
      </c>
      <c r="AG42" s="11">
        <f t="shared" si="10"/>
        <v>0</v>
      </c>
      <c r="AH42" s="11">
        <f t="shared" si="11"/>
        <v>0</v>
      </c>
    </row>
    <row r="43" spans="1:36">
      <c r="A43" s="70">
        <v>38</v>
      </c>
      <c r="B43" s="15"/>
      <c r="C43" s="15"/>
      <c r="D43" s="15"/>
      <c r="E43" s="15"/>
      <c r="F43" s="372" t="s">
        <v>9</v>
      </c>
      <c r="G43" s="372" t="s">
        <v>9</v>
      </c>
      <c r="H43" s="372" t="s">
        <v>9</v>
      </c>
      <c r="I43" s="372" t="s">
        <v>9</v>
      </c>
      <c r="J43" s="372" t="s">
        <v>9</v>
      </c>
      <c r="K43" s="374" t="s">
        <v>9</v>
      </c>
      <c r="L43" s="374" t="s">
        <v>9</v>
      </c>
      <c r="M43" s="374" t="s">
        <v>9</v>
      </c>
      <c r="N43" s="372" t="s">
        <v>9</v>
      </c>
      <c r="O43" s="372" t="s">
        <v>9</v>
      </c>
      <c r="P43" s="372" t="s">
        <v>9</v>
      </c>
      <c r="Q43" s="372" t="s">
        <v>9</v>
      </c>
      <c r="R43" s="372" t="s">
        <v>9</v>
      </c>
      <c r="S43" s="372" t="s">
        <v>9</v>
      </c>
      <c r="T43" s="372" t="s">
        <v>9</v>
      </c>
      <c r="U43" s="372" t="s">
        <v>9</v>
      </c>
      <c r="V43" s="372" t="s">
        <v>9</v>
      </c>
      <c r="W43" s="372" t="s">
        <v>9</v>
      </c>
      <c r="X43" s="372" t="s">
        <v>9</v>
      </c>
      <c r="Y43" s="372" t="s">
        <v>9</v>
      </c>
      <c r="Z43" s="372" t="s">
        <v>9</v>
      </c>
      <c r="AA43" s="372" t="s">
        <v>9</v>
      </c>
      <c r="AB43" s="372" t="s">
        <v>9</v>
      </c>
      <c r="AC43" s="372" t="s">
        <v>9</v>
      </c>
      <c r="AD43" s="41"/>
      <c r="AE43" s="41"/>
      <c r="AF43" s="11">
        <f t="shared" si="9"/>
        <v>24</v>
      </c>
      <c r="AG43" s="11">
        <f t="shared" si="10"/>
        <v>0</v>
      </c>
      <c r="AH43" s="11">
        <f t="shared" si="11"/>
        <v>0</v>
      </c>
    </row>
    <row r="44" spans="1:36" ht="16.5" customHeight="1">
      <c r="A44" s="70">
        <v>39</v>
      </c>
      <c r="B44" s="15"/>
      <c r="C44" s="15">
        <v>1</v>
      </c>
      <c r="D44" s="15"/>
      <c r="E44" s="15"/>
      <c r="F44" s="372" t="s">
        <v>9</v>
      </c>
      <c r="G44" s="372" t="s">
        <v>9</v>
      </c>
      <c r="H44" s="372" t="s">
        <v>9</v>
      </c>
      <c r="I44" s="372" t="s">
        <v>9</v>
      </c>
      <c r="J44" s="372" t="s">
        <v>9</v>
      </c>
      <c r="K44" s="374" t="s">
        <v>9</v>
      </c>
      <c r="L44" s="374" t="s">
        <v>9</v>
      </c>
      <c r="M44" s="374" t="s">
        <v>9</v>
      </c>
      <c r="N44" s="372" t="s">
        <v>9</v>
      </c>
      <c r="O44" s="372" t="s">
        <v>9</v>
      </c>
      <c r="P44" s="372" t="s">
        <v>9</v>
      </c>
      <c r="Q44" s="372" t="s">
        <v>9</v>
      </c>
      <c r="R44" s="372" t="s">
        <v>9</v>
      </c>
      <c r="S44" s="372" t="s">
        <v>9</v>
      </c>
      <c r="T44" s="372" t="s">
        <v>9</v>
      </c>
      <c r="U44" s="372" t="s">
        <v>9</v>
      </c>
      <c r="V44" s="372" t="s">
        <v>9</v>
      </c>
      <c r="W44" s="372">
        <v>1</v>
      </c>
      <c r="X44" s="372">
        <v>0.9</v>
      </c>
      <c r="Y44" s="372">
        <v>0.9</v>
      </c>
      <c r="Z44" s="372">
        <v>0.9</v>
      </c>
      <c r="AA44" s="372">
        <v>0.9</v>
      </c>
      <c r="AB44" s="372">
        <v>0.9</v>
      </c>
      <c r="AC44" s="372">
        <v>0.7</v>
      </c>
      <c r="AD44" s="41"/>
      <c r="AE44" s="41"/>
      <c r="AF44" s="11">
        <f t="shared" si="9"/>
        <v>17</v>
      </c>
      <c r="AG44" s="11">
        <f t="shared" si="10"/>
        <v>0</v>
      </c>
      <c r="AH44" s="11">
        <f t="shared" si="11"/>
        <v>7</v>
      </c>
    </row>
    <row r="45" spans="1:36" ht="16.5" customHeight="1">
      <c r="A45" s="70" t="s">
        <v>40</v>
      </c>
      <c r="B45" s="15"/>
      <c r="C45" s="15">
        <v>0.85</v>
      </c>
      <c r="D45" s="15"/>
      <c r="E45" s="15"/>
      <c r="F45" s="372"/>
      <c r="G45" s="372"/>
      <c r="H45" s="372"/>
      <c r="I45" s="372"/>
      <c r="J45" s="372"/>
      <c r="K45" s="374"/>
      <c r="L45" s="374"/>
      <c r="M45" s="374"/>
      <c r="N45" s="372"/>
      <c r="O45" s="372"/>
      <c r="P45" s="372"/>
      <c r="Q45" s="372"/>
      <c r="R45" s="372"/>
      <c r="S45" s="372"/>
      <c r="T45" s="372"/>
      <c r="U45" s="372"/>
      <c r="V45" s="372"/>
      <c r="W45" s="372"/>
      <c r="X45" s="372"/>
      <c r="Y45" s="372"/>
      <c r="Z45" s="372"/>
      <c r="AA45" s="372"/>
      <c r="AB45" s="372"/>
      <c r="AC45" s="372"/>
      <c r="AD45" s="41"/>
      <c r="AE45" s="41"/>
      <c r="AF45" s="11">
        <f t="shared" si="9"/>
        <v>0</v>
      </c>
      <c r="AG45" s="11">
        <f t="shared" si="10"/>
        <v>0</v>
      </c>
      <c r="AH45" s="11">
        <f t="shared" si="11"/>
        <v>0</v>
      </c>
      <c r="AI45" s="159"/>
    </row>
    <row r="46" spans="1:36">
      <c r="A46" s="70" t="s">
        <v>41</v>
      </c>
      <c r="B46" s="15"/>
      <c r="C46" s="15">
        <v>0.75</v>
      </c>
      <c r="D46" s="15"/>
      <c r="E46" s="15"/>
      <c r="F46" s="372"/>
      <c r="G46" s="372"/>
      <c r="H46" s="372"/>
      <c r="I46" s="372"/>
      <c r="J46" s="372"/>
      <c r="K46" s="374"/>
      <c r="L46" s="374"/>
      <c r="M46" s="374"/>
      <c r="N46" s="372"/>
      <c r="O46" s="372"/>
      <c r="P46" s="372"/>
      <c r="Q46" s="372"/>
      <c r="R46" s="372"/>
      <c r="S46" s="372"/>
      <c r="T46" s="372"/>
      <c r="U46" s="372"/>
      <c r="V46" s="372"/>
      <c r="W46" s="372"/>
      <c r="X46" s="372"/>
      <c r="Y46" s="372"/>
      <c r="Z46" s="372"/>
      <c r="AA46" s="372"/>
      <c r="AB46" s="372"/>
      <c r="AC46" s="372"/>
      <c r="AD46" s="41"/>
      <c r="AE46" s="41"/>
      <c r="AF46" s="11">
        <f t="shared" si="9"/>
        <v>0</v>
      </c>
      <c r="AG46" s="11">
        <f t="shared" si="10"/>
        <v>0</v>
      </c>
      <c r="AH46" s="11">
        <f t="shared" si="11"/>
        <v>0</v>
      </c>
      <c r="AI46" s="159"/>
    </row>
    <row r="47" spans="1:36">
      <c r="A47" s="70" t="s">
        <v>42</v>
      </c>
      <c r="B47" s="15"/>
      <c r="C47" s="15">
        <v>0.75</v>
      </c>
      <c r="D47" s="15"/>
      <c r="E47" s="15"/>
      <c r="F47" s="372"/>
      <c r="G47" s="372"/>
      <c r="H47" s="372"/>
      <c r="I47" s="372"/>
      <c r="J47" s="372"/>
      <c r="K47" s="374"/>
      <c r="L47" s="374"/>
      <c r="M47" s="374"/>
      <c r="N47" s="374"/>
      <c r="O47" s="372">
        <v>0.8</v>
      </c>
      <c r="P47" s="372">
        <v>0.8</v>
      </c>
      <c r="Q47" s="372">
        <v>0</v>
      </c>
      <c r="R47" s="372">
        <v>0</v>
      </c>
      <c r="S47" s="372">
        <v>0</v>
      </c>
      <c r="T47" s="372">
        <f>3.95/5</f>
        <v>0.79</v>
      </c>
      <c r="U47" s="372">
        <v>0.8</v>
      </c>
      <c r="V47" s="372">
        <v>0.8</v>
      </c>
      <c r="W47" s="372">
        <v>0.8</v>
      </c>
      <c r="X47" s="372"/>
      <c r="Y47" s="372">
        <v>0.8</v>
      </c>
      <c r="Z47" s="372"/>
      <c r="AA47" s="372"/>
      <c r="AB47" s="372"/>
      <c r="AC47" s="372"/>
      <c r="AD47" s="41"/>
      <c r="AE47" s="41"/>
      <c r="AF47" s="11">
        <f t="shared" si="9"/>
        <v>0</v>
      </c>
      <c r="AG47" s="11">
        <f t="shared" si="10"/>
        <v>0</v>
      </c>
      <c r="AH47" s="11">
        <f t="shared" si="11"/>
        <v>10</v>
      </c>
    </row>
    <row r="48" spans="1:36">
      <c r="A48" s="70" t="s">
        <v>43</v>
      </c>
      <c r="B48" s="15"/>
      <c r="C48" s="15">
        <v>0.75</v>
      </c>
      <c r="D48" s="15"/>
      <c r="E48" s="15"/>
      <c r="F48" s="372"/>
      <c r="G48" s="372"/>
      <c r="H48" s="372"/>
      <c r="I48" s="372"/>
      <c r="J48" s="372"/>
      <c r="K48" s="374"/>
      <c r="L48" s="374"/>
      <c r="M48" s="374"/>
      <c r="N48" s="372"/>
      <c r="O48" s="372"/>
      <c r="P48" s="372"/>
      <c r="Q48" s="372"/>
      <c r="R48" s="372"/>
      <c r="S48" s="372"/>
      <c r="T48" s="372"/>
      <c r="U48" s="372"/>
      <c r="V48" s="372"/>
      <c r="W48" s="372"/>
      <c r="X48" s="372"/>
      <c r="Y48" s="372"/>
      <c r="Z48" s="372"/>
      <c r="AA48" s="372"/>
      <c r="AB48" s="372"/>
      <c r="AC48" s="372"/>
      <c r="AD48" s="41"/>
      <c r="AE48" s="41"/>
      <c r="AF48" s="11">
        <f t="shared" si="9"/>
        <v>0</v>
      </c>
      <c r="AG48" s="11">
        <f t="shared" si="10"/>
        <v>0</v>
      </c>
      <c r="AH48" s="11">
        <f t="shared" si="11"/>
        <v>0</v>
      </c>
    </row>
    <row r="49" spans="1:124" ht="15" customHeight="1">
      <c r="A49" s="70" t="s">
        <v>44</v>
      </c>
      <c r="B49" s="15"/>
      <c r="C49" s="15">
        <v>0.75</v>
      </c>
      <c r="D49" s="15"/>
      <c r="E49" s="15"/>
      <c r="F49" s="372"/>
      <c r="G49" s="372"/>
      <c r="H49" s="372"/>
      <c r="I49" s="372"/>
      <c r="J49" s="372"/>
      <c r="K49" s="374"/>
      <c r="L49" s="374"/>
      <c r="M49" s="374"/>
      <c r="N49" s="372"/>
      <c r="O49" s="372"/>
      <c r="P49" s="372"/>
      <c r="Q49" s="372"/>
      <c r="R49" s="372"/>
      <c r="S49" s="372"/>
      <c r="T49" s="372"/>
      <c r="U49" s="372"/>
      <c r="V49" s="372"/>
      <c r="W49" s="372"/>
      <c r="X49" s="372"/>
      <c r="Y49" s="372"/>
      <c r="Z49" s="372"/>
      <c r="AA49" s="372"/>
      <c r="AB49" s="372"/>
      <c r="AC49" s="372"/>
      <c r="AD49" s="41"/>
      <c r="AE49" s="41"/>
      <c r="AF49" s="11">
        <f t="shared" si="9"/>
        <v>0</v>
      </c>
      <c r="AG49" s="11">
        <f t="shared" si="10"/>
        <v>0</v>
      </c>
      <c r="AH49" s="11">
        <f t="shared" si="11"/>
        <v>0</v>
      </c>
    </row>
    <row r="50" spans="1:124" ht="17.25" customHeight="1">
      <c r="A50" s="70" t="s">
        <v>45</v>
      </c>
      <c r="B50" s="15"/>
      <c r="C50" s="15">
        <v>0.75</v>
      </c>
      <c r="D50" s="15"/>
      <c r="E50" s="15"/>
      <c r="F50" s="372"/>
      <c r="G50" s="372"/>
      <c r="H50" s="372"/>
      <c r="I50" s="372"/>
      <c r="J50" s="372"/>
      <c r="K50" s="374"/>
      <c r="L50" s="374"/>
      <c r="M50" s="374"/>
      <c r="N50" s="374"/>
      <c r="O50" s="372">
        <v>0.8</v>
      </c>
      <c r="P50" s="372">
        <v>0.8</v>
      </c>
      <c r="Q50" s="372">
        <f>2.3/3</f>
        <v>0.76666666666666661</v>
      </c>
      <c r="R50" s="372">
        <f>2.3/3</f>
        <v>0.76666666666666661</v>
      </c>
      <c r="S50" s="372">
        <f>3.1/4</f>
        <v>0.77500000000000002</v>
      </c>
      <c r="T50" s="372">
        <f t="shared" ref="T50:T51" si="12">3.95/5</f>
        <v>0.79</v>
      </c>
      <c r="U50" s="372"/>
      <c r="V50" s="372"/>
      <c r="W50" s="372">
        <v>0.8</v>
      </c>
      <c r="X50" s="372"/>
      <c r="Y50" s="372">
        <v>0.7</v>
      </c>
      <c r="Z50" s="372"/>
      <c r="AA50" s="372"/>
      <c r="AB50" s="372"/>
      <c r="AC50" s="372"/>
      <c r="AD50" s="41"/>
      <c r="AE50" s="41"/>
      <c r="AF50" s="11">
        <f t="shared" si="9"/>
        <v>0</v>
      </c>
      <c r="AG50" s="11">
        <f t="shared" si="10"/>
        <v>0</v>
      </c>
      <c r="AH50" s="11">
        <f t="shared" si="11"/>
        <v>8</v>
      </c>
    </row>
    <row r="51" spans="1:124">
      <c r="A51" s="70" t="s">
        <v>46</v>
      </c>
      <c r="B51" s="15"/>
      <c r="C51" s="15">
        <v>0.85</v>
      </c>
      <c r="D51" s="15"/>
      <c r="E51" s="15"/>
      <c r="F51" s="372"/>
      <c r="G51" s="372"/>
      <c r="H51" s="372"/>
      <c r="I51" s="372"/>
      <c r="J51" s="372"/>
      <c r="K51" s="374"/>
      <c r="L51" s="374"/>
      <c r="M51" s="374"/>
      <c r="N51" s="374">
        <v>0.7</v>
      </c>
      <c r="O51" s="372">
        <v>0.8</v>
      </c>
      <c r="P51" s="372">
        <v>0.8</v>
      </c>
      <c r="Q51" s="372">
        <v>0</v>
      </c>
      <c r="R51" s="372">
        <v>0</v>
      </c>
      <c r="S51" s="372">
        <f>3.1/4</f>
        <v>0.77500000000000002</v>
      </c>
      <c r="T51" s="372">
        <f t="shared" si="12"/>
        <v>0.79</v>
      </c>
      <c r="U51" s="372">
        <v>0.8</v>
      </c>
      <c r="V51" s="372">
        <v>0.8</v>
      </c>
      <c r="W51" s="372">
        <v>0.8</v>
      </c>
      <c r="X51" s="372"/>
      <c r="Y51" s="372"/>
      <c r="Z51" s="372"/>
      <c r="AA51" s="372"/>
      <c r="AB51" s="372"/>
      <c r="AC51" s="372"/>
      <c r="AD51" s="41"/>
      <c r="AE51" s="41"/>
      <c r="AF51" s="11">
        <f t="shared" si="9"/>
        <v>0</v>
      </c>
      <c r="AG51" s="11">
        <f t="shared" si="10"/>
        <v>0</v>
      </c>
      <c r="AH51" s="11">
        <f t="shared" si="11"/>
        <v>10</v>
      </c>
    </row>
    <row r="52" spans="1:124">
      <c r="A52" s="70" t="s">
        <v>47</v>
      </c>
      <c r="B52" s="15"/>
      <c r="C52" s="15">
        <v>0.85</v>
      </c>
      <c r="D52" s="15"/>
      <c r="E52" s="15"/>
      <c r="F52" s="372" t="s">
        <v>9</v>
      </c>
      <c r="G52" s="372" t="s">
        <v>9</v>
      </c>
      <c r="H52" s="372" t="s">
        <v>9</v>
      </c>
      <c r="I52" s="372" t="s">
        <v>9</v>
      </c>
      <c r="J52" s="372" t="s">
        <v>9</v>
      </c>
      <c r="K52" s="374" t="s">
        <v>9</v>
      </c>
      <c r="L52" s="374" t="s">
        <v>9</v>
      </c>
      <c r="M52" s="374" t="s">
        <v>9</v>
      </c>
      <c r="N52" s="372" t="s">
        <v>9</v>
      </c>
      <c r="O52" s="372" t="s">
        <v>9</v>
      </c>
      <c r="P52" s="372" t="s">
        <v>9</v>
      </c>
      <c r="Q52" s="372" t="s">
        <v>9</v>
      </c>
      <c r="R52" s="372" t="s">
        <v>9</v>
      </c>
      <c r="S52" s="372" t="s">
        <v>9</v>
      </c>
      <c r="T52" s="372" t="s">
        <v>9</v>
      </c>
      <c r="U52" s="372" t="s">
        <v>9</v>
      </c>
      <c r="V52" s="372" t="s">
        <v>9</v>
      </c>
      <c r="W52" s="372" t="s">
        <v>9</v>
      </c>
      <c r="X52" s="372" t="s">
        <v>9</v>
      </c>
      <c r="Y52" s="372" t="s">
        <v>9</v>
      </c>
      <c r="Z52" s="372" t="s">
        <v>9</v>
      </c>
      <c r="AA52" s="372" t="s">
        <v>9</v>
      </c>
      <c r="AB52" s="372" t="s">
        <v>9</v>
      </c>
      <c r="AC52" s="372" t="s">
        <v>9</v>
      </c>
      <c r="AD52" s="41"/>
      <c r="AE52" s="41"/>
      <c r="AF52" s="11">
        <f t="shared" si="9"/>
        <v>24</v>
      </c>
      <c r="AG52" s="11">
        <f t="shared" si="10"/>
        <v>0</v>
      </c>
      <c r="AH52" s="11">
        <f t="shared" si="11"/>
        <v>0</v>
      </c>
    </row>
    <row r="53" spans="1:124">
      <c r="A53" s="70" t="s">
        <v>48</v>
      </c>
      <c r="B53" s="15"/>
      <c r="C53" s="15">
        <v>0.85</v>
      </c>
      <c r="D53" s="15"/>
      <c r="E53" s="15"/>
      <c r="F53" s="372"/>
      <c r="G53" s="372"/>
      <c r="H53" s="372"/>
      <c r="I53" s="372"/>
      <c r="J53" s="372"/>
      <c r="K53" s="374"/>
      <c r="L53" s="374"/>
      <c r="M53" s="374"/>
      <c r="N53" s="372"/>
      <c r="O53" s="372"/>
      <c r="P53" s="372"/>
      <c r="Q53" s="372"/>
      <c r="R53" s="372"/>
      <c r="S53" s="372"/>
      <c r="T53" s="372"/>
      <c r="U53" s="372"/>
      <c r="V53" s="372"/>
      <c r="W53" s="372"/>
      <c r="X53" s="372"/>
      <c r="Y53" s="372"/>
      <c r="Z53" s="372"/>
      <c r="AA53" s="372"/>
      <c r="AB53" s="372"/>
      <c r="AC53" s="372"/>
      <c r="AD53" s="41"/>
      <c r="AE53" s="41"/>
      <c r="AF53" s="11">
        <f t="shared" si="9"/>
        <v>0</v>
      </c>
      <c r="AG53" s="11">
        <f t="shared" si="10"/>
        <v>0</v>
      </c>
      <c r="AH53" s="11">
        <f t="shared" si="11"/>
        <v>0</v>
      </c>
    </row>
    <row r="54" spans="1:124" ht="16.5" customHeight="1">
      <c r="A54" s="70" t="s">
        <v>49</v>
      </c>
      <c r="B54" s="15"/>
      <c r="C54" s="15">
        <v>0.85</v>
      </c>
      <c r="D54" s="15"/>
      <c r="E54" s="15"/>
      <c r="F54" s="372"/>
      <c r="G54" s="372"/>
      <c r="H54" s="372"/>
      <c r="I54" s="372"/>
      <c r="J54" s="372"/>
      <c r="K54" s="374"/>
      <c r="L54" s="374">
        <v>0.7</v>
      </c>
      <c r="M54" s="374">
        <v>0</v>
      </c>
      <c r="N54" s="374">
        <v>0</v>
      </c>
      <c r="O54" s="372">
        <v>0.8</v>
      </c>
      <c r="P54" s="372">
        <v>0.8</v>
      </c>
      <c r="Q54" s="372">
        <f>2.3/3</f>
        <v>0.76666666666666661</v>
      </c>
      <c r="R54" s="372">
        <f>2.3/3</f>
        <v>0.76666666666666661</v>
      </c>
      <c r="S54" s="372">
        <f>3.1/4</f>
        <v>0.77500000000000002</v>
      </c>
      <c r="T54" s="372">
        <f>3.95/5</f>
        <v>0.79</v>
      </c>
      <c r="U54" s="372">
        <v>0.7</v>
      </c>
      <c r="V54" s="372">
        <v>0.7</v>
      </c>
      <c r="W54" s="372">
        <v>0.85</v>
      </c>
      <c r="X54" s="372"/>
      <c r="Y54" s="372"/>
      <c r="Z54" s="372"/>
      <c r="AA54" s="372"/>
      <c r="AB54" s="372"/>
      <c r="AC54" s="372"/>
      <c r="AD54" s="41"/>
      <c r="AE54" s="41"/>
      <c r="AF54" s="11">
        <f t="shared" si="9"/>
        <v>0</v>
      </c>
      <c r="AG54" s="11">
        <f t="shared" si="10"/>
        <v>0</v>
      </c>
      <c r="AH54" s="11">
        <f t="shared" si="11"/>
        <v>12</v>
      </c>
    </row>
    <row r="55" spans="1:124">
      <c r="A55" s="70" t="s">
        <v>50</v>
      </c>
      <c r="B55" s="15"/>
      <c r="C55" s="15">
        <v>0.85</v>
      </c>
      <c r="D55" s="15"/>
      <c r="E55" s="15"/>
      <c r="F55" s="372"/>
      <c r="G55" s="372"/>
      <c r="H55" s="372"/>
      <c r="I55" s="372"/>
      <c r="J55" s="372"/>
      <c r="K55" s="374"/>
      <c r="L55" s="374"/>
      <c r="M55" s="374"/>
      <c r="N55" s="372"/>
      <c r="O55" s="372"/>
      <c r="P55" s="372"/>
      <c r="Q55" s="372"/>
      <c r="R55" s="372"/>
      <c r="S55" s="372"/>
      <c r="T55" s="372"/>
      <c r="U55" s="372"/>
      <c r="V55" s="372"/>
      <c r="W55" s="372"/>
      <c r="X55" s="372"/>
      <c r="Y55" s="372"/>
      <c r="Z55" s="372"/>
      <c r="AA55" s="372"/>
      <c r="AB55" s="372"/>
      <c r="AC55" s="372"/>
      <c r="AD55" s="41"/>
      <c r="AE55" s="41"/>
      <c r="AF55" s="11">
        <f>COUNTIF(F55:AC55,$AJ$8)</f>
        <v>0</v>
      </c>
      <c r="AG55" s="11">
        <f t="shared" si="10"/>
        <v>0</v>
      </c>
      <c r="AH55" s="11">
        <f>COUNT(F55:AC55)</f>
        <v>0</v>
      </c>
    </row>
    <row r="56" spans="1:124">
      <c r="A56" s="70" t="s">
        <v>51</v>
      </c>
      <c r="B56" s="15"/>
      <c r="C56" s="15">
        <v>0.75</v>
      </c>
      <c r="D56" s="15"/>
      <c r="E56" s="15"/>
      <c r="F56" s="372"/>
      <c r="G56" s="372"/>
      <c r="H56" s="372"/>
      <c r="I56" s="372"/>
      <c r="J56" s="372"/>
      <c r="K56" s="374"/>
      <c r="L56" s="374"/>
      <c r="M56" s="374"/>
      <c r="N56" s="374"/>
      <c r="O56" s="372">
        <v>0.7</v>
      </c>
      <c r="P56" s="372">
        <v>0.75</v>
      </c>
      <c r="Q56" s="372">
        <f>2.3/3</f>
        <v>0.76666666666666661</v>
      </c>
      <c r="R56" s="372">
        <f>2.3/3</f>
        <v>0.76666666666666661</v>
      </c>
      <c r="S56" s="372">
        <f>3.1/4</f>
        <v>0.77500000000000002</v>
      </c>
      <c r="T56" s="372">
        <f>3.95/5</f>
        <v>0.79</v>
      </c>
      <c r="U56" s="372">
        <v>0.8</v>
      </c>
      <c r="V56" s="372">
        <v>0.8</v>
      </c>
      <c r="W56" s="372">
        <v>0.85</v>
      </c>
      <c r="X56" s="372"/>
      <c r="Y56" s="372"/>
      <c r="Z56" s="372"/>
      <c r="AA56" s="372"/>
      <c r="AB56" s="372"/>
      <c r="AC56" s="372">
        <v>0.8</v>
      </c>
      <c r="AD56" s="41"/>
      <c r="AE56" s="41"/>
      <c r="AF56" s="11">
        <f t="shared" si="9"/>
        <v>0</v>
      </c>
      <c r="AG56" s="11">
        <f t="shared" si="10"/>
        <v>0</v>
      </c>
      <c r="AH56" s="11">
        <f t="shared" si="11"/>
        <v>10</v>
      </c>
    </row>
    <row r="57" spans="1:124">
      <c r="A57" s="70" t="s">
        <v>52</v>
      </c>
      <c r="B57" s="15"/>
      <c r="C57" s="15">
        <v>0.75</v>
      </c>
      <c r="D57" s="15"/>
      <c r="E57" s="15"/>
      <c r="F57" s="372"/>
      <c r="G57" s="372"/>
      <c r="H57" s="372"/>
      <c r="I57" s="372"/>
      <c r="J57" s="372"/>
      <c r="K57" s="374"/>
      <c r="L57" s="374"/>
      <c r="M57" s="374"/>
      <c r="N57" s="372"/>
      <c r="O57" s="372"/>
      <c r="P57" s="372"/>
      <c r="Q57" s="372"/>
      <c r="R57" s="372"/>
      <c r="S57" s="372"/>
      <c r="T57" s="372"/>
      <c r="U57" s="372"/>
      <c r="V57" s="372"/>
      <c r="W57" s="372"/>
      <c r="X57" s="372"/>
      <c r="Y57" s="372"/>
      <c r="Z57" s="372"/>
      <c r="AA57" s="372"/>
      <c r="AB57" s="372"/>
      <c r="AC57" s="372"/>
      <c r="AD57" s="41"/>
      <c r="AE57" s="41"/>
      <c r="AF57" s="11">
        <f t="shared" si="9"/>
        <v>0</v>
      </c>
      <c r="AG57" s="11">
        <f t="shared" si="10"/>
        <v>0</v>
      </c>
      <c r="AH57" s="11">
        <f t="shared" si="11"/>
        <v>0</v>
      </c>
    </row>
    <row r="58" spans="1:124">
      <c r="A58" s="70" t="s">
        <v>53</v>
      </c>
      <c r="B58" s="15"/>
      <c r="C58" s="15">
        <v>0.85</v>
      </c>
      <c r="D58" s="15"/>
      <c r="E58" s="15"/>
      <c r="F58" s="372"/>
      <c r="G58" s="372"/>
      <c r="H58" s="372"/>
      <c r="I58" s="372"/>
      <c r="J58" s="372"/>
      <c r="K58" s="374"/>
      <c r="L58" s="374"/>
      <c r="M58" s="374"/>
      <c r="N58" s="372"/>
      <c r="O58" s="372"/>
      <c r="P58" s="372"/>
      <c r="Q58" s="372"/>
      <c r="R58" s="372"/>
      <c r="S58" s="372"/>
      <c r="T58" s="372"/>
      <c r="U58" s="372"/>
      <c r="V58" s="372"/>
      <c r="W58" s="372"/>
      <c r="X58" s="372"/>
      <c r="Y58" s="372"/>
      <c r="Z58" s="372"/>
      <c r="AA58" s="372"/>
      <c r="AB58" s="372"/>
      <c r="AC58" s="372"/>
      <c r="AD58" s="41"/>
      <c r="AE58" s="41"/>
      <c r="AF58" s="11">
        <f t="shared" si="9"/>
        <v>0</v>
      </c>
      <c r="AG58" s="11">
        <f t="shared" si="10"/>
        <v>0</v>
      </c>
      <c r="AH58" s="11">
        <f t="shared" si="11"/>
        <v>0</v>
      </c>
    </row>
    <row r="59" spans="1:124">
      <c r="A59" s="70" t="s">
        <v>54</v>
      </c>
      <c r="B59" s="15"/>
      <c r="C59" s="15">
        <v>0.85</v>
      </c>
      <c r="D59" s="15"/>
      <c r="E59" s="15"/>
      <c r="F59" s="372"/>
      <c r="G59" s="372"/>
      <c r="H59" s="372"/>
      <c r="I59" s="372"/>
      <c r="J59" s="372"/>
      <c r="K59" s="374"/>
      <c r="L59" s="374"/>
      <c r="M59" s="374"/>
      <c r="N59" s="372"/>
      <c r="O59" s="372"/>
      <c r="P59" s="372"/>
      <c r="Q59" s="372"/>
      <c r="R59" s="372"/>
      <c r="S59" s="372"/>
      <c r="T59" s="372"/>
      <c r="U59" s="372"/>
      <c r="V59" s="372"/>
      <c r="W59" s="372"/>
      <c r="X59" s="372"/>
      <c r="Y59" s="372"/>
      <c r="Z59" s="372"/>
      <c r="AA59" s="372"/>
      <c r="AB59" s="372"/>
      <c r="AC59" s="372"/>
      <c r="AD59" s="41"/>
      <c r="AE59" s="41"/>
      <c r="AF59" s="11">
        <f t="shared" si="9"/>
        <v>0</v>
      </c>
      <c r="AG59" s="11">
        <f t="shared" si="10"/>
        <v>0</v>
      </c>
      <c r="AH59" s="11">
        <f t="shared" si="11"/>
        <v>0</v>
      </c>
    </row>
    <row r="60" spans="1:124">
      <c r="A60" s="9" t="s">
        <v>26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 t="shared" ref="F60:AC60" si="13">SUM(F36:F59)</f>
        <v>0</v>
      </c>
      <c r="G60" s="19">
        <f t="shared" si="13"/>
        <v>0</v>
      </c>
      <c r="H60" s="19">
        <f t="shared" si="13"/>
        <v>0</v>
      </c>
      <c r="I60" s="19">
        <f t="shared" si="13"/>
        <v>0</v>
      </c>
      <c r="J60" s="19">
        <f t="shared" si="13"/>
        <v>0</v>
      </c>
      <c r="K60" s="19">
        <f t="shared" si="13"/>
        <v>0</v>
      </c>
      <c r="L60" s="19">
        <f t="shared" si="13"/>
        <v>0.7</v>
      </c>
      <c r="M60" s="19">
        <f t="shared" si="13"/>
        <v>0</v>
      </c>
      <c r="N60" s="19">
        <f t="shared" si="13"/>
        <v>0.7</v>
      </c>
      <c r="O60" s="19">
        <f>SUM(O36:O59)</f>
        <v>3.9000000000000004</v>
      </c>
      <c r="P60" s="19">
        <f t="shared" si="13"/>
        <v>3.95</v>
      </c>
      <c r="Q60" s="19">
        <f t="shared" si="13"/>
        <v>2.2999999999999998</v>
      </c>
      <c r="R60" s="19">
        <f t="shared" si="13"/>
        <v>2.2999999999999998</v>
      </c>
      <c r="S60" s="19">
        <f t="shared" si="13"/>
        <v>3.1</v>
      </c>
      <c r="T60" s="19">
        <f>SUM(T36:T59)</f>
        <v>3.95</v>
      </c>
      <c r="U60" s="19">
        <f t="shared" si="13"/>
        <v>3.0999999999999996</v>
      </c>
      <c r="V60" s="19">
        <f t="shared" si="13"/>
        <v>3.0999999999999996</v>
      </c>
      <c r="W60" s="19">
        <f t="shared" si="13"/>
        <v>5.0999999999999996</v>
      </c>
      <c r="X60" s="19">
        <f t="shared" si="13"/>
        <v>0.9</v>
      </c>
      <c r="Y60" s="19">
        <f t="shared" si="13"/>
        <v>2.4000000000000004</v>
      </c>
      <c r="Z60" s="19">
        <f t="shared" si="13"/>
        <v>0.9</v>
      </c>
      <c r="AA60" s="19">
        <f t="shared" si="13"/>
        <v>0.9</v>
      </c>
      <c r="AB60" s="19">
        <f t="shared" si="13"/>
        <v>0.9</v>
      </c>
      <c r="AC60" s="19">
        <f t="shared" si="13"/>
        <v>1.5</v>
      </c>
      <c r="AD60" s="34"/>
      <c r="AE60" s="34"/>
      <c r="AF60" s="11"/>
      <c r="AG60" s="11"/>
      <c r="AH60" s="11"/>
    </row>
    <row r="61" spans="1:124">
      <c r="A61" s="12" t="s">
        <v>55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24.71</v>
      </c>
      <c r="AN61" s="351"/>
    </row>
    <row r="62" spans="1:124">
      <c r="A62" s="14" t="s">
        <v>56</v>
      </c>
      <c r="B62" s="20"/>
      <c r="C62" s="15">
        <v>0.75</v>
      </c>
      <c r="D62" s="15"/>
      <c r="E62" s="15"/>
      <c r="F62" s="372">
        <v>0.62</v>
      </c>
      <c r="G62" s="372">
        <v>0.52500000000000002</v>
      </c>
      <c r="H62" s="372">
        <v>0.52</v>
      </c>
      <c r="I62" s="372">
        <v>0.51</v>
      </c>
      <c r="J62" s="372">
        <v>0.49</v>
      </c>
      <c r="K62" s="374">
        <v>0.51</v>
      </c>
      <c r="L62" s="374">
        <v>0.52</v>
      </c>
      <c r="M62" s="374">
        <f>1.09/2</f>
        <v>0.54500000000000004</v>
      </c>
      <c r="N62" s="372">
        <f>1.24/2</f>
        <v>0.62</v>
      </c>
      <c r="O62" s="372">
        <f>1.41/2</f>
        <v>0.70499999999999996</v>
      </c>
      <c r="P62" s="372">
        <f>1.49/2</f>
        <v>0.745</v>
      </c>
      <c r="Q62" s="372">
        <f>1.54/2</f>
        <v>0.77</v>
      </c>
      <c r="R62" s="372">
        <f>1.54/2</f>
        <v>0.77</v>
      </c>
      <c r="S62" s="372">
        <f>1.56/2</f>
        <v>0.78</v>
      </c>
      <c r="T62" s="372">
        <f>1.61/2</f>
        <v>0.80500000000000005</v>
      </c>
      <c r="U62" s="372" t="s">
        <v>9</v>
      </c>
      <c r="V62" s="372" t="s">
        <v>9</v>
      </c>
      <c r="W62" s="372" t="s">
        <v>9</v>
      </c>
      <c r="X62" s="372" t="s">
        <v>9</v>
      </c>
      <c r="Y62" s="372" t="s">
        <v>9</v>
      </c>
      <c r="Z62" s="372">
        <f>1.7/3</f>
        <v>0.56666666666666665</v>
      </c>
      <c r="AA62" s="372">
        <f>1.55/3</f>
        <v>0.51666666666666672</v>
      </c>
      <c r="AB62" s="372">
        <f>1.38/3</f>
        <v>0.45999999999999996</v>
      </c>
      <c r="AC62" s="372">
        <f>1.21/2</f>
        <v>0.60499999999999998</v>
      </c>
      <c r="AD62" s="32"/>
      <c r="AE62" s="32"/>
      <c r="AF62" s="11">
        <f>COUNTIF(F62:AC62,$AF$11)</f>
        <v>5</v>
      </c>
      <c r="AG62" s="11">
        <f>COUNTIF(G62:AC62,$AG$11)</f>
        <v>0</v>
      </c>
      <c r="AH62" s="11">
        <f>COUNT(F62:AC62)</f>
        <v>19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57</v>
      </c>
      <c r="B63" s="20"/>
      <c r="C63" s="15">
        <v>0.75</v>
      </c>
      <c r="D63" s="15"/>
      <c r="E63" s="15"/>
      <c r="F63" s="372"/>
      <c r="G63" s="372"/>
      <c r="H63" s="372"/>
      <c r="I63" s="372"/>
      <c r="J63" s="372"/>
      <c r="K63" s="374"/>
      <c r="L63" s="374"/>
      <c r="M63" s="374"/>
      <c r="N63" s="372"/>
      <c r="O63" s="372"/>
      <c r="P63" s="372"/>
      <c r="Q63" s="372"/>
      <c r="R63" s="372"/>
      <c r="S63" s="372"/>
      <c r="T63" s="372"/>
      <c r="U63" s="372"/>
      <c r="V63" s="372"/>
      <c r="W63" s="372"/>
      <c r="X63" s="372"/>
      <c r="Y63" s="372"/>
      <c r="Z63" s="372">
        <f>Z62</f>
        <v>0.56666666666666665</v>
      </c>
      <c r="AA63" s="372">
        <f>AA62</f>
        <v>0.51666666666666672</v>
      </c>
      <c r="AB63" s="372">
        <f>AB62</f>
        <v>0.45999999999999996</v>
      </c>
      <c r="AC63" s="372">
        <f>1.21/2</f>
        <v>0.60499999999999998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4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58</v>
      </c>
      <c r="B64" s="20"/>
      <c r="C64" s="15">
        <v>0.75</v>
      </c>
      <c r="D64" s="15"/>
      <c r="E64" s="15"/>
      <c r="F64" s="372">
        <v>0.62</v>
      </c>
      <c r="G64" s="372">
        <v>0.52500000000000002</v>
      </c>
      <c r="H64" s="372">
        <v>0.52</v>
      </c>
      <c r="I64" s="372">
        <v>0.51</v>
      </c>
      <c r="J64" s="372">
        <v>0.49</v>
      </c>
      <c r="K64" s="374">
        <v>0.51</v>
      </c>
      <c r="L64" s="374">
        <v>0.52</v>
      </c>
      <c r="M64" s="374">
        <f>1.09/2</f>
        <v>0.54500000000000004</v>
      </c>
      <c r="N64" s="372">
        <f>1.24/2</f>
        <v>0.62</v>
      </c>
      <c r="O64" s="372">
        <f>1.41/2</f>
        <v>0.70499999999999996</v>
      </c>
      <c r="P64" s="372">
        <f>1.49/2</f>
        <v>0.745</v>
      </c>
      <c r="Q64" s="372">
        <f>1.54/2</f>
        <v>0.77</v>
      </c>
      <c r="R64" s="372">
        <f>1.54/2</f>
        <v>0.77</v>
      </c>
      <c r="S64" s="372">
        <f>1.56/2</f>
        <v>0.78</v>
      </c>
      <c r="T64" s="372">
        <f>1.61/2</f>
        <v>0.80500000000000005</v>
      </c>
      <c r="U64" s="372" t="s">
        <v>9</v>
      </c>
      <c r="V64" s="372" t="s">
        <v>9</v>
      </c>
      <c r="W64" s="372" t="s">
        <v>9</v>
      </c>
      <c r="X64" s="372" t="s">
        <v>9</v>
      </c>
      <c r="Y64" s="372" t="s">
        <v>9</v>
      </c>
      <c r="Z64" s="372">
        <f>Z62</f>
        <v>0.56666666666666665</v>
      </c>
      <c r="AA64" s="372">
        <f>AA62</f>
        <v>0.51666666666666672</v>
      </c>
      <c r="AB64" s="372">
        <f>AB62</f>
        <v>0.45999999999999996</v>
      </c>
      <c r="AC64" s="372">
        <v>0</v>
      </c>
      <c r="AD64" s="32"/>
      <c r="AE64" s="32"/>
      <c r="AF64" s="11">
        <f>COUNTIF(F64:AC64,$AF$11)</f>
        <v>5</v>
      </c>
      <c r="AG64" s="11">
        <f>COUNTIF(G64:AC64,$AG$11)</f>
        <v>0</v>
      </c>
      <c r="AH64" s="11">
        <f>COUNT(F64:AC64)</f>
        <v>19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1.24</v>
      </c>
      <c r="G65" s="19">
        <f t="shared" ref="G65" si="14">SUM(G62:G64)</f>
        <v>1.05</v>
      </c>
      <c r="H65" s="19">
        <f>SUM(H62:H64)</f>
        <v>1.04</v>
      </c>
      <c r="I65" s="19">
        <f>SUM(I62:I64)</f>
        <v>1.02</v>
      </c>
      <c r="J65" s="19">
        <f t="shared" ref="J65" si="15">SUM(J62:J64)</f>
        <v>0.98</v>
      </c>
      <c r="K65" s="19">
        <f>SUM(K62:K64)</f>
        <v>1.02</v>
      </c>
      <c r="L65" s="19">
        <f>SUM(L62:L64)</f>
        <v>1.04</v>
      </c>
      <c r="M65" s="19">
        <f>SUM(M62:M64)</f>
        <v>1.0900000000000001</v>
      </c>
      <c r="N65" s="19">
        <f>SUM(N62:N64)</f>
        <v>1.24</v>
      </c>
      <c r="O65" s="19">
        <f t="shared" ref="O65:AB65" si="16">SUM(O62:O64)</f>
        <v>1.41</v>
      </c>
      <c r="P65" s="19">
        <f t="shared" si="16"/>
        <v>1.49</v>
      </c>
      <c r="Q65" s="19">
        <f t="shared" si="16"/>
        <v>1.54</v>
      </c>
      <c r="R65" s="19">
        <f t="shared" si="16"/>
        <v>1.54</v>
      </c>
      <c r="S65" s="19">
        <f t="shared" si="16"/>
        <v>1.56</v>
      </c>
      <c r="T65" s="19">
        <f t="shared" si="16"/>
        <v>1.61</v>
      </c>
      <c r="U65" s="19">
        <f t="shared" si="16"/>
        <v>0</v>
      </c>
      <c r="V65" s="19">
        <f t="shared" si="16"/>
        <v>0</v>
      </c>
      <c r="W65" s="19">
        <f t="shared" si="16"/>
        <v>0</v>
      </c>
      <c r="X65" s="19">
        <f t="shared" si="16"/>
        <v>0</v>
      </c>
      <c r="Y65" s="19">
        <f>SUM(Y62:Y64)</f>
        <v>0</v>
      </c>
      <c r="Z65" s="19">
        <f t="shared" si="16"/>
        <v>1.7</v>
      </c>
      <c r="AA65" s="19">
        <f t="shared" si="16"/>
        <v>1.5500000000000003</v>
      </c>
      <c r="AB65" s="19">
        <f t="shared" si="16"/>
        <v>1.38</v>
      </c>
      <c r="AC65" s="19">
        <f>SUM(AC62:AC64)</f>
        <v>1.21</v>
      </c>
      <c r="AD65" s="34"/>
      <c r="AE65" s="34"/>
      <c r="AF65" s="11"/>
      <c r="AG65" s="11"/>
      <c r="AH65" s="11"/>
    </row>
    <row r="66" spans="1:124" hidden="1">
      <c r="A66" s="12" t="s">
        <v>59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idden="1">
      <c r="A67" s="14" t="s">
        <v>60</v>
      </c>
      <c r="B67" s="15"/>
      <c r="C67" s="15">
        <v>0.85</v>
      </c>
      <c r="D67" s="15"/>
      <c r="E67" s="15"/>
      <c r="F67" s="372"/>
      <c r="G67" s="372"/>
      <c r="H67" s="372"/>
      <c r="I67" s="372"/>
      <c r="J67" s="372"/>
      <c r="K67" s="374"/>
      <c r="L67" s="374"/>
      <c r="M67" s="374"/>
      <c r="N67" s="372"/>
      <c r="O67" s="372"/>
      <c r="P67" s="372"/>
      <c r="Q67" s="372"/>
      <c r="R67" s="372"/>
      <c r="S67" s="372"/>
      <c r="T67" s="372"/>
      <c r="U67" s="372"/>
      <c r="V67" s="372"/>
      <c r="W67" s="372"/>
      <c r="X67" s="372"/>
      <c r="Y67" s="372"/>
      <c r="Z67" s="372"/>
      <c r="AA67" s="372"/>
      <c r="AB67" s="372"/>
      <c r="AC67" s="372"/>
      <c r="AD67" s="35"/>
      <c r="AE67" s="35"/>
      <c r="AF67" s="11">
        <f t="shared" ref="AF67:AF75" si="17">COUNTIF(F67:AC67,$AF$11)</f>
        <v>0</v>
      </c>
      <c r="AG67" s="11">
        <f t="shared" ref="AG67:AG75" si="18">COUNTIF(G67:AC67,$AG$11)</f>
        <v>0</v>
      </c>
      <c r="AH67" s="11">
        <f t="shared" ref="AH67:AH75" si="19">COUNT(F67:AC67)</f>
        <v>0</v>
      </c>
    </row>
    <row r="68" spans="1:124" hidden="1">
      <c r="A68" s="14" t="s">
        <v>61</v>
      </c>
      <c r="B68" s="15"/>
      <c r="C68" s="15">
        <v>0.85</v>
      </c>
      <c r="D68" s="15"/>
      <c r="E68" s="15"/>
      <c r="F68" s="372"/>
      <c r="G68" s="372"/>
      <c r="H68" s="372"/>
      <c r="I68" s="372"/>
      <c r="J68" s="372"/>
      <c r="K68" s="374"/>
      <c r="L68" s="374"/>
      <c r="M68" s="374"/>
      <c r="N68" s="372"/>
      <c r="O68" s="372"/>
      <c r="P68" s="372"/>
      <c r="Q68" s="372"/>
      <c r="R68" s="372"/>
      <c r="S68" s="372"/>
      <c r="T68" s="372"/>
      <c r="U68" s="372"/>
      <c r="V68" s="372"/>
      <c r="W68" s="372"/>
      <c r="X68" s="372"/>
      <c r="Y68" s="372"/>
      <c r="Z68" s="372"/>
      <c r="AA68" s="372"/>
      <c r="AB68" s="372"/>
      <c r="AC68" s="372"/>
      <c r="AD68" s="35"/>
      <c r="AE68" s="35"/>
      <c r="AF68" s="11">
        <f t="shared" si="17"/>
        <v>0</v>
      </c>
      <c r="AG68" s="11">
        <f t="shared" si="18"/>
        <v>0</v>
      </c>
      <c r="AH68" s="11">
        <f t="shared" si="19"/>
        <v>0</v>
      </c>
    </row>
    <row r="69" spans="1:124" hidden="1">
      <c r="A69" s="14" t="s">
        <v>62</v>
      </c>
      <c r="B69" s="15"/>
      <c r="C69" s="15">
        <v>0.85</v>
      </c>
      <c r="D69" s="15"/>
      <c r="E69" s="15"/>
      <c r="F69" s="372"/>
      <c r="G69" s="372"/>
      <c r="H69" s="372"/>
      <c r="I69" s="372"/>
      <c r="J69" s="372"/>
      <c r="K69" s="374"/>
      <c r="L69" s="374"/>
      <c r="M69" s="374"/>
      <c r="N69" s="372"/>
      <c r="O69" s="372"/>
      <c r="P69" s="372"/>
      <c r="Q69" s="372"/>
      <c r="R69" s="372"/>
      <c r="S69" s="372"/>
      <c r="T69" s="372"/>
      <c r="U69" s="372"/>
      <c r="V69" s="372"/>
      <c r="W69" s="372"/>
      <c r="X69" s="372"/>
      <c r="Y69" s="372"/>
      <c r="Z69" s="372"/>
      <c r="AA69" s="372"/>
      <c r="AB69" s="372"/>
      <c r="AC69" s="372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9"/>
        <v>0</v>
      </c>
    </row>
    <row r="70" spans="1:124" hidden="1">
      <c r="A70" s="14" t="s">
        <v>63</v>
      </c>
      <c r="B70" s="15"/>
      <c r="C70" s="15">
        <v>0.85</v>
      </c>
      <c r="D70" s="15"/>
      <c r="E70" s="15"/>
      <c r="F70" s="372"/>
      <c r="G70" s="372"/>
      <c r="H70" s="372"/>
      <c r="I70" s="372"/>
      <c r="J70" s="372"/>
      <c r="K70" s="374"/>
      <c r="L70" s="374"/>
      <c r="M70" s="374"/>
      <c r="N70" s="372"/>
      <c r="O70" s="372"/>
      <c r="P70" s="372"/>
      <c r="Q70" s="372"/>
      <c r="R70" s="372"/>
      <c r="S70" s="372"/>
      <c r="T70" s="372"/>
      <c r="U70" s="372"/>
      <c r="V70" s="372"/>
      <c r="W70" s="372"/>
      <c r="X70" s="372"/>
      <c r="Y70" s="372"/>
      <c r="Z70" s="372"/>
      <c r="AA70" s="372"/>
      <c r="AB70" s="372"/>
      <c r="AC70" s="372"/>
      <c r="AD70" s="35"/>
      <c r="AE70" s="35"/>
      <c r="AF70" s="11">
        <f t="shared" si="17"/>
        <v>0</v>
      </c>
      <c r="AG70" s="11">
        <f t="shared" si="18"/>
        <v>0</v>
      </c>
      <c r="AH70" s="11">
        <f t="shared" si="19"/>
        <v>0</v>
      </c>
      <c r="AI70" s="5"/>
      <c r="AJ70" s="5"/>
      <c r="AK70" s="5"/>
      <c r="AL70" s="5"/>
    </row>
    <row r="71" spans="1:124" hidden="1">
      <c r="A71" s="14" t="s">
        <v>64</v>
      </c>
      <c r="B71" s="15"/>
      <c r="C71" s="15">
        <v>0.85</v>
      </c>
      <c r="D71" s="15"/>
      <c r="E71" s="15"/>
      <c r="F71" s="372"/>
      <c r="G71" s="372"/>
      <c r="H71" s="372"/>
      <c r="I71" s="372"/>
      <c r="J71" s="372"/>
      <c r="K71" s="374"/>
      <c r="L71" s="374"/>
      <c r="M71" s="374"/>
      <c r="N71" s="372"/>
      <c r="O71" s="372"/>
      <c r="P71" s="372"/>
      <c r="Q71" s="372"/>
      <c r="R71" s="372"/>
      <c r="S71" s="372"/>
      <c r="T71" s="372"/>
      <c r="U71" s="372"/>
      <c r="V71" s="372"/>
      <c r="W71" s="372"/>
      <c r="X71" s="372"/>
      <c r="Y71" s="372"/>
      <c r="Z71" s="372"/>
      <c r="AA71" s="372"/>
      <c r="AB71" s="372"/>
      <c r="AC71" s="372"/>
      <c r="AD71" s="35"/>
      <c r="AE71" s="35"/>
      <c r="AF71" s="11">
        <f t="shared" si="17"/>
        <v>0</v>
      </c>
      <c r="AG71" s="11">
        <f t="shared" si="18"/>
        <v>0</v>
      </c>
      <c r="AH71" s="11">
        <f t="shared" si="19"/>
        <v>0</v>
      </c>
    </row>
    <row r="72" spans="1:124" hidden="1">
      <c r="A72" s="14" t="s">
        <v>65</v>
      </c>
      <c r="B72" s="15"/>
      <c r="C72" s="15">
        <v>0.85</v>
      </c>
      <c r="D72" s="15"/>
      <c r="E72" s="15"/>
      <c r="F72" s="372"/>
      <c r="G72" s="372"/>
      <c r="H72" s="372"/>
      <c r="I72" s="372"/>
      <c r="J72" s="372"/>
      <c r="K72" s="374"/>
      <c r="L72" s="374"/>
      <c r="M72" s="374"/>
      <c r="N72" s="372"/>
      <c r="O72" s="372"/>
      <c r="P72" s="372"/>
      <c r="Q72" s="372"/>
      <c r="R72" s="372"/>
      <c r="S72" s="372"/>
      <c r="T72" s="372"/>
      <c r="U72" s="372"/>
      <c r="V72" s="372"/>
      <c r="W72" s="372"/>
      <c r="X72" s="372"/>
      <c r="Y72" s="372"/>
      <c r="Z72" s="372"/>
      <c r="AA72" s="372"/>
      <c r="AB72" s="372"/>
      <c r="AC72" s="372"/>
      <c r="AD72" s="35"/>
      <c r="AE72" s="35"/>
      <c r="AF72" s="11">
        <f t="shared" si="17"/>
        <v>0</v>
      </c>
      <c r="AG72" s="11">
        <f t="shared" si="18"/>
        <v>0</v>
      </c>
      <c r="AH72" s="11">
        <f t="shared" si="19"/>
        <v>0</v>
      </c>
    </row>
    <row r="73" spans="1:124" hidden="1">
      <c r="A73" s="14" t="s">
        <v>66</v>
      </c>
      <c r="B73" s="15"/>
      <c r="C73" s="15">
        <v>0.85</v>
      </c>
      <c r="D73" s="15"/>
      <c r="E73" s="15"/>
      <c r="F73" s="372"/>
      <c r="G73" s="372"/>
      <c r="H73" s="372"/>
      <c r="I73" s="372"/>
      <c r="J73" s="372"/>
      <c r="K73" s="374"/>
      <c r="L73" s="374"/>
      <c r="M73" s="374"/>
      <c r="N73" s="372"/>
      <c r="O73" s="372"/>
      <c r="P73" s="372"/>
      <c r="Q73" s="372"/>
      <c r="R73" s="372"/>
      <c r="S73" s="372"/>
      <c r="T73" s="372"/>
      <c r="U73" s="372"/>
      <c r="V73" s="372"/>
      <c r="W73" s="372"/>
      <c r="X73" s="372"/>
      <c r="Y73" s="372"/>
      <c r="Z73" s="372"/>
      <c r="AA73" s="372"/>
      <c r="AB73" s="372"/>
      <c r="AC73" s="372"/>
      <c r="AD73" s="35"/>
      <c r="AE73" s="35"/>
      <c r="AF73" s="11">
        <f t="shared" si="17"/>
        <v>0</v>
      </c>
      <c r="AG73" s="11">
        <f t="shared" si="18"/>
        <v>0</v>
      </c>
      <c r="AH73" s="11">
        <f t="shared" si="19"/>
        <v>0</v>
      </c>
    </row>
    <row r="74" spans="1:124" hidden="1">
      <c r="A74" s="14" t="s">
        <v>67</v>
      </c>
      <c r="B74" s="19"/>
      <c r="C74" s="15">
        <v>0.85</v>
      </c>
      <c r="D74" s="15"/>
      <c r="E74" s="15"/>
      <c r="F74" s="372"/>
      <c r="G74" s="372"/>
      <c r="H74" s="372"/>
      <c r="I74" s="372"/>
      <c r="J74" s="372"/>
      <c r="K74" s="374"/>
      <c r="L74" s="374"/>
      <c r="M74" s="374"/>
      <c r="N74" s="372"/>
      <c r="O74" s="372"/>
      <c r="P74" s="372"/>
      <c r="Q74" s="372"/>
      <c r="R74" s="372"/>
      <c r="S74" s="372"/>
      <c r="T74" s="372"/>
      <c r="U74" s="372"/>
      <c r="V74" s="372"/>
      <c r="W74" s="372"/>
      <c r="X74" s="372"/>
      <c r="Y74" s="372"/>
      <c r="Z74" s="372"/>
      <c r="AA74" s="372"/>
      <c r="AB74" s="372"/>
      <c r="AC74" s="372"/>
      <c r="AD74" s="29"/>
      <c r="AE74" s="29"/>
      <c r="AF74" s="11">
        <f t="shared" si="17"/>
        <v>0</v>
      </c>
      <c r="AG74" s="11">
        <f t="shared" si="18"/>
        <v>0</v>
      </c>
      <c r="AH74" s="11">
        <f t="shared" si="19"/>
        <v>0</v>
      </c>
    </row>
    <row r="75" spans="1:124" ht="15.75" hidden="1" customHeight="1">
      <c r="A75" s="14" t="s">
        <v>68</v>
      </c>
      <c r="B75" s="9"/>
      <c r="C75" s="15">
        <v>0.85</v>
      </c>
      <c r="D75" s="15"/>
      <c r="E75" s="15"/>
      <c r="F75" s="372"/>
      <c r="G75" s="372"/>
      <c r="H75" s="372"/>
      <c r="I75" s="372"/>
      <c r="J75" s="372"/>
      <c r="K75" s="374"/>
      <c r="L75" s="374"/>
      <c r="M75" s="374"/>
      <c r="N75" s="372"/>
      <c r="O75" s="372"/>
      <c r="P75" s="372"/>
      <c r="Q75" s="372"/>
      <c r="R75" s="372"/>
      <c r="S75" s="372"/>
      <c r="T75" s="372"/>
      <c r="U75" s="372"/>
      <c r="V75" s="372"/>
      <c r="W75" s="372"/>
      <c r="X75" s="372"/>
      <c r="Y75" s="372"/>
      <c r="Z75" s="372"/>
      <c r="AA75" s="372"/>
      <c r="AB75" s="372"/>
      <c r="AC75" s="372"/>
      <c r="AD75" s="31"/>
      <c r="AE75" s="31"/>
      <c r="AF75" s="11">
        <f t="shared" si="17"/>
        <v>0</v>
      </c>
      <c r="AG75" s="11">
        <f t="shared" si="18"/>
        <v>0</v>
      </c>
      <c r="AH75" s="11">
        <f t="shared" si="19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20">SUM(F67:F75)</f>
        <v>0</v>
      </c>
      <c r="G76" s="19">
        <f t="shared" si="20"/>
        <v>0</v>
      </c>
      <c r="H76" s="19">
        <f t="shared" si="20"/>
        <v>0</v>
      </c>
      <c r="I76" s="19">
        <f t="shared" si="20"/>
        <v>0</v>
      </c>
      <c r="J76" s="19">
        <f t="shared" si="20"/>
        <v>0</v>
      </c>
      <c r="K76" s="19">
        <f t="shared" si="20"/>
        <v>0</v>
      </c>
      <c r="L76" s="19">
        <f>SUM(L67:L75)</f>
        <v>0</v>
      </c>
      <c r="M76" s="19">
        <f t="shared" si="20"/>
        <v>0</v>
      </c>
      <c r="N76" s="19">
        <f t="shared" si="20"/>
        <v>0</v>
      </c>
      <c r="O76" s="19">
        <f t="shared" si="20"/>
        <v>0</v>
      </c>
      <c r="P76" s="19">
        <f t="shared" si="20"/>
        <v>0</v>
      </c>
      <c r="Q76" s="19">
        <f>SUM(Q67:Q75)</f>
        <v>0</v>
      </c>
      <c r="R76" s="19">
        <f t="shared" si="20"/>
        <v>0</v>
      </c>
      <c r="S76" s="19">
        <f t="shared" si="20"/>
        <v>0</v>
      </c>
      <c r="T76" s="19">
        <f t="shared" si="20"/>
        <v>0</v>
      </c>
      <c r="U76" s="19">
        <f t="shared" si="20"/>
        <v>0</v>
      </c>
      <c r="V76" s="19">
        <f t="shared" si="20"/>
        <v>0</v>
      </c>
      <c r="W76" s="19">
        <f t="shared" si="20"/>
        <v>0</v>
      </c>
      <c r="X76" s="19">
        <f t="shared" si="20"/>
        <v>0</v>
      </c>
      <c r="Y76" s="19">
        <f t="shared" si="20"/>
        <v>0</v>
      </c>
      <c r="Z76" s="19">
        <f t="shared" si="20"/>
        <v>0</v>
      </c>
      <c r="AA76" s="19">
        <f t="shared" si="20"/>
        <v>0</v>
      </c>
      <c r="AB76" s="19">
        <f t="shared" si="20"/>
        <v>0</v>
      </c>
      <c r="AC76" s="19">
        <f t="shared" si="20"/>
        <v>0</v>
      </c>
      <c r="AD76" s="34"/>
      <c r="AE76" s="34"/>
      <c r="AF76" s="11"/>
      <c r="AG76" s="11"/>
      <c r="AH76" s="11"/>
    </row>
    <row r="77" spans="1:124">
      <c r="A77" s="12" t="s">
        <v>69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 t="s">
        <v>21</v>
      </c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20.38</v>
      </c>
    </row>
    <row r="78" spans="1:124">
      <c r="A78" s="14" t="s">
        <v>70</v>
      </c>
      <c r="B78" s="20"/>
      <c r="C78" s="15">
        <v>1</v>
      </c>
      <c r="D78" s="15"/>
      <c r="E78" s="15"/>
      <c r="F78" s="372"/>
      <c r="G78" s="372"/>
      <c r="H78" s="372"/>
      <c r="I78" s="372"/>
      <c r="J78" s="372"/>
      <c r="K78" s="374"/>
      <c r="L78" s="374"/>
      <c r="M78" s="374"/>
      <c r="N78" s="372"/>
      <c r="O78" s="372"/>
      <c r="P78" s="372"/>
      <c r="Q78" s="372"/>
      <c r="R78" s="372"/>
      <c r="S78" s="372"/>
      <c r="T78" s="372"/>
      <c r="U78" s="372"/>
      <c r="V78" s="372"/>
      <c r="W78" s="372"/>
      <c r="X78" s="372"/>
      <c r="Y78" s="372">
        <v>0.99</v>
      </c>
      <c r="Z78" s="372">
        <v>0.99</v>
      </c>
      <c r="AA78" s="372">
        <v>0.96</v>
      </c>
      <c r="AB78" s="372">
        <v>0.9</v>
      </c>
      <c r="AC78" s="372">
        <v>0.87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5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71</v>
      </c>
      <c r="B79" s="20"/>
      <c r="C79" s="15">
        <v>1</v>
      </c>
      <c r="D79" s="15"/>
      <c r="E79" s="15"/>
      <c r="F79" s="372">
        <v>0.85</v>
      </c>
      <c r="G79" s="372">
        <v>0.8</v>
      </c>
      <c r="H79" s="372">
        <v>0.79</v>
      </c>
      <c r="I79" s="372">
        <v>0.77</v>
      </c>
      <c r="J79" s="372">
        <v>0.77</v>
      </c>
      <c r="K79" s="374">
        <v>0.77</v>
      </c>
      <c r="L79" s="374">
        <v>0.79</v>
      </c>
      <c r="M79" s="374">
        <v>0.75</v>
      </c>
      <c r="N79" s="372">
        <v>0.78</v>
      </c>
      <c r="O79" s="372">
        <v>0.82</v>
      </c>
      <c r="P79" s="372">
        <v>0.83</v>
      </c>
      <c r="Q79" s="372">
        <v>0.88</v>
      </c>
      <c r="R79" s="372">
        <v>0.91</v>
      </c>
      <c r="S79" s="372">
        <v>0.87</v>
      </c>
      <c r="T79" s="372">
        <v>0.86</v>
      </c>
      <c r="U79" s="372">
        <v>0.83</v>
      </c>
      <c r="V79" s="372">
        <v>0.87</v>
      </c>
      <c r="W79" s="372">
        <v>0.86</v>
      </c>
      <c r="X79" s="372">
        <v>0.87</v>
      </c>
      <c r="Y79" s="372"/>
      <c r="Z79" s="372"/>
      <c r="AA79" s="372"/>
      <c r="AB79" s="372"/>
      <c r="AC79" s="372"/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19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21">SUM(F78:F79)</f>
        <v>0.85</v>
      </c>
      <c r="G80" s="19">
        <f t="shared" si="21"/>
        <v>0.8</v>
      </c>
      <c r="H80" s="19">
        <f>SUM(H78:H79)</f>
        <v>0.79</v>
      </c>
      <c r="I80" s="19">
        <f>SUM(I78:I79)</f>
        <v>0.77</v>
      </c>
      <c r="J80" s="19">
        <f t="shared" ref="J80:AC80" si="22">SUM(J78:J79)</f>
        <v>0.77</v>
      </c>
      <c r="K80" s="19">
        <f t="shared" si="22"/>
        <v>0.77</v>
      </c>
      <c r="L80" s="19">
        <f>SUM(L78:L79)</f>
        <v>0.79</v>
      </c>
      <c r="M80" s="19">
        <f t="shared" si="22"/>
        <v>0.75</v>
      </c>
      <c r="N80" s="19">
        <f t="shared" si="22"/>
        <v>0.78</v>
      </c>
      <c r="O80" s="19">
        <f>SUM(O78:O79)</f>
        <v>0.82</v>
      </c>
      <c r="P80" s="19">
        <f t="shared" si="22"/>
        <v>0.83</v>
      </c>
      <c r="Q80" s="19">
        <f t="shared" si="22"/>
        <v>0.88</v>
      </c>
      <c r="R80" s="19">
        <f t="shared" si="22"/>
        <v>0.91</v>
      </c>
      <c r="S80" s="19">
        <f t="shared" si="22"/>
        <v>0.87</v>
      </c>
      <c r="T80" s="19">
        <f t="shared" si="22"/>
        <v>0.86</v>
      </c>
      <c r="U80" s="19">
        <f t="shared" si="22"/>
        <v>0.83</v>
      </c>
      <c r="V80" s="19">
        <f t="shared" si="22"/>
        <v>0.87</v>
      </c>
      <c r="W80" s="19">
        <f t="shared" si="22"/>
        <v>0.86</v>
      </c>
      <c r="X80" s="19">
        <f t="shared" si="22"/>
        <v>0.87</v>
      </c>
      <c r="Y80" s="19">
        <f t="shared" si="22"/>
        <v>0.99</v>
      </c>
      <c r="Z80" s="19">
        <f t="shared" si="22"/>
        <v>0.99</v>
      </c>
      <c r="AA80" s="19">
        <f t="shared" si="22"/>
        <v>0.96</v>
      </c>
      <c r="AB80" s="19">
        <f t="shared" si="22"/>
        <v>0.9</v>
      </c>
      <c r="AC80" s="19">
        <f t="shared" si="22"/>
        <v>0.87</v>
      </c>
      <c r="AD80" s="34"/>
      <c r="AE80" s="34"/>
      <c r="AF80" s="11"/>
      <c r="AG80" s="11"/>
      <c r="AH80" s="11"/>
    </row>
    <row r="81" spans="1:40" ht="17.45" hidden="1">
      <c r="A81" s="366" t="s">
        <v>72</v>
      </c>
      <c r="B81" s="365"/>
      <c r="C81" s="367">
        <v>2</v>
      </c>
      <c r="D81" s="363"/>
      <c r="E81" s="363"/>
      <c r="F81" s="364"/>
      <c r="G81" s="364"/>
      <c r="H81" s="364"/>
      <c r="I81" s="364"/>
      <c r="J81" s="364"/>
      <c r="K81" s="364"/>
      <c r="L81" s="364"/>
      <c r="M81" s="364"/>
      <c r="N81" s="364"/>
      <c r="O81" s="364"/>
      <c r="P81" s="364"/>
      <c r="Q81" s="364"/>
      <c r="R81" s="364"/>
      <c r="S81" s="364"/>
      <c r="T81" s="364"/>
      <c r="U81" s="364"/>
      <c r="V81" s="364"/>
      <c r="W81" s="364"/>
      <c r="X81" s="364"/>
      <c r="Y81" s="364"/>
      <c r="Z81" s="364"/>
      <c r="AA81" s="364"/>
      <c r="AB81" s="364"/>
      <c r="AC81" s="364"/>
    </row>
    <row r="82" spans="1:40" ht="17.45" hidden="1">
      <c r="A82" s="368"/>
      <c r="B82" s="369"/>
      <c r="C82" s="370"/>
      <c r="D82" s="371"/>
      <c r="E82" s="371"/>
      <c r="F82" s="372"/>
      <c r="G82" s="372"/>
      <c r="H82" s="372"/>
      <c r="I82" s="372"/>
      <c r="J82" s="372"/>
      <c r="K82" s="374"/>
      <c r="L82" s="374"/>
      <c r="M82" s="374"/>
      <c r="N82" s="372"/>
      <c r="O82" s="372"/>
      <c r="P82" s="372"/>
      <c r="Q82" s="372"/>
      <c r="R82" s="372"/>
      <c r="S82" s="372"/>
      <c r="T82" s="372"/>
      <c r="U82" s="372"/>
      <c r="V82" s="372"/>
      <c r="W82" s="372"/>
      <c r="X82" s="372"/>
      <c r="Y82" s="372"/>
      <c r="Z82" s="372"/>
      <c r="AA82" s="372"/>
      <c r="AB82" s="372"/>
      <c r="AC82" s="372"/>
    </row>
    <row r="83" spans="1:40">
      <c r="A83" s="21" t="s">
        <v>73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:AC83" si="23">SUM(F17,F22,F25,F31,F34,F60,F65,F76,F80,F82)</f>
        <v>46.95</v>
      </c>
      <c r="G83" s="28">
        <f t="shared" si="23"/>
        <v>46.929999999999993</v>
      </c>
      <c r="H83" s="28">
        <f t="shared" si="23"/>
        <v>44.44</v>
      </c>
      <c r="I83" s="28">
        <f t="shared" si="23"/>
        <v>43.210000000000008</v>
      </c>
      <c r="J83" s="28">
        <f t="shared" si="23"/>
        <v>41.83</v>
      </c>
      <c r="K83" s="28">
        <f t="shared" si="23"/>
        <v>42.150000000000006</v>
      </c>
      <c r="L83" s="28">
        <f t="shared" si="23"/>
        <v>44.63</v>
      </c>
      <c r="M83" s="28">
        <f t="shared" si="23"/>
        <v>44.740000000000009</v>
      </c>
      <c r="N83" s="28">
        <f>SUM(N17,N22,N25,N31,N34,N60,N65,N76,N80,N82)</f>
        <v>50.920000000000009</v>
      </c>
      <c r="O83" s="28">
        <f>SUM(O17,O22,O25,O31,O34,O60,O65,O76,O80,O82)</f>
        <v>61.83</v>
      </c>
      <c r="P83" s="28">
        <f t="shared" si="23"/>
        <v>63.260000000000005</v>
      </c>
      <c r="Q83" s="28">
        <f t="shared" si="23"/>
        <v>70.14</v>
      </c>
      <c r="R83" s="28">
        <f t="shared" si="23"/>
        <v>68.459999999999994</v>
      </c>
      <c r="S83" s="28">
        <f t="shared" si="23"/>
        <v>69.66</v>
      </c>
      <c r="T83" s="28">
        <f t="shared" si="23"/>
        <v>71.429999999999993</v>
      </c>
      <c r="U83" s="28">
        <f>SUM(U17,U22,U25,U31,U34,U60,U65,U76,U80,U82)</f>
        <v>66.02</v>
      </c>
      <c r="V83" s="28">
        <f t="shared" si="23"/>
        <v>67.099999999999994</v>
      </c>
      <c r="W83" s="28">
        <f t="shared" si="23"/>
        <v>66.88</v>
      </c>
      <c r="X83" s="28">
        <f t="shared" si="23"/>
        <v>63.08</v>
      </c>
      <c r="Y83" s="28">
        <f t="shared" si="23"/>
        <v>65.569999999999993</v>
      </c>
      <c r="Z83" s="28">
        <f t="shared" si="23"/>
        <v>64.009999999999991</v>
      </c>
      <c r="AA83" s="28">
        <f t="shared" si="23"/>
        <v>58.709999999999994</v>
      </c>
      <c r="AB83" s="28">
        <f t="shared" si="23"/>
        <v>55.399999999999991</v>
      </c>
      <c r="AC83" s="28">
        <f t="shared" si="23"/>
        <v>52.53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25" t="s">
        <v>74</v>
      </c>
      <c r="B85" s="525"/>
      <c r="C85" s="525"/>
      <c r="D85" s="525"/>
      <c r="E85" s="525"/>
      <c r="F85" s="525"/>
      <c r="G85" s="525"/>
      <c r="H85" s="525"/>
      <c r="I85" s="525"/>
      <c r="J85" s="525"/>
      <c r="K85" s="525"/>
      <c r="L85" s="525"/>
      <c r="M85" s="525"/>
      <c r="N85" s="525"/>
      <c r="O85" s="525"/>
      <c r="P85" s="525"/>
      <c r="Q85" s="525"/>
      <c r="R85" s="525"/>
      <c r="S85" s="525"/>
      <c r="T85" s="525"/>
      <c r="U85" s="525"/>
      <c r="V85" s="525"/>
      <c r="W85" s="525"/>
      <c r="X85" s="525"/>
      <c r="Y85" s="525"/>
      <c r="Z85" s="525"/>
      <c r="AA85" s="525"/>
      <c r="AB85" s="525"/>
      <c r="AC85" s="525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</row>
    <row r="87" spans="1:40" ht="17.45">
      <c r="A87" s="500" t="s">
        <v>75</v>
      </c>
      <c r="B87" s="501"/>
      <c r="C87" s="502"/>
      <c r="D87" s="49"/>
      <c r="E87" s="49"/>
      <c r="F87" s="506" t="s">
        <v>76</v>
      </c>
      <c r="G87" s="506"/>
      <c r="H87" s="506"/>
      <c r="I87" s="506"/>
      <c r="J87" s="506"/>
      <c r="K87" s="506"/>
      <c r="L87" s="506"/>
      <c r="M87" s="506"/>
      <c r="N87" s="506"/>
      <c r="O87" s="506"/>
      <c r="P87" s="506"/>
      <c r="Q87" s="506"/>
      <c r="R87" s="506"/>
      <c r="S87" s="506"/>
      <c r="T87" s="506"/>
      <c r="U87" s="506"/>
      <c r="V87" s="506"/>
      <c r="W87" s="506"/>
      <c r="X87" s="506"/>
      <c r="Y87" s="506"/>
      <c r="Z87" s="506"/>
      <c r="AA87" s="506"/>
      <c r="AB87" s="506"/>
      <c r="AC87" s="506"/>
      <c r="AD87" s="5"/>
      <c r="AE87" s="5"/>
      <c r="AF87" s="5"/>
      <c r="AG87" s="5"/>
      <c r="AH87" s="5"/>
    </row>
    <row r="88" spans="1:40" ht="15.6" customHeight="1">
      <c r="A88" s="503"/>
      <c r="B88" s="504"/>
      <c r="C88" s="505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07" t="s">
        <v>27</v>
      </c>
      <c r="B89" s="508"/>
      <c r="C89" s="509"/>
      <c r="D89" s="45"/>
      <c r="E89" s="45"/>
      <c r="F89" s="64">
        <f t="shared" ref="F89:AC89" si="24">SUM(F22,F25)</f>
        <v>3.8</v>
      </c>
      <c r="G89" s="64">
        <f t="shared" si="24"/>
        <v>3</v>
      </c>
      <c r="H89" s="64">
        <f t="shared" si="24"/>
        <v>2.5</v>
      </c>
      <c r="I89" s="64">
        <f t="shared" si="24"/>
        <v>0</v>
      </c>
      <c r="J89" s="64">
        <f t="shared" si="24"/>
        <v>0</v>
      </c>
      <c r="K89" s="64">
        <f t="shared" si="24"/>
        <v>0</v>
      </c>
      <c r="L89" s="64">
        <f t="shared" si="24"/>
        <v>0</v>
      </c>
      <c r="M89" s="64">
        <f t="shared" si="24"/>
        <v>2.5</v>
      </c>
      <c r="N89" s="64">
        <f t="shared" si="24"/>
        <v>5.8</v>
      </c>
      <c r="O89" s="64">
        <f t="shared" si="24"/>
        <v>10.6</v>
      </c>
      <c r="P89" s="64">
        <f t="shared" si="24"/>
        <v>10.399999999999999</v>
      </c>
      <c r="Q89" s="64">
        <f t="shared" si="24"/>
        <v>10.399999999999999</v>
      </c>
      <c r="R89" s="64">
        <f t="shared" si="24"/>
        <v>10.399999999999999</v>
      </c>
      <c r="S89" s="64">
        <f t="shared" si="24"/>
        <v>10.399999999999999</v>
      </c>
      <c r="T89" s="64">
        <f t="shared" si="24"/>
        <v>10.399999999999999</v>
      </c>
      <c r="U89" s="64">
        <f t="shared" si="24"/>
        <v>10.100000000000001</v>
      </c>
      <c r="V89" s="64">
        <f t="shared" si="24"/>
        <v>10.399999999999999</v>
      </c>
      <c r="W89" s="64">
        <f t="shared" si="24"/>
        <v>10.399999999999999</v>
      </c>
      <c r="X89" s="64">
        <f t="shared" si="24"/>
        <v>9.5</v>
      </c>
      <c r="Y89" s="64">
        <f t="shared" si="24"/>
        <v>10.399999999999999</v>
      </c>
      <c r="Z89" s="64">
        <f t="shared" si="24"/>
        <v>9.3999999999999986</v>
      </c>
      <c r="AA89" s="64">
        <f t="shared" si="24"/>
        <v>8.1999999999999993</v>
      </c>
      <c r="AB89" s="64">
        <f t="shared" si="24"/>
        <v>9</v>
      </c>
      <c r="AC89" s="64">
        <f t="shared" si="24"/>
        <v>10.399999999999999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521" t="s">
        <v>77</v>
      </c>
      <c r="B90" s="521"/>
      <c r="C90" s="522"/>
      <c r="D90" s="45"/>
      <c r="E90" s="45"/>
      <c r="F90" s="68">
        <v>0.17199999999999999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/>
      <c r="N90" s="68"/>
      <c r="O90" s="68">
        <v>0.21199999999999999</v>
      </c>
      <c r="P90" s="68">
        <v>0.23599999999999999</v>
      </c>
      <c r="Q90" s="68">
        <v>0.25900000000000001</v>
      </c>
      <c r="R90" s="68">
        <v>0.23899999999999999</v>
      </c>
      <c r="S90" s="68">
        <v>0.26500000000000001</v>
      </c>
      <c r="T90" s="68">
        <v>0.24099999999999999</v>
      </c>
      <c r="U90" s="68">
        <v>0.20399999999999999</v>
      </c>
      <c r="V90" s="68">
        <v>0.24099999999999999</v>
      </c>
      <c r="W90" s="68">
        <v>0.19</v>
      </c>
      <c r="X90" s="68">
        <v>0.19500000000000001</v>
      </c>
      <c r="Y90" s="68">
        <v>0.214</v>
      </c>
      <c r="Z90" s="68">
        <v>0.22600000000000001</v>
      </c>
      <c r="AA90" s="68">
        <v>0.21299999999999999</v>
      </c>
      <c r="AB90" s="68">
        <v>0.252</v>
      </c>
      <c r="AC90" s="68">
        <v>0.214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07" t="s">
        <v>78</v>
      </c>
      <c r="B91" s="508"/>
      <c r="C91" s="509"/>
      <c r="D91" s="45"/>
      <c r="E91" s="45"/>
      <c r="F91" s="64">
        <f t="shared" ref="F91:AC91" si="25">F17</f>
        <v>19.799999999999997</v>
      </c>
      <c r="G91" s="64">
        <f t="shared" si="25"/>
        <v>19.799999999999997</v>
      </c>
      <c r="H91" s="64">
        <f t="shared" si="25"/>
        <v>19.799999999999997</v>
      </c>
      <c r="I91" s="64">
        <f t="shared" si="25"/>
        <v>20.100000000000001</v>
      </c>
      <c r="J91" s="64">
        <f t="shared" si="25"/>
        <v>19.799999999999997</v>
      </c>
      <c r="K91" s="64">
        <f t="shared" si="25"/>
        <v>20.100000000000001</v>
      </c>
      <c r="L91" s="64">
        <f t="shared" si="25"/>
        <v>20.100000000000001</v>
      </c>
      <c r="M91" s="64">
        <f t="shared" si="25"/>
        <v>19.8</v>
      </c>
      <c r="N91" s="64">
        <f t="shared" si="25"/>
        <v>20.100000000000001</v>
      </c>
      <c r="O91" s="64">
        <f t="shared" si="25"/>
        <v>21</v>
      </c>
      <c r="P91" s="64">
        <f t="shared" si="25"/>
        <v>22.700000000000003</v>
      </c>
      <c r="Q91" s="64">
        <f t="shared" si="25"/>
        <v>27.6</v>
      </c>
      <c r="R91" s="64">
        <f t="shared" si="25"/>
        <v>26.8</v>
      </c>
      <c r="S91" s="64">
        <f t="shared" si="25"/>
        <v>26.8</v>
      </c>
      <c r="T91" s="64">
        <f t="shared" si="25"/>
        <v>27.2</v>
      </c>
      <c r="U91" s="64">
        <f t="shared" si="25"/>
        <v>25.6</v>
      </c>
      <c r="V91" s="64">
        <f t="shared" si="25"/>
        <v>26.8</v>
      </c>
      <c r="W91" s="64">
        <f t="shared" si="25"/>
        <v>25.6</v>
      </c>
      <c r="X91" s="64">
        <f t="shared" si="25"/>
        <v>26.8</v>
      </c>
      <c r="Y91" s="64">
        <f t="shared" si="25"/>
        <v>26.4</v>
      </c>
      <c r="Z91" s="64">
        <f t="shared" si="25"/>
        <v>26</v>
      </c>
      <c r="AA91" s="64">
        <f t="shared" si="25"/>
        <v>26.1</v>
      </c>
      <c r="AB91" s="64">
        <f t="shared" si="25"/>
        <v>25.2</v>
      </c>
      <c r="AC91" s="64">
        <f t="shared" si="25"/>
        <v>20.399999999999999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21" t="s">
        <v>79</v>
      </c>
      <c r="B92" s="521"/>
      <c r="C92" s="522"/>
      <c r="D92" s="45"/>
      <c r="E92" s="45"/>
      <c r="F92" s="68">
        <v>0.65800000000000003</v>
      </c>
      <c r="G92" s="68">
        <v>0.70399999999999996</v>
      </c>
      <c r="H92" s="68">
        <v>0.63400000000000001</v>
      </c>
      <c r="I92" s="68">
        <v>0.90400000000000003</v>
      </c>
      <c r="J92" s="68">
        <v>0.91700000000000004</v>
      </c>
      <c r="K92" s="68">
        <v>1.0509999999999999</v>
      </c>
      <c r="L92" s="68">
        <v>0.96399999999999997</v>
      </c>
      <c r="M92" s="68">
        <v>0.81100000000000005</v>
      </c>
      <c r="N92" s="68">
        <v>0.746</v>
      </c>
      <c r="O92" s="68">
        <v>0.86099999999999999</v>
      </c>
      <c r="P92" s="68">
        <v>1.113</v>
      </c>
      <c r="Q92" s="68">
        <v>1.1020000000000001</v>
      </c>
      <c r="R92" s="68">
        <v>0.80800000000000005</v>
      </c>
      <c r="S92" s="68">
        <v>1.0569999999999999</v>
      </c>
      <c r="T92" s="68">
        <v>1.077</v>
      </c>
      <c r="U92" s="68">
        <v>0.97599999999999998</v>
      </c>
      <c r="V92" s="68">
        <v>0.82499999999999996</v>
      </c>
      <c r="W92" s="68">
        <v>0.82699999999999996</v>
      </c>
      <c r="X92" s="68">
        <v>0.95599999999999996</v>
      </c>
      <c r="Y92" s="68">
        <v>1.07</v>
      </c>
      <c r="Z92" s="68">
        <v>1.1000000000000001</v>
      </c>
      <c r="AA92" s="68">
        <v>1.04</v>
      </c>
      <c r="AB92" s="68">
        <v>0.88800000000000001</v>
      </c>
      <c r="AC92" s="68">
        <v>0.74299999999999999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07" t="s">
        <v>29</v>
      </c>
      <c r="B93" s="508"/>
      <c r="C93" s="509"/>
      <c r="D93" s="45"/>
      <c r="E93" s="45"/>
      <c r="F93" s="65">
        <f t="shared" ref="F93:AC93" si="26">F31</f>
        <v>7</v>
      </c>
      <c r="G93" s="65">
        <f t="shared" si="26"/>
        <v>8.1999999999999993</v>
      </c>
      <c r="H93" s="65">
        <f t="shared" si="26"/>
        <v>6</v>
      </c>
      <c r="I93" s="65">
        <f t="shared" si="26"/>
        <v>7</v>
      </c>
      <c r="J93" s="65">
        <f t="shared" si="26"/>
        <v>6</v>
      </c>
      <c r="K93" s="65">
        <f t="shared" si="26"/>
        <v>6</v>
      </c>
      <c r="L93" s="65">
        <f t="shared" si="26"/>
        <v>7.8</v>
      </c>
      <c r="M93" s="65">
        <f t="shared" si="26"/>
        <v>7.8</v>
      </c>
      <c r="N93" s="65">
        <f t="shared" si="26"/>
        <v>8</v>
      </c>
      <c r="O93" s="65">
        <f t="shared" si="26"/>
        <v>9.8000000000000007</v>
      </c>
      <c r="P93" s="65">
        <f t="shared" si="26"/>
        <v>9.6</v>
      </c>
      <c r="Q93" s="65">
        <f t="shared" si="26"/>
        <v>13.1</v>
      </c>
      <c r="R93" s="65">
        <f t="shared" si="26"/>
        <v>12.2</v>
      </c>
      <c r="S93" s="65">
        <f t="shared" si="26"/>
        <v>12.600000000000001</v>
      </c>
      <c r="T93" s="65">
        <f>T31</f>
        <v>13.100000000000001</v>
      </c>
      <c r="U93" s="65">
        <f t="shared" si="26"/>
        <v>12.100000000000001</v>
      </c>
      <c r="V93" s="65">
        <f t="shared" si="26"/>
        <v>11.600000000000001</v>
      </c>
      <c r="W93" s="65">
        <f t="shared" si="26"/>
        <v>10.600000000000001</v>
      </c>
      <c r="X93" s="65">
        <f t="shared" si="26"/>
        <v>10.7</v>
      </c>
      <c r="Y93" s="65">
        <f t="shared" si="26"/>
        <v>11.100000000000001</v>
      </c>
      <c r="Z93" s="65">
        <f t="shared" si="26"/>
        <v>10.7</v>
      </c>
      <c r="AA93" s="65">
        <f t="shared" si="26"/>
        <v>7.4</v>
      </c>
      <c r="AB93" s="65">
        <f t="shared" si="26"/>
        <v>3.8</v>
      </c>
      <c r="AC93" s="65">
        <f t="shared" si="26"/>
        <v>4.0999999999999996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21" t="s">
        <v>102</v>
      </c>
      <c r="B94" s="521"/>
      <c r="C94" s="522"/>
      <c r="D94" s="45"/>
      <c r="E94" s="45"/>
      <c r="F94" s="68">
        <v>0.25800000000000001</v>
      </c>
      <c r="G94" s="68">
        <v>0.249</v>
      </c>
      <c r="H94" s="68">
        <v>0.26300000000000001</v>
      </c>
      <c r="I94" s="68">
        <v>0.255</v>
      </c>
      <c r="J94" s="68">
        <v>0.25</v>
      </c>
      <c r="K94" s="68">
        <v>0.253</v>
      </c>
      <c r="L94" s="68">
        <v>0.24</v>
      </c>
      <c r="M94" s="68">
        <v>0.253</v>
      </c>
      <c r="N94" s="68">
        <v>0.26</v>
      </c>
      <c r="O94" s="68">
        <v>0.27200000000000002</v>
      </c>
      <c r="P94" s="68">
        <v>0.27600000000000002</v>
      </c>
      <c r="Q94" s="68">
        <v>0.29199999999999998</v>
      </c>
      <c r="R94" s="68">
        <v>0.252</v>
      </c>
      <c r="S94" s="68">
        <v>0.25600000000000001</v>
      </c>
      <c r="T94" s="68">
        <v>0.25700000000000001</v>
      </c>
      <c r="U94" s="68">
        <v>0.25700000000000001</v>
      </c>
      <c r="V94" s="68">
        <v>0.28000000000000003</v>
      </c>
      <c r="W94" s="68">
        <v>0.28499999999999998</v>
      </c>
      <c r="X94" s="68">
        <v>0.26</v>
      </c>
      <c r="Y94" s="68">
        <v>0.27700000000000002</v>
      </c>
      <c r="Z94" s="68">
        <v>0.255</v>
      </c>
      <c r="AA94" s="68">
        <v>0.26800000000000002</v>
      </c>
      <c r="AB94" s="68">
        <v>0.3</v>
      </c>
      <c r="AC94" s="68">
        <v>0.22600000000000001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21" t="s">
        <v>104</v>
      </c>
      <c r="B95" s="521"/>
      <c r="C95" s="522"/>
      <c r="D95" s="45"/>
      <c r="E95" s="45"/>
      <c r="F95" s="68" t="s">
        <v>1</v>
      </c>
      <c r="G95" s="68" t="s">
        <v>1</v>
      </c>
      <c r="H95" s="68" t="s">
        <v>1</v>
      </c>
      <c r="I95" s="68" t="s">
        <v>1</v>
      </c>
      <c r="J95" s="68" t="s">
        <v>1</v>
      </c>
      <c r="K95" s="68" t="s">
        <v>1</v>
      </c>
      <c r="L95" s="68" t="s">
        <v>1</v>
      </c>
      <c r="M95" s="68"/>
      <c r="N95" s="68"/>
      <c r="O95" s="68">
        <v>0.20979999999999999</v>
      </c>
      <c r="P95" s="68">
        <v>0.20499999999999999</v>
      </c>
      <c r="Q95" s="68">
        <v>0.3226</v>
      </c>
      <c r="R95" s="68">
        <v>0.2041</v>
      </c>
      <c r="S95" s="68">
        <v>0.20230000000000001</v>
      </c>
      <c r="T95" s="68">
        <v>0.20519999999999999</v>
      </c>
      <c r="U95" s="68">
        <v>0.20799999999999999</v>
      </c>
      <c r="V95" s="68">
        <v>0.20699999999999999</v>
      </c>
      <c r="W95" s="68">
        <v>0.20799999999999999</v>
      </c>
      <c r="X95" s="68">
        <v>0.376</v>
      </c>
      <c r="Y95" s="68">
        <v>0.37669999999999998</v>
      </c>
      <c r="Z95" s="68">
        <v>0.37067</v>
      </c>
      <c r="AA95" s="68">
        <v>0.22140000000000001</v>
      </c>
      <c r="AB95" s="68" t="s">
        <v>1</v>
      </c>
      <c r="AC95" s="68" t="s">
        <v>1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07" t="s">
        <v>32</v>
      </c>
      <c r="B96" s="508"/>
      <c r="C96" s="509"/>
      <c r="D96" s="45"/>
      <c r="E96" s="45"/>
      <c r="F96" s="65">
        <f t="shared" ref="F96:AC96" si="27">F34</f>
        <v>14.26</v>
      </c>
      <c r="G96" s="65">
        <f t="shared" si="27"/>
        <v>14.08</v>
      </c>
      <c r="H96" s="65">
        <f t="shared" si="27"/>
        <v>14.31</v>
      </c>
      <c r="I96" s="65">
        <f t="shared" si="27"/>
        <v>14.32</v>
      </c>
      <c r="J96" s="65">
        <f t="shared" si="27"/>
        <v>14.28</v>
      </c>
      <c r="K96" s="65">
        <f t="shared" si="27"/>
        <v>14.26</v>
      </c>
      <c r="L96" s="65">
        <f t="shared" si="27"/>
        <v>14.2</v>
      </c>
      <c r="M96" s="65">
        <f t="shared" si="27"/>
        <v>12.8</v>
      </c>
      <c r="N96" s="65">
        <f t="shared" si="27"/>
        <v>14.3</v>
      </c>
      <c r="O96" s="65">
        <f t="shared" si="27"/>
        <v>14.3</v>
      </c>
      <c r="P96" s="65">
        <f t="shared" si="27"/>
        <v>14.29</v>
      </c>
      <c r="Q96" s="65">
        <f t="shared" si="27"/>
        <v>14.32</v>
      </c>
      <c r="R96" s="65">
        <f t="shared" si="27"/>
        <v>14.31</v>
      </c>
      <c r="S96" s="65">
        <f t="shared" si="27"/>
        <v>14.33</v>
      </c>
      <c r="T96" s="65">
        <f t="shared" si="27"/>
        <v>14.31</v>
      </c>
      <c r="U96" s="65">
        <f t="shared" si="27"/>
        <v>14.29</v>
      </c>
      <c r="V96" s="65">
        <f t="shared" si="27"/>
        <v>14.33</v>
      </c>
      <c r="W96" s="65">
        <f t="shared" si="27"/>
        <v>14.32</v>
      </c>
      <c r="X96" s="65">
        <f t="shared" si="27"/>
        <v>14.31</v>
      </c>
      <c r="Y96" s="65">
        <f t="shared" si="27"/>
        <v>14.28</v>
      </c>
      <c r="Z96" s="65">
        <f t="shared" si="27"/>
        <v>14.32</v>
      </c>
      <c r="AA96" s="65">
        <f t="shared" si="27"/>
        <v>13.6</v>
      </c>
      <c r="AB96" s="65">
        <f t="shared" si="27"/>
        <v>14.22</v>
      </c>
      <c r="AC96" s="65">
        <f t="shared" si="27"/>
        <v>14.05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21" t="s">
        <v>81</v>
      </c>
      <c r="B97" s="521"/>
      <c r="C97" s="522"/>
      <c r="D97" s="68"/>
      <c r="E97" s="68"/>
      <c r="F97" s="68">
        <v>0.74</v>
      </c>
      <c r="G97" s="68">
        <v>0.68</v>
      </c>
      <c r="H97" s="68">
        <v>0.69</v>
      </c>
      <c r="I97" s="68">
        <v>0.68</v>
      </c>
      <c r="J97" s="68">
        <v>0.72</v>
      </c>
      <c r="K97" s="68">
        <v>0.74</v>
      </c>
      <c r="L97" s="68">
        <v>0.8</v>
      </c>
      <c r="M97" s="68">
        <v>0.7</v>
      </c>
      <c r="N97" s="68">
        <v>0.7</v>
      </c>
      <c r="O97" s="68">
        <v>0.69</v>
      </c>
      <c r="P97" s="68">
        <v>0.71</v>
      </c>
      <c r="Q97" s="68">
        <v>0.68</v>
      </c>
      <c r="R97" s="68">
        <v>0.69</v>
      </c>
      <c r="S97" s="68">
        <v>0.67</v>
      </c>
      <c r="T97" s="68">
        <v>0.69</v>
      </c>
      <c r="U97" s="68">
        <v>0.71</v>
      </c>
      <c r="V97" s="68">
        <v>0.67</v>
      </c>
      <c r="W97" s="68">
        <v>0.68</v>
      </c>
      <c r="X97" s="68">
        <v>0.69</v>
      </c>
      <c r="Y97" s="68">
        <v>0.72</v>
      </c>
      <c r="Z97" s="68">
        <v>0.68</v>
      </c>
      <c r="AA97" s="68">
        <v>0.9</v>
      </c>
      <c r="AB97" s="68">
        <v>0.78</v>
      </c>
      <c r="AC97" s="68">
        <v>0.95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07" t="s">
        <v>33</v>
      </c>
      <c r="B98" s="508"/>
      <c r="C98" s="509"/>
      <c r="D98" s="45"/>
      <c r="E98" s="45"/>
      <c r="F98" s="64">
        <f t="shared" ref="F98:AC98" si="28">F60</f>
        <v>0</v>
      </c>
      <c r="G98" s="64">
        <f t="shared" si="28"/>
        <v>0</v>
      </c>
      <c r="H98" s="64">
        <f t="shared" si="28"/>
        <v>0</v>
      </c>
      <c r="I98" s="64">
        <f t="shared" si="28"/>
        <v>0</v>
      </c>
      <c r="J98" s="64">
        <f t="shared" si="28"/>
        <v>0</v>
      </c>
      <c r="K98" s="64">
        <f t="shared" si="28"/>
        <v>0</v>
      </c>
      <c r="L98" s="64">
        <f t="shared" si="28"/>
        <v>0.7</v>
      </c>
      <c r="M98" s="64">
        <f t="shared" si="28"/>
        <v>0</v>
      </c>
      <c r="N98" s="64">
        <f t="shared" si="28"/>
        <v>0.7</v>
      </c>
      <c r="O98" s="64">
        <f t="shared" si="28"/>
        <v>3.9000000000000004</v>
      </c>
      <c r="P98" s="64">
        <f t="shared" si="28"/>
        <v>3.95</v>
      </c>
      <c r="Q98" s="64">
        <f t="shared" si="28"/>
        <v>2.2999999999999998</v>
      </c>
      <c r="R98" s="64">
        <f t="shared" si="28"/>
        <v>2.2999999999999998</v>
      </c>
      <c r="S98" s="64">
        <f t="shared" si="28"/>
        <v>3.1</v>
      </c>
      <c r="T98" s="64">
        <f t="shared" si="28"/>
        <v>3.95</v>
      </c>
      <c r="U98" s="64">
        <f t="shared" si="28"/>
        <v>3.0999999999999996</v>
      </c>
      <c r="V98" s="64">
        <f t="shared" si="28"/>
        <v>3.0999999999999996</v>
      </c>
      <c r="W98" s="64">
        <f t="shared" si="28"/>
        <v>5.0999999999999996</v>
      </c>
      <c r="X98" s="64">
        <f t="shared" si="28"/>
        <v>0.9</v>
      </c>
      <c r="Y98" s="64">
        <f t="shared" si="28"/>
        <v>2.4000000000000004</v>
      </c>
      <c r="Z98" s="64">
        <f t="shared" si="28"/>
        <v>0.9</v>
      </c>
      <c r="AA98" s="64">
        <f t="shared" si="28"/>
        <v>0.9</v>
      </c>
      <c r="AB98" s="64">
        <f t="shared" si="28"/>
        <v>0.9</v>
      </c>
      <c r="AC98" s="64">
        <f t="shared" si="28"/>
        <v>1.5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07" t="s">
        <v>55</v>
      </c>
      <c r="B99" s="508"/>
      <c r="C99" s="509"/>
      <c r="D99" s="45"/>
      <c r="E99" s="45"/>
      <c r="F99" s="64">
        <f t="shared" ref="F99:AC99" si="29">F65</f>
        <v>1.24</v>
      </c>
      <c r="G99" s="64">
        <f t="shared" si="29"/>
        <v>1.05</v>
      </c>
      <c r="H99" s="64">
        <f t="shared" si="29"/>
        <v>1.04</v>
      </c>
      <c r="I99" s="64">
        <f t="shared" si="29"/>
        <v>1.02</v>
      </c>
      <c r="J99" s="64">
        <f t="shared" si="29"/>
        <v>0.98</v>
      </c>
      <c r="K99" s="64">
        <f t="shared" si="29"/>
        <v>1.02</v>
      </c>
      <c r="L99" s="64">
        <f t="shared" si="29"/>
        <v>1.04</v>
      </c>
      <c r="M99" s="64">
        <f t="shared" si="29"/>
        <v>1.0900000000000001</v>
      </c>
      <c r="N99" s="64">
        <f t="shared" si="29"/>
        <v>1.24</v>
      </c>
      <c r="O99" s="64">
        <f t="shared" si="29"/>
        <v>1.41</v>
      </c>
      <c r="P99" s="64">
        <f t="shared" si="29"/>
        <v>1.49</v>
      </c>
      <c r="Q99" s="64">
        <f t="shared" si="29"/>
        <v>1.54</v>
      </c>
      <c r="R99" s="64">
        <f t="shared" si="29"/>
        <v>1.54</v>
      </c>
      <c r="S99" s="64">
        <f t="shared" si="29"/>
        <v>1.56</v>
      </c>
      <c r="T99" s="64">
        <f t="shared" si="29"/>
        <v>1.61</v>
      </c>
      <c r="U99" s="64">
        <f t="shared" si="29"/>
        <v>0</v>
      </c>
      <c r="V99" s="64">
        <f t="shared" si="29"/>
        <v>0</v>
      </c>
      <c r="W99" s="64">
        <f t="shared" si="29"/>
        <v>0</v>
      </c>
      <c r="X99" s="64">
        <f t="shared" si="29"/>
        <v>0</v>
      </c>
      <c r="Y99" s="64">
        <f t="shared" si="29"/>
        <v>0</v>
      </c>
      <c r="Z99" s="64">
        <f t="shared" si="29"/>
        <v>1.7</v>
      </c>
      <c r="AA99" s="64">
        <f t="shared" si="29"/>
        <v>1.5500000000000003</v>
      </c>
      <c r="AB99" s="64">
        <f t="shared" si="29"/>
        <v>1.38</v>
      </c>
      <c r="AC99" s="64">
        <f t="shared" si="29"/>
        <v>1.21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07" t="s">
        <v>59</v>
      </c>
      <c r="B100" s="508"/>
      <c r="C100" s="509"/>
      <c r="D100" s="45"/>
      <c r="E100" s="45"/>
      <c r="F100" s="64">
        <f t="shared" ref="F100:AC100" si="30">F76</f>
        <v>0</v>
      </c>
      <c r="G100" s="64">
        <f t="shared" si="30"/>
        <v>0</v>
      </c>
      <c r="H100" s="64">
        <f t="shared" si="30"/>
        <v>0</v>
      </c>
      <c r="I100" s="64">
        <f t="shared" si="30"/>
        <v>0</v>
      </c>
      <c r="J100" s="64">
        <f t="shared" si="30"/>
        <v>0</v>
      </c>
      <c r="K100" s="64">
        <f t="shared" si="30"/>
        <v>0</v>
      </c>
      <c r="L100" s="64">
        <f t="shared" si="30"/>
        <v>0</v>
      </c>
      <c r="M100" s="64">
        <f t="shared" si="30"/>
        <v>0</v>
      </c>
      <c r="N100" s="64">
        <f t="shared" si="30"/>
        <v>0</v>
      </c>
      <c r="O100" s="64">
        <f t="shared" si="30"/>
        <v>0</v>
      </c>
      <c r="P100" s="64">
        <f t="shared" si="30"/>
        <v>0</v>
      </c>
      <c r="Q100" s="64">
        <f t="shared" si="30"/>
        <v>0</v>
      </c>
      <c r="R100" s="64">
        <f t="shared" si="30"/>
        <v>0</v>
      </c>
      <c r="S100" s="64">
        <f t="shared" si="30"/>
        <v>0</v>
      </c>
      <c r="T100" s="64">
        <f t="shared" si="30"/>
        <v>0</v>
      </c>
      <c r="U100" s="64">
        <f t="shared" si="30"/>
        <v>0</v>
      </c>
      <c r="V100" s="64">
        <f t="shared" si="30"/>
        <v>0</v>
      </c>
      <c r="W100" s="64">
        <f t="shared" si="30"/>
        <v>0</v>
      </c>
      <c r="X100" s="64">
        <f t="shared" si="30"/>
        <v>0</v>
      </c>
      <c r="Y100" s="64">
        <f t="shared" si="30"/>
        <v>0</v>
      </c>
      <c r="Z100" s="64">
        <f t="shared" si="30"/>
        <v>0</v>
      </c>
      <c r="AA100" s="64">
        <f t="shared" si="30"/>
        <v>0</v>
      </c>
      <c r="AB100" s="64">
        <f t="shared" si="30"/>
        <v>0</v>
      </c>
      <c r="AC100" s="64">
        <f t="shared" si="30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07" t="s">
        <v>69</v>
      </c>
      <c r="B101" s="508"/>
      <c r="C101" s="509"/>
      <c r="D101" s="45"/>
      <c r="E101" s="45"/>
      <c r="F101" s="64">
        <f t="shared" ref="F101:AC101" si="31">F80</f>
        <v>0.85</v>
      </c>
      <c r="G101" s="64">
        <f t="shared" si="31"/>
        <v>0.8</v>
      </c>
      <c r="H101" s="64">
        <f t="shared" si="31"/>
        <v>0.79</v>
      </c>
      <c r="I101" s="64">
        <f t="shared" si="31"/>
        <v>0.77</v>
      </c>
      <c r="J101" s="64">
        <f t="shared" si="31"/>
        <v>0.77</v>
      </c>
      <c r="K101" s="64">
        <f t="shared" si="31"/>
        <v>0.77</v>
      </c>
      <c r="L101" s="64">
        <f t="shared" si="31"/>
        <v>0.79</v>
      </c>
      <c r="M101" s="64">
        <f t="shared" si="31"/>
        <v>0.75</v>
      </c>
      <c r="N101" s="64">
        <f t="shared" si="31"/>
        <v>0.78</v>
      </c>
      <c r="O101" s="64">
        <f t="shared" si="31"/>
        <v>0.82</v>
      </c>
      <c r="P101" s="64">
        <f t="shared" si="31"/>
        <v>0.83</v>
      </c>
      <c r="Q101" s="64">
        <f t="shared" si="31"/>
        <v>0.88</v>
      </c>
      <c r="R101" s="64">
        <f t="shared" si="31"/>
        <v>0.91</v>
      </c>
      <c r="S101" s="64">
        <f t="shared" si="31"/>
        <v>0.87</v>
      </c>
      <c r="T101" s="64">
        <f t="shared" si="31"/>
        <v>0.86</v>
      </c>
      <c r="U101" s="64">
        <f t="shared" si="31"/>
        <v>0.83</v>
      </c>
      <c r="V101" s="64">
        <f t="shared" si="31"/>
        <v>0.87</v>
      </c>
      <c r="W101" s="64">
        <f t="shared" si="31"/>
        <v>0.86</v>
      </c>
      <c r="X101" s="64">
        <f t="shared" si="31"/>
        <v>0.87</v>
      </c>
      <c r="Y101" s="64">
        <f t="shared" si="31"/>
        <v>0.99</v>
      </c>
      <c r="Z101" s="64">
        <f t="shared" si="31"/>
        <v>0.99</v>
      </c>
      <c r="AA101" s="64">
        <f t="shared" si="31"/>
        <v>0.96</v>
      </c>
      <c r="AB101" s="64">
        <f t="shared" si="31"/>
        <v>0.9</v>
      </c>
      <c r="AC101" s="64">
        <f t="shared" si="31"/>
        <v>0.87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07" t="s">
        <v>72</v>
      </c>
      <c r="B102" s="508"/>
      <c r="C102" s="509"/>
      <c r="D102" s="45"/>
      <c r="E102" s="45"/>
      <c r="F102" s="64">
        <f t="shared" ref="F102:AC102" si="32">F82</f>
        <v>0</v>
      </c>
      <c r="G102" s="64">
        <f t="shared" si="32"/>
        <v>0</v>
      </c>
      <c r="H102" s="64">
        <f t="shared" si="32"/>
        <v>0</v>
      </c>
      <c r="I102" s="64">
        <f t="shared" si="32"/>
        <v>0</v>
      </c>
      <c r="J102" s="64">
        <f t="shared" si="32"/>
        <v>0</v>
      </c>
      <c r="K102" s="64">
        <f t="shared" si="32"/>
        <v>0</v>
      </c>
      <c r="L102" s="64">
        <f t="shared" si="32"/>
        <v>0</v>
      </c>
      <c r="M102" s="64">
        <f t="shared" si="32"/>
        <v>0</v>
      </c>
      <c r="N102" s="64">
        <f t="shared" si="32"/>
        <v>0</v>
      </c>
      <c r="O102" s="64">
        <f t="shared" si="32"/>
        <v>0</v>
      </c>
      <c r="P102" s="64">
        <f t="shared" si="32"/>
        <v>0</v>
      </c>
      <c r="Q102" s="64">
        <f t="shared" si="32"/>
        <v>0</v>
      </c>
      <c r="R102" s="64">
        <f t="shared" si="32"/>
        <v>0</v>
      </c>
      <c r="S102" s="64">
        <f t="shared" si="32"/>
        <v>0</v>
      </c>
      <c r="T102" s="64">
        <f t="shared" si="32"/>
        <v>0</v>
      </c>
      <c r="U102" s="64">
        <f t="shared" si="32"/>
        <v>0</v>
      </c>
      <c r="V102" s="64">
        <f t="shared" si="32"/>
        <v>0</v>
      </c>
      <c r="W102" s="64">
        <f t="shared" si="32"/>
        <v>0</v>
      </c>
      <c r="X102" s="64">
        <f t="shared" si="32"/>
        <v>0</v>
      </c>
      <c r="Y102" s="64">
        <f t="shared" si="32"/>
        <v>0</v>
      </c>
      <c r="Z102" s="64">
        <f t="shared" si="32"/>
        <v>0</v>
      </c>
      <c r="AA102" s="64">
        <f t="shared" si="32"/>
        <v>0</v>
      </c>
      <c r="AB102" s="64">
        <f t="shared" si="32"/>
        <v>0</v>
      </c>
      <c r="AC102" s="64">
        <f t="shared" si="32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11" t="s">
        <v>82</v>
      </c>
      <c r="B103" s="511"/>
      <c r="C103" s="511"/>
      <c r="D103" s="47"/>
      <c r="E103" s="47"/>
      <c r="F103" s="61">
        <f t="shared" ref="F103:AC103" si="33">SUM(F89,F91,F93,F96,F98:F102,F81)</f>
        <v>46.95</v>
      </c>
      <c r="G103" s="61">
        <f t="shared" si="33"/>
        <v>46.929999999999993</v>
      </c>
      <c r="H103" s="61">
        <f t="shared" si="33"/>
        <v>44.44</v>
      </c>
      <c r="I103" s="61">
        <f t="shared" si="33"/>
        <v>43.210000000000008</v>
      </c>
      <c r="J103" s="61">
        <f t="shared" si="33"/>
        <v>41.83</v>
      </c>
      <c r="K103" s="61">
        <f t="shared" si="33"/>
        <v>42.150000000000006</v>
      </c>
      <c r="L103" s="61">
        <f t="shared" si="33"/>
        <v>44.63</v>
      </c>
      <c r="M103" s="61">
        <f t="shared" si="33"/>
        <v>44.740000000000009</v>
      </c>
      <c r="N103" s="61">
        <f t="shared" si="33"/>
        <v>50.920000000000009</v>
      </c>
      <c r="O103" s="61">
        <f t="shared" si="33"/>
        <v>61.83</v>
      </c>
      <c r="P103" s="61">
        <f t="shared" si="33"/>
        <v>63.260000000000005</v>
      </c>
      <c r="Q103" s="61">
        <f t="shared" si="33"/>
        <v>70.14</v>
      </c>
      <c r="R103" s="61">
        <f t="shared" si="33"/>
        <v>68.460000000000008</v>
      </c>
      <c r="S103" s="61">
        <f>SUM(S89,S91,S93,S96,S98:S102,S81)</f>
        <v>69.660000000000011</v>
      </c>
      <c r="T103" s="61">
        <f t="shared" si="33"/>
        <v>71.429999999999993</v>
      </c>
      <c r="U103" s="61">
        <f t="shared" si="33"/>
        <v>66.02</v>
      </c>
      <c r="V103" s="61">
        <f>SUM(V89,V91,V93,V96,V98:V102,V81)</f>
        <v>67.100000000000009</v>
      </c>
      <c r="W103" s="61">
        <f t="shared" si="33"/>
        <v>66.88</v>
      </c>
      <c r="X103" s="61">
        <f t="shared" si="33"/>
        <v>63.08</v>
      </c>
      <c r="Y103" s="61">
        <f t="shared" si="33"/>
        <v>65.569999999999993</v>
      </c>
      <c r="Z103" s="61">
        <f t="shared" si="33"/>
        <v>64.009999999999991</v>
      </c>
      <c r="AA103" s="61">
        <f t="shared" si="33"/>
        <v>58.709999999999994</v>
      </c>
      <c r="AB103" s="61">
        <f t="shared" si="33"/>
        <v>55.4</v>
      </c>
      <c r="AC103" s="61">
        <f t="shared" si="33"/>
        <v>52.53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12" t="s">
        <v>83</v>
      </c>
      <c r="B104" s="512"/>
      <c r="C104" s="512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12" t="s">
        <v>84</v>
      </c>
      <c r="B105" s="512"/>
      <c r="C105" s="512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12" t="s">
        <v>85</v>
      </c>
      <c r="B106" s="512"/>
      <c r="C106" s="512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>
        <f>1.01+1.61</f>
        <v>2.62</v>
      </c>
      <c r="V106" s="76">
        <f>1.01+1.61</f>
        <v>2.62</v>
      </c>
      <c r="W106" s="76">
        <f>1.61</f>
        <v>1.61</v>
      </c>
      <c r="X106" s="76">
        <f>1.61</f>
        <v>1.61</v>
      </c>
      <c r="Y106" s="76">
        <f>1.61</f>
        <v>1.61</v>
      </c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11" t="s">
        <v>86</v>
      </c>
      <c r="B107" s="511"/>
      <c r="C107" s="511"/>
      <c r="D107" s="47"/>
      <c r="E107" s="47"/>
      <c r="F107" s="61">
        <f t="shared" ref="F107:AC107" si="34">SUM(F104:F106)</f>
        <v>0</v>
      </c>
      <c r="G107" s="61">
        <f t="shared" si="34"/>
        <v>0</v>
      </c>
      <c r="H107" s="61">
        <f t="shared" si="34"/>
        <v>0</v>
      </c>
      <c r="I107" s="61">
        <f t="shared" si="34"/>
        <v>0</v>
      </c>
      <c r="J107" s="61">
        <f t="shared" si="34"/>
        <v>0</v>
      </c>
      <c r="K107" s="61">
        <f t="shared" si="34"/>
        <v>0</v>
      </c>
      <c r="L107" s="61">
        <f t="shared" si="34"/>
        <v>0</v>
      </c>
      <c r="M107" s="61">
        <f t="shared" si="34"/>
        <v>0</v>
      </c>
      <c r="N107" s="61">
        <f t="shared" si="34"/>
        <v>0</v>
      </c>
      <c r="O107" s="61">
        <f t="shared" si="34"/>
        <v>0</v>
      </c>
      <c r="P107" s="61">
        <f t="shared" si="34"/>
        <v>0</v>
      </c>
      <c r="Q107" s="61">
        <f t="shared" si="34"/>
        <v>0</v>
      </c>
      <c r="R107" s="61">
        <f t="shared" si="34"/>
        <v>0</v>
      </c>
      <c r="S107" s="61">
        <f t="shared" si="34"/>
        <v>0</v>
      </c>
      <c r="T107" s="61">
        <f t="shared" si="34"/>
        <v>0</v>
      </c>
      <c r="U107" s="61">
        <f t="shared" si="34"/>
        <v>2.62</v>
      </c>
      <c r="V107" s="61">
        <f t="shared" si="34"/>
        <v>2.62</v>
      </c>
      <c r="W107" s="61">
        <f t="shared" si="34"/>
        <v>1.61</v>
      </c>
      <c r="X107" s="61">
        <f t="shared" si="34"/>
        <v>1.61</v>
      </c>
      <c r="Y107" s="61">
        <f t="shared" si="34"/>
        <v>1.61</v>
      </c>
      <c r="Z107" s="61">
        <f t="shared" si="34"/>
        <v>0</v>
      </c>
      <c r="AA107" s="61">
        <f t="shared" si="34"/>
        <v>0</v>
      </c>
      <c r="AB107" s="61">
        <f t="shared" si="34"/>
        <v>0</v>
      </c>
      <c r="AC107" s="61">
        <f t="shared" si="34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13" t="s">
        <v>87</v>
      </c>
      <c r="B108" s="513"/>
      <c r="C108" s="513"/>
      <c r="D108" s="48"/>
      <c r="E108" s="48"/>
      <c r="F108" s="62">
        <f t="shared" ref="F108:AC108" si="35">F103+F107</f>
        <v>46.95</v>
      </c>
      <c r="G108" s="62">
        <f t="shared" si="35"/>
        <v>46.929999999999993</v>
      </c>
      <c r="H108" s="62">
        <f t="shared" si="35"/>
        <v>44.44</v>
      </c>
      <c r="I108" s="62">
        <f t="shared" si="35"/>
        <v>43.210000000000008</v>
      </c>
      <c r="J108" s="62">
        <f t="shared" si="35"/>
        <v>41.83</v>
      </c>
      <c r="K108" s="62">
        <f t="shared" si="35"/>
        <v>42.150000000000006</v>
      </c>
      <c r="L108" s="62">
        <f t="shared" si="35"/>
        <v>44.63</v>
      </c>
      <c r="M108" s="62">
        <f t="shared" si="35"/>
        <v>44.740000000000009</v>
      </c>
      <c r="N108" s="62">
        <f t="shared" si="35"/>
        <v>50.920000000000009</v>
      </c>
      <c r="O108" s="62">
        <f t="shared" si="35"/>
        <v>61.83</v>
      </c>
      <c r="P108" s="62">
        <f t="shared" si="35"/>
        <v>63.260000000000005</v>
      </c>
      <c r="Q108" s="62">
        <f t="shared" si="35"/>
        <v>70.14</v>
      </c>
      <c r="R108" s="62">
        <f t="shared" si="35"/>
        <v>68.460000000000008</v>
      </c>
      <c r="S108" s="62">
        <f>S103+S107</f>
        <v>69.660000000000011</v>
      </c>
      <c r="T108" s="62">
        <f>T103+T107</f>
        <v>71.429999999999993</v>
      </c>
      <c r="U108" s="62">
        <f t="shared" si="35"/>
        <v>68.64</v>
      </c>
      <c r="V108" s="62">
        <f t="shared" si="35"/>
        <v>69.720000000000013</v>
      </c>
      <c r="W108" s="62">
        <f>W103+W107</f>
        <v>68.489999999999995</v>
      </c>
      <c r="X108" s="62">
        <f t="shared" si="35"/>
        <v>64.69</v>
      </c>
      <c r="Y108" s="62">
        <f t="shared" si="35"/>
        <v>67.179999999999993</v>
      </c>
      <c r="Z108" s="62">
        <f t="shared" si="35"/>
        <v>64.009999999999991</v>
      </c>
      <c r="AA108" s="62">
        <f t="shared" si="35"/>
        <v>58.709999999999994</v>
      </c>
      <c r="AB108" s="62">
        <f t="shared" si="35"/>
        <v>55.4</v>
      </c>
      <c r="AC108" s="62">
        <f t="shared" si="35"/>
        <v>52.53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14" t="s">
        <v>88</v>
      </c>
      <c r="B109" s="514"/>
      <c r="C109" s="514"/>
      <c r="D109" s="52"/>
      <c r="E109" s="52"/>
      <c r="F109" s="63">
        <f t="shared" ref="F109:AC109" si="36">(COUNT(F13:F16))*7.2+(COUNT(F27:F28)*4.9)+(COUNT(F19:F21)*4.5)-F91-F93</f>
        <v>13.600000000000009</v>
      </c>
      <c r="G109" s="63">
        <f t="shared" si="36"/>
        <v>12.400000000000009</v>
      </c>
      <c r="H109" s="63">
        <f t="shared" si="36"/>
        <v>14.600000000000009</v>
      </c>
      <c r="I109" s="63">
        <f t="shared" si="36"/>
        <v>8.8000000000000043</v>
      </c>
      <c r="J109" s="63">
        <f t="shared" si="36"/>
        <v>10.100000000000009</v>
      </c>
      <c r="K109" s="63">
        <f t="shared" si="36"/>
        <v>9.8000000000000043</v>
      </c>
      <c r="L109" s="63">
        <f t="shared" si="36"/>
        <v>8.0000000000000036</v>
      </c>
      <c r="M109" s="63">
        <f t="shared" si="36"/>
        <v>15.5</v>
      </c>
      <c r="N109" s="63">
        <f t="shared" si="36"/>
        <v>19.5</v>
      </c>
      <c r="O109" s="63">
        <f t="shared" si="36"/>
        <v>16.8</v>
      </c>
      <c r="P109" s="63">
        <f t="shared" si="36"/>
        <v>15.299999999999999</v>
      </c>
      <c r="Q109" s="63">
        <f t="shared" si="36"/>
        <v>6.9</v>
      </c>
      <c r="R109" s="63">
        <f t="shared" si="36"/>
        <v>8.6000000000000014</v>
      </c>
      <c r="S109" s="63">
        <f t="shared" si="36"/>
        <v>8.1999999999999993</v>
      </c>
      <c r="T109" s="63">
        <f t="shared" si="36"/>
        <v>7.3000000000000007</v>
      </c>
      <c r="U109" s="63">
        <f t="shared" si="36"/>
        <v>9.8999999999999986</v>
      </c>
      <c r="V109" s="63">
        <f t="shared" si="36"/>
        <v>9.1999999999999993</v>
      </c>
      <c r="W109" s="63">
        <f t="shared" si="36"/>
        <v>11.399999999999999</v>
      </c>
      <c r="X109" s="63">
        <f t="shared" si="36"/>
        <v>10.100000000000001</v>
      </c>
      <c r="Y109" s="63">
        <f t="shared" si="36"/>
        <v>10.100000000000001</v>
      </c>
      <c r="Z109" s="63">
        <f t="shared" si="36"/>
        <v>10.900000000000002</v>
      </c>
      <c r="AA109" s="63">
        <f t="shared" si="36"/>
        <v>14.1</v>
      </c>
      <c r="AB109" s="63">
        <f t="shared" si="36"/>
        <v>13.700000000000003</v>
      </c>
      <c r="AC109" s="63">
        <f t="shared" si="36"/>
        <v>11.000000000000002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15" t="s">
        <v>89</v>
      </c>
      <c r="B110" s="516"/>
      <c r="C110" s="517"/>
      <c r="D110" s="204"/>
      <c r="E110" s="204"/>
      <c r="F110" s="205">
        <f t="shared" ref="F110:P110" si="37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3.9000000000000048</v>
      </c>
      <c r="G110" s="205">
        <f t="shared" si="37"/>
        <v>3.5000000000000053</v>
      </c>
      <c r="H110" s="205">
        <f t="shared" si="37"/>
        <v>6.2000000000000046</v>
      </c>
      <c r="I110" s="205">
        <f t="shared" si="37"/>
        <v>2.9000000000000004</v>
      </c>
      <c r="J110" s="205">
        <f t="shared" si="37"/>
        <v>4.2000000000000046</v>
      </c>
      <c r="K110" s="205">
        <f t="shared" si="37"/>
        <v>3.9000000000000004</v>
      </c>
      <c r="L110" s="205">
        <f t="shared" si="37"/>
        <v>2.1000000000000005</v>
      </c>
      <c r="M110" s="205">
        <f t="shared" si="37"/>
        <v>3.4000000000000012</v>
      </c>
      <c r="N110" s="205">
        <f t="shared" si="37"/>
        <v>4.1000000000000005</v>
      </c>
      <c r="O110" s="205">
        <f t="shared" si="37"/>
        <v>1.1000000000000014</v>
      </c>
      <c r="P110" s="205">
        <f t="shared" si="37"/>
        <v>6.9999999999999982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0</v>
      </c>
      <c r="R110" s="205">
        <f t="shared" ref="R110:AC110" si="38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0.90000000000000124</v>
      </c>
      <c r="S110" s="205">
        <f t="shared" si="38"/>
        <v>0.49999999999999911</v>
      </c>
      <c r="T110" s="205">
        <f t="shared" si="38"/>
        <v>-0.39999999999999947</v>
      </c>
      <c r="U110" s="205">
        <f t="shared" si="38"/>
        <v>2.4999999999999964</v>
      </c>
      <c r="V110" s="205">
        <f t="shared" si="38"/>
        <v>1.4999999999999982</v>
      </c>
      <c r="W110" s="205">
        <f t="shared" si="38"/>
        <v>3.6999999999999975</v>
      </c>
      <c r="X110" s="205">
        <f t="shared" si="38"/>
        <v>3.3000000000000007</v>
      </c>
      <c r="Y110" s="205">
        <f t="shared" si="38"/>
        <v>2.4000000000000004</v>
      </c>
      <c r="Z110" s="205">
        <f t="shared" si="38"/>
        <v>4.2000000000000011</v>
      </c>
      <c r="AA110" s="205">
        <f t="shared" si="38"/>
        <v>8.5999999999999979</v>
      </c>
      <c r="AB110" s="205">
        <f t="shared" si="38"/>
        <v>7.8</v>
      </c>
      <c r="AC110" s="205">
        <f t="shared" si="38"/>
        <v>3.7000000000000046</v>
      </c>
      <c r="AD110" s="26"/>
      <c r="AE110" s="26"/>
      <c r="AF110" s="466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10" t="s">
        <v>91</v>
      </c>
      <c r="B111" s="510"/>
      <c r="C111" s="510"/>
      <c r="D111" s="60"/>
      <c r="E111" s="72"/>
      <c r="F111" s="74">
        <v>60.06</v>
      </c>
      <c r="G111" s="74">
        <v>60.17</v>
      </c>
      <c r="H111" s="74">
        <v>60.2</v>
      </c>
      <c r="I111" s="74">
        <v>60.12</v>
      </c>
      <c r="J111" s="74">
        <v>60.21</v>
      </c>
      <c r="K111" s="74">
        <v>60.16</v>
      </c>
      <c r="L111" s="74">
        <v>60.2</v>
      </c>
      <c r="M111" s="74">
        <v>60.27</v>
      </c>
      <c r="N111" s="74">
        <v>60.09</v>
      </c>
      <c r="O111" s="74">
        <v>60.03</v>
      </c>
      <c r="P111" s="83">
        <v>60.18</v>
      </c>
      <c r="Q111" s="83">
        <v>59.99</v>
      </c>
      <c r="R111" s="83">
        <v>60.13</v>
      </c>
      <c r="S111" s="83">
        <v>60.13</v>
      </c>
      <c r="T111" s="83">
        <v>60.08</v>
      </c>
      <c r="U111" s="74">
        <v>60.27</v>
      </c>
      <c r="V111" s="74">
        <v>60.13</v>
      </c>
      <c r="W111" s="74">
        <v>60.22</v>
      </c>
      <c r="X111" s="74">
        <v>60.17</v>
      </c>
      <c r="Y111" s="74">
        <v>60.14</v>
      </c>
      <c r="Z111" s="74">
        <v>60.23</v>
      </c>
      <c r="AA111" s="74">
        <v>60.15</v>
      </c>
      <c r="AB111" s="74">
        <v>60.27</v>
      </c>
      <c r="AC111" s="74">
        <v>60.03</v>
      </c>
      <c r="AD111" s="26"/>
      <c r="AE111" s="26"/>
      <c r="AF111" s="467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18" t="s">
        <v>93</v>
      </c>
      <c r="B112" s="519"/>
      <c r="C112" s="520"/>
      <c r="D112" s="60"/>
      <c r="E112" s="72"/>
      <c r="F112" s="74"/>
      <c r="G112" s="74"/>
      <c r="H112" s="74"/>
      <c r="I112" s="74"/>
      <c r="J112" s="74"/>
      <c r="K112" s="74"/>
      <c r="L112" s="74"/>
      <c r="M112" s="74"/>
      <c r="N112" s="74"/>
      <c r="O112" s="74"/>
      <c r="P112" s="74"/>
      <c r="Q112" s="74"/>
      <c r="R112" s="74"/>
      <c r="S112" s="74"/>
      <c r="T112" s="74"/>
      <c r="U112" s="74"/>
      <c r="V112" s="74"/>
      <c r="W112" s="74"/>
      <c r="X112" s="74"/>
      <c r="Y112" s="74"/>
      <c r="Z112" s="74"/>
      <c r="AA112" s="74"/>
      <c r="AB112" s="74"/>
      <c r="AC112" s="74"/>
      <c r="AD112" s="26"/>
      <c r="AE112" s="26"/>
      <c r="AF112" s="469"/>
      <c r="AG112" s="472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18" t="s">
        <v>95</v>
      </c>
      <c r="B113" s="519"/>
      <c r="C113" s="520"/>
      <c r="D113" s="60"/>
      <c r="E113" s="74"/>
      <c r="F113" s="74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10" t="s">
        <v>96</v>
      </c>
      <c r="B114" s="510"/>
      <c r="C114" s="510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 t="s">
        <v>101</v>
      </c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10" t="s">
        <v>97</v>
      </c>
      <c r="B115" s="510"/>
      <c r="C115" s="510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499" t="s">
        <v>98</v>
      </c>
      <c r="B117" s="499"/>
      <c r="C117" s="499"/>
      <c r="D117" s="499"/>
      <c r="E117" s="499"/>
      <c r="F117" s="499"/>
      <c r="G117" s="499"/>
      <c r="H117" s="499"/>
      <c r="I117" s="499"/>
      <c r="J117" s="499"/>
      <c r="K117" s="499"/>
      <c r="L117" s="499"/>
      <c r="M117" s="499"/>
      <c r="N117" s="499"/>
      <c r="O117" s="499"/>
      <c r="P117" s="499"/>
      <c r="Q117" s="499"/>
      <c r="R117" s="499"/>
      <c r="S117" s="499"/>
      <c r="T117" s="499"/>
      <c r="U117" s="499"/>
      <c r="V117" s="499"/>
      <c r="W117" s="499"/>
      <c r="X117" s="499"/>
      <c r="Y117" s="499"/>
      <c r="Z117" s="499"/>
      <c r="AA117" s="499"/>
      <c r="AB117" s="499"/>
      <c r="AC117" s="499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00" t="s">
        <v>75</v>
      </c>
      <c r="B119" s="501"/>
      <c r="C119" s="502"/>
      <c r="D119" s="49"/>
      <c r="E119" s="49"/>
      <c r="F119" s="506" t="s">
        <v>76</v>
      </c>
      <c r="G119" s="506"/>
      <c r="H119" s="506"/>
      <c r="I119" s="506"/>
      <c r="J119" s="506"/>
      <c r="K119" s="506"/>
      <c r="L119" s="506"/>
      <c r="M119" s="506"/>
      <c r="N119" s="506"/>
      <c r="O119" s="506"/>
      <c r="P119" s="506"/>
      <c r="Q119" s="506"/>
      <c r="R119" s="506"/>
      <c r="S119" s="506"/>
      <c r="T119" s="506"/>
      <c r="U119" s="506"/>
      <c r="V119" s="506"/>
      <c r="W119" s="506"/>
      <c r="X119" s="506"/>
      <c r="Y119" s="506"/>
      <c r="Z119" s="506"/>
      <c r="AA119" s="506"/>
      <c r="AB119" s="506"/>
      <c r="AC119" s="506"/>
      <c r="AD119" s="5"/>
      <c r="AE119" s="5"/>
      <c r="AF119" s="5"/>
      <c r="AG119" s="5"/>
      <c r="AH119" s="5"/>
    </row>
    <row r="120" spans="1:124" ht="15.6" hidden="1" customHeight="1">
      <c r="A120" s="503"/>
      <c r="B120" s="504"/>
      <c r="C120" s="505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07" t="s">
        <v>27</v>
      </c>
      <c r="B121" s="508"/>
      <c r="C121" s="509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07" t="s">
        <v>78</v>
      </c>
      <c r="B122" s="508"/>
      <c r="C122" s="509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07" t="s">
        <v>29</v>
      </c>
      <c r="B123" s="508"/>
      <c r="C123" s="509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07" t="s">
        <v>32</v>
      </c>
      <c r="B124" s="508"/>
      <c r="C124" s="509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07" t="s">
        <v>33</v>
      </c>
      <c r="B125" s="508"/>
      <c r="C125" s="509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07" t="s">
        <v>55</v>
      </c>
      <c r="B126" s="508"/>
      <c r="C126" s="509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07" t="s">
        <v>59</v>
      </c>
      <c r="B127" s="508"/>
      <c r="C127" s="509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07" t="s">
        <v>69</v>
      </c>
      <c r="B128" s="508"/>
      <c r="C128" s="509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496" t="s">
        <v>99</v>
      </c>
      <c r="B129" s="497"/>
      <c r="C129" s="498"/>
      <c r="D129" s="51"/>
      <c r="E129" s="51"/>
      <c r="F129" s="44">
        <f>SUM(F121:F128)</f>
        <v>0</v>
      </c>
      <c r="G129" s="44">
        <f t="shared" ref="G129:AB129" si="39">SUM(G121:G128)</f>
        <v>0</v>
      </c>
      <c r="H129" s="44">
        <f t="shared" si="39"/>
        <v>0</v>
      </c>
      <c r="I129" s="44">
        <f t="shared" si="39"/>
        <v>0</v>
      </c>
      <c r="J129" s="44">
        <f t="shared" si="39"/>
        <v>0</v>
      </c>
      <c r="K129" s="44">
        <f t="shared" si="39"/>
        <v>0</v>
      </c>
      <c r="L129" s="44">
        <f t="shared" si="39"/>
        <v>0</v>
      </c>
      <c r="M129" s="44">
        <f t="shared" si="39"/>
        <v>0</v>
      </c>
      <c r="N129" s="44">
        <f t="shared" si="39"/>
        <v>0</v>
      </c>
      <c r="O129" s="44">
        <f t="shared" si="39"/>
        <v>0</v>
      </c>
      <c r="P129" s="44">
        <f t="shared" si="39"/>
        <v>0</v>
      </c>
      <c r="Q129" s="44">
        <f t="shared" si="39"/>
        <v>0</v>
      </c>
      <c r="R129" s="44">
        <f t="shared" si="39"/>
        <v>0</v>
      </c>
      <c r="S129" s="44">
        <f t="shared" si="39"/>
        <v>0</v>
      </c>
      <c r="T129" s="44">
        <f t="shared" si="39"/>
        <v>0</v>
      </c>
      <c r="U129" s="44">
        <f t="shared" si="39"/>
        <v>0</v>
      </c>
      <c r="V129" s="44">
        <f t="shared" si="39"/>
        <v>0</v>
      </c>
      <c r="W129" s="44">
        <f t="shared" si="39"/>
        <v>0</v>
      </c>
      <c r="X129" s="44">
        <f t="shared" si="39"/>
        <v>0</v>
      </c>
      <c r="Y129" s="44">
        <f t="shared" si="39"/>
        <v>0</v>
      </c>
      <c r="Z129" s="44">
        <f t="shared" si="39"/>
        <v>0</v>
      </c>
      <c r="AA129" s="44">
        <f t="shared" si="39"/>
        <v>0</v>
      </c>
      <c r="AB129" s="44">
        <f t="shared" si="39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2975" priority="268" operator="greaterThan">
      <formula>60.3</formula>
    </cfRule>
  </conditionalFormatting>
  <conditionalFormatting sqref="F111">
    <cfRule type="cellIs" dxfId="2974" priority="267" operator="greaterThan">
      <formula>60.3</formula>
    </cfRule>
  </conditionalFormatting>
  <conditionalFormatting sqref="G67:AC75">
    <cfRule type="cellIs" dxfId="2973" priority="259" operator="equal">
      <formula>"PMS"</formula>
    </cfRule>
    <cfRule type="containsText" dxfId="2972" priority="260" operator="containsText" text="CMS">
      <formula>NOT(ISERROR(SEARCH("CMS",G67)))</formula>
    </cfRule>
    <cfRule type="cellIs" dxfId="2971" priority="261" operator="equal">
      <formula>0</formula>
    </cfRule>
    <cfRule type="cellIs" dxfId="2970" priority="262" operator="greaterThan">
      <formula>0</formula>
    </cfRule>
    <cfRule type="cellIs" dxfId="2969" priority="263" operator="equal">
      <formula>"PMS"</formula>
    </cfRule>
    <cfRule type="containsText" dxfId="2968" priority="264" operator="containsText" text="CMS">
      <formula>NOT(ISERROR(SEARCH("CMS",G67)))</formula>
    </cfRule>
    <cfRule type="cellIs" dxfId="2967" priority="265" operator="equal">
      <formula>0</formula>
    </cfRule>
    <cfRule type="cellIs" dxfId="2966" priority="266" operator="greaterThan">
      <formula>0</formula>
    </cfRule>
  </conditionalFormatting>
  <conditionalFormatting sqref="G67:AC75">
    <cfRule type="cellIs" dxfId="2965" priority="255" operator="equal">
      <formula>"PMS"</formula>
    </cfRule>
    <cfRule type="containsText" dxfId="2964" priority="256" operator="containsText" text="CMS">
      <formula>NOT(ISERROR(SEARCH("CMS",G67)))</formula>
    </cfRule>
    <cfRule type="cellIs" dxfId="2963" priority="257" operator="equal">
      <formula>0</formula>
    </cfRule>
    <cfRule type="cellIs" dxfId="2962" priority="258" operator="greaterThan">
      <formula>0</formula>
    </cfRule>
  </conditionalFormatting>
  <conditionalFormatting sqref="G82:AC82">
    <cfRule type="cellIs" dxfId="2961" priority="247" operator="equal">
      <formula>"PMS"</formula>
    </cfRule>
    <cfRule type="containsText" dxfId="2960" priority="248" operator="containsText" text="CMS">
      <formula>NOT(ISERROR(SEARCH("CMS",G82)))</formula>
    </cfRule>
    <cfRule type="cellIs" dxfId="2959" priority="249" operator="equal">
      <formula>0</formula>
    </cfRule>
    <cfRule type="cellIs" dxfId="2958" priority="250" operator="greaterThan">
      <formula>0</formula>
    </cfRule>
    <cfRule type="cellIs" dxfId="2957" priority="251" operator="equal">
      <formula>"PMS"</formula>
    </cfRule>
    <cfRule type="containsText" dxfId="2956" priority="252" operator="containsText" text="CMS">
      <formula>NOT(ISERROR(SEARCH("CMS",G82)))</formula>
    </cfRule>
    <cfRule type="cellIs" dxfId="2955" priority="253" operator="equal">
      <formula>0</formula>
    </cfRule>
    <cfRule type="cellIs" dxfId="2954" priority="254" operator="greaterThan">
      <formula>0</formula>
    </cfRule>
  </conditionalFormatting>
  <conditionalFormatting sqref="G82:AC82">
    <cfRule type="cellIs" dxfId="2953" priority="243" operator="equal">
      <formula>"PMS"</formula>
    </cfRule>
    <cfRule type="containsText" dxfId="2952" priority="244" operator="containsText" text="CMS">
      <formula>NOT(ISERROR(SEARCH("CMS",G82)))</formula>
    </cfRule>
    <cfRule type="cellIs" dxfId="2951" priority="245" operator="equal">
      <formula>0</formula>
    </cfRule>
    <cfRule type="cellIs" dxfId="2950" priority="246" operator="greaterThan">
      <formula>0</formula>
    </cfRule>
  </conditionalFormatting>
  <conditionalFormatting sqref="E113:AC113 F112:N112">
    <cfRule type="cellIs" dxfId="2949" priority="242" operator="greaterThan">
      <formula>60.3</formula>
    </cfRule>
  </conditionalFormatting>
  <conditionalFormatting sqref="O112:AC112">
    <cfRule type="cellIs" dxfId="2948" priority="241" operator="greaterThan">
      <formula>60.3</formula>
    </cfRule>
  </conditionalFormatting>
  <conditionalFormatting sqref="G13:AC16">
    <cfRule type="cellIs" dxfId="2947" priority="233" operator="equal">
      <formula>"PMS"</formula>
    </cfRule>
    <cfRule type="containsText" dxfId="2946" priority="234" operator="containsText" text="CMS">
      <formula>NOT(ISERROR(SEARCH("CMS",G13)))</formula>
    </cfRule>
    <cfRule type="cellIs" dxfId="2945" priority="235" operator="equal">
      <formula>0</formula>
    </cfRule>
    <cfRule type="cellIs" dxfId="2944" priority="236" operator="greaterThan">
      <formula>0</formula>
    </cfRule>
    <cfRule type="cellIs" dxfId="2943" priority="237" operator="equal">
      <formula>"PMS"</formula>
    </cfRule>
    <cfRule type="containsText" dxfId="2942" priority="238" operator="containsText" text="CMS">
      <formula>NOT(ISERROR(SEARCH("CMS",G13)))</formula>
    </cfRule>
    <cfRule type="cellIs" dxfId="2941" priority="239" operator="equal">
      <formula>0</formula>
    </cfRule>
    <cfRule type="cellIs" dxfId="2940" priority="240" operator="greaterThan">
      <formula>0</formula>
    </cfRule>
  </conditionalFormatting>
  <conditionalFormatting sqref="G13:AC16">
    <cfRule type="cellIs" dxfId="2939" priority="229" operator="equal">
      <formula>"PMS"</formula>
    </cfRule>
    <cfRule type="containsText" dxfId="2938" priority="230" operator="containsText" text="CMS">
      <formula>NOT(ISERROR(SEARCH("CMS",G13)))</formula>
    </cfRule>
    <cfRule type="cellIs" dxfId="2937" priority="231" operator="equal">
      <formula>0</formula>
    </cfRule>
    <cfRule type="cellIs" dxfId="2936" priority="232" operator="greaterThan">
      <formula>0</formula>
    </cfRule>
  </conditionalFormatting>
  <conditionalFormatting sqref="F82">
    <cfRule type="cellIs" dxfId="2935" priority="221" operator="equal">
      <formula>"PMS"</formula>
    </cfRule>
    <cfRule type="containsText" dxfId="2934" priority="222" operator="containsText" text="CMS">
      <formula>NOT(ISERROR(SEARCH("CMS",F82)))</formula>
    </cfRule>
    <cfRule type="cellIs" dxfId="2933" priority="223" operator="equal">
      <formula>0</formula>
    </cfRule>
    <cfRule type="cellIs" dxfId="2932" priority="224" operator="greaterThan">
      <formula>0</formula>
    </cfRule>
    <cfRule type="cellIs" dxfId="2931" priority="225" operator="equal">
      <formula>"PMS"</formula>
    </cfRule>
    <cfRule type="containsText" dxfId="2930" priority="226" operator="containsText" text="CMS">
      <formula>NOT(ISERROR(SEARCH("CMS",F82)))</formula>
    </cfRule>
    <cfRule type="cellIs" dxfId="2929" priority="227" operator="equal">
      <formula>0</formula>
    </cfRule>
    <cfRule type="cellIs" dxfId="2928" priority="228" operator="greaterThan">
      <formula>0</formula>
    </cfRule>
  </conditionalFormatting>
  <conditionalFormatting sqref="F82">
    <cfRule type="cellIs" dxfId="2927" priority="217" operator="equal">
      <formula>"PMS"</formula>
    </cfRule>
    <cfRule type="containsText" dxfId="2926" priority="218" operator="containsText" text="CMS">
      <formula>NOT(ISERROR(SEARCH("CMS",F82)))</formula>
    </cfRule>
    <cfRule type="cellIs" dxfId="2925" priority="219" operator="equal">
      <formula>0</formula>
    </cfRule>
    <cfRule type="cellIs" dxfId="2924" priority="220" operator="greaterThan">
      <formula>0</formula>
    </cfRule>
  </conditionalFormatting>
  <conditionalFormatting sqref="H24:AC24 G28:AC30 H33:AC33 G19:AC21 G27:AA27 AC27">
    <cfRule type="cellIs" dxfId="2923" priority="209" operator="equal">
      <formula>"PMS"</formula>
    </cfRule>
    <cfRule type="containsText" dxfId="2922" priority="210" operator="containsText" text="CMS">
      <formula>NOT(ISERROR(SEARCH("CMS",G19)))</formula>
    </cfRule>
    <cfRule type="cellIs" dxfId="2921" priority="211" operator="equal">
      <formula>0</formula>
    </cfRule>
    <cfRule type="cellIs" dxfId="2920" priority="212" operator="greaterThan">
      <formula>0</formula>
    </cfRule>
    <cfRule type="cellIs" dxfId="2919" priority="213" operator="equal">
      <formula>"PMS"</formula>
    </cfRule>
    <cfRule type="containsText" dxfId="2918" priority="214" operator="containsText" text="CMS">
      <formula>NOT(ISERROR(SEARCH("CMS",G19)))</formula>
    </cfRule>
    <cfRule type="cellIs" dxfId="2917" priority="215" operator="equal">
      <formula>0</formula>
    </cfRule>
    <cfRule type="cellIs" dxfId="2916" priority="216" operator="greaterThan">
      <formula>0</formula>
    </cfRule>
  </conditionalFormatting>
  <conditionalFormatting sqref="H24:AC24 G28:AC30 H33:AC33 G19:AC21 G27:AA27 AC27">
    <cfRule type="cellIs" dxfId="2915" priority="205" operator="equal">
      <formula>"PMS"</formula>
    </cfRule>
    <cfRule type="containsText" dxfId="2914" priority="206" operator="containsText" text="CMS">
      <formula>NOT(ISERROR(SEARCH("CMS",G19)))</formula>
    </cfRule>
    <cfRule type="cellIs" dxfId="2913" priority="207" operator="equal">
      <formula>0</formula>
    </cfRule>
    <cfRule type="cellIs" dxfId="2912" priority="208" operator="greaterThan">
      <formula>0</formula>
    </cfRule>
  </conditionalFormatting>
  <conditionalFormatting sqref="V42:X42 G36:AC38 G43:X43 G39:X41 Y39:AC43 G44:AC59">
    <cfRule type="cellIs" dxfId="2911" priority="197" operator="equal">
      <formula>"PMS"</formula>
    </cfRule>
    <cfRule type="containsText" dxfId="2910" priority="198" operator="containsText" text="CMS">
      <formula>NOT(ISERROR(SEARCH("CMS",G36)))</formula>
    </cfRule>
    <cfRule type="cellIs" dxfId="2909" priority="199" operator="equal">
      <formula>0</formula>
    </cfRule>
    <cfRule type="cellIs" dxfId="2908" priority="200" operator="greaterThan">
      <formula>0</formula>
    </cfRule>
    <cfRule type="cellIs" dxfId="2907" priority="201" operator="equal">
      <formula>"PMS"</formula>
    </cfRule>
    <cfRule type="containsText" dxfId="2906" priority="202" operator="containsText" text="CMS">
      <formula>NOT(ISERROR(SEARCH("CMS",G36)))</formula>
    </cfRule>
    <cfRule type="cellIs" dxfId="2905" priority="203" operator="equal">
      <formula>0</formula>
    </cfRule>
    <cfRule type="cellIs" dxfId="2904" priority="204" operator="greaterThan">
      <formula>0</formula>
    </cfRule>
  </conditionalFormatting>
  <conditionalFormatting sqref="V42:X42 G36:AC38 G43:X43 G39:X41 Y39:AC43 G44:AC59">
    <cfRule type="cellIs" dxfId="2903" priority="193" operator="equal">
      <formula>"PMS"</formula>
    </cfRule>
    <cfRule type="containsText" dxfId="2902" priority="194" operator="containsText" text="CMS">
      <formula>NOT(ISERROR(SEARCH("CMS",G36)))</formula>
    </cfRule>
    <cfRule type="cellIs" dxfId="2901" priority="195" operator="equal">
      <formula>0</formula>
    </cfRule>
    <cfRule type="cellIs" dxfId="2900" priority="196" operator="greaterThan">
      <formula>0</formula>
    </cfRule>
  </conditionalFormatting>
  <conditionalFormatting sqref="G78:AC79 G62:AC64">
    <cfRule type="cellIs" dxfId="2899" priority="185" operator="equal">
      <formula>"PMS"</formula>
    </cfRule>
    <cfRule type="containsText" dxfId="2898" priority="186" operator="containsText" text="CMS">
      <formula>NOT(ISERROR(SEARCH("CMS",G62)))</formula>
    </cfRule>
    <cfRule type="cellIs" dxfId="2897" priority="187" operator="equal">
      <formula>0</formula>
    </cfRule>
    <cfRule type="cellIs" dxfId="2896" priority="188" operator="greaterThan">
      <formula>0</formula>
    </cfRule>
    <cfRule type="cellIs" dxfId="2895" priority="189" operator="equal">
      <formula>"PMS"</formula>
    </cfRule>
    <cfRule type="containsText" dxfId="2894" priority="190" operator="containsText" text="CMS">
      <formula>NOT(ISERROR(SEARCH("CMS",G62)))</formula>
    </cfRule>
    <cfRule type="cellIs" dxfId="2893" priority="191" operator="equal">
      <formula>0</formula>
    </cfRule>
    <cfRule type="cellIs" dxfId="2892" priority="192" operator="greaterThan">
      <formula>0</formula>
    </cfRule>
  </conditionalFormatting>
  <conditionalFormatting sqref="G78:AC79 G62:AC64">
    <cfRule type="cellIs" dxfId="2891" priority="181" operator="equal">
      <formula>"PMS"</formula>
    </cfRule>
    <cfRule type="containsText" dxfId="2890" priority="182" operator="containsText" text="CMS">
      <formula>NOT(ISERROR(SEARCH("CMS",G62)))</formula>
    </cfRule>
    <cfRule type="cellIs" dxfId="2889" priority="183" operator="equal">
      <formula>0</formula>
    </cfRule>
    <cfRule type="cellIs" dxfId="2888" priority="184" operator="greaterThan">
      <formula>0</formula>
    </cfRule>
  </conditionalFormatting>
  <conditionalFormatting sqref="F67:F75">
    <cfRule type="cellIs" dxfId="2887" priority="173" operator="equal">
      <formula>"PMS"</formula>
    </cfRule>
    <cfRule type="containsText" dxfId="2886" priority="174" operator="containsText" text="CMS">
      <formula>NOT(ISERROR(SEARCH("CMS",F67)))</formula>
    </cfRule>
    <cfRule type="cellIs" dxfId="2885" priority="175" operator="equal">
      <formula>0</formula>
    </cfRule>
    <cfRule type="cellIs" dxfId="2884" priority="176" operator="greaterThan">
      <formula>0</formula>
    </cfRule>
    <cfRule type="cellIs" dxfId="2883" priority="177" operator="equal">
      <formula>"PMS"</formula>
    </cfRule>
    <cfRule type="containsText" dxfId="2882" priority="178" operator="containsText" text="CMS">
      <formula>NOT(ISERROR(SEARCH("CMS",F67)))</formula>
    </cfRule>
    <cfRule type="cellIs" dxfId="2881" priority="179" operator="equal">
      <formula>0</formula>
    </cfRule>
    <cfRule type="cellIs" dxfId="2880" priority="180" operator="greaterThan">
      <formula>0</formula>
    </cfRule>
  </conditionalFormatting>
  <conditionalFormatting sqref="F67:F75">
    <cfRule type="cellIs" dxfId="2879" priority="169" operator="equal">
      <formula>"PMS"</formula>
    </cfRule>
    <cfRule type="containsText" dxfId="2878" priority="170" operator="containsText" text="CMS">
      <formula>NOT(ISERROR(SEARCH("CMS",F67)))</formula>
    </cfRule>
    <cfRule type="cellIs" dxfId="2877" priority="171" operator="equal">
      <formula>0</formula>
    </cfRule>
    <cfRule type="cellIs" dxfId="2876" priority="172" operator="greaterThan">
      <formula>0</formula>
    </cfRule>
  </conditionalFormatting>
  <conditionalFormatting sqref="G42:U42">
    <cfRule type="cellIs" dxfId="2875" priority="161" operator="equal">
      <formula>"PMS"</formula>
    </cfRule>
    <cfRule type="containsText" dxfId="2874" priority="162" operator="containsText" text="CMS">
      <formula>NOT(ISERROR(SEARCH("CMS",G42)))</formula>
    </cfRule>
    <cfRule type="cellIs" dxfId="2873" priority="163" operator="equal">
      <formula>0</formula>
    </cfRule>
    <cfRule type="cellIs" dxfId="2872" priority="164" operator="greaterThan">
      <formula>0</formula>
    </cfRule>
    <cfRule type="cellIs" dxfId="2871" priority="165" operator="equal">
      <formula>"PMS"</formula>
    </cfRule>
    <cfRule type="containsText" dxfId="2870" priority="166" operator="containsText" text="CMS">
      <formula>NOT(ISERROR(SEARCH("CMS",G42)))</formula>
    </cfRule>
    <cfRule type="cellIs" dxfId="2869" priority="167" operator="equal">
      <formula>0</formula>
    </cfRule>
    <cfRule type="cellIs" dxfId="2868" priority="168" operator="greaterThan">
      <formula>0</formula>
    </cfRule>
  </conditionalFormatting>
  <conditionalFormatting sqref="G42:U42">
    <cfRule type="cellIs" dxfId="2867" priority="157" operator="equal">
      <formula>"PMS"</formula>
    </cfRule>
    <cfRule type="containsText" dxfId="2866" priority="158" operator="containsText" text="CMS">
      <formula>NOT(ISERROR(SEARCH("CMS",G42)))</formula>
    </cfRule>
    <cfRule type="cellIs" dxfId="2865" priority="159" operator="equal">
      <formula>0</formula>
    </cfRule>
    <cfRule type="cellIs" dxfId="2864" priority="160" operator="greaterThan">
      <formula>0</formula>
    </cfRule>
  </conditionalFormatting>
  <conditionalFormatting sqref="G33">
    <cfRule type="cellIs" dxfId="2863" priority="149" operator="equal">
      <formula>"PMS"</formula>
    </cfRule>
    <cfRule type="containsText" dxfId="2862" priority="150" operator="containsText" text="CMS">
      <formula>NOT(ISERROR(SEARCH("CMS",G33)))</formula>
    </cfRule>
    <cfRule type="cellIs" dxfId="2861" priority="151" operator="equal">
      <formula>0</formula>
    </cfRule>
    <cfRule type="cellIs" dxfId="2860" priority="152" operator="greaterThan">
      <formula>0</formula>
    </cfRule>
    <cfRule type="cellIs" dxfId="2859" priority="153" operator="equal">
      <formula>"PMS"</formula>
    </cfRule>
    <cfRule type="containsText" dxfId="2858" priority="154" operator="containsText" text="CMS">
      <formula>NOT(ISERROR(SEARCH("CMS",G33)))</formula>
    </cfRule>
    <cfRule type="cellIs" dxfId="2857" priority="155" operator="equal">
      <formula>0</formula>
    </cfRule>
    <cfRule type="cellIs" dxfId="2856" priority="156" operator="greaterThan">
      <formula>0</formula>
    </cfRule>
  </conditionalFormatting>
  <conditionalFormatting sqref="G33">
    <cfRule type="cellIs" dxfId="2855" priority="145" operator="equal">
      <formula>"PMS"</formula>
    </cfRule>
    <cfRule type="containsText" dxfId="2854" priority="146" operator="containsText" text="CMS">
      <formula>NOT(ISERROR(SEARCH("CMS",G33)))</formula>
    </cfRule>
    <cfRule type="cellIs" dxfId="2853" priority="147" operator="equal">
      <formula>0</formula>
    </cfRule>
    <cfRule type="cellIs" dxfId="2852" priority="148" operator="greaterThan">
      <formula>0</formula>
    </cfRule>
  </conditionalFormatting>
  <conditionalFormatting sqref="F24:G24">
    <cfRule type="cellIs" dxfId="2851" priority="113" operator="equal">
      <formula>"PMS"</formula>
    </cfRule>
    <cfRule type="containsText" dxfId="2850" priority="114" operator="containsText" text="CMS">
      <formula>NOT(ISERROR(SEARCH("CMS",F24)))</formula>
    </cfRule>
    <cfRule type="cellIs" dxfId="2849" priority="115" operator="equal">
      <formula>0</formula>
    </cfRule>
    <cfRule type="cellIs" dxfId="2848" priority="116" operator="greaterThan">
      <formula>0</formula>
    </cfRule>
    <cfRule type="cellIs" dxfId="2847" priority="117" operator="equal">
      <formula>"PMS"</formula>
    </cfRule>
    <cfRule type="containsText" dxfId="2846" priority="118" operator="containsText" text="CMS">
      <formula>NOT(ISERROR(SEARCH("CMS",F24)))</formula>
    </cfRule>
    <cfRule type="cellIs" dxfId="2845" priority="119" operator="equal">
      <formula>0</formula>
    </cfRule>
    <cfRule type="cellIs" dxfId="2844" priority="120" operator="greaterThan">
      <formula>0</formula>
    </cfRule>
  </conditionalFormatting>
  <conditionalFormatting sqref="F24:G24">
    <cfRule type="cellIs" dxfId="2843" priority="109" operator="equal">
      <formula>"PMS"</formula>
    </cfRule>
    <cfRule type="containsText" dxfId="2842" priority="110" operator="containsText" text="CMS">
      <formula>NOT(ISERROR(SEARCH("CMS",F24)))</formula>
    </cfRule>
    <cfRule type="cellIs" dxfId="2841" priority="111" operator="equal">
      <formula>0</formula>
    </cfRule>
    <cfRule type="cellIs" dxfId="2840" priority="112" operator="greaterThan">
      <formula>0</formula>
    </cfRule>
  </conditionalFormatting>
  <conditionalFormatting sqref="F27:F30">
    <cfRule type="cellIs" dxfId="2839" priority="101" operator="equal">
      <formula>"PMS"</formula>
    </cfRule>
    <cfRule type="containsText" dxfId="2838" priority="102" operator="containsText" text="CMS">
      <formula>NOT(ISERROR(SEARCH("CMS",F27)))</formula>
    </cfRule>
    <cfRule type="cellIs" dxfId="2837" priority="103" operator="equal">
      <formula>0</formula>
    </cfRule>
    <cfRule type="cellIs" dxfId="2836" priority="104" operator="greaterThan">
      <formula>0</formula>
    </cfRule>
    <cfRule type="cellIs" dxfId="2835" priority="105" operator="equal">
      <formula>"PMS"</formula>
    </cfRule>
    <cfRule type="containsText" dxfId="2834" priority="106" operator="containsText" text="CMS">
      <formula>NOT(ISERROR(SEARCH("CMS",F27)))</formula>
    </cfRule>
    <cfRule type="cellIs" dxfId="2833" priority="107" operator="equal">
      <formula>0</formula>
    </cfRule>
    <cfRule type="cellIs" dxfId="2832" priority="108" operator="greaterThan">
      <formula>0</formula>
    </cfRule>
  </conditionalFormatting>
  <conditionalFormatting sqref="F27:F30">
    <cfRule type="cellIs" dxfId="2831" priority="97" operator="equal">
      <formula>"PMS"</formula>
    </cfRule>
    <cfRule type="containsText" dxfId="2830" priority="98" operator="containsText" text="CMS">
      <formula>NOT(ISERROR(SEARCH("CMS",F27)))</formula>
    </cfRule>
    <cfRule type="cellIs" dxfId="2829" priority="99" operator="equal">
      <formula>0</formula>
    </cfRule>
    <cfRule type="cellIs" dxfId="2828" priority="100" operator="greaterThan">
      <formula>0</formula>
    </cfRule>
  </conditionalFormatting>
  <conditionalFormatting sqref="F33">
    <cfRule type="cellIs" dxfId="2827" priority="89" operator="equal">
      <formula>"PMS"</formula>
    </cfRule>
    <cfRule type="containsText" dxfId="2826" priority="90" operator="containsText" text="CMS">
      <formula>NOT(ISERROR(SEARCH("CMS",F33)))</formula>
    </cfRule>
    <cfRule type="cellIs" dxfId="2825" priority="91" operator="equal">
      <formula>0</formula>
    </cfRule>
    <cfRule type="cellIs" dxfId="2824" priority="92" operator="greaterThan">
      <formula>0</formula>
    </cfRule>
    <cfRule type="cellIs" dxfId="2823" priority="93" operator="equal">
      <formula>"PMS"</formula>
    </cfRule>
    <cfRule type="containsText" dxfId="2822" priority="94" operator="containsText" text="CMS">
      <formula>NOT(ISERROR(SEARCH("CMS",F33)))</formula>
    </cfRule>
    <cfRule type="cellIs" dxfId="2821" priority="95" operator="equal">
      <formula>0</formula>
    </cfRule>
    <cfRule type="cellIs" dxfId="2820" priority="96" operator="greaterThan">
      <formula>0</formula>
    </cfRule>
  </conditionalFormatting>
  <conditionalFormatting sqref="F33">
    <cfRule type="cellIs" dxfId="2819" priority="85" operator="equal">
      <formula>"PMS"</formula>
    </cfRule>
    <cfRule type="containsText" dxfId="2818" priority="86" operator="containsText" text="CMS">
      <formula>NOT(ISERROR(SEARCH("CMS",F33)))</formula>
    </cfRule>
    <cfRule type="cellIs" dxfId="2817" priority="87" operator="equal">
      <formula>0</formula>
    </cfRule>
    <cfRule type="cellIs" dxfId="2816" priority="88" operator="greaterThan">
      <formula>0</formula>
    </cfRule>
  </conditionalFormatting>
  <conditionalFormatting sqref="F36:F59">
    <cfRule type="cellIs" dxfId="2815" priority="77" operator="equal">
      <formula>"PMS"</formula>
    </cfRule>
    <cfRule type="containsText" dxfId="2814" priority="78" operator="containsText" text="CMS">
      <formula>NOT(ISERROR(SEARCH("CMS",F36)))</formula>
    </cfRule>
    <cfRule type="cellIs" dxfId="2813" priority="79" operator="equal">
      <formula>0</formula>
    </cfRule>
    <cfRule type="cellIs" dxfId="2812" priority="80" operator="greaterThan">
      <formula>0</formula>
    </cfRule>
    <cfRule type="cellIs" dxfId="2811" priority="81" operator="equal">
      <formula>"PMS"</formula>
    </cfRule>
    <cfRule type="containsText" dxfId="2810" priority="82" operator="containsText" text="CMS">
      <formula>NOT(ISERROR(SEARCH("CMS",F36)))</formula>
    </cfRule>
    <cfRule type="cellIs" dxfId="2809" priority="83" operator="equal">
      <formula>0</formula>
    </cfRule>
    <cfRule type="cellIs" dxfId="2808" priority="84" operator="greaterThan">
      <formula>0</formula>
    </cfRule>
  </conditionalFormatting>
  <conditionalFormatting sqref="F36:F59">
    <cfRule type="cellIs" dxfId="2807" priority="73" operator="equal">
      <formula>"PMS"</formula>
    </cfRule>
    <cfRule type="containsText" dxfId="2806" priority="74" operator="containsText" text="CMS">
      <formula>NOT(ISERROR(SEARCH("CMS",F36)))</formula>
    </cfRule>
    <cfRule type="cellIs" dxfId="2805" priority="75" operator="equal">
      <formula>0</formula>
    </cfRule>
    <cfRule type="cellIs" dxfId="2804" priority="76" operator="greaterThan">
      <formula>0</formula>
    </cfRule>
  </conditionalFormatting>
  <conditionalFormatting sqref="F78:F79">
    <cfRule type="cellIs" dxfId="2803" priority="53" operator="equal">
      <formula>"PMS"</formula>
    </cfRule>
    <cfRule type="containsText" dxfId="2802" priority="54" operator="containsText" text="CMS">
      <formula>NOT(ISERROR(SEARCH("CMS",F78)))</formula>
    </cfRule>
    <cfRule type="cellIs" dxfId="2801" priority="55" operator="equal">
      <formula>0</formula>
    </cfRule>
    <cfRule type="cellIs" dxfId="2800" priority="56" operator="greaterThan">
      <formula>0</formula>
    </cfRule>
    <cfRule type="cellIs" dxfId="2799" priority="57" operator="equal">
      <formula>"PMS"</formula>
    </cfRule>
    <cfRule type="containsText" dxfId="2798" priority="58" operator="containsText" text="CMS">
      <formula>NOT(ISERROR(SEARCH("CMS",F78)))</formula>
    </cfRule>
    <cfRule type="cellIs" dxfId="2797" priority="59" operator="equal">
      <formula>0</formula>
    </cfRule>
    <cfRule type="cellIs" dxfId="2796" priority="60" operator="greaterThan">
      <formula>0</formula>
    </cfRule>
  </conditionalFormatting>
  <conditionalFormatting sqref="F78:F79">
    <cfRule type="cellIs" dxfId="2795" priority="49" operator="equal">
      <formula>"PMS"</formula>
    </cfRule>
    <cfRule type="containsText" dxfId="2794" priority="50" operator="containsText" text="CMS">
      <formula>NOT(ISERROR(SEARCH("CMS",F78)))</formula>
    </cfRule>
    <cfRule type="cellIs" dxfId="2793" priority="51" operator="equal">
      <formula>0</formula>
    </cfRule>
    <cfRule type="cellIs" dxfId="2792" priority="52" operator="greaterThan">
      <formula>0</formula>
    </cfRule>
  </conditionalFormatting>
  <conditionalFormatting sqref="F13:F16">
    <cfRule type="cellIs" dxfId="2791" priority="41" operator="equal">
      <formula>"PMS"</formula>
    </cfRule>
    <cfRule type="containsText" dxfId="2790" priority="42" operator="containsText" text="CMS">
      <formula>NOT(ISERROR(SEARCH("CMS",F13)))</formula>
    </cfRule>
    <cfRule type="cellIs" dxfId="2789" priority="43" operator="equal">
      <formula>0</formula>
    </cfRule>
    <cfRule type="cellIs" dxfId="2788" priority="44" operator="greaterThan">
      <formula>0</formula>
    </cfRule>
    <cfRule type="cellIs" dxfId="2787" priority="45" operator="equal">
      <formula>"PMS"</formula>
    </cfRule>
    <cfRule type="containsText" dxfId="2786" priority="46" operator="containsText" text="CMS">
      <formula>NOT(ISERROR(SEARCH("CMS",F13)))</formula>
    </cfRule>
    <cfRule type="cellIs" dxfId="2785" priority="47" operator="equal">
      <formula>0</formula>
    </cfRule>
    <cfRule type="cellIs" dxfId="2784" priority="48" operator="greaterThan">
      <formula>0</formula>
    </cfRule>
  </conditionalFormatting>
  <conditionalFormatting sqref="F13:F16">
    <cfRule type="cellIs" dxfId="2783" priority="37" operator="equal">
      <formula>"PMS"</formula>
    </cfRule>
    <cfRule type="containsText" dxfId="2782" priority="38" operator="containsText" text="CMS">
      <formula>NOT(ISERROR(SEARCH("CMS",F13)))</formula>
    </cfRule>
    <cfRule type="cellIs" dxfId="2781" priority="39" operator="equal">
      <formula>0</formula>
    </cfRule>
    <cfRule type="cellIs" dxfId="2780" priority="40" operator="greaterThan">
      <formula>0</formula>
    </cfRule>
  </conditionalFormatting>
  <conditionalFormatting sqref="F19:F21">
    <cfRule type="cellIs" dxfId="2779" priority="29" operator="equal">
      <formula>"PMS"</formula>
    </cfRule>
    <cfRule type="containsText" dxfId="2778" priority="30" operator="containsText" text="CMS">
      <formula>NOT(ISERROR(SEARCH("CMS",F19)))</formula>
    </cfRule>
    <cfRule type="cellIs" dxfId="2777" priority="31" operator="equal">
      <formula>0</formula>
    </cfRule>
    <cfRule type="cellIs" dxfId="2776" priority="32" operator="greaterThan">
      <formula>0</formula>
    </cfRule>
    <cfRule type="cellIs" dxfId="2775" priority="33" operator="equal">
      <formula>"PMS"</formula>
    </cfRule>
    <cfRule type="containsText" dxfId="2774" priority="34" operator="containsText" text="CMS">
      <formula>NOT(ISERROR(SEARCH("CMS",F19)))</formula>
    </cfRule>
    <cfRule type="cellIs" dxfId="2773" priority="35" operator="equal">
      <formula>0</formula>
    </cfRule>
    <cfRule type="cellIs" dxfId="2772" priority="36" operator="greaterThan">
      <formula>0</formula>
    </cfRule>
  </conditionalFormatting>
  <conditionalFormatting sqref="F19:F21">
    <cfRule type="cellIs" dxfId="2771" priority="25" operator="equal">
      <formula>"PMS"</formula>
    </cfRule>
    <cfRule type="containsText" dxfId="2770" priority="26" operator="containsText" text="CMS">
      <formula>NOT(ISERROR(SEARCH("CMS",F19)))</formula>
    </cfRule>
    <cfRule type="cellIs" dxfId="2769" priority="27" operator="equal">
      <formula>0</formula>
    </cfRule>
    <cfRule type="cellIs" dxfId="2768" priority="28" operator="greaterThan">
      <formula>0</formula>
    </cfRule>
  </conditionalFormatting>
  <conditionalFormatting sqref="F62:F64">
    <cfRule type="cellIs" dxfId="2767" priority="17" operator="equal">
      <formula>"PMS"</formula>
    </cfRule>
    <cfRule type="containsText" dxfId="2766" priority="18" operator="containsText" text="CMS">
      <formula>NOT(ISERROR(SEARCH("CMS",F62)))</formula>
    </cfRule>
    <cfRule type="cellIs" dxfId="2765" priority="19" operator="equal">
      <formula>0</formula>
    </cfRule>
    <cfRule type="cellIs" dxfId="2764" priority="20" operator="greaterThan">
      <formula>0</formula>
    </cfRule>
    <cfRule type="cellIs" dxfId="2763" priority="21" operator="equal">
      <formula>"PMS"</formula>
    </cfRule>
    <cfRule type="containsText" dxfId="2762" priority="22" operator="containsText" text="CMS">
      <formula>NOT(ISERROR(SEARCH("CMS",F62)))</formula>
    </cfRule>
    <cfRule type="cellIs" dxfId="2761" priority="23" operator="equal">
      <formula>0</formula>
    </cfRule>
    <cfRule type="cellIs" dxfId="2760" priority="24" operator="greaterThan">
      <formula>0</formula>
    </cfRule>
  </conditionalFormatting>
  <conditionalFormatting sqref="F62:F64">
    <cfRule type="cellIs" dxfId="2759" priority="13" operator="equal">
      <formula>"PMS"</formula>
    </cfRule>
    <cfRule type="containsText" dxfId="2758" priority="14" operator="containsText" text="CMS">
      <formula>NOT(ISERROR(SEARCH("CMS",F62)))</formula>
    </cfRule>
    <cfRule type="cellIs" dxfId="2757" priority="15" operator="equal">
      <formula>0</formula>
    </cfRule>
    <cfRule type="cellIs" dxfId="2756" priority="16" operator="greaterThan">
      <formula>0</formula>
    </cfRule>
  </conditionalFormatting>
  <conditionalFormatting sqref="AB27">
    <cfRule type="cellIs" dxfId="2755" priority="5" operator="equal">
      <formula>"PMS"</formula>
    </cfRule>
    <cfRule type="containsText" dxfId="2754" priority="6" operator="containsText" text="CMS">
      <formula>NOT(ISERROR(SEARCH("CMS",AB27)))</formula>
    </cfRule>
    <cfRule type="cellIs" dxfId="2753" priority="7" operator="equal">
      <formula>0</formula>
    </cfRule>
    <cfRule type="cellIs" dxfId="2752" priority="8" operator="greaterThan">
      <formula>0</formula>
    </cfRule>
    <cfRule type="cellIs" dxfId="2751" priority="9" operator="equal">
      <formula>"PMS"</formula>
    </cfRule>
    <cfRule type="containsText" dxfId="2750" priority="10" operator="containsText" text="CMS">
      <formula>NOT(ISERROR(SEARCH("CMS",AB27)))</formula>
    </cfRule>
    <cfRule type="cellIs" dxfId="2749" priority="11" operator="equal">
      <formula>0</formula>
    </cfRule>
    <cfRule type="cellIs" dxfId="2748" priority="12" operator="greaterThan">
      <formula>0</formula>
    </cfRule>
  </conditionalFormatting>
  <conditionalFormatting sqref="AB27">
    <cfRule type="cellIs" dxfId="2747" priority="1" operator="equal">
      <formula>"PMS"</formula>
    </cfRule>
    <cfRule type="containsText" dxfId="2746" priority="2" operator="containsText" text="CMS">
      <formula>NOT(ISERROR(SEARCH("CMS",AB27)))</formula>
    </cfRule>
    <cfRule type="cellIs" dxfId="2745" priority="3" operator="equal">
      <formula>0</formula>
    </cfRule>
    <cfRule type="cellIs" dxfId="2744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1244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761E5-3DF3-454A-887D-F09B9F37EA3B}">
  <sheetPr codeName="Sheet180"/>
  <dimension ref="A2:DT141"/>
  <sheetViews>
    <sheetView zoomScale="70" zoomScaleNormal="70" zoomScaleSheetLayoutView="51" zoomScalePageLayoutView="55" workbookViewId="0">
      <pane xSplit="5" ySplit="11" topLeftCell="O21" activePane="bottomRight" state="frozen"/>
      <selection pane="bottomRight" activeCell="AB24" sqref="AB24"/>
      <selection pane="bottomLeft" activeCell="AJ44" sqref="AJ44"/>
      <selection pane="topRight" activeCell="AJ44" sqref="AJ4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23"/>
      <c r="N8" s="523"/>
      <c r="O8" s="52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24" t="e" cm="1">
        <f t="array" aca="1" ref="M9" ca="1">TEXT(TODAY(),"mmmm")&amp;" "&amp;MID(CELL("filename",A1),FIND("]",CELL("filename",A1))+1,255)&amp;", "&amp;TEXT(TODAY(),"yyyy")</f>
        <v>#VALUE!</v>
      </c>
      <c r="N9" s="524"/>
      <c r="O9" s="524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4"/>
      <c r="R10" s="344"/>
      <c r="S10" s="344"/>
      <c r="T10" s="344"/>
      <c r="U10" s="344"/>
      <c r="V10" s="344"/>
      <c r="W10" s="344"/>
      <c r="X10" s="344"/>
      <c r="Y10" s="344"/>
      <c r="Z10" s="344"/>
      <c r="AA10" s="344"/>
      <c r="AB10" s="344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17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568.90000000000032</v>
      </c>
    </row>
    <row r="13" spans="1:41">
      <c r="A13" s="14" t="s">
        <v>22</v>
      </c>
      <c r="B13" s="15"/>
      <c r="C13" s="15">
        <v>7.2</v>
      </c>
      <c r="D13" s="15"/>
      <c r="E13" s="15"/>
      <c r="F13" s="372"/>
      <c r="G13" s="372"/>
      <c r="H13" s="372"/>
      <c r="I13" s="372">
        <v>6.4</v>
      </c>
      <c r="J13" s="372">
        <v>6.3</v>
      </c>
      <c r="K13" s="374">
        <v>6.5</v>
      </c>
      <c r="L13" s="374">
        <v>6.6</v>
      </c>
      <c r="M13" s="374">
        <v>6.3</v>
      </c>
      <c r="N13" s="372">
        <v>6.9</v>
      </c>
      <c r="O13" s="372">
        <v>6.9</v>
      </c>
      <c r="P13" s="372">
        <v>7</v>
      </c>
      <c r="Q13" s="372">
        <v>6.6</v>
      </c>
      <c r="R13" s="372">
        <v>6.6</v>
      </c>
      <c r="S13" s="372">
        <v>6.7</v>
      </c>
      <c r="T13" s="372">
        <v>7</v>
      </c>
      <c r="U13" s="372">
        <v>6.6</v>
      </c>
      <c r="V13" s="372">
        <v>6.6</v>
      </c>
      <c r="W13" s="372">
        <v>6.6</v>
      </c>
      <c r="X13" s="374">
        <v>6.7</v>
      </c>
      <c r="Y13" s="374">
        <v>6.7</v>
      </c>
      <c r="Z13" s="372">
        <v>6.5</v>
      </c>
      <c r="AA13" s="372">
        <v>6.7</v>
      </c>
      <c r="AB13" s="372">
        <v>6.4</v>
      </c>
      <c r="AC13" s="372">
        <v>6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21</v>
      </c>
    </row>
    <row r="14" spans="1:41">
      <c r="A14" s="14" t="s">
        <v>23</v>
      </c>
      <c r="B14" s="15"/>
      <c r="C14" s="15">
        <v>7.2</v>
      </c>
      <c r="D14" s="15"/>
      <c r="E14" s="15"/>
      <c r="F14" s="372">
        <v>6.6</v>
      </c>
      <c r="G14" s="372">
        <v>6.6</v>
      </c>
      <c r="H14" s="372">
        <v>6.6</v>
      </c>
      <c r="I14" s="372">
        <v>6.4</v>
      </c>
      <c r="J14" s="372">
        <v>6.3</v>
      </c>
      <c r="K14" s="374">
        <v>6.5</v>
      </c>
      <c r="L14" s="374">
        <v>6.6</v>
      </c>
      <c r="M14" s="374">
        <v>6.3</v>
      </c>
      <c r="N14" s="372">
        <v>6.9</v>
      </c>
      <c r="O14" s="372">
        <v>6.9</v>
      </c>
      <c r="P14" s="372">
        <v>6.9</v>
      </c>
      <c r="Q14" s="372">
        <v>6.6</v>
      </c>
      <c r="R14" s="372">
        <v>6.6</v>
      </c>
      <c r="S14" s="372">
        <v>6.7</v>
      </c>
      <c r="T14" s="372">
        <v>6.9</v>
      </c>
      <c r="U14" s="372">
        <v>6.6</v>
      </c>
      <c r="V14" s="372">
        <v>6.6</v>
      </c>
      <c r="W14" s="372">
        <v>6.6</v>
      </c>
      <c r="X14" s="374">
        <v>6.7</v>
      </c>
      <c r="Y14" s="374">
        <v>6.7</v>
      </c>
      <c r="Z14" s="372">
        <v>6.5</v>
      </c>
      <c r="AA14" s="372">
        <v>6.7</v>
      </c>
      <c r="AB14" s="372">
        <v>6.4</v>
      </c>
      <c r="AC14" s="372">
        <v>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372">
        <v>6.6</v>
      </c>
      <c r="G15" s="372">
        <v>6.6</v>
      </c>
      <c r="H15" s="372">
        <v>6.6</v>
      </c>
      <c r="I15" s="372"/>
      <c r="J15" s="372"/>
      <c r="K15" s="374"/>
      <c r="L15" s="374"/>
      <c r="M15" s="374"/>
      <c r="N15" s="372"/>
      <c r="O15" s="372">
        <v>6.9</v>
      </c>
      <c r="P15" s="372">
        <v>7</v>
      </c>
      <c r="Q15" s="372">
        <v>6.6</v>
      </c>
      <c r="R15" s="372">
        <v>6.6</v>
      </c>
      <c r="S15" s="372">
        <v>6.7</v>
      </c>
      <c r="T15" s="372">
        <v>7</v>
      </c>
      <c r="U15" s="372">
        <v>6.6</v>
      </c>
      <c r="V15" s="372">
        <v>6.6</v>
      </c>
      <c r="W15" s="372">
        <v>6.6</v>
      </c>
      <c r="X15" s="374">
        <v>6.7</v>
      </c>
      <c r="Y15" s="374">
        <v>6.7</v>
      </c>
      <c r="Z15" s="372">
        <v>6.5</v>
      </c>
      <c r="AA15" s="372">
        <v>6.7</v>
      </c>
      <c r="AB15" s="372">
        <v>6.4</v>
      </c>
      <c r="AC15" s="372">
        <v>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18</v>
      </c>
    </row>
    <row r="16" spans="1:41">
      <c r="A16" s="14" t="s">
        <v>25</v>
      </c>
      <c r="B16" s="15"/>
      <c r="C16" s="15">
        <v>7.2</v>
      </c>
      <c r="D16" s="15"/>
      <c r="E16" s="15"/>
      <c r="F16" s="372">
        <v>6.6</v>
      </c>
      <c r="G16" s="372">
        <v>6.6</v>
      </c>
      <c r="H16" s="372">
        <v>6.6</v>
      </c>
      <c r="I16" s="372">
        <v>6.4</v>
      </c>
      <c r="J16" s="372">
        <v>6.3</v>
      </c>
      <c r="K16" s="374">
        <v>6.5</v>
      </c>
      <c r="L16" s="374">
        <v>6.6</v>
      </c>
      <c r="M16" s="374">
        <v>6.3</v>
      </c>
      <c r="N16" s="372">
        <v>6.9</v>
      </c>
      <c r="O16" s="372">
        <v>6.9</v>
      </c>
      <c r="P16" s="372">
        <v>6.9</v>
      </c>
      <c r="Q16" s="372">
        <v>6.6</v>
      </c>
      <c r="R16" s="372">
        <v>6.6</v>
      </c>
      <c r="S16" s="372">
        <v>6.7</v>
      </c>
      <c r="T16" s="372">
        <v>6.9</v>
      </c>
      <c r="U16" s="372">
        <v>6.6</v>
      </c>
      <c r="V16" s="372">
        <v>6.6</v>
      </c>
      <c r="W16" s="372">
        <v>6.6</v>
      </c>
      <c r="X16" s="374">
        <v>6.7</v>
      </c>
      <c r="Y16" s="374">
        <v>6.7</v>
      </c>
      <c r="Z16" s="372">
        <v>6.5</v>
      </c>
      <c r="AA16" s="372">
        <v>6.7</v>
      </c>
      <c r="AB16" s="372">
        <v>6.9</v>
      </c>
      <c r="AC16" s="372"/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23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19.799999999999997</v>
      </c>
      <c r="G17" s="19">
        <f t="shared" ref="G17:AC17" si="1">SUM(G13:G16)</f>
        <v>19.799999999999997</v>
      </c>
      <c r="H17" s="19">
        <f>SUM(H13:H16)</f>
        <v>19.799999999999997</v>
      </c>
      <c r="I17" s="19">
        <f t="shared" si="1"/>
        <v>19.200000000000003</v>
      </c>
      <c r="J17" s="19">
        <f t="shared" si="1"/>
        <v>18.899999999999999</v>
      </c>
      <c r="K17" s="19">
        <f t="shared" si="1"/>
        <v>19.5</v>
      </c>
      <c r="L17" s="19">
        <f t="shared" si="1"/>
        <v>19.799999999999997</v>
      </c>
      <c r="M17" s="19">
        <f t="shared" si="1"/>
        <v>18.899999999999999</v>
      </c>
      <c r="N17" s="19">
        <f t="shared" si="1"/>
        <v>20.700000000000003</v>
      </c>
      <c r="O17" s="19">
        <f t="shared" si="1"/>
        <v>27.6</v>
      </c>
      <c r="P17" s="19">
        <f t="shared" si="1"/>
        <v>27.799999999999997</v>
      </c>
      <c r="Q17" s="19">
        <f t="shared" si="1"/>
        <v>26.4</v>
      </c>
      <c r="R17" s="19">
        <f t="shared" si="1"/>
        <v>26.4</v>
      </c>
      <c r="S17" s="19">
        <f t="shared" si="1"/>
        <v>26.8</v>
      </c>
      <c r="T17" s="19">
        <f t="shared" si="1"/>
        <v>27.799999999999997</v>
      </c>
      <c r="U17" s="19">
        <f t="shared" si="1"/>
        <v>26.4</v>
      </c>
      <c r="V17" s="19">
        <f t="shared" si="1"/>
        <v>26.4</v>
      </c>
      <c r="W17" s="19">
        <f t="shared" si="1"/>
        <v>26.4</v>
      </c>
      <c r="X17" s="19">
        <f t="shared" si="1"/>
        <v>26.8</v>
      </c>
      <c r="Y17" s="19">
        <f t="shared" si="1"/>
        <v>26.8</v>
      </c>
      <c r="Z17" s="19">
        <f t="shared" si="1"/>
        <v>26</v>
      </c>
      <c r="AA17" s="19">
        <f t="shared" si="1"/>
        <v>26.8</v>
      </c>
      <c r="AB17" s="19">
        <f t="shared" si="1"/>
        <v>26.1</v>
      </c>
      <c r="AC17" s="19">
        <f t="shared" si="1"/>
        <v>18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87.899999999999977</v>
      </c>
    </row>
    <row r="19" spans="1:51">
      <c r="A19" s="14" t="s">
        <v>22</v>
      </c>
      <c r="B19" s="15"/>
      <c r="C19" s="15">
        <v>3</v>
      </c>
      <c r="D19" s="15"/>
      <c r="E19" s="15"/>
      <c r="F19" s="372">
        <v>2</v>
      </c>
      <c r="G19" s="372">
        <v>2.2000000000000002</v>
      </c>
      <c r="H19" s="372" t="s">
        <v>9</v>
      </c>
      <c r="I19" s="372" t="s">
        <v>9</v>
      </c>
      <c r="J19" s="372" t="s">
        <v>9</v>
      </c>
      <c r="K19" s="374" t="s">
        <v>9</v>
      </c>
      <c r="L19" s="374" t="s">
        <v>9</v>
      </c>
      <c r="M19" s="374" t="s">
        <v>9</v>
      </c>
      <c r="N19" s="372" t="s">
        <v>9</v>
      </c>
      <c r="O19" s="372">
        <v>2.9</v>
      </c>
      <c r="P19" s="372">
        <v>2.9</v>
      </c>
      <c r="Q19" s="372">
        <v>2.8</v>
      </c>
      <c r="R19" s="372">
        <v>2.8</v>
      </c>
      <c r="S19" s="372">
        <v>2.8</v>
      </c>
      <c r="T19" s="372">
        <v>2.9</v>
      </c>
      <c r="U19" s="372">
        <v>2.8</v>
      </c>
      <c r="V19" s="372">
        <v>2.8</v>
      </c>
      <c r="W19" s="372">
        <v>2.8</v>
      </c>
      <c r="X19" s="372">
        <v>2.8</v>
      </c>
      <c r="Y19" s="372">
        <v>2.8</v>
      </c>
      <c r="Z19" s="372">
        <v>2.8</v>
      </c>
      <c r="AA19" s="372">
        <v>2.8</v>
      </c>
      <c r="AB19" s="372">
        <v>2.5</v>
      </c>
      <c r="AC19" s="372">
        <v>2.8</v>
      </c>
      <c r="AD19" s="41"/>
      <c r="AE19" s="41"/>
      <c r="AF19" s="11">
        <f>COUNTIF(F19:AC19,$AJ$8)</f>
        <v>7</v>
      </c>
      <c r="AG19" s="11">
        <f>COUNTIF(G19:AD19,$AJ$7)</f>
        <v>0</v>
      </c>
      <c r="AH19" s="11">
        <f>COUNT(F19:AC19)</f>
        <v>17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372"/>
      <c r="G20" s="372"/>
      <c r="H20" s="372"/>
      <c r="I20" s="372"/>
      <c r="J20" s="372"/>
      <c r="K20" s="374"/>
      <c r="L20" s="374"/>
      <c r="M20" s="374"/>
      <c r="N20" s="372"/>
      <c r="O20" s="372"/>
      <c r="P20" s="372"/>
      <c r="Q20" s="372"/>
      <c r="R20" s="372"/>
      <c r="S20" s="372"/>
      <c r="T20" s="372"/>
      <c r="U20" s="372"/>
      <c r="V20" s="372"/>
      <c r="W20" s="372"/>
      <c r="X20" s="372"/>
      <c r="Y20" s="372"/>
      <c r="Z20" s="372"/>
      <c r="AA20" s="372"/>
      <c r="AB20" s="372"/>
      <c r="AC20" s="372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2">
        <v>3</v>
      </c>
      <c r="G21" s="372" t="s">
        <v>9</v>
      </c>
      <c r="H21" s="372" t="s">
        <v>9</v>
      </c>
      <c r="I21" s="372" t="s">
        <v>9</v>
      </c>
      <c r="J21" s="372" t="s">
        <v>9</v>
      </c>
      <c r="K21" s="374" t="s">
        <v>9</v>
      </c>
      <c r="L21" s="374"/>
      <c r="M21" s="374"/>
      <c r="N21" s="372"/>
      <c r="O21" s="372" t="s">
        <v>9</v>
      </c>
      <c r="P21" s="372" t="s">
        <v>9</v>
      </c>
      <c r="Q21" s="372" t="s">
        <v>9</v>
      </c>
      <c r="R21" s="372" t="s">
        <v>9</v>
      </c>
      <c r="S21" s="372">
        <v>3</v>
      </c>
      <c r="T21" s="372">
        <v>3.9</v>
      </c>
      <c r="U21" s="372">
        <v>3.8</v>
      </c>
      <c r="V21" s="372">
        <v>3.8</v>
      </c>
      <c r="W21" s="372">
        <v>3.8</v>
      </c>
      <c r="X21" s="372">
        <v>3.8</v>
      </c>
      <c r="Y21" s="372">
        <v>3.8</v>
      </c>
      <c r="Z21" s="372">
        <v>3.8</v>
      </c>
      <c r="AA21" s="372">
        <v>3</v>
      </c>
      <c r="AB21" s="372">
        <v>3</v>
      </c>
      <c r="AC21" s="372">
        <v>3</v>
      </c>
      <c r="AD21" s="41"/>
      <c r="AE21" s="41"/>
      <c r="AF21" s="11">
        <f>COUNTIF(F21:AC21,$AJ$8)</f>
        <v>9</v>
      </c>
      <c r="AG21" s="11">
        <f>COUNTIF(G21:AD21,$AJ$7)</f>
        <v>0</v>
      </c>
      <c r="AH21" s="11">
        <f>COUNT(F21:AC21)</f>
        <v>12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5</v>
      </c>
      <c r="G22" s="19">
        <f>SUM(G19:G21)</f>
        <v>2.2000000000000002</v>
      </c>
      <c r="H22" s="19">
        <f t="shared" ref="H22:AC22" si="3">SUM(H19:H21)</f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2.9</v>
      </c>
      <c r="P22" s="19">
        <f t="shared" si="3"/>
        <v>2.9</v>
      </c>
      <c r="Q22" s="19">
        <f t="shared" si="3"/>
        <v>2.8</v>
      </c>
      <c r="R22" s="19">
        <f t="shared" si="3"/>
        <v>2.8</v>
      </c>
      <c r="S22" s="19">
        <f>SUM(S19:S21)</f>
        <v>5.8</v>
      </c>
      <c r="T22" s="19">
        <f t="shared" ref="T22" si="4">SUM(T19:T21)</f>
        <v>6.8</v>
      </c>
      <c r="U22" s="19">
        <f t="shared" si="3"/>
        <v>6.6</v>
      </c>
      <c r="V22" s="19">
        <f t="shared" si="3"/>
        <v>6.6</v>
      </c>
      <c r="W22" s="19">
        <f t="shared" si="3"/>
        <v>6.6</v>
      </c>
      <c r="X22" s="19">
        <f t="shared" si="3"/>
        <v>6.6</v>
      </c>
      <c r="Y22" s="19">
        <f t="shared" si="3"/>
        <v>6.6</v>
      </c>
      <c r="Z22" s="19">
        <f t="shared" si="3"/>
        <v>6.6</v>
      </c>
      <c r="AA22" s="19">
        <f t="shared" si="3"/>
        <v>5.8</v>
      </c>
      <c r="AB22" s="19">
        <f>SUM(AB19:AB21)</f>
        <v>5.5</v>
      </c>
      <c r="AC22" s="19">
        <f t="shared" si="3"/>
        <v>5.8</v>
      </c>
      <c r="AD22" s="41"/>
      <c r="AE22" s="41"/>
      <c r="AF22" s="11"/>
      <c r="AG22" s="11"/>
      <c r="AH22" s="11"/>
      <c r="AI22" s="400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409">
        <f>SUM(F24:AC24)</f>
        <v>76.399999999999977</v>
      </c>
    </row>
    <row r="24" spans="1:51">
      <c r="A24" s="14" t="s">
        <v>22</v>
      </c>
      <c r="B24" s="20"/>
      <c r="C24" s="15">
        <v>4.5</v>
      </c>
      <c r="D24" s="15"/>
      <c r="E24" s="15"/>
      <c r="F24" s="372">
        <v>3</v>
      </c>
      <c r="G24" s="372">
        <v>3</v>
      </c>
      <c r="H24" s="372">
        <v>3</v>
      </c>
      <c r="I24" s="372">
        <v>3</v>
      </c>
      <c r="J24" s="372">
        <v>3</v>
      </c>
      <c r="K24" s="374">
        <v>3</v>
      </c>
      <c r="L24" s="374">
        <v>3</v>
      </c>
      <c r="M24" s="374">
        <v>3</v>
      </c>
      <c r="N24" s="372">
        <v>3.8</v>
      </c>
      <c r="O24" s="372">
        <v>3.8</v>
      </c>
      <c r="P24" s="372">
        <v>3.8</v>
      </c>
      <c r="Q24" s="372">
        <v>3.8</v>
      </c>
      <c r="R24" s="372">
        <v>3.8</v>
      </c>
      <c r="S24" s="372">
        <v>3.8</v>
      </c>
      <c r="T24" s="372">
        <v>3.8</v>
      </c>
      <c r="U24" s="372">
        <v>3.8</v>
      </c>
      <c r="V24" s="372">
        <v>3.8</v>
      </c>
      <c r="W24" s="372">
        <v>3.8</v>
      </c>
      <c r="X24" s="372">
        <v>3.8</v>
      </c>
      <c r="Y24" s="372">
        <v>3.8</v>
      </c>
      <c r="Z24" s="372">
        <v>3.8</v>
      </c>
      <c r="AA24" s="372">
        <v>3</v>
      </c>
      <c r="AB24" s="372" t="s">
        <v>9</v>
      </c>
      <c r="AC24" s="372" t="s">
        <v>9</v>
      </c>
      <c r="AD24" s="41"/>
      <c r="AE24" s="41"/>
      <c r="AF24" s="11">
        <f>COUNTIF(F24:AC24,$AJ$8)</f>
        <v>2</v>
      </c>
      <c r="AG24" s="11">
        <f>COUNTIF(G24:AD24,$AJ$7)</f>
        <v>0</v>
      </c>
      <c r="AH24" s="11">
        <f>COUNT(F24:AC24)</f>
        <v>22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3</v>
      </c>
      <c r="G25" s="19">
        <f t="shared" ref="G25:AC25" si="6">SUM(G24)</f>
        <v>3</v>
      </c>
      <c r="H25" s="19">
        <f t="shared" si="6"/>
        <v>3</v>
      </c>
      <c r="I25" s="19">
        <f t="shared" si="6"/>
        <v>3</v>
      </c>
      <c r="J25" s="19">
        <f t="shared" si="6"/>
        <v>3</v>
      </c>
      <c r="K25" s="19">
        <f t="shared" si="6"/>
        <v>3</v>
      </c>
      <c r="L25" s="19">
        <f t="shared" si="6"/>
        <v>3</v>
      </c>
      <c r="M25" s="19">
        <f t="shared" si="6"/>
        <v>3</v>
      </c>
      <c r="N25" s="19">
        <f t="shared" si="6"/>
        <v>3.8</v>
      </c>
      <c r="O25" s="19">
        <f t="shared" si="6"/>
        <v>3.8</v>
      </c>
      <c r="P25" s="19">
        <f t="shared" si="6"/>
        <v>3.8</v>
      </c>
      <c r="Q25" s="19">
        <f t="shared" si="6"/>
        <v>3.8</v>
      </c>
      <c r="R25" s="19">
        <f t="shared" si="6"/>
        <v>3.8</v>
      </c>
      <c r="S25" s="19">
        <f t="shared" si="6"/>
        <v>3.8</v>
      </c>
      <c r="T25" s="19">
        <f t="shared" si="6"/>
        <v>3.8</v>
      </c>
      <c r="U25" s="19">
        <f t="shared" si="6"/>
        <v>3.8</v>
      </c>
      <c r="V25" s="19">
        <f t="shared" si="6"/>
        <v>3.8</v>
      </c>
      <c r="W25" s="19">
        <f t="shared" si="6"/>
        <v>3.8</v>
      </c>
      <c r="X25" s="19">
        <f t="shared" si="6"/>
        <v>3.8</v>
      </c>
      <c r="Y25" s="19">
        <f t="shared" si="6"/>
        <v>3.8</v>
      </c>
      <c r="Z25" s="19">
        <f t="shared" si="6"/>
        <v>3.8</v>
      </c>
      <c r="AA25" s="19">
        <f t="shared" si="6"/>
        <v>3</v>
      </c>
      <c r="AB25" s="19">
        <f t="shared" si="6"/>
        <v>0</v>
      </c>
      <c r="AC25" s="19">
        <f t="shared" si="6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142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2" t="s">
        <v>9</v>
      </c>
      <c r="G27" s="372" t="s">
        <v>9</v>
      </c>
      <c r="H27" s="372" t="s">
        <v>9</v>
      </c>
      <c r="I27" s="372" t="s">
        <v>9</v>
      </c>
      <c r="J27" s="372" t="s">
        <v>9</v>
      </c>
      <c r="K27" s="372" t="s">
        <v>9</v>
      </c>
      <c r="L27" s="374">
        <v>4</v>
      </c>
      <c r="M27" s="374">
        <v>3.9</v>
      </c>
      <c r="N27" s="372">
        <v>4.3</v>
      </c>
      <c r="O27" s="372">
        <v>4</v>
      </c>
      <c r="P27" s="372">
        <v>3.8</v>
      </c>
      <c r="Q27" s="372">
        <v>4.2</v>
      </c>
      <c r="R27" s="372">
        <v>4.5</v>
      </c>
      <c r="S27" s="372">
        <v>4.5</v>
      </c>
      <c r="T27" s="372">
        <v>4.5</v>
      </c>
      <c r="U27" s="372">
        <v>4</v>
      </c>
      <c r="V27" s="372">
        <v>4</v>
      </c>
      <c r="W27" s="372">
        <v>4</v>
      </c>
      <c r="X27" s="372">
        <v>3</v>
      </c>
      <c r="Y27" s="372">
        <v>4</v>
      </c>
      <c r="Z27" s="374">
        <v>4</v>
      </c>
      <c r="AA27" s="372">
        <v>3.5</v>
      </c>
      <c r="AB27" s="372">
        <v>3.8</v>
      </c>
      <c r="AC27" s="372">
        <v>3.8</v>
      </c>
      <c r="AD27" s="41"/>
      <c r="AE27" s="41"/>
      <c r="AF27" s="11">
        <f>COUNTIF(F27:AC27,$AJ$8)</f>
        <v>6</v>
      </c>
      <c r="AG27" s="11">
        <f>COUNTIF(G27:AD27,$AJ$7)</f>
        <v>0</v>
      </c>
      <c r="AH27" s="11">
        <f>COUNT(F27:AC27)</f>
        <v>18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2">
        <v>3</v>
      </c>
      <c r="G28" s="372">
        <v>4.0999999999999996</v>
      </c>
      <c r="H28" s="372">
        <v>4.0999999999999996</v>
      </c>
      <c r="I28" s="372">
        <v>3.2</v>
      </c>
      <c r="J28" s="372">
        <v>3.1</v>
      </c>
      <c r="K28" s="374">
        <v>3.4</v>
      </c>
      <c r="L28" s="374">
        <v>3.3</v>
      </c>
      <c r="M28" s="374">
        <v>3.9</v>
      </c>
      <c r="N28" s="372">
        <v>4</v>
      </c>
      <c r="O28" s="372">
        <v>4</v>
      </c>
      <c r="P28" s="372" t="s">
        <v>9</v>
      </c>
      <c r="Q28" s="372" t="s">
        <v>9</v>
      </c>
      <c r="R28" s="372" t="s">
        <v>9</v>
      </c>
      <c r="S28" s="372" t="s">
        <v>9</v>
      </c>
      <c r="T28" s="372" t="s">
        <v>9</v>
      </c>
      <c r="U28" s="372">
        <v>4</v>
      </c>
      <c r="V28" s="372">
        <v>4</v>
      </c>
      <c r="W28" s="372">
        <v>4</v>
      </c>
      <c r="X28" s="372">
        <v>3</v>
      </c>
      <c r="Y28" s="372">
        <v>4</v>
      </c>
      <c r="Z28" s="374">
        <v>4</v>
      </c>
      <c r="AA28" s="372">
        <v>3.5</v>
      </c>
      <c r="AB28" s="372">
        <v>3.8</v>
      </c>
      <c r="AC28" s="372">
        <v>3.8</v>
      </c>
      <c r="AD28" s="41"/>
      <c r="AE28" s="41"/>
      <c r="AF28" s="11">
        <f>COUNTIF(F28:AC28,$AJ$8)</f>
        <v>5</v>
      </c>
      <c r="AG28" s="11">
        <f>COUNTIF(G28:AD28,$AJ$7)</f>
        <v>0</v>
      </c>
      <c r="AH28" s="11">
        <f>COUNT(F28:AC28)</f>
        <v>19</v>
      </c>
      <c r="AI28" s="159">
        <f>SUM(F29:AC30)</f>
        <v>60.949999999999996</v>
      </c>
    </row>
    <row r="29" spans="1:51" ht="15" customHeight="1">
      <c r="A29" s="14" t="s">
        <v>30</v>
      </c>
      <c r="B29" s="369"/>
      <c r="C29" s="370">
        <v>8.8000000000000007</v>
      </c>
      <c r="D29" s="371"/>
      <c r="E29" s="371"/>
      <c r="F29" s="372">
        <v>0</v>
      </c>
      <c r="G29" s="372">
        <v>0</v>
      </c>
      <c r="H29" s="372">
        <v>0</v>
      </c>
      <c r="I29" s="372">
        <v>0</v>
      </c>
      <c r="J29" s="372">
        <v>0</v>
      </c>
      <c r="K29" s="374">
        <v>0</v>
      </c>
      <c r="L29" s="374">
        <v>0</v>
      </c>
      <c r="M29" s="374">
        <v>0</v>
      </c>
      <c r="N29" s="372">
        <v>0</v>
      </c>
      <c r="O29" s="372">
        <v>0</v>
      </c>
      <c r="P29" s="372">
        <v>6.7</v>
      </c>
      <c r="Q29" s="372">
        <v>7.9</v>
      </c>
      <c r="R29" s="372">
        <v>7.7</v>
      </c>
      <c r="S29" s="372">
        <v>7.5</v>
      </c>
      <c r="T29" s="372">
        <v>8</v>
      </c>
      <c r="U29" s="372">
        <v>4.5999999999999996</v>
      </c>
      <c r="V29" s="372">
        <v>3.8</v>
      </c>
      <c r="W29" s="372">
        <v>3.7</v>
      </c>
      <c r="X29" s="372">
        <v>3</v>
      </c>
      <c r="Y29" s="372">
        <v>4.3</v>
      </c>
      <c r="Z29" s="372">
        <v>3</v>
      </c>
      <c r="AA29" s="372"/>
      <c r="AB29" s="372"/>
      <c r="AC29" s="372"/>
    </row>
    <row r="30" spans="1:51" ht="15" customHeight="1">
      <c r="A30" s="14" t="s">
        <v>31</v>
      </c>
      <c r="B30" s="369"/>
      <c r="C30" s="370">
        <v>8.8000000000000007</v>
      </c>
      <c r="D30" s="371"/>
      <c r="E30" s="371"/>
      <c r="F30" s="372">
        <v>0</v>
      </c>
      <c r="G30" s="372">
        <v>0</v>
      </c>
      <c r="H30" s="372">
        <v>0</v>
      </c>
      <c r="I30" s="372">
        <v>0</v>
      </c>
      <c r="J30" s="372">
        <v>0</v>
      </c>
      <c r="K30" s="374">
        <v>0</v>
      </c>
      <c r="L30" s="374">
        <v>0</v>
      </c>
      <c r="M30" s="374">
        <v>0</v>
      </c>
      <c r="N30" s="372">
        <v>0</v>
      </c>
      <c r="O30" s="372">
        <v>0</v>
      </c>
      <c r="P30" s="372">
        <v>0</v>
      </c>
      <c r="Q30" s="372">
        <v>0</v>
      </c>
      <c r="R30" s="372">
        <v>0</v>
      </c>
      <c r="S30" s="372">
        <v>0</v>
      </c>
      <c r="T30" s="372">
        <v>0</v>
      </c>
      <c r="U30" s="372">
        <v>0</v>
      </c>
      <c r="V30" s="372">
        <v>0.75</v>
      </c>
      <c r="W30" s="372">
        <v>0</v>
      </c>
      <c r="X30" s="372">
        <v>0</v>
      </c>
      <c r="Y30" s="372"/>
      <c r="Z30" s="372"/>
      <c r="AA30" s="372"/>
      <c r="AB30" s="372"/>
      <c r="AC30" s="372"/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SUM(F27:F29)</f>
        <v>3</v>
      </c>
      <c r="G31" s="19">
        <f t="shared" ref="G31:AC31" si="8">SUM(G27:G29)</f>
        <v>4.0999999999999996</v>
      </c>
      <c r="H31" s="19">
        <f t="shared" si="8"/>
        <v>4.0999999999999996</v>
      </c>
      <c r="I31" s="19">
        <f t="shared" si="8"/>
        <v>3.2</v>
      </c>
      <c r="J31" s="19">
        <f t="shared" si="8"/>
        <v>3.1</v>
      </c>
      <c r="K31" s="19">
        <f t="shared" si="8"/>
        <v>3.4</v>
      </c>
      <c r="L31" s="19">
        <f t="shared" si="8"/>
        <v>7.3</v>
      </c>
      <c r="M31" s="19">
        <f t="shared" si="8"/>
        <v>7.8</v>
      </c>
      <c r="N31" s="19">
        <f t="shared" si="8"/>
        <v>8.3000000000000007</v>
      </c>
      <c r="O31" s="19">
        <f t="shared" si="8"/>
        <v>8</v>
      </c>
      <c r="P31" s="19">
        <f t="shared" si="8"/>
        <v>10.5</v>
      </c>
      <c r="Q31" s="19">
        <f t="shared" si="8"/>
        <v>12.100000000000001</v>
      </c>
      <c r="R31" s="19">
        <f t="shared" si="8"/>
        <v>12.2</v>
      </c>
      <c r="S31" s="19">
        <f t="shared" si="8"/>
        <v>12</v>
      </c>
      <c r="T31" s="19">
        <f>SUM(T27:T29)</f>
        <v>12.5</v>
      </c>
      <c r="U31" s="19">
        <f t="shared" si="8"/>
        <v>12.6</v>
      </c>
      <c r="V31" s="19">
        <f t="shared" si="8"/>
        <v>11.8</v>
      </c>
      <c r="W31" s="19">
        <f t="shared" si="8"/>
        <v>11.7</v>
      </c>
      <c r="X31" s="19">
        <f>SUM(X27:X30)</f>
        <v>9</v>
      </c>
      <c r="Y31" s="19">
        <f>SUM(Y27:Y30)</f>
        <v>12.3</v>
      </c>
      <c r="Z31" s="19">
        <f t="shared" si="8"/>
        <v>11</v>
      </c>
      <c r="AA31" s="19">
        <f t="shared" si="8"/>
        <v>7</v>
      </c>
      <c r="AB31" s="19">
        <f t="shared" si="8"/>
        <v>7.6</v>
      </c>
      <c r="AC31" s="19">
        <f t="shared" si="8"/>
        <v>7.6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335.08</v>
      </c>
    </row>
    <row r="33" spans="1:36">
      <c r="A33" s="14" t="s">
        <v>22</v>
      </c>
      <c r="B33" s="15"/>
      <c r="C33" s="15">
        <v>15</v>
      </c>
      <c r="D33" s="15"/>
      <c r="E33" s="15"/>
      <c r="F33" s="372">
        <v>14.29</v>
      </c>
      <c r="G33" s="372">
        <v>14.24</v>
      </c>
      <c r="H33" s="372">
        <v>14.24</v>
      </c>
      <c r="I33" s="372">
        <v>13.78</v>
      </c>
      <c r="J33" s="372">
        <v>12.83</v>
      </c>
      <c r="K33" s="374">
        <v>13.37</v>
      </c>
      <c r="L33" s="374">
        <v>12.52</v>
      </c>
      <c r="M33" s="374">
        <v>12.49</v>
      </c>
      <c r="N33" s="372">
        <v>14.28</v>
      </c>
      <c r="O33" s="372">
        <v>14.31</v>
      </c>
      <c r="P33" s="372">
        <v>14.29</v>
      </c>
      <c r="Q33" s="372">
        <v>14.33</v>
      </c>
      <c r="R33" s="372">
        <v>14.29</v>
      </c>
      <c r="S33" s="372">
        <v>14.31</v>
      </c>
      <c r="T33" s="372">
        <v>14.31</v>
      </c>
      <c r="U33" s="372">
        <v>14.3</v>
      </c>
      <c r="V33" s="372">
        <v>14.29</v>
      </c>
      <c r="W33" s="372">
        <v>14.27</v>
      </c>
      <c r="X33" s="372">
        <v>13.81</v>
      </c>
      <c r="Y33" s="372">
        <v>14.33</v>
      </c>
      <c r="Z33" s="372">
        <v>14.31</v>
      </c>
      <c r="AA33" s="372">
        <v>14.29</v>
      </c>
      <c r="AB33" s="372">
        <v>13.32</v>
      </c>
      <c r="AC33" s="372">
        <v>14.28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9">SUM(F33)</f>
        <v>14.29</v>
      </c>
      <c r="G34" s="19">
        <f t="shared" ref="G34:AC34" si="10">SUM(G33)</f>
        <v>14.24</v>
      </c>
      <c r="H34" s="19">
        <f t="shared" si="10"/>
        <v>14.24</v>
      </c>
      <c r="I34" s="19">
        <f t="shared" si="10"/>
        <v>13.78</v>
      </c>
      <c r="J34" s="19">
        <f>SUM(J33)</f>
        <v>12.83</v>
      </c>
      <c r="K34" s="19">
        <f t="shared" si="10"/>
        <v>13.37</v>
      </c>
      <c r="L34" s="19">
        <f t="shared" si="10"/>
        <v>12.52</v>
      </c>
      <c r="M34" s="19">
        <f t="shared" si="10"/>
        <v>12.49</v>
      </c>
      <c r="N34" s="19">
        <f t="shared" si="10"/>
        <v>14.28</v>
      </c>
      <c r="O34" s="19">
        <f t="shared" si="10"/>
        <v>14.31</v>
      </c>
      <c r="P34" s="19">
        <f t="shared" si="10"/>
        <v>14.29</v>
      </c>
      <c r="Q34" s="19">
        <f t="shared" si="10"/>
        <v>14.33</v>
      </c>
      <c r="R34" s="19">
        <f t="shared" si="10"/>
        <v>14.29</v>
      </c>
      <c r="S34" s="19">
        <f t="shared" si="10"/>
        <v>14.31</v>
      </c>
      <c r="T34" s="19">
        <f t="shared" si="10"/>
        <v>14.31</v>
      </c>
      <c r="U34" s="19">
        <f t="shared" si="10"/>
        <v>14.3</v>
      </c>
      <c r="V34" s="19">
        <f t="shared" si="10"/>
        <v>14.29</v>
      </c>
      <c r="W34" s="19">
        <f t="shared" si="10"/>
        <v>14.27</v>
      </c>
      <c r="X34" s="19">
        <f t="shared" si="10"/>
        <v>13.81</v>
      </c>
      <c r="Y34" s="19">
        <f t="shared" si="10"/>
        <v>14.33</v>
      </c>
      <c r="Z34" s="19">
        <f t="shared" si="10"/>
        <v>14.31</v>
      </c>
      <c r="AA34" s="19">
        <f t="shared" si="10"/>
        <v>14.29</v>
      </c>
      <c r="AB34" s="19">
        <f t="shared" si="10"/>
        <v>13.32</v>
      </c>
      <c r="AC34" s="19">
        <f t="shared" si="10"/>
        <v>14.28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55"/>
      <c r="G35" s="455"/>
      <c r="H35" s="455"/>
      <c r="I35" s="455"/>
      <c r="J35" s="455"/>
      <c r="K35" s="455"/>
      <c r="L35" s="455"/>
      <c r="M35" s="455"/>
      <c r="N35" s="455"/>
      <c r="O35" s="455"/>
      <c r="P35" s="455"/>
      <c r="Q35" s="455"/>
      <c r="R35" s="455"/>
      <c r="S35" s="455"/>
      <c r="T35" s="455"/>
      <c r="U35" s="455"/>
      <c r="V35" s="455"/>
      <c r="W35" s="456"/>
      <c r="X35" s="455"/>
      <c r="Y35" s="455"/>
      <c r="Z35" s="455"/>
      <c r="AA35" s="455"/>
      <c r="AB35" s="455"/>
      <c r="AC35" s="455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24.416666666666664</v>
      </c>
      <c r="AJ35" t="s">
        <v>35</v>
      </c>
    </row>
    <row r="36" spans="1:36">
      <c r="A36" s="70" t="s">
        <v>36</v>
      </c>
      <c r="B36" s="15"/>
      <c r="C36" s="15"/>
      <c r="D36" s="15"/>
      <c r="E36" s="15"/>
      <c r="F36" s="372"/>
      <c r="G36" s="372"/>
      <c r="H36" s="372"/>
      <c r="I36" s="372"/>
      <c r="J36" s="372"/>
      <c r="K36" s="374"/>
      <c r="L36" s="374"/>
      <c r="M36" s="374"/>
      <c r="N36" s="372"/>
      <c r="O36" s="372"/>
      <c r="P36" s="372"/>
      <c r="Q36" s="372"/>
      <c r="R36" s="372"/>
      <c r="S36" s="372"/>
      <c r="T36" s="372"/>
      <c r="U36" s="372"/>
      <c r="V36" s="372"/>
      <c r="W36" s="372"/>
      <c r="X36" s="372"/>
      <c r="Y36" s="372"/>
      <c r="Z36" s="372"/>
      <c r="AA36" s="372"/>
      <c r="AB36" s="372"/>
      <c r="AC36" s="372"/>
      <c r="AD36" s="41"/>
      <c r="AE36" s="41"/>
      <c r="AF36" s="11">
        <f t="shared" ref="AF36:AF59" si="11">COUNTIF(F36:AC36,$AJ$8)</f>
        <v>0</v>
      </c>
      <c r="AG36" s="11">
        <f t="shared" ref="AG36:AG59" si="12">COUNTIF(G36:AD36,$AJ$7)</f>
        <v>0</v>
      </c>
      <c r="AH36" s="11">
        <f t="shared" ref="AH36:AH59" si="13">COUNT(F36:AC36)</f>
        <v>0</v>
      </c>
      <c r="AI36" s="159">
        <f>SUM(F36:AC38,F40:AC40,F45:AC59)</f>
        <v>36.176666666666662</v>
      </c>
      <c r="AJ36" t="s">
        <v>37</v>
      </c>
    </row>
    <row r="37" spans="1:36">
      <c r="A37" s="70" t="s">
        <v>38</v>
      </c>
      <c r="B37" s="15"/>
      <c r="C37" s="15"/>
      <c r="D37" s="15"/>
      <c r="E37" s="15"/>
      <c r="F37" s="372"/>
      <c r="G37" s="372"/>
      <c r="H37" s="372"/>
      <c r="I37" s="372"/>
      <c r="J37" s="372"/>
      <c r="K37" s="374"/>
      <c r="L37" s="374"/>
      <c r="M37" s="374"/>
      <c r="N37" s="372"/>
      <c r="O37" s="372"/>
      <c r="P37" s="372"/>
      <c r="Q37" s="372"/>
      <c r="R37" s="372"/>
      <c r="S37" s="372"/>
      <c r="T37" s="372"/>
      <c r="U37" s="372"/>
      <c r="V37" s="372"/>
      <c r="W37" s="372"/>
      <c r="X37" s="372"/>
      <c r="Y37" s="372"/>
      <c r="Z37" s="372"/>
      <c r="AA37" s="372"/>
      <c r="AB37" s="372"/>
      <c r="AC37" s="372"/>
      <c r="AD37" s="41"/>
      <c r="AE37" s="41"/>
      <c r="AF37" s="11">
        <f t="shared" si="11"/>
        <v>0</v>
      </c>
      <c r="AG37" s="11">
        <f t="shared" si="12"/>
        <v>0</v>
      </c>
      <c r="AH37" s="11">
        <f t="shared" si="13"/>
        <v>0</v>
      </c>
    </row>
    <row r="38" spans="1:36">
      <c r="A38" s="70" t="s">
        <v>39</v>
      </c>
      <c r="B38" s="15"/>
      <c r="C38" s="15"/>
      <c r="D38" s="15"/>
      <c r="E38" s="15"/>
      <c r="F38" s="372"/>
      <c r="G38" s="372"/>
      <c r="H38" s="372"/>
      <c r="I38" s="372"/>
      <c r="J38" s="372"/>
      <c r="K38" s="374"/>
      <c r="L38" s="374"/>
      <c r="M38" s="374"/>
      <c r="N38" s="372"/>
      <c r="O38" s="372"/>
      <c r="P38" s="372"/>
      <c r="Q38" s="372"/>
      <c r="R38" s="372"/>
      <c r="S38" s="372"/>
      <c r="T38" s="372"/>
      <c r="U38" s="372"/>
      <c r="V38" s="372"/>
      <c r="W38" s="372"/>
      <c r="X38" s="372"/>
      <c r="Y38" s="372"/>
      <c r="Z38" s="372"/>
      <c r="AA38" s="372"/>
      <c r="AB38" s="372"/>
      <c r="AC38" s="372"/>
      <c r="AD38" s="41"/>
      <c r="AE38" s="41"/>
      <c r="AF38" s="11">
        <f t="shared" si="11"/>
        <v>0</v>
      </c>
      <c r="AG38" s="11">
        <f t="shared" si="12"/>
        <v>0</v>
      </c>
      <c r="AH38" s="11">
        <f t="shared" si="13"/>
        <v>0</v>
      </c>
    </row>
    <row r="39" spans="1:36">
      <c r="A39" s="70">
        <v>34</v>
      </c>
      <c r="B39" s="15"/>
      <c r="C39" s="15"/>
      <c r="D39" s="15"/>
      <c r="E39" s="15"/>
      <c r="F39" s="372" t="s">
        <v>9</v>
      </c>
      <c r="G39" s="372" t="s">
        <v>9</v>
      </c>
      <c r="H39" s="372" t="s">
        <v>9</v>
      </c>
      <c r="I39" s="372" t="s">
        <v>9</v>
      </c>
      <c r="J39" s="372" t="s">
        <v>9</v>
      </c>
      <c r="K39" s="374" t="s">
        <v>9</v>
      </c>
      <c r="L39" s="374" t="s">
        <v>9</v>
      </c>
      <c r="M39" s="374" t="s">
        <v>9</v>
      </c>
      <c r="N39" s="372" t="s">
        <v>9</v>
      </c>
      <c r="O39" s="372" t="s">
        <v>9</v>
      </c>
      <c r="P39" s="372" t="s">
        <v>9</v>
      </c>
      <c r="Q39" s="372" t="s">
        <v>9</v>
      </c>
      <c r="R39" s="372">
        <v>0.8</v>
      </c>
      <c r="S39" s="372">
        <v>0.7</v>
      </c>
      <c r="T39" s="372">
        <v>0.7</v>
      </c>
      <c r="U39" s="372">
        <v>0.7</v>
      </c>
      <c r="V39" s="372">
        <v>0.7</v>
      </c>
      <c r="W39" s="372">
        <v>0.7</v>
      </c>
      <c r="X39" s="372">
        <v>0.8</v>
      </c>
      <c r="Y39" s="372"/>
      <c r="Z39" s="372"/>
      <c r="AA39" s="372"/>
      <c r="AB39" s="372"/>
      <c r="AC39" s="372"/>
      <c r="AD39" s="41"/>
      <c r="AE39" s="41"/>
      <c r="AF39" s="11">
        <f t="shared" si="11"/>
        <v>12</v>
      </c>
      <c r="AG39" s="11">
        <f t="shared" si="12"/>
        <v>0</v>
      </c>
      <c r="AH39" s="11">
        <f t="shared" si="13"/>
        <v>7</v>
      </c>
    </row>
    <row r="40" spans="1:36">
      <c r="A40" s="70">
        <v>35</v>
      </c>
      <c r="B40" s="15"/>
      <c r="C40" s="15">
        <v>0.85</v>
      </c>
      <c r="D40" s="15"/>
      <c r="E40" s="15"/>
      <c r="F40" s="372"/>
      <c r="G40" s="372"/>
      <c r="H40" s="372"/>
      <c r="I40" s="372"/>
      <c r="J40" s="372"/>
      <c r="K40" s="374"/>
      <c r="L40" s="374"/>
      <c r="M40" s="374"/>
      <c r="N40" s="372"/>
      <c r="O40" s="372"/>
      <c r="P40" s="372"/>
      <c r="Q40" s="372">
        <v>0.8</v>
      </c>
      <c r="R40" s="372" t="s">
        <v>9</v>
      </c>
      <c r="S40" s="372" t="s">
        <v>9</v>
      </c>
      <c r="T40" s="372" t="s">
        <v>9</v>
      </c>
      <c r="U40" s="372" t="s">
        <v>9</v>
      </c>
      <c r="V40" s="372" t="s">
        <v>9</v>
      </c>
      <c r="W40" s="372" t="s">
        <v>9</v>
      </c>
      <c r="X40" s="372" t="s">
        <v>9</v>
      </c>
      <c r="Y40" s="372" t="s">
        <v>9</v>
      </c>
      <c r="Z40" s="372" t="s">
        <v>9</v>
      </c>
      <c r="AA40" s="372" t="s">
        <v>9</v>
      </c>
      <c r="AB40" s="372" t="s">
        <v>9</v>
      </c>
      <c r="AC40" s="372" t="s">
        <v>9</v>
      </c>
      <c r="AD40" s="41"/>
      <c r="AE40" s="41"/>
      <c r="AF40" s="11">
        <f t="shared" si="11"/>
        <v>12</v>
      </c>
      <c r="AG40" s="11">
        <f t="shared" si="12"/>
        <v>0</v>
      </c>
      <c r="AH40" s="11">
        <f t="shared" si="13"/>
        <v>1</v>
      </c>
    </row>
    <row r="41" spans="1:36">
      <c r="A41" s="70">
        <v>36</v>
      </c>
      <c r="B41" s="15"/>
      <c r="C41" s="15">
        <v>1</v>
      </c>
      <c r="D41" s="15"/>
      <c r="E41" s="15"/>
      <c r="F41" s="372" t="s">
        <v>9</v>
      </c>
      <c r="G41" s="372" t="s">
        <v>9</v>
      </c>
      <c r="H41" s="372" t="s">
        <v>9</v>
      </c>
      <c r="I41" s="372" t="s">
        <v>9</v>
      </c>
      <c r="J41" s="372" t="s">
        <v>9</v>
      </c>
      <c r="K41" s="374" t="s">
        <v>9</v>
      </c>
      <c r="L41" s="374" t="s">
        <v>9</v>
      </c>
      <c r="M41" s="374" t="s">
        <v>9</v>
      </c>
      <c r="N41" s="372" t="s">
        <v>9</v>
      </c>
      <c r="O41" s="372" t="s">
        <v>9</v>
      </c>
      <c r="P41" s="372" t="s">
        <v>9</v>
      </c>
      <c r="Q41" s="372" t="s">
        <v>9</v>
      </c>
      <c r="R41" s="372" t="s">
        <v>9</v>
      </c>
      <c r="S41" s="372" t="s">
        <v>9</v>
      </c>
      <c r="T41" s="372" t="s">
        <v>9</v>
      </c>
      <c r="U41" s="372" t="s">
        <v>9</v>
      </c>
      <c r="V41" s="372" t="s">
        <v>9</v>
      </c>
      <c r="W41" s="372" t="s">
        <v>9</v>
      </c>
      <c r="X41" s="372" t="s">
        <v>9</v>
      </c>
      <c r="Y41" s="372" t="s">
        <v>9</v>
      </c>
      <c r="Z41" s="372" t="s">
        <v>9</v>
      </c>
      <c r="AA41" s="372" t="s">
        <v>9</v>
      </c>
      <c r="AB41" s="372" t="s">
        <v>9</v>
      </c>
      <c r="AC41" s="372" t="s">
        <v>9</v>
      </c>
      <c r="AD41" s="41"/>
      <c r="AE41" s="41"/>
      <c r="AF41" s="11">
        <f t="shared" si="11"/>
        <v>24</v>
      </c>
      <c r="AG41" s="11">
        <f t="shared" si="12"/>
        <v>0</v>
      </c>
      <c r="AH41" s="11">
        <f t="shared" si="13"/>
        <v>0</v>
      </c>
    </row>
    <row r="42" spans="1:36">
      <c r="A42" s="70">
        <v>37</v>
      </c>
      <c r="B42" s="15"/>
      <c r="C42" s="15">
        <v>1</v>
      </c>
      <c r="D42" s="15"/>
      <c r="E42" s="15"/>
      <c r="F42" s="372" t="s">
        <v>9</v>
      </c>
      <c r="G42" s="372" t="s">
        <v>9</v>
      </c>
      <c r="H42" s="372" t="s">
        <v>9</v>
      </c>
      <c r="I42" s="372" t="s">
        <v>9</v>
      </c>
      <c r="J42" s="372" t="s">
        <v>9</v>
      </c>
      <c r="K42" s="372" t="s">
        <v>9</v>
      </c>
      <c r="L42" s="372" t="s">
        <v>9</v>
      </c>
      <c r="M42" s="372" t="s">
        <v>9</v>
      </c>
      <c r="N42" s="372" t="s">
        <v>9</v>
      </c>
      <c r="O42" s="372" t="s">
        <v>9</v>
      </c>
      <c r="P42" s="372" t="s">
        <v>9</v>
      </c>
      <c r="Q42" s="372">
        <f>5/6</f>
        <v>0.83333333333333337</v>
      </c>
      <c r="R42" s="372">
        <f>5/6</f>
        <v>0.83333333333333337</v>
      </c>
      <c r="S42" s="372">
        <v>1</v>
      </c>
      <c r="T42" s="372">
        <v>1</v>
      </c>
      <c r="U42" s="372">
        <v>1</v>
      </c>
      <c r="V42" s="372">
        <v>1</v>
      </c>
      <c r="W42" s="372">
        <v>1</v>
      </c>
      <c r="X42" s="372">
        <v>0.8</v>
      </c>
      <c r="Y42" s="372">
        <v>0.9</v>
      </c>
      <c r="Z42" s="372"/>
      <c r="AA42" s="372"/>
      <c r="AB42" s="372"/>
      <c r="AC42" s="372"/>
      <c r="AD42" s="41"/>
      <c r="AE42" s="41"/>
      <c r="AF42" s="11">
        <f t="shared" si="11"/>
        <v>11</v>
      </c>
      <c r="AG42" s="11">
        <f t="shared" si="12"/>
        <v>0</v>
      </c>
      <c r="AH42" s="11">
        <f t="shared" si="13"/>
        <v>9</v>
      </c>
    </row>
    <row r="43" spans="1:36">
      <c r="A43" s="70">
        <v>38</v>
      </c>
      <c r="B43" s="15"/>
      <c r="C43" s="15"/>
      <c r="D43" s="15"/>
      <c r="E43" s="15"/>
      <c r="F43" s="372" t="s">
        <v>9</v>
      </c>
      <c r="G43" s="372" t="s">
        <v>9</v>
      </c>
      <c r="H43" s="372" t="s">
        <v>9</v>
      </c>
      <c r="I43" s="372" t="s">
        <v>9</v>
      </c>
      <c r="J43" s="372" t="s">
        <v>9</v>
      </c>
      <c r="K43" s="374" t="s">
        <v>9</v>
      </c>
      <c r="L43" s="374" t="s">
        <v>9</v>
      </c>
      <c r="M43" s="374" t="s">
        <v>9</v>
      </c>
      <c r="N43" s="372" t="s">
        <v>9</v>
      </c>
      <c r="O43" s="372" t="s">
        <v>9</v>
      </c>
      <c r="P43" s="372" t="s">
        <v>9</v>
      </c>
      <c r="Q43" s="372" t="s">
        <v>9</v>
      </c>
      <c r="R43" s="372" t="s">
        <v>9</v>
      </c>
      <c r="S43" s="372" t="s">
        <v>9</v>
      </c>
      <c r="T43" s="372" t="s">
        <v>9</v>
      </c>
      <c r="U43" s="372" t="s">
        <v>9</v>
      </c>
      <c r="V43" s="372" t="s">
        <v>9</v>
      </c>
      <c r="W43" s="372" t="s">
        <v>9</v>
      </c>
      <c r="X43" s="372" t="s">
        <v>9</v>
      </c>
      <c r="Y43" s="372" t="s">
        <v>9</v>
      </c>
      <c r="Z43" s="372" t="s">
        <v>9</v>
      </c>
      <c r="AA43" s="372" t="s">
        <v>9</v>
      </c>
      <c r="AB43" s="372" t="s">
        <v>9</v>
      </c>
      <c r="AC43" s="372" t="s">
        <v>9</v>
      </c>
      <c r="AD43" s="41"/>
      <c r="AE43" s="41"/>
      <c r="AF43" s="11">
        <f t="shared" si="11"/>
        <v>24</v>
      </c>
      <c r="AG43" s="11">
        <f t="shared" si="12"/>
        <v>0</v>
      </c>
      <c r="AH43" s="11">
        <f t="shared" si="13"/>
        <v>0</v>
      </c>
    </row>
    <row r="44" spans="1:36" ht="16.5" customHeight="1">
      <c r="A44" s="70">
        <v>39</v>
      </c>
      <c r="B44" s="15"/>
      <c r="C44" s="15">
        <v>1</v>
      </c>
      <c r="D44" s="15"/>
      <c r="E44" s="15"/>
      <c r="F44" s="372">
        <v>0.9</v>
      </c>
      <c r="G44" s="372">
        <v>0.9</v>
      </c>
      <c r="H44" s="372">
        <v>0.9</v>
      </c>
      <c r="I44" s="372">
        <v>0.9</v>
      </c>
      <c r="J44" s="372">
        <v>0.9</v>
      </c>
      <c r="K44" s="374"/>
      <c r="L44" s="374"/>
      <c r="M44" s="374"/>
      <c r="N44" s="372"/>
      <c r="O44" s="372"/>
      <c r="P44" s="372">
        <f>5/6</f>
        <v>0.83333333333333337</v>
      </c>
      <c r="Q44" s="372">
        <f>5/6</f>
        <v>0.83333333333333337</v>
      </c>
      <c r="R44" s="372">
        <f>5/6</f>
        <v>0.83333333333333337</v>
      </c>
      <c r="S44" s="372">
        <v>0.8</v>
      </c>
      <c r="T44" s="372">
        <v>0.8</v>
      </c>
      <c r="U44" s="372">
        <v>0.8</v>
      </c>
      <c r="V44" s="372">
        <v>0.8</v>
      </c>
      <c r="W44" s="372">
        <v>0.75</v>
      </c>
      <c r="X44" s="372">
        <v>0</v>
      </c>
      <c r="Y44" s="372"/>
      <c r="Z44" s="372"/>
      <c r="AA44" s="372"/>
      <c r="AB44" s="372"/>
      <c r="AC44" s="372"/>
      <c r="AD44" s="41"/>
      <c r="AE44" s="41"/>
      <c r="AF44" s="11">
        <f t="shared" si="11"/>
        <v>0</v>
      </c>
      <c r="AG44" s="11">
        <f t="shared" si="12"/>
        <v>0</v>
      </c>
      <c r="AH44" s="11">
        <f t="shared" si="13"/>
        <v>14</v>
      </c>
    </row>
    <row r="45" spans="1:36" ht="16.5" customHeight="1">
      <c r="A45" s="70" t="s">
        <v>40</v>
      </c>
      <c r="B45" s="15"/>
      <c r="C45" s="15">
        <v>0.85</v>
      </c>
      <c r="D45" s="15"/>
      <c r="E45" s="15"/>
      <c r="F45" s="372"/>
      <c r="G45" s="372"/>
      <c r="H45" s="372"/>
      <c r="I45" s="372"/>
      <c r="J45" s="372"/>
      <c r="K45" s="374"/>
      <c r="L45" s="374"/>
      <c r="M45" s="374"/>
      <c r="N45" s="372"/>
      <c r="O45" s="372"/>
      <c r="P45" s="372"/>
      <c r="Q45" s="372"/>
      <c r="R45" s="372"/>
      <c r="S45" s="372"/>
      <c r="T45" s="372"/>
      <c r="U45" s="372"/>
      <c r="V45" s="372"/>
      <c r="W45" s="372"/>
      <c r="X45" s="372"/>
      <c r="Y45" s="372"/>
      <c r="Z45" s="372"/>
      <c r="AA45" s="372"/>
      <c r="AB45" s="372"/>
      <c r="AC45" s="372"/>
      <c r="AD45" s="41"/>
      <c r="AE45" s="41"/>
      <c r="AF45" s="11">
        <f t="shared" si="11"/>
        <v>0</v>
      </c>
      <c r="AG45" s="11">
        <f t="shared" si="12"/>
        <v>0</v>
      </c>
      <c r="AH45" s="11">
        <f t="shared" si="13"/>
        <v>0</v>
      </c>
      <c r="AI45" s="159"/>
    </row>
    <row r="46" spans="1:36">
      <c r="A46" s="70" t="s">
        <v>41</v>
      </c>
      <c r="B46" s="15"/>
      <c r="C46" s="15">
        <v>0.75</v>
      </c>
      <c r="D46" s="15"/>
      <c r="E46" s="15"/>
      <c r="F46" s="372"/>
      <c r="G46" s="372"/>
      <c r="H46" s="372"/>
      <c r="I46" s="372"/>
      <c r="J46" s="372"/>
      <c r="K46" s="374"/>
      <c r="L46" s="374"/>
      <c r="M46" s="374"/>
      <c r="N46" s="372"/>
      <c r="O46" s="372"/>
      <c r="P46" s="372"/>
      <c r="Q46" s="372"/>
      <c r="R46" s="372"/>
      <c r="S46" s="372"/>
      <c r="T46" s="372"/>
      <c r="U46" s="372"/>
      <c r="V46" s="372"/>
      <c r="W46" s="372"/>
      <c r="X46" s="372"/>
      <c r="Y46" s="372"/>
      <c r="Z46" s="372"/>
      <c r="AA46" s="372"/>
      <c r="AB46" s="372"/>
      <c r="AC46" s="372"/>
      <c r="AD46" s="41"/>
      <c r="AE46" s="41"/>
      <c r="AF46" s="11">
        <f t="shared" si="11"/>
        <v>0</v>
      </c>
      <c r="AG46" s="11">
        <f t="shared" si="12"/>
        <v>0</v>
      </c>
      <c r="AH46" s="11">
        <f t="shared" si="13"/>
        <v>0</v>
      </c>
      <c r="AI46" s="159"/>
    </row>
    <row r="47" spans="1:36">
      <c r="A47" s="70" t="s">
        <v>42</v>
      </c>
      <c r="B47" s="15"/>
      <c r="C47" s="15">
        <v>0.75</v>
      </c>
      <c r="D47" s="15"/>
      <c r="E47" s="15"/>
      <c r="F47" s="372"/>
      <c r="G47" s="372"/>
      <c r="H47" s="372"/>
      <c r="I47" s="372"/>
      <c r="J47" s="372"/>
      <c r="K47" s="374"/>
      <c r="L47" s="374"/>
      <c r="M47" s="374"/>
      <c r="N47" s="374"/>
      <c r="O47" s="372">
        <f>3.9/5</f>
        <v>0.78</v>
      </c>
      <c r="P47" s="372">
        <f>5/6</f>
        <v>0.83333333333333337</v>
      </c>
      <c r="Q47" s="372">
        <v>0.83</v>
      </c>
      <c r="R47" s="372">
        <v>0.83</v>
      </c>
      <c r="S47" s="372"/>
      <c r="T47" s="372">
        <v>0.8</v>
      </c>
      <c r="U47" s="372">
        <v>0.8</v>
      </c>
      <c r="V47" s="372">
        <v>0.8</v>
      </c>
      <c r="W47" s="372">
        <v>0.75</v>
      </c>
      <c r="X47" s="372">
        <v>0</v>
      </c>
      <c r="Y47" s="372">
        <v>0</v>
      </c>
      <c r="Z47" s="372">
        <v>0</v>
      </c>
      <c r="AA47" s="372">
        <v>0</v>
      </c>
      <c r="AB47" s="372">
        <v>0</v>
      </c>
      <c r="AC47" s="372">
        <v>0.7</v>
      </c>
      <c r="AD47" s="41"/>
      <c r="AE47" s="41"/>
      <c r="AF47" s="11">
        <f t="shared" si="11"/>
        <v>0</v>
      </c>
      <c r="AG47" s="11">
        <f t="shared" si="12"/>
        <v>0</v>
      </c>
      <c r="AH47" s="11">
        <f t="shared" si="13"/>
        <v>14</v>
      </c>
    </row>
    <row r="48" spans="1:36">
      <c r="A48" s="70" t="s">
        <v>43</v>
      </c>
      <c r="B48" s="15"/>
      <c r="C48" s="15">
        <v>0.75</v>
      </c>
      <c r="D48" s="15"/>
      <c r="E48" s="15"/>
      <c r="F48" s="372"/>
      <c r="G48" s="372"/>
      <c r="H48" s="372"/>
      <c r="I48" s="372"/>
      <c r="J48" s="372"/>
      <c r="K48" s="374"/>
      <c r="L48" s="374"/>
      <c r="M48" s="374"/>
      <c r="N48" s="372"/>
      <c r="O48" s="372"/>
      <c r="P48" s="372"/>
      <c r="Q48" s="372"/>
      <c r="R48" s="372"/>
      <c r="S48" s="372"/>
      <c r="T48" s="372"/>
      <c r="U48" s="372"/>
      <c r="V48" s="372"/>
      <c r="W48" s="372"/>
      <c r="X48" s="372"/>
      <c r="Y48" s="372"/>
      <c r="Z48" s="372"/>
      <c r="AA48" s="372"/>
      <c r="AB48" s="372"/>
      <c r="AC48" s="372"/>
      <c r="AD48" s="41"/>
      <c r="AE48" s="41"/>
      <c r="AF48" s="11">
        <f t="shared" si="11"/>
        <v>0</v>
      </c>
      <c r="AG48" s="11">
        <f t="shared" si="12"/>
        <v>0</v>
      </c>
      <c r="AH48" s="11">
        <f t="shared" si="13"/>
        <v>0</v>
      </c>
    </row>
    <row r="49" spans="1:124" ht="15" customHeight="1">
      <c r="A49" s="70" t="s">
        <v>44</v>
      </c>
      <c r="B49" s="15"/>
      <c r="C49" s="15">
        <v>0.75</v>
      </c>
      <c r="D49" s="15"/>
      <c r="E49" s="15"/>
      <c r="F49" s="372"/>
      <c r="G49" s="372"/>
      <c r="H49" s="372"/>
      <c r="I49" s="372"/>
      <c r="J49" s="372"/>
      <c r="K49" s="374"/>
      <c r="L49" s="374"/>
      <c r="M49" s="374"/>
      <c r="N49" s="372"/>
      <c r="O49" s="372"/>
      <c r="P49" s="372"/>
      <c r="Q49" s="372"/>
      <c r="R49" s="372"/>
      <c r="S49" s="372"/>
      <c r="T49" s="372"/>
      <c r="U49" s="372"/>
      <c r="V49" s="372"/>
      <c r="W49" s="372"/>
      <c r="X49" s="372"/>
      <c r="Y49" s="372"/>
      <c r="Z49" s="372"/>
      <c r="AA49" s="372"/>
      <c r="AB49" s="372"/>
      <c r="AC49" s="372"/>
      <c r="AD49" s="41"/>
      <c r="AE49" s="41"/>
      <c r="AF49" s="11">
        <f t="shared" si="11"/>
        <v>0</v>
      </c>
      <c r="AG49" s="11">
        <f t="shared" si="12"/>
        <v>0</v>
      </c>
      <c r="AH49" s="11">
        <f t="shared" si="13"/>
        <v>0</v>
      </c>
    </row>
    <row r="50" spans="1:124" ht="17.25" customHeight="1">
      <c r="A50" s="70" t="s">
        <v>45</v>
      </c>
      <c r="B50" s="15"/>
      <c r="C50" s="15">
        <v>0.75</v>
      </c>
      <c r="D50" s="15"/>
      <c r="E50" s="15"/>
      <c r="F50" s="372"/>
      <c r="G50" s="372"/>
      <c r="H50" s="372"/>
      <c r="I50" s="372"/>
      <c r="J50" s="372"/>
      <c r="K50" s="374"/>
      <c r="L50" s="374"/>
      <c r="M50" s="374"/>
      <c r="N50" s="374">
        <v>0.7</v>
      </c>
      <c r="O50" s="372">
        <f t="shared" ref="O50:O51" si="14">3.9/5</f>
        <v>0.78</v>
      </c>
      <c r="P50" s="372">
        <f t="shared" ref="P50:P51" si="15">5/6</f>
        <v>0.83333333333333337</v>
      </c>
      <c r="Q50" s="372">
        <v>0.8</v>
      </c>
      <c r="R50" s="372">
        <v>0.8</v>
      </c>
      <c r="S50" s="372">
        <v>0.8</v>
      </c>
      <c r="T50" s="372">
        <v>0.8</v>
      </c>
      <c r="U50" s="372">
        <v>0.8</v>
      </c>
      <c r="V50" s="372"/>
      <c r="W50" s="372"/>
      <c r="X50" s="372"/>
      <c r="Y50" s="372"/>
      <c r="Z50" s="372"/>
      <c r="AA50" s="372"/>
      <c r="AB50" s="372"/>
      <c r="AC50" s="372">
        <v>0.7</v>
      </c>
      <c r="AD50" s="41"/>
      <c r="AE50" s="41"/>
      <c r="AF50" s="11">
        <f t="shared" si="11"/>
        <v>0</v>
      </c>
      <c r="AG50" s="11">
        <f t="shared" si="12"/>
        <v>0</v>
      </c>
      <c r="AH50" s="11">
        <f t="shared" si="13"/>
        <v>9</v>
      </c>
    </row>
    <row r="51" spans="1:124">
      <c r="A51" s="70" t="s">
        <v>46</v>
      </c>
      <c r="B51" s="15"/>
      <c r="C51" s="15">
        <v>0.85</v>
      </c>
      <c r="D51" s="15"/>
      <c r="E51" s="15"/>
      <c r="F51" s="372"/>
      <c r="G51" s="372"/>
      <c r="H51" s="372"/>
      <c r="I51" s="372"/>
      <c r="J51" s="372"/>
      <c r="K51" s="374"/>
      <c r="L51" s="374"/>
      <c r="M51" s="374"/>
      <c r="N51" s="374">
        <v>0.7</v>
      </c>
      <c r="O51" s="372">
        <f t="shared" si="14"/>
        <v>0.78</v>
      </c>
      <c r="P51" s="372">
        <f t="shared" si="15"/>
        <v>0.83333333333333337</v>
      </c>
      <c r="Q51" s="372">
        <v>0.8</v>
      </c>
      <c r="R51" s="372">
        <v>0.8</v>
      </c>
      <c r="S51" s="372">
        <v>0.8</v>
      </c>
      <c r="T51" s="372">
        <v>0.8</v>
      </c>
      <c r="U51" s="372">
        <v>0.8</v>
      </c>
      <c r="V51" s="372">
        <v>0.75</v>
      </c>
      <c r="W51" s="372">
        <v>0</v>
      </c>
      <c r="X51" s="372">
        <v>0</v>
      </c>
      <c r="Y51" s="372">
        <v>0</v>
      </c>
      <c r="Z51" s="372">
        <v>0</v>
      </c>
      <c r="AA51" s="372">
        <v>0</v>
      </c>
      <c r="AB51" s="372">
        <v>0</v>
      </c>
      <c r="AC51" s="372">
        <v>0</v>
      </c>
      <c r="AD51" s="41"/>
      <c r="AE51" s="41"/>
      <c r="AF51" s="11">
        <f t="shared" si="11"/>
        <v>0</v>
      </c>
      <c r="AG51" s="11">
        <f t="shared" si="12"/>
        <v>0</v>
      </c>
      <c r="AH51" s="11">
        <f t="shared" si="13"/>
        <v>16</v>
      </c>
    </row>
    <row r="52" spans="1:124">
      <c r="A52" s="70" t="s">
        <v>47</v>
      </c>
      <c r="B52" s="15"/>
      <c r="C52" s="15">
        <v>0.85</v>
      </c>
      <c r="D52" s="15"/>
      <c r="E52" s="15"/>
      <c r="F52" s="372" t="s">
        <v>9</v>
      </c>
      <c r="G52" s="372" t="s">
        <v>9</v>
      </c>
      <c r="H52" s="372" t="s">
        <v>9</v>
      </c>
      <c r="I52" s="372" t="s">
        <v>9</v>
      </c>
      <c r="J52" s="372" t="s">
        <v>9</v>
      </c>
      <c r="K52" s="374" t="s">
        <v>9</v>
      </c>
      <c r="L52" s="374" t="s">
        <v>9</v>
      </c>
      <c r="M52" s="374" t="s">
        <v>9</v>
      </c>
      <c r="N52" s="372" t="s">
        <v>9</v>
      </c>
      <c r="O52" s="372" t="s">
        <v>9</v>
      </c>
      <c r="P52" s="372" t="s">
        <v>9</v>
      </c>
      <c r="Q52" s="372" t="s">
        <v>9</v>
      </c>
      <c r="R52" s="372" t="s">
        <v>9</v>
      </c>
      <c r="S52" s="372" t="s">
        <v>9</v>
      </c>
      <c r="T52" s="372" t="s">
        <v>9</v>
      </c>
      <c r="U52" s="372" t="s">
        <v>9</v>
      </c>
      <c r="V52" s="372" t="s">
        <v>9</v>
      </c>
      <c r="W52" s="372" t="s">
        <v>9</v>
      </c>
      <c r="X52" s="372" t="s">
        <v>9</v>
      </c>
      <c r="Y52" s="372" t="s">
        <v>9</v>
      </c>
      <c r="Z52" s="372" t="s">
        <v>9</v>
      </c>
      <c r="AA52" s="372" t="s">
        <v>9</v>
      </c>
      <c r="AB52" s="372" t="s">
        <v>9</v>
      </c>
      <c r="AC52" s="372" t="s">
        <v>9</v>
      </c>
      <c r="AD52" s="41"/>
      <c r="AE52" s="41"/>
      <c r="AF52" s="11">
        <f t="shared" si="11"/>
        <v>24</v>
      </c>
      <c r="AG52" s="11">
        <f t="shared" si="12"/>
        <v>0</v>
      </c>
      <c r="AH52" s="11">
        <f t="shared" si="13"/>
        <v>0</v>
      </c>
    </row>
    <row r="53" spans="1:124">
      <c r="A53" s="70" t="s">
        <v>48</v>
      </c>
      <c r="B53" s="15"/>
      <c r="C53" s="15">
        <v>0.85</v>
      </c>
      <c r="D53" s="15"/>
      <c r="E53" s="15"/>
      <c r="F53" s="372"/>
      <c r="G53" s="372"/>
      <c r="H53" s="372"/>
      <c r="I53" s="372"/>
      <c r="J53" s="372"/>
      <c r="K53" s="374"/>
      <c r="L53" s="374"/>
      <c r="M53" s="374"/>
      <c r="N53" s="372"/>
      <c r="O53" s="372"/>
      <c r="P53" s="372"/>
      <c r="Q53" s="372"/>
      <c r="R53" s="372"/>
      <c r="S53" s="372"/>
      <c r="T53" s="372"/>
      <c r="U53" s="372"/>
      <c r="V53" s="372"/>
      <c r="W53" s="372"/>
      <c r="X53" s="372"/>
      <c r="Y53" s="372"/>
      <c r="Z53" s="372"/>
      <c r="AA53" s="372"/>
      <c r="AB53" s="372"/>
      <c r="AC53" s="372"/>
      <c r="AD53" s="41"/>
      <c r="AE53" s="41"/>
      <c r="AF53" s="11">
        <f t="shared" si="11"/>
        <v>0</v>
      </c>
      <c r="AG53" s="11">
        <f t="shared" si="12"/>
        <v>0</v>
      </c>
      <c r="AH53" s="11">
        <f t="shared" si="13"/>
        <v>0</v>
      </c>
    </row>
    <row r="54" spans="1:124" ht="16.5" customHeight="1">
      <c r="A54" s="70" t="s">
        <v>49</v>
      </c>
      <c r="B54" s="15"/>
      <c r="C54" s="15">
        <v>0.85</v>
      </c>
      <c r="D54" s="15"/>
      <c r="E54" s="15"/>
      <c r="F54" s="372"/>
      <c r="G54" s="372"/>
      <c r="H54" s="372"/>
      <c r="I54" s="372"/>
      <c r="J54" s="372"/>
      <c r="K54" s="374"/>
      <c r="L54" s="374"/>
      <c r="M54" s="374"/>
      <c r="N54" s="374">
        <v>0.7</v>
      </c>
      <c r="O54" s="372">
        <f>3.9/5</f>
        <v>0.78</v>
      </c>
      <c r="P54" s="372">
        <f>5/6</f>
        <v>0.83333333333333337</v>
      </c>
      <c r="Q54" s="372">
        <v>0.8</v>
      </c>
      <c r="R54" s="372">
        <v>0.8</v>
      </c>
      <c r="S54" s="372">
        <v>0.8</v>
      </c>
      <c r="T54" s="372">
        <v>0.75</v>
      </c>
      <c r="U54" s="372">
        <v>0.8</v>
      </c>
      <c r="V54" s="372">
        <v>0.75</v>
      </c>
      <c r="W54" s="372">
        <v>0</v>
      </c>
      <c r="X54" s="372">
        <v>0</v>
      </c>
      <c r="Y54" s="372">
        <v>0</v>
      </c>
      <c r="Z54" s="372">
        <v>0</v>
      </c>
      <c r="AA54" s="372">
        <v>0</v>
      </c>
      <c r="AB54" s="372">
        <v>0</v>
      </c>
      <c r="AC54" s="372">
        <v>0.8</v>
      </c>
      <c r="AD54" s="41"/>
      <c r="AE54" s="41"/>
      <c r="AF54" s="11">
        <f t="shared" si="11"/>
        <v>0</v>
      </c>
      <c r="AG54" s="11">
        <f t="shared" si="12"/>
        <v>0</v>
      </c>
      <c r="AH54" s="11">
        <f t="shared" si="13"/>
        <v>16</v>
      </c>
    </row>
    <row r="55" spans="1:124">
      <c r="A55" s="70" t="s">
        <v>50</v>
      </c>
      <c r="B55" s="15"/>
      <c r="C55" s="15">
        <v>0.85</v>
      </c>
      <c r="D55" s="15"/>
      <c r="E55" s="15"/>
      <c r="F55" s="372"/>
      <c r="G55" s="372"/>
      <c r="H55" s="372"/>
      <c r="I55" s="372"/>
      <c r="J55" s="372"/>
      <c r="K55" s="374"/>
      <c r="L55" s="374"/>
      <c r="M55" s="374"/>
      <c r="N55" s="372"/>
      <c r="O55" s="372"/>
      <c r="P55" s="372"/>
      <c r="Q55" s="372"/>
      <c r="R55" s="372"/>
      <c r="S55" s="372"/>
      <c r="T55" s="372"/>
      <c r="U55" s="372"/>
      <c r="V55" s="372"/>
      <c r="W55" s="372"/>
      <c r="X55" s="372"/>
      <c r="Y55" s="372"/>
      <c r="Z55" s="372"/>
      <c r="AA55" s="372"/>
      <c r="AB55" s="372"/>
      <c r="AC55" s="372"/>
      <c r="AD55" s="41"/>
      <c r="AE55" s="41"/>
      <c r="AF55" s="11">
        <f>COUNTIF(F55:AC55,$AJ$8)</f>
        <v>0</v>
      </c>
      <c r="AG55" s="11">
        <f t="shared" si="12"/>
        <v>0</v>
      </c>
      <c r="AH55" s="11">
        <f>COUNT(F55:AC55)</f>
        <v>0</v>
      </c>
    </row>
    <row r="56" spans="1:124">
      <c r="A56" s="70" t="s">
        <v>51</v>
      </c>
      <c r="B56" s="15"/>
      <c r="C56" s="15">
        <v>0.75</v>
      </c>
      <c r="D56" s="15"/>
      <c r="E56" s="15"/>
      <c r="F56" s="372"/>
      <c r="G56" s="372"/>
      <c r="H56" s="372"/>
      <c r="I56" s="372"/>
      <c r="J56" s="372"/>
      <c r="K56" s="374"/>
      <c r="L56" s="374"/>
      <c r="M56" s="374"/>
      <c r="N56" s="374"/>
      <c r="O56" s="372">
        <f>3.9/5</f>
        <v>0.78</v>
      </c>
      <c r="P56" s="372">
        <f>5/6</f>
        <v>0.83333333333333337</v>
      </c>
      <c r="Q56" s="372">
        <v>0.8</v>
      </c>
      <c r="R56" s="372">
        <v>0.8</v>
      </c>
      <c r="S56" s="372">
        <v>0.8</v>
      </c>
      <c r="T56" s="372">
        <v>0.75</v>
      </c>
      <c r="U56" s="372">
        <v>0.8</v>
      </c>
      <c r="V56" s="372"/>
      <c r="W56" s="372"/>
      <c r="X56" s="372"/>
      <c r="Y56" s="372"/>
      <c r="Z56" s="372"/>
      <c r="AA56" s="372"/>
      <c r="AB56" s="372"/>
      <c r="AC56" s="372">
        <v>0.8</v>
      </c>
      <c r="AD56" s="41"/>
      <c r="AE56" s="41"/>
      <c r="AF56" s="11">
        <f t="shared" si="11"/>
        <v>0</v>
      </c>
      <c r="AG56" s="11">
        <f t="shared" si="12"/>
        <v>0</v>
      </c>
      <c r="AH56" s="11">
        <f t="shared" si="13"/>
        <v>8</v>
      </c>
    </row>
    <row r="57" spans="1:124">
      <c r="A57" s="70" t="s">
        <v>52</v>
      </c>
      <c r="B57" s="15"/>
      <c r="C57" s="15">
        <v>0.75</v>
      </c>
      <c r="D57" s="15"/>
      <c r="E57" s="15"/>
      <c r="F57" s="372"/>
      <c r="G57" s="372"/>
      <c r="H57" s="372"/>
      <c r="I57" s="372"/>
      <c r="J57" s="372"/>
      <c r="K57" s="374"/>
      <c r="L57" s="374"/>
      <c r="M57" s="374"/>
      <c r="N57" s="372"/>
      <c r="O57" s="372"/>
      <c r="P57" s="372"/>
      <c r="Q57" s="372"/>
      <c r="R57" s="372"/>
      <c r="S57" s="372"/>
      <c r="T57" s="372"/>
      <c r="U57" s="372"/>
      <c r="V57" s="372"/>
      <c r="W57" s="372"/>
      <c r="X57" s="372"/>
      <c r="Y57" s="372"/>
      <c r="Z57" s="372"/>
      <c r="AA57" s="372"/>
      <c r="AB57" s="372"/>
      <c r="AC57" s="372"/>
      <c r="AD57" s="41"/>
      <c r="AE57" s="41"/>
      <c r="AF57" s="11">
        <f t="shared" si="11"/>
        <v>0</v>
      </c>
      <c r="AG57" s="11">
        <f t="shared" si="12"/>
        <v>0</v>
      </c>
      <c r="AH57" s="11">
        <f t="shared" si="13"/>
        <v>0</v>
      </c>
    </row>
    <row r="58" spans="1:124">
      <c r="A58" s="70" t="s">
        <v>53</v>
      </c>
      <c r="B58" s="15"/>
      <c r="C58" s="15">
        <v>0.85</v>
      </c>
      <c r="D58" s="15"/>
      <c r="E58" s="15"/>
      <c r="F58" s="372"/>
      <c r="G58" s="372"/>
      <c r="H58" s="372"/>
      <c r="I58" s="372"/>
      <c r="J58" s="372"/>
      <c r="K58" s="374"/>
      <c r="L58" s="374"/>
      <c r="M58" s="374"/>
      <c r="N58" s="372"/>
      <c r="O58" s="372"/>
      <c r="P58" s="372"/>
      <c r="Q58" s="372"/>
      <c r="R58" s="372"/>
      <c r="S58" s="372"/>
      <c r="T58" s="372"/>
      <c r="U58" s="372"/>
      <c r="V58" s="372"/>
      <c r="W58" s="372"/>
      <c r="X58" s="372"/>
      <c r="Y58" s="372"/>
      <c r="Z58" s="372"/>
      <c r="AA58" s="372"/>
      <c r="AB58" s="372"/>
      <c r="AC58" s="372"/>
      <c r="AD58" s="41"/>
      <c r="AE58" s="41"/>
      <c r="AF58" s="11">
        <f t="shared" si="11"/>
        <v>0</v>
      </c>
      <c r="AG58" s="11">
        <f t="shared" si="12"/>
        <v>0</v>
      </c>
      <c r="AH58" s="11">
        <f t="shared" si="13"/>
        <v>0</v>
      </c>
    </row>
    <row r="59" spans="1:124">
      <c r="A59" s="70" t="s">
        <v>54</v>
      </c>
      <c r="B59" s="15"/>
      <c r="C59" s="15">
        <v>0.85</v>
      </c>
      <c r="D59" s="15"/>
      <c r="E59" s="15"/>
      <c r="F59" s="372"/>
      <c r="G59" s="372"/>
      <c r="H59" s="372"/>
      <c r="I59" s="372"/>
      <c r="J59" s="372"/>
      <c r="K59" s="374"/>
      <c r="L59" s="374"/>
      <c r="M59" s="374"/>
      <c r="N59" s="372"/>
      <c r="O59" s="372"/>
      <c r="P59" s="372"/>
      <c r="Q59" s="372"/>
      <c r="R59" s="372"/>
      <c r="S59" s="372"/>
      <c r="T59" s="372"/>
      <c r="U59" s="372"/>
      <c r="V59" s="372"/>
      <c r="W59" s="372"/>
      <c r="X59" s="372"/>
      <c r="Y59" s="372"/>
      <c r="Z59" s="372"/>
      <c r="AA59" s="372"/>
      <c r="AB59" s="372"/>
      <c r="AC59" s="372"/>
      <c r="AD59" s="41"/>
      <c r="AE59" s="41"/>
      <c r="AF59" s="11">
        <f t="shared" si="11"/>
        <v>0</v>
      </c>
      <c r="AG59" s="11">
        <f t="shared" si="12"/>
        <v>0</v>
      </c>
      <c r="AH59" s="11">
        <f t="shared" si="13"/>
        <v>0</v>
      </c>
    </row>
    <row r="60" spans="1:124">
      <c r="A60" s="9" t="s">
        <v>26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 t="shared" ref="F60" si="16">SUM(F36:F59)</f>
        <v>0.9</v>
      </c>
      <c r="G60" s="19">
        <f t="shared" ref="G60:AC60" si="17">SUM(G36:G59)</f>
        <v>0.9</v>
      </c>
      <c r="H60" s="19">
        <f t="shared" si="17"/>
        <v>0.9</v>
      </c>
      <c r="I60" s="19">
        <f t="shared" si="17"/>
        <v>0.9</v>
      </c>
      <c r="J60" s="19">
        <f t="shared" si="17"/>
        <v>0.9</v>
      </c>
      <c r="K60" s="19">
        <f t="shared" si="17"/>
        <v>0</v>
      </c>
      <c r="L60" s="19">
        <f t="shared" si="17"/>
        <v>0</v>
      </c>
      <c r="M60" s="19">
        <f t="shared" si="17"/>
        <v>0</v>
      </c>
      <c r="N60" s="19">
        <f t="shared" si="17"/>
        <v>2.0999999999999996</v>
      </c>
      <c r="O60" s="19">
        <f>SUM(O36:O59)</f>
        <v>3.9000000000000004</v>
      </c>
      <c r="P60" s="19">
        <f t="shared" si="17"/>
        <v>5</v>
      </c>
      <c r="Q60" s="19">
        <f t="shared" si="17"/>
        <v>6.4966666666666661</v>
      </c>
      <c r="R60" s="19">
        <f t="shared" si="17"/>
        <v>6.4966666666666661</v>
      </c>
      <c r="S60" s="19">
        <f t="shared" si="17"/>
        <v>5.6999999999999993</v>
      </c>
      <c r="T60" s="19">
        <f>SUM(T36:T59)</f>
        <v>6.3999999999999995</v>
      </c>
      <c r="U60" s="19">
        <f t="shared" si="17"/>
        <v>6.4999999999999991</v>
      </c>
      <c r="V60" s="19">
        <f t="shared" si="17"/>
        <v>4.8</v>
      </c>
      <c r="W60" s="19">
        <f t="shared" si="17"/>
        <v>3.2</v>
      </c>
      <c r="X60" s="19">
        <f t="shared" si="17"/>
        <v>1.6</v>
      </c>
      <c r="Y60" s="19">
        <f t="shared" si="17"/>
        <v>0.9</v>
      </c>
      <c r="Z60" s="19">
        <f t="shared" si="17"/>
        <v>0</v>
      </c>
      <c r="AA60" s="19">
        <f t="shared" si="17"/>
        <v>0</v>
      </c>
      <c r="AB60" s="19">
        <f t="shared" si="17"/>
        <v>0</v>
      </c>
      <c r="AC60" s="19">
        <f t="shared" si="17"/>
        <v>3</v>
      </c>
      <c r="AD60" s="34"/>
      <c r="AE60" s="34"/>
      <c r="AF60" s="11"/>
      <c r="AG60" s="11"/>
      <c r="AH60" s="11"/>
    </row>
    <row r="61" spans="1:124">
      <c r="A61" s="12" t="s">
        <v>55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31.393333333333345</v>
      </c>
      <c r="AN61" s="351"/>
    </row>
    <row r="62" spans="1:124">
      <c r="A62" s="14" t="s">
        <v>56</v>
      </c>
      <c r="B62" s="20"/>
      <c r="C62" s="15">
        <v>0.75</v>
      </c>
      <c r="D62" s="15"/>
      <c r="E62" s="15"/>
      <c r="F62" s="372">
        <f>1.11/2</f>
        <v>0.55500000000000005</v>
      </c>
      <c r="G62" s="372">
        <f>1.01/2</f>
        <v>0.505</v>
      </c>
      <c r="H62" s="372">
        <f>1.01/2</f>
        <v>0.505</v>
      </c>
      <c r="I62" s="372">
        <v>0.45</v>
      </c>
      <c r="J62" s="372">
        <v>0.46500000000000002</v>
      </c>
      <c r="K62" s="374">
        <v>0.46500000000000002</v>
      </c>
      <c r="L62" s="374"/>
      <c r="M62" s="374"/>
      <c r="N62" s="372"/>
      <c r="O62" s="372"/>
      <c r="P62" s="372"/>
      <c r="Q62" s="372">
        <v>0.53</v>
      </c>
      <c r="R62" s="372">
        <v>0.54</v>
      </c>
      <c r="S62" s="372">
        <v>0.52</v>
      </c>
      <c r="T62" s="372">
        <v>0.53</v>
      </c>
      <c r="U62" s="372">
        <f>1.59/3</f>
        <v>0.53</v>
      </c>
      <c r="V62" s="372">
        <f>1.56/3</f>
        <v>0.52</v>
      </c>
      <c r="W62" s="372">
        <f>1.53/3</f>
        <v>0.51</v>
      </c>
      <c r="X62" s="372">
        <f>1.43/3</f>
        <v>0.47666666666666663</v>
      </c>
      <c r="Y62" s="372">
        <v>0.55000000000000004</v>
      </c>
      <c r="Z62" s="372">
        <v>0.51</v>
      </c>
      <c r="AA62" s="372">
        <v>0.49</v>
      </c>
      <c r="AB62" s="372">
        <v>0.69</v>
      </c>
      <c r="AC62" s="372">
        <f>1.27/2</f>
        <v>0.63500000000000001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19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57</v>
      </c>
      <c r="B63" s="20"/>
      <c r="C63" s="15">
        <v>0.75</v>
      </c>
      <c r="D63" s="15"/>
      <c r="E63" s="15"/>
      <c r="F63" s="372">
        <f>1.11/2</f>
        <v>0.55500000000000005</v>
      </c>
      <c r="G63" s="372">
        <f>1.01/2</f>
        <v>0.505</v>
      </c>
      <c r="H63" s="372">
        <f>1.01/2</f>
        <v>0.505</v>
      </c>
      <c r="I63" s="372">
        <v>0.45</v>
      </c>
      <c r="J63" s="372">
        <v>0.46500000000000002</v>
      </c>
      <c r="K63" s="374">
        <v>0.46500000000000002</v>
      </c>
      <c r="L63" s="374">
        <v>0.51500000000000001</v>
      </c>
      <c r="M63" s="374">
        <f>1.07/2</f>
        <v>0.53500000000000003</v>
      </c>
      <c r="N63" s="372">
        <f>1.21/2</f>
        <v>0.60499999999999998</v>
      </c>
      <c r="O63" s="372">
        <f>1.43/2</f>
        <v>0.71499999999999997</v>
      </c>
      <c r="P63" s="372">
        <f>1.51/2</f>
        <v>0.755</v>
      </c>
      <c r="Q63" s="372">
        <v>0.53</v>
      </c>
      <c r="R63" s="372">
        <v>0.53</v>
      </c>
      <c r="S63" s="372">
        <v>0.52</v>
      </c>
      <c r="T63" s="372">
        <v>0.53</v>
      </c>
      <c r="U63" s="372">
        <f t="shared" ref="U63:U64" si="18">1.59/3</f>
        <v>0.53</v>
      </c>
      <c r="V63" s="372">
        <f t="shared" ref="V63:V64" si="19">1.56/3</f>
        <v>0.52</v>
      </c>
      <c r="W63" s="372">
        <f t="shared" ref="W63:W64" si="20">1.53/3</f>
        <v>0.51</v>
      </c>
      <c r="X63" s="372">
        <v>0</v>
      </c>
      <c r="Y63" s="372">
        <v>0.54</v>
      </c>
      <c r="Z63" s="372">
        <v>0.51</v>
      </c>
      <c r="AA63" s="372">
        <v>0.49</v>
      </c>
      <c r="AB63" s="372"/>
      <c r="AC63" s="372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22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58</v>
      </c>
      <c r="B64" s="20"/>
      <c r="C64" s="15">
        <v>0.75</v>
      </c>
      <c r="D64" s="15"/>
      <c r="E64" s="15"/>
      <c r="F64" s="372">
        <v>0</v>
      </c>
      <c r="G64" s="372">
        <v>0</v>
      </c>
      <c r="H64" s="372">
        <v>0</v>
      </c>
      <c r="I64" s="372">
        <v>0</v>
      </c>
      <c r="J64" s="372">
        <v>0</v>
      </c>
      <c r="K64" s="374">
        <v>0</v>
      </c>
      <c r="L64" s="374">
        <v>0.51500000000000001</v>
      </c>
      <c r="M64" s="374">
        <f>1.07/2</f>
        <v>0.53500000000000003</v>
      </c>
      <c r="N64" s="372">
        <f>1.21/2</f>
        <v>0.60499999999999998</v>
      </c>
      <c r="O64" s="372">
        <f>1.43/2</f>
        <v>0.71499999999999997</v>
      </c>
      <c r="P64" s="372">
        <f>1.51/2</f>
        <v>0.755</v>
      </c>
      <c r="Q64" s="372">
        <v>0.53</v>
      </c>
      <c r="R64" s="372">
        <v>0.53</v>
      </c>
      <c r="S64" s="372">
        <v>0.52</v>
      </c>
      <c r="T64" s="372">
        <v>0.52</v>
      </c>
      <c r="U64" s="372">
        <f t="shared" si="18"/>
        <v>0.53</v>
      </c>
      <c r="V64" s="372">
        <f t="shared" si="19"/>
        <v>0.52</v>
      </c>
      <c r="W64" s="372">
        <f t="shared" si="20"/>
        <v>0.51</v>
      </c>
      <c r="X64" s="372">
        <f>1.43/3</f>
        <v>0.47666666666666663</v>
      </c>
      <c r="Y64" s="372">
        <v>0.54</v>
      </c>
      <c r="Z64" s="372">
        <v>0.51</v>
      </c>
      <c r="AA64" s="372">
        <v>0.5</v>
      </c>
      <c r="AB64" s="372">
        <v>0.69</v>
      </c>
      <c r="AC64" s="372">
        <f>1.27/2</f>
        <v>0.63500000000000001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24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1.1100000000000001</v>
      </c>
      <c r="G65" s="19">
        <f t="shared" ref="G65" si="21">SUM(G62:G64)</f>
        <v>1.01</v>
      </c>
      <c r="H65" s="19">
        <f>SUM(H62:H64)</f>
        <v>1.01</v>
      </c>
      <c r="I65" s="19">
        <f>SUM(I62:I64)</f>
        <v>0.9</v>
      </c>
      <c r="J65" s="19">
        <f t="shared" ref="J65" si="22">SUM(J62:J64)</f>
        <v>0.93</v>
      </c>
      <c r="K65" s="19">
        <f>SUM(K62:K64)</f>
        <v>0.93</v>
      </c>
      <c r="L65" s="19">
        <f>SUM(L62:L64)</f>
        <v>1.03</v>
      </c>
      <c r="M65" s="19">
        <f>SUM(M62:M64)</f>
        <v>1.07</v>
      </c>
      <c r="N65" s="19">
        <f>SUM(N62:N64)</f>
        <v>1.21</v>
      </c>
      <c r="O65" s="19">
        <f t="shared" ref="O65:AB65" si="23">SUM(O62:O64)</f>
        <v>1.43</v>
      </c>
      <c r="P65" s="19">
        <f t="shared" si="23"/>
        <v>1.51</v>
      </c>
      <c r="Q65" s="19">
        <f t="shared" si="23"/>
        <v>1.59</v>
      </c>
      <c r="R65" s="19">
        <f t="shared" si="23"/>
        <v>1.6</v>
      </c>
      <c r="S65" s="19">
        <f t="shared" si="23"/>
        <v>1.56</v>
      </c>
      <c r="T65" s="19">
        <f t="shared" si="23"/>
        <v>1.58</v>
      </c>
      <c r="U65" s="19">
        <f t="shared" si="23"/>
        <v>1.59</v>
      </c>
      <c r="V65" s="19">
        <f t="shared" si="23"/>
        <v>1.56</v>
      </c>
      <c r="W65" s="19">
        <f t="shared" si="23"/>
        <v>1.53</v>
      </c>
      <c r="X65" s="19">
        <f t="shared" si="23"/>
        <v>0.95333333333333325</v>
      </c>
      <c r="Y65" s="19">
        <f>SUM(Y62:Y64)</f>
        <v>1.6300000000000001</v>
      </c>
      <c r="Z65" s="19">
        <f t="shared" si="23"/>
        <v>1.53</v>
      </c>
      <c r="AA65" s="19">
        <f t="shared" si="23"/>
        <v>1.48</v>
      </c>
      <c r="AB65" s="19">
        <f t="shared" si="23"/>
        <v>1.38</v>
      </c>
      <c r="AC65" s="19">
        <f>SUM(AC62:AC64)</f>
        <v>1.27</v>
      </c>
      <c r="AD65" s="34"/>
      <c r="AE65" s="34"/>
      <c r="AF65" s="11"/>
      <c r="AG65" s="11"/>
      <c r="AH65" s="11"/>
    </row>
    <row r="66" spans="1:124" hidden="1">
      <c r="A66" s="12" t="s">
        <v>59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idden="1">
      <c r="A67" s="14" t="s">
        <v>60</v>
      </c>
      <c r="B67" s="15"/>
      <c r="C67" s="15">
        <v>0.85</v>
      </c>
      <c r="D67" s="15"/>
      <c r="E67" s="15"/>
      <c r="F67" s="372"/>
      <c r="G67" s="372"/>
      <c r="H67" s="372"/>
      <c r="I67" s="372"/>
      <c r="J67" s="372"/>
      <c r="K67" s="374"/>
      <c r="L67" s="374"/>
      <c r="M67" s="374"/>
      <c r="N67" s="372"/>
      <c r="O67" s="372"/>
      <c r="P67" s="372"/>
      <c r="Q67" s="372"/>
      <c r="R67" s="372"/>
      <c r="S67" s="372"/>
      <c r="T67" s="372"/>
      <c r="U67" s="372"/>
      <c r="V67" s="372"/>
      <c r="W67" s="372"/>
      <c r="X67" s="372"/>
      <c r="Y67" s="372"/>
      <c r="Z67" s="372"/>
      <c r="AA67" s="372"/>
      <c r="AB67" s="372"/>
      <c r="AC67" s="372"/>
      <c r="AD67" s="35"/>
      <c r="AE67" s="35"/>
      <c r="AF67" s="11">
        <f t="shared" ref="AF67:AF75" si="24">COUNTIF(F67:AC67,$AF$11)</f>
        <v>0</v>
      </c>
      <c r="AG67" s="11">
        <f t="shared" ref="AG67:AG75" si="25">COUNTIF(G67:AC67,$AG$11)</f>
        <v>0</v>
      </c>
      <c r="AH67" s="11">
        <f t="shared" ref="AH67:AH75" si="26">COUNT(F67:AC67)</f>
        <v>0</v>
      </c>
    </row>
    <row r="68" spans="1:124" hidden="1">
      <c r="A68" s="14" t="s">
        <v>61</v>
      </c>
      <c r="B68" s="15"/>
      <c r="C68" s="15">
        <v>0.85</v>
      </c>
      <c r="D68" s="15"/>
      <c r="E68" s="15"/>
      <c r="F68" s="372"/>
      <c r="G68" s="372"/>
      <c r="H68" s="372"/>
      <c r="I68" s="372"/>
      <c r="J68" s="372"/>
      <c r="K68" s="374"/>
      <c r="L68" s="374"/>
      <c r="M68" s="374"/>
      <c r="N68" s="372"/>
      <c r="O68" s="372"/>
      <c r="P68" s="372"/>
      <c r="Q68" s="372"/>
      <c r="R68" s="372"/>
      <c r="S68" s="372"/>
      <c r="T68" s="372"/>
      <c r="U68" s="372"/>
      <c r="V68" s="372"/>
      <c r="W68" s="372"/>
      <c r="X68" s="372"/>
      <c r="Y68" s="372"/>
      <c r="Z68" s="372"/>
      <c r="AA68" s="372"/>
      <c r="AB68" s="372"/>
      <c r="AC68" s="372"/>
      <c r="AD68" s="35"/>
      <c r="AE68" s="35"/>
      <c r="AF68" s="11">
        <f t="shared" si="24"/>
        <v>0</v>
      </c>
      <c r="AG68" s="11">
        <f t="shared" si="25"/>
        <v>0</v>
      </c>
      <c r="AH68" s="11">
        <f t="shared" si="26"/>
        <v>0</v>
      </c>
    </row>
    <row r="69" spans="1:124" hidden="1">
      <c r="A69" s="14" t="s">
        <v>62</v>
      </c>
      <c r="B69" s="15"/>
      <c r="C69" s="15">
        <v>0.85</v>
      </c>
      <c r="D69" s="15"/>
      <c r="E69" s="15"/>
      <c r="F69" s="372"/>
      <c r="G69" s="372"/>
      <c r="H69" s="372"/>
      <c r="I69" s="372"/>
      <c r="J69" s="372"/>
      <c r="K69" s="374"/>
      <c r="L69" s="374"/>
      <c r="M69" s="374"/>
      <c r="N69" s="372"/>
      <c r="O69" s="372"/>
      <c r="P69" s="372"/>
      <c r="Q69" s="372"/>
      <c r="R69" s="372"/>
      <c r="S69" s="372"/>
      <c r="T69" s="372"/>
      <c r="U69" s="372"/>
      <c r="V69" s="372"/>
      <c r="W69" s="372"/>
      <c r="X69" s="372"/>
      <c r="Y69" s="372"/>
      <c r="Z69" s="372"/>
      <c r="AA69" s="372"/>
      <c r="AB69" s="372"/>
      <c r="AC69" s="372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6"/>
        <v>0</v>
      </c>
    </row>
    <row r="70" spans="1:124" hidden="1">
      <c r="A70" s="14" t="s">
        <v>63</v>
      </c>
      <c r="B70" s="15"/>
      <c r="C70" s="15">
        <v>0.85</v>
      </c>
      <c r="D70" s="15"/>
      <c r="E70" s="15"/>
      <c r="F70" s="372"/>
      <c r="G70" s="372"/>
      <c r="H70" s="372"/>
      <c r="I70" s="372"/>
      <c r="J70" s="372"/>
      <c r="K70" s="374"/>
      <c r="L70" s="374"/>
      <c r="M70" s="374"/>
      <c r="N70" s="372"/>
      <c r="O70" s="372"/>
      <c r="P70" s="372"/>
      <c r="Q70" s="372"/>
      <c r="R70" s="372"/>
      <c r="S70" s="372"/>
      <c r="T70" s="372"/>
      <c r="U70" s="372"/>
      <c r="V70" s="372"/>
      <c r="W70" s="372"/>
      <c r="X70" s="372"/>
      <c r="Y70" s="372"/>
      <c r="Z70" s="372"/>
      <c r="AA70" s="372"/>
      <c r="AB70" s="372"/>
      <c r="AC70" s="372"/>
      <c r="AD70" s="35"/>
      <c r="AE70" s="35"/>
      <c r="AF70" s="11">
        <f t="shared" si="24"/>
        <v>0</v>
      </c>
      <c r="AG70" s="11">
        <f t="shared" si="25"/>
        <v>0</v>
      </c>
      <c r="AH70" s="11">
        <f t="shared" si="26"/>
        <v>0</v>
      </c>
      <c r="AI70" s="5"/>
      <c r="AJ70" s="5"/>
      <c r="AK70" s="5"/>
      <c r="AL70" s="5"/>
    </row>
    <row r="71" spans="1:124" hidden="1">
      <c r="A71" s="14" t="s">
        <v>64</v>
      </c>
      <c r="B71" s="15"/>
      <c r="C71" s="15">
        <v>0.85</v>
      </c>
      <c r="D71" s="15"/>
      <c r="E71" s="15"/>
      <c r="F71" s="372"/>
      <c r="G71" s="372"/>
      <c r="H71" s="372"/>
      <c r="I71" s="372"/>
      <c r="J71" s="372"/>
      <c r="K71" s="374"/>
      <c r="L71" s="374"/>
      <c r="M71" s="374"/>
      <c r="N71" s="372"/>
      <c r="O71" s="372"/>
      <c r="P71" s="372"/>
      <c r="Q71" s="372"/>
      <c r="R71" s="372"/>
      <c r="S71" s="372"/>
      <c r="T71" s="372"/>
      <c r="U71" s="372"/>
      <c r="V71" s="372"/>
      <c r="W71" s="372"/>
      <c r="X71" s="372"/>
      <c r="Y71" s="372"/>
      <c r="Z71" s="372"/>
      <c r="AA71" s="372"/>
      <c r="AB71" s="372"/>
      <c r="AC71" s="372"/>
      <c r="AD71" s="35"/>
      <c r="AE71" s="35"/>
      <c r="AF71" s="11">
        <f t="shared" si="24"/>
        <v>0</v>
      </c>
      <c r="AG71" s="11">
        <f t="shared" si="25"/>
        <v>0</v>
      </c>
      <c r="AH71" s="11">
        <f t="shared" si="26"/>
        <v>0</v>
      </c>
    </row>
    <row r="72" spans="1:124" hidden="1">
      <c r="A72" s="14" t="s">
        <v>65</v>
      </c>
      <c r="B72" s="15"/>
      <c r="C72" s="15">
        <v>0.85</v>
      </c>
      <c r="D72" s="15"/>
      <c r="E72" s="15"/>
      <c r="F72" s="372"/>
      <c r="G72" s="372"/>
      <c r="H72" s="372"/>
      <c r="I72" s="372"/>
      <c r="J72" s="372"/>
      <c r="K72" s="374"/>
      <c r="L72" s="374"/>
      <c r="M72" s="374"/>
      <c r="N72" s="372"/>
      <c r="O72" s="372"/>
      <c r="P72" s="372"/>
      <c r="Q72" s="372"/>
      <c r="R72" s="372"/>
      <c r="S72" s="372"/>
      <c r="T72" s="372"/>
      <c r="U72" s="372"/>
      <c r="V72" s="372"/>
      <c r="W72" s="372"/>
      <c r="X72" s="372"/>
      <c r="Y72" s="372"/>
      <c r="Z72" s="372"/>
      <c r="AA72" s="372"/>
      <c r="AB72" s="372"/>
      <c r="AC72" s="372"/>
      <c r="AD72" s="35"/>
      <c r="AE72" s="35"/>
      <c r="AF72" s="11">
        <f t="shared" si="24"/>
        <v>0</v>
      </c>
      <c r="AG72" s="11">
        <f t="shared" si="25"/>
        <v>0</v>
      </c>
      <c r="AH72" s="11">
        <f t="shared" si="26"/>
        <v>0</v>
      </c>
    </row>
    <row r="73" spans="1:124" hidden="1">
      <c r="A73" s="14" t="s">
        <v>66</v>
      </c>
      <c r="B73" s="15"/>
      <c r="C73" s="15">
        <v>0.85</v>
      </c>
      <c r="D73" s="15"/>
      <c r="E73" s="15"/>
      <c r="F73" s="372"/>
      <c r="G73" s="372"/>
      <c r="H73" s="372"/>
      <c r="I73" s="372"/>
      <c r="J73" s="372"/>
      <c r="K73" s="374"/>
      <c r="L73" s="374"/>
      <c r="M73" s="374"/>
      <c r="N73" s="372"/>
      <c r="O73" s="372"/>
      <c r="P73" s="372"/>
      <c r="Q73" s="372"/>
      <c r="R73" s="372"/>
      <c r="S73" s="372"/>
      <c r="T73" s="372"/>
      <c r="U73" s="372"/>
      <c r="V73" s="372"/>
      <c r="W73" s="372"/>
      <c r="X73" s="372"/>
      <c r="Y73" s="372"/>
      <c r="Z73" s="372"/>
      <c r="AA73" s="372"/>
      <c r="AB73" s="372"/>
      <c r="AC73" s="372"/>
      <c r="AD73" s="35"/>
      <c r="AE73" s="35"/>
      <c r="AF73" s="11">
        <f t="shared" si="24"/>
        <v>0</v>
      </c>
      <c r="AG73" s="11">
        <f t="shared" si="25"/>
        <v>0</v>
      </c>
      <c r="AH73" s="11">
        <f t="shared" si="26"/>
        <v>0</v>
      </c>
    </row>
    <row r="74" spans="1:124" hidden="1">
      <c r="A74" s="14" t="s">
        <v>67</v>
      </c>
      <c r="B74" s="19"/>
      <c r="C74" s="15">
        <v>0.85</v>
      </c>
      <c r="D74" s="15"/>
      <c r="E74" s="15"/>
      <c r="F74" s="372"/>
      <c r="G74" s="372"/>
      <c r="H74" s="372"/>
      <c r="I74" s="372"/>
      <c r="J74" s="372"/>
      <c r="K74" s="374"/>
      <c r="L74" s="374"/>
      <c r="M74" s="374"/>
      <c r="N74" s="372"/>
      <c r="O74" s="372"/>
      <c r="P74" s="372"/>
      <c r="Q74" s="372"/>
      <c r="R74" s="372"/>
      <c r="S74" s="372"/>
      <c r="T74" s="372"/>
      <c r="U74" s="372"/>
      <c r="V74" s="372"/>
      <c r="W74" s="372"/>
      <c r="X74" s="372"/>
      <c r="Y74" s="372"/>
      <c r="Z74" s="372"/>
      <c r="AA74" s="372"/>
      <c r="AB74" s="372"/>
      <c r="AC74" s="372"/>
      <c r="AD74" s="29"/>
      <c r="AE74" s="29"/>
      <c r="AF74" s="11">
        <f t="shared" si="24"/>
        <v>0</v>
      </c>
      <c r="AG74" s="11">
        <f t="shared" si="25"/>
        <v>0</v>
      </c>
      <c r="AH74" s="11">
        <f t="shared" si="26"/>
        <v>0</v>
      </c>
    </row>
    <row r="75" spans="1:124" ht="15.75" hidden="1" customHeight="1">
      <c r="A75" s="14" t="s">
        <v>68</v>
      </c>
      <c r="B75" s="9"/>
      <c r="C75" s="15">
        <v>0.85</v>
      </c>
      <c r="D75" s="15"/>
      <c r="E75" s="15"/>
      <c r="F75" s="372"/>
      <c r="G75" s="372"/>
      <c r="H75" s="372"/>
      <c r="I75" s="372"/>
      <c r="J75" s="372"/>
      <c r="K75" s="374"/>
      <c r="L75" s="374"/>
      <c r="M75" s="374"/>
      <c r="N75" s="372"/>
      <c r="O75" s="372"/>
      <c r="P75" s="372"/>
      <c r="Q75" s="372"/>
      <c r="R75" s="372"/>
      <c r="S75" s="372"/>
      <c r="T75" s="372"/>
      <c r="U75" s="372"/>
      <c r="V75" s="372"/>
      <c r="W75" s="372"/>
      <c r="X75" s="372"/>
      <c r="Y75" s="372"/>
      <c r="Z75" s="372"/>
      <c r="AA75" s="372"/>
      <c r="AB75" s="372"/>
      <c r="AC75" s="372"/>
      <c r="AD75" s="31"/>
      <c r="AE75" s="31"/>
      <c r="AF75" s="11">
        <f t="shared" si="24"/>
        <v>0</v>
      </c>
      <c r="AG75" s="11">
        <f t="shared" si="25"/>
        <v>0</v>
      </c>
      <c r="AH75" s="11">
        <f t="shared" si="26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7">SUM(F67:F75)</f>
        <v>0</v>
      </c>
      <c r="G76" s="19">
        <f t="shared" ref="G76:AC76" si="28">SUM(G67:G75)</f>
        <v>0</v>
      </c>
      <c r="H76" s="19">
        <f t="shared" si="28"/>
        <v>0</v>
      </c>
      <c r="I76" s="19">
        <f t="shared" si="28"/>
        <v>0</v>
      </c>
      <c r="J76" s="19">
        <f t="shared" si="28"/>
        <v>0</v>
      </c>
      <c r="K76" s="19">
        <f t="shared" si="28"/>
        <v>0</v>
      </c>
      <c r="L76" s="19">
        <f>SUM(L67:L75)</f>
        <v>0</v>
      </c>
      <c r="M76" s="19">
        <f t="shared" si="28"/>
        <v>0</v>
      </c>
      <c r="N76" s="19">
        <f t="shared" si="28"/>
        <v>0</v>
      </c>
      <c r="O76" s="19">
        <f t="shared" si="28"/>
        <v>0</v>
      </c>
      <c r="P76" s="19">
        <f t="shared" si="28"/>
        <v>0</v>
      </c>
      <c r="Q76" s="19">
        <f>SUM(Q67:Q75)</f>
        <v>0</v>
      </c>
      <c r="R76" s="19">
        <f t="shared" si="28"/>
        <v>0</v>
      </c>
      <c r="S76" s="19">
        <f t="shared" si="28"/>
        <v>0</v>
      </c>
      <c r="T76" s="19">
        <f t="shared" si="28"/>
        <v>0</v>
      </c>
      <c r="U76" s="19">
        <f t="shared" si="28"/>
        <v>0</v>
      </c>
      <c r="V76" s="19">
        <f t="shared" si="28"/>
        <v>0</v>
      </c>
      <c r="W76" s="19">
        <f t="shared" si="28"/>
        <v>0</v>
      </c>
      <c r="X76" s="19">
        <f t="shared" si="28"/>
        <v>0</v>
      </c>
      <c r="Y76" s="19">
        <f t="shared" si="28"/>
        <v>0</v>
      </c>
      <c r="Z76" s="19">
        <f t="shared" si="28"/>
        <v>0</v>
      </c>
      <c r="AA76" s="19">
        <f t="shared" si="28"/>
        <v>0</v>
      </c>
      <c r="AB76" s="19">
        <f t="shared" si="28"/>
        <v>0</v>
      </c>
      <c r="AC76" s="19">
        <f t="shared" si="28"/>
        <v>0</v>
      </c>
      <c r="AD76" s="34"/>
      <c r="AE76" s="34"/>
      <c r="AF76" s="11"/>
      <c r="AG76" s="11"/>
      <c r="AH76" s="11"/>
    </row>
    <row r="77" spans="1:124">
      <c r="A77" s="12" t="s">
        <v>69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 t="s">
        <v>21</v>
      </c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20.260000000000002</v>
      </c>
    </row>
    <row r="78" spans="1:124">
      <c r="A78" s="14" t="s">
        <v>70</v>
      </c>
      <c r="B78" s="20"/>
      <c r="C78" s="15">
        <v>1</v>
      </c>
      <c r="D78" s="15"/>
      <c r="E78" s="15"/>
      <c r="F78" s="372">
        <v>0.83</v>
      </c>
      <c r="G78" s="372">
        <v>0.76</v>
      </c>
      <c r="H78" s="372">
        <v>0.76</v>
      </c>
      <c r="I78" s="372">
        <v>0.72</v>
      </c>
      <c r="J78" s="372">
        <v>0.71</v>
      </c>
      <c r="K78" s="374">
        <v>0.73</v>
      </c>
      <c r="L78" s="374">
        <v>0.75</v>
      </c>
      <c r="M78" s="374">
        <v>0.74</v>
      </c>
      <c r="N78" s="372">
        <v>0.74</v>
      </c>
      <c r="O78" s="372">
        <v>0.78</v>
      </c>
      <c r="P78" s="372">
        <v>0.83</v>
      </c>
      <c r="Q78" s="372">
        <v>0.85</v>
      </c>
      <c r="R78" s="372">
        <v>0.89</v>
      </c>
      <c r="S78" s="372">
        <v>0.9</v>
      </c>
      <c r="T78" s="372">
        <v>0.9</v>
      </c>
      <c r="U78" s="372">
        <v>0.91</v>
      </c>
      <c r="V78" s="372">
        <v>0.9</v>
      </c>
      <c r="W78" s="372">
        <v>0.9</v>
      </c>
      <c r="X78" s="372">
        <v>0.88</v>
      </c>
      <c r="Y78" s="372"/>
      <c r="Z78" s="372"/>
      <c r="AA78" s="372"/>
      <c r="AB78" s="372"/>
      <c r="AC78" s="372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19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71</v>
      </c>
      <c r="B79" s="20"/>
      <c r="C79" s="15">
        <v>1</v>
      </c>
      <c r="D79" s="15"/>
      <c r="E79" s="15"/>
      <c r="F79" s="372"/>
      <c r="G79" s="372"/>
      <c r="H79" s="372"/>
      <c r="I79" s="372"/>
      <c r="J79" s="372"/>
      <c r="K79" s="374"/>
      <c r="L79" s="374"/>
      <c r="M79" s="374"/>
      <c r="N79" s="372"/>
      <c r="O79" s="372"/>
      <c r="P79" s="372"/>
      <c r="Q79" s="372"/>
      <c r="R79" s="372"/>
      <c r="S79" s="372"/>
      <c r="T79" s="372"/>
      <c r="U79" s="372"/>
      <c r="V79" s="372"/>
      <c r="W79" s="372"/>
      <c r="X79" s="372"/>
      <c r="Y79" s="372">
        <v>0.97</v>
      </c>
      <c r="Z79" s="372">
        <v>1</v>
      </c>
      <c r="AA79" s="372">
        <v>0.98</v>
      </c>
      <c r="AB79" s="372">
        <v>0.93</v>
      </c>
      <c r="AC79" s="372">
        <v>0.9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5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" si="29">SUM(F78:F79)</f>
        <v>0.83</v>
      </c>
      <c r="G80" s="19">
        <f t="shared" ref="G80" si="30">SUM(G78:G79)</f>
        <v>0.76</v>
      </c>
      <c r="H80" s="19">
        <f>SUM(H78:H79)</f>
        <v>0.76</v>
      </c>
      <c r="I80" s="19">
        <f>SUM(I78:I79)</f>
        <v>0.72</v>
      </c>
      <c r="J80" s="19">
        <f t="shared" ref="J80:AC80" si="31">SUM(J78:J79)</f>
        <v>0.71</v>
      </c>
      <c r="K80" s="19">
        <f t="shared" si="31"/>
        <v>0.73</v>
      </c>
      <c r="L80" s="19">
        <f>SUM(L78:L79)</f>
        <v>0.75</v>
      </c>
      <c r="M80" s="19">
        <f t="shared" si="31"/>
        <v>0.74</v>
      </c>
      <c r="N80" s="19">
        <f t="shared" si="31"/>
        <v>0.74</v>
      </c>
      <c r="O80" s="19">
        <f>SUM(O78:O79)</f>
        <v>0.78</v>
      </c>
      <c r="P80" s="19">
        <f t="shared" si="31"/>
        <v>0.83</v>
      </c>
      <c r="Q80" s="19">
        <f t="shared" si="31"/>
        <v>0.85</v>
      </c>
      <c r="R80" s="19">
        <f t="shared" si="31"/>
        <v>0.89</v>
      </c>
      <c r="S80" s="19">
        <f t="shared" si="31"/>
        <v>0.9</v>
      </c>
      <c r="T80" s="19">
        <f t="shared" si="31"/>
        <v>0.9</v>
      </c>
      <c r="U80" s="19">
        <f t="shared" si="31"/>
        <v>0.91</v>
      </c>
      <c r="V80" s="19">
        <f t="shared" si="31"/>
        <v>0.9</v>
      </c>
      <c r="W80" s="19">
        <f t="shared" si="31"/>
        <v>0.9</v>
      </c>
      <c r="X80" s="19">
        <f t="shared" si="31"/>
        <v>0.88</v>
      </c>
      <c r="Y80" s="19">
        <f t="shared" si="31"/>
        <v>0.97</v>
      </c>
      <c r="Z80" s="19">
        <f t="shared" si="31"/>
        <v>1</v>
      </c>
      <c r="AA80" s="19">
        <f t="shared" si="31"/>
        <v>0.98</v>
      </c>
      <c r="AB80" s="19">
        <f t="shared" si="31"/>
        <v>0.93</v>
      </c>
      <c r="AC80" s="19">
        <f t="shared" si="31"/>
        <v>0.9</v>
      </c>
      <c r="AD80" s="34"/>
      <c r="AE80" s="34"/>
      <c r="AF80" s="11"/>
      <c r="AG80" s="11"/>
      <c r="AH80" s="11"/>
    </row>
    <row r="81" spans="1:40" ht="17.45" hidden="1">
      <c r="A81" s="366" t="s">
        <v>72</v>
      </c>
      <c r="B81" s="365"/>
      <c r="C81" s="367">
        <v>2</v>
      </c>
      <c r="D81" s="363"/>
      <c r="E81" s="363"/>
      <c r="F81" s="364"/>
      <c r="G81" s="364"/>
      <c r="H81" s="364"/>
      <c r="I81" s="364"/>
      <c r="J81" s="364"/>
      <c r="K81" s="364"/>
      <c r="L81" s="364"/>
      <c r="M81" s="364"/>
      <c r="N81" s="364"/>
      <c r="O81" s="364"/>
      <c r="P81" s="364"/>
      <c r="Q81" s="364"/>
      <c r="R81" s="364"/>
      <c r="S81" s="364"/>
      <c r="T81" s="364"/>
      <c r="U81" s="364"/>
      <c r="V81" s="364"/>
      <c r="W81" s="364"/>
      <c r="X81" s="364"/>
      <c r="Y81" s="364"/>
      <c r="Z81" s="364"/>
      <c r="AA81" s="364"/>
      <c r="AB81" s="364"/>
      <c r="AC81" s="364"/>
    </row>
    <row r="82" spans="1:40" ht="17.45" hidden="1">
      <c r="A82" s="368"/>
      <c r="B82" s="369"/>
      <c r="C82" s="370"/>
      <c r="D82" s="371"/>
      <c r="E82" s="371"/>
      <c r="F82" s="372"/>
      <c r="G82" s="372"/>
      <c r="H82" s="372"/>
      <c r="I82" s="372"/>
      <c r="J82" s="372"/>
      <c r="K82" s="374"/>
      <c r="L82" s="374"/>
      <c r="M82" s="374"/>
      <c r="N82" s="372"/>
      <c r="O82" s="372"/>
      <c r="P82" s="372"/>
      <c r="Q82" s="372"/>
      <c r="R82" s="372"/>
      <c r="S82" s="372"/>
      <c r="T82" s="372"/>
      <c r="U82" s="372"/>
      <c r="V82" s="372"/>
      <c r="W82" s="372"/>
      <c r="X82" s="372"/>
      <c r="Y82" s="372"/>
      <c r="Z82" s="372"/>
      <c r="AA82" s="372"/>
      <c r="AB82" s="372"/>
      <c r="AC82" s="372"/>
    </row>
    <row r="83" spans="1:40">
      <c r="A83" s="21" t="s">
        <v>73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" si="32">SUM(F17,F22,F25,F31,F34,F60,F65,F76,F80,F82)</f>
        <v>47.929999999999993</v>
      </c>
      <c r="G83" s="28">
        <f t="shared" ref="G83:AC83" si="33">SUM(G17,G22,G25,G31,G34,G60,G65,G76,G80,G82)</f>
        <v>46.009999999999991</v>
      </c>
      <c r="H83" s="28">
        <f t="shared" si="33"/>
        <v>43.809999999999995</v>
      </c>
      <c r="I83" s="28">
        <f t="shared" si="33"/>
        <v>41.699999999999996</v>
      </c>
      <c r="J83" s="28">
        <f t="shared" si="33"/>
        <v>40.369999999999997</v>
      </c>
      <c r="K83" s="28">
        <f t="shared" si="33"/>
        <v>40.929999999999993</v>
      </c>
      <c r="L83" s="28">
        <f t="shared" si="33"/>
        <v>44.4</v>
      </c>
      <c r="M83" s="28">
        <f t="shared" si="33"/>
        <v>44</v>
      </c>
      <c r="N83" s="28">
        <f>SUM(N17,N22,N25,N31,N34,N60,N65,N76,N80,N82)</f>
        <v>51.13000000000001</v>
      </c>
      <c r="O83" s="28">
        <f>SUM(O17,O22,O25,O31,O34,O60,O65,O76,O80,O82)</f>
        <v>62.72</v>
      </c>
      <c r="P83" s="28">
        <f t="shared" si="33"/>
        <v>66.63</v>
      </c>
      <c r="Q83" s="28">
        <f t="shared" si="33"/>
        <v>68.36666666666666</v>
      </c>
      <c r="R83" s="28">
        <f t="shared" si="33"/>
        <v>68.476666666666659</v>
      </c>
      <c r="S83" s="28">
        <f t="shared" si="33"/>
        <v>70.87</v>
      </c>
      <c r="T83" s="28">
        <f t="shared" si="33"/>
        <v>74.09</v>
      </c>
      <c r="U83" s="28">
        <f>SUM(U17,U22,U25,U31,U34,U60,U65,U76,U80,U82)</f>
        <v>72.7</v>
      </c>
      <c r="V83" s="28">
        <f t="shared" si="33"/>
        <v>70.150000000000006</v>
      </c>
      <c r="W83" s="28">
        <f t="shared" si="33"/>
        <v>68.400000000000006</v>
      </c>
      <c r="X83" s="28">
        <f t="shared" si="33"/>
        <v>63.443333333333335</v>
      </c>
      <c r="Y83" s="28">
        <f t="shared" si="33"/>
        <v>67.33</v>
      </c>
      <c r="Z83" s="28">
        <f t="shared" si="33"/>
        <v>64.240000000000009</v>
      </c>
      <c r="AA83" s="28">
        <f t="shared" si="33"/>
        <v>59.349999999999994</v>
      </c>
      <c r="AB83" s="28">
        <f t="shared" si="33"/>
        <v>54.830000000000005</v>
      </c>
      <c r="AC83" s="28">
        <f t="shared" si="33"/>
        <v>50.85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25" t="s">
        <v>74</v>
      </c>
      <c r="B85" s="525"/>
      <c r="C85" s="525"/>
      <c r="D85" s="525"/>
      <c r="E85" s="525"/>
      <c r="F85" s="525"/>
      <c r="G85" s="525"/>
      <c r="H85" s="525"/>
      <c r="I85" s="525"/>
      <c r="J85" s="525"/>
      <c r="K85" s="525"/>
      <c r="L85" s="525"/>
      <c r="M85" s="525"/>
      <c r="N85" s="525"/>
      <c r="O85" s="525"/>
      <c r="P85" s="525"/>
      <c r="Q85" s="525"/>
      <c r="R85" s="525"/>
      <c r="S85" s="525"/>
      <c r="T85" s="525"/>
      <c r="U85" s="525"/>
      <c r="V85" s="525"/>
      <c r="W85" s="525"/>
      <c r="X85" s="525"/>
      <c r="Y85" s="525"/>
      <c r="Z85" s="525"/>
      <c r="AA85" s="525"/>
      <c r="AB85" s="525"/>
      <c r="AC85" s="525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</row>
    <row r="87" spans="1:40" ht="17.45">
      <c r="A87" s="500" t="s">
        <v>75</v>
      </c>
      <c r="B87" s="501"/>
      <c r="C87" s="502"/>
      <c r="D87" s="49"/>
      <c r="E87" s="49"/>
      <c r="F87" s="506" t="s">
        <v>76</v>
      </c>
      <c r="G87" s="506"/>
      <c r="H87" s="506"/>
      <c r="I87" s="506"/>
      <c r="J87" s="506"/>
      <c r="K87" s="506"/>
      <c r="L87" s="506"/>
      <c r="M87" s="506"/>
      <c r="N87" s="506"/>
      <c r="O87" s="506"/>
      <c r="P87" s="506"/>
      <c r="Q87" s="506"/>
      <c r="R87" s="506"/>
      <c r="S87" s="506"/>
      <c r="T87" s="506"/>
      <c r="U87" s="506"/>
      <c r="V87" s="506"/>
      <c r="W87" s="506"/>
      <c r="X87" s="506"/>
      <c r="Y87" s="506"/>
      <c r="Z87" s="506"/>
      <c r="AA87" s="506"/>
      <c r="AB87" s="506"/>
      <c r="AC87" s="506"/>
      <c r="AD87" s="5"/>
      <c r="AE87" s="5"/>
      <c r="AF87" s="5"/>
      <c r="AG87" s="5"/>
      <c r="AH87" s="5"/>
    </row>
    <row r="88" spans="1:40" ht="15.6" customHeight="1">
      <c r="A88" s="503"/>
      <c r="B88" s="504"/>
      <c r="C88" s="505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07" t="s">
        <v>27</v>
      </c>
      <c r="B89" s="508"/>
      <c r="C89" s="509"/>
      <c r="D89" s="45"/>
      <c r="E89" s="45"/>
      <c r="F89" s="64">
        <f t="shared" ref="F89:AC89" si="34">SUM(F22,F25)</f>
        <v>8</v>
      </c>
      <c r="G89" s="64">
        <f t="shared" si="34"/>
        <v>5.2</v>
      </c>
      <c r="H89" s="64">
        <f t="shared" si="34"/>
        <v>3</v>
      </c>
      <c r="I89" s="64">
        <f t="shared" si="34"/>
        <v>3</v>
      </c>
      <c r="J89" s="64">
        <f t="shared" si="34"/>
        <v>3</v>
      </c>
      <c r="K89" s="64">
        <f t="shared" si="34"/>
        <v>3</v>
      </c>
      <c r="L89" s="64">
        <f t="shared" si="34"/>
        <v>3</v>
      </c>
      <c r="M89" s="64">
        <f t="shared" si="34"/>
        <v>3</v>
      </c>
      <c r="N89" s="64">
        <f t="shared" si="34"/>
        <v>3.8</v>
      </c>
      <c r="O89" s="64">
        <f t="shared" si="34"/>
        <v>6.6999999999999993</v>
      </c>
      <c r="P89" s="64">
        <f t="shared" si="34"/>
        <v>6.6999999999999993</v>
      </c>
      <c r="Q89" s="64">
        <f t="shared" si="34"/>
        <v>6.6</v>
      </c>
      <c r="R89" s="64">
        <f t="shared" si="34"/>
        <v>6.6</v>
      </c>
      <c r="S89" s="64">
        <f t="shared" si="34"/>
        <v>9.6</v>
      </c>
      <c r="T89" s="64">
        <f t="shared" si="34"/>
        <v>10.6</v>
      </c>
      <c r="U89" s="64">
        <f t="shared" si="34"/>
        <v>10.399999999999999</v>
      </c>
      <c r="V89" s="64">
        <f t="shared" si="34"/>
        <v>10.399999999999999</v>
      </c>
      <c r="W89" s="64">
        <f t="shared" si="34"/>
        <v>10.399999999999999</v>
      </c>
      <c r="X89" s="64">
        <f t="shared" si="34"/>
        <v>10.399999999999999</v>
      </c>
      <c r="Y89" s="64">
        <f t="shared" si="34"/>
        <v>10.399999999999999</v>
      </c>
      <c r="Z89" s="64">
        <f t="shared" si="34"/>
        <v>10.399999999999999</v>
      </c>
      <c r="AA89" s="64">
        <f t="shared" si="34"/>
        <v>8.8000000000000007</v>
      </c>
      <c r="AB89" s="64">
        <f t="shared" si="34"/>
        <v>5.5</v>
      </c>
      <c r="AC89" s="64">
        <f t="shared" si="34"/>
        <v>5.8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521" t="s">
        <v>77</v>
      </c>
      <c r="B90" s="521"/>
      <c r="C90" s="522"/>
      <c r="D90" s="45"/>
      <c r="E90" s="45"/>
      <c r="F90" s="68">
        <v>0.251</v>
      </c>
      <c r="G90" s="68">
        <v>0.22500000000000001</v>
      </c>
      <c r="H90" s="68">
        <v>0.214</v>
      </c>
      <c r="I90" s="68">
        <v>0.21299999999999999</v>
      </c>
      <c r="J90" s="68">
        <v>0.26300000000000001</v>
      </c>
      <c r="K90" s="68">
        <v>0.25</v>
      </c>
      <c r="L90" s="68">
        <v>0.20300000000000001</v>
      </c>
      <c r="M90" s="68">
        <v>0.20300000000000001</v>
      </c>
      <c r="N90" s="68">
        <v>0.154</v>
      </c>
      <c r="O90" s="68">
        <v>0.189</v>
      </c>
      <c r="P90" s="68">
        <v>0.19500000000000001</v>
      </c>
      <c r="Q90" s="68">
        <v>0.20100000000000001</v>
      </c>
      <c r="R90" s="68">
        <v>0.22600000000000001</v>
      </c>
      <c r="S90" s="68">
        <v>0.251</v>
      </c>
      <c r="T90" s="68">
        <v>0.192</v>
      </c>
      <c r="U90" s="68">
        <v>0.20699999999999999</v>
      </c>
      <c r="V90" s="68">
        <v>0.23300000000000001</v>
      </c>
      <c r="W90" s="68">
        <v>0.219</v>
      </c>
      <c r="X90" s="68">
        <v>0.23699999999999999</v>
      </c>
      <c r="Y90" s="68">
        <v>0.24299999999999999</v>
      </c>
      <c r="Z90" s="68">
        <v>0.2</v>
      </c>
      <c r="AA90" s="68">
        <v>0.2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07" t="s">
        <v>78</v>
      </c>
      <c r="B91" s="508"/>
      <c r="C91" s="509"/>
      <c r="D91" s="45"/>
      <c r="E91" s="45"/>
      <c r="F91" s="64">
        <f t="shared" ref="F91:AC91" si="35">F17</f>
        <v>19.799999999999997</v>
      </c>
      <c r="G91" s="64">
        <f t="shared" si="35"/>
        <v>19.799999999999997</v>
      </c>
      <c r="H91" s="64">
        <f t="shared" si="35"/>
        <v>19.799999999999997</v>
      </c>
      <c r="I91" s="64">
        <f t="shared" si="35"/>
        <v>19.200000000000003</v>
      </c>
      <c r="J91" s="64">
        <f t="shared" si="35"/>
        <v>18.899999999999999</v>
      </c>
      <c r="K91" s="64">
        <f t="shared" si="35"/>
        <v>19.5</v>
      </c>
      <c r="L91" s="64">
        <f t="shared" si="35"/>
        <v>19.799999999999997</v>
      </c>
      <c r="M91" s="64">
        <f t="shared" si="35"/>
        <v>18.899999999999999</v>
      </c>
      <c r="N91" s="64">
        <f t="shared" si="35"/>
        <v>20.700000000000003</v>
      </c>
      <c r="O91" s="64">
        <f t="shared" si="35"/>
        <v>27.6</v>
      </c>
      <c r="P91" s="64">
        <f t="shared" si="35"/>
        <v>27.799999999999997</v>
      </c>
      <c r="Q91" s="64">
        <f t="shared" si="35"/>
        <v>26.4</v>
      </c>
      <c r="R91" s="64">
        <f t="shared" si="35"/>
        <v>26.4</v>
      </c>
      <c r="S91" s="64">
        <f t="shared" si="35"/>
        <v>26.8</v>
      </c>
      <c r="T91" s="64">
        <f t="shared" si="35"/>
        <v>27.799999999999997</v>
      </c>
      <c r="U91" s="64">
        <f t="shared" si="35"/>
        <v>26.4</v>
      </c>
      <c r="V91" s="64">
        <f t="shared" si="35"/>
        <v>26.4</v>
      </c>
      <c r="W91" s="64">
        <f t="shared" si="35"/>
        <v>26.4</v>
      </c>
      <c r="X91" s="64">
        <f t="shared" si="35"/>
        <v>26.8</v>
      </c>
      <c r="Y91" s="64">
        <f t="shared" si="35"/>
        <v>26.8</v>
      </c>
      <c r="Z91" s="64">
        <f t="shared" si="35"/>
        <v>26</v>
      </c>
      <c r="AA91" s="64">
        <f t="shared" si="35"/>
        <v>26.8</v>
      </c>
      <c r="AB91" s="64">
        <f t="shared" si="35"/>
        <v>26.1</v>
      </c>
      <c r="AC91" s="64">
        <f t="shared" si="35"/>
        <v>18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21" t="s">
        <v>79</v>
      </c>
      <c r="B92" s="521"/>
      <c r="C92" s="522"/>
      <c r="D92" s="45"/>
      <c r="E92" s="45"/>
      <c r="F92" s="68">
        <v>0.85</v>
      </c>
      <c r="G92" s="68">
        <v>0.996</v>
      </c>
      <c r="H92" s="68">
        <v>0.77800000000000002</v>
      </c>
      <c r="I92" s="68">
        <v>0.753</v>
      </c>
      <c r="J92" s="68">
        <v>0.71799999999999997</v>
      </c>
      <c r="K92" s="68">
        <v>0.92500000000000004</v>
      </c>
      <c r="L92" s="68">
        <v>0.96499999999999997</v>
      </c>
      <c r="M92" s="68">
        <v>0.91839999999999999</v>
      </c>
      <c r="N92" s="68">
        <v>0.68600000000000005</v>
      </c>
      <c r="O92" s="68">
        <v>0.89400000000000002</v>
      </c>
      <c r="P92" s="68">
        <v>1.069</v>
      </c>
      <c r="Q92" s="68">
        <v>1.0649999999999999</v>
      </c>
      <c r="R92" s="68">
        <v>0.80300000000000005</v>
      </c>
      <c r="S92" s="68">
        <v>0.83699999999999997</v>
      </c>
      <c r="T92" s="68">
        <v>1.0569999999999999</v>
      </c>
      <c r="U92" s="68">
        <v>1.0660000000000001</v>
      </c>
      <c r="V92" s="68">
        <v>0.82</v>
      </c>
      <c r="W92" s="68">
        <v>0.79300000000000004</v>
      </c>
      <c r="X92" s="68">
        <v>1.0649999999999999</v>
      </c>
      <c r="Y92" s="68">
        <v>1.032</v>
      </c>
      <c r="Z92" s="68">
        <v>1.02</v>
      </c>
      <c r="AA92" s="68">
        <v>1.03</v>
      </c>
      <c r="AB92" s="68">
        <v>0.79800000000000004</v>
      </c>
      <c r="AC92" s="68">
        <v>0.71599999999999997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07" t="s">
        <v>29</v>
      </c>
      <c r="B93" s="508"/>
      <c r="C93" s="509"/>
      <c r="D93" s="45"/>
      <c r="E93" s="45"/>
      <c r="F93" s="65">
        <f t="shared" ref="F93:AC93" si="36">F31</f>
        <v>3</v>
      </c>
      <c r="G93" s="65">
        <f t="shared" si="36"/>
        <v>4.0999999999999996</v>
      </c>
      <c r="H93" s="65">
        <f t="shared" si="36"/>
        <v>4.0999999999999996</v>
      </c>
      <c r="I93" s="65">
        <f t="shared" si="36"/>
        <v>3.2</v>
      </c>
      <c r="J93" s="65">
        <f t="shared" si="36"/>
        <v>3.1</v>
      </c>
      <c r="K93" s="65">
        <f t="shared" si="36"/>
        <v>3.4</v>
      </c>
      <c r="L93" s="65">
        <f t="shared" si="36"/>
        <v>7.3</v>
      </c>
      <c r="M93" s="65">
        <f t="shared" si="36"/>
        <v>7.8</v>
      </c>
      <c r="N93" s="65">
        <f t="shared" si="36"/>
        <v>8.3000000000000007</v>
      </c>
      <c r="O93" s="65">
        <f t="shared" si="36"/>
        <v>8</v>
      </c>
      <c r="P93" s="65">
        <f t="shared" si="36"/>
        <v>10.5</v>
      </c>
      <c r="Q93" s="65">
        <f t="shared" si="36"/>
        <v>12.100000000000001</v>
      </c>
      <c r="R93" s="65">
        <f t="shared" si="36"/>
        <v>12.2</v>
      </c>
      <c r="S93" s="65">
        <f t="shared" si="36"/>
        <v>12</v>
      </c>
      <c r="T93" s="65">
        <f>T31</f>
        <v>12.5</v>
      </c>
      <c r="U93" s="65">
        <f t="shared" si="36"/>
        <v>12.6</v>
      </c>
      <c r="V93" s="65">
        <f t="shared" si="36"/>
        <v>11.8</v>
      </c>
      <c r="W93" s="65">
        <f t="shared" si="36"/>
        <v>11.7</v>
      </c>
      <c r="X93" s="65">
        <f t="shared" si="36"/>
        <v>9</v>
      </c>
      <c r="Y93" s="65">
        <f t="shared" si="36"/>
        <v>12.3</v>
      </c>
      <c r="Z93" s="65">
        <f t="shared" si="36"/>
        <v>11</v>
      </c>
      <c r="AA93" s="65">
        <f t="shared" si="36"/>
        <v>7</v>
      </c>
      <c r="AB93" s="65">
        <f t="shared" si="36"/>
        <v>7.6</v>
      </c>
      <c r="AC93" s="65">
        <f t="shared" si="36"/>
        <v>7.6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21" t="s">
        <v>102</v>
      </c>
      <c r="B94" s="521"/>
      <c r="C94" s="522"/>
      <c r="D94" s="45"/>
      <c r="E94" s="45"/>
      <c r="F94" s="68">
        <v>0.19500000000000001</v>
      </c>
      <c r="G94" s="68">
        <v>0.224</v>
      </c>
      <c r="H94" s="68">
        <v>0.22700000000000001</v>
      </c>
      <c r="I94" s="68">
        <v>0.22700000000000001</v>
      </c>
      <c r="J94" s="68">
        <v>0.22600000000000001</v>
      </c>
      <c r="K94" s="68">
        <v>0.25600000000000001</v>
      </c>
      <c r="L94" s="68">
        <v>0.249</v>
      </c>
      <c r="M94" s="68">
        <v>0.27600000000000002</v>
      </c>
      <c r="N94" s="68">
        <v>0.26900000000000002</v>
      </c>
      <c r="O94" s="68">
        <v>0.26900000000000002</v>
      </c>
      <c r="P94" s="68">
        <v>0.20799999999999999</v>
      </c>
      <c r="Q94" s="68">
        <v>0.224</v>
      </c>
      <c r="R94" s="68">
        <v>0.20899999999999999</v>
      </c>
      <c r="S94" s="68">
        <v>0.20799999999999999</v>
      </c>
      <c r="T94" s="68">
        <v>0.21</v>
      </c>
      <c r="U94" s="68">
        <v>0.28000000000000003</v>
      </c>
      <c r="V94" s="68">
        <v>0.28499999999999998</v>
      </c>
      <c r="W94" s="68">
        <v>0.27300000000000002</v>
      </c>
      <c r="X94" s="68">
        <v>0.29499999999999998</v>
      </c>
      <c r="Y94" s="68">
        <v>0.28699999999999998</v>
      </c>
      <c r="Z94" s="68">
        <v>0.27600000000000002</v>
      </c>
      <c r="AA94" s="68">
        <v>0.27500000000000002</v>
      </c>
      <c r="AB94" s="68">
        <v>0.253</v>
      </c>
      <c r="AC94" s="68">
        <v>0.27800000000000002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21" t="s">
        <v>104</v>
      </c>
      <c r="B95" s="521"/>
      <c r="C95" s="522"/>
      <c r="D95" s="45"/>
      <c r="E95" s="45"/>
      <c r="F95" s="68" t="s">
        <v>1</v>
      </c>
      <c r="G95" s="68" t="s">
        <v>1</v>
      </c>
      <c r="H95" s="68" t="s">
        <v>1</v>
      </c>
      <c r="I95" s="68" t="s">
        <v>1</v>
      </c>
      <c r="J95" s="68" t="s">
        <v>1</v>
      </c>
      <c r="K95" s="68" t="s">
        <v>1</v>
      </c>
      <c r="L95" s="68" t="s">
        <v>1</v>
      </c>
      <c r="M95" s="68" t="s">
        <v>1</v>
      </c>
      <c r="N95" s="68" t="s">
        <v>1</v>
      </c>
      <c r="O95" s="68" t="s">
        <v>1</v>
      </c>
      <c r="P95" s="68" t="s">
        <v>1</v>
      </c>
      <c r="Q95" s="68">
        <v>0.20399999999999999</v>
      </c>
      <c r="R95" s="68">
        <v>0.20399999999999999</v>
      </c>
      <c r="S95" s="68">
        <v>0.20100000000000001</v>
      </c>
      <c r="T95" s="68">
        <v>0.20399999999999999</v>
      </c>
      <c r="U95" s="68">
        <v>0.20100000000000001</v>
      </c>
      <c r="V95" s="68">
        <v>0.22</v>
      </c>
      <c r="W95" s="68">
        <v>0.214</v>
      </c>
      <c r="X95" s="68">
        <v>0.20399999999999999</v>
      </c>
      <c r="Y95" s="68">
        <v>0.20200000000000001</v>
      </c>
      <c r="Z95" s="68">
        <v>0.214</v>
      </c>
      <c r="AA95" s="68" t="s">
        <v>1</v>
      </c>
      <c r="AB95" s="68" t="s">
        <v>1</v>
      </c>
      <c r="AC95" s="68" t="s">
        <v>1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07" t="s">
        <v>32</v>
      </c>
      <c r="B96" s="508"/>
      <c r="C96" s="509"/>
      <c r="D96" s="45"/>
      <c r="E96" s="45"/>
      <c r="F96" s="65">
        <f t="shared" ref="F96:AC96" si="37">F34</f>
        <v>14.29</v>
      </c>
      <c r="G96" s="65">
        <f t="shared" si="37"/>
        <v>14.24</v>
      </c>
      <c r="H96" s="65">
        <f t="shared" si="37"/>
        <v>14.24</v>
      </c>
      <c r="I96" s="65">
        <f t="shared" si="37"/>
        <v>13.78</v>
      </c>
      <c r="J96" s="65">
        <f t="shared" si="37"/>
        <v>12.83</v>
      </c>
      <c r="K96" s="65">
        <f t="shared" si="37"/>
        <v>13.37</v>
      </c>
      <c r="L96" s="65">
        <f t="shared" si="37"/>
        <v>12.52</v>
      </c>
      <c r="M96" s="65">
        <f t="shared" si="37"/>
        <v>12.49</v>
      </c>
      <c r="N96" s="65">
        <f t="shared" si="37"/>
        <v>14.28</v>
      </c>
      <c r="O96" s="65">
        <f t="shared" si="37"/>
        <v>14.31</v>
      </c>
      <c r="P96" s="65">
        <f t="shared" si="37"/>
        <v>14.29</v>
      </c>
      <c r="Q96" s="65">
        <f t="shared" si="37"/>
        <v>14.33</v>
      </c>
      <c r="R96" s="65">
        <f t="shared" si="37"/>
        <v>14.29</v>
      </c>
      <c r="S96" s="65">
        <f t="shared" si="37"/>
        <v>14.31</v>
      </c>
      <c r="T96" s="65">
        <f t="shared" si="37"/>
        <v>14.31</v>
      </c>
      <c r="U96" s="65">
        <f t="shared" si="37"/>
        <v>14.3</v>
      </c>
      <c r="V96" s="65">
        <f t="shared" si="37"/>
        <v>14.29</v>
      </c>
      <c r="W96" s="65">
        <f t="shared" si="37"/>
        <v>14.27</v>
      </c>
      <c r="X96" s="65">
        <f t="shared" si="37"/>
        <v>13.81</v>
      </c>
      <c r="Y96" s="65">
        <f t="shared" si="37"/>
        <v>14.33</v>
      </c>
      <c r="Z96" s="65">
        <f t="shared" si="37"/>
        <v>14.31</v>
      </c>
      <c r="AA96" s="65">
        <f t="shared" si="37"/>
        <v>14.29</v>
      </c>
      <c r="AB96" s="65">
        <f t="shared" si="37"/>
        <v>13.32</v>
      </c>
      <c r="AC96" s="65">
        <f t="shared" si="37"/>
        <v>14.28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21" t="s">
        <v>81</v>
      </c>
      <c r="B97" s="521"/>
      <c r="C97" s="522"/>
      <c r="D97" s="68"/>
      <c r="E97" s="68"/>
      <c r="F97" s="68">
        <v>0.71</v>
      </c>
      <c r="G97" s="68">
        <v>0.76</v>
      </c>
      <c r="H97" s="68">
        <v>0.78</v>
      </c>
      <c r="I97" s="68">
        <v>0.72</v>
      </c>
      <c r="J97" s="68">
        <v>0.62</v>
      </c>
      <c r="K97" s="68">
        <v>0.63</v>
      </c>
      <c r="L97" s="68">
        <v>0.98</v>
      </c>
      <c r="M97" s="68">
        <v>1.01</v>
      </c>
      <c r="N97" s="68">
        <v>0.72</v>
      </c>
      <c r="O97" s="68">
        <v>0.69</v>
      </c>
      <c r="P97" s="68">
        <v>0.71</v>
      </c>
      <c r="Q97" s="68">
        <v>0.71</v>
      </c>
      <c r="R97" s="68">
        <v>0.71</v>
      </c>
      <c r="S97" s="68">
        <v>0.69</v>
      </c>
      <c r="T97" s="68">
        <v>0.69</v>
      </c>
      <c r="U97" s="68">
        <v>0.71</v>
      </c>
      <c r="V97" s="68">
        <v>0.7</v>
      </c>
      <c r="W97" s="68">
        <v>0.73</v>
      </c>
      <c r="X97" s="68">
        <v>0.69</v>
      </c>
      <c r="Y97" s="68">
        <v>0.67</v>
      </c>
      <c r="Z97" s="68">
        <v>0.69</v>
      </c>
      <c r="AA97" s="68">
        <v>0.71</v>
      </c>
      <c r="AB97" s="68">
        <v>0.68</v>
      </c>
      <c r="AC97" s="68">
        <v>0.72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07" t="s">
        <v>33</v>
      </c>
      <c r="B98" s="508"/>
      <c r="C98" s="509"/>
      <c r="D98" s="45"/>
      <c r="E98" s="45"/>
      <c r="F98" s="64">
        <f t="shared" ref="F98:AC98" si="38">F60</f>
        <v>0.9</v>
      </c>
      <c r="G98" s="64">
        <f t="shared" si="38"/>
        <v>0.9</v>
      </c>
      <c r="H98" s="64">
        <f t="shared" si="38"/>
        <v>0.9</v>
      </c>
      <c r="I98" s="64">
        <f t="shared" si="38"/>
        <v>0.9</v>
      </c>
      <c r="J98" s="64">
        <f t="shared" si="38"/>
        <v>0.9</v>
      </c>
      <c r="K98" s="64">
        <f t="shared" si="38"/>
        <v>0</v>
      </c>
      <c r="L98" s="64">
        <f t="shared" si="38"/>
        <v>0</v>
      </c>
      <c r="M98" s="64">
        <f t="shared" si="38"/>
        <v>0</v>
      </c>
      <c r="N98" s="64">
        <f t="shared" si="38"/>
        <v>2.0999999999999996</v>
      </c>
      <c r="O98" s="64">
        <f t="shared" si="38"/>
        <v>3.9000000000000004</v>
      </c>
      <c r="P98" s="64">
        <f t="shared" si="38"/>
        <v>5</v>
      </c>
      <c r="Q98" s="64">
        <f t="shared" si="38"/>
        <v>6.4966666666666661</v>
      </c>
      <c r="R98" s="64">
        <f t="shared" si="38"/>
        <v>6.4966666666666661</v>
      </c>
      <c r="S98" s="64">
        <f t="shared" si="38"/>
        <v>5.6999999999999993</v>
      </c>
      <c r="T98" s="64">
        <f t="shared" si="38"/>
        <v>6.3999999999999995</v>
      </c>
      <c r="U98" s="64">
        <f t="shared" si="38"/>
        <v>6.4999999999999991</v>
      </c>
      <c r="V98" s="64">
        <f t="shared" si="38"/>
        <v>4.8</v>
      </c>
      <c r="W98" s="64">
        <f t="shared" si="38"/>
        <v>3.2</v>
      </c>
      <c r="X98" s="64">
        <f t="shared" si="38"/>
        <v>1.6</v>
      </c>
      <c r="Y98" s="64">
        <f t="shared" si="38"/>
        <v>0.9</v>
      </c>
      <c r="Z98" s="64">
        <f t="shared" si="38"/>
        <v>0</v>
      </c>
      <c r="AA98" s="64">
        <f t="shared" si="38"/>
        <v>0</v>
      </c>
      <c r="AB98" s="64">
        <f t="shared" si="38"/>
        <v>0</v>
      </c>
      <c r="AC98" s="64">
        <f t="shared" si="38"/>
        <v>3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07" t="s">
        <v>55</v>
      </c>
      <c r="B99" s="508"/>
      <c r="C99" s="509"/>
      <c r="D99" s="45"/>
      <c r="E99" s="45"/>
      <c r="F99" s="64">
        <f t="shared" ref="F99:AC99" si="39">F65</f>
        <v>1.1100000000000001</v>
      </c>
      <c r="G99" s="64">
        <f t="shared" si="39"/>
        <v>1.01</v>
      </c>
      <c r="H99" s="64">
        <f t="shared" si="39"/>
        <v>1.01</v>
      </c>
      <c r="I99" s="64">
        <f t="shared" si="39"/>
        <v>0.9</v>
      </c>
      <c r="J99" s="64">
        <f t="shared" si="39"/>
        <v>0.93</v>
      </c>
      <c r="K99" s="64">
        <f t="shared" si="39"/>
        <v>0.93</v>
      </c>
      <c r="L99" s="64">
        <f t="shared" si="39"/>
        <v>1.03</v>
      </c>
      <c r="M99" s="64">
        <f t="shared" si="39"/>
        <v>1.07</v>
      </c>
      <c r="N99" s="64">
        <f t="shared" si="39"/>
        <v>1.21</v>
      </c>
      <c r="O99" s="64">
        <f t="shared" si="39"/>
        <v>1.43</v>
      </c>
      <c r="P99" s="64">
        <f t="shared" si="39"/>
        <v>1.51</v>
      </c>
      <c r="Q99" s="64">
        <f t="shared" si="39"/>
        <v>1.59</v>
      </c>
      <c r="R99" s="64">
        <f t="shared" si="39"/>
        <v>1.6</v>
      </c>
      <c r="S99" s="64">
        <f t="shared" si="39"/>
        <v>1.56</v>
      </c>
      <c r="T99" s="64">
        <f t="shared" si="39"/>
        <v>1.58</v>
      </c>
      <c r="U99" s="64">
        <f t="shared" si="39"/>
        <v>1.59</v>
      </c>
      <c r="V99" s="64">
        <f t="shared" si="39"/>
        <v>1.56</v>
      </c>
      <c r="W99" s="64">
        <f t="shared" si="39"/>
        <v>1.53</v>
      </c>
      <c r="X99" s="64">
        <f t="shared" si="39"/>
        <v>0.95333333333333325</v>
      </c>
      <c r="Y99" s="64">
        <f t="shared" si="39"/>
        <v>1.6300000000000001</v>
      </c>
      <c r="Z99" s="64">
        <f t="shared" si="39"/>
        <v>1.53</v>
      </c>
      <c r="AA99" s="64">
        <f t="shared" si="39"/>
        <v>1.48</v>
      </c>
      <c r="AB99" s="64">
        <f t="shared" si="39"/>
        <v>1.38</v>
      </c>
      <c r="AC99" s="64">
        <f t="shared" si="39"/>
        <v>1.27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07" t="s">
        <v>59</v>
      </c>
      <c r="B100" s="508"/>
      <c r="C100" s="509"/>
      <c r="D100" s="45"/>
      <c r="E100" s="45"/>
      <c r="F100" s="64">
        <f t="shared" ref="F100:AC100" si="40">F76</f>
        <v>0</v>
      </c>
      <c r="G100" s="64">
        <f t="shared" si="40"/>
        <v>0</v>
      </c>
      <c r="H100" s="64">
        <f t="shared" si="40"/>
        <v>0</v>
      </c>
      <c r="I100" s="64">
        <f t="shared" si="40"/>
        <v>0</v>
      </c>
      <c r="J100" s="64">
        <f t="shared" si="40"/>
        <v>0</v>
      </c>
      <c r="K100" s="64">
        <f t="shared" si="40"/>
        <v>0</v>
      </c>
      <c r="L100" s="64">
        <f t="shared" si="40"/>
        <v>0</v>
      </c>
      <c r="M100" s="64">
        <f t="shared" si="40"/>
        <v>0</v>
      </c>
      <c r="N100" s="64">
        <f t="shared" si="40"/>
        <v>0</v>
      </c>
      <c r="O100" s="64">
        <f t="shared" si="40"/>
        <v>0</v>
      </c>
      <c r="P100" s="64">
        <f t="shared" si="40"/>
        <v>0</v>
      </c>
      <c r="Q100" s="64">
        <f t="shared" si="40"/>
        <v>0</v>
      </c>
      <c r="R100" s="64">
        <f t="shared" si="40"/>
        <v>0</v>
      </c>
      <c r="S100" s="64">
        <f t="shared" si="40"/>
        <v>0</v>
      </c>
      <c r="T100" s="64">
        <f t="shared" si="40"/>
        <v>0</v>
      </c>
      <c r="U100" s="64">
        <f t="shared" si="40"/>
        <v>0</v>
      </c>
      <c r="V100" s="64">
        <f t="shared" si="40"/>
        <v>0</v>
      </c>
      <c r="W100" s="64">
        <f t="shared" si="40"/>
        <v>0</v>
      </c>
      <c r="X100" s="64">
        <f t="shared" si="40"/>
        <v>0</v>
      </c>
      <c r="Y100" s="64">
        <f t="shared" si="40"/>
        <v>0</v>
      </c>
      <c r="Z100" s="64">
        <f t="shared" si="40"/>
        <v>0</v>
      </c>
      <c r="AA100" s="64">
        <f t="shared" si="40"/>
        <v>0</v>
      </c>
      <c r="AB100" s="64">
        <f t="shared" si="40"/>
        <v>0</v>
      </c>
      <c r="AC100" s="64">
        <f t="shared" si="40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07" t="s">
        <v>69</v>
      </c>
      <c r="B101" s="508"/>
      <c r="C101" s="509"/>
      <c r="D101" s="45"/>
      <c r="E101" s="45"/>
      <c r="F101" s="64">
        <f t="shared" ref="F101:AC101" si="41">F80</f>
        <v>0.83</v>
      </c>
      <c r="G101" s="64">
        <f t="shared" si="41"/>
        <v>0.76</v>
      </c>
      <c r="H101" s="64">
        <f t="shared" si="41"/>
        <v>0.76</v>
      </c>
      <c r="I101" s="64">
        <f t="shared" si="41"/>
        <v>0.72</v>
      </c>
      <c r="J101" s="64">
        <f t="shared" si="41"/>
        <v>0.71</v>
      </c>
      <c r="K101" s="64">
        <f t="shared" si="41"/>
        <v>0.73</v>
      </c>
      <c r="L101" s="64">
        <f t="shared" si="41"/>
        <v>0.75</v>
      </c>
      <c r="M101" s="64">
        <f t="shared" si="41"/>
        <v>0.74</v>
      </c>
      <c r="N101" s="64">
        <f t="shared" si="41"/>
        <v>0.74</v>
      </c>
      <c r="O101" s="64">
        <f t="shared" si="41"/>
        <v>0.78</v>
      </c>
      <c r="P101" s="64">
        <f t="shared" si="41"/>
        <v>0.83</v>
      </c>
      <c r="Q101" s="64">
        <f t="shared" si="41"/>
        <v>0.85</v>
      </c>
      <c r="R101" s="64">
        <f t="shared" si="41"/>
        <v>0.89</v>
      </c>
      <c r="S101" s="64">
        <f t="shared" si="41"/>
        <v>0.9</v>
      </c>
      <c r="T101" s="64">
        <f t="shared" si="41"/>
        <v>0.9</v>
      </c>
      <c r="U101" s="64">
        <f t="shared" si="41"/>
        <v>0.91</v>
      </c>
      <c r="V101" s="64">
        <f t="shared" si="41"/>
        <v>0.9</v>
      </c>
      <c r="W101" s="64">
        <f t="shared" si="41"/>
        <v>0.9</v>
      </c>
      <c r="X101" s="64">
        <f t="shared" si="41"/>
        <v>0.88</v>
      </c>
      <c r="Y101" s="64">
        <f t="shared" si="41"/>
        <v>0.97</v>
      </c>
      <c r="Z101" s="64">
        <f t="shared" si="41"/>
        <v>1</v>
      </c>
      <c r="AA101" s="64">
        <f t="shared" si="41"/>
        <v>0.98</v>
      </c>
      <c r="AB101" s="64">
        <f t="shared" si="41"/>
        <v>0.93</v>
      </c>
      <c r="AC101" s="64">
        <f t="shared" si="41"/>
        <v>0.9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07" t="s">
        <v>72</v>
      </c>
      <c r="B102" s="508"/>
      <c r="C102" s="509"/>
      <c r="D102" s="45"/>
      <c r="E102" s="45"/>
      <c r="F102" s="64">
        <f t="shared" ref="F102:AC102" si="42">F82</f>
        <v>0</v>
      </c>
      <c r="G102" s="64">
        <f t="shared" si="42"/>
        <v>0</v>
      </c>
      <c r="H102" s="64">
        <f t="shared" si="42"/>
        <v>0</v>
      </c>
      <c r="I102" s="64">
        <f t="shared" si="42"/>
        <v>0</v>
      </c>
      <c r="J102" s="64">
        <f t="shared" si="42"/>
        <v>0</v>
      </c>
      <c r="K102" s="64">
        <f t="shared" si="42"/>
        <v>0</v>
      </c>
      <c r="L102" s="64">
        <f t="shared" si="42"/>
        <v>0</v>
      </c>
      <c r="M102" s="64">
        <f t="shared" si="42"/>
        <v>0</v>
      </c>
      <c r="N102" s="64">
        <f t="shared" si="42"/>
        <v>0</v>
      </c>
      <c r="O102" s="64">
        <f t="shared" si="42"/>
        <v>0</v>
      </c>
      <c r="P102" s="64">
        <f t="shared" si="42"/>
        <v>0</v>
      </c>
      <c r="Q102" s="64">
        <f t="shared" si="42"/>
        <v>0</v>
      </c>
      <c r="R102" s="64">
        <f t="shared" si="42"/>
        <v>0</v>
      </c>
      <c r="S102" s="64">
        <f t="shared" si="42"/>
        <v>0</v>
      </c>
      <c r="T102" s="64">
        <f t="shared" si="42"/>
        <v>0</v>
      </c>
      <c r="U102" s="64">
        <f t="shared" si="42"/>
        <v>0</v>
      </c>
      <c r="V102" s="64">
        <f t="shared" si="42"/>
        <v>0</v>
      </c>
      <c r="W102" s="64">
        <f t="shared" si="42"/>
        <v>0</v>
      </c>
      <c r="X102" s="64">
        <f t="shared" si="42"/>
        <v>0</v>
      </c>
      <c r="Y102" s="64">
        <f t="shared" si="42"/>
        <v>0</v>
      </c>
      <c r="Z102" s="64">
        <f t="shared" si="42"/>
        <v>0</v>
      </c>
      <c r="AA102" s="64">
        <f t="shared" si="42"/>
        <v>0</v>
      </c>
      <c r="AB102" s="64">
        <f t="shared" si="42"/>
        <v>0</v>
      </c>
      <c r="AC102" s="64">
        <f t="shared" si="42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11" t="s">
        <v>82</v>
      </c>
      <c r="B103" s="511"/>
      <c r="C103" s="511"/>
      <c r="D103" s="47"/>
      <c r="E103" s="47"/>
      <c r="F103" s="61">
        <f t="shared" ref="F103:AC103" si="43">SUM(F89,F91,F93,F96,F98:F102,F81)</f>
        <v>47.929999999999993</v>
      </c>
      <c r="G103" s="61">
        <f t="shared" si="43"/>
        <v>46.009999999999991</v>
      </c>
      <c r="H103" s="61">
        <f t="shared" si="43"/>
        <v>43.809999999999995</v>
      </c>
      <c r="I103" s="61">
        <f t="shared" si="43"/>
        <v>41.699999999999996</v>
      </c>
      <c r="J103" s="61">
        <f t="shared" si="43"/>
        <v>40.369999999999997</v>
      </c>
      <c r="K103" s="61">
        <f t="shared" si="43"/>
        <v>40.929999999999993</v>
      </c>
      <c r="L103" s="61">
        <f t="shared" si="43"/>
        <v>44.4</v>
      </c>
      <c r="M103" s="61">
        <f t="shared" si="43"/>
        <v>44</v>
      </c>
      <c r="N103" s="61">
        <f t="shared" si="43"/>
        <v>51.13000000000001</v>
      </c>
      <c r="O103" s="61">
        <f t="shared" si="43"/>
        <v>62.72</v>
      </c>
      <c r="P103" s="61">
        <f t="shared" si="43"/>
        <v>66.63</v>
      </c>
      <c r="Q103" s="61">
        <f t="shared" si="43"/>
        <v>68.36666666666666</v>
      </c>
      <c r="R103" s="61">
        <f t="shared" si="43"/>
        <v>68.476666666666659</v>
      </c>
      <c r="S103" s="61">
        <f>SUM(S89,S91,S93,S96,S98:S102,S81)</f>
        <v>70.87</v>
      </c>
      <c r="T103" s="61">
        <f t="shared" si="43"/>
        <v>74.09</v>
      </c>
      <c r="U103" s="61">
        <f t="shared" si="43"/>
        <v>72.7</v>
      </c>
      <c r="V103" s="61">
        <f>SUM(V89,V91,V93,V96,V98:V102,V81)</f>
        <v>70.150000000000006</v>
      </c>
      <c r="W103" s="61">
        <f t="shared" si="43"/>
        <v>68.400000000000006</v>
      </c>
      <c r="X103" s="61">
        <f t="shared" si="43"/>
        <v>63.443333333333342</v>
      </c>
      <c r="Y103" s="61">
        <f t="shared" si="43"/>
        <v>67.33</v>
      </c>
      <c r="Z103" s="61">
        <f t="shared" si="43"/>
        <v>64.240000000000009</v>
      </c>
      <c r="AA103" s="61">
        <f t="shared" si="43"/>
        <v>59.349999999999994</v>
      </c>
      <c r="AB103" s="61">
        <f t="shared" si="43"/>
        <v>54.830000000000005</v>
      </c>
      <c r="AC103" s="61">
        <f t="shared" si="43"/>
        <v>50.85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12" t="s">
        <v>83</v>
      </c>
      <c r="B104" s="512"/>
      <c r="C104" s="512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12" t="s">
        <v>84</v>
      </c>
      <c r="B105" s="512"/>
      <c r="C105" s="512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12" t="s">
        <v>85</v>
      </c>
      <c r="B106" s="512"/>
      <c r="C106" s="512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493">
        <v>0.6</v>
      </c>
      <c r="V106" s="493">
        <v>0.6</v>
      </c>
      <c r="W106" s="493">
        <v>0.6</v>
      </c>
      <c r="X106" s="76"/>
      <c r="Y106" s="76"/>
      <c r="Z106" s="76"/>
      <c r="AA106" s="76">
        <v>1.4</v>
      </c>
      <c r="AB106" s="76">
        <v>1.4</v>
      </c>
      <c r="AC106" s="76">
        <v>2.15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11" t="s">
        <v>86</v>
      </c>
      <c r="B107" s="511"/>
      <c r="C107" s="511"/>
      <c r="D107" s="47"/>
      <c r="E107" s="47"/>
      <c r="F107" s="61">
        <f t="shared" ref="F107:AC107" si="44">SUM(F104:F106)</f>
        <v>0</v>
      </c>
      <c r="G107" s="61">
        <f t="shared" si="44"/>
        <v>0</v>
      </c>
      <c r="H107" s="61">
        <f t="shared" si="44"/>
        <v>0</v>
      </c>
      <c r="I107" s="61">
        <f t="shared" si="44"/>
        <v>0</v>
      </c>
      <c r="J107" s="61">
        <f t="shared" si="44"/>
        <v>0</v>
      </c>
      <c r="K107" s="61">
        <f t="shared" si="44"/>
        <v>0</v>
      </c>
      <c r="L107" s="61">
        <f t="shared" si="44"/>
        <v>0</v>
      </c>
      <c r="M107" s="61">
        <f t="shared" si="44"/>
        <v>0</v>
      </c>
      <c r="N107" s="61">
        <f t="shared" si="44"/>
        <v>0</v>
      </c>
      <c r="O107" s="61">
        <f t="shared" si="44"/>
        <v>0</v>
      </c>
      <c r="P107" s="61">
        <f t="shared" si="44"/>
        <v>0</v>
      </c>
      <c r="Q107" s="61">
        <f t="shared" si="44"/>
        <v>0</v>
      </c>
      <c r="R107" s="61">
        <f t="shared" si="44"/>
        <v>0</v>
      </c>
      <c r="S107" s="61">
        <f t="shared" si="44"/>
        <v>0</v>
      </c>
      <c r="T107" s="61">
        <f t="shared" si="44"/>
        <v>0</v>
      </c>
      <c r="U107" s="61">
        <f t="shared" si="44"/>
        <v>0.6</v>
      </c>
      <c r="V107" s="61">
        <f t="shared" si="44"/>
        <v>0.6</v>
      </c>
      <c r="W107" s="61">
        <f t="shared" si="44"/>
        <v>0.6</v>
      </c>
      <c r="X107" s="61">
        <f t="shared" si="44"/>
        <v>0</v>
      </c>
      <c r="Y107" s="61">
        <f t="shared" si="44"/>
        <v>0</v>
      </c>
      <c r="Z107" s="61">
        <f t="shared" si="44"/>
        <v>0</v>
      </c>
      <c r="AA107" s="61">
        <f t="shared" si="44"/>
        <v>1.4</v>
      </c>
      <c r="AB107" s="61">
        <f t="shared" si="44"/>
        <v>1.4</v>
      </c>
      <c r="AC107" s="61">
        <f t="shared" si="44"/>
        <v>2.15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13" t="s">
        <v>87</v>
      </c>
      <c r="B108" s="513"/>
      <c r="C108" s="513"/>
      <c r="D108" s="48"/>
      <c r="E108" s="48"/>
      <c r="F108" s="62">
        <f t="shared" ref="F108:AC108" si="45">F103+F107</f>
        <v>47.929999999999993</v>
      </c>
      <c r="G108" s="62">
        <f t="shared" si="45"/>
        <v>46.009999999999991</v>
      </c>
      <c r="H108" s="62">
        <f t="shared" si="45"/>
        <v>43.809999999999995</v>
      </c>
      <c r="I108" s="62">
        <f t="shared" si="45"/>
        <v>41.699999999999996</v>
      </c>
      <c r="J108" s="62">
        <f t="shared" si="45"/>
        <v>40.369999999999997</v>
      </c>
      <c r="K108" s="62">
        <f t="shared" si="45"/>
        <v>40.929999999999993</v>
      </c>
      <c r="L108" s="62">
        <f t="shared" si="45"/>
        <v>44.4</v>
      </c>
      <c r="M108" s="62">
        <f t="shared" si="45"/>
        <v>44</v>
      </c>
      <c r="N108" s="62">
        <f t="shared" si="45"/>
        <v>51.13000000000001</v>
      </c>
      <c r="O108" s="62">
        <f t="shared" si="45"/>
        <v>62.72</v>
      </c>
      <c r="P108" s="62">
        <f t="shared" si="45"/>
        <v>66.63</v>
      </c>
      <c r="Q108" s="62">
        <f t="shared" si="45"/>
        <v>68.36666666666666</v>
      </c>
      <c r="R108" s="62">
        <f t="shared" si="45"/>
        <v>68.476666666666659</v>
      </c>
      <c r="S108" s="62">
        <f>S103+S107</f>
        <v>70.87</v>
      </c>
      <c r="T108" s="62">
        <f>T103+T107</f>
        <v>74.09</v>
      </c>
      <c r="U108" s="62">
        <f t="shared" si="45"/>
        <v>73.3</v>
      </c>
      <c r="V108" s="62">
        <f t="shared" si="45"/>
        <v>70.75</v>
      </c>
      <c r="W108" s="62">
        <f>W103+W107</f>
        <v>69</v>
      </c>
      <c r="X108" s="62">
        <f t="shared" si="45"/>
        <v>63.443333333333342</v>
      </c>
      <c r="Y108" s="62">
        <f t="shared" si="45"/>
        <v>67.33</v>
      </c>
      <c r="Z108" s="62">
        <f t="shared" si="45"/>
        <v>64.240000000000009</v>
      </c>
      <c r="AA108" s="62">
        <f t="shared" si="45"/>
        <v>60.749999999999993</v>
      </c>
      <c r="AB108" s="62">
        <f t="shared" si="45"/>
        <v>56.230000000000004</v>
      </c>
      <c r="AC108" s="62">
        <f t="shared" si="45"/>
        <v>53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14" t="s">
        <v>88</v>
      </c>
      <c r="B109" s="514"/>
      <c r="C109" s="514"/>
      <c r="D109" s="52"/>
      <c r="E109" s="52"/>
      <c r="F109" s="63">
        <f t="shared" ref="F109:AC109" si="46">(COUNT(F13:F16))*7.2+(COUNT(F27:F28)*4.9)+(COUNT(F19:F21)*4.5)-F91-F93</f>
        <v>12.700000000000003</v>
      </c>
      <c r="G109" s="63">
        <f t="shared" si="46"/>
        <v>7.1000000000000032</v>
      </c>
      <c r="H109" s="63">
        <f t="shared" si="46"/>
        <v>2.6000000000000032</v>
      </c>
      <c r="I109" s="63">
        <f t="shared" si="46"/>
        <v>4.099999999999997</v>
      </c>
      <c r="J109" s="63">
        <f t="shared" si="46"/>
        <v>4.5000000000000018</v>
      </c>
      <c r="K109" s="63">
        <f t="shared" si="46"/>
        <v>3.6</v>
      </c>
      <c r="L109" s="63">
        <f t="shared" si="46"/>
        <v>4.3000000000000052</v>
      </c>
      <c r="M109" s="63">
        <f t="shared" si="46"/>
        <v>4.7000000000000037</v>
      </c>
      <c r="N109" s="63">
        <f t="shared" si="46"/>
        <v>2.3999999999999986</v>
      </c>
      <c r="O109" s="63">
        <f t="shared" si="46"/>
        <v>7.5</v>
      </c>
      <c r="P109" s="63">
        <f t="shared" si="46"/>
        <v>-9.9999999999994316E-2</v>
      </c>
      <c r="Q109" s="63">
        <f t="shared" si="46"/>
        <v>-0.29999999999999716</v>
      </c>
      <c r="R109" s="63">
        <f t="shared" si="46"/>
        <v>-0.39999999999999503</v>
      </c>
      <c r="S109" s="63">
        <f t="shared" si="46"/>
        <v>3.9000000000000021</v>
      </c>
      <c r="T109" s="63">
        <f t="shared" si="46"/>
        <v>2.4000000000000057</v>
      </c>
      <c r="U109" s="63">
        <f t="shared" si="46"/>
        <v>8.6000000000000032</v>
      </c>
      <c r="V109" s="63">
        <f t="shared" si="46"/>
        <v>9.4000000000000021</v>
      </c>
      <c r="W109" s="63">
        <f t="shared" si="46"/>
        <v>9.5000000000000036</v>
      </c>
      <c r="X109" s="63">
        <f t="shared" si="46"/>
        <v>11.8</v>
      </c>
      <c r="Y109" s="63">
        <f t="shared" si="46"/>
        <v>8.5</v>
      </c>
      <c r="Z109" s="63">
        <f t="shared" si="46"/>
        <v>10.600000000000001</v>
      </c>
      <c r="AA109" s="63">
        <f t="shared" si="46"/>
        <v>13.8</v>
      </c>
      <c r="AB109" s="63">
        <f t="shared" si="46"/>
        <v>13.9</v>
      </c>
      <c r="AC109" s="63">
        <f t="shared" si="46"/>
        <v>14.800000000000006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15" t="s">
        <v>89</v>
      </c>
      <c r="B110" s="516"/>
      <c r="C110" s="517"/>
      <c r="D110" s="204"/>
      <c r="E110" s="204"/>
      <c r="F110" s="205">
        <f t="shared" ref="F110:P110" si="47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6.8000000000000043</v>
      </c>
      <c r="G110" s="205">
        <f t="shared" si="47"/>
        <v>4.0000000000000044</v>
      </c>
      <c r="H110" s="205">
        <f t="shared" si="47"/>
        <v>2.7000000000000046</v>
      </c>
      <c r="I110" s="205">
        <f t="shared" si="47"/>
        <v>4.1999999999999984</v>
      </c>
      <c r="J110" s="205">
        <f t="shared" si="47"/>
        <v>4.6000000000000032</v>
      </c>
      <c r="K110" s="205">
        <f t="shared" si="47"/>
        <v>3.7000000000000011</v>
      </c>
      <c r="L110" s="205">
        <f t="shared" si="47"/>
        <v>4.4000000000000048</v>
      </c>
      <c r="M110" s="205">
        <f t="shared" si="47"/>
        <v>4.8000000000000034</v>
      </c>
      <c r="N110" s="205">
        <f t="shared" si="47"/>
        <v>1.6999999999999984</v>
      </c>
      <c r="O110" s="205">
        <f t="shared" si="47"/>
        <v>2.9</v>
      </c>
      <c r="P110" s="205">
        <f t="shared" si="47"/>
        <v>-3.2999999999999958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-3.3999999999999986</v>
      </c>
      <c r="R110" s="205">
        <f t="shared" ref="R110:AC110" si="48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-3.8999999999999968</v>
      </c>
      <c r="S110" s="205">
        <f t="shared" si="48"/>
        <v>-2.5999999999999996</v>
      </c>
      <c r="T110" s="205">
        <f t="shared" si="48"/>
        <v>-5.0999999999999961</v>
      </c>
      <c r="U110" s="205">
        <f t="shared" si="48"/>
        <v>0.90000000000000302</v>
      </c>
      <c r="V110" s="205">
        <f t="shared" si="48"/>
        <v>1.7000000000000011</v>
      </c>
      <c r="W110" s="205">
        <f t="shared" si="48"/>
        <v>1.8000000000000025</v>
      </c>
      <c r="X110" s="205">
        <f t="shared" si="48"/>
        <v>4.0999999999999996</v>
      </c>
      <c r="Y110" s="205">
        <f t="shared" si="48"/>
        <v>0.79999999999999982</v>
      </c>
      <c r="Z110" s="205">
        <f t="shared" si="48"/>
        <v>2.9000000000000004</v>
      </c>
      <c r="AA110" s="205">
        <f t="shared" si="48"/>
        <v>7.7</v>
      </c>
      <c r="AB110" s="205">
        <f t="shared" si="48"/>
        <v>6.6</v>
      </c>
      <c r="AC110" s="205">
        <f t="shared" si="48"/>
        <v>7.200000000000002</v>
      </c>
      <c r="AD110" s="26"/>
      <c r="AE110" s="26"/>
      <c r="AF110" s="466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10" t="s">
        <v>91</v>
      </c>
      <c r="B111" s="510"/>
      <c r="C111" s="510"/>
      <c r="D111" s="60"/>
      <c r="E111" s="72"/>
      <c r="F111" s="74">
        <v>60.16</v>
      </c>
      <c r="G111" s="74">
        <v>60.19</v>
      </c>
      <c r="H111" s="74">
        <v>60.15</v>
      </c>
      <c r="I111" s="74">
        <v>60.18</v>
      </c>
      <c r="J111" s="74">
        <v>60.24</v>
      </c>
      <c r="K111" s="74">
        <v>60.09</v>
      </c>
      <c r="L111" s="74">
        <v>60.1</v>
      </c>
      <c r="M111" s="74">
        <v>60.24</v>
      </c>
      <c r="N111" s="74">
        <v>60.01</v>
      </c>
      <c r="O111" s="74">
        <v>60.03</v>
      </c>
      <c r="P111" s="83">
        <v>59.95</v>
      </c>
      <c r="Q111" s="83">
        <v>60.12</v>
      </c>
      <c r="R111" s="83">
        <v>60.14</v>
      </c>
      <c r="S111" s="83">
        <v>60.1</v>
      </c>
      <c r="T111" s="83">
        <v>60.05</v>
      </c>
      <c r="U111" s="74">
        <v>60.22</v>
      </c>
      <c r="V111" s="74">
        <v>60.18</v>
      </c>
      <c r="W111" s="74">
        <v>60.2</v>
      </c>
      <c r="X111" s="74">
        <v>60.12</v>
      </c>
      <c r="Y111" s="74">
        <v>60.15</v>
      </c>
      <c r="Z111" s="74">
        <v>60.15</v>
      </c>
      <c r="AA111" s="74">
        <v>60.11</v>
      </c>
      <c r="AB111" s="74">
        <v>60.17</v>
      </c>
      <c r="AC111" s="74">
        <v>60.38</v>
      </c>
      <c r="AD111" s="26"/>
      <c r="AE111" s="26"/>
      <c r="AF111" s="467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18" t="s">
        <v>93</v>
      </c>
      <c r="B112" s="519"/>
      <c r="C112" s="520"/>
      <c r="D112" s="60"/>
      <c r="E112" s="72"/>
      <c r="F112" s="74"/>
      <c r="G112" s="74"/>
      <c r="H112" s="74"/>
      <c r="I112" s="74"/>
      <c r="J112" s="74"/>
      <c r="K112" s="74"/>
      <c r="L112" s="74"/>
      <c r="M112" s="74"/>
      <c r="N112" s="74"/>
      <c r="O112" s="74"/>
      <c r="P112" s="74"/>
      <c r="Q112" s="74"/>
      <c r="R112" s="74"/>
      <c r="S112" s="74"/>
      <c r="T112" s="74"/>
      <c r="U112" s="74"/>
      <c r="V112" s="74"/>
      <c r="W112" s="74"/>
      <c r="X112" s="74"/>
      <c r="Y112" s="74"/>
      <c r="Z112" s="74"/>
      <c r="AA112" s="74"/>
      <c r="AB112" s="74"/>
      <c r="AC112" s="74"/>
      <c r="AD112" s="26"/>
      <c r="AE112" s="26"/>
      <c r="AF112" s="469"/>
      <c r="AG112" s="472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18" t="s">
        <v>95</v>
      </c>
      <c r="B113" s="519"/>
      <c r="C113" s="520"/>
      <c r="D113" s="60"/>
      <c r="E113" s="74"/>
      <c r="F113" s="74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10" t="s">
        <v>96</v>
      </c>
      <c r="B114" s="510"/>
      <c r="C114" s="510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 t="s">
        <v>101</v>
      </c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10" t="s">
        <v>97</v>
      </c>
      <c r="B115" s="510"/>
      <c r="C115" s="510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499" t="s">
        <v>98</v>
      </c>
      <c r="B117" s="499"/>
      <c r="C117" s="499"/>
      <c r="D117" s="499"/>
      <c r="E117" s="499"/>
      <c r="F117" s="499"/>
      <c r="G117" s="499"/>
      <c r="H117" s="499"/>
      <c r="I117" s="499"/>
      <c r="J117" s="499"/>
      <c r="K117" s="499"/>
      <c r="L117" s="499"/>
      <c r="M117" s="499"/>
      <c r="N117" s="499"/>
      <c r="O117" s="499"/>
      <c r="P117" s="499"/>
      <c r="Q117" s="499"/>
      <c r="R117" s="499"/>
      <c r="S117" s="499"/>
      <c r="T117" s="499"/>
      <c r="U117" s="499"/>
      <c r="V117" s="499"/>
      <c r="W117" s="499"/>
      <c r="X117" s="499"/>
      <c r="Y117" s="499"/>
      <c r="Z117" s="499"/>
      <c r="AA117" s="499"/>
      <c r="AB117" s="499"/>
      <c r="AC117" s="499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00" t="s">
        <v>75</v>
      </c>
      <c r="B119" s="501"/>
      <c r="C119" s="502"/>
      <c r="D119" s="49"/>
      <c r="E119" s="49"/>
      <c r="F119" s="506" t="s">
        <v>76</v>
      </c>
      <c r="G119" s="506"/>
      <c r="H119" s="506"/>
      <c r="I119" s="506"/>
      <c r="J119" s="506"/>
      <c r="K119" s="506"/>
      <c r="L119" s="506"/>
      <c r="M119" s="506"/>
      <c r="N119" s="506"/>
      <c r="O119" s="506"/>
      <c r="P119" s="506"/>
      <c r="Q119" s="506"/>
      <c r="R119" s="506"/>
      <c r="S119" s="506"/>
      <c r="T119" s="506"/>
      <c r="U119" s="506"/>
      <c r="V119" s="506"/>
      <c r="W119" s="506"/>
      <c r="X119" s="506"/>
      <c r="Y119" s="506"/>
      <c r="Z119" s="506"/>
      <c r="AA119" s="506"/>
      <c r="AB119" s="506"/>
      <c r="AC119" s="506"/>
      <c r="AD119" s="5"/>
      <c r="AE119" s="5"/>
      <c r="AF119" s="5"/>
      <c r="AG119" s="5"/>
      <c r="AH119" s="5"/>
    </row>
    <row r="120" spans="1:124" ht="15.6" hidden="1" customHeight="1">
      <c r="A120" s="503"/>
      <c r="B120" s="504"/>
      <c r="C120" s="505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07" t="s">
        <v>27</v>
      </c>
      <c r="B121" s="508"/>
      <c r="C121" s="509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07" t="s">
        <v>78</v>
      </c>
      <c r="B122" s="508"/>
      <c r="C122" s="509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07" t="s">
        <v>29</v>
      </c>
      <c r="B123" s="508"/>
      <c r="C123" s="509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07" t="s">
        <v>32</v>
      </c>
      <c r="B124" s="508"/>
      <c r="C124" s="509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07" t="s">
        <v>33</v>
      </c>
      <c r="B125" s="508"/>
      <c r="C125" s="509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07" t="s">
        <v>55</v>
      </c>
      <c r="B126" s="508"/>
      <c r="C126" s="509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07" t="s">
        <v>59</v>
      </c>
      <c r="B127" s="508"/>
      <c r="C127" s="509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07" t="s">
        <v>69</v>
      </c>
      <c r="B128" s="508"/>
      <c r="C128" s="509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496" t="s">
        <v>99</v>
      </c>
      <c r="B129" s="497"/>
      <c r="C129" s="498"/>
      <c r="D129" s="51"/>
      <c r="E129" s="51"/>
      <c r="F129" s="44">
        <f>SUM(F121:F128)</f>
        <v>0</v>
      </c>
      <c r="G129" s="44">
        <f t="shared" ref="G129:AB129" si="49">SUM(G121:G128)</f>
        <v>0</v>
      </c>
      <c r="H129" s="44">
        <f t="shared" si="49"/>
        <v>0</v>
      </c>
      <c r="I129" s="44">
        <f t="shared" si="49"/>
        <v>0</v>
      </c>
      <c r="J129" s="44">
        <f t="shared" si="49"/>
        <v>0</v>
      </c>
      <c r="K129" s="44">
        <f t="shared" si="49"/>
        <v>0</v>
      </c>
      <c r="L129" s="44">
        <f t="shared" si="49"/>
        <v>0</v>
      </c>
      <c r="M129" s="44">
        <f t="shared" si="49"/>
        <v>0</v>
      </c>
      <c r="N129" s="44">
        <f t="shared" si="49"/>
        <v>0</v>
      </c>
      <c r="O129" s="44">
        <f t="shared" si="49"/>
        <v>0</v>
      </c>
      <c r="P129" s="44">
        <f t="shared" si="49"/>
        <v>0</v>
      </c>
      <c r="Q129" s="44">
        <f t="shared" si="49"/>
        <v>0</v>
      </c>
      <c r="R129" s="44">
        <f t="shared" si="49"/>
        <v>0</v>
      </c>
      <c r="S129" s="44">
        <f t="shared" si="49"/>
        <v>0</v>
      </c>
      <c r="T129" s="44">
        <f t="shared" si="49"/>
        <v>0</v>
      </c>
      <c r="U129" s="44">
        <f t="shared" si="49"/>
        <v>0</v>
      </c>
      <c r="V129" s="44">
        <f t="shared" si="49"/>
        <v>0</v>
      </c>
      <c r="W129" s="44">
        <f t="shared" si="49"/>
        <v>0</v>
      </c>
      <c r="X129" s="44">
        <f t="shared" si="49"/>
        <v>0</v>
      </c>
      <c r="Y129" s="44">
        <f t="shared" si="49"/>
        <v>0</v>
      </c>
      <c r="Z129" s="44">
        <f t="shared" si="49"/>
        <v>0</v>
      </c>
      <c r="AA129" s="44">
        <f t="shared" si="49"/>
        <v>0</v>
      </c>
      <c r="AB129" s="44">
        <f t="shared" si="49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2743" priority="316" operator="greaterThan">
      <formula>60.3</formula>
    </cfRule>
  </conditionalFormatting>
  <conditionalFormatting sqref="F111">
    <cfRule type="cellIs" dxfId="2742" priority="315" operator="greaterThan">
      <formula>60.3</formula>
    </cfRule>
  </conditionalFormatting>
  <conditionalFormatting sqref="G67:AC75">
    <cfRule type="cellIs" dxfId="2741" priority="307" operator="equal">
      <formula>"PMS"</formula>
    </cfRule>
    <cfRule type="containsText" dxfId="2740" priority="308" operator="containsText" text="CMS">
      <formula>NOT(ISERROR(SEARCH("CMS",G67)))</formula>
    </cfRule>
    <cfRule type="cellIs" dxfId="2739" priority="309" operator="equal">
      <formula>0</formula>
    </cfRule>
    <cfRule type="cellIs" dxfId="2738" priority="310" operator="greaterThan">
      <formula>0</formula>
    </cfRule>
    <cfRule type="cellIs" dxfId="2737" priority="311" operator="equal">
      <formula>"PMS"</formula>
    </cfRule>
    <cfRule type="containsText" dxfId="2736" priority="312" operator="containsText" text="CMS">
      <formula>NOT(ISERROR(SEARCH("CMS",G67)))</formula>
    </cfRule>
    <cfRule type="cellIs" dxfId="2735" priority="313" operator="equal">
      <formula>0</formula>
    </cfRule>
    <cfRule type="cellIs" dxfId="2734" priority="314" operator="greaterThan">
      <formula>0</formula>
    </cfRule>
  </conditionalFormatting>
  <conditionalFormatting sqref="G67:AC75">
    <cfRule type="cellIs" dxfId="2733" priority="303" operator="equal">
      <formula>"PMS"</formula>
    </cfRule>
    <cfRule type="containsText" dxfId="2732" priority="304" operator="containsText" text="CMS">
      <formula>NOT(ISERROR(SEARCH("CMS",G67)))</formula>
    </cfRule>
    <cfRule type="cellIs" dxfId="2731" priority="305" operator="equal">
      <formula>0</formula>
    </cfRule>
    <cfRule type="cellIs" dxfId="2730" priority="306" operator="greaterThan">
      <formula>0</formula>
    </cfRule>
  </conditionalFormatting>
  <conditionalFormatting sqref="G82:AC82">
    <cfRule type="cellIs" dxfId="2729" priority="295" operator="equal">
      <formula>"PMS"</formula>
    </cfRule>
    <cfRule type="containsText" dxfId="2728" priority="296" operator="containsText" text="CMS">
      <formula>NOT(ISERROR(SEARCH("CMS",G82)))</formula>
    </cfRule>
    <cfRule type="cellIs" dxfId="2727" priority="297" operator="equal">
      <formula>0</formula>
    </cfRule>
    <cfRule type="cellIs" dxfId="2726" priority="298" operator="greaterThan">
      <formula>0</formula>
    </cfRule>
    <cfRule type="cellIs" dxfId="2725" priority="299" operator="equal">
      <formula>"PMS"</formula>
    </cfRule>
    <cfRule type="containsText" dxfId="2724" priority="300" operator="containsText" text="CMS">
      <formula>NOT(ISERROR(SEARCH("CMS",G82)))</formula>
    </cfRule>
    <cfRule type="cellIs" dxfId="2723" priority="301" operator="equal">
      <formula>0</formula>
    </cfRule>
    <cfRule type="cellIs" dxfId="2722" priority="302" operator="greaterThan">
      <formula>0</formula>
    </cfRule>
  </conditionalFormatting>
  <conditionalFormatting sqref="G82:AC82">
    <cfRule type="cellIs" dxfId="2721" priority="291" operator="equal">
      <formula>"PMS"</formula>
    </cfRule>
    <cfRule type="containsText" dxfId="2720" priority="292" operator="containsText" text="CMS">
      <formula>NOT(ISERROR(SEARCH("CMS",G82)))</formula>
    </cfRule>
    <cfRule type="cellIs" dxfId="2719" priority="293" operator="equal">
      <formula>0</formula>
    </cfRule>
    <cfRule type="cellIs" dxfId="2718" priority="294" operator="greaterThan">
      <formula>0</formula>
    </cfRule>
  </conditionalFormatting>
  <conditionalFormatting sqref="E113:AC113 F112:N112">
    <cfRule type="cellIs" dxfId="2717" priority="290" operator="greaterThan">
      <formula>60.3</formula>
    </cfRule>
  </conditionalFormatting>
  <conditionalFormatting sqref="O112:AC112">
    <cfRule type="cellIs" dxfId="2716" priority="289" operator="greaterThan">
      <formula>60.3</formula>
    </cfRule>
  </conditionalFormatting>
  <conditionalFormatting sqref="G13:AC16">
    <cfRule type="cellIs" dxfId="2715" priority="281" operator="equal">
      <formula>"PMS"</formula>
    </cfRule>
    <cfRule type="containsText" dxfId="2714" priority="282" operator="containsText" text="CMS">
      <formula>NOT(ISERROR(SEARCH("CMS",G13)))</formula>
    </cfRule>
    <cfRule type="cellIs" dxfId="2713" priority="283" operator="equal">
      <formula>0</formula>
    </cfRule>
    <cfRule type="cellIs" dxfId="2712" priority="284" operator="greaterThan">
      <formula>0</formula>
    </cfRule>
    <cfRule type="cellIs" dxfId="2711" priority="285" operator="equal">
      <formula>"PMS"</formula>
    </cfRule>
    <cfRule type="containsText" dxfId="2710" priority="286" operator="containsText" text="CMS">
      <formula>NOT(ISERROR(SEARCH("CMS",G13)))</formula>
    </cfRule>
    <cfRule type="cellIs" dxfId="2709" priority="287" operator="equal">
      <formula>0</formula>
    </cfRule>
    <cfRule type="cellIs" dxfId="2708" priority="288" operator="greaterThan">
      <formula>0</formula>
    </cfRule>
  </conditionalFormatting>
  <conditionalFormatting sqref="G13:AC16">
    <cfRule type="cellIs" dxfId="2707" priority="277" operator="equal">
      <formula>"PMS"</formula>
    </cfRule>
    <cfRule type="containsText" dxfId="2706" priority="278" operator="containsText" text="CMS">
      <formula>NOT(ISERROR(SEARCH("CMS",G13)))</formula>
    </cfRule>
    <cfRule type="cellIs" dxfId="2705" priority="279" operator="equal">
      <formula>0</formula>
    </cfRule>
    <cfRule type="cellIs" dxfId="2704" priority="280" operator="greaterThan">
      <formula>0</formula>
    </cfRule>
  </conditionalFormatting>
  <conditionalFormatting sqref="H24:AC24 AC27 G19:AC21 G30:AC30 Z27:AA27 Z28:AC29 G27:Y29 H33:AC33">
    <cfRule type="cellIs" dxfId="2703" priority="257" operator="equal">
      <formula>"PMS"</formula>
    </cfRule>
    <cfRule type="containsText" dxfId="2702" priority="258" operator="containsText" text="CMS">
      <formula>NOT(ISERROR(SEARCH("CMS",G19)))</formula>
    </cfRule>
    <cfRule type="cellIs" dxfId="2701" priority="259" operator="equal">
      <formula>0</formula>
    </cfRule>
    <cfRule type="cellIs" dxfId="2700" priority="260" operator="greaterThan">
      <formula>0</formula>
    </cfRule>
    <cfRule type="cellIs" dxfId="2699" priority="261" operator="equal">
      <formula>"PMS"</formula>
    </cfRule>
    <cfRule type="containsText" dxfId="2698" priority="262" operator="containsText" text="CMS">
      <formula>NOT(ISERROR(SEARCH("CMS",G19)))</formula>
    </cfRule>
    <cfRule type="cellIs" dxfId="2697" priority="263" operator="equal">
      <formula>0</formula>
    </cfRule>
    <cfRule type="cellIs" dxfId="2696" priority="264" operator="greaterThan">
      <formula>0</formula>
    </cfRule>
  </conditionalFormatting>
  <conditionalFormatting sqref="H24:AC24 AC27 G19:AC21 G30:AC30 Z27:AA27 Z28:AC29 G27:Y29 H33:AC33">
    <cfRule type="cellIs" dxfId="2695" priority="253" operator="equal">
      <formula>"PMS"</formula>
    </cfRule>
    <cfRule type="containsText" dxfId="2694" priority="254" operator="containsText" text="CMS">
      <formula>NOT(ISERROR(SEARCH("CMS",G19)))</formula>
    </cfRule>
    <cfRule type="cellIs" dxfId="2693" priority="255" operator="equal">
      <formula>0</formula>
    </cfRule>
    <cfRule type="cellIs" dxfId="2692" priority="256" operator="greaterThan">
      <formula>0</formula>
    </cfRule>
  </conditionalFormatting>
  <conditionalFormatting sqref="V42:X42 G36:AC38 G43:X43 G39:X41 Y39:AC43 G44:AC59">
    <cfRule type="cellIs" dxfId="2691" priority="245" operator="equal">
      <formula>"PMS"</formula>
    </cfRule>
    <cfRule type="containsText" dxfId="2690" priority="246" operator="containsText" text="CMS">
      <formula>NOT(ISERROR(SEARCH("CMS",G36)))</formula>
    </cfRule>
    <cfRule type="cellIs" dxfId="2689" priority="247" operator="equal">
      <formula>0</formula>
    </cfRule>
    <cfRule type="cellIs" dxfId="2688" priority="248" operator="greaterThan">
      <formula>0</formula>
    </cfRule>
    <cfRule type="cellIs" dxfId="2687" priority="249" operator="equal">
      <formula>"PMS"</formula>
    </cfRule>
    <cfRule type="containsText" dxfId="2686" priority="250" operator="containsText" text="CMS">
      <formula>NOT(ISERROR(SEARCH("CMS",G36)))</formula>
    </cfRule>
    <cfRule type="cellIs" dxfId="2685" priority="251" operator="equal">
      <formula>0</formula>
    </cfRule>
    <cfRule type="cellIs" dxfId="2684" priority="252" operator="greaterThan">
      <formula>0</formula>
    </cfRule>
  </conditionalFormatting>
  <conditionalFormatting sqref="V42:X42 G36:AC38 G43:X43 G39:X41 Y39:AC43 G44:AC59">
    <cfRule type="cellIs" dxfId="2683" priority="241" operator="equal">
      <formula>"PMS"</formula>
    </cfRule>
    <cfRule type="containsText" dxfId="2682" priority="242" operator="containsText" text="CMS">
      <formula>NOT(ISERROR(SEARCH("CMS",G36)))</formula>
    </cfRule>
    <cfRule type="cellIs" dxfId="2681" priority="243" operator="equal">
      <formula>0</formula>
    </cfRule>
    <cfRule type="cellIs" dxfId="2680" priority="244" operator="greaterThan">
      <formula>0</formula>
    </cfRule>
  </conditionalFormatting>
  <conditionalFormatting sqref="G62:AC64 G78:AC79">
    <cfRule type="cellIs" dxfId="2679" priority="233" operator="equal">
      <formula>"PMS"</formula>
    </cfRule>
    <cfRule type="containsText" dxfId="2678" priority="234" operator="containsText" text="CMS">
      <formula>NOT(ISERROR(SEARCH("CMS",G62)))</formula>
    </cfRule>
    <cfRule type="cellIs" dxfId="2677" priority="235" operator="equal">
      <formula>0</formula>
    </cfRule>
    <cfRule type="cellIs" dxfId="2676" priority="236" operator="greaterThan">
      <formula>0</formula>
    </cfRule>
    <cfRule type="cellIs" dxfId="2675" priority="237" operator="equal">
      <formula>"PMS"</formula>
    </cfRule>
    <cfRule type="containsText" dxfId="2674" priority="238" operator="containsText" text="CMS">
      <formula>NOT(ISERROR(SEARCH("CMS",G62)))</formula>
    </cfRule>
    <cfRule type="cellIs" dxfId="2673" priority="239" operator="equal">
      <formula>0</formula>
    </cfRule>
    <cfRule type="cellIs" dxfId="2672" priority="240" operator="greaterThan">
      <formula>0</formula>
    </cfRule>
  </conditionalFormatting>
  <conditionalFormatting sqref="G62:AC64 G78:AC79">
    <cfRule type="cellIs" dxfId="2671" priority="229" operator="equal">
      <formula>"PMS"</formula>
    </cfRule>
    <cfRule type="containsText" dxfId="2670" priority="230" operator="containsText" text="CMS">
      <formula>NOT(ISERROR(SEARCH("CMS",G62)))</formula>
    </cfRule>
    <cfRule type="cellIs" dxfId="2669" priority="231" operator="equal">
      <formula>0</formula>
    </cfRule>
    <cfRule type="cellIs" dxfId="2668" priority="232" operator="greaterThan">
      <formula>0</formula>
    </cfRule>
  </conditionalFormatting>
  <conditionalFormatting sqref="G42:P42 R42:U42">
    <cfRule type="cellIs" dxfId="2667" priority="209" operator="equal">
      <formula>"PMS"</formula>
    </cfRule>
    <cfRule type="containsText" dxfId="2666" priority="210" operator="containsText" text="CMS">
      <formula>NOT(ISERROR(SEARCH("CMS",G42)))</formula>
    </cfRule>
    <cfRule type="cellIs" dxfId="2665" priority="211" operator="equal">
      <formula>0</formula>
    </cfRule>
    <cfRule type="cellIs" dxfId="2664" priority="212" operator="greaterThan">
      <formula>0</formula>
    </cfRule>
    <cfRule type="cellIs" dxfId="2663" priority="213" operator="equal">
      <formula>"PMS"</formula>
    </cfRule>
    <cfRule type="containsText" dxfId="2662" priority="214" operator="containsText" text="CMS">
      <formula>NOT(ISERROR(SEARCH("CMS",G42)))</formula>
    </cfRule>
    <cfRule type="cellIs" dxfId="2661" priority="215" operator="equal">
      <formula>0</formula>
    </cfRule>
    <cfRule type="cellIs" dxfId="2660" priority="216" operator="greaterThan">
      <formula>0</formula>
    </cfRule>
  </conditionalFormatting>
  <conditionalFormatting sqref="G42:P42 R42:U42">
    <cfRule type="cellIs" dxfId="2659" priority="205" operator="equal">
      <formula>"PMS"</formula>
    </cfRule>
    <cfRule type="containsText" dxfId="2658" priority="206" operator="containsText" text="CMS">
      <formula>NOT(ISERROR(SEARCH("CMS",G42)))</formula>
    </cfRule>
    <cfRule type="cellIs" dxfId="2657" priority="207" operator="equal">
      <formula>0</formula>
    </cfRule>
    <cfRule type="cellIs" dxfId="2656" priority="208" operator="greaterThan">
      <formula>0</formula>
    </cfRule>
  </conditionalFormatting>
  <conditionalFormatting sqref="G33">
    <cfRule type="cellIs" dxfId="2655" priority="197" operator="equal">
      <formula>"PMS"</formula>
    </cfRule>
    <cfRule type="containsText" dxfId="2654" priority="198" operator="containsText" text="CMS">
      <formula>NOT(ISERROR(SEARCH("CMS",G33)))</formula>
    </cfRule>
    <cfRule type="cellIs" dxfId="2653" priority="199" operator="equal">
      <formula>0</formula>
    </cfRule>
    <cfRule type="cellIs" dxfId="2652" priority="200" operator="greaterThan">
      <formula>0</formula>
    </cfRule>
    <cfRule type="cellIs" dxfId="2651" priority="201" operator="equal">
      <formula>"PMS"</formula>
    </cfRule>
    <cfRule type="containsText" dxfId="2650" priority="202" operator="containsText" text="CMS">
      <formula>NOT(ISERROR(SEARCH("CMS",G33)))</formula>
    </cfRule>
    <cfRule type="cellIs" dxfId="2649" priority="203" operator="equal">
      <formula>0</formula>
    </cfRule>
    <cfRule type="cellIs" dxfId="2648" priority="204" operator="greaterThan">
      <formula>0</formula>
    </cfRule>
  </conditionalFormatting>
  <conditionalFormatting sqref="G33">
    <cfRule type="cellIs" dxfId="2647" priority="193" operator="equal">
      <formula>"PMS"</formula>
    </cfRule>
    <cfRule type="containsText" dxfId="2646" priority="194" operator="containsText" text="CMS">
      <formula>NOT(ISERROR(SEARCH("CMS",G33)))</formula>
    </cfRule>
    <cfRule type="cellIs" dxfId="2645" priority="195" operator="equal">
      <formula>0</formula>
    </cfRule>
    <cfRule type="cellIs" dxfId="2644" priority="196" operator="greaterThan">
      <formula>0</formula>
    </cfRule>
  </conditionalFormatting>
  <conditionalFormatting sqref="G24">
    <cfRule type="cellIs" dxfId="2643" priority="185" operator="equal">
      <formula>"PMS"</formula>
    </cfRule>
    <cfRule type="containsText" dxfId="2642" priority="186" operator="containsText" text="CMS">
      <formula>NOT(ISERROR(SEARCH("CMS",G24)))</formula>
    </cfRule>
    <cfRule type="cellIs" dxfId="2641" priority="187" operator="equal">
      <formula>0</formula>
    </cfRule>
    <cfRule type="cellIs" dxfId="2640" priority="188" operator="greaterThan">
      <formula>0</formula>
    </cfRule>
    <cfRule type="cellIs" dxfId="2639" priority="189" operator="equal">
      <formula>"PMS"</formula>
    </cfRule>
    <cfRule type="containsText" dxfId="2638" priority="190" operator="containsText" text="CMS">
      <formula>NOT(ISERROR(SEARCH("CMS",G24)))</formula>
    </cfRule>
    <cfRule type="cellIs" dxfId="2637" priority="191" operator="equal">
      <formula>0</formula>
    </cfRule>
    <cfRule type="cellIs" dxfId="2636" priority="192" operator="greaterThan">
      <formula>0</formula>
    </cfRule>
  </conditionalFormatting>
  <conditionalFormatting sqref="G24">
    <cfRule type="cellIs" dxfId="2635" priority="181" operator="equal">
      <formula>"PMS"</formula>
    </cfRule>
    <cfRule type="containsText" dxfId="2634" priority="182" operator="containsText" text="CMS">
      <formula>NOT(ISERROR(SEARCH("CMS",G24)))</formula>
    </cfRule>
    <cfRule type="cellIs" dxfId="2633" priority="183" operator="equal">
      <formula>0</formula>
    </cfRule>
    <cfRule type="cellIs" dxfId="2632" priority="184" operator="greaterThan">
      <formula>0</formula>
    </cfRule>
  </conditionalFormatting>
  <conditionalFormatting sqref="AB27">
    <cfRule type="cellIs" dxfId="2631" priority="89" operator="equal">
      <formula>"PMS"</formula>
    </cfRule>
    <cfRule type="containsText" dxfId="2630" priority="90" operator="containsText" text="CMS">
      <formula>NOT(ISERROR(SEARCH("CMS",AB27)))</formula>
    </cfRule>
    <cfRule type="cellIs" dxfId="2629" priority="91" operator="equal">
      <formula>0</formula>
    </cfRule>
    <cfRule type="cellIs" dxfId="2628" priority="92" operator="greaterThan">
      <formula>0</formula>
    </cfRule>
    <cfRule type="cellIs" dxfId="2627" priority="93" operator="equal">
      <formula>"PMS"</formula>
    </cfRule>
    <cfRule type="containsText" dxfId="2626" priority="94" operator="containsText" text="CMS">
      <formula>NOT(ISERROR(SEARCH("CMS",AB27)))</formula>
    </cfRule>
    <cfRule type="cellIs" dxfId="2625" priority="95" operator="equal">
      <formula>0</formula>
    </cfRule>
    <cfRule type="cellIs" dxfId="2624" priority="96" operator="greaterThan">
      <formula>0</formula>
    </cfRule>
  </conditionalFormatting>
  <conditionalFormatting sqref="AB27">
    <cfRule type="cellIs" dxfId="2623" priority="85" operator="equal">
      <formula>"PMS"</formula>
    </cfRule>
    <cfRule type="containsText" dxfId="2622" priority="86" operator="containsText" text="CMS">
      <formula>NOT(ISERROR(SEARCH("CMS",AB27)))</formula>
    </cfRule>
    <cfRule type="cellIs" dxfId="2621" priority="87" operator="equal">
      <formula>0</formula>
    </cfRule>
    <cfRule type="cellIs" dxfId="2620" priority="88" operator="greaterThan">
      <formula>0</formula>
    </cfRule>
  </conditionalFormatting>
  <conditionalFormatting sqref="F67:F75">
    <cfRule type="cellIs" dxfId="2619" priority="77" operator="equal">
      <formula>"PMS"</formula>
    </cfRule>
    <cfRule type="containsText" dxfId="2618" priority="78" operator="containsText" text="CMS">
      <formula>NOT(ISERROR(SEARCH("CMS",F67)))</formula>
    </cfRule>
    <cfRule type="cellIs" dxfId="2617" priority="79" operator="equal">
      <formula>0</formula>
    </cfRule>
    <cfRule type="cellIs" dxfId="2616" priority="80" operator="greaterThan">
      <formula>0</formula>
    </cfRule>
    <cfRule type="cellIs" dxfId="2615" priority="81" operator="equal">
      <formula>"PMS"</formula>
    </cfRule>
    <cfRule type="containsText" dxfId="2614" priority="82" operator="containsText" text="CMS">
      <formula>NOT(ISERROR(SEARCH("CMS",F67)))</formula>
    </cfRule>
    <cfRule type="cellIs" dxfId="2613" priority="83" operator="equal">
      <formula>0</formula>
    </cfRule>
    <cfRule type="cellIs" dxfId="2612" priority="84" operator="greaterThan">
      <formula>0</formula>
    </cfRule>
  </conditionalFormatting>
  <conditionalFormatting sqref="F67:F75">
    <cfRule type="cellIs" dxfId="2611" priority="73" operator="equal">
      <formula>"PMS"</formula>
    </cfRule>
    <cfRule type="containsText" dxfId="2610" priority="74" operator="containsText" text="CMS">
      <formula>NOT(ISERROR(SEARCH("CMS",F67)))</formula>
    </cfRule>
    <cfRule type="cellIs" dxfId="2609" priority="75" operator="equal">
      <formula>0</formula>
    </cfRule>
    <cfRule type="cellIs" dxfId="2608" priority="76" operator="greaterThan">
      <formula>0</formula>
    </cfRule>
  </conditionalFormatting>
  <conditionalFormatting sqref="F82">
    <cfRule type="cellIs" dxfId="2607" priority="65" operator="equal">
      <formula>"PMS"</formula>
    </cfRule>
    <cfRule type="containsText" dxfId="2606" priority="66" operator="containsText" text="CMS">
      <formula>NOT(ISERROR(SEARCH("CMS",F82)))</formula>
    </cfRule>
    <cfRule type="cellIs" dxfId="2605" priority="67" operator="equal">
      <formula>0</formula>
    </cfRule>
    <cfRule type="cellIs" dxfId="2604" priority="68" operator="greaterThan">
      <formula>0</formula>
    </cfRule>
    <cfRule type="cellIs" dxfId="2603" priority="69" operator="equal">
      <formula>"PMS"</formula>
    </cfRule>
    <cfRule type="containsText" dxfId="2602" priority="70" operator="containsText" text="CMS">
      <formula>NOT(ISERROR(SEARCH("CMS",F82)))</formula>
    </cfRule>
    <cfRule type="cellIs" dxfId="2601" priority="71" operator="equal">
      <formula>0</formula>
    </cfRule>
    <cfRule type="cellIs" dxfId="2600" priority="72" operator="greaterThan">
      <formula>0</formula>
    </cfRule>
  </conditionalFormatting>
  <conditionalFormatting sqref="F82">
    <cfRule type="cellIs" dxfId="2599" priority="61" operator="equal">
      <formula>"PMS"</formula>
    </cfRule>
    <cfRule type="containsText" dxfId="2598" priority="62" operator="containsText" text="CMS">
      <formula>NOT(ISERROR(SEARCH("CMS",F82)))</formula>
    </cfRule>
    <cfRule type="cellIs" dxfId="2597" priority="63" operator="equal">
      <formula>0</formula>
    </cfRule>
    <cfRule type="cellIs" dxfId="2596" priority="64" operator="greaterThan">
      <formula>0</formula>
    </cfRule>
  </conditionalFormatting>
  <conditionalFormatting sqref="F13:F16">
    <cfRule type="cellIs" dxfId="2595" priority="53" operator="equal">
      <formula>"PMS"</formula>
    </cfRule>
    <cfRule type="containsText" dxfId="2594" priority="54" operator="containsText" text="CMS">
      <formula>NOT(ISERROR(SEARCH("CMS",F13)))</formula>
    </cfRule>
    <cfRule type="cellIs" dxfId="2593" priority="55" operator="equal">
      <formula>0</formula>
    </cfRule>
    <cfRule type="cellIs" dxfId="2592" priority="56" operator="greaterThan">
      <formula>0</formula>
    </cfRule>
    <cfRule type="cellIs" dxfId="2591" priority="57" operator="equal">
      <formula>"PMS"</formula>
    </cfRule>
    <cfRule type="containsText" dxfId="2590" priority="58" operator="containsText" text="CMS">
      <formula>NOT(ISERROR(SEARCH("CMS",F13)))</formula>
    </cfRule>
    <cfRule type="cellIs" dxfId="2589" priority="59" operator="equal">
      <formula>0</formula>
    </cfRule>
    <cfRule type="cellIs" dxfId="2588" priority="60" operator="greaterThan">
      <formula>0</formula>
    </cfRule>
  </conditionalFormatting>
  <conditionalFormatting sqref="F13:F16">
    <cfRule type="cellIs" dxfId="2587" priority="49" operator="equal">
      <formula>"PMS"</formula>
    </cfRule>
    <cfRule type="containsText" dxfId="2586" priority="50" operator="containsText" text="CMS">
      <formula>NOT(ISERROR(SEARCH("CMS",F13)))</formula>
    </cfRule>
    <cfRule type="cellIs" dxfId="2585" priority="51" operator="equal">
      <formula>0</formula>
    </cfRule>
    <cfRule type="cellIs" dxfId="2584" priority="52" operator="greaterThan">
      <formula>0</formula>
    </cfRule>
  </conditionalFormatting>
  <conditionalFormatting sqref="F24 F33 F19:F21 F27:F30">
    <cfRule type="cellIs" dxfId="2583" priority="41" operator="equal">
      <formula>"PMS"</formula>
    </cfRule>
    <cfRule type="containsText" dxfId="2582" priority="42" operator="containsText" text="CMS">
      <formula>NOT(ISERROR(SEARCH("CMS",F19)))</formula>
    </cfRule>
    <cfRule type="cellIs" dxfId="2581" priority="43" operator="equal">
      <formula>0</formula>
    </cfRule>
    <cfRule type="cellIs" dxfId="2580" priority="44" operator="greaterThan">
      <formula>0</formula>
    </cfRule>
    <cfRule type="cellIs" dxfId="2579" priority="45" operator="equal">
      <formula>"PMS"</formula>
    </cfRule>
    <cfRule type="containsText" dxfId="2578" priority="46" operator="containsText" text="CMS">
      <formula>NOT(ISERROR(SEARCH("CMS",F19)))</formula>
    </cfRule>
    <cfRule type="cellIs" dxfId="2577" priority="47" operator="equal">
      <formula>0</formula>
    </cfRule>
    <cfRule type="cellIs" dxfId="2576" priority="48" operator="greaterThan">
      <formula>0</formula>
    </cfRule>
  </conditionalFormatting>
  <conditionalFormatting sqref="F24 F33 F19:F21 F27:F30">
    <cfRule type="cellIs" dxfId="2575" priority="37" operator="equal">
      <formula>"PMS"</formula>
    </cfRule>
    <cfRule type="containsText" dxfId="2574" priority="38" operator="containsText" text="CMS">
      <formula>NOT(ISERROR(SEARCH("CMS",F19)))</formula>
    </cfRule>
    <cfRule type="cellIs" dxfId="2573" priority="39" operator="equal">
      <formula>0</formula>
    </cfRule>
    <cfRule type="cellIs" dxfId="2572" priority="40" operator="greaterThan">
      <formula>0</formula>
    </cfRule>
  </conditionalFormatting>
  <conditionalFormatting sqref="F36:F59">
    <cfRule type="cellIs" dxfId="2571" priority="29" operator="equal">
      <formula>"PMS"</formula>
    </cfRule>
    <cfRule type="containsText" dxfId="2570" priority="30" operator="containsText" text="CMS">
      <formula>NOT(ISERROR(SEARCH("CMS",F36)))</formula>
    </cfRule>
    <cfRule type="cellIs" dxfId="2569" priority="31" operator="equal">
      <formula>0</formula>
    </cfRule>
    <cfRule type="cellIs" dxfId="2568" priority="32" operator="greaterThan">
      <formula>0</formula>
    </cfRule>
    <cfRule type="cellIs" dxfId="2567" priority="33" operator="equal">
      <formula>"PMS"</formula>
    </cfRule>
    <cfRule type="containsText" dxfId="2566" priority="34" operator="containsText" text="CMS">
      <formula>NOT(ISERROR(SEARCH("CMS",F36)))</formula>
    </cfRule>
    <cfRule type="cellIs" dxfId="2565" priority="35" operator="equal">
      <formula>0</formula>
    </cfRule>
    <cfRule type="cellIs" dxfId="2564" priority="36" operator="greaterThan">
      <formula>0</formula>
    </cfRule>
  </conditionalFormatting>
  <conditionalFormatting sqref="F36:F59">
    <cfRule type="cellIs" dxfId="2563" priority="25" operator="equal">
      <formula>"PMS"</formula>
    </cfRule>
    <cfRule type="containsText" dxfId="2562" priority="26" operator="containsText" text="CMS">
      <formula>NOT(ISERROR(SEARCH("CMS",F36)))</formula>
    </cfRule>
    <cfRule type="cellIs" dxfId="2561" priority="27" operator="equal">
      <formula>0</formula>
    </cfRule>
    <cfRule type="cellIs" dxfId="2560" priority="28" operator="greaterThan">
      <formula>0</formula>
    </cfRule>
  </conditionalFormatting>
  <conditionalFormatting sqref="F78:F79 F62:F64">
    <cfRule type="cellIs" dxfId="2559" priority="17" operator="equal">
      <formula>"PMS"</formula>
    </cfRule>
    <cfRule type="containsText" dxfId="2558" priority="18" operator="containsText" text="CMS">
      <formula>NOT(ISERROR(SEARCH("CMS",F62)))</formula>
    </cfRule>
    <cfRule type="cellIs" dxfId="2557" priority="19" operator="equal">
      <formula>0</formula>
    </cfRule>
    <cfRule type="cellIs" dxfId="2556" priority="20" operator="greaterThan">
      <formula>0</formula>
    </cfRule>
    <cfRule type="cellIs" dxfId="2555" priority="21" operator="equal">
      <formula>"PMS"</formula>
    </cfRule>
    <cfRule type="containsText" dxfId="2554" priority="22" operator="containsText" text="CMS">
      <formula>NOT(ISERROR(SEARCH("CMS",F62)))</formula>
    </cfRule>
    <cfRule type="cellIs" dxfId="2553" priority="23" operator="equal">
      <formula>0</formula>
    </cfRule>
    <cfRule type="cellIs" dxfId="2552" priority="24" operator="greaterThan">
      <formula>0</formula>
    </cfRule>
  </conditionalFormatting>
  <conditionalFormatting sqref="F78:F79 F62:F64">
    <cfRule type="cellIs" dxfId="2551" priority="13" operator="equal">
      <formula>"PMS"</formula>
    </cfRule>
    <cfRule type="containsText" dxfId="2550" priority="14" operator="containsText" text="CMS">
      <formula>NOT(ISERROR(SEARCH("CMS",F62)))</formula>
    </cfRule>
    <cfRule type="cellIs" dxfId="2549" priority="15" operator="equal">
      <formula>0</formula>
    </cfRule>
    <cfRule type="cellIs" dxfId="2548" priority="16" operator="greaterThan">
      <formula>0</formula>
    </cfRule>
  </conditionalFormatting>
  <conditionalFormatting sqref="Q42">
    <cfRule type="cellIs" dxfId="2547" priority="5" operator="equal">
      <formula>"PMS"</formula>
    </cfRule>
    <cfRule type="containsText" dxfId="2546" priority="6" operator="containsText" text="CMS">
      <formula>NOT(ISERROR(SEARCH("CMS",Q42)))</formula>
    </cfRule>
    <cfRule type="cellIs" dxfId="2545" priority="7" operator="equal">
      <formula>0</formula>
    </cfRule>
    <cfRule type="cellIs" dxfId="2544" priority="8" operator="greaterThan">
      <formula>0</formula>
    </cfRule>
    <cfRule type="cellIs" dxfId="2543" priority="9" operator="equal">
      <formula>"PMS"</formula>
    </cfRule>
    <cfRule type="containsText" dxfId="2542" priority="10" operator="containsText" text="CMS">
      <formula>NOT(ISERROR(SEARCH("CMS",Q42)))</formula>
    </cfRule>
    <cfRule type="cellIs" dxfId="2541" priority="11" operator="equal">
      <formula>0</formula>
    </cfRule>
    <cfRule type="cellIs" dxfId="2540" priority="12" operator="greaterThan">
      <formula>0</formula>
    </cfRule>
  </conditionalFormatting>
  <conditionalFormatting sqref="Q42">
    <cfRule type="cellIs" dxfId="2539" priority="1" operator="equal">
      <formula>"PMS"</formula>
    </cfRule>
    <cfRule type="containsText" dxfId="2538" priority="2" operator="containsText" text="CMS">
      <formula>NOT(ISERROR(SEARCH("CMS",Q42)))</formula>
    </cfRule>
    <cfRule type="cellIs" dxfId="2537" priority="3" operator="equal">
      <formula>0</formula>
    </cfRule>
    <cfRule type="cellIs" dxfId="2536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1347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D7493C-20BF-4C17-9B3B-454E1556CA4C}">
  <sheetPr codeName="Sheet181"/>
  <dimension ref="A2:DT141"/>
  <sheetViews>
    <sheetView zoomScale="70" zoomScaleNormal="70" zoomScaleSheetLayoutView="51" zoomScalePageLayoutView="55" workbookViewId="0">
      <pane xSplit="5" ySplit="11" topLeftCell="F20" activePane="bottomRight" state="frozen"/>
      <selection pane="bottomRight" activeCell="Q14" sqref="Q14"/>
      <selection pane="bottomLeft" activeCell="AJ44" sqref="AJ44"/>
      <selection pane="topRight" activeCell="AJ44" sqref="AJ4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23"/>
      <c r="N8" s="523"/>
      <c r="O8" s="52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24" t="e" cm="1">
        <f t="array" aca="1" ref="M9" ca="1">TEXT(TODAY(),"mmmm")&amp;" "&amp;MID(CELL("filename",A1),FIND("]",CELL("filename",A1))+1,255)&amp;", "&amp;TEXT(TODAY(),"yyyy")</f>
        <v>#VALUE!</v>
      </c>
      <c r="N9" s="524"/>
      <c r="O9" s="524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4"/>
      <c r="R10" s="344"/>
      <c r="S10" s="344"/>
      <c r="T10" s="344"/>
      <c r="U10" s="344"/>
      <c r="V10" s="344"/>
      <c r="W10" s="344"/>
      <c r="X10" s="344"/>
      <c r="Y10" s="344"/>
      <c r="Z10" s="344"/>
      <c r="AA10" s="344"/>
      <c r="AB10" s="344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17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540.29999999999984</v>
      </c>
    </row>
    <row r="13" spans="1:41">
      <c r="A13" s="14" t="s">
        <v>22</v>
      </c>
      <c r="B13" s="15"/>
      <c r="C13" s="15">
        <v>7.2</v>
      </c>
      <c r="D13" s="15"/>
      <c r="E13" s="15"/>
      <c r="F13" s="372">
        <v>6.4</v>
      </c>
      <c r="G13" s="372">
        <v>6.5</v>
      </c>
      <c r="H13" s="372">
        <v>6.6</v>
      </c>
      <c r="I13" s="372">
        <v>6.7</v>
      </c>
      <c r="J13" s="372">
        <v>6.6</v>
      </c>
      <c r="K13" s="374">
        <v>6.6</v>
      </c>
      <c r="L13" s="374">
        <v>6.6</v>
      </c>
      <c r="M13" s="374">
        <v>6.5</v>
      </c>
      <c r="N13" s="372">
        <v>7</v>
      </c>
      <c r="O13" s="372">
        <v>6.5</v>
      </c>
      <c r="P13" s="372">
        <v>6.3</v>
      </c>
      <c r="Q13" s="372">
        <v>6.3</v>
      </c>
      <c r="R13" s="372">
        <v>6</v>
      </c>
      <c r="S13" s="372">
        <v>6.5</v>
      </c>
      <c r="T13" s="372">
        <v>6.6</v>
      </c>
      <c r="U13" s="372">
        <v>6.4</v>
      </c>
      <c r="V13" s="372">
        <v>6.7</v>
      </c>
      <c r="W13" s="372">
        <v>6.3</v>
      </c>
      <c r="X13" s="374">
        <v>6.7</v>
      </c>
      <c r="Y13" s="374">
        <v>6.7</v>
      </c>
      <c r="Z13" s="372">
        <v>6.8</v>
      </c>
      <c r="AA13" s="372">
        <v>6.7</v>
      </c>
      <c r="AB13" s="372">
        <v>0</v>
      </c>
      <c r="AC13" s="372">
        <v>0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1">
      <c r="A14" s="14" t="s">
        <v>23</v>
      </c>
      <c r="B14" s="15"/>
      <c r="C14" s="15">
        <v>7.2</v>
      </c>
      <c r="D14" s="15"/>
      <c r="E14" s="15"/>
      <c r="F14" s="372">
        <v>6.4</v>
      </c>
      <c r="G14" s="372">
        <v>6.5</v>
      </c>
      <c r="H14" s="372">
        <v>6.6</v>
      </c>
      <c r="I14" s="372">
        <v>6.7</v>
      </c>
      <c r="J14" s="372"/>
      <c r="K14" s="374"/>
      <c r="L14" s="374"/>
      <c r="M14" s="374"/>
      <c r="N14" s="372"/>
      <c r="O14" s="372">
        <v>1.3</v>
      </c>
      <c r="P14" s="372">
        <v>2.5</v>
      </c>
      <c r="Q14" s="372">
        <v>1</v>
      </c>
      <c r="R14" s="372">
        <v>4.5</v>
      </c>
      <c r="S14" s="372">
        <v>6.7</v>
      </c>
      <c r="T14" s="372">
        <v>6.7</v>
      </c>
      <c r="U14" s="372">
        <v>6.7</v>
      </c>
      <c r="V14" s="372">
        <v>6.7</v>
      </c>
      <c r="W14" s="372">
        <v>6.7</v>
      </c>
      <c r="X14" s="374">
        <v>6.7</v>
      </c>
      <c r="Y14" s="374">
        <v>6.7</v>
      </c>
      <c r="Z14" s="372">
        <v>6.8</v>
      </c>
      <c r="AA14" s="372">
        <v>6.7</v>
      </c>
      <c r="AB14" s="372">
        <v>6.7</v>
      </c>
      <c r="AC14" s="372">
        <v>6.7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19</v>
      </c>
    </row>
    <row r="15" spans="1:41">
      <c r="A15" s="66" t="s">
        <v>24</v>
      </c>
      <c r="B15" s="15"/>
      <c r="C15" s="15">
        <v>7.2</v>
      </c>
      <c r="D15" s="15"/>
      <c r="E15" s="15"/>
      <c r="F15" s="372">
        <v>6.4</v>
      </c>
      <c r="G15" s="372">
        <v>6.5</v>
      </c>
      <c r="H15" s="372">
        <v>6.6</v>
      </c>
      <c r="I15" s="372">
        <v>6.7</v>
      </c>
      <c r="J15" s="372">
        <v>6.6</v>
      </c>
      <c r="K15" s="374">
        <v>6.6</v>
      </c>
      <c r="L15" s="374">
        <v>6.6</v>
      </c>
      <c r="M15" s="374">
        <v>6.5</v>
      </c>
      <c r="N15" s="372">
        <v>7</v>
      </c>
      <c r="O15" s="372">
        <v>6.4</v>
      </c>
      <c r="P15" s="372">
        <v>5.7</v>
      </c>
      <c r="Q15" s="372">
        <v>6.5</v>
      </c>
      <c r="R15" s="372">
        <v>5.9</v>
      </c>
      <c r="S15" s="372">
        <v>6.4</v>
      </c>
      <c r="T15" s="372">
        <v>6.5</v>
      </c>
      <c r="U15" s="372">
        <v>6.4</v>
      </c>
      <c r="V15" s="372">
        <v>6.7</v>
      </c>
      <c r="W15" s="372">
        <v>6.3</v>
      </c>
      <c r="X15" s="374">
        <v>6.7</v>
      </c>
      <c r="Y15" s="374">
        <v>6.7</v>
      </c>
      <c r="Z15" s="372">
        <v>6.8</v>
      </c>
      <c r="AA15" s="372">
        <v>6.7</v>
      </c>
      <c r="AB15" s="372">
        <v>6.5</v>
      </c>
      <c r="AC15" s="372">
        <v>6.5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372"/>
      <c r="G16" s="372"/>
      <c r="H16" s="372"/>
      <c r="I16" s="372" t="s">
        <v>9</v>
      </c>
      <c r="J16" s="372">
        <v>6.6</v>
      </c>
      <c r="K16" s="374">
        <v>6.6</v>
      </c>
      <c r="L16" s="374">
        <v>6.6</v>
      </c>
      <c r="M16" s="374">
        <v>6.5</v>
      </c>
      <c r="N16" s="372">
        <v>6.9</v>
      </c>
      <c r="O16" s="372">
        <v>6.5</v>
      </c>
      <c r="P16" s="372">
        <v>5.7</v>
      </c>
      <c r="Q16" s="372">
        <v>6.6</v>
      </c>
      <c r="R16" s="372">
        <v>6.2</v>
      </c>
      <c r="S16" s="372">
        <v>6.3</v>
      </c>
      <c r="T16" s="372">
        <v>6.6</v>
      </c>
      <c r="U16" s="372">
        <v>6.5</v>
      </c>
      <c r="V16" s="372">
        <v>6.8</v>
      </c>
      <c r="W16" s="372">
        <v>6.4</v>
      </c>
      <c r="X16" s="374">
        <v>6.7</v>
      </c>
      <c r="Y16" s="374">
        <v>6.8</v>
      </c>
      <c r="Z16" s="372">
        <v>6.8</v>
      </c>
      <c r="AA16" s="372">
        <v>6.7</v>
      </c>
      <c r="AB16" s="372">
        <v>6.5</v>
      </c>
      <c r="AC16" s="372">
        <v>6.5</v>
      </c>
      <c r="AD16" s="41"/>
      <c r="AE16" s="41"/>
      <c r="AF16" s="11">
        <f>COUNTIF(F16:AC16,$AJ$8)</f>
        <v>1</v>
      </c>
      <c r="AG16" s="11">
        <f>COUNTIF(G16:AD16,$AJ$7)</f>
        <v>0</v>
      </c>
      <c r="AH16" s="11">
        <f>COUNT(F16:AC16)</f>
        <v>20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19.200000000000003</v>
      </c>
      <c r="G17" s="19">
        <f t="shared" ref="G17:AC17" si="1">SUM(G13:G16)</f>
        <v>19.5</v>
      </c>
      <c r="H17" s="19">
        <f>SUM(H13:H16)</f>
        <v>19.799999999999997</v>
      </c>
      <c r="I17" s="19">
        <f t="shared" si="1"/>
        <v>20.100000000000001</v>
      </c>
      <c r="J17" s="19">
        <f t="shared" si="1"/>
        <v>19.799999999999997</v>
      </c>
      <c r="K17" s="19">
        <f t="shared" si="1"/>
        <v>19.799999999999997</v>
      </c>
      <c r="L17" s="19">
        <f t="shared" si="1"/>
        <v>19.799999999999997</v>
      </c>
      <c r="M17" s="19">
        <f t="shared" si="1"/>
        <v>19.5</v>
      </c>
      <c r="N17" s="19">
        <f t="shared" si="1"/>
        <v>20.9</v>
      </c>
      <c r="O17" s="19">
        <f t="shared" si="1"/>
        <v>20.7</v>
      </c>
      <c r="P17" s="19">
        <f t="shared" si="1"/>
        <v>20.2</v>
      </c>
      <c r="Q17" s="19">
        <f t="shared" si="1"/>
        <v>20.399999999999999</v>
      </c>
      <c r="R17" s="19">
        <f t="shared" si="1"/>
        <v>22.599999999999998</v>
      </c>
      <c r="S17" s="19">
        <f t="shared" si="1"/>
        <v>25.900000000000002</v>
      </c>
      <c r="T17" s="19">
        <f t="shared" si="1"/>
        <v>26.4</v>
      </c>
      <c r="U17" s="19">
        <f t="shared" si="1"/>
        <v>26</v>
      </c>
      <c r="V17" s="19">
        <f t="shared" si="1"/>
        <v>26.900000000000002</v>
      </c>
      <c r="W17" s="19">
        <f t="shared" si="1"/>
        <v>25.700000000000003</v>
      </c>
      <c r="X17" s="19">
        <f t="shared" si="1"/>
        <v>26.8</v>
      </c>
      <c r="Y17" s="19">
        <f t="shared" si="1"/>
        <v>26.900000000000002</v>
      </c>
      <c r="Z17" s="19">
        <f t="shared" si="1"/>
        <v>27.2</v>
      </c>
      <c r="AA17" s="19">
        <f t="shared" si="1"/>
        <v>26.8</v>
      </c>
      <c r="AB17" s="19">
        <f t="shared" si="1"/>
        <v>19.7</v>
      </c>
      <c r="AC17" s="19">
        <f t="shared" si="1"/>
        <v>19.7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106.29999999999995</v>
      </c>
    </row>
    <row r="19" spans="1:51">
      <c r="A19" s="14" t="s">
        <v>22</v>
      </c>
      <c r="B19" s="15"/>
      <c r="C19" s="15">
        <v>3</v>
      </c>
      <c r="D19" s="15"/>
      <c r="E19" s="15"/>
      <c r="F19" s="372">
        <v>2</v>
      </c>
      <c r="G19" s="372"/>
      <c r="H19" s="372"/>
      <c r="I19" s="372"/>
      <c r="J19" s="372"/>
      <c r="K19" s="374"/>
      <c r="L19" s="374"/>
      <c r="M19" s="374"/>
      <c r="N19" s="372">
        <v>2.7</v>
      </c>
      <c r="O19" s="372">
        <v>2.8</v>
      </c>
      <c r="P19" s="372">
        <v>2.8</v>
      </c>
      <c r="Q19" s="372">
        <v>2.8</v>
      </c>
      <c r="R19" s="372">
        <v>2.8</v>
      </c>
      <c r="S19" s="372">
        <v>2.7</v>
      </c>
      <c r="T19" s="372">
        <v>2.8</v>
      </c>
      <c r="U19" s="372">
        <v>2.6</v>
      </c>
      <c r="V19" s="372">
        <v>2.8</v>
      </c>
      <c r="W19" s="372">
        <v>2.6</v>
      </c>
      <c r="X19" s="372">
        <v>2.8</v>
      </c>
      <c r="Y19" s="372">
        <v>2.8</v>
      </c>
      <c r="Z19" s="372">
        <v>2.8</v>
      </c>
      <c r="AA19" s="372">
        <v>2</v>
      </c>
      <c r="AB19" s="372">
        <v>2.8</v>
      </c>
      <c r="AC19" s="372">
        <v>2</v>
      </c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17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372"/>
      <c r="G20" s="372"/>
      <c r="H20" s="372"/>
      <c r="I20" s="372"/>
      <c r="J20" s="372"/>
      <c r="K20" s="374"/>
      <c r="L20" s="374"/>
      <c r="M20" s="374"/>
      <c r="N20" s="372"/>
      <c r="O20" s="372"/>
      <c r="P20" s="372"/>
      <c r="Q20" s="372"/>
      <c r="R20" s="372"/>
      <c r="S20" s="372"/>
      <c r="T20" s="372"/>
      <c r="U20" s="372"/>
      <c r="V20" s="372"/>
      <c r="W20" s="372"/>
      <c r="X20" s="372"/>
      <c r="Y20" s="372"/>
      <c r="Z20" s="372"/>
      <c r="AA20" s="372"/>
      <c r="AB20" s="372"/>
      <c r="AC20" s="372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2">
        <v>3</v>
      </c>
      <c r="G21" s="372">
        <v>3</v>
      </c>
      <c r="H21" s="372"/>
      <c r="I21" s="372"/>
      <c r="J21" s="372"/>
      <c r="K21" s="374"/>
      <c r="L21" s="374"/>
      <c r="M21" s="374"/>
      <c r="N21" s="372"/>
      <c r="O21" s="372">
        <v>3.8</v>
      </c>
      <c r="P21" s="372">
        <v>3.8</v>
      </c>
      <c r="Q21" s="372">
        <v>3.8</v>
      </c>
      <c r="R21" s="372">
        <v>3.8</v>
      </c>
      <c r="S21" s="372">
        <v>3.8</v>
      </c>
      <c r="T21" s="372">
        <v>3.8</v>
      </c>
      <c r="U21" s="372">
        <v>3.6</v>
      </c>
      <c r="V21" s="372">
        <v>3.8</v>
      </c>
      <c r="W21" s="372">
        <v>3.5</v>
      </c>
      <c r="X21" s="372">
        <v>3.8</v>
      </c>
      <c r="Y21" s="372">
        <v>3.8</v>
      </c>
      <c r="Z21" s="372">
        <v>3.8</v>
      </c>
      <c r="AA21" s="372">
        <v>3.8</v>
      </c>
      <c r="AB21" s="372">
        <v>3.8</v>
      </c>
      <c r="AC21" s="372">
        <v>3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17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5</v>
      </c>
      <c r="G22" s="19">
        <f>SUM(G19:G21)</f>
        <v>3</v>
      </c>
      <c r="H22" s="19">
        <f t="shared" ref="H22:AC22" si="3">SUM(H19:H21)</f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2.7</v>
      </c>
      <c r="O22" s="19">
        <f t="shared" si="3"/>
        <v>6.6</v>
      </c>
      <c r="P22" s="19">
        <f t="shared" si="3"/>
        <v>6.6</v>
      </c>
      <c r="Q22" s="19">
        <f t="shared" si="3"/>
        <v>6.6</v>
      </c>
      <c r="R22" s="19">
        <f t="shared" si="3"/>
        <v>6.6</v>
      </c>
      <c r="S22" s="19">
        <f>SUM(S19:S21)</f>
        <v>6.5</v>
      </c>
      <c r="T22" s="19">
        <f t="shared" ref="T22" si="4">SUM(T19:T21)</f>
        <v>6.6</v>
      </c>
      <c r="U22" s="19">
        <f t="shared" si="3"/>
        <v>6.2</v>
      </c>
      <c r="V22" s="19">
        <f t="shared" si="3"/>
        <v>6.6</v>
      </c>
      <c r="W22" s="19">
        <f t="shared" si="3"/>
        <v>6.1</v>
      </c>
      <c r="X22" s="19">
        <f t="shared" si="3"/>
        <v>6.6</v>
      </c>
      <c r="Y22" s="19">
        <f t="shared" si="3"/>
        <v>6.6</v>
      </c>
      <c r="Z22" s="19">
        <f t="shared" si="3"/>
        <v>6.6</v>
      </c>
      <c r="AA22" s="19">
        <f t="shared" si="3"/>
        <v>5.8</v>
      </c>
      <c r="AB22" s="19">
        <f>SUM(AB19:AB21)</f>
        <v>6.6</v>
      </c>
      <c r="AC22" s="19">
        <f t="shared" si="3"/>
        <v>5</v>
      </c>
      <c r="AD22" s="41"/>
      <c r="AE22" s="41"/>
      <c r="AF22" s="11"/>
      <c r="AG22" s="11"/>
      <c r="AH22" s="11"/>
      <c r="AI22" s="400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409">
        <f>SUM(F24:AC24)</f>
        <v>59.199999999999989</v>
      </c>
    </row>
    <row r="24" spans="1:51">
      <c r="A24" s="14" t="s">
        <v>22</v>
      </c>
      <c r="B24" s="20"/>
      <c r="C24" s="15">
        <v>4.5</v>
      </c>
      <c r="D24" s="15"/>
      <c r="E24" s="15"/>
      <c r="F24" s="372" t="s">
        <v>9</v>
      </c>
      <c r="G24" s="372" t="s">
        <v>9</v>
      </c>
      <c r="H24" s="372" t="s">
        <v>9</v>
      </c>
      <c r="I24" s="372" t="s">
        <v>9</v>
      </c>
      <c r="J24" s="372"/>
      <c r="K24" s="374"/>
      <c r="L24" s="374"/>
      <c r="M24" s="374"/>
      <c r="N24" s="372">
        <v>3.8</v>
      </c>
      <c r="O24" s="372">
        <v>3.8</v>
      </c>
      <c r="P24" s="372">
        <v>3.8</v>
      </c>
      <c r="Q24" s="372">
        <v>3.8</v>
      </c>
      <c r="R24" s="372">
        <v>3.8</v>
      </c>
      <c r="S24" s="372">
        <v>3.8</v>
      </c>
      <c r="T24" s="372">
        <v>3.8</v>
      </c>
      <c r="U24" s="372">
        <v>3.8</v>
      </c>
      <c r="V24" s="372">
        <v>3.8</v>
      </c>
      <c r="W24" s="372">
        <v>3.8</v>
      </c>
      <c r="X24" s="372">
        <v>3.8</v>
      </c>
      <c r="Y24" s="372">
        <v>3.8</v>
      </c>
      <c r="Z24" s="372">
        <v>3.8</v>
      </c>
      <c r="AA24" s="372">
        <v>3</v>
      </c>
      <c r="AB24" s="372">
        <v>3.8</v>
      </c>
      <c r="AC24" s="372">
        <v>3</v>
      </c>
      <c r="AD24" s="41"/>
      <c r="AE24" s="41"/>
      <c r="AF24" s="11">
        <f>COUNTIF(F24:AC24,$AJ$8)</f>
        <v>4</v>
      </c>
      <c r="AG24" s="11">
        <f>COUNTIF(G24:AD24,$AJ$7)</f>
        <v>0</v>
      </c>
      <c r="AH24" s="11">
        <f>COUNT(F24:AC24)</f>
        <v>16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3.8</v>
      </c>
      <c r="O25" s="19">
        <f t="shared" si="6"/>
        <v>3.8</v>
      </c>
      <c r="P25" s="19">
        <f t="shared" si="6"/>
        <v>3.8</v>
      </c>
      <c r="Q25" s="19">
        <f t="shared" si="6"/>
        <v>3.8</v>
      </c>
      <c r="R25" s="19">
        <f t="shared" si="6"/>
        <v>3.8</v>
      </c>
      <c r="S25" s="19">
        <f t="shared" si="6"/>
        <v>3.8</v>
      </c>
      <c r="T25" s="19">
        <f t="shared" si="6"/>
        <v>3.8</v>
      </c>
      <c r="U25" s="19">
        <f t="shared" si="6"/>
        <v>3.8</v>
      </c>
      <c r="V25" s="19">
        <f t="shared" si="6"/>
        <v>3.8</v>
      </c>
      <c r="W25" s="19">
        <f t="shared" si="6"/>
        <v>3.8</v>
      </c>
      <c r="X25" s="19">
        <f t="shared" si="6"/>
        <v>3.8</v>
      </c>
      <c r="Y25" s="19">
        <f t="shared" si="6"/>
        <v>3.8</v>
      </c>
      <c r="Z25" s="19">
        <f t="shared" si="6"/>
        <v>3.8</v>
      </c>
      <c r="AA25" s="19">
        <f t="shared" si="6"/>
        <v>3</v>
      </c>
      <c r="AB25" s="19">
        <f t="shared" si="6"/>
        <v>3.8</v>
      </c>
      <c r="AC25" s="19">
        <f t="shared" si="6"/>
        <v>3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186.20000000000002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2">
        <v>3.7</v>
      </c>
      <c r="G27" s="372">
        <v>3.4</v>
      </c>
      <c r="H27" s="372">
        <v>4.0999999999999996</v>
      </c>
      <c r="I27" s="372">
        <v>3.4</v>
      </c>
      <c r="J27" s="372">
        <v>3</v>
      </c>
      <c r="K27" s="372">
        <v>3.5</v>
      </c>
      <c r="L27" s="374">
        <v>4</v>
      </c>
      <c r="M27" s="374">
        <v>4</v>
      </c>
      <c r="N27" s="372">
        <v>4.0999999999999996</v>
      </c>
      <c r="O27" s="372">
        <v>4</v>
      </c>
      <c r="P27" s="372">
        <v>4</v>
      </c>
      <c r="Q27" s="372">
        <v>4.3</v>
      </c>
      <c r="R27" s="372">
        <v>4.2</v>
      </c>
      <c r="S27" s="372">
        <v>4.2</v>
      </c>
      <c r="T27" s="372">
        <v>3.5</v>
      </c>
      <c r="U27" s="372">
        <v>3.8</v>
      </c>
      <c r="V27" s="372">
        <v>4</v>
      </c>
      <c r="W27" s="372">
        <v>3.8</v>
      </c>
      <c r="X27" s="372">
        <v>4</v>
      </c>
      <c r="Y27" s="372">
        <v>4</v>
      </c>
      <c r="Z27" s="374">
        <v>4</v>
      </c>
      <c r="AA27" s="372">
        <v>4.0999999999999996</v>
      </c>
      <c r="AB27" s="372">
        <v>4</v>
      </c>
      <c r="AC27" s="372">
        <v>4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2">
        <v>3.7</v>
      </c>
      <c r="G28" s="372">
        <v>3.4</v>
      </c>
      <c r="H28" s="372">
        <v>4.0999999999999996</v>
      </c>
      <c r="I28" s="372">
        <v>3.4</v>
      </c>
      <c r="J28" s="372">
        <v>3</v>
      </c>
      <c r="K28" s="374">
        <v>3.5</v>
      </c>
      <c r="L28" s="374">
        <v>4</v>
      </c>
      <c r="M28" s="374">
        <v>4</v>
      </c>
      <c r="N28" s="372">
        <v>4.0999999999999996</v>
      </c>
      <c r="O28" s="372">
        <v>4</v>
      </c>
      <c r="P28" s="372">
        <v>4</v>
      </c>
      <c r="Q28" s="372">
        <v>4.3</v>
      </c>
      <c r="R28" s="372">
        <v>4.2</v>
      </c>
      <c r="S28" s="372">
        <v>4.2</v>
      </c>
      <c r="T28" s="372">
        <v>3.5</v>
      </c>
      <c r="U28" s="372">
        <v>3.8</v>
      </c>
      <c r="V28" s="372">
        <v>4</v>
      </c>
      <c r="W28" s="372">
        <v>3.8</v>
      </c>
      <c r="X28" s="372">
        <v>4</v>
      </c>
      <c r="Y28" s="372">
        <v>4</v>
      </c>
      <c r="Z28" s="374">
        <v>4</v>
      </c>
      <c r="AA28" s="372">
        <v>4.0999999999999996</v>
      </c>
      <c r="AB28" s="372">
        <v>4</v>
      </c>
      <c r="AC28" s="372">
        <v>4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52.4</v>
      </c>
    </row>
    <row r="29" spans="1:51" ht="15" customHeight="1">
      <c r="A29" s="14" t="s">
        <v>30</v>
      </c>
      <c r="B29" s="369"/>
      <c r="C29" s="370">
        <v>8.8000000000000007</v>
      </c>
      <c r="D29" s="371"/>
      <c r="E29" s="371"/>
      <c r="F29" s="372"/>
      <c r="G29" s="372"/>
      <c r="H29" s="372"/>
      <c r="I29" s="372"/>
      <c r="J29" s="372"/>
      <c r="K29" s="374"/>
      <c r="L29" s="374"/>
      <c r="M29" s="374"/>
      <c r="N29" s="372"/>
      <c r="O29" s="372">
        <v>6</v>
      </c>
      <c r="P29" s="372">
        <v>8.5</v>
      </c>
      <c r="Q29" s="372">
        <v>8.3000000000000007</v>
      </c>
      <c r="R29" s="372">
        <v>8</v>
      </c>
      <c r="S29" s="372">
        <v>8</v>
      </c>
      <c r="T29" s="372">
        <v>6.1</v>
      </c>
      <c r="U29" s="372"/>
      <c r="V29" s="372">
        <v>4.5</v>
      </c>
      <c r="W29" s="372">
        <v>3</v>
      </c>
      <c r="X29" s="372"/>
      <c r="Y29" s="372"/>
      <c r="Z29" s="372"/>
      <c r="AA29" s="372"/>
      <c r="AB29" s="372"/>
      <c r="AC29" s="372"/>
    </row>
    <row r="30" spans="1:51" ht="15" customHeight="1">
      <c r="A30" s="14" t="s">
        <v>31</v>
      </c>
      <c r="B30" s="369"/>
      <c r="C30" s="370">
        <v>8.8000000000000007</v>
      </c>
      <c r="D30" s="371"/>
      <c r="E30" s="371"/>
      <c r="F30" s="372"/>
      <c r="G30" s="372"/>
      <c r="H30" s="372"/>
      <c r="I30" s="372"/>
      <c r="J30" s="372"/>
      <c r="K30" s="374"/>
      <c r="L30" s="374"/>
      <c r="M30" s="374"/>
      <c r="N30" s="372"/>
      <c r="O30" s="372"/>
      <c r="P30" s="372"/>
      <c r="Q30" s="372"/>
      <c r="R30" s="372"/>
      <c r="S30" s="372"/>
      <c r="T30" s="372"/>
      <c r="U30" s="372"/>
      <c r="V30" s="372"/>
      <c r="W30" s="372"/>
      <c r="X30" s="372"/>
      <c r="Y30" s="372"/>
      <c r="Z30" s="372"/>
      <c r="AA30" s="372"/>
      <c r="AB30" s="372"/>
      <c r="AC30" s="372"/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SUM(F27:F29)</f>
        <v>7.4</v>
      </c>
      <c r="G31" s="19">
        <f t="shared" ref="G31:AC31" si="8">SUM(G27:G29)</f>
        <v>6.8</v>
      </c>
      <c r="H31" s="19">
        <f t="shared" si="8"/>
        <v>8.1999999999999993</v>
      </c>
      <c r="I31" s="19">
        <f t="shared" si="8"/>
        <v>6.8</v>
      </c>
      <c r="J31" s="19">
        <f t="shared" si="8"/>
        <v>6</v>
      </c>
      <c r="K31" s="19">
        <f t="shared" si="8"/>
        <v>7</v>
      </c>
      <c r="L31" s="19">
        <f t="shared" si="8"/>
        <v>8</v>
      </c>
      <c r="M31" s="19">
        <f t="shared" si="8"/>
        <v>8</v>
      </c>
      <c r="N31" s="19">
        <f t="shared" si="8"/>
        <v>8.1999999999999993</v>
      </c>
      <c r="O31" s="19">
        <f t="shared" si="8"/>
        <v>14</v>
      </c>
      <c r="P31" s="19">
        <f t="shared" si="8"/>
        <v>16.5</v>
      </c>
      <c r="Q31" s="19">
        <f t="shared" si="8"/>
        <v>16.899999999999999</v>
      </c>
      <c r="R31" s="19">
        <f t="shared" si="8"/>
        <v>16.399999999999999</v>
      </c>
      <c r="S31" s="19">
        <f t="shared" si="8"/>
        <v>16.399999999999999</v>
      </c>
      <c r="T31" s="19">
        <f>SUM(T27:T29)</f>
        <v>13.1</v>
      </c>
      <c r="U31" s="19">
        <f t="shared" si="8"/>
        <v>7.6</v>
      </c>
      <c r="V31" s="19">
        <f t="shared" si="8"/>
        <v>12.5</v>
      </c>
      <c r="W31" s="19">
        <f t="shared" si="8"/>
        <v>10.6</v>
      </c>
      <c r="X31" s="19">
        <f>SUM(X27:X30)</f>
        <v>8</v>
      </c>
      <c r="Y31" s="19">
        <f>SUM(Y27:Y30)</f>
        <v>8</v>
      </c>
      <c r="Z31" s="19">
        <f t="shared" si="8"/>
        <v>8</v>
      </c>
      <c r="AA31" s="19">
        <f t="shared" si="8"/>
        <v>8.1999999999999993</v>
      </c>
      <c r="AB31" s="19">
        <f t="shared" si="8"/>
        <v>8</v>
      </c>
      <c r="AC31" s="19">
        <f t="shared" si="8"/>
        <v>8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342.03000000000009</v>
      </c>
    </row>
    <row r="33" spans="1:36">
      <c r="A33" s="14" t="s">
        <v>22</v>
      </c>
      <c r="B33" s="15"/>
      <c r="C33" s="15">
        <v>15</v>
      </c>
      <c r="D33" s="15"/>
      <c r="E33" s="15"/>
      <c r="F33" s="372">
        <v>14.31</v>
      </c>
      <c r="G33" s="372">
        <v>14.33</v>
      </c>
      <c r="H33" s="372">
        <v>14.29</v>
      </c>
      <c r="I33" s="372">
        <v>14.3</v>
      </c>
      <c r="J33" s="372">
        <v>13.85</v>
      </c>
      <c r="K33" s="374">
        <v>13.82</v>
      </c>
      <c r="L33" s="374">
        <v>14.3</v>
      </c>
      <c r="M33" s="374">
        <v>14.29</v>
      </c>
      <c r="N33" s="372">
        <v>14.31</v>
      </c>
      <c r="O33" s="372">
        <v>14.33</v>
      </c>
      <c r="P33" s="372">
        <v>14.31</v>
      </c>
      <c r="Q33" s="372">
        <v>14.29</v>
      </c>
      <c r="R33" s="372">
        <v>14.29</v>
      </c>
      <c r="S33" s="372">
        <v>14.3</v>
      </c>
      <c r="T33" s="372">
        <v>14.32</v>
      </c>
      <c r="U33" s="372">
        <v>14.29</v>
      </c>
      <c r="V33" s="372">
        <v>14.31</v>
      </c>
      <c r="W33" s="372">
        <v>14.29</v>
      </c>
      <c r="X33" s="372">
        <v>14.33</v>
      </c>
      <c r="Y33" s="372">
        <v>14.29</v>
      </c>
      <c r="Z33" s="372">
        <v>14.3</v>
      </c>
      <c r="AA33" s="372">
        <v>14.17</v>
      </c>
      <c r="AB33" s="372">
        <v>14.29</v>
      </c>
      <c r="AC33" s="372">
        <v>14.12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9">SUM(F33)</f>
        <v>14.31</v>
      </c>
      <c r="G34" s="19">
        <f t="shared" ref="G34:AC34" si="10">SUM(G33)</f>
        <v>14.33</v>
      </c>
      <c r="H34" s="19">
        <f t="shared" si="10"/>
        <v>14.29</v>
      </c>
      <c r="I34" s="19">
        <f t="shared" si="10"/>
        <v>14.3</v>
      </c>
      <c r="J34" s="19">
        <f>SUM(J33)</f>
        <v>13.85</v>
      </c>
      <c r="K34" s="19">
        <f t="shared" si="10"/>
        <v>13.82</v>
      </c>
      <c r="L34" s="19">
        <f t="shared" si="10"/>
        <v>14.3</v>
      </c>
      <c r="M34" s="19">
        <f t="shared" si="10"/>
        <v>14.29</v>
      </c>
      <c r="N34" s="19">
        <f t="shared" si="10"/>
        <v>14.31</v>
      </c>
      <c r="O34" s="19">
        <f t="shared" si="10"/>
        <v>14.33</v>
      </c>
      <c r="P34" s="19">
        <f t="shared" si="10"/>
        <v>14.31</v>
      </c>
      <c r="Q34" s="19">
        <f t="shared" si="10"/>
        <v>14.29</v>
      </c>
      <c r="R34" s="19">
        <f t="shared" si="10"/>
        <v>14.29</v>
      </c>
      <c r="S34" s="19">
        <f t="shared" si="10"/>
        <v>14.3</v>
      </c>
      <c r="T34" s="19">
        <f t="shared" si="10"/>
        <v>14.32</v>
      </c>
      <c r="U34" s="19">
        <f t="shared" si="10"/>
        <v>14.29</v>
      </c>
      <c r="V34" s="19">
        <f t="shared" si="10"/>
        <v>14.31</v>
      </c>
      <c r="W34" s="19">
        <f t="shared" si="10"/>
        <v>14.29</v>
      </c>
      <c r="X34" s="19">
        <f t="shared" si="10"/>
        <v>14.33</v>
      </c>
      <c r="Y34" s="19">
        <f t="shared" si="10"/>
        <v>14.29</v>
      </c>
      <c r="Z34" s="19">
        <f t="shared" si="10"/>
        <v>14.3</v>
      </c>
      <c r="AA34" s="19">
        <f t="shared" si="10"/>
        <v>14.17</v>
      </c>
      <c r="AB34" s="19">
        <f t="shared" si="10"/>
        <v>14.29</v>
      </c>
      <c r="AC34" s="19">
        <f t="shared" si="10"/>
        <v>14.12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55"/>
      <c r="G35" s="455"/>
      <c r="H35" s="455"/>
      <c r="I35" s="455"/>
      <c r="J35" s="455"/>
      <c r="K35" s="455"/>
      <c r="L35" s="455"/>
      <c r="M35" s="455"/>
      <c r="N35" s="455"/>
      <c r="O35" s="455"/>
      <c r="P35" s="455"/>
      <c r="Q35" s="455"/>
      <c r="R35" s="455"/>
      <c r="S35" s="455"/>
      <c r="T35" s="455"/>
      <c r="U35" s="455"/>
      <c r="V35" s="455"/>
      <c r="W35" s="456"/>
      <c r="X35" s="455"/>
      <c r="Y35" s="455"/>
      <c r="Z35" s="455"/>
      <c r="AA35" s="455"/>
      <c r="AB35" s="455"/>
      <c r="AC35" s="455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35</v>
      </c>
    </row>
    <row r="36" spans="1:36">
      <c r="A36" s="70" t="s">
        <v>36</v>
      </c>
      <c r="B36" s="15"/>
      <c r="C36" s="15"/>
      <c r="D36" s="15"/>
      <c r="E36" s="15"/>
      <c r="F36" s="372"/>
      <c r="G36" s="372"/>
      <c r="H36" s="372"/>
      <c r="I36" s="372"/>
      <c r="J36" s="372"/>
      <c r="K36" s="374"/>
      <c r="L36" s="374"/>
      <c r="M36" s="374"/>
      <c r="N36" s="372"/>
      <c r="O36" s="372"/>
      <c r="P36" s="372"/>
      <c r="Q36" s="372"/>
      <c r="R36" s="372"/>
      <c r="S36" s="372"/>
      <c r="T36" s="372"/>
      <c r="U36" s="372"/>
      <c r="V36" s="372"/>
      <c r="W36" s="372"/>
      <c r="X36" s="372"/>
      <c r="Y36" s="372"/>
      <c r="Z36" s="372"/>
      <c r="AA36" s="372"/>
      <c r="AB36" s="372"/>
      <c r="AC36" s="372"/>
      <c r="AD36" s="41"/>
      <c r="AE36" s="41"/>
      <c r="AF36" s="11">
        <f t="shared" ref="AF36:AF59" si="11">COUNTIF(F36:AC36,$AJ$8)</f>
        <v>0</v>
      </c>
      <c r="AG36" s="11">
        <f t="shared" ref="AG36:AG59" si="12">COUNTIF(G36:AD36,$AJ$7)</f>
        <v>0</v>
      </c>
      <c r="AH36" s="11">
        <f t="shared" ref="AH36:AH59" si="13">COUNT(F36:AC36)</f>
        <v>0</v>
      </c>
      <c r="AI36" s="159">
        <f>SUM(F36:AC38,F40:AC40,F45:AC59)</f>
        <v>20.110000000000003</v>
      </c>
      <c r="AJ36" t="s">
        <v>37</v>
      </c>
    </row>
    <row r="37" spans="1:36">
      <c r="A37" s="70" t="s">
        <v>38</v>
      </c>
      <c r="B37" s="15"/>
      <c r="C37" s="15"/>
      <c r="D37" s="15"/>
      <c r="E37" s="15"/>
      <c r="F37" s="372"/>
      <c r="G37" s="372"/>
      <c r="H37" s="372"/>
      <c r="I37" s="372"/>
      <c r="J37" s="372"/>
      <c r="K37" s="374"/>
      <c r="L37" s="374"/>
      <c r="M37" s="374"/>
      <c r="N37" s="372"/>
      <c r="O37" s="372"/>
      <c r="P37" s="372"/>
      <c r="Q37" s="372"/>
      <c r="R37" s="372"/>
      <c r="S37" s="372"/>
      <c r="T37" s="372"/>
      <c r="U37" s="372"/>
      <c r="V37" s="372"/>
      <c r="W37" s="372"/>
      <c r="X37" s="372"/>
      <c r="Y37" s="372"/>
      <c r="Z37" s="372"/>
      <c r="AA37" s="372"/>
      <c r="AB37" s="372"/>
      <c r="AC37" s="372"/>
      <c r="AD37" s="41"/>
      <c r="AE37" s="41"/>
      <c r="AF37" s="11">
        <f t="shared" si="11"/>
        <v>0</v>
      </c>
      <c r="AG37" s="11">
        <f t="shared" si="12"/>
        <v>0</v>
      </c>
      <c r="AH37" s="11">
        <f t="shared" si="13"/>
        <v>0</v>
      </c>
    </row>
    <row r="38" spans="1:36">
      <c r="A38" s="70" t="s">
        <v>39</v>
      </c>
      <c r="B38" s="15"/>
      <c r="C38" s="15"/>
      <c r="D38" s="15"/>
      <c r="E38" s="15"/>
      <c r="F38" s="372"/>
      <c r="G38" s="372"/>
      <c r="H38" s="372"/>
      <c r="I38" s="372"/>
      <c r="J38" s="372"/>
      <c r="K38" s="374"/>
      <c r="L38" s="374"/>
      <c r="M38" s="374"/>
      <c r="N38" s="372"/>
      <c r="O38" s="372"/>
      <c r="P38" s="372"/>
      <c r="Q38" s="372"/>
      <c r="R38" s="372"/>
      <c r="S38" s="372"/>
      <c r="T38" s="372"/>
      <c r="U38" s="372"/>
      <c r="V38" s="372"/>
      <c r="W38" s="372"/>
      <c r="X38" s="372"/>
      <c r="Y38" s="372"/>
      <c r="Z38" s="372"/>
      <c r="AA38" s="372"/>
      <c r="AB38" s="372"/>
      <c r="AC38" s="372"/>
      <c r="AD38" s="41"/>
      <c r="AE38" s="41"/>
      <c r="AF38" s="11">
        <f t="shared" si="11"/>
        <v>0</v>
      </c>
      <c r="AG38" s="11">
        <f t="shared" si="12"/>
        <v>0</v>
      </c>
      <c r="AH38" s="11">
        <f t="shared" si="13"/>
        <v>0</v>
      </c>
    </row>
    <row r="39" spans="1:36">
      <c r="A39" s="70">
        <v>34</v>
      </c>
      <c r="B39" s="15"/>
      <c r="C39" s="15"/>
      <c r="D39" s="15"/>
      <c r="E39" s="15"/>
      <c r="F39" s="372"/>
      <c r="G39" s="372"/>
      <c r="H39" s="372"/>
      <c r="I39" s="372"/>
      <c r="J39" s="372"/>
      <c r="K39" s="374"/>
      <c r="L39" s="374"/>
      <c r="M39" s="374"/>
      <c r="N39" s="372"/>
      <c r="O39" s="372"/>
      <c r="P39" s="372"/>
      <c r="Q39" s="372"/>
      <c r="R39" s="372"/>
      <c r="S39" s="372"/>
      <c r="T39" s="372"/>
      <c r="U39" s="372"/>
      <c r="V39" s="372"/>
      <c r="W39" s="372"/>
      <c r="X39" s="372"/>
      <c r="Y39" s="372"/>
      <c r="Z39" s="372"/>
      <c r="AA39" s="372"/>
      <c r="AB39" s="372"/>
      <c r="AC39" s="372"/>
      <c r="AD39" s="41"/>
      <c r="AE39" s="41"/>
      <c r="AF39" s="11">
        <f t="shared" si="11"/>
        <v>0</v>
      </c>
      <c r="AG39" s="11">
        <f t="shared" si="12"/>
        <v>0</v>
      </c>
      <c r="AH39" s="11">
        <f t="shared" si="13"/>
        <v>0</v>
      </c>
    </row>
    <row r="40" spans="1:36">
      <c r="A40" s="70">
        <v>35</v>
      </c>
      <c r="B40" s="15"/>
      <c r="C40" s="15">
        <v>0.85</v>
      </c>
      <c r="D40" s="15"/>
      <c r="E40" s="15"/>
      <c r="F40" s="372" t="s">
        <v>9</v>
      </c>
      <c r="G40" s="372" t="s">
        <v>9</v>
      </c>
      <c r="H40" s="372" t="s">
        <v>9</v>
      </c>
      <c r="I40" s="372" t="s">
        <v>9</v>
      </c>
      <c r="J40" s="372" t="s">
        <v>9</v>
      </c>
      <c r="K40" s="374" t="s">
        <v>9</v>
      </c>
      <c r="L40" s="374" t="s">
        <v>9</v>
      </c>
      <c r="M40" s="374" t="s">
        <v>9</v>
      </c>
      <c r="N40" s="372" t="s">
        <v>9</v>
      </c>
      <c r="O40" s="372" t="s">
        <v>9</v>
      </c>
      <c r="P40" s="372" t="s">
        <v>9</v>
      </c>
      <c r="Q40" s="372" t="s">
        <v>9</v>
      </c>
      <c r="R40" s="372" t="s">
        <v>9</v>
      </c>
      <c r="S40" s="372" t="s">
        <v>9</v>
      </c>
      <c r="T40" s="372" t="s">
        <v>9</v>
      </c>
      <c r="U40" s="372" t="s">
        <v>9</v>
      </c>
      <c r="V40" s="372" t="s">
        <v>9</v>
      </c>
      <c r="W40" s="372" t="s">
        <v>9</v>
      </c>
      <c r="X40" s="372" t="s">
        <v>9</v>
      </c>
      <c r="Y40" s="372" t="s">
        <v>9</v>
      </c>
      <c r="Z40" s="372" t="s">
        <v>9</v>
      </c>
      <c r="AA40" s="372" t="s">
        <v>9</v>
      </c>
      <c r="AB40" s="372" t="s">
        <v>9</v>
      </c>
      <c r="AC40" s="372" t="s">
        <v>9</v>
      </c>
      <c r="AD40" s="41"/>
      <c r="AE40" s="41"/>
      <c r="AF40" s="11">
        <f t="shared" si="11"/>
        <v>24</v>
      </c>
      <c r="AG40" s="11">
        <f t="shared" si="12"/>
        <v>0</v>
      </c>
      <c r="AH40" s="11">
        <f t="shared" si="13"/>
        <v>0</v>
      </c>
    </row>
    <row r="41" spans="1:36">
      <c r="A41" s="70">
        <v>36</v>
      </c>
      <c r="B41" s="15"/>
      <c r="C41" s="15">
        <v>1</v>
      </c>
      <c r="D41" s="15"/>
      <c r="E41" s="15"/>
      <c r="F41" s="372" t="s">
        <v>9</v>
      </c>
      <c r="G41" s="372" t="s">
        <v>9</v>
      </c>
      <c r="H41" s="372" t="s">
        <v>9</v>
      </c>
      <c r="I41" s="372" t="s">
        <v>9</v>
      </c>
      <c r="J41" s="372" t="s">
        <v>9</v>
      </c>
      <c r="K41" s="374" t="s">
        <v>9</v>
      </c>
      <c r="L41" s="374" t="s">
        <v>9</v>
      </c>
      <c r="M41" s="374" t="s">
        <v>9</v>
      </c>
      <c r="N41" s="372" t="s">
        <v>9</v>
      </c>
      <c r="O41" s="372" t="s">
        <v>9</v>
      </c>
      <c r="P41" s="372" t="s">
        <v>9</v>
      </c>
      <c r="Q41" s="372" t="s">
        <v>9</v>
      </c>
      <c r="R41" s="372" t="s">
        <v>9</v>
      </c>
      <c r="S41" s="372" t="s">
        <v>9</v>
      </c>
      <c r="T41" s="372" t="s">
        <v>9</v>
      </c>
      <c r="U41" s="372" t="s">
        <v>9</v>
      </c>
      <c r="V41" s="372" t="s">
        <v>9</v>
      </c>
      <c r="W41" s="372" t="s">
        <v>9</v>
      </c>
      <c r="X41" s="372" t="s">
        <v>9</v>
      </c>
      <c r="Y41" s="372" t="s">
        <v>9</v>
      </c>
      <c r="Z41" s="372" t="s">
        <v>9</v>
      </c>
      <c r="AA41" s="372" t="s">
        <v>9</v>
      </c>
      <c r="AB41" s="372" t="s">
        <v>9</v>
      </c>
      <c r="AC41" s="372" t="s">
        <v>9</v>
      </c>
      <c r="AD41" s="41"/>
      <c r="AE41" s="41"/>
      <c r="AF41" s="11">
        <f t="shared" si="11"/>
        <v>24</v>
      </c>
      <c r="AG41" s="11">
        <f t="shared" si="12"/>
        <v>0</v>
      </c>
      <c r="AH41" s="11">
        <f t="shared" si="13"/>
        <v>0</v>
      </c>
    </row>
    <row r="42" spans="1:36">
      <c r="A42" s="70">
        <v>37</v>
      </c>
      <c r="B42" s="15"/>
      <c r="C42" s="15">
        <v>1</v>
      </c>
      <c r="D42" s="15"/>
      <c r="E42" s="15"/>
      <c r="F42" s="372"/>
      <c r="G42" s="372"/>
      <c r="H42" s="372"/>
      <c r="I42" s="372"/>
      <c r="J42" s="372"/>
      <c r="K42" s="372"/>
      <c r="L42" s="372"/>
      <c r="M42" s="372"/>
      <c r="N42" s="372"/>
      <c r="O42" s="372"/>
      <c r="P42" s="372"/>
      <c r="Q42" s="372"/>
      <c r="R42" s="372"/>
      <c r="S42" s="372"/>
      <c r="T42" s="372"/>
      <c r="U42" s="372"/>
      <c r="V42" s="372"/>
      <c r="W42" s="372"/>
      <c r="X42" s="372"/>
      <c r="Y42" s="372"/>
      <c r="Z42" s="372"/>
      <c r="AA42" s="372"/>
      <c r="AB42" s="372"/>
      <c r="AC42" s="372"/>
      <c r="AD42" s="41"/>
      <c r="AE42" s="41"/>
      <c r="AF42" s="11">
        <f t="shared" si="11"/>
        <v>0</v>
      </c>
      <c r="AG42" s="11">
        <f t="shared" si="12"/>
        <v>0</v>
      </c>
      <c r="AH42" s="11">
        <f t="shared" si="13"/>
        <v>0</v>
      </c>
    </row>
    <row r="43" spans="1:36">
      <c r="A43" s="70">
        <v>38</v>
      </c>
      <c r="B43" s="15"/>
      <c r="C43" s="15"/>
      <c r="D43" s="15"/>
      <c r="E43" s="15"/>
      <c r="F43" s="372" t="s">
        <v>9</v>
      </c>
      <c r="G43" s="372" t="s">
        <v>9</v>
      </c>
      <c r="H43" s="372" t="s">
        <v>9</v>
      </c>
      <c r="I43" s="372" t="s">
        <v>9</v>
      </c>
      <c r="J43" s="372" t="s">
        <v>9</v>
      </c>
      <c r="K43" s="374" t="s">
        <v>9</v>
      </c>
      <c r="L43" s="374" t="s">
        <v>9</v>
      </c>
      <c r="M43" s="374" t="s">
        <v>9</v>
      </c>
      <c r="N43" s="372" t="s">
        <v>9</v>
      </c>
      <c r="O43" s="372" t="s">
        <v>9</v>
      </c>
      <c r="P43" s="372" t="s">
        <v>9</v>
      </c>
      <c r="Q43" s="372" t="s">
        <v>9</v>
      </c>
      <c r="R43" s="372" t="s">
        <v>9</v>
      </c>
      <c r="S43" s="372" t="s">
        <v>9</v>
      </c>
      <c r="T43" s="372" t="s">
        <v>9</v>
      </c>
      <c r="U43" s="372" t="s">
        <v>9</v>
      </c>
      <c r="V43" s="372" t="s">
        <v>9</v>
      </c>
      <c r="W43" s="372" t="s">
        <v>9</v>
      </c>
      <c r="X43" s="372" t="s">
        <v>9</v>
      </c>
      <c r="Y43" s="372" t="s">
        <v>9</v>
      </c>
      <c r="Z43" s="372" t="s">
        <v>9</v>
      </c>
      <c r="AA43" s="372" t="s">
        <v>9</v>
      </c>
      <c r="AB43" s="372" t="s">
        <v>9</v>
      </c>
      <c r="AC43" s="372" t="s">
        <v>9</v>
      </c>
      <c r="AD43" s="41"/>
      <c r="AE43" s="41"/>
      <c r="AF43" s="11">
        <f t="shared" si="11"/>
        <v>24</v>
      </c>
      <c r="AG43" s="11">
        <f t="shared" si="12"/>
        <v>0</v>
      </c>
      <c r="AH43" s="11">
        <f t="shared" si="13"/>
        <v>0</v>
      </c>
    </row>
    <row r="44" spans="1:36" ht="16.5" customHeight="1">
      <c r="A44" s="70">
        <v>39</v>
      </c>
      <c r="B44" s="15"/>
      <c r="C44" s="15">
        <v>1</v>
      </c>
      <c r="D44" s="15"/>
      <c r="E44" s="15"/>
      <c r="F44" s="372"/>
      <c r="G44" s="372"/>
      <c r="H44" s="372"/>
      <c r="I44" s="372"/>
      <c r="J44" s="372"/>
      <c r="K44" s="374"/>
      <c r="L44" s="374"/>
      <c r="M44" s="374"/>
      <c r="N44" s="372"/>
      <c r="O44" s="372"/>
      <c r="P44" s="372"/>
      <c r="Q44" s="372"/>
      <c r="R44" s="372" t="s">
        <v>9</v>
      </c>
      <c r="S44" s="372" t="s">
        <v>9</v>
      </c>
      <c r="T44" s="372" t="s">
        <v>9</v>
      </c>
      <c r="U44" s="372" t="s">
        <v>9</v>
      </c>
      <c r="V44" s="372" t="s">
        <v>9</v>
      </c>
      <c r="W44" s="372" t="s">
        <v>9</v>
      </c>
      <c r="X44" s="372" t="s">
        <v>9</v>
      </c>
      <c r="Y44" s="372" t="s">
        <v>9</v>
      </c>
      <c r="Z44" s="372" t="s">
        <v>9</v>
      </c>
      <c r="AA44" s="372" t="s">
        <v>9</v>
      </c>
      <c r="AB44" s="372" t="s">
        <v>9</v>
      </c>
      <c r="AC44" s="372" t="s">
        <v>9</v>
      </c>
      <c r="AD44" s="41"/>
      <c r="AE44" s="41"/>
      <c r="AF44" s="11">
        <f t="shared" si="11"/>
        <v>12</v>
      </c>
      <c r="AG44" s="11">
        <f t="shared" si="12"/>
        <v>0</v>
      </c>
      <c r="AH44" s="11">
        <f t="shared" si="13"/>
        <v>0</v>
      </c>
    </row>
    <row r="45" spans="1:36" ht="16.5" customHeight="1">
      <c r="A45" s="70" t="s">
        <v>40</v>
      </c>
      <c r="B45" s="15"/>
      <c r="C45" s="15">
        <v>0.85</v>
      </c>
      <c r="D45" s="15"/>
      <c r="E45" s="15"/>
      <c r="F45" s="372"/>
      <c r="G45" s="372"/>
      <c r="H45" s="372"/>
      <c r="I45" s="372"/>
      <c r="J45" s="372"/>
      <c r="K45" s="374"/>
      <c r="L45" s="374"/>
      <c r="M45" s="374"/>
      <c r="N45" s="372"/>
      <c r="O45" s="372"/>
      <c r="P45" s="372"/>
      <c r="Q45" s="372"/>
      <c r="R45" s="372"/>
      <c r="S45" s="372"/>
      <c r="T45" s="372"/>
      <c r="U45" s="372"/>
      <c r="V45" s="372"/>
      <c r="W45" s="372"/>
      <c r="X45" s="372"/>
      <c r="Y45" s="372"/>
      <c r="Z45" s="372"/>
      <c r="AA45" s="372"/>
      <c r="AB45" s="372"/>
      <c r="AC45" s="372"/>
      <c r="AD45" s="41"/>
      <c r="AE45" s="41"/>
      <c r="AF45" s="11">
        <f t="shared" si="11"/>
        <v>0</v>
      </c>
      <c r="AG45" s="11">
        <f t="shared" si="12"/>
        <v>0</v>
      </c>
      <c r="AH45" s="11">
        <f t="shared" si="13"/>
        <v>0</v>
      </c>
      <c r="AI45" s="159"/>
    </row>
    <row r="46" spans="1:36">
      <c r="A46" s="70" t="s">
        <v>41</v>
      </c>
      <c r="B46" s="15"/>
      <c r="C46" s="15">
        <v>0.75</v>
      </c>
      <c r="D46" s="15"/>
      <c r="E46" s="15"/>
      <c r="F46" s="372"/>
      <c r="G46" s="372"/>
      <c r="H46" s="372"/>
      <c r="I46" s="372"/>
      <c r="J46" s="372"/>
      <c r="K46" s="374"/>
      <c r="L46" s="374"/>
      <c r="M46" s="374"/>
      <c r="N46" s="372"/>
      <c r="O46" s="372"/>
      <c r="P46" s="372"/>
      <c r="Q46" s="372"/>
      <c r="R46" s="372"/>
      <c r="S46" s="372"/>
      <c r="T46" s="372"/>
      <c r="U46" s="372"/>
      <c r="V46" s="372"/>
      <c r="W46" s="372"/>
      <c r="X46" s="372"/>
      <c r="Y46" s="372"/>
      <c r="Z46" s="372"/>
      <c r="AA46" s="372"/>
      <c r="AB46" s="372"/>
      <c r="AC46" s="372"/>
      <c r="AD46" s="41"/>
      <c r="AE46" s="41"/>
      <c r="AF46" s="11">
        <f t="shared" si="11"/>
        <v>0</v>
      </c>
      <c r="AG46" s="11">
        <f t="shared" si="12"/>
        <v>0</v>
      </c>
      <c r="AH46" s="11">
        <f t="shared" si="13"/>
        <v>0</v>
      </c>
      <c r="AI46" s="159"/>
    </row>
    <row r="47" spans="1:36">
      <c r="A47" s="70" t="s">
        <v>42</v>
      </c>
      <c r="B47" s="15"/>
      <c r="C47" s="15">
        <v>0.75</v>
      </c>
      <c r="D47" s="15"/>
      <c r="E47" s="15"/>
      <c r="F47" s="372"/>
      <c r="G47" s="372"/>
      <c r="H47" s="372"/>
      <c r="I47" s="372"/>
      <c r="J47" s="372"/>
      <c r="K47" s="374"/>
      <c r="L47" s="374"/>
      <c r="M47" s="374"/>
      <c r="N47" s="374"/>
      <c r="O47" s="372"/>
      <c r="P47" s="372">
        <v>0.8</v>
      </c>
      <c r="Q47" s="372">
        <v>0.8</v>
      </c>
      <c r="R47" s="372">
        <v>0.7</v>
      </c>
      <c r="S47" s="372"/>
      <c r="T47" s="372"/>
      <c r="U47" s="372">
        <v>0.75</v>
      </c>
      <c r="V47" s="372"/>
      <c r="W47" s="372"/>
      <c r="X47" s="372"/>
      <c r="Y47" s="372">
        <v>0.75</v>
      </c>
      <c r="Z47" s="372">
        <v>0.81</v>
      </c>
      <c r="AA47" s="372"/>
      <c r="AB47" s="372"/>
      <c r="AC47" s="372"/>
      <c r="AD47" s="41"/>
      <c r="AE47" s="41"/>
      <c r="AF47" s="11">
        <f t="shared" si="11"/>
        <v>0</v>
      </c>
      <c r="AG47" s="11">
        <f t="shared" si="12"/>
        <v>0</v>
      </c>
      <c r="AH47" s="11">
        <f t="shared" si="13"/>
        <v>6</v>
      </c>
    </row>
    <row r="48" spans="1:36">
      <c r="A48" s="70" t="s">
        <v>43</v>
      </c>
      <c r="B48" s="15"/>
      <c r="C48" s="15">
        <v>0.75</v>
      </c>
      <c r="D48" s="15"/>
      <c r="E48" s="15"/>
      <c r="F48" s="372"/>
      <c r="G48" s="372"/>
      <c r="H48" s="372"/>
      <c r="I48" s="372"/>
      <c r="J48" s="372"/>
      <c r="K48" s="374"/>
      <c r="L48" s="374"/>
      <c r="M48" s="374"/>
      <c r="N48" s="372"/>
      <c r="O48" s="372"/>
      <c r="P48" s="372"/>
      <c r="Q48" s="372"/>
      <c r="R48" s="372"/>
      <c r="S48" s="372"/>
      <c r="T48" s="372"/>
      <c r="U48" s="372"/>
      <c r="V48" s="372"/>
      <c r="W48" s="372"/>
      <c r="X48" s="372"/>
      <c r="Y48" s="372"/>
      <c r="Z48" s="372"/>
      <c r="AA48" s="372"/>
      <c r="AB48" s="372"/>
      <c r="AC48" s="372"/>
      <c r="AD48" s="41"/>
      <c r="AE48" s="41"/>
      <c r="AF48" s="11">
        <f t="shared" si="11"/>
        <v>0</v>
      </c>
      <c r="AG48" s="11">
        <f t="shared" si="12"/>
        <v>0</v>
      </c>
      <c r="AH48" s="11">
        <f t="shared" si="13"/>
        <v>0</v>
      </c>
    </row>
    <row r="49" spans="1:124" ht="15" customHeight="1">
      <c r="A49" s="70" t="s">
        <v>44</v>
      </c>
      <c r="B49" s="15"/>
      <c r="C49" s="15">
        <v>0.75</v>
      </c>
      <c r="D49" s="15"/>
      <c r="E49" s="15"/>
      <c r="F49" s="372"/>
      <c r="G49" s="372"/>
      <c r="H49" s="372"/>
      <c r="I49" s="372"/>
      <c r="J49" s="372"/>
      <c r="K49" s="374"/>
      <c r="L49" s="374"/>
      <c r="M49" s="374"/>
      <c r="N49" s="372"/>
      <c r="O49" s="372"/>
      <c r="P49" s="372"/>
      <c r="Q49" s="372"/>
      <c r="R49" s="372"/>
      <c r="S49" s="372"/>
      <c r="T49" s="372"/>
      <c r="U49" s="372"/>
      <c r="V49" s="372"/>
      <c r="W49" s="372"/>
      <c r="X49" s="372"/>
      <c r="Y49" s="372"/>
      <c r="Z49" s="372"/>
      <c r="AA49" s="372"/>
      <c r="AB49" s="372"/>
      <c r="AC49" s="372"/>
      <c r="AD49" s="41"/>
      <c r="AE49" s="41"/>
      <c r="AF49" s="11">
        <f t="shared" si="11"/>
        <v>0</v>
      </c>
      <c r="AG49" s="11">
        <f t="shared" si="12"/>
        <v>0</v>
      </c>
      <c r="AH49" s="11">
        <f t="shared" si="13"/>
        <v>0</v>
      </c>
    </row>
    <row r="50" spans="1:124" ht="17.25" customHeight="1">
      <c r="A50" s="70" t="s">
        <v>45</v>
      </c>
      <c r="B50" s="15"/>
      <c r="C50" s="15">
        <v>0.75</v>
      </c>
      <c r="D50" s="15"/>
      <c r="E50" s="15"/>
      <c r="F50" s="372"/>
      <c r="G50" s="372"/>
      <c r="H50" s="372"/>
      <c r="I50" s="372"/>
      <c r="J50" s="372"/>
      <c r="K50" s="374"/>
      <c r="L50" s="374"/>
      <c r="M50" s="374"/>
      <c r="N50" s="374"/>
      <c r="O50" s="372">
        <v>0.8</v>
      </c>
      <c r="P50" s="372">
        <v>0.8</v>
      </c>
      <c r="Q50" s="372">
        <v>0.8</v>
      </c>
      <c r="R50" s="372"/>
      <c r="S50" s="372"/>
      <c r="T50" s="372"/>
      <c r="U50" s="372"/>
      <c r="V50" s="372"/>
      <c r="W50" s="372"/>
      <c r="X50" s="372"/>
      <c r="Y50" s="372">
        <v>0.75</v>
      </c>
      <c r="Z50" s="372">
        <v>0</v>
      </c>
      <c r="AA50" s="372">
        <v>0</v>
      </c>
      <c r="AB50" s="372">
        <v>0.75</v>
      </c>
      <c r="AC50" s="372">
        <v>0</v>
      </c>
      <c r="AD50" s="41"/>
      <c r="AE50" s="41"/>
      <c r="AF50" s="11">
        <f t="shared" si="11"/>
        <v>0</v>
      </c>
      <c r="AG50" s="11">
        <f t="shared" si="12"/>
        <v>0</v>
      </c>
      <c r="AH50" s="11">
        <f t="shared" si="13"/>
        <v>8</v>
      </c>
    </row>
    <row r="51" spans="1:124">
      <c r="A51" s="70" t="s">
        <v>46</v>
      </c>
      <c r="B51" s="15"/>
      <c r="C51" s="15">
        <v>0.85</v>
      </c>
      <c r="D51" s="15"/>
      <c r="E51" s="15"/>
      <c r="F51" s="372">
        <v>0</v>
      </c>
      <c r="G51" s="372">
        <v>0</v>
      </c>
      <c r="H51" s="372">
        <v>0</v>
      </c>
      <c r="I51" s="372">
        <v>0</v>
      </c>
      <c r="J51" s="372">
        <v>0</v>
      </c>
      <c r="K51" s="374">
        <v>0</v>
      </c>
      <c r="L51" s="374">
        <v>0</v>
      </c>
      <c r="M51" s="374">
        <v>0</v>
      </c>
      <c r="N51" s="374">
        <v>0</v>
      </c>
      <c r="O51" s="372"/>
      <c r="P51" s="372">
        <v>0.8</v>
      </c>
      <c r="Q51" s="372">
        <v>0.8</v>
      </c>
      <c r="R51" s="372">
        <v>0.75</v>
      </c>
      <c r="S51" s="372"/>
      <c r="T51" s="372"/>
      <c r="U51" s="372">
        <v>0.75</v>
      </c>
      <c r="V51" s="372">
        <v>0.75</v>
      </c>
      <c r="W51" s="372"/>
      <c r="X51" s="372"/>
      <c r="Y51" s="372"/>
      <c r="Z51" s="372"/>
      <c r="AA51" s="372"/>
      <c r="AB51" s="372">
        <v>0.75</v>
      </c>
      <c r="AC51" s="372"/>
      <c r="AD51" s="41"/>
      <c r="AE51" s="41"/>
      <c r="AF51" s="11">
        <f t="shared" si="11"/>
        <v>0</v>
      </c>
      <c r="AG51" s="11">
        <f t="shared" si="12"/>
        <v>0</v>
      </c>
      <c r="AH51" s="11">
        <f t="shared" si="13"/>
        <v>15</v>
      </c>
    </row>
    <row r="52" spans="1:124">
      <c r="A52" s="70" t="s">
        <v>47</v>
      </c>
      <c r="B52" s="15"/>
      <c r="C52" s="15">
        <v>0.85</v>
      </c>
      <c r="D52" s="15"/>
      <c r="E52" s="15"/>
      <c r="F52" s="372" t="s">
        <v>9</v>
      </c>
      <c r="G52" s="372" t="s">
        <v>9</v>
      </c>
      <c r="H52" s="372" t="s">
        <v>9</v>
      </c>
      <c r="I52" s="372" t="s">
        <v>9</v>
      </c>
      <c r="J52" s="372" t="s">
        <v>9</v>
      </c>
      <c r="K52" s="374" t="s">
        <v>9</v>
      </c>
      <c r="L52" s="374" t="s">
        <v>9</v>
      </c>
      <c r="M52" s="374" t="s">
        <v>9</v>
      </c>
      <c r="N52" s="372" t="s">
        <v>9</v>
      </c>
      <c r="O52" s="372" t="s">
        <v>9</v>
      </c>
      <c r="P52" s="372" t="s">
        <v>9</v>
      </c>
      <c r="Q52" s="372" t="s">
        <v>9</v>
      </c>
      <c r="R52" s="372" t="s">
        <v>9</v>
      </c>
      <c r="S52" s="372" t="s">
        <v>9</v>
      </c>
      <c r="T52" s="372" t="s">
        <v>9</v>
      </c>
      <c r="U52" s="372" t="s">
        <v>9</v>
      </c>
      <c r="V52" s="372" t="s">
        <v>9</v>
      </c>
      <c r="W52" s="372" t="s">
        <v>9</v>
      </c>
      <c r="X52" s="372" t="s">
        <v>9</v>
      </c>
      <c r="Y52" s="372" t="s">
        <v>9</v>
      </c>
      <c r="Z52" s="372" t="s">
        <v>9</v>
      </c>
      <c r="AA52" s="372" t="s">
        <v>9</v>
      </c>
      <c r="AB52" s="372" t="s">
        <v>9</v>
      </c>
      <c r="AC52" s="372" t="s">
        <v>9</v>
      </c>
      <c r="AD52" s="41"/>
      <c r="AE52" s="41"/>
      <c r="AF52" s="11">
        <f t="shared" si="11"/>
        <v>24</v>
      </c>
      <c r="AG52" s="11">
        <f t="shared" si="12"/>
        <v>0</v>
      </c>
      <c r="AH52" s="11">
        <f t="shared" si="13"/>
        <v>0</v>
      </c>
    </row>
    <row r="53" spans="1:124">
      <c r="A53" s="70" t="s">
        <v>48</v>
      </c>
      <c r="B53" s="15"/>
      <c r="C53" s="15">
        <v>0.85</v>
      </c>
      <c r="D53" s="15"/>
      <c r="E53" s="15"/>
      <c r="F53" s="372"/>
      <c r="G53" s="372"/>
      <c r="H53" s="372"/>
      <c r="I53" s="372"/>
      <c r="J53" s="372"/>
      <c r="K53" s="374"/>
      <c r="L53" s="374"/>
      <c r="M53" s="374"/>
      <c r="N53" s="372"/>
      <c r="O53" s="372"/>
      <c r="P53" s="372"/>
      <c r="Q53" s="372"/>
      <c r="R53" s="372"/>
      <c r="S53" s="372"/>
      <c r="T53" s="372"/>
      <c r="U53" s="372"/>
      <c r="V53" s="372"/>
      <c r="W53" s="372"/>
      <c r="X53" s="372"/>
      <c r="Y53" s="372"/>
      <c r="Z53" s="372"/>
      <c r="AA53" s="372"/>
      <c r="AB53" s="372"/>
      <c r="AC53" s="372"/>
      <c r="AD53" s="41"/>
      <c r="AE53" s="41"/>
      <c r="AF53" s="11">
        <f t="shared" si="11"/>
        <v>0</v>
      </c>
      <c r="AG53" s="11">
        <f t="shared" si="12"/>
        <v>0</v>
      </c>
      <c r="AH53" s="11">
        <f t="shared" si="13"/>
        <v>0</v>
      </c>
    </row>
    <row r="54" spans="1:124" ht="16.5" customHeight="1">
      <c r="A54" s="70" t="s">
        <v>49</v>
      </c>
      <c r="B54" s="15"/>
      <c r="C54" s="15">
        <v>0.85</v>
      </c>
      <c r="D54" s="15"/>
      <c r="E54" s="15"/>
      <c r="F54" s="372"/>
      <c r="G54" s="372"/>
      <c r="H54" s="372"/>
      <c r="I54" s="372"/>
      <c r="J54" s="372"/>
      <c r="K54" s="374"/>
      <c r="L54" s="374"/>
      <c r="M54" s="374"/>
      <c r="N54" s="374"/>
      <c r="O54" s="372"/>
      <c r="P54" s="372">
        <v>0.8</v>
      </c>
      <c r="Q54" s="372">
        <v>0.8</v>
      </c>
      <c r="R54" s="372">
        <v>0.8</v>
      </c>
      <c r="S54" s="372"/>
      <c r="T54" s="372"/>
      <c r="U54" s="372">
        <v>0.75</v>
      </c>
      <c r="V54" s="372">
        <v>0.75</v>
      </c>
      <c r="W54" s="372"/>
      <c r="X54" s="372"/>
      <c r="Y54" s="372"/>
      <c r="Z54" s="372"/>
      <c r="AA54" s="372"/>
      <c r="AB54" s="372">
        <v>0.75</v>
      </c>
      <c r="AC54" s="372"/>
      <c r="AD54" s="41"/>
      <c r="AE54" s="41"/>
      <c r="AF54" s="11">
        <f t="shared" si="11"/>
        <v>0</v>
      </c>
      <c r="AG54" s="11">
        <f t="shared" si="12"/>
        <v>0</v>
      </c>
      <c r="AH54" s="11">
        <f t="shared" si="13"/>
        <v>6</v>
      </c>
    </row>
    <row r="55" spans="1:124">
      <c r="A55" s="70" t="s">
        <v>50</v>
      </c>
      <c r="B55" s="15"/>
      <c r="C55" s="15">
        <v>0.85</v>
      </c>
      <c r="D55" s="15"/>
      <c r="E55" s="15"/>
      <c r="F55" s="372"/>
      <c r="G55" s="372"/>
      <c r="H55" s="372"/>
      <c r="I55" s="372"/>
      <c r="J55" s="372"/>
      <c r="K55" s="374"/>
      <c r="L55" s="374"/>
      <c r="M55" s="374"/>
      <c r="N55" s="372"/>
      <c r="O55" s="372"/>
      <c r="P55" s="372"/>
      <c r="Q55" s="372"/>
      <c r="R55" s="372"/>
      <c r="S55" s="372"/>
      <c r="T55" s="372"/>
      <c r="U55" s="372"/>
      <c r="V55" s="372"/>
      <c r="W55" s="372"/>
      <c r="X55" s="372"/>
      <c r="Y55" s="372"/>
      <c r="Z55" s="372"/>
      <c r="AA55" s="372"/>
      <c r="AB55" s="372"/>
      <c r="AC55" s="372"/>
      <c r="AD55" s="41"/>
      <c r="AE55" s="41"/>
      <c r="AF55" s="11">
        <f>COUNTIF(F55:AC55,$AJ$8)</f>
        <v>0</v>
      </c>
      <c r="AG55" s="11">
        <f t="shared" si="12"/>
        <v>0</v>
      </c>
      <c r="AH55" s="11">
        <f>COUNT(F55:AC55)</f>
        <v>0</v>
      </c>
    </row>
    <row r="56" spans="1:124">
      <c r="A56" s="70" t="s">
        <v>51</v>
      </c>
      <c r="B56" s="15"/>
      <c r="C56" s="15">
        <v>0.75</v>
      </c>
      <c r="D56" s="15"/>
      <c r="E56" s="15"/>
      <c r="F56" s="372"/>
      <c r="G56" s="372"/>
      <c r="H56" s="372"/>
      <c r="I56" s="372"/>
      <c r="J56" s="372"/>
      <c r="K56" s="374"/>
      <c r="L56" s="374"/>
      <c r="M56" s="374"/>
      <c r="N56" s="374"/>
      <c r="O56" s="372"/>
      <c r="P56" s="372">
        <v>0.8</v>
      </c>
      <c r="Q56" s="372">
        <v>0.8</v>
      </c>
      <c r="R56" s="372"/>
      <c r="S56" s="372"/>
      <c r="T56" s="372"/>
      <c r="U56" s="372"/>
      <c r="V56" s="372"/>
      <c r="W56" s="372"/>
      <c r="X56" s="372"/>
      <c r="Y56" s="372"/>
      <c r="Z56" s="372"/>
      <c r="AA56" s="372"/>
      <c r="AB56" s="372">
        <v>0.75</v>
      </c>
      <c r="AC56" s="372">
        <v>0</v>
      </c>
      <c r="AD56" s="41"/>
      <c r="AE56" s="41"/>
      <c r="AF56" s="11">
        <f t="shared" si="11"/>
        <v>0</v>
      </c>
      <c r="AG56" s="11">
        <f t="shared" si="12"/>
        <v>0</v>
      </c>
      <c r="AH56" s="11">
        <f t="shared" si="13"/>
        <v>4</v>
      </c>
    </row>
    <row r="57" spans="1:124">
      <c r="A57" s="70" t="s">
        <v>52</v>
      </c>
      <c r="B57" s="15"/>
      <c r="C57" s="15">
        <v>0.75</v>
      </c>
      <c r="D57" s="15"/>
      <c r="E57" s="15"/>
      <c r="F57" s="372"/>
      <c r="G57" s="372"/>
      <c r="H57" s="372"/>
      <c r="I57" s="372"/>
      <c r="J57" s="372"/>
      <c r="K57" s="374"/>
      <c r="L57" s="374"/>
      <c r="M57" s="374"/>
      <c r="N57" s="372"/>
      <c r="O57" s="372"/>
      <c r="P57" s="372"/>
      <c r="Q57" s="372"/>
      <c r="R57" s="372"/>
      <c r="S57" s="372"/>
      <c r="T57" s="372"/>
      <c r="U57" s="372"/>
      <c r="V57" s="372"/>
      <c r="W57" s="372"/>
      <c r="X57" s="372"/>
      <c r="Y57" s="372"/>
      <c r="Z57" s="372"/>
      <c r="AA57" s="372"/>
      <c r="AB57" s="372"/>
      <c r="AC57" s="372"/>
      <c r="AD57" s="41"/>
      <c r="AE57" s="41"/>
      <c r="AF57" s="11">
        <f t="shared" si="11"/>
        <v>0</v>
      </c>
      <c r="AG57" s="11">
        <f t="shared" si="12"/>
        <v>0</v>
      </c>
      <c r="AH57" s="11">
        <f t="shared" si="13"/>
        <v>0</v>
      </c>
    </row>
    <row r="58" spans="1:124">
      <c r="A58" s="70" t="s">
        <v>53</v>
      </c>
      <c r="B58" s="15"/>
      <c r="C58" s="15">
        <v>0.85</v>
      </c>
      <c r="D58" s="15"/>
      <c r="E58" s="15"/>
      <c r="F58" s="372"/>
      <c r="G58" s="372"/>
      <c r="H58" s="372"/>
      <c r="I58" s="372"/>
      <c r="J58" s="372"/>
      <c r="K58" s="374"/>
      <c r="L58" s="374"/>
      <c r="M58" s="374"/>
      <c r="N58" s="372"/>
      <c r="O58" s="372"/>
      <c r="P58" s="372"/>
      <c r="Q58" s="372"/>
      <c r="R58" s="372"/>
      <c r="S58" s="372"/>
      <c r="T58" s="372"/>
      <c r="U58" s="372"/>
      <c r="V58" s="372"/>
      <c r="W58" s="372"/>
      <c r="X58" s="372"/>
      <c r="Y58" s="372"/>
      <c r="Z58" s="372"/>
      <c r="AA58" s="372"/>
      <c r="AB58" s="372"/>
      <c r="AC58" s="372"/>
      <c r="AD58" s="41"/>
      <c r="AE58" s="41"/>
      <c r="AF58" s="11">
        <f t="shared" si="11"/>
        <v>0</v>
      </c>
      <c r="AG58" s="11">
        <f t="shared" si="12"/>
        <v>0</v>
      </c>
      <c r="AH58" s="11">
        <f t="shared" si="13"/>
        <v>0</v>
      </c>
    </row>
    <row r="59" spans="1:124">
      <c r="A59" s="70" t="s">
        <v>54</v>
      </c>
      <c r="B59" s="15"/>
      <c r="C59" s="15">
        <v>0.85</v>
      </c>
      <c r="D59" s="15"/>
      <c r="E59" s="15"/>
      <c r="F59" s="372"/>
      <c r="G59" s="372"/>
      <c r="H59" s="372"/>
      <c r="I59" s="372"/>
      <c r="J59" s="372"/>
      <c r="K59" s="374"/>
      <c r="L59" s="374"/>
      <c r="M59" s="374"/>
      <c r="N59" s="372"/>
      <c r="O59" s="372"/>
      <c r="P59" s="372"/>
      <c r="Q59" s="372"/>
      <c r="R59" s="372"/>
      <c r="S59" s="372"/>
      <c r="T59" s="372"/>
      <c r="U59" s="372"/>
      <c r="V59" s="372"/>
      <c r="W59" s="372"/>
      <c r="X59" s="372"/>
      <c r="Y59" s="372"/>
      <c r="Z59" s="372"/>
      <c r="AA59" s="372"/>
      <c r="AB59" s="372"/>
      <c r="AC59" s="372"/>
      <c r="AD59" s="41"/>
      <c r="AE59" s="41"/>
      <c r="AF59" s="11">
        <f t="shared" si="11"/>
        <v>0</v>
      </c>
      <c r="AG59" s="11">
        <f t="shared" si="12"/>
        <v>0</v>
      </c>
      <c r="AH59" s="11">
        <f t="shared" si="13"/>
        <v>0</v>
      </c>
    </row>
    <row r="60" spans="1:124">
      <c r="A60" s="9" t="s">
        <v>26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 t="shared" ref="F60" si="14">SUM(F36:F59)</f>
        <v>0</v>
      </c>
      <c r="G60" s="19">
        <f t="shared" ref="G60:AC60" si="15">SUM(G36:G59)</f>
        <v>0</v>
      </c>
      <c r="H60" s="19">
        <f t="shared" si="15"/>
        <v>0</v>
      </c>
      <c r="I60" s="19">
        <f t="shared" si="15"/>
        <v>0</v>
      </c>
      <c r="J60" s="19">
        <f t="shared" si="15"/>
        <v>0</v>
      </c>
      <c r="K60" s="19">
        <f t="shared" si="15"/>
        <v>0</v>
      </c>
      <c r="L60" s="19">
        <f t="shared" si="15"/>
        <v>0</v>
      </c>
      <c r="M60" s="19">
        <f t="shared" si="15"/>
        <v>0</v>
      </c>
      <c r="N60" s="19">
        <f t="shared" si="15"/>
        <v>0</v>
      </c>
      <c r="O60" s="19">
        <f>SUM(O36:O59)</f>
        <v>0.8</v>
      </c>
      <c r="P60" s="19">
        <f t="shared" si="15"/>
        <v>4</v>
      </c>
      <c r="Q60" s="19">
        <f t="shared" si="15"/>
        <v>4</v>
      </c>
      <c r="R60" s="19">
        <f t="shared" si="15"/>
        <v>2.25</v>
      </c>
      <c r="S60" s="19">
        <f t="shared" si="15"/>
        <v>0</v>
      </c>
      <c r="T60" s="19">
        <f>SUM(T36:T59)</f>
        <v>0</v>
      </c>
      <c r="U60" s="19">
        <f t="shared" si="15"/>
        <v>2.25</v>
      </c>
      <c r="V60" s="19">
        <f t="shared" si="15"/>
        <v>1.5</v>
      </c>
      <c r="W60" s="19">
        <f t="shared" si="15"/>
        <v>0</v>
      </c>
      <c r="X60" s="19">
        <f t="shared" si="15"/>
        <v>0</v>
      </c>
      <c r="Y60" s="19">
        <f t="shared" si="15"/>
        <v>1.5</v>
      </c>
      <c r="Z60" s="19">
        <f t="shared" si="15"/>
        <v>0.81</v>
      </c>
      <c r="AA60" s="19">
        <f t="shared" si="15"/>
        <v>0</v>
      </c>
      <c r="AB60" s="19">
        <f t="shared" si="15"/>
        <v>3</v>
      </c>
      <c r="AC60" s="19">
        <f t="shared" si="15"/>
        <v>0</v>
      </c>
      <c r="AD60" s="34"/>
      <c r="AE60" s="34"/>
      <c r="AF60" s="11"/>
      <c r="AG60" s="11"/>
      <c r="AH60" s="11"/>
    </row>
    <row r="61" spans="1:124">
      <c r="A61" s="12" t="s">
        <v>55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31.429999999999996</v>
      </c>
      <c r="AN61" s="351"/>
    </row>
    <row r="62" spans="1:124">
      <c r="A62" s="14" t="s">
        <v>56</v>
      </c>
      <c r="B62" s="20"/>
      <c r="C62" s="15">
        <v>0.75</v>
      </c>
      <c r="D62" s="15"/>
      <c r="E62" s="15"/>
      <c r="F62" s="372">
        <f>1.17/2</f>
        <v>0.58499999999999996</v>
      </c>
      <c r="G62" s="372">
        <f>1.02/2</f>
        <v>0.51</v>
      </c>
      <c r="H62" s="372">
        <f>0.99/2</f>
        <v>0.495</v>
      </c>
      <c r="I62" s="372">
        <f>0.99/2</f>
        <v>0.495</v>
      </c>
      <c r="J62" s="372">
        <f>0.98/2</f>
        <v>0.49</v>
      </c>
      <c r="K62" s="374">
        <f>0.98/2</f>
        <v>0.49</v>
      </c>
      <c r="L62" s="374">
        <f>1.09/2</f>
        <v>0.54500000000000004</v>
      </c>
      <c r="M62" s="374">
        <f>1.18/2</f>
        <v>0.59</v>
      </c>
      <c r="N62" s="372">
        <f>1.15/2</f>
        <v>0.57499999999999996</v>
      </c>
      <c r="O62" s="372">
        <f>1.38/2</f>
        <v>0.69</v>
      </c>
      <c r="P62" s="372">
        <f>1.4/2</f>
        <v>0.7</v>
      </c>
      <c r="Q62" s="372">
        <v>0.73499999999999999</v>
      </c>
      <c r="R62" s="372">
        <v>0.745</v>
      </c>
      <c r="S62" s="372">
        <f>1.5/3</f>
        <v>0.5</v>
      </c>
      <c r="T62" s="372">
        <f>1.55/3</f>
        <v>0.51666666666666672</v>
      </c>
      <c r="U62" s="372">
        <v>0.5</v>
      </c>
      <c r="V62" s="372">
        <f>1.48/2</f>
        <v>0.74</v>
      </c>
      <c r="W62" s="372">
        <v>0.71</v>
      </c>
      <c r="X62" s="372">
        <v>0.7</v>
      </c>
      <c r="Y62" s="372">
        <v>0.5</v>
      </c>
      <c r="Z62" s="372">
        <f>1.56/3</f>
        <v>0.52</v>
      </c>
      <c r="AA62" s="372"/>
      <c r="AB62" s="372"/>
      <c r="AC62" s="372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21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57</v>
      </c>
      <c r="B63" s="20"/>
      <c r="C63" s="15">
        <v>0.75</v>
      </c>
      <c r="D63" s="15"/>
      <c r="E63" s="15"/>
      <c r="F63" s="372"/>
      <c r="G63" s="372"/>
      <c r="H63" s="372"/>
      <c r="I63" s="372"/>
      <c r="J63" s="372"/>
      <c r="K63" s="374">
        <f>0.98/2</f>
        <v>0.49</v>
      </c>
      <c r="L63" s="374">
        <f>1.09/2</f>
        <v>0.54500000000000004</v>
      </c>
      <c r="M63" s="374">
        <f>1.18/2</f>
        <v>0.59</v>
      </c>
      <c r="N63" s="372">
        <f>1.15/2</f>
        <v>0.57499999999999996</v>
      </c>
      <c r="O63" s="372">
        <f>1.38/2</f>
        <v>0.69</v>
      </c>
      <c r="P63" s="372">
        <f>1.4/2</f>
        <v>0.7</v>
      </c>
      <c r="Q63" s="372">
        <v>0.73499999999999999</v>
      </c>
      <c r="R63" s="372">
        <v>0.745</v>
      </c>
      <c r="S63" s="372">
        <f t="shared" ref="S63:S64" si="16">1.5/3</f>
        <v>0.5</v>
      </c>
      <c r="T63" s="372">
        <f t="shared" ref="T63:T64" si="17">1.55/3</f>
        <v>0.51666666666666672</v>
      </c>
      <c r="U63" s="372">
        <v>0.5</v>
      </c>
      <c r="V63" s="372">
        <v>0</v>
      </c>
      <c r="W63" s="372">
        <v>0</v>
      </c>
      <c r="X63" s="372">
        <v>0</v>
      </c>
      <c r="Y63" s="372">
        <v>0.5</v>
      </c>
      <c r="Z63" s="372">
        <f t="shared" ref="Z63:Z64" si="18">1.56/3</f>
        <v>0.52</v>
      </c>
      <c r="AA63" s="372">
        <f>1.52/2</f>
        <v>0.76</v>
      </c>
      <c r="AB63" s="372">
        <f>1.41/2</f>
        <v>0.70499999999999996</v>
      </c>
      <c r="AC63" s="372">
        <f>1.3/2</f>
        <v>0.65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19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58</v>
      </c>
      <c r="B64" s="20"/>
      <c r="C64" s="15">
        <v>0.75</v>
      </c>
      <c r="D64" s="15"/>
      <c r="E64" s="15"/>
      <c r="F64" s="372">
        <f>1.17/2</f>
        <v>0.58499999999999996</v>
      </c>
      <c r="G64" s="372">
        <f>1.02/2</f>
        <v>0.51</v>
      </c>
      <c r="H64" s="372">
        <f>0.99/2</f>
        <v>0.495</v>
      </c>
      <c r="I64" s="372">
        <f>0.99/2</f>
        <v>0.495</v>
      </c>
      <c r="J64" s="372">
        <f>0.98/2</f>
        <v>0.49</v>
      </c>
      <c r="K64" s="374"/>
      <c r="L64" s="372"/>
      <c r="M64" s="372"/>
      <c r="N64" s="372"/>
      <c r="O64" s="372"/>
      <c r="P64" s="372"/>
      <c r="Q64" s="372"/>
      <c r="R64" s="372"/>
      <c r="S64" s="372">
        <f t="shared" si="16"/>
        <v>0.5</v>
      </c>
      <c r="T64" s="372">
        <f t="shared" si="17"/>
        <v>0.51666666666666672</v>
      </c>
      <c r="U64" s="372">
        <v>0.5</v>
      </c>
      <c r="V64" s="372">
        <f>1.48/2</f>
        <v>0.74</v>
      </c>
      <c r="W64" s="372">
        <v>0.71</v>
      </c>
      <c r="X64" s="372">
        <v>0.7</v>
      </c>
      <c r="Y64" s="372">
        <v>0.5</v>
      </c>
      <c r="Z64" s="372">
        <f t="shared" si="18"/>
        <v>0.52</v>
      </c>
      <c r="AA64" s="372">
        <f>1.52/2</f>
        <v>0.76</v>
      </c>
      <c r="AB64" s="372">
        <f>1.41/2</f>
        <v>0.70499999999999996</v>
      </c>
      <c r="AC64" s="372">
        <f>1.3/2</f>
        <v>0.65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16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1.17</v>
      </c>
      <c r="G65" s="19">
        <f t="shared" ref="G65" si="19">SUM(G62:G64)</f>
        <v>1.02</v>
      </c>
      <c r="H65" s="19">
        <f>SUM(H62:H64)</f>
        <v>0.99</v>
      </c>
      <c r="I65" s="19">
        <f>SUM(I62:I64)</f>
        <v>0.99</v>
      </c>
      <c r="J65" s="19">
        <f t="shared" ref="J65" si="20">SUM(J62:J64)</f>
        <v>0.98</v>
      </c>
      <c r="K65" s="19">
        <f>SUM(K62:K64)</f>
        <v>0.98</v>
      </c>
      <c r="L65" s="19">
        <f>SUM(L62:L64)</f>
        <v>1.0900000000000001</v>
      </c>
      <c r="M65" s="19">
        <f>SUM(M62:M64)</f>
        <v>1.18</v>
      </c>
      <c r="N65" s="19">
        <f>SUM(N62:N64)</f>
        <v>1.1499999999999999</v>
      </c>
      <c r="O65" s="19">
        <f t="shared" ref="O65:AB65" si="21">SUM(O62:O64)</f>
        <v>1.38</v>
      </c>
      <c r="P65" s="19">
        <f t="shared" si="21"/>
        <v>1.4</v>
      </c>
      <c r="Q65" s="19">
        <f t="shared" si="21"/>
        <v>1.47</v>
      </c>
      <c r="R65" s="19">
        <f t="shared" si="21"/>
        <v>1.49</v>
      </c>
      <c r="S65" s="19">
        <f t="shared" si="21"/>
        <v>1.5</v>
      </c>
      <c r="T65" s="19">
        <f t="shared" si="21"/>
        <v>1.5500000000000003</v>
      </c>
      <c r="U65" s="19">
        <f t="shared" si="21"/>
        <v>1.5</v>
      </c>
      <c r="V65" s="19">
        <f t="shared" si="21"/>
        <v>1.48</v>
      </c>
      <c r="W65" s="19">
        <f t="shared" si="21"/>
        <v>1.42</v>
      </c>
      <c r="X65" s="19">
        <f t="shared" si="21"/>
        <v>1.4</v>
      </c>
      <c r="Y65" s="19">
        <f>SUM(Y62:Y64)</f>
        <v>1.5</v>
      </c>
      <c r="Z65" s="19">
        <f t="shared" si="21"/>
        <v>1.56</v>
      </c>
      <c r="AA65" s="19">
        <f t="shared" si="21"/>
        <v>1.52</v>
      </c>
      <c r="AB65" s="19">
        <f t="shared" si="21"/>
        <v>1.41</v>
      </c>
      <c r="AC65" s="19">
        <f>SUM(AC62:AC64)</f>
        <v>1.3</v>
      </c>
      <c r="AD65" s="34"/>
      <c r="AE65" s="34"/>
      <c r="AF65" s="11"/>
      <c r="AG65" s="11"/>
      <c r="AH65" s="11"/>
    </row>
    <row r="66" spans="1:124" hidden="1">
      <c r="A66" s="12" t="s">
        <v>59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idden="1">
      <c r="A67" s="14" t="s">
        <v>60</v>
      </c>
      <c r="B67" s="15"/>
      <c r="C67" s="15">
        <v>0.85</v>
      </c>
      <c r="D67" s="15"/>
      <c r="E67" s="15"/>
      <c r="F67" s="372"/>
      <c r="G67" s="372"/>
      <c r="H67" s="372"/>
      <c r="I67" s="372"/>
      <c r="J67" s="372"/>
      <c r="K67" s="374"/>
      <c r="L67" s="374"/>
      <c r="M67" s="374"/>
      <c r="N67" s="372"/>
      <c r="O67" s="372"/>
      <c r="P67" s="372"/>
      <c r="Q67" s="372"/>
      <c r="R67" s="372"/>
      <c r="S67" s="372"/>
      <c r="T67" s="372"/>
      <c r="U67" s="372"/>
      <c r="V67" s="372"/>
      <c r="W67" s="372"/>
      <c r="X67" s="372"/>
      <c r="Y67" s="372"/>
      <c r="Z67" s="372"/>
      <c r="AA67" s="372"/>
      <c r="AB67" s="372"/>
      <c r="AC67" s="372"/>
      <c r="AD67" s="35"/>
      <c r="AE67" s="35"/>
      <c r="AF67" s="11">
        <f t="shared" ref="AF67:AF75" si="22">COUNTIF(F67:AC67,$AF$11)</f>
        <v>0</v>
      </c>
      <c r="AG67" s="11">
        <f t="shared" ref="AG67:AG75" si="23">COUNTIF(G67:AC67,$AG$11)</f>
        <v>0</v>
      </c>
      <c r="AH67" s="11">
        <f t="shared" ref="AH67:AH75" si="24">COUNT(F67:AC67)</f>
        <v>0</v>
      </c>
    </row>
    <row r="68" spans="1:124" hidden="1">
      <c r="A68" s="14" t="s">
        <v>61</v>
      </c>
      <c r="B68" s="15"/>
      <c r="C68" s="15">
        <v>0.85</v>
      </c>
      <c r="D68" s="15"/>
      <c r="E68" s="15"/>
      <c r="F68" s="372"/>
      <c r="G68" s="372"/>
      <c r="H68" s="372"/>
      <c r="I68" s="372"/>
      <c r="J68" s="372"/>
      <c r="K68" s="374"/>
      <c r="L68" s="374"/>
      <c r="M68" s="374"/>
      <c r="N68" s="372"/>
      <c r="O68" s="372"/>
      <c r="P68" s="372"/>
      <c r="Q68" s="372"/>
      <c r="R68" s="372"/>
      <c r="S68" s="372"/>
      <c r="T68" s="372"/>
      <c r="U68" s="372"/>
      <c r="V68" s="372"/>
      <c r="W68" s="372"/>
      <c r="X68" s="372"/>
      <c r="Y68" s="372"/>
      <c r="Z68" s="372"/>
      <c r="AA68" s="372"/>
      <c r="AB68" s="372"/>
      <c r="AC68" s="372"/>
      <c r="AD68" s="35"/>
      <c r="AE68" s="35"/>
      <c r="AF68" s="11">
        <f t="shared" si="22"/>
        <v>0</v>
      </c>
      <c r="AG68" s="11">
        <f t="shared" si="23"/>
        <v>0</v>
      </c>
      <c r="AH68" s="11">
        <f t="shared" si="24"/>
        <v>0</v>
      </c>
    </row>
    <row r="69" spans="1:124" hidden="1">
      <c r="A69" s="14" t="s">
        <v>62</v>
      </c>
      <c r="B69" s="15"/>
      <c r="C69" s="15">
        <v>0.85</v>
      </c>
      <c r="D69" s="15"/>
      <c r="E69" s="15"/>
      <c r="F69" s="372"/>
      <c r="G69" s="372"/>
      <c r="H69" s="372"/>
      <c r="I69" s="372"/>
      <c r="J69" s="372"/>
      <c r="K69" s="374"/>
      <c r="L69" s="374"/>
      <c r="M69" s="374"/>
      <c r="N69" s="372"/>
      <c r="O69" s="372"/>
      <c r="P69" s="372"/>
      <c r="Q69" s="372"/>
      <c r="R69" s="372"/>
      <c r="S69" s="372"/>
      <c r="T69" s="372"/>
      <c r="U69" s="372"/>
      <c r="V69" s="372"/>
      <c r="W69" s="372"/>
      <c r="X69" s="372"/>
      <c r="Y69" s="372"/>
      <c r="Z69" s="372"/>
      <c r="AA69" s="372"/>
      <c r="AB69" s="372"/>
      <c r="AC69" s="372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4"/>
        <v>0</v>
      </c>
    </row>
    <row r="70" spans="1:124" hidden="1">
      <c r="A70" s="14" t="s">
        <v>63</v>
      </c>
      <c r="B70" s="15"/>
      <c r="C70" s="15">
        <v>0.85</v>
      </c>
      <c r="D70" s="15"/>
      <c r="E70" s="15"/>
      <c r="F70" s="372"/>
      <c r="G70" s="372"/>
      <c r="H70" s="372"/>
      <c r="I70" s="372"/>
      <c r="J70" s="372"/>
      <c r="K70" s="374"/>
      <c r="L70" s="374"/>
      <c r="M70" s="374"/>
      <c r="N70" s="372"/>
      <c r="O70" s="372"/>
      <c r="P70" s="372"/>
      <c r="Q70" s="372"/>
      <c r="R70" s="372"/>
      <c r="S70" s="372"/>
      <c r="T70" s="372"/>
      <c r="U70" s="372"/>
      <c r="V70" s="372"/>
      <c r="W70" s="372"/>
      <c r="X70" s="372"/>
      <c r="Y70" s="372"/>
      <c r="Z70" s="372"/>
      <c r="AA70" s="372"/>
      <c r="AB70" s="372"/>
      <c r="AC70" s="372"/>
      <c r="AD70" s="35"/>
      <c r="AE70" s="35"/>
      <c r="AF70" s="11">
        <f t="shared" si="22"/>
        <v>0</v>
      </c>
      <c r="AG70" s="11">
        <f t="shared" si="23"/>
        <v>0</v>
      </c>
      <c r="AH70" s="11">
        <f t="shared" si="24"/>
        <v>0</v>
      </c>
      <c r="AI70" s="5"/>
      <c r="AJ70" s="5"/>
      <c r="AK70" s="5"/>
      <c r="AL70" s="5"/>
    </row>
    <row r="71" spans="1:124" hidden="1">
      <c r="A71" s="14" t="s">
        <v>64</v>
      </c>
      <c r="B71" s="15"/>
      <c r="C71" s="15">
        <v>0.85</v>
      </c>
      <c r="D71" s="15"/>
      <c r="E71" s="15"/>
      <c r="F71" s="372"/>
      <c r="G71" s="372"/>
      <c r="H71" s="372"/>
      <c r="I71" s="372"/>
      <c r="J71" s="372"/>
      <c r="K71" s="374"/>
      <c r="L71" s="374"/>
      <c r="M71" s="374"/>
      <c r="N71" s="372"/>
      <c r="O71" s="372"/>
      <c r="P71" s="372"/>
      <c r="Q71" s="372"/>
      <c r="R71" s="372"/>
      <c r="S71" s="372"/>
      <c r="T71" s="372"/>
      <c r="U71" s="372"/>
      <c r="V71" s="372"/>
      <c r="W71" s="372"/>
      <c r="X71" s="372"/>
      <c r="Y71" s="372"/>
      <c r="Z71" s="372"/>
      <c r="AA71" s="372"/>
      <c r="AB71" s="372"/>
      <c r="AC71" s="372"/>
      <c r="AD71" s="35"/>
      <c r="AE71" s="35"/>
      <c r="AF71" s="11">
        <f t="shared" si="22"/>
        <v>0</v>
      </c>
      <c r="AG71" s="11">
        <f t="shared" si="23"/>
        <v>0</v>
      </c>
      <c r="AH71" s="11">
        <f t="shared" si="24"/>
        <v>0</v>
      </c>
    </row>
    <row r="72" spans="1:124" hidden="1">
      <c r="A72" s="14" t="s">
        <v>65</v>
      </c>
      <c r="B72" s="15"/>
      <c r="C72" s="15">
        <v>0.85</v>
      </c>
      <c r="D72" s="15"/>
      <c r="E72" s="15"/>
      <c r="F72" s="372"/>
      <c r="G72" s="372"/>
      <c r="H72" s="372"/>
      <c r="I72" s="372"/>
      <c r="J72" s="372"/>
      <c r="K72" s="374"/>
      <c r="L72" s="374"/>
      <c r="M72" s="374"/>
      <c r="N72" s="372"/>
      <c r="O72" s="372"/>
      <c r="P72" s="372"/>
      <c r="Q72" s="372"/>
      <c r="R72" s="372"/>
      <c r="S72" s="372"/>
      <c r="T72" s="372"/>
      <c r="U72" s="372"/>
      <c r="V72" s="372"/>
      <c r="W72" s="372"/>
      <c r="X72" s="372"/>
      <c r="Y72" s="372"/>
      <c r="Z72" s="372"/>
      <c r="AA72" s="372"/>
      <c r="AB72" s="372"/>
      <c r="AC72" s="372"/>
      <c r="AD72" s="35"/>
      <c r="AE72" s="35"/>
      <c r="AF72" s="11">
        <f t="shared" si="22"/>
        <v>0</v>
      </c>
      <c r="AG72" s="11">
        <f t="shared" si="23"/>
        <v>0</v>
      </c>
      <c r="AH72" s="11">
        <f t="shared" si="24"/>
        <v>0</v>
      </c>
    </row>
    <row r="73" spans="1:124" hidden="1">
      <c r="A73" s="14" t="s">
        <v>66</v>
      </c>
      <c r="B73" s="15"/>
      <c r="C73" s="15">
        <v>0.85</v>
      </c>
      <c r="D73" s="15"/>
      <c r="E73" s="15"/>
      <c r="F73" s="372"/>
      <c r="G73" s="372"/>
      <c r="H73" s="372"/>
      <c r="I73" s="372"/>
      <c r="J73" s="372"/>
      <c r="K73" s="374"/>
      <c r="L73" s="374"/>
      <c r="M73" s="374"/>
      <c r="N73" s="372"/>
      <c r="O73" s="372"/>
      <c r="P73" s="372"/>
      <c r="Q73" s="372"/>
      <c r="R73" s="372"/>
      <c r="S73" s="372"/>
      <c r="T73" s="372"/>
      <c r="U73" s="372"/>
      <c r="V73" s="372"/>
      <c r="W73" s="372"/>
      <c r="X73" s="372"/>
      <c r="Y73" s="372"/>
      <c r="Z73" s="372"/>
      <c r="AA73" s="372"/>
      <c r="AB73" s="372"/>
      <c r="AC73" s="372"/>
      <c r="AD73" s="35"/>
      <c r="AE73" s="35"/>
      <c r="AF73" s="11">
        <f t="shared" si="22"/>
        <v>0</v>
      </c>
      <c r="AG73" s="11">
        <f t="shared" si="23"/>
        <v>0</v>
      </c>
      <c r="AH73" s="11">
        <f t="shared" si="24"/>
        <v>0</v>
      </c>
    </row>
    <row r="74" spans="1:124" hidden="1">
      <c r="A74" s="14" t="s">
        <v>67</v>
      </c>
      <c r="B74" s="19"/>
      <c r="C74" s="15">
        <v>0.85</v>
      </c>
      <c r="D74" s="15"/>
      <c r="E74" s="15"/>
      <c r="F74" s="372"/>
      <c r="G74" s="372"/>
      <c r="H74" s="372"/>
      <c r="I74" s="372"/>
      <c r="J74" s="372"/>
      <c r="K74" s="374"/>
      <c r="L74" s="374"/>
      <c r="M74" s="374"/>
      <c r="N74" s="372"/>
      <c r="O74" s="372"/>
      <c r="P74" s="372"/>
      <c r="Q74" s="372"/>
      <c r="R74" s="372"/>
      <c r="S74" s="372"/>
      <c r="T74" s="372"/>
      <c r="U74" s="372"/>
      <c r="V74" s="372"/>
      <c r="W74" s="372"/>
      <c r="X74" s="372"/>
      <c r="Y74" s="372"/>
      <c r="Z74" s="372"/>
      <c r="AA74" s="372"/>
      <c r="AB74" s="372"/>
      <c r="AC74" s="372"/>
      <c r="AD74" s="29"/>
      <c r="AE74" s="29"/>
      <c r="AF74" s="11">
        <f t="shared" si="22"/>
        <v>0</v>
      </c>
      <c r="AG74" s="11">
        <f t="shared" si="23"/>
        <v>0</v>
      </c>
      <c r="AH74" s="11">
        <f t="shared" si="24"/>
        <v>0</v>
      </c>
    </row>
    <row r="75" spans="1:124" ht="15.75" hidden="1" customHeight="1">
      <c r="A75" s="14" t="s">
        <v>68</v>
      </c>
      <c r="B75" s="9"/>
      <c r="C75" s="15">
        <v>0.85</v>
      </c>
      <c r="D75" s="15"/>
      <c r="E75" s="15"/>
      <c r="F75" s="372"/>
      <c r="G75" s="372"/>
      <c r="H75" s="372"/>
      <c r="I75" s="372"/>
      <c r="J75" s="372"/>
      <c r="K75" s="374"/>
      <c r="L75" s="374"/>
      <c r="M75" s="374"/>
      <c r="N75" s="372"/>
      <c r="O75" s="372"/>
      <c r="P75" s="372"/>
      <c r="Q75" s="372"/>
      <c r="R75" s="372"/>
      <c r="S75" s="372"/>
      <c r="T75" s="372"/>
      <c r="U75" s="372"/>
      <c r="V75" s="372"/>
      <c r="W75" s="372"/>
      <c r="X75" s="372"/>
      <c r="Y75" s="372"/>
      <c r="Z75" s="372"/>
      <c r="AA75" s="372"/>
      <c r="AB75" s="372"/>
      <c r="AC75" s="372"/>
      <c r="AD75" s="31"/>
      <c r="AE75" s="31"/>
      <c r="AF75" s="11">
        <f t="shared" si="22"/>
        <v>0</v>
      </c>
      <c r="AG75" s="11">
        <f t="shared" si="23"/>
        <v>0</v>
      </c>
      <c r="AH75" s="11">
        <f t="shared" si="24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5">SUM(F67:F75)</f>
        <v>0</v>
      </c>
      <c r="G76" s="19">
        <f t="shared" ref="G76:AC76" si="26">SUM(G67:G75)</f>
        <v>0</v>
      </c>
      <c r="H76" s="19">
        <f t="shared" si="26"/>
        <v>0</v>
      </c>
      <c r="I76" s="19">
        <f t="shared" si="26"/>
        <v>0</v>
      </c>
      <c r="J76" s="19">
        <f t="shared" si="26"/>
        <v>0</v>
      </c>
      <c r="K76" s="19">
        <f t="shared" si="26"/>
        <v>0</v>
      </c>
      <c r="L76" s="19">
        <f>SUM(L67:L75)</f>
        <v>0</v>
      </c>
      <c r="M76" s="19">
        <f t="shared" si="26"/>
        <v>0</v>
      </c>
      <c r="N76" s="19">
        <f t="shared" si="26"/>
        <v>0</v>
      </c>
      <c r="O76" s="19">
        <f t="shared" si="26"/>
        <v>0</v>
      </c>
      <c r="P76" s="19">
        <f t="shared" si="26"/>
        <v>0</v>
      </c>
      <c r="Q76" s="19">
        <f>SUM(Q67:Q75)</f>
        <v>0</v>
      </c>
      <c r="R76" s="19">
        <f t="shared" si="26"/>
        <v>0</v>
      </c>
      <c r="S76" s="19">
        <f t="shared" si="26"/>
        <v>0</v>
      </c>
      <c r="T76" s="19">
        <f t="shared" si="26"/>
        <v>0</v>
      </c>
      <c r="U76" s="19">
        <f t="shared" si="26"/>
        <v>0</v>
      </c>
      <c r="V76" s="19">
        <f t="shared" si="26"/>
        <v>0</v>
      </c>
      <c r="W76" s="19">
        <f t="shared" si="26"/>
        <v>0</v>
      </c>
      <c r="X76" s="19">
        <f t="shared" si="26"/>
        <v>0</v>
      </c>
      <c r="Y76" s="19">
        <f t="shared" si="26"/>
        <v>0</v>
      </c>
      <c r="Z76" s="19">
        <f t="shared" si="26"/>
        <v>0</v>
      </c>
      <c r="AA76" s="19">
        <f t="shared" si="26"/>
        <v>0</v>
      </c>
      <c r="AB76" s="19">
        <f t="shared" si="26"/>
        <v>0</v>
      </c>
      <c r="AC76" s="19">
        <f t="shared" si="26"/>
        <v>0</v>
      </c>
      <c r="AD76" s="34"/>
      <c r="AE76" s="34"/>
      <c r="AF76" s="11"/>
      <c r="AG76" s="11"/>
      <c r="AH76" s="11"/>
    </row>
    <row r="77" spans="1:124">
      <c r="A77" s="12" t="s">
        <v>69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 t="s">
        <v>21</v>
      </c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20.490000000000002</v>
      </c>
    </row>
    <row r="78" spans="1:124">
      <c r="A78" s="14" t="s">
        <v>70</v>
      </c>
      <c r="B78" s="20"/>
      <c r="C78" s="15">
        <v>1</v>
      </c>
      <c r="D78" s="15"/>
      <c r="E78" s="15"/>
      <c r="F78" s="372"/>
      <c r="G78" s="372"/>
      <c r="H78" s="372"/>
      <c r="I78" s="372"/>
      <c r="J78" s="372"/>
      <c r="K78" s="374"/>
      <c r="L78" s="374"/>
      <c r="M78" s="374">
        <v>0.77</v>
      </c>
      <c r="N78" s="372">
        <v>0.76</v>
      </c>
      <c r="O78" s="372">
        <v>0.81</v>
      </c>
      <c r="P78" s="372">
        <v>0.84</v>
      </c>
      <c r="Q78" s="372">
        <v>0.85</v>
      </c>
      <c r="R78" s="372">
        <v>0.89</v>
      </c>
      <c r="S78" s="372">
        <v>0.91</v>
      </c>
      <c r="T78" s="372">
        <v>0.9</v>
      </c>
      <c r="U78" s="372">
        <v>0.92</v>
      </c>
      <c r="V78" s="372">
        <v>0.92</v>
      </c>
      <c r="W78" s="372">
        <v>0.88</v>
      </c>
      <c r="X78" s="372">
        <v>0.88</v>
      </c>
      <c r="Y78" s="372"/>
      <c r="Z78" s="372"/>
      <c r="AA78" s="372"/>
      <c r="AB78" s="372"/>
      <c r="AC78" s="372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71</v>
      </c>
      <c r="B79" s="20"/>
      <c r="C79" s="15">
        <v>1</v>
      </c>
      <c r="D79" s="15"/>
      <c r="E79" s="15"/>
      <c r="F79" s="372">
        <v>0.84</v>
      </c>
      <c r="G79" s="372">
        <v>0.82</v>
      </c>
      <c r="H79" s="372">
        <v>0.77</v>
      </c>
      <c r="I79" s="372">
        <v>0.73</v>
      </c>
      <c r="J79" s="372">
        <v>0.74</v>
      </c>
      <c r="K79" s="374">
        <v>0.72</v>
      </c>
      <c r="L79" s="374">
        <v>0.77</v>
      </c>
      <c r="M79" s="374"/>
      <c r="N79" s="372"/>
      <c r="O79" s="372"/>
      <c r="P79" s="372"/>
      <c r="Q79" s="372"/>
      <c r="R79" s="372"/>
      <c r="S79" s="372"/>
      <c r="T79" s="372"/>
      <c r="U79" s="372"/>
      <c r="V79" s="372"/>
      <c r="W79" s="372"/>
      <c r="X79" s="372"/>
      <c r="Y79" s="372">
        <v>0.96</v>
      </c>
      <c r="Z79" s="372">
        <v>1</v>
      </c>
      <c r="AA79" s="372">
        <v>0.98</v>
      </c>
      <c r="AB79" s="372">
        <v>0.93</v>
      </c>
      <c r="AC79" s="372">
        <v>0.9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" si="27">SUM(F78:F79)</f>
        <v>0.84</v>
      </c>
      <c r="G80" s="19">
        <f t="shared" ref="G80" si="28">SUM(G78:G79)</f>
        <v>0.82</v>
      </c>
      <c r="H80" s="19">
        <f>SUM(H78:H79)</f>
        <v>0.77</v>
      </c>
      <c r="I80" s="19">
        <f>SUM(I78:I79)</f>
        <v>0.73</v>
      </c>
      <c r="J80" s="19">
        <f t="shared" ref="J80:AC80" si="29">SUM(J78:J79)</f>
        <v>0.74</v>
      </c>
      <c r="K80" s="19">
        <f t="shared" si="29"/>
        <v>0.72</v>
      </c>
      <c r="L80" s="19">
        <f>SUM(L78:L79)</f>
        <v>0.77</v>
      </c>
      <c r="M80" s="19">
        <f t="shared" si="29"/>
        <v>0.77</v>
      </c>
      <c r="N80" s="19">
        <f t="shared" si="29"/>
        <v>0.76</v>
      </c>
      <c r="O80" s="19">
        <f>SUM(O78:O79)</f>
        <v>0.81</v>
      </c>
      <c r="P80" s="19">
        <f t="shared" si="29"/>
        <v>0.84</v>
      </c>
      <c r="Q80" s="19">
        <f t="shared" si="29"/>
        <v>0.85</v>
      </c>
      <c r="R80" s="19">
        <f t="shared" si="29"/>
        <v>0.89</v>
      </c>
      <c r="S80" s="19">
        <f t="shared" si="29"/>
        <v>0.91</v>
      </c>
      <c r="T80" s="19">
        <f t="shared" si="29"/>
        <v>0.9</v>
      </c>
      <c r="U80" s="19">
        <f t="shared" si="29"/>
        <v>0.92</v>
      </c>
      <c r="V80" s="19">
        <f t="shared" si="29"/>
        <v>0.92</v>
      </c>
      <c r="W80" s="19">
        <f t="shared" si="29"/>
        <v>0.88</v>
      </c>
      <c r="X80" s="19">
        <f t="shared" si="29"/>
        <v>0.88</v>
      </c>
      <c r="Y80" s="19">
        <f t="shared" si="29"/>
        <v>0.96</v>
      </c>
      <c r="Z80" s="19">
        <f t="shared" si="29"/>
        <v>1</v>
      </c>
      <c r="AA80" s="19">
        <f t="shared" si="29"/>
        <v>0.98</v>
      </c>
      <c r="AB80" s="19">
        <f t="shared" si="29"/>
        <v>0.93</v>
      </c>
      <c r="AC80" s="19">
        <f t="shared" si="29"/>
        <v>0.9</v>
      </c>
      <c r="AD80" s="34"/>
      <c r="AE80" s="34"/>
      <c r="AF80" s="11"/>
      <c r="AG80" s="11"/>
      <c r="AH80" s="11"/>
    </row>
    <row r="81" spans="1:40" ht="17.45" hidden="1">
      <c r="A81" s="366" t="s">
        <v>72</v>
      </c>
      <c r="B81" s="365"/>
      <c r="C81" s="367">
        <v>2</v>
      </c>
      <c r="D81" s="363"/>
      <c r="E81" s="363"/>
      <c r="F81" s="364"/>
      <c r="G81" s="364"/>
      <c r="H81" s="364"/>
      <c r="I81" s="364"/>
      <c r="J81" s="364"/>
      <c r="K81" s="364"/>
      <c r="L81" s="364"/>
      <c r="M81" s="364"/>
      <c r="N81" s="364"/>
      <c r="O81" s="364"/>
      <c r="P81" s="364"/>
      <c r="Q81" s="364"/>
      <c r="R81" s="364"/>
      <c r="S81" s="364"/>
      <c r="T81" s="364"/>
      <c r="U81" s="364"/>
      <c r="V81" s="364"/>
      <c r="W81" s="364"/>
      <c r="X81" s="364"/>
      <c r="Y81" s="364"/>
      <c r="Z81" s="364"/>
      <c r="AA81" s="364"/>
      <c r="AB81" s="364"/>
      <c r="AC81" s="364"/>
    </row>
    <row r="82" spans="1:40" ht="17.45" hidden="1">
      <c r="A82" s="368"/>
      <c r="B82" s="369"/>
      <c r="C82" s="370"/>
      <c r="D82" s="371"/>
      <c r="E82" s="371"/>
      <c r="F82" s="372"/>
      <c r="G82" s="372"/>
      <c r="H82" s="372"/>
      <c r="I82" s="372"/>
      <c r="J82" s="372"/>
      <c r="K82" s="374"/>
      <c r="L82" s="374"/>
      <c r="M82" s="374"/>
      <c r="N82" s="372"/>
      <c r="O82" s="372"/>
      <c r="P82" s="372"/>
      <c r="Q82" s="372"/>
      <c r="R82" s="372"/>
      <c r="S82" s="372"/>
      <c r="T82" s="372"/>
      <c r="U82" s="372"/>
      <c r="V82" s="372"/>
      <c r="W82" s="372"/>
      <c r="X82" s="372"/>
      <c r="Y82" s="372"/>
      <c r="Z82" s="372"/>
      <c r="AA82" s="372"/>
      <c r="AB82" s="372"/>
      <c r="AC82" s="372"/>
    </row>
    <row r="83" spans="1:40">
      <c r="A83" s="21" t="s">
        <v>73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" si="30">SUM(F17,F22,F25,F31,F34,F60,F65,F76,F80,F82)</f>
        <v>47.920000000000009</v>
      </c>
      <c r="G83" s="28">
        <f t="shared" ref="G83:AC83" si="31">SUM(G17,G22,G25,G31,G34,G60,G65,G76,G80,G82)</f>
        <v>45.470000000000006</v>
      </c>
      <c r="H83" s="28">
        <f t="shared" si="31"/>
        <v>44.05</v>
      </c>
      <c r="I83" s="28">
        <f t="shared" si="31"/>
        <v>42.92</v>
      </c>
      <c r="J83" s="28">
        <f t="shared" si="31"/>
        <v>41.37</v>
      </c>
      <c r="K83" s="28">
        <f t="shared" si="31"/>
        <v>42.319999999999993</v>
      </c>
      <c r="L83" s="28">
        <f t="shared" si="31"/>
        <v>43.96</v>
      </c>
      <c r="M83" s="28">
        <f t="shared" si="31"/>
        <v>43.74</v>
      </c>
      <c r="N83" s="28">
        <f>SUM(N17,N22,N25,N31,N34,N60,N65,N76,N80,N82)</f>
        <v>51.819999999999993</v>
      </c>
      <c r="O83" s="28">
        <f>SUM(O17,O22,O25,O31,O34,O60,O65,O76,O80,O82)</f>
        <v>62.419999999999995</v>
      </c>
      <c r="P83" s="28">
        <f t="shared" si="31"/>
        <v>67.650000000000006</v>
      </c>
      <c r="Q83" s="28">
        <f t="shared" si="31"/>
        <v>68.31</v>
      </c>
      <c r="R83" s="28">
        <f t="shared" si="31"/>
        <v>68.319999999999993</v>
      </c>
      <c r="S83" s="28">
        <f t="shared" si="31"/>
        <v>69.31</v>
      </c>
      <c r="T83" s="28">
        <f t="shared" si="31"/>
        <v>66.67</v>
      </c>
      <c r="U83" s="28">
        <f>SUM(U17,U22,U25,U31,U34,U60,U65,U76,U80,U82)</f>
        <v>62.56</v>
      </c>
      <c r="V83" s="28">
        <f t="shared" si="31"/>
        <v>68.010000000000005</v>
      </c>
      <c r="W83" s="28">
        <f t="shared" si="31"/>
        <v>62.790000000000006</v>
      </c>
      <c r="X83" s="28">
        <f t="shared" si="31"/>
        <v>61.809999999999995</v>
      </c>
      <c r="Y83" s="28">
        <f t="shared" si="31"/>
        <v>63.55</v>
      </c>
      <c r="Z83" s="28">
        <f t="shared" si="31"/>
        <v>63.269999999999996</v>
      </c>
      <c r="AA83" s="28">
        <f t="shared" si="31"/>
        <v>60.47</v>
      </c>
      <c r="AB83" s="28">
        <f t="shared" si="31"/>
        <v>57.72999999999999</v>
      </c>
      <c r="AC83" s="28">
        <f t="shared" si="31"/>
        <v>52.019999999999996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25" t="s">
        <v>74</v>
      </c>
      <c r="B85" s="525"/>
      <c r="C85" s="525"/>
      <c r="D85" s="525"/>
      <c r="E85" s="525"/>
      <c r="F85" s="525"/>
      <c r="G85" s="525"/>
      <c r="H85" s="525"/>
      <c r="I85" s="525"/>
      <c r="J85" s="525"/>
      <c r="K85" s="525"/>
      <c r="L85" s="525"/>
      <c r="M85" s="525"/>
      <c r="N85" s="525"/>
      <c r="O85" s="525"/>
      <c r="P85" s="525"/>
      <c r="Q85" s="525"/>
      <c r="R85" s="525"/>
      <c r="S85" s="525"/>
      <c r="T85" s="525"/>
      <c r="U85" s="525"/>
      <c r="V85" s="525"/>
      <c r="W85" s="525"/>
      <c r="X85" s="525"/>
      <c r="Y85" s="525"/>
      <c r="Z85" s="525"/>
      <c r="AA85" s="525"/>
      <c r="AB85" s="525"/>
      <c r="AC85" s="525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</row>
    <row r="87" spans="1:40" ht="17.45">
      <c r="A87" s="500" t="s">
        <v>75</v>
      </c>
      <c r="B87" s="501"/>
      <c r="C87" s="502"/>
      <c r="D87" s="49"/>
      <c r="E87" s="49"/>
      <c r="F87" s="506" t="s">
        <v>76</v>
      </c>
      <c r="G87" s="506"/>
      <c r="H87" s="506"/>
      <c r="I87" s="506"/>
      <c r="J87" s="506"/>
      <c r="K87" s="506"/>
      <c r="L87" s="506"/>
      <c r="M87" s="506"/>
      <c r="N87" s="506"/>
      <c r="O87" s="506"/>
      <c r="P87" s="506"/>
      <c r="Q87" s="506"/>
      <c r="R87" s="506"/>
      <c r="S87" s="506"/>
      <c r="T87" s="506"/>
      <c r="U87" s="506"/>
      <c r="V87" s="506"/>
      <c r="W87" s="506"/>
      <c r="X87" s="506"/>
      <c r="Y87" s="506"/>
      <c r="Z87" s="506"/>
      <c r="AA87" s="506"/>
      <c r="AB87" s="506"/>
      <c r="AC87" s="506"/>
      <c r="AD87" s="5"/>
      <c r="AE87" s="5"/>
      <c r="AF87" s="5"/>
      <c r="AG87" s="5"/>
      <c r="AH87" s="5"/>
    </row>
    <row r="88" spans="1:40" ht="15.6" customHeight="1">
      <c r="A88" s="503"/>
      <c r="B88" s="504"/>
      <c r="C88" s="505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07" t="s">
        <v>27</v>
      </c>
      <c r="B89" s="508"/>
      <c r="C89" s="509"/>
      <c r="D89" s="45"/>
      <c r="E89" s="45"/>
      <c r="F89" s="64">
        <f t="shared" ref="F89:AC89" si="32">SUM(F22,F25)</f>
        <v>5</v>
      </c>
      <c r="G89" s="64">
        <f t="shared" si="32"/>
        <v>3</v>
      </c>
      <c r="H89" s="64">
        <f t="shared" si="32"/>
        <v>0</v>
      </c>
      <c r="I89" s="64">
        <f t="shared" si="32"/>
        <v>0</v>
      </c>
      <c r="J89" s="64">
        <f t="shared" si="32"/>
        <v>0</v>
      </c>
      <c r="K89" s="64">
        <f t="shared" si="32"/>
        <v>0</v>
      </c>
      <c r="L89" s="64">
        <f t="shared" si="32"/>
        <v>0</v>
      </c>
      <c r="M89" s="64">
        <f t="shared" si="32"/>
        <v>0</v>
      </c>
      <c r="N89" s="64">
        <f t="shared" si="32"/>
        <v>6.5</v>
      </c>
      <c r="O89" s="64">
        <f t="shared" si="32"/>
        <v>10.399999999999999</v>
      </c>
      <c r="P89" s="64">
        <f t="shared" si="32"/>
        <v>10.399999999999999</v>
      </c>
      <c r="Q89" s="64">
        <f t="shared" si="32"/>
        <v>10.399999999999999</v>
      </c>
      <c r="R89" s="64">
        <f t="shared" si="32"/>
        <v>10.399999999999999</v>
      </c>
      <c r="S89" s="64">
        <f t="shared" si="32"/>
        <v>10.3</v>
      </c>
      <c r="T89" s="64">
        <f t="shared" si="32"/>
        <v>10.399999999999999</v>
      </c>
      <c r="U89" s="64">
        <f t="shared" si="32"/>
        <v>10</v>
      </c>
      <c r="V89" s="64">
        <f t="shared" si="32"/>
        <v>10.399999999999999</v>
      </c>
      <c r="W89" s="64">
        <f t="shared" si="32"/>
        <v>9.8999999999999986</v>
      </c>
      <c r="X89" s="64">
        <f t="shared" si="32"/>
        <v>10.399999999999999</v>
      </c>
      <c r="Y89" s="64">
        <f t="shared" si="32"/>
        <v>10.399999999999999</v>
      </c>
      <c r="Z89" s="64">
        <f t="shared" si="32"/>
        <v>10.399999999999999</v>
      </c>
      <c r="AA89" s="64">
        <f t="shared" si="32"/>
        <v>8.8000000000000007</v>
      </c>
      <c r="AB89" s="64">
        <f t="shared" si="32"/>
        <v>10.399999999999999</v>
      </c>
      <c r="AC89" s="64">
        <f t="shared" si="32"/>
        <v>8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521" t="s">
        <v>77</v>
      </c>
      <c r="B90" s="521"/>
      <c r="C90" s="522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>
        <v>0.20300000000000001</v>
      </c>
      <c r="O90" s="68">
        <v>0.215</v>
      </c>
      <c r="P90" s="68">
        <v>0.19</v>
      </c>
      <c r="Q90" s="68">
        <v>0.20499999999999999</v>
      </c>
      <c r="R90" s="68">
        <v>0.27600000000000002</v>
      </c>
      <c r="S90" s="68">
        <v>0.2</v>
      </c>
      <c r="T90" s="68">
        <v>0.251</v>
      </c>
      <c r="U90" s="68">
        <v>0.20499999999999999</v>
      </c>
      <c r="V90" s="68">
        <v>0.20300000000000001</v>
      </c>
      <c r="W90" s="68">
        <v>0.251</v>
      </c>
      <c r="X90" s="68">
        <v>0.214</v>
      </c>
      <c r="Y90" s="68">
        <v>0.21299999999999999</v>
      </c>
      <c r="Z90" s="68">
        <v>0.28799999999999998</v>
      </c>
      <c r="AA90" s="68">
        <v>0.25</v>
      </c>
      <c r="AB90" s="68">
        <v>0.23599999999999999</v>
      </c>
      <c r="AC90" s="68">
        <v>0.215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07" t="s">
        <v>78</v>
      </c>
      <c r="B91" s="508"/>
      <c r="C91" s="509"/>
      <c r="D91" s="45"/>
      <c r="E91" s="45"/>
      <c r="F91" s="64">
        <f t="shared" ref="F91:AC91" si="33">F17</f>
        <v>19.200000000000003</v>
      </c>
      <c r="G91" s="64">
        <f t="shared" si="33"/>
        <v>19.5</v>
      </c>
      <c r="H91" s="64">
        <f t="shared" si="33"/>
        <v>19.799999999999997</v>
      </c>
      <c r="I91" s="64">
        <f t="shared" si="33"/>
        <v>20.100000000000001</v>
      </c>
      <c r="J91" s="64">
        <f t="shared" si="33"/>
        <v>19.799999999999997</v>
      </c>
      <c r="K91" s="64">
        <f t="shared" si="33"/>
        <v>19.799999999999997</v>
      </c>
      <c r="L91" s="64">
        <f t="shared" si="33"/>
        <v>19.799999999999997</v>
      </c>
      <c r="M91" s="64">
        <f t="shared" si="33"/>
        <v>19.5</v>
      </c>
      <c r="N91" s="64">
        <f t="shared" si="33"/>
        <v>20.9</v>
      </c>
      <c r="O91" s="64">
        <f t="shared" si="33"/>
        <v>20.7</v>
      </c>
      <c r="P91" s="64">
        <f t="shared" si="33"/>
        <v>20.2</v>
      </c>
      <c r="Q91" s="64">
        <f t="shared" si="33"/>
        <v>20.399999999999999</v>
      </c>
      <c r="R91" s="64">
        <f t="shared" si="33"/>
        <v>22.599999999999998</v>
      </c>
      <c r="S91" s="64">
        <f t="shared" si="33"/>
        <v>25.900000000000002</v>
      </c>
      <c r="T91" s="64">
        <f t="shared" si="33"/>
        <v>26.4</v>
      </c>
      <c r="U91" s="64">
        <f t="shared" si="33"/>
        <v>26</v>
      </c>
      <c r="V91" s="64">
        <f t="shared" si="33"/>
        <v>26.900000000000002</v>
      </c>
      <c r="W91" s="64">
        <f t="shared" si="33"/>
        <v>25.700000000000003</v>
      </c>
      <c r="X91" s="64">
        <f t="shared" si="33"/>
        <v>26.8</v>
      </c>
      <c r="Y91" s="64">
        <f t="shared" si="33"/>
        <v>26.900000000000002</v>
      </c>
      <c r="Z91" s="64">
        <f t="shared" si="33"/>
        <v>27.2</v>
      </c>
      <c r="AA91" s="64">
        <f t="shared" si="33"/>
        <v>26.8</v>
      </c>
      <c r="AB91" s="64">
        <f t="shared" si="33"/>
        <v>19.7</v>
      </c>
      <c r="AC91" s="64">
        <f t="shared" si="33"/>
        <v>19.7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21" t="s">
        <v>79</v>
      </c>
      <c r="B92" s="521"/>
      <c r="C92" s="522"/>
      <c r="D92" s="45"/>
      <c r="E92" s="45"/>
      <c r="F92" s="68">
        <v>0.68600000000000005</v>
      </c>
      <c r="G92" s="68">
        <v>0.93</v>
      </c>
      <c r="H92" s="68">
        <v>0.93</v>
      </c>
      <c r="I92" s="68">
        <v>1.02</v>
      </c>
      <c r="J92" s="68">
        <v>0.75600000000000001</v>
      </c>
      <c r="K92" s="68">
        <v>0.68</v>
      </c>
      <c r="L92" s="68">
        <v>0.67200000000000004</v>
      </c>
      <c r="M92" s="68">
        <v>0.67400000000000004</v>
      </c>
      <c r="N92" s="68">
        <v>0.72399999999999998</v>
      </c>
      <c r="O92" s="68">
        <v>1</v>
      </c>
      <c r="P92" s="68">
        <v>1</v>
      </c>
      <c r="Q92" s="68">
        <v>1</v>
      </c>
      <c r="R92" s="68">
        <v>0.90800000000000003</v>
      </c>
      <c r="S92" s="68">
        <v>0.78</v>
      </c>
      <c r="T92" s="68">
        <v>0.94499999999999995</v>
      </c>
      <c r="U92" s="68">
        <v>0.99399999999999999</v>
      </c>
      <c r="V92" s="68">
        <v>0.96199999999999997</v>
      </c>
      <c r="W92" s="68">
        <v>0.97899999999999998</v>
      </c>
      <c r="X92" s="68">
        <v>0.9</v>
      </c>
      <c r="Y92" s="68">
        <v>0.95</v>
      </c>
      <c r="Z92" s="68">
        <v>0.94499999999999995</v>
      </c>
      <c r="AA92" s="68">
        <v>0.94599999999999995</v>
      </c>
      <c r="AB92" s="68">
        <v>0.877</v>
      </c>
      <c r="AC92" s="68">
        <v>0.97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07" t="s">
        <v>29</v>
      </c>
      <c r="B93" s="508"/>
      <c r="C93" s="509"/>
      <c r="D93" s="45"/>
      <c r="E93" s="45"/>
      <c r="F93" s="65">
        <f t="shared" ref="F93:AC93" si="34">F31</f>
        <v>7.4</v>
      </c>
      <c r="G93" s="65">
        <f t="shared" si="34"/>
        <v>6.8</v>
      </c>
      <c r="H93" s="65">
        <f t="shared" si="34"/>
        <v>8.1999999999999993</v>
      </c>
      <c r="I93" s="65">
        <f t="shared" si="34"/>
        <v>6.8</v>
      </c>
      <c r="J93" s="65">
        <f t="shared" si="34"/>
        <v>6</v>
      </c>
      <c r="K93" s="65">
        <f t="shared" si="34"/>
        <v>7</v>
      </c>
      <c r="L93" s="65">
        <f t="shared" si="34"/>
        <v>8</v>
      </c>
      <c r="M93" s="65">
        <f t="shared" si="34"/>
        <v>8</v>
      </c>
      <c r="N93" s="65">
        <f t="shared" si="34"/>
        <v>8.1999999999999993</v>
      </c>
      <c r="O93" s="65">
        <f t="shared" si="34"/>
        <v>14</v>
      </c>
      <c r="P93" s="65">
        <f t="shared" si="34"/>
        <v>16.5</v>
      </c>
      <c r="Q93" s="65">
        <f t="shared" si="34"/>
        <v>16.899999999999999</v>
      </c>
      <c r="R93" s="65">
        <f t="shared" si="34"/>
        <v>16.399999999999999</v>
      </c>
      <c r="S93" s="65">
        <f t="shared" si="34"/>
        <v>16.399999999999999</v>
      </c>
      <c r="T93" s="65">
        <f>T31</f>
        <v>13.1</v>
      </c>
      <c r="U93" s="65">
        <f t="shared" si="34"/>
        <v>7.6</v>
      </c>
      <c r="V93" s="65">
        <f t="shared" si="34"/>
        <v>12.5</v>
      </c>
      <c r="W93" s="65">
        <f t="shared" si="34"/>
        <v>10.6</v>
      </c>
      <c r="X93" s="65">
        <f t="shared" si="34"/>
        <v>8</v>
      </c>
      <c r="Y93" s="65">
        <f t="shared" si="34"/>
        <v>8</v>
      </c>
      <c r="Z93" s="65">
        <f t="shared" si="34"/>
        <v>8</v>
      </c>
      <c r="AA93" s="65">
        <f t="shared" si="34"/>
        <v>8.1999999999999993</v>
      </c>
      <c r="AB93" s="65">
        <f t="shared" si="34"/>
        <v>8</v>
      </c>
      <c r="AC93" s="65">
        <f t="shared" si="34"/>
        <v>8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21" t="s">
        <v>102</v>
      </c>
      <c r="B94" s="521"/>
      <c r="C94" s="522"/>
      <c r="D94" s="45"/>
      <c r="E94" s="45"/>
      <c r="F94" s="68">
        <v>0.26900000000000002</v>
      </c>
      <c r="G94" s="68">
        <v>0.26800000000000002</v>
      </c>
      <c r="H94" s="68">
        <v>0.28199999999999997</v>
      </c>
      <c r="I94" s="68">
        <v>0.255</v>
      </c>
      <c r="J94" s="68">
        <v>0.26300000000000001</v>
      </c>
      <c r="K94" s="68">
        <v>0.53</v>
      </c>
      <c r="L94" s="68">
        <v>0.255</v>
      </c>
      <c r="M94" s="68">
        <v>0.253</v>
      </c>
      <c r="N94" s="68">
        <v>0.27</v>
      </c>
      <c r="O94" s="68">
        <v>0.255</v>
      </c>
      <c r="P94" s="68">
        <v>0.28999999999999998</v>
      </c>
      <c r="Q94" s="68">
        <v>0.28199999999999997</v>
      </c>
      <c r="R94" s="68">
        <v>0.25900000000000001</v>
      </c>
      <c r="S94" s="68">
        <v>0.25800000000000001</v>
      </c>
      <c r="T94" s="68">
        <v>0.27300000000000002</v>
      </c>
      <c r="U94" s="68">
        <v>0.28899999999999998</v>
      </c>
      <c r="V94" s="68">
        <v>0.28599999999999998</v>
      </c>
      <c r="W94" s="68">
        <v>0.28999999999999998</v>
      </c>
      <c r="X94" s="68">
        <v>0.28299999999999997</v>
      </c>
      <c r="Y94" s="68">
        <v>0.26100000000000001</v>
      </c>
      <c r="Z94" s="68">
        <v>0.252</v>
      </c>
      <c r="AA94" s="68">
        <v>0.251</v>
      </c>
      <c r="AB94" s="68">
        <v>0.26300000000000001</v>
      </c>
      <c r="AC94" s="68">
        <v>0.27600000000000002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21" t="s">
        <v>104</v>
      </c>
      <c r="B95" s="521"/>
      <c r="C95" s="522"/>
      <c r="D95" s="45"/>
      <c r="E95" s="45"/>
      <c r="F95" s="68" t="s">
        <v>1</v>
      </c>
      <c r="G95" s="68" t="s">
        <v>1</v>
      </c>
      <c r="H95" s="68" t="s">
        <v>1</v>
      </c>
      <c r="I95" s="68" t="s">
        <v>1</v>
      </c>
      <c r="J95" s="68" t="s">
        <v>1</v>
      </c>
      <c r="K95" s="68" t="s">
        <v>1</v>
      </c>
      <c r="L95" s="68" t="s">
        <v>1</v>
      </c>
      <c r="M95" s="68" t="s">
        <v>1</v>
      </c>
      <c r="N95" s="68" t="s">
        <v>1</v>
      </c>
      <c r="O95" s="68">
        <v>0.20399999999999999</v>
      </c>
      <c r="P95" s="68">
        <v>0.214</v>
      </c>
      <c r="Q95" s="68">
        <v>0.20399999999999999</v>
      </c>
      <c r="R95" s="68">
        <v>0.20499999999999999</v>
      </c>
      <c r="S95" s="68">
        <v>0.214</v>
      </c>
      <c r="T95" s="68">
        <v>0.20300000000000001</v>
      </c>
      <c r="U95" s="68" t="s">
        <v>1</v>
      </c>
      <c r="V95" s="68">
        <v>0.20300000000000001</v>
      </c>
      <c r="W95" s="68">
        <v>0.20100000000000001</v>
      </c>
      <c r="X95" s="68" t="s">
        <v>1</v>
      </c>
      <c r="Y95" s="68" t="s">
        <v>1</v>
      </c>
      <c r="Z95" s="68"/>
      <c r="AA95" s="68"/>
      <c r="AB95" s="68"/>
      <c r="AC95" s="68" t="s">
        <v>1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07" t="s">
        <v>32</v>
      </c>
      <c r="B96" s="508"/>
      <c r="C96" s="509"/>
      <c r="D96" s="45"/>
      <c r="E96" s="45"/>
      <c r="F96" s="65">
        <f t="shared" ref="F96:AC96" si="35">F34</f>
        <v>14.31</v>
      </c>
      <c r="G96" s="65">
        <f t="shared" si="35"/>
        <v>14.33</v>
      </c>
      <c r="H96" s="65">
        <f t="shared" si="35"/>
        <v>14.29</v>
      </c>
      <c r="I96" s="65">
        <f t="shared" si="35"/>
        <v>14.3</v>
      </c>
      <c r="J96" s="65">
        <f t="shared" si="35"/>
        <v>13.85</v>
      </c>
      <c r="K96" s="65">
        <f t="shared" si="35"/>
        <v>13.82</v>
      </c>
      <c r="L96" s="65">
        <f t="shared" si="35"/>
        <v>14.3</v>
      </c>
      <c r="M96" s="65">
        <f t="shared" si="35"/>
        <v>14.29</v>
      </c>
      <c r="N96" s="65">
        <f t="shared" si="35"/>
        <v>14.31</v>
      </c>
      <c r="O96" s="65">
        <f t="shared" si="35"/>
        <v>14.33</v>
      </c>
      <c r="P96" s="65">
        <f t="shared" si="35"/>
        <v>14.31</v>
      </c>
      <c r="Q96" s="65">
        <f t="shared" si="35"/>
        <v>14.29</v>
      </c>
      <c r="R96" s="65">
        <f t="shared" si="35"/>
        <v>14.29</v>
      </c>
      <c r="S96" s="65">
        <f t="shared" si="35"/>
        <v>14.3</v>
      </c>
      <c r="T96" s="65">
        <f t="shared" si="35"/>
        <v>14.32</v>
      </c>
      <c r="U96" s="65">
        <f t="shared" si="35"/>
        <v>14.29</v>
      </c>
      <c r="V96" s="65">
        <f t="shared" si="35"/>
        <v>14.31</v>
      </c>
      <c r="W96" s="65">
        <f t="shared" si="35"/>
        <v>14.29</v>
      </c>
      <c r="X96" s="65">
        <f t="shared" si="35"/>
        <v>14.33</v>
      </c>
      <c r="Y96" s="65">
        <f t="shared" si="35"/>
        <v>14.29</v>
      </c>
      <c r="Z96" s="65">
        <f t="shared" si="35"/>
        <v>14.3</v>
      </c>
      <c r="AA96" s="65">
        <f t="shared" si="35"/>
        <v>14.17</v>
      </c>
      <c r="AB96" s="65">
        <f t="shared" si="35"/>
        <v>14.29</v>
      </c>
      <c r="AC96" s="65">
        <f t="shared" si="35"/>
        <v>14.12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21" t="s">
        <v>81</v>
      </c>
      <c r="B97" s="521"/>
      <c r="C97" s="522"/>
      <c r="D97" s="68"/>
      <c r="E97" s="68"/>
      <c r="F97" s="68">
        <v>0.69</v>
      </c>
      <c r="G97" s="68">
        <v>0.67</v>
      </c>
      <c r="H97" s="68">
        <v>0.71</v>
      </c>
      <c r="I97" s="68">
        <v>0.7</v>
      </c>
      <c r="J97" s="68">
        <v>0.65</v>
      </c>
      <c r="K97" s="68">
        <v>0.68</v>
      </c>
      <c r="L97" s="68">
        <v>0.7</v>
      </c>
      <c r="M97" s="68">
        <v>0.71</v>
      </c>
      <c r="N97" s="68">
        <v>0.69</v>
      </c>
      <c r="O97" s="68">
        <v>0.67</v>
      </c>
      <c r="P97" s="68">
        <v>0.69</v>
      </c>
      <c r="Q97" s="68">
        <v>0.71</v>
      </c>
      <c r="R97" s="68">
        <v>0.69</v>
      </c>
      <c r="S97" s="68">
        <v>0.7</v>
      </c>
      <c r="T97" s="68">
        <v>0.68</v>
      </c>
      <c r="U97" s="68">
        <v>0.71</v>
      </c>
      <c r="V97" s="68">
        <v>0.69</v>
      </c>
      <c r="W97" s="68">
        <v>0.72</v>
      </c>
      <c r="X97" s="68">
        <v>0.67</v>
      </c>
      <c r="Y97" s="68">
        <v>0.71</v>
      </c>
      <c r="Z97" s="68">
        <v>0.7</v>
      </c>
      <c r="AA97" s="68">
        <v>0.83</v>
      </c>
      <c r="AB97" s="68">
        <v>0.71</v>
      </c>
      <c r="AC97" s="68">
        <v>0.88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07" t="s">
        <v>33</v>
      </c>
      <c r="B98" s="508"/>
      <c r="C98" s="509"/>
      <c r="D98" s="45"/>
      <c r="E98" s="45"/>
      <c r="F98" s="64">
        <f t="shared" ref="F98:AC98" si="36">F60</f>
        <v>0</v>
      </c>
      <c r="G98" s="64">
        <f t="shared" si="36"/>
        <v>0</v>
      </c>
      <c r="H98" s="64">
        <f t="shared" si="36"/>
        <v>0</v>
      </c>
      <c r="I98" s="64">
        <f t="shared" si="36"/>
        <v>0</v>
      </c>
      <c r="J98" s="64">
        <f t="shared" si="36"/>
        <v>0</v>
      </c>
      <c r="K98" s="64">
        <f t="shared" si="36"/>
        <v>0</v>
      </c>
      <c r="L98" s="64">
        <f t="shared" si="36"/>
        <v>0</v>
      </c>
      <c r="M98" s="64">
        <f t="shared" si="36"/>
        <v>0</v>
      </c>
      <c r="N98" s="64">
        <f t="shared" si="36"/>
        <v>0</v>
      </c>
      <c r="O98" s="64">
        <f t="shared" si="36"/>
        <v>0.8</v>
      </c>
      <c r="P98" s="64">
        <f t="shared" si="36"/>
        <v>4</v>
      </c>
      <c r="Q98" s="64">
        <f t="shared" si="36"/>
        <v>4</v>
      </c>
      <c r="R98" s="64">
        <f t="shared" si="36"/>
        <v>2.25</v>
      </c>
      <c r="S98" s="64">
        <f t="shared" si="36"/>
        <v>0</v>
      </c>
      <c r="T98" s="64">
        <f t="shared" si="36"/>
        <v>0</v>
      </c>
      <c r="U98" s="64">
        <f t="shared" si="36"/>
        <v>2.25</v>
      </c>
      <c r="V98" s="64">
        <f t="shared" si="36"/>
        <v>1.5</v>
      </c>
      <c r="W98" s="64">
        <f t="shared" si="36"/>
        <v>0</v>
      </c>
      <c r="X98" s="64">
        <f t="shared" si="36"/>
        <v>0</v>
      </c>
      <c r="Y98" s="64">
        <f t="shared" si="36"/>
        <v>1.5</v>
      </c>
      <c r="Z98" s="64">
        <f t="shared" si="36"/>
        <v>0.81</v>
      </c>
      <c r="AA98" s="64">
        <f t="shared" si="36"/>
        <v>0</v>
      </c>
      <c r="AB98" s="64">
        <f t="shared" si="36"/>
        <v>3</v>
      </c>
      <c r="AC98" s="64">
        <f t="shared" si="36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07" t="s">
        <v>55</v>
      </c>
      <c r="B99" s="508"/>
      <c r="C99" s="509"/>
      <c r="D99" s="45"/>
      <c r="E99" s="45"/>
      <c r="F99" s="64">
        <f t="shared" ref="F99:AC99" si="37">F65</f>
        <v>1.17</v>
      </c>
      <c r="G99" s="64">
        <f t="shared" si="37"/>
        <v>1.02</v>
      </c>
      <c r="H99" s="64">
        <f t="shared" si="37"/>
        <v>0.99</v>
      </c>
      <c r="I99" s="64">
        <f t="shared" si="37"/>
        <v>0.99</v>
      </c>
      <c r="J99" s="64">
        <f t="shared" si="37"/>
        <v>0.98</v>
      </c>
      <c r="K99" s="64">
        <f t="shared" si="37"/>
        <v>0.98</v>
      </c>
      <c r="L99" s="64">
        <f t="shared" si="37"/>
        <v>1.0900000000000001</v>
      </c>
      <c r="M99" s="64">
        <f t="shared" si="37"/>
        <v>1.18</v>
      </c>
      <c r="N99" s="64">
        <f t="shared" si="37"/>
        <v>1.1499999999999999</v>
      </c>
      <c r="O99" s="64">
        <f t="shared" si="37"/>
        <v>1.38</v>
      </c>
      <c r="P99" s="64">
        <f t="shared" si="37"/>
        <v>1.4</v>
      </c>
      <c r="Q99" s="64">
        <f t="shared" si="37"/>
        <v>1.47</v>
      </c>
      <c r="R99" s="64">
        <f t="shared" si="37"/>
        <v>1.49</v>
      </c>
      <c r="S99" s="64">
        <f t="shared" si="37"/>
        <v>1.5</v>
      </c>
      <c r="T99" s="64">
        <f t="shared" si="37"/>
        <v>1.5500000000000003</v>
      </c>
      <c r="U99" s="64">
        <f t="shared" si="37"/>
        <v>1.5</v>
      </c>
      <c r="V99" s="64">
        <f t="shared" si="37"/>
        <v>1.48</v>
      </c>
      <c r="W99" s="64">
        <f t="shared" si="37"/>
        <v>1.42</v>
      </c>
      <c r="X99" s="64">
        <f t="shared" si="37"/>
        <v>1.4</v>
      </c>
      <c r="Y99" s="64">
        <f t="shared" si="37"/>
        <v>1.5</v>
      </c>
      <c r="Z99" s="64">
        <f t="shared" si="37"/>
        <v>1.56</v>
      </c>
      <c r="AA99" s="64">
        <f t="shared" si="37"/>
        <v>1.52</v>
      </c>
      <c r="AB99" s="64">
        <f t="shared" si="37"/>
        <v>1.41</v>
      </c>
      <c r="AC99" s="64">
        <f t="shared" si="37"/>
        <v>1.3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07" t="s">
        <v>59</v>
      </c>
      <c r="B100" s="508"/>
      <c r="C100" s="509"/>
      <c r="D100" s="45"/>
      <c r="E100" s="45"/>
      <c r="F100" s="64">
        <f t="shared" ref="F100:AC100" si="38">F76</f>
        <v>0</v>
      </c>
      <c r="G100" s="64">
        <f t="shared" si="38"/>
        <v>0</v>
      </c>
      <c r="H100" s="64">
        <f t="shared" si="38"/>
        <v>0</v>
      </c>
      <c r="I100" s="64">
        <f t="shared" si="38"/>
        <v>0</v>
      </c>
      <c r="J100" s="64">
        <f t="shared" si="38"/>
        <v>0</v>
      </c>
      <c r="K100" s="64">
        <f t="shared" si="38"/>
        <v>0</v>
      </c>
      <c r="L100" s="64">
        <f t="shared" si="38"/>
        <v>0</v>
      </c>
      <c r="M100" s="64">
        <f t="shared" si="38"/>
        <v>0</v>
      </c>
      <c r="N100" s="64">
        <f t="shared" si="38"/>
        <v>0</v>
      </c>
      <c r="O100" s="64">
        <f t="shared" si="38"/>
        <v>0</v>
      </c>
      <c r="P100" s="64">
        <f t="shared" si="38"/>
        <v>0</v>
      </c>
      <c r="Q100" s="64">
        <f t="shared" si="38"/>
        <v>0</v>
      </c>
      <c r="R100" s="64">
        <f t="shared" si="38"/>
        <v>0</v>
      </c>
      <c r="S100" s="64">
        <f t="shared" si="38"/>
        <v>0</v>
      </c>
      <c r="T100" s="64">
        <f t="shared" si="38"/>
        <v>0</v>
      </c>
      <c r="U100" s="64">
        <f t="shared" si="38"/>
        <v>0</v>
      </c>
      <c r="V100" s="64">
        <f t="shared" si="38"/>
        <v>0</v>
      </c>
      <c r="W100" s="64">
        <f t="shared" si="38"/>
        <v>0</v>
      </c>
      <c r="X100" s="64">
        <f t="shared" si="38"/>
        <v>0</v>
      </c>
      <c r="Y100" s="64">
        <f t="shared" si="38"/>
        <v>0</v>
      </c>
      <c r="Z100" s="64">
        <f t="shared" si="38"/>
        <v>0</v>
      </c>
      <c r="AA100" s="64">
        <f t="shared" si="38"/>
        <v>0</v>
      </c>
      <c r="AB100" s="64">
        <f t="shared" si="38"/>
        <v>0</v>
      </c>
      <c r="AC100" s="64">
        <f t="shared" si="38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07" t="s">
        <v>69</v>
      </c>
      <c r="B101" s="508"/>
      <c r="C101" s="509"/>
      <c r="D101" s="45"/>
      <c r="E101" s="45"/>
      <c r="F101" s="64">
        <f t="shared" ref="F101:AC101" si="39">F80</f>
        <v>0.84</v>
      </c>
      <c r="G101" s="64">
        <f t="shared" si="39"/>
        <v>0.82</v>
      </c>
      <c r="H101" s="64">
        <f t="shared" si="39"/>
        <v>0.77</v>
      </c>
      <c r="I101" s="64">
        <f t="shared" si="39"/>
        <v>0.73</v>
      </c>
      <c r="J101" s="64">
        <f t="shared" si="39"/>
        <v>0.74</v>
      </c>
      <c r="K101" s="64">
        <f t="shared" si="39"/>
        <v>0.72</v>
      </c>
      <c r="L101" s="64">
        <f t="shared" si="39"/>
        <v>0.77</v>
      </c>
      <c r="M101" s="64">
        <f t="shared" si="39"/>
        <v>0.77</v>
      </c>
      <c r="N101" s="64">
        <f t="shared" si="39"/>
        <v>0.76</v>
      </c>
      <c r="O101" s="64">
        <f t="shared" si="39"/>
        <v>0.81</v>
      </c>
      <c r="P101" s="64">
        <f t="shared" si="39"/>
        <v>0.84</v>
      </c>
      <c r="Q101" s="64">
        <f t="shared" si="39"/>
        <v>0.85</v>
      </c>
      <c r="R101" s="64">
        <f t="shared" si="39"/>
        <v>0.89</v>
      </c>
      <c r="S101" s="64">
        <f t="shared" si="39"/>
        <v>0.91</v>
      </c>
      <c r="T101" s="64">
        <f t="shared" si="39"/>
        <v>0.9</v>
      </c>
      <c r="U101" s="64">
        <f t="shared" si="39"/>
        <v>0.92</v>
      </c>
      <c r="V101" s="64">
        <f t="shared" si="39"/>
        <v>0.92</v>
      </c>
      <c r="W101" s="64">
        <f t="shared" si="39"/>
        <v>0.88</v>
      </c>
      <c r="X101" s="64">
        <f t="shared" si="39"/>
        <v>0.88</v>
      </c>
      <c r="Y101" s="64">
        <f t="shared" si="39"/>
        <v>0.96</v>
      </c>
      <c r="Z101" s="64">
        <f t="shared" si="39"/>
        <v>1</v>
      </c>
      <c r="AA101" s="64">
        <f t="shared" si="39"/>
        <v>0.98</v>
      </c>
      <c r="AB101" s="64">
        <f t="shared" si="39"/>
        <v>0.93</v>
      </c>
      <c r="AC101" s="64">
        <f t="shared" si="39"/>
        <v>0.9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07" t="s">
        <v>72</v>
      </c>
      <c r="B102" s="508"/>
      <c r="C102" s="509"/>
      <c r="D102" s="45"/>
      <c r="E102" s="45"/>
      <c r="F102" s="64">
        <f t="shared" ref="F102:AC102" si="40">F82</f>
        <v>0</v>
      </c>
      <c r="G102" s="64">
        <f t="shared" si="40"/>
        <v>0</v>
      </c>
      <c r="H102" s="64">
        <f t="shared" si="40"/>
        <v>0</v>
      </c>
      <c r="I102" s="64">
        <f t="shared" si="40"/>
        <v>0</v>
      </c>
      <c r="J102" s="64">
        <f t="shared" si="40"/>
        <v>0</v>
      </c>
      <c r="K102" s="64">
        <f t="shared" si="40"/>
        <v>0</v>
      </c>
      <c r="L102" s="64">
        <f t="shared" si="40"/>
        <v>0</v>
      </c>
      <c r="M102" s="64">
        <f t="shared" si="40"/>
        <v>0</v>
      </c>
      <c r="N102" s="64">
        <f t="shared" si="40"/>
        <v>0</v>
      </c>
      <c r="O102" s="64">
        <f t="shared" si="40"/>
        <v>0</v>
      </c>
      <c r="P102" s="64">
        <f t="shared" si="40"/>
        <v>0</v>
      </c>
      <c r="Q102" s="64">
        <f t="shared" si="40"/>
        <v>0</v>
      </c>
      <c r="R102" s="64">
        <f t="shared" si="40"/>
        <v>0</v>
      </c>
      <c r="S102" s="64">
        <f t="shared" si="40"/>
        <v>0</v>
      </c>
      <c r="T102" s="64">
        <f t="shared" si="40"/>
        <v>0</v>
      </c>
      <c r="U102" s="64">
        <f t="shared" si="40"/>
        <v>0</v>
      </c>
      <c r="V102" s="64">
        <f t="shared" si="40"/>
        <v>0</v>
      </c>
      <c r="W102" s="64">
        <f t="shared" si="40"/>
        <v>0</v>
      </c>
      <c r="X102" s="64">
        <f t="shared" si="40"/>
        <v>0</v>
      </c>
      <c r="Y102" s="64">
        <f t="shared" si="40"/>
        <v>0</v>
      </c>
      <c r="Z102" s="64">
        <f t="shared" si="40"/>
        <v>0</v>
      </c>
      <c r="AA102" s="64">
        <f t="shared" si="40"/>
        <v>0</v>
      </c>
      <c r="AB102" s="64">
        <f t="shared" si="40"/>
        <v>0</v>
      </c>
      <c r="AC102" s="64">
        <f t="shared" si="40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11" t="s">
        <v>82</v>
      </c>
      <c r="B103" s="511"/>
      <c r="C103" s="511"/>
      <c r="D103" s="47"/>
      <c r="E103" s="47"/>
      <c r="F103" s="61">
        <f t="shared" ref="F103:AC103" si="41">SUM(F89,F91,F93,F96,F98:F102,F81)</f>
        <v>47.920000000000009</v>
      </c>
      <c r="G103" s="61">
        <f t="shared" si="41"/>
        <v>45.470000000000006</v>
      </c>
      <c r="H103" s="61">
        <f t="shared" si="41"/>
        <v>44.05</v>
      </c>
      <c r="I103" s="61">
        <f t="shared" si="41"/>
        <v>42.92</v>
      </c>
      <c r="J103" s="61">
        <f t="shared" si="41"/>
        <v>41.37</v>
      </c>
      <c r="K103" s="61">
        <f t="shared" si="41"/>
        <v>42.319999999999993</v>
      </c>
      <c r="L103" s="61">
        <f t="shared" si="41"/>
        <v>43.96</v>
      </c>
      <c r="M103" s="61">
        <f t="shared" si="41"/>
        <v>43.74</v>
      </c>
      <c r="N103" s="61">
        <f t="shared" si="41"/>
        <v>51.819999999999993</v>
      </c>
      <c r="O103" s="61">
        <f t="shared" si="41"/>
        <v>62.419999999999995</v>
      </c>
      <c r="P103" s="61">
        <f t="shared" si="41"/>
        <v>67.650000000000006</v>
      </c>
      <c r="Q103" s="61">
        <f t="shared" si="41"/>
        <v>68.309999999999988</v>
      </c>
      <c r="R103" s="61">
        <f t="shared" si="41"/>
        <v>68.319999999999993</v>
      </c>
      <c r="S103" s="61">
        <f>SUM(S89,S91,S93,S96,S98:S102,S81)</f>
        <v>69.31</v>
      </c>
      <c r="T103" s="61">
        <f t="shared" si="41"/>
        <v>66.67</v>
      </c>
      <c r="U103" s="61">
        <f t="shared" si="41"/>
        <v>62.56</v>
      </c>
      <c r="V103" s="61">
        <f>SUM(V89,V91,V93,V96,V98:V102,V81)</f>
        <v>68.010000000000005</v>
      </c>
      <c r="W103" s="61">
        <f t="shared" si="41"/>
        <v>62.790000000000006</v>
      </c>
      <c r="X103" s="61">
        <f t="shared" si="41"/>
        <v>61.81</v>
      </c>
      <c r="Y103" s="61">
        <f t="shared" si="41"/>
        <v>63.55</v>
      </c>
      <c r="Z103" s="61">
        <f t="shared" si="41"/>
        <v>63.269999999999996</v>
      </c>
      <c r="AA103" s="61">
        <f t="shared" si="41"/>
        <v>60.47</v>
      </c>
      <c r="AB103" s="61">
        <f t="shared" si="41"/>
        <v>57.72999999999999</v>
      </c>
      <c r="AC103" s="61">
        <f t="shared" si="41"/>
        <v>52.019999999999996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12" t="s">
        <v>83</v>
      </c>
      <c r="B104" s="512"/>
      <c r="C104" s="512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12" t="s">
        <v>84</v>
      </c>
      <c r="B105" s="512"/>
      <c r="C105" s="512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12" t="s">
        <v>85</v>
      </c>
      <c r="B106" s="512"/>
      <c r="C106" s="512"/>
      <c r="D106" s="46"/>
      <c r="E106" s="46"/>
      <c r="F106" s="76"/>
      <c r="G106" s="76">
        <v>1.43</v>
      </c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>
        <v>1.91</v>
      </c>
      <c r="T106" s="76"/>
      <c r="U106" s="493"/>
      <c r="V106" s="493">
        <v>5.75</v>
      </c>
      <c r="W106" s="493">
        <f>1.25+0.68</f>
        <v>1.9300000000000002</v>
      </c>
      <c r="X106" s="76"/>
      <c r="Y106" s="76">
        <v>1.4419999999999999</v>
      </c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11" t="s">
        <v>86</v>
      </c>
      <c r="B107" s="511"/>
      <c r="C107" s="511"/>
      <c r="D107" s="47"/>
      <c r="E107" s="47"/>
      <c r="F107" s="61">
        <f t="shared" ref="F107:AC107" si="42">SUM(F104:F106)</f>
        <v>0</v>
      </c>
      <c r="G107" s="61">
        <f t="shared" si="42"/>
        <v>1.43</v>
      </c>
      <c r="H107" s="61">
        <f t="shared" si="42"/>
        <v>0</v>
      </c>
      <c r="I107" s="61">
        <f t="shared" si="42"/>
        <v>0</v>
      </c>
      <c r="J107" s="61">
        <f t="shared" si="42"/>
        <v>0</v>
      </c>
      <c r="K107" s="61">
        <f t="shared" si="42"/>
        <v>0</v>
      </c>
      <c r="L107" s="61">
        <f t="shared" si="42"/>
        <v>0</v>
      </c>
      <c r="M107" s="61">
        <f t="shared" si="42"/>
        <v>0</v>
      </c>
      <c r="N107" s="61">
        <f t="shared" si="42"/>
        <v>0</v>
      </c>
      <c r="O107" s="61">
        <f t="shared" si="42"/>
        <v>0</v>
      </c>
      <c r="P107" s="61">
        <f t="shared" si="42"/>
        <v>0</v>
      </c>
      <c r="Q107" s="61">
        <f t="shared" si="42"/>
        <v>0</v>
      </c>
      <c r="R107" s="61">
        <f t="shared" si="42"/>
        <v>0</v>
      </c>
      <c r="S107" s="61">
        <f t="shared" si="42"/>
        <v>1.91</v>
      </c>
      <c r="T107" s="61">
        <f t="shared" si="42"/>
        <v>0</v>
      </c>
      <c r="U107" s="61">
        <f t="shared" si="42"/>
        <v>0</v>
      </c>
      <c r="V107" s="61">
        <f t="shared" si="42"/>
        <v>5.75</v>
      </c>
      <c r="W107" s="61">
        <f t="shared" si="42"/>
        <v>1.9300000000000002</v>
      </c>
      <c r="X107" s="61">
        <f t="shared" si="42"/>
        <v>0</v>
      </c>
      <c r="Y107" s="61">
        <f t="shared" si="42"/>
        <v>1.4419999999999999</v>
      </c>
      <c r="Z107" s="61">
        <f t="shared" si="42"/>
        <v>0</v>
      </c>
      <c r="AA107" s="61">
        <f t="shared" si="42"/>
        <v>0</v>
      </c>
      <c r="AB107" s="61">
        <f t="shared" si="42"/>
        <v>0</v>
      </c>
      <c r="AC107" s="61">
        <f t="shared" si="42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13" t="s">
        <v>87</v>
      </c>
      <c r="B108" s="513"/>
      <c r="C108" s="513"/>
      <c r="D108" s="48"/>
      <c r="E108" s="48"/>
      <c r="F108" s="62">
        <f t="shared" ref="F108:AC108" si="43">F103+F107</f>
        <v>47.920000000000009</v>
      </c>
      <c r="G108" s="62">
        <f t="shared" si="43"/>
        <v>46.900000000000006</v>
      </c>
      <c r="H108" s="62">
        <f t="shared" si="43"/>
        <v>44.05</v>
      </c>
      <c r="I108" s="62">
        <f t="shared" si="43"/>
        <v>42.92</v>
      </c>
      <c r="J108" s="62">
        <f t="shared" si="43"/>
        <v>41.37</v>
      </c>
      <c r="K108" s="62">
        <f t="shared" si="43"/>
        <v>42.319999999999993</v>
      </c>
      <c r="L108" s="62">
        <f t="shared" si="43"/>
        <v>43.96</v>
      </c>
      <c r="M108" s="62">
        <f t="shared" si="43"/>
        <v>43.74</v>
      </c>
      <c r="N108" s="62">
        <f t="shared" si="43"/>
        <v>51.819999999999993</v>
      </c>
      <c r="O108" s="62">
        <f t="shared" si="43"/>
        <v>62.419999999999995</v>
      </c>
      <c r="P108" s="62">
        <f t="shared" si="43"/>
        <v>67.650000000000006</v>
      </c>
      <c r="Q108" s="62">
        <f t="shared" si="43"/>
        <v>68.309999999999988</v>
      </c>
      <c r="R108" s="62">
        <f t="shared" si="43"/>
        <v>68.319999999999993</v>
      </c>
      <c r="S108" s="62">
        <f>S103+S107</f>
        <v>71.22</v>
      </c>
      <c r="T108" s="62">
        <f>T103+T107</f>
        <v>66.67</v>
      </c>
      <c r="U108" s="62">
        <f t="shared" si="43"/>
        <v>62.56</v>
      </c>
      <c r="V108" s="62">
        <f t="shared" si="43"/>
        <v>73.760000000000005</v>
      </c>
      <c r="W108" s="62">
        <f>W103+W107</f>
        <v>64.720000000000013</v>
      </c>
      <c r="X108" s="62">
        <f t="shared" si="43"/>
        <v>61.81</v>
      </c>
      <c r="Y108" s="62">
        <f t="shared" si="43"/>
        <v>64.99199999999999</v>
      </c>
      <c r="Z108" s="62">
        <f t="shared" si="43"/>
        <v>63.269999999999996</v>
      </c>
      <c r="AA108" s="62">
        <f t="shared" si="43"/>
        <v>60.47</v>
      </c>
      <c r="AB108" s="62">
        <f t="shared" si="43"/>
        <v>57.72999999999999</v>
      </c>
      <c r="AC108" s="62">
        <f t="shared" si="43"/>
        <v>52.019999999999996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14" t="s">
        <v>88</v>
      </c>
      <c r="B109" s="514"/>
      <c r="C109" s="514"/>
      <c r="D109" s="52"/>
      <c r="E109" s="52"/>
      <c r="F109" s="63">
        <f t="shared" ref="F109:AC109" si="44">(COUNT(F13:F16))*7.2+(COUNT(F27:F28)*4.9)+(COUNT(F19:F21)*4.5)-F91-F93</f>
        <v>13.800000000000002</v>
      </c>
      <c r="G109" s="63">
        <f t="shared" si="44"/>
        <v>9.600000000000005</v>
      </c>
      <c r="H109" s="63">
        <f t="shared" si="44"/>
        <v>3.4000000000000057</v>
      </c>
      <c r="I109" s="63">
        <f t="shared" si="44"/>
        <v>4.5000000000000009</v>
      </c>
      <c r="J109" s="63">
        <f t="shared" si="44"/>
        <v>5.600000000000005</v>
      </c>
      <c r="K109" s="63">
        <f t="shared" si="44"/>
        <v>4.600000000000005</v>
      </c>
      <c r="L109" s="63">
        <f t="shared" si="44"/>
        <v>3.600000000000005</v>
      </c>
      <c r="M109" s="63">
        <f t="shared" si="44"/>
        <v>3.9000000000000021</v>
      </c>
      <c r="N109" s="63">
        <f t="shared" si="44"/>
        <v>6.8000000000000078</v>
      </c>
      <c r="O109" s="63">
        <f t="shared" si="44"/>
        <v>12.900000000000002</v>
      </c>
      <c r="P109" s="63">
        <f t="shared" si="44"/>
        <v>10.900000000000002</v>
      </c>
      <c r="Q109" s="63">
        <f t="shared" si="44"/>
        <v>10.300000000000004</v>
      </c>
      <c r="R109" s="63">
        <f t="shared" si="44"/>
        <v>8.600000000000005</v>
      </c>
      <c r="S109" s="63">
        <f t="shared" si="44"/>
        <v>5.3000000000000007</v>
      </c>
      <c r="T109" s="63">
        <f t="shared" si="44"/>
        <v>8.1000000000000032</v>
      </c>
      <c r="U109" s="63">
        <f t="shared" si="44"/>
        <v>14.000000000000002</v>
      </c>
      <c r="V109" s="63">
        <f t="shared" si="44"/>
        <v>8.1999999999999993</v>
      </c>
      <c r="W109" s="63">
        <f t="shared" si="44"/>
        <v>11.299999999999999</v>
      </c>
      <c r="X109" s="63">
        <f t="shared" si="44"/>
        <v>12.8</v>
      </c>
      <c r="Y109" s="63">
        <f t="shared" si="44"/>
        <v>12.7</v>
      </c>
      <c r="Z109" s="63">
        <f t="shared" si="44"/>
        <v>12.400000000000002</v>
      </c>
      <c r="AA109" s="63">
        <f t="shared" si="44"/>
        <v>12.600000000000001</v>
      </c>
      <c r="AB109" s="63">
        <f t="shared" si="44"/>
        <v>19.900000000000002</v>
      </c>
      <c r="AC109" s="63">
        <f t="shared" si="44"/>
        <v>19.900000000000002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15" t="s">
        <v>89</v>
      </c>
      <c r="B110" s="516"/>
      <c r="C110" s="517"/>
      <c r="D110" s="204"/>
      <c r="E110" s="204"/>
      <c r="F110" s="205">
        <f t="shared" ref="F110:P110" si="45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6.3999999999999986</v>
      </c>
      <c r="G110" s="205">
        <f t="shared" si="45"/>
        <v>5.2000000000000028</v>
      </c>
      <c r="H110" s="205">
        <f t="shared" si="45"/>
        <v>2.0000000000000053</v>
      </c>
      <c r="I110" s="205">
        <f t="shared" si="45"/>
        <v>3.1000000000000005</v>
      </c>
      <c r="J110" s="205">
        <f t="shared" si="45"/>
        <v>4.2000000000000046</v>
      </c>
      <c r="K110" s="205">
        <f t="shared" si="45"/>
        <v>3.2000000000000046</v>
      </c>
      <c r="L110" s="205">
        <f t="shared" si="45"/>
        <v>2.2000000000000046</v>
      </c>
      <c r="M110" s="205">
        <f t="shared" si="45"/>
        <v>2.5000000000000018</v>
      </c>
      <c r="N110" s="205">
        <f t="shared" si="45"/>
        <v>2.4000000000000039</v>
      </c>
      <c r="O110" s="205">
        <f t="shared" si="45"/>
        <v>4.5999999999999996</v>
      </c>
      <c r="P110" s="205">
        <f t="shared" si="45"/>
        <v>2.5999999999999996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3.4000000000000039</v>
      </c>
      <c r="R110" s="205">
        <f t="shared" ref="R110:AC110" si="46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0.9000000000000048</v>
      </c>
      <c r="S110" s="205">
        <f t="shared" si="46"/>
        <v>-2.2999999999999998</v>
      </c>
      <c r="T110" s="205">
        <f t="shared" si="46"/>
        <v>0.40000000000000302</v>
      </c>
      <c r="U110" s="205">
        <f t="shared" si="46"/>
        <v>6.700000000000002</v>
      </c>
      <c r="V110" s="205">
        <f t="shared" si="46"/>
        <v>0.49999999999999911</v>
      </c>
      <c r="W110" s="205">
        <f t="shared" si="46"/>
        <v>4.0999999999999996</v>
      </c>
      <c r="X110" s="205">
        <f t="shared" si="46"/>
        <v>5.0999999999999996</v>
      </c>
      <c r="Y110" s="205">
        <f t="shared" si="46"/>
        <v>4.9999999999999982</v>
      </c>
      <c r="Z110" s="205">
        <f t="shared" si="46"/>
        <v>4.7000000000000011</v>
      </c>
      <c r="AA110" s="205">
        <f t="shared" si="46"/>
        <v>6.5000000000000009</v>
      </c>
      <c r="AB110" s="205">
        <f t="shared" si="46"/>
        <v>5.0000000000000018</v>
      </c>
      <c r="AC110" s="205">
        <f t="shared" si="46"/>
        <v>7.4000000000000021</v>
      </c>
      <c r="AD110" s="26"/>
      <c r="AE110" s="26"/>
      <c r="AF110" s="466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10" t="s">
        <v>91</v>
      </c>
      <c r="B111" s="510"/>
      <c r="C111" s="510"/>
      <c r="D111" s="60"/>
      <c r="E111" s="72"/>
      <c r="F111" s="74">
        <v>60.16</v>
      </c>
      <c r="G111" s="74">
        <v>60.21</v>
      </c>
      <c r="H111" s="74">
        <v>60.12</v>
      </c>
      <c r="I111" s="74">
        <v>60.09</v>
      </c>
      <c r="J111" s="74">
        <v>60.23</v>
      </c>
      <c r="K111" s="74">
        <v>60.17</v>
      </c>
      <c r="L111" s="74">
        <v>60.16</v>
      </c>
      <c r="M111" s="74">
        <v>60.23</v>
      </c>
      <c r="N111" s="74">
        <v>60.09</v>
      </c>
      <c r="O111" s="74">
        <v>60.05</v>
      </c>
      <c r="P111" s="83">
        <v>60.15</v>
      </c>
      <c r="Q111" s="83">
        <v>60.17</v>
      </c>
      <c r="R111" s="83">
        <v>60.16</v>
      </c>
      <c r="S111" s="83">
        <v>60.16</v>
      </c>
      <c r="T111" s="83">
        <v>60.14</v>
      </c>
      <c r="U111" s="74">
        <v>60.21</v>
      </c>
      <c r="V111" s="74">
        <v>60.15</v>
      </c>
      <c r="W111" s="74">
        <v>60.17</v>
      </c>
      <c r="X111" s="74">
        <v>60.08</v>
      </c>
      <c r="Y111" s="74">
        <v>60.08</v>
      </c>
      <c r="Z111" s="74">
        <v>60.08</v>
      </c>
      <c r="AA111" s="74">
        <v>60.12</v>
      </c>
      <c r="AB111" s="74">
        <v>60.16</v>
      </c>
      <c r="AC111" s="74">
        <v>60.16</v>
      </c>
      <c r="AD111" s="26"/>
      <c r="AE111" s="26"/>
      <c r="AF111" s="467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18" t="s">
        <v>93</v>
      </c>
      <c r="B112" s="519"/>
      <c r="C112" s="520"/>
      <c r="D112" s="60"/>
      <c r="E112" s="72"/>
      <c r="F112" s="74"/>
      <c r="G112" s="74"/>
      <c r="H112" s="74"/>
      <c r="I112" s="74"/>
      <c r="J112" s="74"/>
      <c r="K112" s="74"/>
      <c r="L112" s="74"/>
      <c r="M112" s="74"/>
      <c r="N112" s="74"/>
      <c r="O112" s="74"/>
      <c r="P112" s="74"/>
      <c r="Q112" s="74"/>
      <c r="R112" s="74"/>
      <c r="S112" s="74"/>
      <c r="T112" s="74"/>
      <c r="U112" s="74"/>
      <c r="V112" s="74"/>
      <c r="W112" s="74"/>
      <c r="X112" s="74"/>
      <c r="Y112" s="74"/>
      <c r="Z112" s="74"/>
      <c r="AA112" s="74"/>
      <c r="AB112" s="74"/>
      <c r="AC112" s="74"/>
      <c r="AD112" s="26"/>
      <c r="AE112" s="26"/>
      <c r="AF112" s="469"/>
      <c r="AG112" s="472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18" t="s">
        <v>95</v>
      </c>
      <c r="B113" s="519"/>
      <c r="C113" s="520"/>
      <c r="D113" s="60"/>
      <c r="E113" s="74"/>
      <c r="F113" s="74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10" t="s">
        <v>96</v>
      </c>
      <c r="B114" s="510"/>
      <c r="C114" s="510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 t="s">
        <v>101</v>
      </c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10" t="s">
        <v>97</v>
      </c>
      <c r="B115" s="510"/>
      <c r="C115" s="510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499" t="s">
        <v>98</v>
      </c>
      <c r="B117" s="499"/>
      <c r="C117" s="499"/>
      <c r="D117" s="499"/>
      <c r="E117" s="499"/>
      <c r="F117" s="499"/>
      <c r="G117" s="499"/>
      <c r="H117" s="499"/>
      <c r="I117" s="499"/>
      <c r="J117" s="499"/>
      <c r="K117" s="499"/>
      <c r="L117" s="499"/>
      <c r="M117" s="499"/>
      <c r="N117" s="499"/>
      <c r="O117" s="499"/>
      <c r="P117" s="499"/>
      <c r="Q117" s="499"/>
      <c r="R117" s="499"/>
      <c r="S117" s="499"/>
      <c r="T117" s="499"/>
      <c r="U117" s="499"/>
      <c r="V117" s="499"/>
      <c r="W117" s="499"/>
      <c r="X117" s="499"/>
      <c r="Y117" s="499"/>
      <c r="Z117" s="499"/>
      <c r="AA117" s="499"/>
      <c r="AB117" s="499"/>
      <c r="AC117" s="499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00" t="s">
        <v>75</v>
      </c>
      <c r="B119" s="501"/>
      <c r="C119" s="502"/>
      <c r="D119" s="49"/>
      <c r="E119" s="49"/>
      <c r="F119" s="506" t="s">
        <v>76</v>
      </c>
      <c r="G119" s="506"/>
      <c r="H119" s="506"/>
      <c r="I119" s="506"/>
      <c r="J119" s="506"/>
      <c r="K119" s="506"/>
      <c r="L119" s="506"/>
      <c r="M119" s="506"/>
      <c r="N119" s="506"/>
      <c r="O119" s="506"/>
      <c r="P119" s="506"/>
      <c r="Q119" s="506"/>
      <c r="R119" s="506"/>
      <c r="S119" s="506"/>
      <c r="T119" s="506"/>
      <c r="U119" s="506"/>
      <c r="V119" s="506"/>
      <c r="W119" s="506"/>
      <c r="X119" s="506"/>
      <c r="Y119" s="506"/>
      <c r="Z119" s="506"/>
      <c r="AA119" s="506"/>
      <c r="AB119" s="506"/>
      <c r="AC119" s="506"/>
      <c r="AD119" s="5"/>
      <c r="AE119" s="5"/>
      <c r="AF119" s="5"/>
      <c r="AG119" s="5"/>
      <c r="AH119" s="5"/>
    </row>
    <row r="120" spans="1:124" ht="15.6" hidden="1" customHeight="1">
      <c r="A120" s="503"/>
      <c r="B120" s="504"/>
      <c r="C120" s="505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07" t="s">
        <v>27</v>
      </c>
      <c r="B121" s="508"/>
      <c r="C121" s="509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07" t="s">
        <v>78</v>
      </c>
      <c r="B122" s="508"/>
      <c r="C122" s="509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07" t="s">
        <v>29</v>
      </c>
      <c r="B123" s="508"/>
      <c r="C123" s="509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07" t="s">
        <v>32</v>
      </c>
      <c r="B124" s="508"/>
      <c r="C124" s="509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07" t="s">
        <v>33</v>
      </c>
      <c r="B125" s="508"/>
      <c r="C125" s="509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07" t="s">
        <v>55</v>
      </c>
      <c r="B126" s="508"/>
      <c r="C126" s="509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07" t="s">
        <v>59</v>
      </c>
      <c r="B127" s="508"/>
      <c r="C127" s="509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07" t="s">
        <v>69</v>
      </c>
      <c r="B128" s="508"/>
      <c r="C128" s="509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496" t="s">
        <v>99</v>
      </c>
      <c r="B129" s="497"/>
      <c r="C129" s="498"/>
      <c r="D129" s="51"/>
      <c r="E129" s="51"/>
      <c r="F129" s="44">
        <f>SUM(F121:F128)</f>
        <v>0</v>
      </c>
      <c r="G129" s="44">
        <f t="shared" ref="G129:AB129" si="47">SUM(G121:G128)</f>
        <v>0</v>
      </c>
      <c r="H129" s="44">
        <f t="shared" si="47"/>
        <v>0</v>
      </c>
      <c r="I129" s="44">
        <f t="shared" si="47"/>
        <v>0</v>
      </c>
      <c r="J129" s="44">
        <f t="shared" si="47"/>
        <v>0</v>
      </c>
      <c r="K129" s="44">
        <f t="shared" si="47"/>
        <v>0</v>
      </c>
      <c r="L129" s="44">
        <f t="shared" si="47"/>
        <v>0</v>
      </c>
      <c r="M129" s="44">
        <f t="shared" si="47"/>
        <v>0</v>
      </c>
      <c r="N129" s="44">
        <f t="shared" si="47"/>
        <v>0</v>
      </c>
      <c r="O129" s="44">
        <f t="shared" si="47"/>
        <v>0</v>
      </c>
      <c r="P129" s="44">
        <f t="shared" si="47"/>
        <v>0</v>
      </c>
      <c r="Q129" s="44">
        <f t="shared" si="47"/>
        <v>0</v>
      </c>
      <c r="R129" s="44">
        <f t="shared" si="47"/>
        <v>0</v>
      </c>
      <c r="S129" s="44">
        <f t="shared" si="47"/>
        <v>0</v>
      </c>
      <c r="T129" s="44">
        <f t="shared" si="47"/>
        <v>0</v>
      </c>
      <c r="U129" s="44">
        <f t="shared" si="47"/>
        <v>0</v>
      </c>
      <c r="V129" s="44">
        <f t="shared" si="47"/>
        <v>0</v>
      </c>
      <c r="W129" s="44">
        <f t="shared" si="47"/>
        <v>0</v>
      </c>
      <c r="X129" s="44">
        <f t="shared" si="47"/>
        <v>0</v>
      </c>
      <c r="Y129" s="44">
        <f t="shared" si="47"/>
        <v>0</v>
      </c>
      <c r="Z129" s="44">
        <f t="shared" si="47"/>
        <v>0</v>
      </c>
      <c r="AA129" s="44">
        <f t="shared" si="47"/>
        <v>0</v>
      </c>
      <c r="AB129" s="44">
        <f t="shared" si="47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2535" priority="280" operator="greaterThan">
      <formula>60.3</formula>
    </cfRule>
  </conditionalFormatting>
  <conditionalFormatting sqref="F111">
    <cfRule type="cellIs" dxfId="2534" priority="279" operator="greaterThan">
      <formula>60.3</formula>
    </cfRule>
  </conditionalFormatting>
  <conditionalFormatting sqref="G67:AC75">
    <cfRule type="cellIs" dxfId="2533" priority="271" operator="equal">
      <formula>"PMS"</formula>
    </cfRule>
    <cfRule type="containsText" dxfId="2532" priority="272" operator="containsText" text="CMS">
      <formula>NOT(ISERROR(SEARCH("CMS",G67)))</formula>
    </cfRule>
    <cfRule type="cellIs" dxfId="2531" priority="273" operator="equal">
      <formula>0</formula>
    </cfRule>
    <cfRule type="cellIs" dxfId="2530" priority="274" operator="greaterThan">
      <formula>0</formula>
    </cfRule>
    <cfRule type="cellIs" dxfId="2529" priority="275" operator="equal">
      <formula>"PMS"</formula>
    </cfRule>
    <cfRule type="containsText" dxfId="2528" priority="276" operator="containsText" text="CMS">
      <formula>NOT(ISERROR(SEARCH("CMS",G67)))</formula>
    </cfRule>
    <cfRule type="cellIs" dxfId="2527" priority="277" operator="equal">
      <formula>0</formula>
    </cfRule>
    <cfRule type="cellIs" dxfId="2526" priority="278" operator="greaterThan">
      <formula>0</formula>
    </cfRule>
  </conditionalFormatting>
  <conditionalFormatting sqref="G67:AC75">
    <cfRule type="cellIs" dxfId="2525" priority="267" operator="equal">
      <formula>"PMS"</formula>
    </cfRule>
    <cfRule type="containsText" dxfId="2524" priority="268" operator="containsText" text="CMS">
      <formula>NOT(ISERROR(SEARCH("CMS",G67)))</formula>
    </cfRule>
    <cfRule type="cellIs" dxfId="2523" priority="269" operator="equal">
      <formula>0</formula>
    </cfRule>
    <cfRule type="cellIs" dxfId="2522" priority="270" operator="greaterThan">
      <formula>0</formula>
    </cfRule>
  </conditionalFormatting>
  <conditionalFormatting sqref="G82:AC82">
    <cfRule type="cellIs" dxfId="2521" priority="259" operator="equal">
      <formula>"PMS"</formula>
    </cfRule>
    <cfRule type="containsText" dxfId="2520" priority="260" operator="containsText" text="CMS">
      <formula>NOT(ISERROR(SEARCH("CMS",G82)))</formula>
    </cfRule>
    <cfRule type="cellIs" dxfId="2519" priority="261" operator="equal">
      <formula>0</formula>
    </cfRule>
    <cfRule type="cellIs" dxfId="2518" priority="262" operator="greaterThan">
      <formula>0</formula>
    </cfRule>
    <cfRule type="cellIs" dxfId="2517" priority="263" operator="equal">
      <formula>"PMS"</formula>
    </cfRule>
    <cfRule type="containsText" dxfId="2516" priority="264" operator="containsText" text="CMS">
      <formula>NOT(ISERROR(SEARCH("CMS",G82)))</formula>
    </cfRule>
    <cfRule type="cellIs" dxfId="2515" priority="265" operator="equal">
      <formula>0</formula>
    </cfRule>
    <cfRule type="cellIs" dxfId="2514" priority="266" operator="greaterThan">
      <formula>0</formula>
    </cfRule>
  </conditionalFormatting>
  <conditionalFormatting sqref="G82:AC82">
    <cfRule type="cellIs" dxfId="2513" priority="255" operator="equal">
      <formula>"PMS"</formula>
    </cfRule>
    <cfRule type="containsText" dxfId="2512" priority="256" operator="containsText" text="CMS">
      <formula>NOT(ISERROR(SEARCH("CMS",G82)))</formula>
    </cfRule>
    <cfRule type="cellIs" dxfId="2511" priority="257" operator="equal">
      <formula>0</formula>
    </cfRule>
    <cfRule type="cellIs" dxfId="2510" priority="258" operator="greaterThan">
      <formula>0</formula>
    </cfRule>
  </conditionalFormatting>
  <conditionalFormatting sqref="E113:AC113 F112:N112">
    <cfRule type="cellIs" dxfId="2509" priority="254" operator="greaterThan">
      <formula>60.3</formula>
    </cfRule>
  </conditionalFormatting>
  <conditionalFormatting sqref="O112:AC112">
    <cfRule type="cellIs" dxfId="2508" priority="253" operator="greaterThan">
      <formula>60.3</formula>
    </cfRule>
  </conditionalFormatting>
  <conditionalFormatting sqref="G13:AC16">
    <cfRule type="cellIs" dxfId="2507" priority="245" operator="equal">
      <formula>"PMS"</formula>
    </cfRule>
    <cfRule type="containsText" dxfId="2506" priority="246" operator="containsText" text="CMS">
      <formula>NOT(ISERROR(SEARCH("CMS",G13)))</formula>
    </cfRule>
    <cfRule type="cellIs" dxfId="2505" priority="247" operator="equal">
      <formula>0</formula>
    </cfRule>
    <cfRule type="cellIs" dxfId="2504" priority="248" operator="greaterThan">
      <formula>0</formula>
    </cfRule>
    <cfRule type="cellIs" dxfId="2503" priority="249" operator="equal">
      <formula>"PMS"</formula>
    </cfRule>
    <cfRule type="containsText" dxfId="2502" priority="250" operator="containsText" text="CMS">
      <formula>NOT(ISERROR(SEARCH("CMS",G13)))</formula>
    </cfRule>
    <cfRule type="cellIs" dxfId="2501" priority="251" operator="equal">
      <formula>0</formula>
    </cfRule>
    <cfRule type="cellIs" dxfId="2500" priority="252" operator="greaterThan">
      <formula>0</formula>
    </cfRule>
  </conditionalFormatting>
  <conditionalFormatting sqref="G13:AC16">
    <cfRule type="cellIs" dxfId="2499" priority="241" operator="equal">
      <formula>"PMS"</formula>
    </cfRule>
    <cfRule type="containsText" dxfId="2498" priority="242" operator="containsText" text="CMS">
      <formula>NOT(ISERROR(SEARCH("CMS",G13)))</formula>
    </cfRule>
    <cfRule type="cellIs" dxfId="2497" priority="243" operator="equal">
      <formula>0</formula>
    </cfRule>
    <cfRule type="cellIs" dxfId="2496" priority="244" operator="greaterThan">
      <formula>0</formula>
    </cfRule>
  </conditionalFormatting>
  <conditionalFormatting sqref="H24:AC24 AC27 G19:AC21 G30:AC30 Z27:AA27 Z28:AC29 G27:Y29 H33:AC33">
    <cfRule type="cellIs" dxfId="2495" priority="233" operator="equal">
      <formula>"PMS"</formula>
    </cfRule>
    <cfRule type="containsText" dxfId="2494" priority="234" operator="containsText" text="CMS">
      <formula>NOT(ISERROR(SEARCH("CMS",G19)))</formula>
    </cfRule>
    <cfRule type="cellIs" dxfId="2493" priority="235" operator="equal">
      <formula>0</formula>
    </cfRule>
    <cfRule type="cellIs" dxfId="2492" priority="236" operator="greaterThan">
      <formula>0</formula>
    </cfRule>
    <cfRule type="cellIs" dxfId="2491" priority="237" operator="equal">
      <formula>"PMS"</formula>
    </cfRule>
    <cfRule type="containsText" dxfId="2490" priority="238" operator="containsText" text="CMS">
      <formula>NOT(ISERROR(SEARCH("CMS",G19)))</formula>
    </cfRule>
    <cfRule type="cellIs" dxfId="2489" priority="239" operator="equal">
      <formula>0</formula>
    </cfRule>
    <cfRule type="cellIs" dxfId="2488" priority="240" operator="greaterThan">
      <formula>0</formula>
    </cfRule>
  </conditionalFormatting>
  <conditionalFormatting sqref="H24:AC24 AC27 G19:AC21 G30:AC30 Z27:AA27 Z28:AC29 G27:Y29 H33:AC33">
    <cfRule type="cellIs" dxfId="2487" priority="229" operator="equal">
      <formula>"PMS"</formula>
    </cfRule>
    <cfRule type="containsText" dxfId="2486" priority="230" operator="containsText" text="CMS">
      <formula>NOT(ISERROR(SEARCH("CMS",G19)))</formula>
    </cfRule>
    <cfRule type="cellIs" dxfId="2485" priority="231" operator="equal">
      <formula>0</formula>
    </cfRule>
    <cfRule type="cellIs" dxfId="2484" priority="232" operator="greaterThan">
      <formula>0</formula>
    </cfRule>
  </conditionalFormatting>
  <conditionalFormatting sqref="V42:X42 G36:AC38 G43:X43 G39:X41 Y39:AC43 G44:AC59">
    <cfRule type="cellIs" dxfId="2483" priority="221" operator="equal">
      <formula>"PMS"</formula>
    </cfRule>
    <cfRule type="containsText" dxfId="2482" priority="222" operator="containsText" text="CMS">
      <formula>NOT(ISERROR(SEARCH("CMS",G36)))</formula>
    </cfRule>
    <cfRule type="cellIs" dxfId="2481" priority="223" operator="equal">
      <formula>0</formula>
    </cfRule>
    <cfRule type="cellIs" dxfId="2480" priority="224" operator="greaterThan">
      <formula>0</formula>
    </cfRule>
    <cfRule type="cellIs" dxfId="2479" priority="225" operator="equal">
      <formula>"PMS"</formula>
    </cfRule>
    <cfRule type="containsText" dxfId="2478" priority="226" operator="containsText" text="CMS">
      <formula>NOT(ISERROR(SEARCH("CMS",G36)))</formula>
    </cfRule>
    <cfRule type="cellIs" dxfId="2477" priority="227" operator="equal">
      <formula>0</formula>
    </cfRule>
    <cfRule type="cellIs" dxfId="2476" priority="228" operator="greaterThan">
      <formula>0</formula>
    </cfRule>
  </conditionalFormatting>
  <conditionalFormatting sqref="V42:X42 G36:AC38 G43:X43 G39:X41 Y39:AC43 G44:AC59">
    <cfRule type="cellIs" dxfId="2475" priority="217" operator="equal">
      <formula>"PMS"</formula>
    </cfRule>
    <cfRule type="containsText" dxfId="2474" priority="218" operator="containsText" text="CMS">
      <formula>NOT(ISERROR(SEARCH("CMS",G36)))</formula>
    </cfRule>
    <cfRule type="cellIs" dxfId="2473" priority="219" operator="equal">
      <formula>0</formula>
    </cfRule>
    <cfRule type="cellIs" dxfId="2472" priority="220" operator="greaterThan">
      <formula>0</formula>
    </cfRule>
  </conditionalFormatting>
  <conditionalFormatting sqref="G78:AC79 G62:AC64">
    <cfRule type="cellIs" dxfId="2471" priority="209" operator="equal">
      <formula>"PMS"</formula>
    </cfRule>
    <cfRule type="containsText" dxfId="2470" priority="210" operator="containsText" text="CMS">
      <formula>NOT(ISERROR(SEARCH("CMS",G62)))</formula>
    </cfRule>
    <cfRule type="cellIs" dxfId="2469" priority="211" operator="equal">
      <formula>0</formula>
    </cfRule>
    <cfRule type="cellIs" dxfId="2468" priority="212" operator="greaterThan">
      <formula>0</formula>
    </cfRule>
    <cfRule type="cellIs" dxfId="2467" priority="213" operator="equal">
      <formula>"PMS"</formula>
    </cfRule>
    <cfRule type="containsText" dxfId="2466" priority="214" operator="containsText" text="CMS">
      <formula>NOT(ISERROR(SEARCH("CMS",G62)))</formula>
    </cfRule>
    <cfRule type="cellIs" dxfId="2465" priority="215" operator="equal">
      <formula>0</formula>
    </cfRule>
    <cfRule type="cellIs" dxfId="2464" priority="216" operator="greaterThan">
      <formula>0</formula>
    </cfRule>
  </conditionalFormatting>
  <conditionalFormatting sqref="G78:AC79 G62:AC64">
    <cfRule type="cellIs" dxfId="2463" priority="205" operator="equal">
      <formula>"PMS"</formula>
    </cfRule>
    <cfRule type="containsText" dxfId="2462" priority="206" operator="containsText" text="CMS">
      <formula>NOT(ISERROR(SEARCH("CMS",G62)))</formula>
    </cfRule>
    <cfRule type="cellIs" dxfId="2461" priority="207" operator="equal">
      <formula>0</formula>
    </cfRule>
    <cfRule type="cellIs" dxfId="2460" priority="208" operator="greaterThan">
      <formula>0</formula>
    </cfRule>
  </conditionalFormatting>
  <conditionalFormatting sqref="G42:P42 R42:U42">
    <cfRule type="cellIs" dxfId="2459" priority="197" operator="equal">
      <formula>"PMS"</formula>
    </cfRule>
    <cfRule type="containsText" dxfId="2458" priority="198" operator="containsText" text="CMS">
      <formula>NOT(ISERROR(SEARCH("CMS",G42)))</formula>
    </cfRule>
    <cfRule type="cellIs" dxfId="2457" priority="199" operator="equal">
      <formula>0</formula>
    </cfRule>
    <cfRule type="cellIs" dxfId="2456" priority="200" operator="greaterThan">
      <formula>0</formula>
    </cfRule>
    <cfRule type="cellIs" dxfId="2455" priority="201" operator="equal">
      <formula>"PMS"</formula>
    </cfRule>
    <cfRule type="containsText" dxfId="2454" priority="202" operator="containsText" text="CMS">
      <formula>NOT(ISERROR(SEARCH("CMS",G42)))</formula>
    </cfRule>
    <cfRule type="cellIs" dxfId="2453" priority="203" operator="equal">
      <formula>0</formula>
    </cfRule>
    <cfRule type="cellIs" dxfId="2452" priority="204" operator="greaterThan">
      <formula>0</formula>
    </cfRule>
  </conditionalFormatting>
  <conditionalFormatting sqref="G42:P42 R42:U42">
    <cfRule type="cellIs" dxfId="2451" priority="193" operator="equal">
      <formula>"PMS"</formula>
    </cfRule>
    <cfRule type="containsText" dxfId="2450" priority="194" operator="containsText" text="CMS">
      <formula>NOT(ISERROR(SEARCH("CMS",G42)))</formula>
    </cfRule>
    <cfRule type="cellIs" dxfId="2449" priority="195" operator="equal">
      <formula>0</formula>
    </cfRule>
    <cfRule type="cellIs" dxfId="2448" priority="196" operator="greaterThan">
      <formula>0</formula>
    </cfRule>
  </conditionalFormatting>
  <conditionalFormatting sqref="G33">
    <cfRule type="cellIs" dxfId="2447" priority="185" operator="equal">
      <formula>"PMS"</formula>
    </cfRule>
    <cfRule type="containsText" dxfId="2446" priority="186" operator="containsText" text="CMS">
      <formula>NOT(ISERROR(SEARCH("CMS",G33)))</formula>
    </cfRule>
    <cfRule type="cellIs" dxfId="2445" priority="187" operator="equal">
      <formula>0</formula>
    </cfRule>
    <cfRule type="cellIs" dxfId="2444" priority="188" operator="greaterThan">
      <formula>0</formula>
    </cfRule>
    <cfRule type="cellIs" dxfId="2443" priority="189" operator="equal">
      <formula>"PMS"</formula>
    </cfRule>
    <cfRule type="containsText" dxfId="2442" priority="190" operator="containsText" text="CMS">
      <formula>NOT(ISERROR(SEARCH("CMS",G33)))</formula>
    </cfRule>
    <cfRule type="cellIs" dxfId="2441" priority="191" operator="equal">
      <formula>0</formula>
    </cfRule>
    <cfRule type="cellIs" dxfId="2440" priority="192" operator="greaterThan">
      <formula>0</formula>
    </cfRule>
  </conditionalFormatting>
  <conditionalFormatting sqref="G33">
    <cfRule type="cellIs" dxfId="2439" priority="181" operator="equal">
      <formula>"PMS"</formula>
    </cfRule>
    <cfRule type="containsText" dxfId="2438" priority="182" operator="containsText" text="CMS">
      <formula>NOT(ISERROR(SEARCH("CMS",G33)))</formula>
    </cfRule>
    <cfRule type="cellIs" dxfId="2437" priority="183" operator="equal">
      <formula>0</formula>
    </cfRule>
    <cfRule type="cellIs" dxfId="2436" priority="184" operator="greaterThan">
      <formula>0</formula>
    </cfRule>
  </conditionalFormatting>
  <conditionalFormatting sqref="G24">
    <cfRule type="cellIs" dxfId="2435" priority="173" operator="equal">
      <formula>"PMS"</formula>
    </cfRule>
    <cfRule type="containsText" dxfId="2434" priority="174" operator="containsText" text="CMS">
      <formula>NOT(ISERROR(SEARCH("CMS",G24)))</formula>
    </cfRule>
    <cfRule type="cellIs" dxfId="2433" priority="175" operator="equal">
      <formula>0</formula>
    </cfRule>
    <cfRule type="cellIs" dxfId="2432" priority="176" operator="greaterThan">
      <formula>0</formula>
    </cfRule>
    <cfRule type="cellIs" dxfId="2431" priority="177" operator="equal">
      <formula>"PMS"</formula>
    </cfRule>
    <cfRule type="containsText" dxfId="2430" priority="178" operator="containsText" text="CMS">
      <formula>NOT(ISERROR(SEARCH("CMS",G24)))</formula>
    </cfRule>
    <cfRule type="cellIs" dxfId="2429" priority="179" operator="equal">
      <formula>0</formula>
    </cfRule>
    <cfRule type="cellIs" dxfId="2428" priority="180" operator="greaterThan">
      <formula>0</formula>
    </cfRule>
  </conditionalFormatting>
  <conditionalFormatting sqref="G24">
    <cfRule type="cellIs" dxfId="2427" priority="169" operator="equal">
      <formula>"PMS"</formula>
    </cfRule>
    <cfRule type="containsText" dxfId="2426" priority="170" operator="containsText" text="CMS">
      <formula>NOT(ISERROR(SEARCH("CMS",G24)))</formula>
    </cfRule>
    <cfRule type="cellIs" dxfId="2425" priority="171" operator="equal">
      <formula>0</formula>
    </cfRule>
    <cfRule type="cellIs" dxfId="2424" priority="172" operator="greaterThan">
      <formula>0</formula>
    </cfRule>
  </conditionalFormatting>
  <conditionalFormatting sqref="AB27">
    <cfRule type="cellIs" dxfId="2423" priority="161" operator="equal">
      <formula>"PMS"</formula>
    </cfRule>
    <cfRule type="containsText" dxfId="2422" priority="162" operator="containsText" text="CMS">
      <formula>NOT(ISERROR(SEARCH("CMS",AB27)))</formula>
    </cfRule>
    <cfRule type="cellIs" dxfId="2421" priority="163" operator="equal">
      <formula>0</formula>
    </cfRule>
    <cfRule type="cellIs" dxfId="2420" priority="164" operator="greaterThan">
      <formula>0</formula>
    </cfRule>
    <cfRule type="cellIs" dxfId="2419" priority="165" operator="equal">
      <formula>"PMS"</formula>
    </cfRule>
    <cfRule type="containsText" dxfId="2418" priority="166" operator="containsText" text="CMS">
      <formula>NOT(ISERROR(SEARCH("CMS",AB27)))</formula>
    </cfRule>
    <cfRule type="cellIs" dxfId="2417" priority="167" operator="equal">
      <formula>0</formula>
    </cfRule>
    <cfRule type="cellIs" dxfId="2416" priority="168" operator="greaterThan">
      <formula>0</formula>
    </cfRule>
  </conditionalFormatting>
  <conditionalFormatting sqref="AB27">
    <cfRule type="cellIs" dxfId="2415" priority="157" operator="equal">
      <formula>"PMS"</formula>
    </cfRule>
    <cfRule type="containsText" dxfId="2414" priority="158" operator="containsText" text="CMS">
      <formula>NOT(ISERROR(SEARCH("CMS",AB27)))</formula>
    </cfRule>
    <cfRule type="cellIs" dxfId="2413" priority="159" operator="equal">
      <formula>0</formula>
    </cfRule>
    <cfRule type="cellIs" dxfId="2412" priority="160" operator="greaterThan">
      <formula>0</formula>
    </cfRule>
  </conditionalFormatting>
  <conditionalFormatting sqref="Q42">
    <cfRule type="cellIs" dxfId="2411" priority="77" operator="equal">
      <formula>"PMS"</formula>
    </cfRule>
    <cfRule type="containsText" dxfId="2410" priority="78" operator="containsText" text="CMS">
      <formula>NOT(ISERROR(SEARCH("CMS",Q42)))</formula>
    </cfRule>
    <cfRule type="cellIs" dxfId="2409" priority="79" operator="equal">
      <formula>0</formula>
    </cfRule>
    <cfRule type="cellIs" dxfId="2408" priority="80" operator="greaterThan">
      <formula>0</formula>
    </cfRule>
    <cfRule type="cellIs" dxfId="2407" priority="81" operator="equal">
      <formula>"PMS"</formula>
    </cfRule>
    <cfRule type="containsText" dxfId="2406" priority="82" operator="containsText" text="CMS">
      <formula>NOT(ISERROR(SEARCH("CMS",Q42)))</formula>
    </cfRule>
    <cfRule type="cellIs" dxfId="2405" priority="83" operator="equal">
      <formula>0</formula>
    </cfRule>
    <cfRule type="cellIs" dxfId="2404" priority="84" operator="greaterThan">
      <formula>0</formula>
    </cfRule>
  </conditionalFormatting>
  <conditionalFormatting sqref="Q42">
    <cfRule type="cellIs" dxfId="2403" priority="73" operator="equal">
      <formula>"PMS"</formula>
    </cfRule>
    <cfRule type="containsText" dxfId="2402" priority="74" operator="containsText" text="CMS">
      <formula>NOT(ISERROR(SEARCH("CMS",Q42)))</formula>
    </cfRule>
    <cfRule type="cellIs" dxfId="2401" priority="75" operator="equal">
      <formula>0</formula>
    </cfRule>
    <cfRule type="cellIs" dxfId="2400" priority="76" operator="greaterThan">
      <formula>0</formula>
    </cfRule>
  </conditionalFormatting>
  <conditionalFormatting sqref="F67:F75">
    <cfRule type="cellIs" dxfId="2399" priority="65" operator="equal">
      <formula>"PMS"</formula>
    </cfRule>
    <cfRule type="containsText" dxfId="2398" priority="66" operator="containsText" text="CMS">
      <formula>NOT(ISERROR(SEARCH("CMS",F67)))</formula>
    </cfRule>
    <cfRule type="cellIs" dxfId="2397" priority="67" operator="equal">
      <formula>0</formula>
    </cfRule>
    <cfRule type="cellIs" dxfId="2396" priority="68" operator="greaterThan">
      <formula>0</formula>
    </cfRule>
    <cfRule type="cellIs" dxfId="2395" priority="69" operator="equal">
      <formula>"PMS"</formula>
    </cfRule>
    <cfRule type="containsText" dxfId="2394" priority="70" operator="containsText" text="CMS">
      <formula>NOT(ISERROR(SEARCH("CMS",F67)))</formula>
    </cfRule>
    <cfRule type="cellIs" dxfId="2393" priority="71" operator="equal">
      <formula>0</formula>
    </cfRule>
    <cfRule type="cellIs" dxfId="2392" priority="72" operator="greaterThan">
      <formula>0</formula>
    </cfRule>
  </conditionalFormatting>
  <conditionalFormatting sqref="F67:F75">
    <cfRule type="cellIs" dxfId="2391" priority="61" operator="equal">
      <formula>"PMS"</formula>
    </cfRule>
    <cfRule type="containsText" dxfId="2390" priority="62" operator="containsText" text="CMS">
      <formula>NOT(ISERROR(SEARCH("CMS",F67)))</formula>
    </cfRule>
    <cfRule type="cellIs" dxfId="2389" priority="63" operator="equal">
      <formula>0</formula>
    </cfRule>
    <cfRule type="cellIs" dxfId="2388" priority="64" operator="greaterThan">
      <formula>0</formula>
    </cfRule>
  </conditionalFormatting>
  <conditionalFormatting sqref="F82">
    <cfRule type="cellIs" dxfId="2387" priority="53" operator="equal">
      <formula>"PMS"</formula>
    </cfRule>
    <cfRule type="containsText" dxfId="2386" priority="54" operator="containsText" text="CMS">
      <formula>NOT(ISERROR(SEARCH("CMS",F82)))</formula>
    </cfRule>
    <cfRule type="cellIs" dxfId="2385" priority="55" operator="equal">
      <formula>0</formula>
    </cfRule>
    <cfRule type="cellIs" dxfId="2384" priority="56" operator="greaterThan">
      <formula>0</formula>
    </cfRule>
    <cfRule type="cellIs" dxfId="2383" priority="57" operator="equal">
      <formula>"PMS"</formula>
    </cfRule>
    <cfRule type="containsText" dxfId="2382" priority="58" operator="containsText" text="CMS">
      <formula>NOT(ISERROR(SEARCH("CMS",F82)))</formula>
    </cfRule>
    <cfRule type="cellIs" dxfId="2381" priority="59" operator="equal">
      <formula>0</formula>
    </cfRule>
    <cfRule type="cellIs" dxfId="2380" priority="60" operator="greaterThan">
      <formula>0</formula>
    </cfRule>
  </conditionalFormatting>
  <conditionalFormatting sqref="F82">
    <cfRule type="cellIs" dxfId="2379" priority="49" operator="equal">
      <formula>"PMS"</formula>
    </cfRule>
    <cfRule type="containsText" dxfId="2378" priority="50" operator="containsText" text="CMS">
      <formula>NOT(ISERROR(SEARCH("CMS",F82)))</formula>
    </cfRule>
    <cfRule type="cellIs" dxfId="2377" priority="51" operator="equal">
      <formula>0</formula>
    </cfRule>
    <cfRule type="cellIs" dxfId="2376" priority="52" operator="greaterThan">
      <formula>0</formula>
    </cfRule>
  </conditionalFormatting>
  <conditionalFormatting sqref="F13:F16">
    <cfRule type="cellIs" dxfId="2375" priority="41" operator="equal">
      <formula>"PMS"</formula>
    </cfRule>
    <cfRule type="containsText" dxfId="2374" priority="42" operator="containsText" text="CMS">
      <formula>NOT(ISERROR(SEARCH("CMS",F13)))</formula>
    </cfRule>
    <cfRule type="cellIs" dxfId="2373" priority="43" operator="equal">
      <formula>0</formula>
    </cfRule>
    <cfRule type="cellIs" dxfId="2372" priority="44" operator="greaterThan">
      <formula>0</formula>
    </cfRule>
    <cfRule type="cellIs" dxfId="2371" priority="45" operator="equal">
      <formula>"PMS"</formula>
    </cfRule>
    <cfRule type="containsText" dxfId="2370" priority="46" operator="containsText" text="CMS">
      <formula>NOT(ISERROR(SEARCH("CMS",F13)))</formula>
    </cfRule>
    <cfRule type="cellIs" dxfId="2369" priority="47" operator="equal">
      <formula>0</formula>
    </cfRule>
    <cfRule type="cellIs" dxfId="2368" priority="48" operator="greaterThan">
      <formula>0</formula>
    </cfRule>
  </conditionalFormatting>
  <conditionalFormatting sqref="F13:F16">
    <cfRule type="cellIs" dxfId="2367" priority="37" operator="equal">
      <formula>"PMS"</formula>
    </cfRule>
    <cfRule type="containsText" dxfId="2366" priority="38" operator="containsText" text="CMS">
      <formula>NOT(ISERROR(SEARCH("CMS",F13)))</formula>
    </cfRule>
    <cfRule type="cellIs" dxfId="2365" priority="39" operator="equal">
      <formula>0</formula>
    </cfRule>
    <cfRule type="cellIs" dxfId="2364" priority="40" operator="greaterThan">
      <formula>0</formula>
    </cfRule>
  </conditionalFormatting>
  <conditionalFormatting sqref="F24 F19:F21 F27:F30 F33">
    <cfRule type="cellIs" dxfId="2363" priority="29" operator="equal">
      <formula>"PMS"</formula>
    </cfRule>
    <cfRule type="containsText" dxfId="2362" priority="30" operator="containsText" text="CMS">
      <formula>NOT(ISERROR(SEARCH("CMS",F19)))</formula>
    </cfRule>
    <cfRule type="cellIs" dxfId="2361" priority="31" operator="equal">
      <formula>0</formula>
    </cfRule>
    <cfRule type="cellIs" dxfId="2360" priority="32" operator="greaterThan">
      <formula>0</formula>
    </cfRule>
    <cfRule type="cellIs" dxfId="2359" priority="33" operator="equal">
      <formula>"PMS"</formula>
    </cfRule>
    <cfRule type="containsText" dxfId="2358" priority="34" operator="containsText" text="CMS">
      <formula>NOT(ISERROR(SEARCH("CMS",F19)))</formula>
    </cfRule>
    <cfRule type="cellIs" dxfId="2357" priority="35" operator="equal">
      <formula>0</formula>
    </cfRule>
    <cfRule type="cellIs" dxfId="2356" priority="36" operator="greaterThan">
      <formula>0</formula>
    </cfRule>
  </conditionalFormatting>
  <conditionalFormatting sqref="F24 F19:F21 F27:F30 F33">
    <cfRule type="cellIs" dxfId="2355" priority="25" operator="equal">
      <formula>"PMS"</formula>
    </cfRule>
    <cfRule type="containsText" dxfId="2354" priority="26" operator="containsText" text="CMS">
      <formula>NOT(ISERROR(SEARCH("CMS",F19)))</formula>
    </cfRule>
    <cfRule type="cellIs" dxfId="2353" priority="27" operator="equal">
      <formula>0</formula>
    </cfRule>
    <cfRule type="cellIs" dxfId="2352" priority="28" operator="greaterThan">
      <formula>0</formula>
    </cfRule>
  </conditionalFormatting>
  <conditionalFormatting sqref="F36:F59">
    <cfRule type="cellIs" dxfId="2351" priority="17" operator="equal">
      <formula>"PMS"</formula>
    </cfRule>
    <cfRule type="containsText" dxfId="2350" priority="18" operator="containsText" text="CMS">
      <formula>NOT(ISERROR(SEARCH("CMS",F36)))</formula>
    </cfRule>
    <cfRule type="cellIs" dxfId="2349" priority="19" operator="equal">
      <formula>0</formula>
    </cfRule>
    <cfRule type="cellIs" dxfId="2348" priority="20" operator="greaterThan">
      <formula>0</formula>
    </cfRule>
    <cfRule type="cellIs" dxfId="2347" priority="21" operator="equal">
      <formula>"PMS"</formula>
    </cfRule>
    <cfRule type="containsText" dxfId="2346" priority="22" operator="containsText" text="CMS">
      <formula>NOT(ISERROR(SEARCH("CMS",F36)))</formula>
    </cfRule>
    <cfRule type="cellIs" dxfId="2345" priority="23" operator="equal">
      <formula>0</formula>
    </cfRule>
    <cfRule type="cellIs" dxfId="2344" priority="24" operator="greaterThan">
      <formula>0</formula>
    </cfRule>
  </conditionalFormatting>
  <conditionalFormatting sqref="F36:F59">
    <cfRule type="cellIs" dxfId="2343" priority="13" operator="equal">
      <formula>"PMS"</formula>
    </cfRule>
    <cfRule type="containsText" dxfId="2342" priority="14" operator="containsText" text="CMS">
      <formula>NOT(ISERROR(SEARCH("CMS",F36)))</formula>
    </cfRule>
    <cfRule type="cellIs" dxfId="2341" priority="15" operator="equal">
      <formula>0</formula>
    </cfRule>
    <cfRule type="cellIs" dxfId="2340" priority="16" operator="greaterThan">
      <formula>0</formula>
    </cfRule>
  </conditionalFormatting>
  <conditionalFormatting sqref="F62:F64 F78:F79">
    <cfRule type="cellIs" dxfId="2339" priority="5" operator="equal">
      <formula>"PMS"</formula>
    </cfRule>
    <cfRule type="containsText" dxfId="2338" priority="6" operator="containsText" text="CMS">
      <formula>NOT(ISERROR(SEARCH("CMS",F62)))</formula>
    </cfRule>
    <cfRule type="cellIs" dxfId="2337" priority="7" operator="equal">
      <formula>0</formula>
    </cfRule>
    <cfRule type="cellIs" dxfId="2336" priority="8" operator="greaterThan">
      <formula>0</formula>
    </cfRule>
    <cfRule type="cellIs" dxfId="2335" priority="9" operator="equal">
      <formula>"PMS"</formula>
    </cfRule>
    <cfRule type="containsText" dxfId="2334" priority="10" operator="containsText" text="CMS">
      <formula>NOT(ISERROR(SEARCH("CMS",F62)))</formula>
    </cfRule>
    <cfRule type="cellIs" dxfId="2333" priority="11" operator="equal">
      <formula>0</formula>
    </cfRule>
    <cfRule type="cellIs" dxfId="2332" priority="12" operator="greaterThan">
      <formula>0</formula>
    </cfRule>
  </conditionalFormatting>
  <conditionalFormatting sqref="F62:F64 F78:F79">
    <cfRule type="cellIs" dxfId="2331" priority="1" operator="equal">
      <formula>"PMS"</formula>
    </cfRule>
    <cfRule type="containsText" dxfId="2330" priority="2" operator="containsText" text="CMS">
      <formula>NOT(ISERROR(SEARCH("CMS",F62)))</formula>
    </cfRule>
    <cfRule type="cellIs" dxfId="2329" priority="3" operator="equal">
      <formula>0</formula>
    </cfRule>
    <cfRule type="cellIs" dxfId="2328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1449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22E477-C7D1-4B1E-91F1-C682D0AD79F7}">
  <sheetPr codeName="Sheet182"/>
  <dimension ref="A2:DT141"/>
  <sheetViews>
    <sheetView zoomScale="70" zoomScaleNormal="70" zoomScaleSheetLayoutView="51" zoomScalePageLayoutView="55" workbookViewId="0">
      <pane xSplit="5" ySplit="11" topLeftCell="R21" activePane="bottomRight" state="frozen"/>
      <selection pane="bottomRight" activeCell="K48" sqref="K48"/>
      <selection pane="bottomLeft" activeCell="AJ44" sqref="AJ44"/>
      <selection pane="topRight" activeCell="AJ44" sqref="AJ4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23"/>
      <c r="N8" s="523"/>
      <c r="O8" s="52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24" t="e" cm="1">
        <f t="array" aca="1" ref="M9" ca="1">TEXT(TODAY(),"mmmm")&amp;" "&amp;MID(CELL("filename",A1),FIND("]",CELL("filename",A1))+1,255)&amp;", "&amp;TEXT(TODAY(),"yyyy")</f>
        <v>#VALUE!</v>
      </c>
      <c r="N9" s="524"/>
      <c r="O9" s="524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4"/>
      <c r="R10" s="344"/>
      <c r="S10" s="344"/>
      <c r="T10" s="344"/>
      <c r="U10" s="344"/>
      <c r="V10" s="344"/>
      <c r="W10" s="344"/>
      <c r="X10" s="344"/>
      <c r="Y10" s="344"/>
      <c r="Z10" s="344"/>
      <c r="AA10" s="344"/>
      <c r="AB10" s="344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17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552.79999999999984</v>
      </c>
    </row>
    <row r="13" spans="1:41">
      <c r="A13" s="14" t="s">
        <v>22</v>
      </c>
      <c r="B13" s="15"/>
      <c r="C13" s="15">
        <v>7.2</v>
      </c>
      <c r="D13" s="15"/>
      <c r="E13" s="15"/>
      <c r="F13" s="372">
        <v>0</v>
      </c>
      <c r="G13" s="372">
        <v>0</v>
      </c>
      <c r="H13" s="372">
        <v>0</v>
      </c>
      <c r="I13" s="372">
        <v>0</v>
      </c>
      <c r="J13" s="372">
        <v>0</v>
      </c>
      <c r="K13" s="374">
        <v>0</v>
      </c>
      <c r="L13" s="374" t="s">
        <v>9</v>
      </c>
      <c r="M13" s="374">
        <v>6.7</v>
      </c>
      <c r="N13" s="372">
        <v>6.5</v>
      </c>
      <c r="O13" s="372">
        <v>6.5</v>
      </c>
      <c r="P13" s="372">
        <v>6.1</v>
      </c>
      <c r="Q13" s="372">
        <v>6.3</v>
      </c>
      <c r="R13" s="372">
        <v>6.5</v>
      </c>
      <c r="S13" s="372">
        <v>6.5</v>
      </c>
      <c r="T13" s="372">
        <v>6.7</v>
      </c>
      <c r="U13" s="372">
        <v>6.9</v>
      </c>
      <c r="V13" s="372">
        <v>6.7</v>
      </c>
      <c r="W13" s="372">
        <v>6.6</v>
      </c>
      <c r="X13" s="374">
        <v>6.8</v>
      </c>
      <c r="Y13" s="374">
        <v>6.7</v>
      </c>
      <c r="Z13" s="372">
        <v>6.5</v>
      </c>
      <c r="AA13" s="372">
        <v>7</v>
      </c>
      <c r="AB13" s="372"/>
      <c r="AC13" s="372"/>
      <c r="AD13" s="41"/>
      <c r="AE13" s="41"/>
      <c r="AF13" s="11">
        <f>COUNTIF(F13:AC13,$AJ$8)</f>
        <v>1</v>
      </c>
      <c r="AG13" s="11">
        <f>COUNTIF(F13:AD13,$AJ$7)</f>
        <v>0</v>
      </c>
      <c r="AH13" s="11">
        <f>COUNT(F13:AC13)</f>
        <v>21</v>
      </c>
    </row>
    <row r="14" spans="1:41">
      <c r="A14" s="14" t="s">
        <v>23</v>
      </c>
      <c r="B14" s="15"/>
      <c r="C14" s="15">
        <v>7.2</v>
      </c>
      <c r="D14" s="15"/>
      <c r="E14" s="15"/>
      <c r="F14" s="372">
        <v>6.7</v>
      </c>
      <c r="G14" s="372">
        <v>6.7</v>
      </c>
      <c r="H14" s="372">
        <v>6.6</v>
      </c>
      <c r="I14" s="372">
        <v>6.5</v>
      </c>
      <c r="J14" s="372">
        <v>6.4</v>
      </c>
      <c r="K14" s="374">
        <v>6.4</v>
      </c>
      <c r="L14" s="374">
        <v>6.7</v>
      </c>
      <c r="M14" s="374">
        <v>2</v>
      </c>
      <c r="N14" s="372"/>
      <c r="O14" s="372">
        <v>0.8</v>
      </c>
      <c r="P14" s="372">
        <v>6.7</v>
      </c>
      <c r="Q14" s="372">
        <v>6.7</v>
      </c>
      <c r="R14" s="372">
        <v>6.7</v>
      </c>
      <c r="S14" s="372">
        <v>6.7</v>
      </c>
      <c r="T14" s="372">
        <v>6.7</v>
      </c>
      <c r="U14" s="372">
        <v>6.9</v>
      </c>
      <c r="V14" s="372">
        <v>6.7</v>
      </c>
      <c r="W14" s="372">
        <v>6.6</v>
      </c>
      <c r="X14" s="374">
        <v>6.8</v>
      </c>
      <c r="Y14" s="374">
        <v>6.7</v>
      </c>
      <c r="Z14" s="372">
        <v>6.7</v>
      </c>
      <c r="AA14" s="372">
        <v>6.5</v>
      </c>
      <c r="AB14" s="372">
        <v>6.7</v>
      </c>
      <c r="AC14" s="372">
        <v>6.7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23</v>
      </c>
    </row>
    <row r="15" spans="1:41">
      <c r="A15" s="66" t="s">
        <v>24</v>
      </c>
      <c r="B15" s="15"/>
      <c r="C15" s="15">
        <v>7.2</v>
      </c>
      <c r="D15" s="15"/>
      <c r="E15" s="15"/>
      <c r="F15" s="372">
        <v>6.6</v>
      </c>
      <c r="G15" s="372">
        <v>6.6</v>
      </c>
      <c r="H15" s="372">
        <v>6.6</v>
      </c>
      <c r="I15" s="372">
        <v>6.5</v>
      </c>
      <c r="J15" s="372">
        <v>6.4</v>
      </c>
      <c r="K15" s="374">
        <v>6.4</v>
      </c>
      <c r="L15" s="374">
        <v>6.4</v>
      </c>
      <c r="M15" s="374">
        <v>5.3</v>
      </c>
      <c r="N15" s="372">
        <v>6.5</v>
      </c>
      <c r="O15" s="372">
        <v>6.5</v>
      </c>
      <c r="P15" s="372">
        <v>6.1</v>
      </c>
      <c r="Q15" s="372">
        <v>6.3</v>
      </c>
      <c r="R15" s="372">
        <v>6.5</v>
      </c>
      <c r="S15" s="372">
        <v>6.5</v>
      </c>
      <c r="T15" s="372">
        <v>6.7</v>
      </c>
      <c r="U15" s="372">
        <v>6.9</v>
      </c>
      <c r="V15" s="372">
        <v>6.7</v>
      </c>
      <c r="W15" s="372">
        <v>6.6</v>
      </c>
      <c r="X15" s="374">
        <v>6.8</v>
      </c>
      <c r="Y15" s="374">
        <v>6.7</v>
      </c>
      <c r="Z15" s="372">
        <v>6.5</v>
      </c>
      <c r="AA15" s="372">
        <v>6.5</v>
      </c>
      <c r="AB15" s="372">
        <v>6.4</v>
      </c>
      <c r="AC15" s="372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372">
        <v>6.6</v>
      </c>
      <c r="G16" s="372">
        <v>6.6</v>
      </c>
      <c r="H16" s="372">
        <v>6.6</v>
      </c>
      <c r="I16" s="372">
        <v>6.5</v>
      </c>
      <c r="J16" s="372">
        <v>6.4</v>
      </c>
      <c r="K16" s="374">
        <v>6.4</v>
      </c>
      <c r="L16" s="374">
        <v>6.4</v>
      </c>
      <c r="M16" s="374">
        <v>5.3</v>
      </c>
      <c r="N16" s="372">
        <v>6.5</v>
      </c>
      <c r="O16" s="372">
        <v>6.5</v>
      </c>
      <c r="P16" s="372">
        <v>6.1</v>
      </c>
      <c r="Q16" s="372">
        <v>6.3</v>
      </c>
      <c r="R16" s="372">
        <v>6.5</v>
      </c>
      <c r="S16" s="372">
        <v>6.5</v>
      </c>
      <c r="T16" s="372">
        <v>6.7</v>
      </c>
      <c r="U16" s="372">
        <v>6.9</v>
      </c>
      <c r="V16" s="372">
        <v>6.7</v>
      </c>
      <c r="W16" s="372">
        <v>6.6</v>
      </c>
      <c r="X16" s="374">
        <v>6.8</v>
      </c>
      <c r="Y16" s="374">
        <v>6.7</v>
      </c>
      <c r="Z16" s="372">
        <v>6.5</v>
      </c>
      <c r="AA16" s="372">
        <v>6.5</v>
      </c>
      <c r="AB16" s="372">
        <v>6.4</v>
      </c>
      <c r="AC16" s="372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19.899999999999999</v>
      </c>
      <c r="G17" s="19">
        <f t="shared" ref="G17:AC17" si="1">SUM(G13:G16)</f>
        <v>19.899999999999999</v>
      </c>
      <c r="H17" s="19">
        <f>SUM(H13:H16)</f>
        <v>19.799999999999997</v>
      </c>
      <c r="I17" s="19">
        <f t="shared" si="1"/>
        <v>19.5</v>
      </c>
      <c r="J17" s="19">
        <f t="shared" si="1"/>
        <v>19.200000000000003</v>
      </c>
      <c r="K17" s="19">
        <f t="shared" si="1"/>
        <v>19.200000000000003</v>
      </c>
      <c r="L17" s="19">
        <f t="shared" si="1"/>
        <v>19.5</v>
      </c>
      <c r="M17" s="19">
        <f t="shared" si="1"/>
        <v>19.3</v>
      </c>
      <c r="N17" s="19">
        <f t="shared" si="1"/>
        <v>19.5</v>
      </c>
      <c r="O17" s="19">
        <f t="shared" si="1"/>
        <v>20.3</v>
      </c>
      <c r="P17" s="19">
        <f t="shared" si="1"/>
        <v>25</v>
      </c>
      <c r="Q17" s="19">
        <f t="shared" si="1"/>
        <v>25.6</v>
      </c>
      <c r="R17" s="19">
        <f t="shared" si="1"/>
        <v>26.2</v>
      </c>
      <c r="S17" s="19">
        <f t="shared" si="1"/>
        <v>26.2</v>
      </c>
      <c r="T17" s="19">
        <f t="shared" si="1"/>
        <v>26.8</v>
      </c>
      <c r="U17" s="19">
        <f t="shared" si="1"/>
        <v>27.6</v>
      </c>
      <c r="V17" s="19">
        <f t="shared" si="1"/>
        <v>26.8</v>
      </c>
      <c r="W17" s="19">
        <f t="shared" si="1"/>
        <v>26.4</v>
      </c>
      <c r="X17" s="19">
        <f t="shared" si="1"/>
        <v>27.2</v>
      </c>
      <c r="Y17" s="19">
        <f t="shared" si="1"/>
        <v>26.8</v>
      </c>
      <c r="Z17" s="19">
        <f t="shared" si="1"/>
        <v>26.2</v>
      </c>
      <c r="AA17" s="19">
        <f t="shared" si="1"/>
        <v>26.5</v>
      </c>
      <c r="AB17" s="19">
        <f t="shared" si="1"/>
        <v>19.5</v>
      </c>
      <c r="AC17" s="19">
        <f t="shared" si="1"/>
        <v>19.899999999999999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66.699999999999989</v>
      </c>
    </row>
    <row r="19" spans="1:51">
      <c r="A19" s="14" t="s">
        <v>22</v>
      </c>
      <c r="B19" s="15"/>
      <c r="C19" s="15">
        <v>3</v>
      </c>
      <c r="D19" s="15"/>
      <c r="E19" s="15"/>
      <c r="F19" s="372"/>
      <c r="G19" s="372"/>
      <c r="H19" s="372"/>
      <c r="I19" s="372"/>
      <c r="J19" s="372"/>
      <c r="K19" s="374"/>
      <c r="L19" s="374"/>
      <c r="M19" s="374"/>
      <c r="N19" s="372"/>
      <c r="O19" s="372"/>
      <c r="P19" s="372"/>
      <c r="Q19" s="372">
        <v>2.1</v>
      </c>
      <c r="R19" s="372">
        <v>1.8</v>
      </c>
      <c r="S19" s="372"/>
      <c r="T19" s="372"/>
      <c r="U19" s="372"/>
      <c r="V19" s="372"/>
      <c r="W19" s="372"/>
      <c r="X19" s="372"/>
      <c r="Y19" s="372"/>
      <c r="Z19" s="372"/>
      <c r="AA19" s="372"/>
      <c r="AB19" s="372"/>
      <c r="AC19" s="372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2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372"/>
      <c r="G20" s="372"/>
      <c r="H20" s="372"/>
      <c r="I20" s="372"/>
      <c r="J20" s="372"/>
      <c r="K20" s="374"/>
      <c r="L20" s="374"/>
      <c r="M20" s="374"/>
      <c r="N20" s="372"/>
      <c r="O20" s="372"/>
      <c r="P20" s="372"/>
      <c r="Q20" s="372"/>
      <c r="R20" s="372"/>
      <c r="S20" s="372"/>
      <c r="T20" s="372"/>
      <c r="U20" s="372"/>
      <c r="V20" s="372"/>
      <c r="W20" s="372"/>
      <c r="X20" s="372"/>
      <c r="Y20" s="372"/>
      <c r="Z20" s="372"/>
      <c r="AA20" s="372"/>
      <c r="AB20" s="372"/>
      <c r="AC20" s="372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2">
        <v>3</v>
      </c>
      <c r="G21" s="372">
        <v>3</v>
      </c>
      <c r="H21" s="372"/>
      <c r="I21" s="372"/>
      <c r="J21" s="372"/>
      <c r="K21" s="374"/>
      <c r="L21" s="374"/>
      <c r="M21" s="374"/>
      <c r="N21" s="372">
        <v>2.9</v>
      </c>
      <c r="O21" s="372">
        <v>3.8</v>
      </c>
      <c r="P21" s="372">
        <v>3.8</v>
      </c>
      <c r="Q21" s="372">
        <v>3</v>
      </c>
      <c r="R21" s="372">
        <v>3.7</v>
      </c>
      <c r="S21" s="372">
        <v>3.8</v>
      </c>
      <c r="T21" s="372">
        <v>3.8</v>
      </c>
      <c r="U21" s="372">
        <v>4</v>
      </c>
      <c r="V21" s="372">
        <v>3.8</v>
      </c>
      <c r="W21" s="372">
        <v>3.8</v>
      </c>
      <c r="X21" s="372">
        <v>3.8</v>
      </c>
      <c r="Y21" s="372">
        <v>3.8</v>
      </c>
      <c r="Z21" s="372">
        <v>3</v>
      </c>
      <c r="AA21" s="372">
        <v>3</v>
      </c>
      <c r="AB21" s="372">
        <v>3.8</v>
      </c>
      <c r="AC21" s="372">
        <v>3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18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3</v>
      </c>
      <c r="G22" s="19">
        <f>SUM(G19:G21)</f>
        <v>3</v>
      </c>
      <c r="H22" s="19">
        <f t="shared" ref="H22:AC22" si="3">SUM(H19:H21)</f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2.9</v>
      </c>
      <c r="O22" s="19">
        <f t="shared" si="3"/>
        <v>3.8</v>
      </c>
      <c r="P22" s="19">
        <f t="shared" si="3"/>
        <v>3.8</v>
      </c>
      <c r="Q22" s="19">
        <f t="shared" si="3"/>
        <v>5.0999999999999996</v>
      </c>
      <c r="R22" s="19">
        <f t="shared" si="3"/>
        <v>5.5</v>
      </c>
      <c r="S22" s="19">
        <f>SUM(S19:S21)</f>
        <v>3.8</v>
      </c>
      <c r="T22" s="19">
        <f t="shared" ref="T22" si="4">SUM(T19:T21)</f>
        <v>3.8</v>
      </c>
      <c r="U22" s="19">
        <f t="shared" si="3"/>
        <v>4</v>
      </c>
      <c r="V22" s="19">
        <f t="shared" si="3"/>
        <v>3.8</v>
      </c>
      <c r="W22" s="19">
        <f t="shared" si="3"/>
        <v>3.8</v>
      </c>
      <c r="X22" s="19">
        <f t="shared" si="3"/>
        <v>3.8</v>
      </c>
      <c r="Y22" s="19">
        <f t="shared" si="3"/>
        <v>3.8</v>
      </c>
      <c r="Z22" s="19">
        <f t="shared" si="3"/>
        <v>3</v>
      </c>
      <c r="AA22" s="19">
        <f t="shared" si="3"/>
        <v>3</v>
      </c>
      <c r="AB22" s="19">
        <f>SUM(AB19:AB21)</f>
        <v>3.8</v>
      </c>
      <c r="AC22" s="19">
        <f t="shared" si="3"/>
        <v>3</v>
      </c>
      <c r="AD22" s="41"/>
      <c r="AE22" s="41"/>
      <c r="AF22" s="11"/>
      <c r="AG22" s="11"/>
      <c r="AH22" s="11"/>
      <c r="AI22" s="400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409">
        <f>SUM(F24:AC24)</f>
        <v>56.399999999999991</v>
      </c>
    </row>
    <row r="24" spans="1:51">
      <c r="A24" s="14" t="s">
        <v>22</v>
      </c>
      <c r="B24" s="20"/>
      <c r="C24" s="15">
        <v>4.5</v>
      </c>
      <c r="D24" s="15"/>
      <c r="E24" s="15"/>
      <c r="F24" s="372">
        <v>3.4</v>
      </c>
      <c r="G24" s="372"/>
      <c r="H24" s="372"/>
      <c r="I24" s="372"/>
      <c r="J24" s="372"/>
      <c r="K24" s="374"/>
      <c r="L24" s="374"/>
      <c r="M24" s="374"/>
      <c r="N24" s="372"/>
      <c r="O24" s="372">
        <v>3.8</v>
      </c>
      <c r="P24" s="372">
        <v>3.8</v>
      </c>
      <c r="Q24" s="372">
        <v>3</v>
      </c>
      <c r="R24" s="372">
        <v>3</v>
      </c>
      <c r="S24" s="372">
        <v>3.8</v>
      </c>
      <c r="T24" s="372">
        <v>3.8</v>
      </c>
      <c r="U24" s="372">
        <v>3.8</v>
      </c>
      <c r="V24" s="372">
        <v>3.8</v>
      </c>
      <c r="W24" s="372">
        <v>3.8</v>
      </c>
      <c r="X24" s="372">
        <v>3</v>
      </c>
      <c r="Y24" s="372">
        <v>3.8</v>
      </c>
      <c r="Z24" s="372">
        <v>3.8</v>
      </c>
      <c r="AA24" s="372">
        <v>3</v>
      </c>
      <c r="AB24" s="372">
        <v>3.8</v>
      </c>
      <c r="AC24" s="372">
        <v>3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16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3.4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3.8</v>
      </c>
      <c r="P25" s="19">
        <f t="shared" si="6"/>
        <v>3.8</v>
      </c>
      <c r="Q25" s="19">
        <f t="shared" si="6"/>
        <v>3</v>
      </c>
      <c r="R25" s="19">
        <f t="shared" si="6"/>
        <v>3</v>
      </c>
      <c r="S25" s="19">
        <f t="shared" si="6"/>
        <v>3.8</v>
      </c>
      <c r="T25" s="19">
        <f t="shared" si="6"/>
        <v>3.8</v>
      </c>
      <c r="U25" s="19">
        <f t="shared" si="6"/>
        <v>3.8</v>
      </c>
      <c r="V25" s="19">
        <f t="shared" si="6"/>
        <v>3.8</v>
      </c>
      <c r="W25" s="19">
        <f t="shared" si="6"/>
        <v>3.8</v>
      </c>
      <c r="X25" s="19">
        <f t="shared" si="6"/>
        <v>3</v>
      </c>
      <c r="Y25" s="19">
        <f t="shared" si="6"/>
        <v>3.8</v>
      </c>
      <c r="Z25" s="19">
        <f t="shared" si="6"/>
        <v>3.8</v>
      </c>
      <c r="AA25" s="19">
        <f t="shared" si="6"/>
        <v>3</v>
      </c>
      <c r="AB25" s="19">
        <f t="shared" si="6"/>
        <v>3.8</v>
      </c>
      <c r="AC25" s="19">
        <f t="shared" si="6"/>
        <v>3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175.20000000000002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2">
        <v>3.1</v>
      </c>
      <c r="G27" s="372">
        <v>3.6</v>
      </c>
      <c r="H27" s="372">
        <v>3.6</v>
      </c>
      <c r="I27" s="372">
        <v>3</v>
      </c>
      <c r="J27" s="372">
        <v>3</v>
      </c>
      <c r="K27" s="372">
        <v>3.2</v>
      </c>
      <c r="L27" s="374">
        <v>3.5</v>
      </c>
      <c r="M27" s="374">
        <v>3.1</v>
      </c>
      <c r="N27" s="372">
        <v>3.5</v>
      </c>
      <c r="O27" s="372">
        <v>4.2</v>
      </c>
      <c r="P27" s="372">
        <v>4.2</v>
      </c>
      <c r="Q27" s="372">
        <v>3</v>
      </c>
      <c r="R27" s="372">
        <v>3.5</v>
      </c>
      <c r="S27" s="372">
        <v>4.3</v>
      </c>
      <c r="T27" s="372">
        <v>4.3</v>
      </c>
      <c r="U27" s="372">
        <v>4.3</v>
      </c>
      <c r="V27" s="372">
        <v>4</v>
      </c>
      <c r="W27" s="372">
        <v>4</v>
      </c>
      <c r="X27" s="372">
        <v>3.5</v>
      </c>
      <c r="Y27" s="372">
        <v>4.2</v>
      </c>
      <c r="Z27" s="374">
        <v>4</v>
      </c>
      <c r="AA27" s="372">
        <v>3</v>
      </c>
      <c r="AB27" s="372">
        <v>4.2</v>
      </c>
      <c r="AC27" s="372">
        <v>3.3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2">
        <v>3.1</v>
      </c>
      <c r="G28" s="372">
        <v>3.6</v>
      </c>
      <c r="H28" s="372">
        <v>3.6</v>
      </c>
      <c r="I28" s="372">
        <v>3</v>
      </c>
      <c r="J28" s="372">
        <v>3</v>
      </c>
      <c r="K28" s="374">
        <v>3.2</v>
      </c>
      <c r="L28" s="374">
        <v>3.5</v>
      </c>
      <c r="M28" s="374">
        <v>3.1</v>
      </c>
      <c r="N28" s="372">
        <v>3.5</v>
      </c>
      <c r="O28" s="372">
        <v>4.2</v>
      </c>
      <c r="P28" s="372">
        <v>4.2</v>
      </c>
      <c r="Q28" s="372">
        <v>3</v>
      </c>
      <c r="R28" s="372">
        <v>3.5</v>
      </c>
      <c r="S28" s="372">
        <v>4.3</v>
      </c>
      <c r="T28" s="372">
        <v>4.3</v>
      </c>
      <c r="U28" s="372">
        <v>4.3</v>
      </c>
      <c r="V28" s="372">
        <v>4</v>
      </c>
      <c r="W28" s="372">
        <v>4</v>
      </c>
      <c r="X28" s="372">
        <v>3.5</v>
      </c>
      <c r="Y28" s="372">
        <v>4.2</v>
      </c>
      <c r="Z28" s="374">
        <v>4</v>
      </c>
      <c r="AA28" s="372">
        <v>3</v>
      </c>
      <c r="AB28" s="372">
        <v>4.2</v>
      </c>
      <c r="AC28" s="372">
        <v>3.3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0</v>
      </c>
    </row>
    <row r="29" spans="1:51" ht="15" customHeight="1">
      <c r="A29" s="14" t="s">
        <v>30</v>
      </c>
      <c r="B29" s="369"/>
      <c r="C29" s="370">
        <v>8.8000000000000007</v>
      </c>
      <c r="D29" s="371"/>
      <c r="E29" s="371"/>
      <c r="F29" s="372"/>
      <c r="G29" s="372"/>
      <c r="H29" s="372"/>
      <c r="I29" s="372"/>
      <c r="J29" s="372"/>
      <c r="K29" s="374"/>
      <c r="L29" s="374"/>
      <c r="M29" s="374"/>
      <c r="N29" s="372"/>
      <c r="O29" s="372"/>
      <c r="P29" s="372"/>
      <c r="Q29" s="372"/>
      <c r="R29" s="372"/>
      <c r="S29" s="372"/>
      <c r="T29" s="372"/>
      <c r="U29" s="372"/>
      <c r="V29" s="372"/>
      <c r="W29" s="372"/>
      <c r="X29" s="372"/>
      <c r="Y29" s="372"/>
      <c r="Z29" s="372"/>
      <c r="AA29" s="372"/>
      <c r="AB29" s="372"/>
      <c r="AC29" s="372"/>
    </row>
    <row r="30" spans="1:51" ht="15" customHeight="1">
      <c r="A30" s="14" t="s">
        <v>31</v>
      </c>
      <c r="B30" s="369"/>
      <c r="C30" s="370">
        <v>8.8000000000000007</v>
      </c>
      <c r="D30" s="371"/>
      <c r="E30" s="371"/>
      <c r="F30" s="372"/>
      <c r="G30" s="372"/>
      <c r="H30" s="372"/>
      <c r="I30" s="372"/>
      <c r="J30" s="372"/>
      <c r="K30" s="374"/>
      <c r="L30" s="374"/>
      <c r="M30" s="374"/>
      <c r="N30" s="372"/>
      <c r="O30" s="372"/>
      <c r="P30" s="372"/>
      <c r="Q30" s="372"/>
      <c r="R30" s="372"/>
      <c r="S30" s="372"/>
      <c r="T30" s="372"/>
      <c r="U30" s="372"/>
      <c r="V30" s="372">
        <v>0</v>
      </c>
      <c r="W30" s="372">
        <v>0</v>
      </c>
      <c r="X30" s="372">
        <v>0</v>
      </c>
      <c r="Y30" s="372">
        <v>0</v>
      </c>
      <c r="Z30" s="372">
        <v>0</v>
      </c>
      <c r="AA30" s="372">
        <v>0</v>
      </c>
      <c r="AB30" s="372">
        <v>0</v>
      </c>
      <c r="AC30" s="372">
        <v>0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SUM(F27:F29)</f>
        <v>6.2</v>
      </c>
      <c r="G31" s="19">
        <f t="shared" ref="G31:AC31" si="8">SUM(G27:G29)</f>
        <v>7.2</v>
      </c>
      <c r="H31" s="19">
        <f t="shared" si="8"/>
        <v>7.2</v>
      </c>
      <c r="I31" s="19">
        <f t="shared" si="8"/>
        <v>6</v>
      </c>
      <c r="J31" s="19">
        <f t="shared" si="8"/>
        <v>6</v>
      </c>
      <c r="K31" s="19">
        <f t="shared" si="8"/>
        <v>6.4</v>
      </c>
      <c r="L31" s="19">
        <f t="shared" si="8"/>
        <v>7</v>
      </c>
      <c r="M31" s="19">
        <f t="shared" si="8"/>
        <v>6.2</v>
      </c>
      <c r="N31" s="19">
        <f t="shared" si="8"/>
        <v>7</v>
      </c>
      <c r="O31" s="19">
        <f t="shared" si="8"/>
        <v>8.4</v>
      </c>
      <c r="P31" s="19">
        <f t="shared" si="8"/>
        <v>8.4</v>
      </c>
      <c r="Q31" s="19">
        <f t="shared" si="8"/>
        <v>6</v>
      </c>
      <c r="R31" s="19">
        <f t="shared" si="8"/>
        <v>7</v>
      </c>
      <c r="S31" s="19">
        <f t="shared" si="8"/>
        <v>8.6</v>
      </c>
      <c r="T31" s="19">
        <f>SUM(T27:T29)</f>
        <v>8.6</v>
      </c>
      <c r="U31" s="19">
        <f t="shared" si="8"/>
        <v>8.6</v>
      </c>
      <c r="V31" s="19">
        <f t="shared" si="8"/>
        <v>8</v>
      </c>
      <c r="W31" s="19">
        <f t="shared" si="8"/>
        <v>8</v>
      </c>
      <c r="X31" s="19">
        <f>SUM(X27:X30)</f>
        <v>7</v>
      </c>
      <c r="Y31" s="19">
        <f>SUM(Y27:Y30)</f>
        <v>8.4</v>
      </c>
      <c r="Z31" s="19">
        <f t="shared" si="8"/>
        <v>8</v>
      </c>
      <c r="AA31" s="19">
        <f t="shared" si="8"/>
        <v>6</v>
      </c>
      <c r="AB31" s="19">
        <f t="shared" si="8"/>
        <v>8.4</v>
      </c>
      <c r="AC31" s="19">
        <f t="shared" si="8"/>
        <v>6.6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336</v>
      </c>
    </row>
    <row r="33" spans="1:36">
      <c r="A33" s="14" t="s">
        <v>22</v>
      </c>
      <c r="B33" s="15"/>
      <c r="C33" s="15">
        <v>15</v>
      </c>
      <c r="D33" s="15"/>
      <c r="E33" s="15"/>
      <c r="F33" s="372">
        <v>14.16</v>
      </c>
      <c r="G33" s="372">
        <v>13.77</v>
      </c>
      <c r="H33" s="372">
        <v>14.25</v>
      </c>
      <c r="I33" s="372">
        <v>14.28</v>
      </c>
      <c r="J33" s="372">
        <v>12.83</v>
      </c>
      <c r="K33" s="374">
        <v>12.85</v>
      </c>
      <c r="L33" s="374">
        <v>14.16</v>
      </c>
      <c r="M33" s="374">
        <v>14.33</v>
      </c>
      <c r="N33" s="372">
        <v>13.79</v>
      </c>
      <c r="O33" s="372">
        <v>14.31</v>
      </c>
      <c r="P33" s="372">
        <v>14.32</v>
      </c>
      <c r="Q33" s="372">
        <v>13.32</v>
      </c>
      <c r="R33" s="372">
        <v>13.31</v>
      </c>
      <c r="S33" s="372">
        <v>14.29</v>
      </c>
      <c r="T33" s="372">
        <v>14.28</v>
      </c>
      <c r="U33" s="372">
        <v>14.33</v>
      </c>
      <c r="V33" s="372">
        <v>14.31</v>
      </c>
      <c r="W33" s="372">
        <v>14.29</v>
      </c>
      <c r="X33" s="372">
        <v>14.32</v>
      </c>
      <c r="Y33" s="372">
        <v>14.3</v>
      </c>
      <c r="Z33" s="372">
        <v>14.28</v>
      </c>
      <c r="AA33" s="372">
        <v>13.81</v>
      </c>
      <c r="AB33" s="372">
        <v>14.32</v>
      </c>
      <c r="AC33" s="372">
        <v>13.79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9">SUM(F33)</f>
        <v>14.16</v>
      </c>
      <c r="G34" s="19">
        <f t="shared" ref="G34:AC34" si="10">SUM(G33)</f>
        <v>13.77</v>
      </c>
      <c r="H34" s="19">
        <f t="shared" si="10"/>
        <v>14.25</v>
      </c>
      <c r="I34" s="19">
        <f t="shared" si="10"/>
        <v>14.28</v>
      </c>
      <c r="J34" s="19">
        <f>SUM(J33)</f>
        <v>12.83</v>
      </c>
      <c r="K34" s="19">
        <f t="shared" si="10"/>
        <v>12.85</v>
      </c>
      <c r="L34" s="19">
        <f t="shared" si="10"/>
        <v>14.16</v>
      </c>
      <c r="M34" s="19">
        <f t="shared" si="10"/>
        <v>14.33</v>
      </c>
      <c r="N34" s="19">
        <f t="shared" si="10"/>
        <v>13.79</v>
      </c>
      <c r="O34" s="19">
        <f t="shared" si="10"/>
        <v>14.31</v>
      </c>
      <c r="P34" s="19">
        <f t="shared" si="10"/>
        <v>14.32</v>
      </c>
      <c r="Q34" s="19">
        <f t="shared" si="10"/>
        <v>13.32</v>
      </c>
      <c r="R34" s="19">
        <f t="shared" si="10"/>
        <v>13.31</v>
      </c>
      <c r="S34" s="19">
        <f t="shared" si="10"/>
        <v>14.29</v>
      </c>
      <c r="T34" s="19">
        <f t="shared" si="10"/>
        <v>14.28</v>
      </c>
      <c r="U34" s="19">
        <f t="shared" si="10"/>
        <v>14.33</v>
      </c>
      <c r="V34" s="19">
        <f t="shared" si="10"/>
        <v>14.31</v>
      </c>
      <c r="W34" s="19">
        <f t="shared" si="10"/>
        <v>14.29</v>
      </c>
      <c r="X34" s="19">
        <f t="shared" si="10"/>
        <v>14.32</v>
      </c>
      <c r="Y34" s="19">
        <f t="shared" si="10"/>
        <v>14.3</v>
      </c>
      <c r="Z34" s="19">
        <f t="shared" si="10"/>
        <v>14.28</v>
      </c>
      <c r="AA34" s="19">
        <f t="shared" si="10"/>
        <v>13.81</v>
      </c>
      <c r="AB34" s="19">
        <f t="shared" si="10"/>
        <v>14.32</v>
      </c>
      <c r="AC34" s="19">
        <f t="shared" si="10"/>
        <v>13.79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55"/>
      <c r="G35" s="455"/>
      <c r="H35" s="455"/>
      <c r="I35" s="455"/>
      <c r="J35" s="455"/>
      <c r="K35" s="455"/>
      <c r="L35" s="455"/>
      <c r="M35" s="455"/>
      <c r="N35" s="455"/>
      <c r="O35" s="455"/>
      <c r="P35" s="455"/>
      <c r="Q35" s="455"/>
      <c r="R35" s="455"/>
      <c r="S35" s="455"/>
      <c r="T35" s="455"/>
      <c r="U35" s="455"/>
      <c r="V35" s="455"/>
      <c r="W35" s="456"/>
      <c r="X35" s="455"/>
      <c r="Y35" s="455"/>
      <c r="Z35" s="455"/>
      <c r="AA35" s="455"/>
      <c r="AB35" s="455"/>
      <c r="AC35" s="455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35</v>
      </c>
    </row>
    <row r="36" spans="1:36">
      <c r="A36" s="70" t="s">
        <v>36</v>
      </c>
      <c r="B36" s="15"/>
      <c r="C36" s="15"/>
      <c r="D36" s="15"/>
      <c r="E36" s="15"/>
      <c r="F36" s="372"/>
      <c r="G36" s="372"/>
      <c r="H36" s="372"/>
      <c r="I36" s="372"/>
      <c r="J36" s="372"/>
      <c r="K36" s="374"/>
      <c r="L36" s="374"/>
      <c r="M36" s="374"/>
      <c r="N36" s="372"/>
      <c r="O36" s="372"/>
      <c r="P36" s="372"/>
      <c r="Q36" s="372"/>
      <c r="R36" s="372"/>
      <c r="S36" s="372"/>
      <c r="T36" s="372"/>
      <c r="U36" s="372"/>
      <c r="V36" s="372"/>
      <c r="W36" s="372"/>
      <c r="X36" s="372"/>
      <c r="Y36" s="372"/>
      <c r="Z36" s="372"/>
      <c r="AA36" s="372"/>
      <c r="AB36" s="372"/>
      <c r="AC36" s="372"/>
      <c r="AD36" s="41"/>
      <c r="AE36" s="41"/>
      <c r="AF36" s="11">
        <f t="shared" ref="AF36:AF59" si="11">COUNTIF(F36:AC36,$AJ$8)</f>
        <v>0</v>
      </c>
      <c r="AG36" s="11">
        <f t="shared" ref="AG36:AG59" si="12">COUNTIF(G36:AD36,$AJ$7)</f>
        <v>0</v>
      </c>
      <c r="AH36" s="11">
        <f t="shared" ref="AH36:AH59" si="13">COUNT(F36:AC36)</f>
        <v>0</v>
      </c>
      <c r="AI36" s="159">
        <f>SUM(F36:AC38,F40:AC40,F45:AC59)</f>
        <v>12.2</v>
      </c>
      <c r="AJ36" t="s">
        <v>37</v>
      </c>
    </row>
    <row r="37" spans="1:36">
      <c r="A37" s="70" t="s">
        <v>38</v>
      </c>
      <c r="B37" s="15"/>
      <c r="C37" s="15"/>
      <c r="D37" s="15"/>
      <c r="E37" s="15"/>
      <c r="F37" s="372"/>
      <c r="G37" s="372"/>
      <c r="H37" s="372"/>
      <c r="I37" s="372"/>
      <c r="J37" s="372"/>
      <c r="K37" s="374"/>
      <c r="L37" s="374"/>
      <c r="M37" s="374"/>
      <c r="N37" s="372"/>
      <c r="O37" s="372"/>
      <c r="P37" s="372"/>
      <c r="Q37" s="372"/>
      <c r="R37" s="372"/>
      <c r="S37" s="372"/>
      <c r="T37" s="372"/>
      <c r="U37" s="372"/>
      <c r="V37" s="372"/>
      <c r="W37" s="372"/>
      <c r="X37" s="372"/>
      <c r="Y37" s="372"/>
      <c r="Z37" s="372"/>
      <c r="AA37" s="372"/>
      <c r="AB37" s="372"/>
      <c r="AC37" s="372"/>
      <c r="AD37" s="41"/>
      <c r="AE37" s="41"/>
      <c r="AF37" s="11">
        <f t="shared" si="11"/>
        <v>0</v>
      </c>
      <c r="AG37" s="11">
        <f t="shared" si="12"/>
        <v>0</v>
      </c>
      <c r="AH37" s="11">
        <f t="shared" si="13"/>
        <v>0</v>
      </c>
    </row>
    <row r="38" spans="1:36">
      <c r="A38" s="70" t="s">
        <v>39</v>
      </c>
      <c r="B38" s="15"/>
      <c r="C38" s="15"/>
      <c r="D38" s="15"/>
      <c r="E38" s="15"/>
      <c r="F38" s="372"/>
      <c r="G38" s="372"/>
      <c r="H38" s="372"/>
      <c r="I38" s="372"/>
      <c r="J38" s="372"/>
      <c r="K38" s="374"/>
      <c r="L38" s="374"/>
      <c r="M38" s="374"/>
      <c r="N38" s="372"/>
      <c r="O38" s="372"/>
      <c r="P38" s="372"/>
      <c r="Q38" s="372"/>
      <c r="R38" s="372"/>
      <c r="S38" s="372"/>
      <c r="T38" s="372"/>
      <c r="U38" s="372"/>
      <c r="V38" s="372"/>
      <c r="W38" s="372"/>
      <c r="X38" s="372"/>
      <c r="Y38" s="372"/>
      <c r="Z38" s="372"/>
      <c r="AA38" s="372"/>
      <c r="AB38" s="372"/>
      <c r="AC38" s="372"/>
      <c r="AD38" s="41"/>
      <c r="AE38" s="41"/>
      <c r="AF38" s="11">
        <f t="shared" si="11"/>
        <v>0</v>
      </c>
      <c r="AG38" s="11">
        <f t="shared" si="12"/>
        <v>0</v>
      </c>
      <c r="AH38" s="11">
        <f t="shared" si="13"/>
        <v>0</v>
      </c>
    </row>
    <row r="39" spans="1:36">
      <c r="A39" s="70">
        <v>34</v>
      </c>
      <c r="B39" s="15"/>
      <c r="C39" s="15"/>
      <c r="D39" s="15"/>
      <c r="E39" s="15"/>
      <c r="F39" s="372"/>
      <c r="G39" s="372"/>
      <c r="H39" s="372"/>
      <c r="I39" s="372"/>
      <c r="J39" s="372"/>
      <c r="K39" s="374"/>
      <c r="L39" s="374"/>
      <c r="M39" s="374"/>
      <c r="N39" s="372"/>
      <c r="O39" s="372"/>
      <c r="P39" s="372"/>
      <c r="Q39" s="372"/>
      <c r="R39" s="372"/>
      <c r="S39" s="372"/>
      <c r="T39" s="372"/>
      <c r="U39" s="372"/>
      <c r="V39" s="372"/>
      <c r="W39" s="372"/>
      <c r="X39" s="372"/>
      <c r="Y39" s="372"/>
      <c r="Z39" s="372"/>
      <c r="AA39" s="372"/>
      <c r="AB39" s="372"/>
      <c r="AC39" s="372"/>
      <c r="AD39" s="41"/>
      <c r="AE39" s="41"/>
      <c r="AF39" s="11">
        <f t="shared" si="11"/>
        <v>0</v>
      </c>
      <c r="AG39" s="11">
        <f t="shared" si="12"/>
        <v>0</v>
      </c>
      <c r="AH39" s="11">
        <f t="shared" si="13"/>
        <v>0</v>
      </c>
    </row>
    <row r="40" spans="1:36">
      <c r="A40" s="70">
        <v>35</v>
      </c>
      <c r="B40" s="15"/>
      <c r="C40" s="15">
        <v>0.85</v>
      </c>
      <c r="D40" s="15"/>
      <c r="E40" s="15"/>
      <c r="F40" s="372" t="s">
        <v>9</v>
      </c>
      <c r="G40" s="372" t="s">
        <v>9</v>
      </c>
      <c r="H40" s="372" t="s">
        <v>9</v>
      </c>
      <c r="I40" s="372" t="s">
        <v>9</v>
      </c>
      <c r="J40" s="372" t="s">
        <v>9</v>
      </c>
      <c r="K40" s="374" t="s">
        <v>9</v>
      </c>
      <c r="L40" s="374" t="s">
        <v>9</v>
      </c>
      <c r="M40" s="374" t="s">
        <v>9</v>
      </c>
      <c r="N40" s="372" t="s">
        <v>9</v>
      </c>
      <c r="O40" s="372" t="s">
        <v>9</v>
      </c>
      <c r="P40" s="372" t="s">
        <v>9</v>
      </c>
      <c r="Q40" s="372" t="s">
        <v>9</v>
      </c>
      <c r="R40" s="372" t="s">
        <v>9</v>
      </c>
      <c r="S40" s="372" t="s">
        <v>9</v>
      </c>
      <c r="T40" s="372" t="s">
        <v>9</v>
      </c>
      <c r="U40" s="372" t="s">
        <v>9</v>
      </c>
      <c r="V40" s="372" t="s">
        <v>9</v>
      </c>
      <c r="W40" s="372" t="s">
        <v>9</v>
      </c>
      <c r="X40" s="372" t="s">
        <v>9</v>
      </c>
      <c r="Y40" s="372" t="s">
        <v>9</v>
      </c>
      <c r="Z40" s="372" t="s">
        <v>9</v>
      </c>
      <c r="AA40" s="372" t="s">
        <v>9</v>
      </c>
      <c r="AB40" s="372" t="s">
        <v>9</v>
      </c>
      <c r="AC40" s="372" t="s">
        <v>9</v>
      </c>
      <c r="AD40" s="41"/>
      <c r="AE40" s="41"/>
      <c r="AF40" s="11">
        <f t="shared" si="11"/>
        <v>24</v>
      </c>
      <c r="AG40" s="11">
        <f t="shared" si="12"/>
        <v>0</v>
      </c>
      <c r="AH40" s="11">
        <f t="shared" si="13"/>
        <v>0</v>
      </c>
    </row>
    <row r="41" spans="1:36">
      <c r="A41" s="70">
        <v>36</v>
      </c>
      <c r="B41" s="15"/>
      <c r="C41" s="15">
        <v>1</v>
      </c>
      <c r="D41" s="15"/>
      <c r="E41" s="15"/>
      <c r="F41" s="372" t="s">
        <v>9</v>
      </c>
      <c r="G41" s="372" t="s">
        <v>9</v>
      </c>
      <c r="H41" s="372" t="s">
        <v>9</v>
      </c>
      <c r="I41" s="372" t="s">
        <v>9</v>
      </c>
      <c r="J41" s="372" t="s">
        <v>9</v>
      </c>
      <c r="K41" s="374" t="s">
        <v>9</v>
      </c>
      <c r="L41" s="374" t="s">
        <v>9</v>
      </c>
      <c r="M41" s="374" t="s">
        <v>9</v>
      </c>
      <c r="N41" s="372" t="s">
        <v>9</v>
      </c>
      <c r="O41" s="372" t="s">
        <v>9</v>
      </c>
      <c r="P41" s="372" t="s">
        <v>9</v>
      </c>
      <c r="Q41" s="372" t="s">
        <v>9</v>
      </c>
      <c r="R41" s="372" t="s">
        <v>9</v>
      </c>
      <c r="S41" s="372" t="s">
        <v>9</v>
      </c>
      <c r="T41" s="372" t="s">
        <v>9</v>
      </c>
      <c r="U41" s="372" t="s">
        <v>9</v>
      </c>
      <c r="V41" s="372" t="s">
        <v>9</v>
      </c>
      <c r="W41" s="372" t="s">
        <v>9</v>
      </c>
      <c r="X41" s="372" t="s">
        <v>9</v>
      </c>
      <c r="Y41" s="372" t="s">
        <v>9</v>
      </c>
      <c r="Z41" s="372" t="s">
        <v>9</v>
      </c>
      <c r="AA41" s="372" t="s">
        <v>9</v>
      </c>
      <c r="AB41" s="372" t="s">
        <v>9</v>
      </c>
      <c r="AC41" s="372" t="s">
        <v>9</v>
      </c>
      <c r="AD41" s="41"/>
      <c r="AE41" s="41"/>
      <c r="AF41" s="11">
        <f t="shared" si="11"/>
        <v>24</v>
      </c>
      <c r="AG41" s="11">
        <f t="shared" si="12"/>
        <v>0</v>
      </c>
      <c r="AH41" s="11">
        <f t="shared" si="13"/>
        <v>0</v>
      </c>
    </row>
    <row r="42" spans="1:36">
      <c r="A42" s="70">
        <v>37</v>
      </c>
      <c r="B42" s="15"/>
      <c r="C42" s="15">
        <v>1</v>
      </c>
      <c r="D42" s="15"/>
      <c r="E42" s="15"/>
      <c r="F42" s="372"/>
      <c r="G42" s="372"/>
      <c r="H42" s="372"/>
      <c r="I42" s="372"/>
      <c r="J42" s="372"/>
      <c r="K42" s="372"/>
      <c r="L42" s="372"/>
      <c r="M42" s="372"/>
      <c r="N42" s="372"/>
      <c r="O42" s="372"/>
      <c r="P42" s="372"/>
      <c r="Q42" s="372"/>
      <c r="R42" s="372"/>
      <c r="S42" s="372"/>
      <c r="T42" s="372"/>
      <c r="U42" s="372"/>
      <c r="V42" s="372"/>
      <c r="W42" s="372"/>
      <c r="X42" s="372"/>
      <c r="Y42" s="372"/>
      <c r="Z42" s="372"/>
      <c r="AA42" s="372"/>
      <c r="AB42" s="372"/>
      <c r="AC42" s="372"/>
      <c r="AD42" s="41"/>
      <c r="AE42" s="41"/>
      <c r="AF42" s="11">
        <f t="shared" si="11"/>
        <v>0</v>
      </c>
      <c r="AG42" s="11">
        <f t="shared" si="12"/>
        <v>0</v>
      </c>
      <c r="AH42" s="11">
        <f t="shared" si="13"/>
        <v>0</v>
      </c>
    </row>
    <row r="43" spans="1:36">
      <c r="A43" s="70">
        <v>38</v>
      </c>
      <c r="B43" s="15"/>
      <c r="C43" s="15"/>
      <c r="D43" s="15"/>
      <c r="E43" s="15"/>
      <c r="F43" s="372" t="s">
        <v>9</v>
      </c>
      <c r="G43" s="372" t="s">
        <v>9</v>
      </c>
      <c r="H43" s="372" t="s">
        <v>9</v>
      </c>
      <c r="I43" s="372" t="s">
        <v>9</v>
      </c>
      <c r="J43" s="372" t="s">
        <v>9</v>
      </c>
      <c r="K43" s="374" t="s">
        <v>9</v>
      </c>
      <c r="L43" s="374" t="s">
        <v>9</v>
      </c>
      <c r="M43" s="374" t="s">
        <v>9</v>
      </c>
      <c r="N43" s="372" t="s">
        <v>9</v>
      </c>
      <c r="O43" s="372" t="s">
        <v>9</v>
      </c>
      <c r="P43" s="372" t="s">
        <v>9</v>
      </c>
      <c r="Q43" s="372" t="s">
        <v>9</v>
      </c>
      <c r="R43" s="372" t="s">
        <v>9</v>
      </c>
      <c r="S43" s="372" t="s">
        <v>9</v>
      </c>
      <c r="T43" s="372" t="s">
        <v>9</v>
      </c>
      <c r="U43" s="372" t="s">
        <v>9</v>
      </c>
      <c r="V43" s="372" t="s">
        <v>9</v>
      </c>
      <c r="W43" s="372" t="s">
        <v>9</v>
      </c>
      <c r="X43" s="372" t="s">
        <v>9</v>
      </c>
      <c r="Y43" s="372" t="s">
        <v>9</v>
      </c>
      <c r="Z43" s="372" t="s">
        <v>9</v>
      </c>
      <c r="AA43" s="372" t="s">
        <v>9</v>
      </c>
      <c r="AB43" s="372" t="s">
        <v>9</v>
      </c>
      <c r="AC43" s="372" t="s">
        <v>9</v>
      </c>
      <c r="AD43" s="41"/>
      <c r="AE43" s="41"/>
      <c r="AF43" s="11">
        <f t="shared" si="11"/>
        <v>24</v>
      </c>
      <c r="AG43" s="11">
        <f t="shared" si="12"/>
        <v>0</v>
      </c>
      <c r="AH43" s="11">
        <f t="shared" si="13"/>
        <v>0</v>
      </c>
    </row>
    <row r="44" spans="1:36" ht="16.5" customHeight="1">
      <c r="A44" s="70">
        <v>39</v>
      </c>
      <c r="B44" s="15"/>
      <c r="C44" s="15">
        <v>1</v>
      </c>
      <c r="D44" s="15"/>
      <c r="E44" s="15"/>
      <c r="F44" s="372" t="s">
        <v>9</v>
      </c>
      <c r="G44" s="372" t="s">
        <v>9</v>
      </c>
      <c r="H44" s="372" t="s">
        <v>9</v>
      </c>
      <c r="I44" s="372" t="s">
        <v>9</v>
      </c>
      <c r="J44" s="372" t="s">
        <v>9</v>
      </c>
      <c r="K44" s="374" t="s">
        <v>9</v>
      </c>
      <c r="L44" s="374" t="s">
        <v>9</v>
      </c>
      <c r="M44" s="374" t="s">
        <v>9</v>
      </c>
      <c r="N44" s="372" t="s">
        <v>9</v>
      </c>
      <c r="O44" s="372" t="s">
        <v>9</v>
      </c>
      <c r="P44" s="372" t="s">
        <v>9</v>
      </c>
      <c r="Q44" s="372" t="s">
        <v>9</v>
      </c>
      <c r="R44" s="372" t="s">
        <v>9</v>
      </c>
      <c r="S44" s="372" t="s">
        <v>9</v>
      </c>
      <c r="T44" s="372" t="s">
        <v>9</v>
      </c>
      <c r="U44" s="372" t="s">
        <v>9</v>
      </c>
      <c r="V44" s="372" t="s">
        <v>9</v>
      </c>
      <c r="W44" s="372" t="s">
        <v>9</v>
      </c>
      <c r="X44" s="372" t="s">
        <v>9</v>
      </c>
      <c r="Y44" s="372" t="s">
        <v>9</v>
      </c>
      <c r="Z44" s="372" t="s">
        <v>9</v>
      </c>
      <c r="AA44" s="372" t="s">
        <v>9</v>
      </c>
      <c r="AB44" s="372" t="s">
        <v>9</v>
      </c>
      <c r="AC44" s="372" t="s">
        <v>9</v>
      </c>
      <c r="AD44" s="41"/>
      <c r="AE44" s="41"/>
      <c r="AF44" s="11">
        <f t="shared" si="11"/>
        <v>24</v>
      </c>
      <c r="AG44" s="11">
        <f t="shared" si="12"/>
        <v>0</v>
      </c>
      <c r="AH44" s="11">
        <f t="shared" si="13"/>
        <v>0</v>
      </c>
    </row>
    <row r="45" spans="1:36" ht="16.5" customHeight="1">
      <c r="A45" s="70" t="s">
        <v>40</v>
      </c>
      <c r="B45" s="15"/>
      <c r="C45" s="15">
        <v>0.85</v>
      </c>
      <c r="D45" s="15"/>
      <c r="E45" s="15"/>
      <c r="F45" s="372"/>
      <c r="G45" s="372"/>
      <c r="H45" s="372"/>
      <c r="I45" s="372"/>
      <c r="J45" s="372"/>
      <c r="K45" s="374"/>
      <c r="L45" s="374"/>
      <c r="M45" s="374"/>
      <c r="N45" s="372"/>
      <c r="O45" s="372"/>
      <c r="P45" s="372"/>
      <c r="Q45" s="372"/>
      <c r="R45" s="372"/>
      <c r="S45" s="372"/>
      <c r="T45" s="372"/>
      <c r="U45" s="372"/>
      <c r="V45" s="372"/>
      <c r="W45" s="372"/>
      <c r="X45" s="372"/>
      <c r="Y45" s="372"/>
      <c r="Z45" s="372"/>
      <c r="AA45" s="372"/>
      <c r="AB45" s="372"/>
      <c r="AC45" s="372"/>
      <c r="AD45" s="41"/>
      <c r="AE45" s="41"/>
      <c r="AF45" s="11">
        <f t="shared" si="11"/>
        <v>0</v>
      </c>
      <c r="AG45" s="11">
        <f t="shared" si="12"/>
        <v>0</v>
      </c>
      <c r="AH45" s="11">
        <f t="shared" si="13"/>
        <v>0</v>
      </c>
      <c r="AI45" s="159"/>
    </row>
    <row r="46" spans="1:36">
      <c r="A46" s="70" t="s">
        <v>41</v>
      </c>
      <c r="B46" s="15"/>
      <c r="C46" s="15">
        <v>0.75</v>
      </c>
      <c r="D46" s="15"/>
      <c r="E46" s="15"/>
      <c r="F46" s="372"/>
      <c r="G46" s="372"/>
      <c r="H46" s="372"/>
      <c r="I46" s="372"/>
      <c r="J46" s="372"/>
      <c r="K46" s="374"/>
      <c r="L46" s="374"/>
      <c r="M46" s="374"/>
      <c r="N46" s="372"/>
      <c r="O46" s="372"/>
      <c r="P46" s="372"/>
      <c r="Q46" s="372"/>
      <c r="R46" s="372"/>
      <c r="S46" s="372"/>
      <c r="T46" s="372"/>
      <c r="U46" s="372"/>
      <c r="V46" s="372"/>
      <c r="W46" s="372"/>
      <c r="X46" s="372"/>
      <c r="Y46" s="372"/>
      <c r="Z46" s="372"/>
      <c r="AA46" s="372"/>
      <c r="AB46" s="372"/>
      <c r="AC46" s="372"/>
      <c r="AD46" s="41"/>
      <c r="AE46" s="41"/>
      <c r="AF46" s="11">
        <f t="shared" si="11"/>
        <v>0</v>
      </c>
      <c r="AG46" s="11">
        <f t="shared" si="12"/>
        <v>0</v>
      </c>
      <c r="AH46" s="11">
        <f t="shared" si="13"/>
        <v>0</v>
      </c>
      <c r="AI46" s="159"/>
    </row>
    <row r="47" spans="1:36">
      <c r="A47" s="70" t="s">
        <v>42</v>
      </c>
      <c r="B47" s="15"/>
      <c r="C47" s="15">
        <v>0.75</v>
      </c>
      <c r="D47" s="15"/>
      <c r="E47" s="15"/>
      <c r="F47" s="372"/>
      <c r="G47" s="372"/>
      <c r="H47" s="372"/>
      <c r="I47" s="372"/>
      <c r="J47" s="372"/>
      <c r="K47" s="374"/>
      <c r="L47" s="374"/>
      <c r="M47" s="374">
        <v>0.8</v>
      </c>
      <c r="N47" s="374"/>
      <c r="O47" s="372"/>
      <c r="P47" s="372"/>
      <c r="Q47" s="372"/>
      <c r="R47" s="372"/>
      <c r="S47" s="372"/>
      <c r="T47" s="372"/>
      <c r="U47" s="372"/>
      <c r="V47" s="372">
        <v>0.75</v>
      </c>
      <c r="W47" s="372">
        <v>0</v>
      </c>
      <c r="X47" s="372">
        <v>0</v>
      </c>
      <c r="Y47" s="372">
        <v>0</v>
      </c>
      <c r="Z47" s="372">
        <v>0</v>
      </c>
      <c r="AA47" s="372">
        <v>0</v>
      </c>
      <c r="AB47" s="372">
        <v>0.8</v>
      </c>
      <c r="AC47" s="372"/>
      <c r="AD47" s="41"/>
      <c r="AE47" s="41"/>
      <c r="AF47" s="11">
        <f t="shared" si="11"/>
        <v>0</v>
      </c>
      <c r="AG47" s="11">
        <f t="shared" si="12"/>
        <v>0</v>
      </c>
      <c r="AH47" s="11">
        <f t="shared" si="13"/>
        <v>8</v>
      </c>
    </row>
    <row r="48" spans="1:36">
      <c r="A48" s="70" t="s">
        <v>43</v>
      </c>
      <c r="B48" s="15"/>
      <c r="C48" s="15">
        <v>0.75</v>
      </c>
      <c r="D48" s="15"/>
      <c r="E48" s="15"/>
      <c r="F48" s="372"/>
      <c r="G48" s="372"/>
      <c r="H48" s="372"/>
      <c r="I48" s="372"/>
      <c r="J48" s="372"/>
      <c r="K48" s="374"/>
      <c r="L48" s="374"/>
      <c r="M48" s="374"/>
      <c r="N48" s="372"/>
      <c r="O48" s="372"/>
      <c r="P48" s="372"/>
      <c r="Q48" s="372"/>
      <c r="R48" s="372"/>
      <c r="S48" s="372"/>
      <c r="T48" s="372"/>
      <c r="U48" s="372"/>
      <c r="V48" s="372"/>
      <c r="W48" s="372"/>
      <c r="X48" s="372"/>
      <c r="Y48" s="372"/>
      <c r="Z48" s="372"/>
      <c r="AA48" s="372"/>
      <c r="AB48" s="372"/>
      <c r="AC48" s="372"/>
      <c r="AD48" s="41"/>
      <c r="AE48" s="41"/>
      <c r="AF48" s="11">
        <f t="shared" si="11"/>
        <v>0</v>
      </c>
      <c r="AG48" s="11">
        <f t="shared" si="12"/>
        <v>0</v>
      </c>
      <c r="AH48" s="11">
        <f t="shared" si="13"/>
        <v>0</v>
      </c>
    </row>
    <row r="49" spans="1:124" ht="15" customHeight="1">
      <c r="A49" s="70" t="s">
        <v>44</v>
      </c>
      <c r="B49" s="15"/>
      <c r="C49" s="15">
        <v>0.75</v>
      </c>
      <c r="D49" s="15"/>
      <c r="E49" s="15"/>
      <c r="F49" s="372"/>
      <c r="G49" s="372"/>
      <c r="H49" s="372"/>
      <c r="I49" s="372"/>
      <c r="J49" s="372"/>
      <c r="K49" s="374"/>
      <c r="L49" s="374"/>
      <c r="M49" s="374"/>
      <c r="N49" s="372"/>
      <c r="O49" s="372"/>
      <c r="P49" s="372"/>
      <c r="Q49" s="372"/>
      <c r="R49" s="372"/>
      <c r="S49" s="372"/>
      <c r="T49" s="372"/>
      <c r="U49" s="372"/>
      <c r="V49" s="372"/>
      <c r="W49" s="372"/>
      <c r="X49" s="372"/>
      <c r="Y49" s="372"/>
      <c r="Z49" s="372"/>
      <c r="AA49" s="372"/>
      <c r="AB49" s="372"/>
      <c r="AC49" s="372"/>
      <c r="AD49" s="41"/>
      <c r="AE49" s="41"/>
      <c r="AF49" s="11">
        <f t="shared" si="11"/>
        <v>0</v>
      </c>
      <c r="AG49" s="11">
        <f t="shared" si="12"/>
        <v>0</v>
      </c>
      <c r="AH49" s="11">
        <f t="shared" si="13"/>
        <v>0</v>
      </c>
    </row>
    <row r="50" spans="1:124" ht="17.25" customHeight="1">
      <c r="A50" s="70" t="s">
        <v>45</v>
      </c>
      <c r="B50" s="15"/>
      <c r="C50" s="15">
        <v>0.75</v>
      </c>
      <c r="D50" s="15"/>
      <c r="E50" s="15"/>
      <c r="F50" s="372">
        <v>0</v>
      </c>
      <c r="G50" s="372">
        <v>0</v>
      </c>
      <c r="H50" s="372">
        <v>0</v>
      </c>
      <c r="I50" s="372">
        <v>0</v>
      </c>
      <c r="J50" s="372">
        <v>0</v>
      </c>
      <c r="K50" s="374">
        <v>0</v>
      </c>
      <c r="L50" s="374">
        <v>0</v>
      </c>
      <c r="M50" s="374">
        <v>0</v>
      </c>
      <c r="N50" s="374">
        <v>0</v>
      </c>
      <c r="O50" s="372">
        <v>0.75</v>
      </c>
      <c r="P50" s="372"/>
      <c r="Q50" s="372"/>
      <c r="R50" s="372"/>
      <c r="S50" s="372">
        <v>0.75</v>
      </c>
      <c r="T50" s="372"/>
      <c r="U50" s="372"/>
      <c r="V50" s="372"/>
      <c r="W50" s="372"/>
      <c r="X50" s="372"/>
      <c r="Y50" s="372">
        <v>0.8</v>
      </c>
      <c r="Z50" s="372"/>
      <c r="AA50" s="372"/>
      <c r="AB50" s="372"/>
      <c r="AC50" s="372"/>
      <c r="AD50" s="41"/>
      <c r="AE50" s="41"/>
      <c r="AF50" s="11">
        <f t="shared" si="11"/>
        <v>0</v>
      </c>
      <c r="AG50" s="11">
        <f t="shared" si="12"/>
        <v>0</v>
      </c>
      <c r="AH50" s="11">
        <f t="shared" si="13"/>
        <v>12</v>
      </c>
    </row>
    <row r="51" spans="1:124">
      <c r="A51" s="70" t="s">
        <v>46</v>
      </c>
      <c r="B51" s="15"/>
      <c r="C51" s="15">
        <v>0.85</v>
      </c>
      <c r="D51" s="15"/>
      <c r="E51" s="15"/>
      <c r="F51" s="372"/>
      <c r="G51" s="372"/>
      <c r="H51" s="372"/>
      <c r="I51" s="372"/>
      <c r="J51" s="372"/>
      <c r="K51" s="374"/>
      <c r="L51" s="374"/>
      <c r="M51" s="374"/>
      <c r="N51" s="374"/>
      <c r="O51" s="372"/>
      <c r="P51" s="372"/>
      <c r="Q51" s="372"/>
      <c r="R51" s="372"/>
      <c r="S51" s="372"/>
      <c r="T51" s="372">
        <v>0.8</v>
      </c>
      <c r="U51" s="372">
        <v>0.75</v>
      </c>
      <c r="V51" s="372">
        <v>0.75</v>
      </c>
      <c r="W51" s="372">
        <v>0</v>
      </c>
      <c r="X51" s="372">
        <v>0</v>
      </c>
      <c r="Y51" s="372">
        <v>0</v>
      </c>
      <c r="Z51" s="372">
        <v>0</v>
      </c>
      <c r="AA51" s="372">
        <v>0</v>
      </c>
      <c r="AB51" s="372"/>
      <c r="AC51" s="372"/>
      <c r="AD51" s="41"/>
      <c r="AE51" s="41"/>
      <c r="AF51" s="11">
        <f t="shared" si="11"/>
        <v>0</v>
      </c>
      <c r="AG51" s="11">
        <f t="shared" si="12"/>
        <v>0</v>
      </c>
      <c r="AH51" s="11">
        <f t="shared" si="13"/>
        <v>8</v>
      </c>
    </row>
    <row r="52" spans="1:124">
      <c r="A52" s="70" t="s">
        <v>47</v>
      </c>
      <c r="B52" s="15"/>
      <c r="C52" s="15">
        <v>0.85</v>
      </c>
      <c r="D52" s="15"/>
      <c r="E52" s="15"/>
      <c r="F52" s="372" t="s">
        <v>9</v>
      </c>
      <c r="G52" s="372" t="s">
        <v>9</v>
      </c>
      <c r="H52" s="372" t="s">
        <v>9</v>
      </c>
      <c r="I52" s="372" t="s">
        <v>9</v>
      </c>
      <c r="J52" s="372" t="s">
        <v>9</v>
      </c>
      <c r="K52" s="374" t="s">
        <v>9</v>
      </c>
      <c r="L52" s="374" t="s">
        <v>9</v>
      </c>
      <c r="M52" s="374" t="s">
        <v>9</v>
      </c>
      <c r="N52" s="372" t="s">
        <v>9</v>
      </c>
      <c r="O52" s="372" t="s">
        <v>9</v>
      </c>
      <c r="P52" s="372" t="s">
        <v>9</v>
      </c>
      <c r="Q52" s="372" t="s">
        <v>9</v>
      </c>
      <c r="R52" s="372" t="s">
        <v>9</v>
      </c>
      <c r="S52" s="372" t="s">
        <v>9</v>
      </c>
      <c r="T52" s="372" t="s">
        <v>9</v>
      </c>
      <c r="U52" s="372" t="s">
        <v>9</v>
      </c>
      <c r="V52" s="372" t="s">
        <v>9</v>
      </c>
      <c r="W52" s="372" t="s">
        <v>9</v>
      </c>
      <c r="X52" s="372" t="s">
        <v>9</v>
      </c>
      <c r="Y52" s="372" t="s">
        <v>9</v>
      </c>
      <c r="Z52" s="372" t="s">
        <v>9</v>
      </c>
      <c r="AA52" s="372" t="s">
        <v>9</v>
      </c>
      <c r="AB52" s="372" t="s">
        <v>9</v>
      </c>
      <c r="AC52" s="372" t="s">
        <v>9</v>
      </c>
      <c r="AD52" s="41"/>
      <c r="AE52" s="41"/>
      <c r="AF52" s="11">
        <f t="shared" si="11"/>
        <v>24</v>
      </c>
      <c r="AG52" s="11">
        <f t="shared" si="12"/>
        <v>0</v>
      </c>
      <c r="AH52" s="11">
        <f t="shared" si="13"/>
        <v>0</v>
      </c>
    </row>
    <row r="53" spans="1:124">
      <c r="A53" s="70" t="s">
        <v>48</v>
      </c>
      <c r="B53" s="15"/>
      <c r="C53" s="15">
        <v>0.85</v>
      </c>
      <c r="D53" s="15"/>
      <c r="E53" s="15"/>
      <c r="F53" s="372"/>
      <c r="G53" s="372"/>
      <c r="H53" s="372"/>
      <c r="I53" s="372"/>
      <c r="J53" s="372"/>
      <c r="K53" s="374"/>
      <c r="L53" s="374"/>
      <c r="M53" s="374"/>
      <c r="N53" s="372"/>
      <c r="O53" s="372"/>
      <c r="P53" s="372"/>
      <c r="Q53" s="372"/>
      <c r="R53" s="372"/>
      <c r="S53" s="372"/>
      <c r="T53" s="372"/>
      <c r="U53" s="372"/>
      <c r="V53" s="372"/>
      <c r="W53" s="372"/>
      <c r="X53" s="372"/>
      <c r="Y53" s="372"/>
      <c r="Z53" s="372"/>
      <c r="AA53" s="372"/>
      <c r="AB53" s="372"/>
      <c r="AC53" s="372"/>
      <c r="AD53" s="41"/>
      <c r="AE53" s="41"/>
      <c r="AF53" s="11">
        <f t="shared" si="11"/>
        <v>0</v>
      </c>
      <c r="AG53" s="11">
        <f t="shared" si="12"/>
        <v>0</v>
      </c>
      <c r="AH53" s="11">
        <f t="shared" si="13"/>
        <v>0</v>
      </c>
    </row>
    <row r="54" spans="1:124" ht="16.5" customHeight="1">
      <c r="A54" s="70" t="s">
        <v>49</v>
      </c>
      <c r="B54" s="15"/>
      <c r="C54" s="15">
        <v>0.85</v>
      </c>
      <c r="D54" s="15"/>
      <c r="E54" s="15"/>
      <c r="F54" s="372"/>
      <c r="G54" s="372"/>
      <c r="H54" s="372"/>
      <c r="I54" s="372"/>
      <c r="J54" s="372"/>
      <c r="K54" s="374"/>
      <c r="L54" s="374"/>
      <c r="M54" s="374"/>
      <c r="N54" s="374"/>
      <c r="O54" s="372"/>
      <c r="P54" s="372"/>
      <c r="Q54" s="372"/>
      <c r="R54" s="372"/>
      <c r="S54" s="372"/>
      <c r="T54" s="372">
        <v>0.75</v>
      </c>
      <c r="U54" s="372">
        <v>0.75</v>
      </c>
      <c r="V54" s="372">
        <v>0</v>
      </c>
      <c r="W54" s="372">
        <v>0</v>
      </c>
      <c r="X54" s="372">
        <v>0</v>
      </c>
      <c r="Y54" s="372">
        <v>0.8</v>
      </c>
      <c r="Z54" s="372"/>
      <c r="AA54" s="372"/>
      <c r="AB54" s="372"/>
      <c r="AC54" s="372"/>
      <c r="AD54" s="41"/>
      <c r="AE54" s="41"/>
      <c r="AF54" s="11">
        <f t="shared" si="11"/>
        <v>0</v>
      </c>
      <c r="AG54" s="11">
        <f t="shared" si="12"/>
        <v>0</v>
      </c>
      <c r="AH54" s="11">
        <f t="shared" si="13"/>
        <v>6</v>
      </c>
    </row>
    <row r="55" spans="1:124">
      <c r="A55" s="70" t="s">
        <v>50</v>
      </c>
      <c r="B55" s="15"/>
      <c r="C55" s="15">
        <v>0.85</v>
      </c>
      <c r="D55" s="15"/>
      <c r="E55" s="15"/>
      <c r="F55" s="372"/>
      <c r="G55" s="372"/>
      <c r="H55" s="372"/>
      <c r="I55" s="372"/>
      <c r="J55" s="372"/>
      <c r="K55" s="374"/>
      <c r="L55" s="374"/>
      <c r="M55" s="374"/>
      <c r="N55" s="372"/>
      <c r="O55" s="372"/>
      <c r="P55" s="372"/>
      <c r="Q55" s="372"/>
      <c r="R55" s="372"/>
      <c r="S55" s="372"/>
      <c r="T55" s="372"/>
      <c r="U55" s="372"/>
      <c r="V55" s="372"/>
      <c r="W55" s="372"/>
      <c r="X55" s="372"/>
      <c r="Y55" s="372"/>
      <c r="Z55" s="372"/>
      <c r="AA55" s="372"/>
      <c r="AB55" s="372"/>
      <c r="AC55" s="372"/>
      <c r="AD55" s="41"/>
      <c r="AE55" s="41"/>
      <c r="AF55" s="11">
        <f>COUNTIF(F55:AC55,$AJ$8)</f>
        <v>0</v>
      </c>
      <c r="AG55" s="11">
        <f t="shared" si="12"/>
        <v>0</v>
      </c>
      <c r="AH55" s="11">
        <f>COUNT(F55:AC55)</f>
        <v>0</v>
      </c>
    </row>
    <row r="56" spans="1:124">
      <c r="A56" s="70" t="s">
        <v>51</v>
      </c>
      <c r="B56" s="15"/>
      <c r="C56" s="15">
        <v>0.75</v>
      </c>
      <c r="D56" s="15"/>
      <c r="E56" s="15"/>
      <c r="F56" s="372">
        <v>0</v>
      </c>
      <c r="G56" s="372">
        <v>0</v>
      </c>
      <c r="H56" s="372">
        <v>0</v>
      </c>
      <c r="I56" s="372">
        <v>0</v>
      </c>
      <c r="J56" s="372">
        <v>0</v>
      </c>
      <c r="K56" s="374">
        <v>0</v>
      </c>
      <c r="L56" s="374">
        <v>0</v>
      </c>
      <c r="M56" s="374">
        <v>0</v>
      </c>
      <c r="N56" s="374">
        <v>0</v>
      </c>
      <c r="O56" s="372">
        <v>0.75</v>
      </c>
      <c r="P56" s="372"/>
      <c r="Q56" s="372"/>
      <c r="R56" s="372"/>
      <c r="S56" s="372">
        <v>0.75</v>
      </c>
      <c r="T56" s="372">
        <v>0.75</v>
      </c>
      <c r="U56" s="372">
        <v>0</v>
      </c>
      <c r="V56" s="372">
        <v>0</v>
      </c>
      <c r="W56" s="372">
        <v>0</v>
      </c>
      <c r="X56" s="372">
        <v>0</v>
      </c>
      <c r="Y56" s="372">
        <v>0.7</v>
      </c>
      <c r="Z56" s="372"/>
      <c r="AA56" s="372"/>
      <c r="AB56" s="372"/>
      <c r="AC56" s="372"/>
      <c r="AD56" s="41"/>
      <c r="AE56" s="41"/>
      <c r="AF56" s="11">
        <f t="shared" si="11"/>
        <v>0</v>
      </c>
      <c r="AG56" s="11">
        <f t="shared" si="12"/>
        <v>0</v>
      </c>
      <c r="AH56" s="11">
        <f t="shared" si="13"/>
        <v>17</v>
      </c>
    </row>
    <row r="57" spans="1:124">
      <c r="A57" s="70" t="s">
        <v>52</v>
      </c>
      <c r="B57" s="15"/>
      <c r="C57" s="15">
        <v>0.75</v>
      </c>
      <c r="D57" s="15"/>
      <c r="E57" s="15"/>
      <c r="F57" s="372"/>
      <c r="G57" s="372"/>
      <c r="H57" s="372"/>
      <c r="I57" s="372"/>
      <c r="J57" s="372"/>
      <c r="K57" s="374"/>
      <c r="L57" s="374"/>
      <c r="M57" s="374"/>
      <c r="N57" s="372"/>
      <c r="O57" s="372"/>
      <c r="P57" s="372"/>
      <c r="Q57" s="372"/>
      <c r="R57" s="372"/>
      <c r="S57" s="372"/>
      <c r="T57" s="372"/>
      <c r="U57" s="372"/>
      <c r="V57" s="372"/>
      <c r="W57" s="372"/>
      <c r="X57" s="372"/>
      <c r="Y57" s="372"/>
      <c r="Z57" s="372"/>
      <c r="AA57" s="372"/>
      <c r="AB57" s="372"/>
      <c r="AC57" s="372"/>
      <c r="AD57" s="41"/>
      <c r="AE57" s="41"/>
      <c r="AF57" s="11">
        <f t="shared" si="11"/>
        <v>0</v>
      </c>
      <c r="AG57" s="11">
        <f t="shared" si="12"/>
        <v>0</v>
      </c>
      <c r="AH57" s="11">
        <f t="shared" si="13"/>
        <v>0</v>
      </c>
    </row>
    <row r="58" spans="1:124">
      <c r="A58" s="70" t="s">
        <v>53</v>
      </c>
      <c r="B58" s="15"/>
      <c r="C58" s="15">
        <v>0.85</v>
      </c>
      <c r="D58" s="15"/>
      <c r="E58" s="15"/>
      <c r="F58" s="372"/>
      <c r="G58" s="372"/>
      <c r="H58" s="372"/>
      <c r="I58" s="372"/>
      <c r="J58" s="372"/>
      <c r="K58" s="374"/>
      <c r="L58" s="374"/>
      <c r="M58" s="374"/>
      <c r="N58" s="372"/>
      <c r="O58" s="372"/>
      <c r="P58" s="372"/>
      <c r="Q58" s="372"/>
      <c r="R58" s="372"/>
      <c r="S58" s="372"/>
      <c r="T58" s="372"/>
      <c r="U58" s="372"/>
      <c r="V58" s="372"/>
      <c r="W58" s="372"/>
      <c r="X58" s="372"/>
      <c r="Y58" s="372"/>
      <c r="Z58" s="372"/>
      <c r="AA58" s="372"/>
      <c r="AB58" s="372"/>
      <c r="AC58" s="372"/>
      <c r="AD58" s="41"/>
      <c r="AE58" s="41"/>
      <c r="AF58" s="11">
        <f t="shared" si="11"/>
        <v>0</v>
      </c>
      <c r="AG58" s="11">
        <f t="shared" si="12"/>
        <v>0</v>
      </c>
      <c r="AH58" s="11">
        <f t="shared" si="13"/>
        <v>0</v>
      </c>
    </row>
    <row r="59" spans="1:124">
      <c r="A59" s="70" t="s">
        <v>54</v>
      </c>
      <c r="B59" s="15"/>
      <c r="C59" s="15">
        <v>0.85</v>
      </c>
      <c r="D59" s="15"/>
      <c r="E59" s="15"/>
      <c r="F59" s="372"/>
      <c r="G59" s="372"/>
      <c r="H59" s="372"/>
      <c r="I59" s="372"/>
      <c r="J59" s="372"/>
      <c r="K59" s="374"/>
      <c r="L59" s="374"/>
      <c r="M59" s="374"/>
      <c r="N59" s="372"/>
      <c r="O59" s="372"/>
      <c r="P59" s="372"/>
      <c r="Q59" s="372"/>
      <c r="R59" s="372"/>
      <c r="S59" s="372"/>
      <c r="T59" s="372"/>
      <c r="U59" s="372"/>
      <c r="V59" s="372"/>
      <c r="W59" s="372"/>
      <c r="X59" s="372"/>
      <c r="Y59" s="372"/>
      <c r="Z59" s="372"/>
      <c r="AA59" s="372"/>
      <c r="AB59" s="372"/>
      <c r="AC59" s="372"/>
      <c r="AD59" s="41"/>
      <c r="AE59" s="41"/>
      <c r="AF59" s="11">
        <f t="shared" si="11"/>
        <v>0</v>
      </c>
      <c r="AG59" s="11">
        <f t="shared" si="12"/>
        <v>0</v>
      </c>
      <c r="AH59" s="11">
        <f t="shared" si="13"/>
        <v>0</v>
      </c>
    </row>
    <row r="60" spans="1:124">
      <c r="A60" s="9" t="s">
        <v>26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 t="shared" ref="F60" si="14">SUM(F36:F59)</f>
        <v>0</v>
      </c>
      <c r="G60" s="19">
        <f t="shared" ref="G60:AC60" si="15">SUM(G36:G59)</f>
        <v>0</v>
      </c>
      <c r="H60" s="19">
        <f t="shared" si="15"/>
        <v>0</v>
      </c>
      <c r="I60" s="19">
        <f t="shared" si="15"/>
        <v>0</v>
      </c>
      <c r="J60" s="19">
        <f t="shared" si="15"/>
        <v>0</v>
      </c>
      <c r="K60" s="19">
        <f t="shared" si="15"/>
        <v>0</v>
      </c>
      <c r="L60" s="19">
        <f t="shared" si="15"/>
        <v>0</v>
      </c>
      <c r="M60" s="19">
        <f t="shared" si="15"/>
        <v>0.8</v>
      </c>
      <c r="N60" s="19">
        <f t="shared" si="15"/>
        <v>0</v>
      </c>
      <c r="O60" s="19">
        <f>SUM(O36:O59)</f>
        <v>1.5</v>
      </c>
      <c r="P60" s="19">
        <f t="shared" si="15"/>
        <v>0</v>
      </c>
      <c r="Q60" s="19">
        <f t="shared" si="15"/>
        <v>0</v>
      </c>
      <c r="R60" s="19">
        <f t="shared" si="15"/>
        <v>0</v>
      </c>
      <c r="S60" s="19">
        <f t="shared" si="15"/>
        <v>1.5</v>
      </c>
      <c r="T60" s="19">
        <f>SUM(T36:T59)</f>
        <v>2.2999999999999998</v>
      </c>
      <c r="U60" s="19">
        <f t="shared" si="15"/>
        <v>1.5</v>
      </c>
      <c r="V60" s="19">
        <f t="shared" si="15"/>
        <v>1.5</v>
      </c>
      <c r="W60" s="19">
        <f t="shared" si="15"/>
        <v>0</v>
      </c>
      <c r="X60" s="19">
        <f t="shared" si="15"/>
        <v>0</v>
      </c>
      <c r="Y60" s="19">
        <f t="shared" si="15"/>
        <v>2.2999999999999998</v>
      </c>
      <c r="Z60" s="19">
        <f t="shared" si="15"/>
        <v>0</v>
      </c>
      <c r="AA60" s="19">
        <f t="shared" si="15"/>
        <v>0</v>
      </c>
      <c r="AB60" s="19">
        <f t="shared" si="15"/>
        <v>0.8</v>
      </c>
      <c r="AC60" s="19">
        <f t="shared" si="15"/>
        <v>0</v>
      </c>
      <c r="AD60" s="34"/>
      <c r="AE60" s="34"/>
      <c r="AF60" s="11"/>
      <c r="AG60" s="11"/>
      <c r="AH60" s="11"/>
    </row>
    <row r="61" spans="1:124">
      <c r="A61" s="12" t="s">
        <v>55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29.360800000000005</v>
      </c>
      <c r="AN61" s="351"/>
    </row>
    <row r="62" spans="1:124">
      <c r="A62" s="14" t="s">
        <v>56</v>
      </c>
      <c r="B62" s="20"/>
      <c r="C62" s="15">
        <v>0.75</v>
      </c>
      <c r="D62" s="15"/>
      <c r="E62" s="15"/>
      <c r="F62" s="372"/>
      <c r="G62" s="372">
        <f>1.09/2</f>
        <v>0.54500000000000004</v>
      </c>
      <c r="H62" s="372">
        <f>1/2</f>
        <v>0.5</v>
      </c>
      <c r="I62" s="372">
        <f>0.98/2</f>
        <v>0.49</v>
      </c>
      <c r="J62" s="374">
        <f>0.91/2</f>
        <v>0.45500000000000002</v>
      </c>
      <c r="K62" s="374">
        <f>0.99/2</f>
        <v>0.495</v>
      </c>
      <c r="L62" s="374">
        <f>0.94/2</f>
        <v>0.47</v>
      </c>
      <c r="M62" s="374">
        <v>0.51</v>
      </c>
      <c r="N62" s="372">
        <v>0.75</v>
      </c>
      <c r="O62" s="372">
        <v>0.64</v>
      </c>
      <c r="P62" s="372">
        <v>0.66</v>
      </c>
      <c r="Q62" s="372">
        <v>0.64500000000000002</v>
      </c>
      <c r="R62" s="372">
        <v>0.6754</v>
      </c>
      <c r="S62" s="372"/>
      <c r="T62" s="372"/>
      <c r="U62" s="372"/>
      <c r="V62" s="372"/>
      <c r="W62" s="372"/>
      <c r="X62" s="372"/>
      <c r="Y62" s="372"/>
      <c r="Z62" s="372">
        <f>1.49/2</f>
        <v>0.745</v>
      </c>
      <c r="AA62" s="372">
        <f>1.38/2</f>
        <v>0.69</v>
      </c>
      <c r="AB62" s="372">
        <f>1.25/2</f>
        <v>0.625</v>
      </c>
      <c r="AC62" s="372">
        <f>1.14/2</f>
        <v>0.56999999999999995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16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57</v>
      </c>
      <c r="B63" s="20"/>
      <c r="C63" s="15">
        <v>0.75</v>
      </c>
      <c r="D63" s="15"/>
      <c r="E63" s="15"/>
      <c r="F63" s="372">
        <f>1.17/2</f>
        <v>0.58499999999999996</v>
      </c>
      <c r="G63" s="372"/>
      <c r="H63" s="372"/>
      <c r="I63" s="372"/>
      <c r="J63" s="374"/>
      <c r="K63" s="374"/>
      <c r="L63" s="374"/>
      <c r="M63" s="374">
        <v>0.51</v>
      </c>
      <c r="N63" s="372">
        <v>0.75</v>
      </c>
      <c r="O63" s="372">
        <v>0.64</v>
      </c>
      <c r="P63" s="372">
        <v>0.66</v>
      </c>
      <c r="Q63" s="372">
        <v>0.64500000000000002</v>
      </c>
      <c r="R63" s="372">
        <v>0.6754</v>
      </c>
      <c r="S63" s="372">
        <v>0.66500000000000004</v>
      </c>
      <c r="T63" s="372">
        <v>0.57999999999999996</v>
      </c>
      <c r="U63" s="372">
        <f>1.26/2</f>
        <v>0.63</v>
      </c>
      <c r="V63" s="372">
        <f>1.35/2</f>
        <v>0.67500000000000004</v>
      </c>
      <c r="W63" s="372">
        <f>1.31/2</f>
        <v>0.65500000000000003</v>
      </c>
      <c r="X63" s="372">
        <f>1.32/2</f>
        <v>0.66</v>
      </c>
      <c r="Y63" s="372">
        <f>1.53/2</f>
        <v>0.76500000000000001</v>
      </c>
      <c r="Z63" s="372"/>
      <c r="AA63" s="372"/>
      <c r="AB63" s="372"/>
      <c r="AC63" s="372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14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58</v>
      </c>
      <c r="B64" s="20"/>
      <c r="C64" s="15">
        <v>0.75</v>
      </c>
      <c r="D64" s="15"/>
      <c r="E64" s="15"/>
      <c r="F64" s="372">
        <f>1.17/2</f>
        <v>0.58499999999999996</v>
      </c>
      <c r="G64" s="372">
        <f>1.09/2</f>
        <v>0.54500000000000004</v>
      </c>
      <c r="H64" s="372">
        <f>1/2</f>
        <v>0.5</v>
      </c>
      <c r="I64" s="372">
        <f>0.98/2</f>
        <v>0.49</v>
      </c>
      <c r="J64" s="374">
        <f>0.91/2</f>
        <v>0.45500000000000002</v>
      </c>
      <c r="K64" s="374">
        <f>0.99/2</f>
        <v>0.495</v>
      </c>
      <c r="L64" s="374">
        <f>0.94/2</f>
        <v>0.47</v>
      </c>
      <c r="M64" s="372"/>
      <c r="N64" s="372"/>
      <c r="O64" s="372"/>
      <c r="P64" s="372"/>
      <c r="Q64" s="372"/>
      <c r="R64" s="372"/>
      <c r="S64" s="372">
        <v>0.66500000000000004</v>
      </c>
      <c r="T64" s="372">
        <v>0.57999999999999996</v>
      </c>
      <c r="U64" s="372">
        <f>1.26/2</f>
        <v>0.63</v>
      </c>
      <c r="V64" s="372">
        <f>1.35/2</f>
        <v>0.67500000000000004</v>
      </c>
      <c r="W64" s="372">
        <f>1.31/2</f>
        <v>0.65500000000000003</v>
      </c>
      <c r="X64" s="372">
        <f>1.32/2</f>
        <v>0.66</v>
      </c>
      <c r="Y64" s="372">
        <f>1.53/2</f>
        <v>0.76500000000000001</v>
      </c>
      <c r="Z64" s="372">
        <f>1.49/2</f>
        <v>0.745</v>
      </c>
      <c r="AA64" s="372">
        <f>1.38/2</f>
        <v>0.69</v>
      </c>
      <c r="AB64" s="372">
        <f>1.25/2</f>
        <v>0.625</v>
      </c>
      <c r="AC64" s="372">
        <f>1.14/2</f>
        <v>0.56999999999999995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18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1.17</v>
      </c>
      <c r="G65" s="19">
        <f t="shared" ref="G65" si="16">SUM(G62:G64)</f>
        <v>1.0900000000000001</v>
      </c>
      <c r="H65" s="19">
        <f>SUM(H62:H64)</f>
        <v>1</v>
      </c>
      <c r="I65" s="19">
        <f>SUM(I62:I64)</f>
        <v>0.98</v>
      </c>
      <c r="J65" s="19">
        <f t="shared" ref="J65" si="17">SUM(J62:J64)</f>
        <v>0.91</v>
      </c>
      <c r="K65" s="19">
        <f>SUM(K62:K64)</f>
        <v>0.99</v>
      </c>
      <c r="L65" s="19">
        <f>SUM(L62:L64)</f>
        <v>0.94</v>
      </c>
      <c r="M65" s="19">
        <f>SUM(M62:M64)</f>
        <v>1.02</v>
      </c>
      <c r="N65" s="19">
        <f>SUM(N62:N64)</f>
        <v>1.5</v>
      </c>
      <c r="O65" s="19">
        <f t="shared" ref="O65:AB65" si="18">SUM(O62:O64)</f>
        <v>1.28</v>
      </c>
      <c r="P65" s="19">
        <f t="shared" si="18"/>
        <v>1.32</v>
      </c>
      <c r="Q65" s="19">
        <f t="shared" si="18"/>
        <v>1.29</v>
      </c>
      <c r="R65" s="19">
        <f t="shared" si="18"/>
        <v>1.3508</v>
      </c>
      <c r="S65" s="19">
        <f t="shared" si="18"/>
        <v>1.33</v>
      </c>
      <c r="T65" s="19">
        <f t="shared" si="18"/>
        <v>1.1599999999999999</v>
      </c>
      <c r="U65" s="19">
        <f t="shared" si="18"/>
        <v>1.26</v>
      </c>
      <c r="V65" s="19">
        <f t="shared" si="18"/>
        <v>1.35</v>
      </c>
      <c r="W65" s="19">
        <f t="shared" si="18"/>
        <v>1.31</v>
      </c>
      <c r="X65" s="19">
        <f t="shared" si="18"/>
        <v>1.32</v>
      </c>
      <c r="Y65" s="19">
        <f>SUM(Y62:Y64)</f>
        <v>1.53</v>
      </c>
      <c r="Z65" s="19">
        <f t="shared" si="18"/>
        <v>1.49</v>
      </c>
      <c r="AA65" s="19">
        <f t="shared" si="18"/>
        <v>1.38</v>
      </c>
      <c r="AB65" s="19">
        <f t="shared" si="18"/>
        <v>1.25</v>
      </c>
      <c r="AC65" s="19">
        <f>SUM(AC62:AC64)</f>
        <v>1.1399999999999999</v>
      </c>
      <c r="AD65" s="34"/>
      <c r="AE65" s="34"/>
      <c r="AF65" s="11"/>
      <c r="AG65" s="11"/>
      <c r="AH65" s="11"/>
    </row>
    <row r="66" spans="1:124" hidden="1">
      <c r="A66" s="12" t="s">
        <v>59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idden="1">
      <c r="A67" s="14" t="s">
        <v>60</v>
      </c>
      <c r="B67" s="15"/>
      <c r="C67" s="15">
        <v>0.85</v>
      </c>
      <c r="D67" s="15"/>
      <c r="E67" s="15"/>
      <c r="F67" s="372"/>
      <c r="G67" s="372"/>
      <c r="H67" s="372"/>
      <c r="I67" s="372"/>
      <c r="J67" s="372"/>
      <c r="K67" s="374"/>
      <c r="L67" s="374"/>
      <c r="M67" s="374"/>
      <c r="N67" s="372"/>
      <c r="O67" s="372"/>
      <c r="P67" s="372"/>
      <c r="Q67" s="372"/>
      <c r="R67" s="372"/>
      <c r="S67" s="372"/>
      <c r="T67" s="372"/>
      <c r="U67" s="372"/>
      <c r="V67" s="372"/>
      <c r="W67" s="372"/>
      <c r="X67" s="372"/>
      <c r="Y67" s="372"/>
      <c r="Z67" s="372"/>
      <c r="AA67" s="372"/>
      <c r="AB67" s="372"/>
      <c r="AC67" s="372"/>
      <c r="AD67" s="35"/>
      <c r="AE67" s="35"/>
      <c r="AF67" s="11">
        <f t="shared" ref="AF67:AF75" si="19">COUNTIF(F67:AC67,$AF$11)</f>
        <v>0</v>
      </c>
      <c r="AG67" s="11">
        <f t="shared" ref="AG67:AG75" si="20">COUNTIF(G67:AC67,$AG$11)</f>
        <v>0</v>
      </c>
      <c r="AH67" s="11">
        <f t="shared" ref="AH67:AH75" si="21">COUNT(F67:AC67)</f>
        <v>0</v>
      </c>
    </row>
    <row r="68" spans="1:124" hidden="1">
      <c r="A68" s="14" t="s">
        <v>61</v>
      </c>
      <c r="B68" s="15"/>
      <c r="C68" s="15">
        <v>0.85</v>
      </c>
      <c r="D68" s="15"/>
      <c r="E68" s="15"/>
      <c r="F68" s="372"/>
      <c r="G68" s="372"/>
      <c r="H68" s="372"/>
      <c r="I68" s="372"/>
      <c r="J68" s="372"/>
      <c r="K68" s="374"/>
      <c r="L68" s="374"/>
      <c r="M68" s="374"/>
      <c r="N68" s="372"/>
      <c r="O68" s="372"/>
      <c r="P68" s="372"/>
      <c r="Q68" s="372"/>
      <c r="R68" s="372"/>
      <c r="S68" s="372"/>
      <c r="T68" s="372"/>
      <c r="U68" s="372"/>
      <c r="V68" s="372"/>
      <c r="W68" s="372"/>
      <c r="X68" s="372"/>
      <c r="Y68" s="372"/>
      <c r="Z68" s="372"/>
      <c r="AA68" s="372"/>
      <c r="AB68" s="372"/>
      <c r="AC68" s="372"/>
      <c r="AD68" s="35"/>
      <c r="AE68" s="35"/>
      <c r="AF68" s="11">
        <f t="shared" si="19"/>
        <v>0</v>
      </c>
      <c r="AG68" s="11">
        <f t="shared" si="20"/>
        <v>0</v>
      </c>
      <c r="AH68" s="11">
        <f t="shared" si="21"/>
        <v>0</v>
      </c>
    </row>
    <row r="69" spans="1:124" hidden="1">
      <c r="A69" s="14" t="s">
        <v>62</v>
      </c>
      <c r="B69" s="15"/>
      <c r="C69" s="15">
        <v>0.85</v>
      </c>
      <c r="D69" s="15"/>
      <c r="E69" s="15"/>
      <c r="F69" s="372"/>
      <c r="G69" s="372"/>
      <c r="H69" s="372"/>
      <c r="I69" s="372"/>
      <c r="J69" s="372"/>
      <c r="K69" s="374"/>
      <c r="L69" s="374"/>
      <c r="M69" s="374"/>
      <c r="N69" s="372"/>
      <c r="O69" s="372"/>
      <c r="P69" s="372"/>
      <c r="Q69" s="372"/>
      <c r="R69" s="372"/>
      <c r="S69" s="372"/>
      <c r="T69" s="372"/>
      <c r="U69" s="372"/>
      <c r="V69" s="372"/>
      <c r="W69" s="372"/>
      <c r="X69" s="372"/>
      <c r="Y69" s="372"/>
      <c r="Z69" s="372"/>
      <c r="AA69" s="372"/>
      <c r="AB69" s="372"/>
      <c r="AC69" s="372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1"/>
        <v>0</v>
      </c>
    </row>
    <row r="70" spans="1:124" hidden="1">
      <c r="A70" s="14" t="s">
        <v>63</v>
      </c>
      <c r="B70" s="15"/>
      <c r="C70" s="15">
        <v>0.85</v>
      </c>
      <c r="D70" s="15"/>
      <c r="E70" s="15"/>
      <c r="F70" s="372"/>
      <c r="G70" s="372"/>
      <c r="H70" s="372"/>
      <c r="I70" s="372"/>
      <c r="J70" s="372"/>
      <c r="K70" s="374"/>
      <c r="L70" s="374"/>
      <c r="M70" s="374"/>
      <c r="N70" s="372"/>
      <c r="O70" s="372"/>
      <c r="P70" s="372"/>
      <c r="Q70" s="372"/>
      <c r="R70" s="372"/>
      <c r="S70" s="372"/>
      <c r="T70" s="372"/>
      <c r="U70" s="372"/>
      <c r="V70" s="372"/>
      <c r="W70" s="372"/>
      <c r="X70" s="372"/>
      <c r="Y70" s="372"/>
      <c r="Z70" s="372"/>
      <c r="AA70" s="372"/>
      <c r="AB70" s="372"/>
      <c r="AC70" s="372"/>
      <c r="AD70" s="35"/>
      <c r="AE70" s="35"/>
      <c r="AF70" s="11">
        <f t="shared" si="19"/>
        <v>0</v>
      </c>
      <c r="AG70" s="11">
        <f t="shared" si="20"/>
        <v>0</v>
      </c>
      <c r="AH70" s="11">
        <f t="shared" si="21"/>
        <v>0</v>
      </c>
      <c r="AI70" s="5"/>
      <c r="AJ70" s="5"/>
      <c r="AK70" s="5"/>
      <c r="AL70" s="5"/>
    </row>
    <row r="71" spans="1:124" hidden="1">
      <c r="A71" s="14" t="s">
        <v>64</v>
      </c>
      <c r="B71" s="15"/>
      <c r="C71" s="15">
        <v>0.85</v>
      </c>
      <c r="D71" s="15"/>
      <c r="E71" s="15"/>
      <c r="F71" s="372"/>
      <c r="G71" s="372"/>
      <c r="H71" s="372"/>
      <c r="I71" s="372"/>
      <c r="J71" s="372"/>
      <c r="K71" s="374"/>
      <c r="L71" s="374"/>
      <c r="M71" s="374"/>
      <c r="N71" s="372"/>
      <c r="O71" s="372"/>
      <c r="P71" s="372"/>
      <c r="Q71" s="372"/>
      <c r="R71" s="372"/>
      <c r="S71" s="372"/>
      <c r="T71" s="372"/>
      <c r="U71" s="372"/>
      <c r="V71" s="372"/>
      <c r="W71" s="372"/>
      <c r="X71" s="372"/>
      <c r="Y71" s="372"/>
      <c r="Z71" s="372"/>
      <c r="AA71" s="372"/>
      <c r="AB71" s="372"/>
      <c r="AC71" s="372"/>
      <c r="AD71" s="35"/>
      <c r="AE71" s="35"/>
      <c r="AF71" s="11">
        <f t="shared" si="19"/>
        <v>0</v>
      </c>
      <c r="AG71" s="11">
        <f t="shared" si="20"/>
        <v>0</v>
      </c>
      <c r="AH71" s="11">
        <f t="shared" si="21"/>
        <v>0</v>
      </c>
    </row>
    <row r="72" spans="1:124" hidden="1">
      <c r="A72" s="14" t="s">
        <v>65</v>
      </c>
      <c r="B72" s="15"/>
      <c r="C72" s="15">
        <v>0.85</v>
      </c>
      <c r="D72" s="15"/>
      <c r="E72" s="15"/>
      <c r="F72" s="372"/>
      <c r="G72" s="372"/>
      <c r="H72" s="372"/>
      <c r="I72" s="372"/>
      <c r="J72" s="372"/>
      <c r="K72" s="374"/>
      <c r="L72" s="374"/>
      <c r="M72" s="374"/>
      <c r="N72" s="372"/>
      <c r="O72" s="372"/>
      <c r="P72" s="372"/>
      <c r="Q72" s="372"/>
      <c r="R72" s="372"/>
      <c r="S72" s="372"/>
      <c r="T72" s="372"/>
      <c r="U72" s="372"/>
      <c r="V72" s="372"/>
      <c r="W72" s="372"/>
      <c r="X72" s="372"/>
      <c r="Y72" s="372"/>
      <c r="Z72" s="372"/>
      <c r="AA72" s="372"/>
      <c r="AB72" s="372"/>
      <c r="AC72" s="372"/>
      <c r="AD72" s="35"/>
      <c r="AE72" s="35"/>
      <c r="AF72" s="11">
        <f t="shared" si="19"/>
        <v>0</v>
      </c>
      <c r="AG72" s="11">
        <f t="shared" si="20"/>
        <v>0</v>
      </c>
      <c r="AH72" s="11">
        <f t="shared" si="21"/>
        <v>0</v>
      </c>
    </row>
    <row r="73" spans="1:124" hidden="1">
      <c r="A73" s="14" t="s">
        <v>66</v>
      </c>
      <c r="B73" s="15"/>
      <c r="C73" s="15">
        <v>0.85</v>
      </c>
      <c r="D73" s="15"/>
      <c r="E73" s="15"/>
      <c r="F73" s="372"/>
      <c r="G73" s="372"/>
      <c r="H73" s="372"/>
      <c r="I73" s="372"/>
      <c r="J73" s="372"/>
      <c r="K73" s="374"/>
      <c r="L73" s="374"/>
      <c r="M73" s="374"/>
      <c r="N73" s="372"/>
      <c r="O73" s="372"/>
      <c r="P73" s="372"/>
      <c r="Q73" s="372"/>
      <c r="R73" s="372"/>
      <c r="S73" s="372"/>
      <c r="T73" s="372"/>
      <c r="U73" s="372"/>
      <c r="V73" s="372"/>
      <c r="W73" s="372"/>
      <c r="X73" s="372"/>
      <c r="Y73" s="372"/>
      <c r="Z73" s="372"/>
      <c r="AA73" s="372"/>
      <c r="AB73" s="372"/>
      <c r="AC73" s="372"/>
      <c r="AD73" s="35"/>
      <c r="AE73" s="35"/>
      <c r="AF73" s="11">
        <f t="shared" si="19"/>
        <v>0</v>
      </c>
      <c r="AG73" s="11">
        <f t="shared" si="20"/>
        <v>0</v>
      </c>
      <c r="AH73" s="11">
        <f t="shared" si="21"/>
        <v>0</v>
      </c>
    </row>
    <row r="74" spans="1:124" hidden="1">
      <c r="A74" s="14" t="s">
        <v>67</v>
      </c>
      <c r="B74" s="19"/>
      <c r="C74" s="15">
        <v>0.85</v>
      </c>
      <c r="D74" s="15"/>
      <c r="E74" s="15"/>
      <c r="F74" s="372"/>
      <c r="G74" s="372"/>
      <c r="H74" s="372"/>
      <c r="I74" s="372"/>
      <c r="J74" s="372"/>
      <c r="K74" s="374"/>
      <c r="L74" s="374"/>
      <c r="M74" s="374"/>
      <c r="N74" s="372"/>
      <c r="O74" s="372"/>
      <c r="P74" s="372"/>
      <c r="Q74" s="372"/>
      <c r="R74" s="372"/>
      <c r="S74" s="372"/>
      <c r="T74" s="372"/>
      <c r="U74" s="372"/>
      <c r="V74" s="372"/>
      <c r="W74" s="372"/>
      <c r="X74" s="372"/>
      <c r="Y74" s="372"/>
      <c r="Z74" s="372"/>
      <c r="AA74" s="372"/>
      <c r="AB74" s="372"/>
      <c r="AC74" s="372"/>
      <c r="AD74" s="29"/>
      <c r="AE74" s="29"/>
      <c r="AF74" s="11">
        <f t="shared" si="19"/>
        <v>0</v>
      </c>
      <c r="AG74" s="11">
        <f t="shared" si="20"/>
        <v>0</v>
      </c>
      <c r="AH74" s="11">
        <f t="shared" si="21"/>
        <v>0</v>
      </c>
    </row>
    <row r="75" spans="1:124" ht="15.75" hidden="1" customHeight="1">
      <c r="A75" s="14" t="s">
        <v>68</v>
      </c>
      <c r="B75" s="9"/>
      <c r="C75" s="15">
        <v>0.85</v>
      </c>
      <c r="D75" s="15"/>
      <c r="E75" s="15"/>
      <c r="F75" s="372"/>
      <c r="G75" s="372"/>
      <c r="H75" s="372"/>
      <c r="I75" s="372"/>
      <c r="J75" s="372"/>
      <c r="K75" s="374"/>
      <c r="L75" s="374"/>
      <c r="M75" s="374"/>
      <c r="N75" s="372"/>
      <c r="O75" s="372"/>
      <c r="P75" s="372"/>
      <c r="Q75" s="372"/>
      <c r="R75" s="372"/>
      <c r="S75" s="372"/>
      <c r="T75" s="372"/>
      <c r="U75" s="372"/>
      <c r="V75" s="372"/>
      <c r="W75" s="372"/>
      <c r="X75" s="372"/>
      <c r="Y75" s="372"/>
      <c r="Z75" s="372"/>
      <c r="AA75" s="372"/>
      <c r="AB75" s="372"/>
      <c r="AC75" s="372"/>
      <c r="AD75" s="31"/>
      <c r="AE75" s="31"/>
      <c r="AF75" s="11">
        <f t="shared" si="19"/>
        <v>0</v>
      </c>
      <c r="AG75" s="11">
        <f t="shared" si="20"/>
        <v>0</v>
      </c>
      <c r="AH75" s="11">
        <f t="shared" si="21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2">SUM(F67:F75)</f>
        <v>0</v>
      </c>
      <c r="G76" s="19">
        <f t="shared" ref="G76:AC76" si="23">SUM(G67:G75)</f>
        <v>0</v>
      </c>
      <c r="H76" s="19">
        <f t="shared" si="23"/>
        <v>0</v>
      </c>
      <c r="I76" s="19">
        <f t="shared" si="23"/>
        <v>0</v>
      </c>
      <c r="J76" s="19">
        <f t="shared" si="23"/>
        <v>0</v>
      </c>
      <c r="K76" s="19">
        <f t="shared" si="23"/>
        <v>0</v>
      </c>
      <c r="L76" s="19">
        <f>SUM(L67:L75)</f>
        <v>0</v>
      </c>
      <c r="M76" s="19">
        <f t="shared" si="23"/>
        <v>0</v>
      </c>
      <c r="N76" s="19">
        <f t="shared" si="23"/>
        <v>0</v>
      </c>
      <c r="O76" s="19">
        <f t="shared" si="23"/>
        <v>0</v>
      </c>
      <c r="P76" s="19">
        <f t="shared" si="23"/>
        <v>0</v>
      </c>
      <c r="Q76" s="19">
        <f>SUM(Q67:Q75)</f>
        <v>0</v>
      </c>
      <c r="R76" s="19">
        <f t="shared" si="23"/>
        <v>0</v>
      </c>
      <c r="S76" s="19">
        <f t="shared" si="23"/>
        <v>0</v>
      </c>
      <c r="T76" s="19">
        <f t="shared" si="23"/>
        <v>0</v>
      </c>
      <c r="U76" s="19">
        <f t="shared" si="23"/>
        <v>0</v>
      </c>
      <c r="V76" s="19">
        <f t="shared" si="23"/>
        <v>0</v>
      </c>
      <c r="W76" s="19">
        <f t="shared" si="23"/>
        <v>0</v>
      </c>
      <c r="X76" s="19">
        <f t="shared" si="23"/>
        <v>0</v>
      </c>
      <c r="Y76" s="19">
        <f t="shared" si="23"/>
        <v>0</v>
      </c>
      <c r="Z76" s="19">
        <f t="shared" si="23"/>
        <v>0</v>
      </c>
      <c r="AA76" s="19">
        <f t="shared" si="23"/>
        <v>0</v>
      </c>
      <c r="AB76" s="19">
        <f t="shared" si="23"/>
        <v>0</v>
      </c>
      <c r="AC76" s="19">
        <f t="shared" si="23"/>
        <v>0</v>
      </c>
      <c r="AD76" s="34"/>
      <c r="AE76" s="34"/>
      <c r="AF76" s="11"/>
      <c r="AG76" s="11"/>
      <c r="AH76" s="11"/>
    </row>
    <row r="77" spans="1:124">
      <c r="A77" s="12" t="s">
        <v>69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 t="s">
        <v>21</v>
      </c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20.64</v>
      </c>
    </row>
    <row r="78" spans="1:124">
      <c r="A78" s="14" t="s">
        <v>70</v>
      </c>
      <c r="B78" s="20"/>
      <c r="C78" s="15">
        <v>1</v>
      </c>
      <c r="D78" s="15"/>
      <c r="E78" s="15"/>
      <c r="F78" s="372"/>
      <c r="G78" s="372"/>
      <c r="H78" s="372"/>
      <c r="I78" s="372"/>
      <c r="J78" s="372"/>
      <c r="K78" s="374"/>
      <c r="L78" s="374"/>
      <c r="M78" s="374">
        <v>0.78</v>
      </c>
      <c r="N78" s="372">
        <v>0.77</v>
      </c>
      <c r="O78" s="372">
        <v>0.82</v>
      </c>
      <c r="P78" s="372">
        <v>0.87</v>
      </c>
      <c r="Q78" s="372">
        <v>0.87</v>
      </c>
      <c r="R78" s="372">
        <v>0.89</v>
      </c>
      <c r="S78" s="372">
        <v>0.88</v>
      </c>
      <c r="T78" s="372">
        <v>0.88</v>
      </c>
      <c r="U78" s="372">
        <v>0.89</v>
      </c>
      <c r="V78" s="372">
        <v>0.87</v>
      </c>
      <c r="W78" s="372">
        <v>0.85</v>
      </c>
      <c r="X78" s="372">
        <v>0.85</v>
      </c>
      <c r="Y78" s="372">
        <v>0</v>
      </c>
      <c r="Z78" s="372">
        <v>0</v>
      </c>
      <c r="AA78" s="372">
        <v>0</v>
      </c>
      <c r="AB78" s="372">
        <v>0</v>
      </c>
      <c r="AC78" s="372">
        <v>0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17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71</v>
      </c>
      <c r="B79" s="20"/>
      <c r="C79" s="15">
        <v>1</v>
      </c>
      <c r="D79" s="15"/>
      <c r="E79" s="15"/>
      <c r="F79" s="372">
        <v>0.86</v>
      </c>
      <c r="G79" s="372">
        <v>0.83</v>
      </c>
      <c r="H79" s="372">
        <v>0.8</v>
      </c>
      <c r="I79" s="372">
        <v>0.8</v>
      </c>
      <c r="J79" s="372">
        <v>0.77</v>
      </c>
      <c r="K79" s="374">
        <v>0.78</v>
      </c>
      <c r="L79" s="374">
        <v>0.8</v>
      </c>
      <c r="M79" s="374"/>
      <c r="N79" s="372"/>
      <c r="O79" s="372"/>
      <c r="P79" s="372"/>
      <c r="Q79" s="372"/>
      <c r="R79" s="372"/>
      <c r="S79" s="372"/>
      <c r="T79" s="372"/>
      <c r="U79" s="372"/>
      <c r="V79" s="372"/>
      <c r="W79" s="372"/>
      <c r="X79" s="372"/>
      <c r="Y79" s="372">
        <v>0.98</v>
      </c>
      <c r="Z79" s="372">
        <v>0.98</v>
      </c>
      <c r="AA79" s="372">
        <v>0.98</v>
      </c>
      <c r="AB79" s="372">
        <v>0.94</v>
      </c>
      <c r="AC79" s="372">
        <v>0.9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" si="24">SUM(F78:F79)</f>
        <v>0.86</v>
      </c>
      <c r="G80" s="19">
        <f t="shared" ref="G80" si="25">SUM(G78:G79)</f>
        <v>0.83</v>
      </c>
      <c r="H80" s="19">
        <f>SUM(H78:H79)</f>
        <v>0.8</v>
      </c>
      <c r="I80" s="19">
        <f>SUM(I78:I79)</f>
        <v>0.8</v>
      </c>
      <c r="J80" s="19">
        <f t="shared" ref="J80:AC80" si="26">SUM(J78:J79)</f>
        <v>0.77</v>
      </c>
      <c r="K80" s="19">
        <f t="shared" si="26"/>
        <v>0.78</v>
      </c>
      <c r="L80" s="19">
        <f>SUM(L78:L79)</f>
        <v>0.8</v>
      </c>
      <c r="M80" s="19">
        <f t="shared" si="26"/>
        <v>0.78</v>
      </c>
      <c r="N80" s="19">
        <f t="shared" si="26"/>
        <v>0.77</v>
      </c>
      <c r="O80" s="19">
        <f>SUM(O78:O79)</f>
        <v>0.82</v>
      </c>
      <c r="P80" s="19">
        <f t="shared" si="26"/>
        <v>0.87</v>
      </c>
      <c r="Q80" s="19">
        <f t="shared" si="26"/>
        <v>0.87</v>
      </c>
      <c r="R80" s="19">
        <f t="shared" si="26"/>
        <v>0.89</v>
      </c>
      <c r="S80" s="19">
        <f t="shared" si="26"/>
        <v>0.88</v>
      </c>
      <c r="T80" s="19">
        <f t="shared" si="26"/>
        <v>0.88</v>
      </c>
      <c r="U80" s="19">
        <f t="shared" si="26"/>
        <v>0.89</v>
      </c>
      <c r="V80" s="19">
        <f t="shared" si="26"/>
        <v>0.87</v>
      </c>
      <c r="W80" s="19">
        <f t="shared" si="26"/>
        <v>0.85</v>
      </c>
      <c r="X80" s="19">
        <f t="shared" si="26"/>
        <v>0.85</v>
      </c>
      <c r="Y80" s="19">
        <f t="shared" si="26"/>
        <v>0.98</v>
      </c>
      <c r="Z80" s="19">
        <f t="shared" si="26"/>
        <v>0.98</v>
      </c>
      <c r="AA80" s="19">
        <f t="shared" si="26"/>
        <v>0.98</v>
      </c>
      <c r="AB80" s="19">
        <f t="shared" si="26"/>
        <v>0.94</v>
      </c>
      <c r="AC80" s="19">
        <f t="shared" si="26"/>
        <v>0.9</v>
      </c>
      <c r="AD80" s="34"/>
      <c r="AE80" s="34"/>
      <c r="AF80" s="11"/>
      <c r="AG80" s="11"/>
      <c r="AH80" s="11"/>
    </row>
    <row r="81" spans="1:40" ht="17.45" hidden="1">
      <c r="A81" s="366" t="s">
        <v>72</v>
      </c>
      <c r="B81" s="365"/>
      <c r="C81" s="367">
        <v>2</v>
      </c>
      <c r="D81" s="363"/>
      <c r="E81" s="363"/>
      <c r="F81" s="364"/>
      <c r="G81" s="364"/>
      <c r="H81" s="364"/>
      <c r="I81" s="364"/>
      <c r="J81" s="364"/>
      <c r="K81" s="364"/>
      <c r="L81" s="364"/>
      <c r="M81" s="364"/>
      <c r="N81" s="364"/>
      <c r="O81" s="364"/>
      <c r="P81" s="364"/>
      <c r="Q81" s="364"/>
      <c r="R81" s="364"/>
      <c r="S81" s="364"/>
      <c r="T81" s="364"/>
      <c r="U81" s="364"/>
      <c r="V81" s="364"/>
      <c r="W81" s="364"/>
      <c r="X81" s="364"/>
      <c r="Y81" s="364"/>
      <c r="Z81" s="364"/>
      <c r="AA81" s="364"/>
      <c r="AB81" s="364"/>
      <c r="AC81" s="364"/>
    </row>
    <row r="82" spans="1:40" ht="17.45" hidden="1">
      <c r="A82" s="368"/>
      <c r="B82" s="369"/>
      <c r="C82" s="370"/>
      <c r="D82" s="371"/>
      <c r="E82" s="371"/>
      <c r="F82" s="372"/>
      <c r="G82" s="372"/>
      <c r="H82" s="372"/>
      <c r="I82" s="372"/>
      <c r="J82" s="372"/>
      <c r="K82" s="374"/>
      <c r="L82" s="374"/>
      <c r="M82" s="374"/>
      <c r="N82" s="372"/>
      <c r="O82" s="372"/>
      <c r="P82" s="372"/>
      <c r="Q82" s="372"/>
      <c r="R82" s="372"/>
      <c r="S82" s="372"/>
      <c r="T82" s="372"/>
      <c r="U82" s="372"/>
      <c r="V82" s="372"/>
      <c r="W82" s="372"/>
      <c r="X82" s="372"/>
      <c r="Y82" s="372"/>
      <c r="Z82" s="372"/>
      <c r="AA82" s="372"/>
      <c r="AB82" s="372"/>
      <c r="AC82" s="372"/>
    </row>
    <row r="83" spans="1:40">
      <c r="A83" s="21" t="s">
        <v>73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" si="27">SUM(F17,F22,F25,F31,F34,F60,F65,F76,F80,F82)</f>
        <v>48.69</v>
      </c>
      <c r="G83" s="28">
        <f t="shared" ref="G83:AC83" si="28">SUM(G17,G22,G25,G31,G34,G60,G65,G76,G80,G82)</f>
        <v>45.79</v>
      </c>
      <c r="H83" s="28">
        <f t="shared" si="28"/>
        <v>43.05</v>
      </c>
      <c r="I83" s="28">
        <f t="shared" si="28"/>
        <v>41.559999999999995</v>
      </c>
      <c r="J83" s="28">
        <f t="shared" si="28"/>
        <v>39.71</v>
      </c>
      <c r="K83" s="28">
        <f t="shared" si="28"/>
        <v>40.220000000000006</v>
      </c>
      <c r="L83" s="28">
        <f t="shared" si="28"/>
        <v>42.399999999999991</v>
      </c>
      <c r="M83" s="28">
        <f t="shared" si="28"/>
        <v>42.43</v>
      </c>
      <c r="N83" s="28">
        <f>SUM(N17,N22,N25,N31,N34,N60,N65,N76,N80,N82)</f>
        <v>45.46</v>
      </c>
      <c r="O83" s="28">
        <f>SUM(O17,O22,O25,O31,O34,O60,O65,O76,O80,O82)</f>
        <v>54.210000000000008</v>
      </c>
      <c r="P83" s="28">
        <f t="shared" si="28"/>
        <v>57.51</v>
      </c>
      <c r="Q83" s="28">
        <f t="shared" si="28"/>
        <v>55.18</v>
      </c>
      <c r="R83" s="28">
        <f t="shared" si="28"/>
        <v>57.250800000000005</v>
      </c>
      <c r="S83" s="28">
        <f t="shared" si="28"/>
        <v>60.4</v>
      </c>
      <c r="T83" s="28">
        <f t="shared" si="28"/>
        <v>61.62</v>
      </c>
      <c r="U83" s="28">
        <f>SUM(U17,U22,U25,U31,U34,U60,U65,U76,U80,U82)</f>
        <v>61.98</v>
      </c>
      <c r="V83" s="28">
        <f t="shared" si="28"/>
        <v>60.43</v>
      </c>
      <c r="W83" s="28">
        <f t="shared" si="28"/>
        <v>58.45</v>
      </c>
      <c r="X83" s="28">
        <f t="shared" si="28"/>
        <v>57.49</v>
      </c>
      <c r="Y83" s="28">
        <f t="shared" si="28"/>
        <v>61.909999999999989</v>
      </c>
      <c r="Z83" s="28">
        <f t="shared" si="28"/>
        <v>57.75</v>
      </c>
      <c r="AA83" s="28">
        <f t="shared" si="28"/>
        <v>54.67</v>
      </c>
      <c r="AB83" s="28">
        <f t="shared" si="28"/>
        <v>52.809999999999995</v>
      </c>
      <c r="AC83" s="28">
        <f t="shared" si="28"/>
        <v>48.33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25" t="s">
        <v>74</v>
      </c>
      <c r="B85" s="525"/>
      <c r="C85" s="525"/>
      <c r="D85" s="525"/>
      <c r="E85" s="525"/>
      <c r="F85" s="525"/>
      <c r="G85" s="525"/>
      <c r="H85" s="525"/>
      <c r="I85" s="525"/>
      <c r="J85" s="525"/>
      <c r="K85" s="525"/>
      <c r="L85" s="525"/>
      <c r="M85" s="525"/>
      <c r="N85" s="525"/>
      <c r="O85" s="525"/>
      <c r="P85" s="525"/>
      <c r="Q85" s="525"/>
      <c r="R85" s="525"/>
      <c r="S85" s="525"/>
      <c r="T85" s="525"/>
      <c r="U85" s="525"/>
      <c r="V85" s="525"/>
      <c r="W85" s="525"/>
      <c r="X85" s="525"/>
      <c r="Y85" s="525"/>
      <c r="Z85" s="525"/>
      <c r="AA85" s="525"/>
      <c r="AB85" s="525"/>
      <c r="AC85" s="525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</row>
    <row r="87" spans="1:40" ht="17.45">
      <c r="A87" s="500" t="s">
        <v>75</v>
      </c>
      <c r="B87" s="501"/>
      <c r="C87" s="502"/>
      <c r="D87" s="49"/>
      <c r="E87" s="49"/>
      <c r="F87" s="506" t="s">
        <v>76</v>
      </c>
      <c r="G87" s="506"/>
      <c r="H87" s="506"/>
      <c r="I87" s="506"/>
      <c r="J87" s="506"/>
      <c r="K87" s="506"/>
      <c r="L87" s="506"/>
      <c r="M87" s="506"/>
      <c r="N87" s="506"/>
      <c r="O87" s="506"/>
      <c r="P87" s="506"/>
      <c r="Q87" s="506"/>
      <c r="R87" s="506"/>
      <c r="S87" s="506"/>
      <c r="T87" s="506"/>
      <c r="U87" s="506"/>
      <c r="V87" s="506"/>
      <c r="W87" s="506"/>
      <c r="X87" s="506"/>
      <c r="Y87" s="506"/>
      <c r="Z87" s="506"/>
      <c r="AA87" s="506"/>
      <c r="AB87" s="506"/>
      <c r="AC87" s="506"/>
      <c r="AD87" s="5"/>
      <c r="AE87" s="5"/>
      <c r="AF87" s="5"/>
      <c r="AG87" s="5"/>
      <c r="AH87" s="5"/>
    </row>
    <row r="88" spans="1:40" ht="15.6" customHeight="1">
      <c r="A88" s="503"/>
      <c r="B88" s="504"/>
      <c r="C88" s="505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07" t="s">
        <v>27</v>
      </c>
      <c r="B89" s="508"/>
      <c r="C89" s="509"/>
      <c r="D89" s="45"/>
      <c r="E89" s="45"/>
      <c r="F89" s="64">
        <f t="shared" ref="F89:AC89" si="29">SUM(F22,F25)</f>
        <v>6.4</v>
      </c>
      <c r="G89" s="64">
        <f t="shared" si="29"/>
        <v>3</v>
      </c>
      <c r="H89" s="64">
        <f t="shared" si="29"/>
        <v>0</v>
      </c>
      <c r="I89" s="64">
        <f t="shared" si="29"/>
        <v>0</v>
      </c>
      <c r="J89" s="64">
        <f t="shared" si="29"/>
        <v>0</v>
      </c>
      <c r="K89" s="64">
        <f t="shared" si="29"/>
        <v>0</v>
      </c>
      <c r="L89" s="64">
        <f t="shared" si="29"/>
        <v>0</v>
      </c>
      <c r="M89" s="64">
        <f t="shared" si="29"/>
        <v>0</v>
      </c>
      <c r="N89" s="64">
        <f t="shared" si="29"/>
        <v>2.9</v>
      </c>
      <c r="O89" s="64">
        <f t="shared" si="29"/>
        <v>7.6</v>
      </c>
      <c r="P89" s="64">
        <f t="shared" si="29"/>
        <v>7.6</v>
      </c>
      <c r="Q89" s="64">
        <f t="shared" si="29"/>
        <v>8.1</v>
      </c>
      <c r="R89" s="64">
        <f t="shared" si="29"/>
        <v>8.5</v>
      </c>
      <c r="S89" s="64">
        <f t="shared" si="29"/>
        <v>7.6</v>
      </c>
      <c r="T89" s="64">
        <f t="shared" si="29"/>
        <v>7.6</v>
      </c>
      <c r="U89" s="64">
        <f t="shared" si="29"/>
        <v>7.8</v>
      </c>
      <c r="V89" s="64">
        <f t="shared" si="29"/>
        <v>7.6</v>
      </c>
      <c r="W89" s="64">
        <f t="shared" si="29"/>
        <v>7.6</v>
      </c>
      <c r="X89" s="64">
        <f t="shared" si="29"/>
        <v>6.8</v>
      </c>
      <c r="Y89" s="64">
        <f t="shared" si="29"/>
        <v>7.6</v>
      </c>
      <c r="Z89" s="64">
        <f t="shared" si="29"/>
        <v>6.8</v>
      </c>
      <c r="AA89" s="64">
        <f t="shared" si="29"/>
        <v>6</v>
      </c>
      <c r="AB89" s="64">
        <f t="shared" si="29"/>
        <v>7.6</v>
      </c>
      <c r="AC89" s="64">
        <f t="shared" si="29"/>
        <v>6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521" t="s">
        <v>77</v>
      </c>
      <c r="B90" s="521"/>
      <c r="C90" s="522"/>
      <c r="D90" s="45"/>
      <c r="E90" s="45"/>
      <c r="F90" s="68">
        <v>0.215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>
        <v>0.20100000000000001</v>
      </c>
      <c r="P90" s="68">
        <v>0.193</v>
      </c>
      <c r="Q90" s="68">
        <v>0.191</v>
      </c>
      <c r="R90" s="68">
        <v>0.19400000000000001</v>
      </c>
      <c r="S90" s="68">
        <v>0.221</v>
      </c>
      <c r="T90" s="68">
        <v>0.21099999999999999</v>
      </c>
      <c r="U90" s="68">
        <v>0.24099999999999999</v>
      </c>
      <c r="V90" s="68">
        <v>0.19900000000000001</v>
      </c>
      <c r="W90" s="68">
        <v>0.23699999999999999</v>
      </c>
      <c r="X90" s="68">
        <v>0.22700000000000001</v>
      </c>
      <c r="Y90" s="68">
        <v>0.27900000000000003</v>
      </c>
      <c r="Z90" s="68">
        <v>0.21299999999999999</v>
      </c>
      <c r="AA90" s="68">
        <v>0.246</v>
      </c>
      <c r="AB90" s="68">
        <v>0.29099999999999998</v>
      </c>
      <c r="AC90" s="68">
        <v>0.52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07" t="s">
        <v>78</v>
      </c>
      <c r="B91" s="508"/>
      <c r="C91" s="509"/>
      <c r="D91" s="45"/>
      <c r="E91" s="45"/>
      <c r="F91" s="64">
        <f t="shared" ref="F91:AC91" si="30">F17</f>
        <v>19.899999999999999</v>
      </c>
      <c r="G91" s="64">
        <f t="shared" si="30"/>
        <v>19.899999999999999</v>
      </c>
      <c r="H91" s="64">
        <f t="shared" si="30"/>
        <v>19.799999999999997</v>
      </c>
      <c r="I91" s="64">
        <f t="shared" si="30"/>
        <v>19.5</v>
      </c>
      <c r="J91" s="64">
        <f t="shared" si="30"/>
        <v>19.200000000000003</v>
      </c>
      <c r="K91" s="64">
        <f t="shared" si="30"/>
        <v>19.200000000000003</v>
      </c>
      <c r="L91" s="64">
        <f t="shared" si="30"/>
        <v>19.5</v>
      </c>
      <c r="M91" s="64">
        <f t="shared" si="30"/>
        <v>19.3</v>
      </c>
      <c r="N91" s="64">
        <f t="shared" si="30"/>
        <v>19.5</v>
      </c>
      <c r="O91" s="64">
        <f t="shared" si="30"/>
        <v>20.3</v>
      </c>
      <c r="P91" s="64">
        <f t="shared" si="30"/>
        <v>25</v>
      </c>
      <c r="Q91" s="64">
        <f t="shared" si="30"/>
        <v>25.6</v>
      </c>
      <c r="R91" s="64">
        <f t="shared" si="30"/>
        <v>26.2</v>
      </c>
      <c r="S91" s="64">
        <f t="shared" si="30"/>
        <v>26.2</v>
      </c>
      <c r="T91" s="64">
        <f t="shared" si="30"/>
        <v>26.8</v>
      </c>
      <c r="U91" s="64">
        <f t="shared" si="30"/>
        <v>27.6</v>
      </c>
      <c r="V91" s="64">
        <f t="shared" si="30"/>
        <v>26.8</v>
      </c>
      <c r="W91" s="64">
        <f t="shared" si="30"/>
        <v>26.4</v>
      </c>
      <c r="X91" s="64">
        <f t="shared" si="30"/>
        <v>27.2</v>
      </c>
      <c r="Y91" s="64">
        <f t="shared" si="30"/>
        <v>26.8</v>
      </c>
      <c r="Z91" s="64">
        <f t="shared" si="30"/>
        <v>26.2</v>
      </c>
      <c r="AA91" s="64">
        <f t="shared" si="30"/>
        <v>26.5</v>
      </c>
      <c r="AB91" s="64">
        <f t="shared" si="30"/>
        <v>19.5</v>
      </c>
      <c r="AC91" s="64">
        <f t="shared" si="30"/>
        <v>19.899999999999999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21" t="s">
        <v>79</v>
      </c>
      <c r="B92" s="521"/>
      <c r="C92" s="522"/>
      <c r="D92" s="45"/>
      <c r="E92" s="45"/>
      <c r="F92" s="68">
        <v>0.77200000000000002</v>
      </c>
      <c r="G92" s="68">
        <v>0.82599999999999996</v>
      </c>
      <c r="H92" s="68">
        <v>0.90300000000000002</v>
      </c>
      <c r="I92" s="68">
        <v>0.85799999999999998</v>
      </c>
      <c r="J92" s="68">
        <v>0.89</v>
      </c>
      <c r="K92" s="68">
        <v>0.96</v>
      </c>
      <c r="L92" s="68">
        <v>0.90400000000000003</v>
      </c>
      <c r="M92" s="68">
        <v>1.0069999999999999</v>
      </c>
      <c r="N92" s="68">
        <v>0.85499999999999998</v>
      </c>
      <c r="O92" s="68">
        <v>0.87</v>
      </c>
      <c r="P92" s="68">
        <v>0.88200000000000001</v>
      </c>
      <c r="Q92" s="68">
        <v>0.93500000000000005</v>
      </c>
      <c r="R92" s="68">
        <v>1.0049999999999999</v>
      </c>
      <c r="S92" s="68">
        <v>0.95599999999999996</v>
      </c>
      <c r="T92" s="68">
        <v>0.98099999999999998</v>
      </c>
      <c r="U92" s="68">
        <v>0.95</v>
      </c>
      <c r="V92" s="68">
        <v>0.94699999999999995</v>
      </c>
      <c r="W92" s="68">
        <v>0.97</v>
      </c>
      <c r="X92" s="68">
        <v>0.91100000000000003</v>
      </c>
      <c r="Y92" s="68">
        <v>0.90400000000000003</v>
      </c>
      <c r="Z92" s="68">
        <v>0.89400000000000002</v>
      </c>
      <c r="AA92" s="68">
        <v>0.88900000000000001</v>
      </c>
      <c r="AB92" s="68">
        <v>0.86</v>
      </c>
      <c r="AC92" s="68">
        <v>0.876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07" t="s">
        <v>29</v>
      </c>
      <c r="B93" s="508"/>
      <c r="C93" s="509"/>
      <c r="D93" s="45"/>
      <c r="E93" s="45"/>
      <c r="F93" s="65">
        <f t="shared" ref="F93:AC93" si="31">F31</f>
        <v>6.2</v>
      </c>
      <c r="G93" s="65">
        <f t="shared" si="31"/>
        <v>7.2</v>
      </c>
      <c r="H93" s="65">
        <f t="shared" si="31"/>
        <v>7.2</v>
      </c>
      <c r="I93" s="65">
        <f t="shared" si="31"/>
        <v>6</v>
      </c>
      <c r="J93" s="65">
        <f t="shared" si="31"/>
        <v>6</v>
      </c>
      <c r="K93" s="65">
        <f t="shared" si="31"/>
        <v>6.4</v>
      </c>
      <c r="L93" s="65">
        <f t="shared" si="31"/>
        <v>7</v>
      </c>
      <c r="M93" s="65">
        <f t="shared" si="31"/>
        <v>6.2</v>
      </c>
      <c r="N93" s="65">
        <f t="shared" si="31"/>
        <v>7</v>
      </c>
      <c r="O93" s="65">
        <f t="shared" si="31"/>
        <v>8.4</v>
      </c>
      <c r="P93" s="65">
        <f t="shared" si="31"/>
        <v>8.4</v>
      </c>
      <c r="Q93" s="65">
        <f t="shared" si="31"/>
        <v>6</v>
      </c>
      <c r="R93" s="65">
        <f t="shared" si="31"/>
        <v>7</v>
      </c>
      <c r="S93" s="65">
        <f t="shared" si="31"/>
        <v>8.6</v>
      </c>
      <c r="T93" s="65">
        <f>T31</f>
        <v>8.6</v>
      </c>
      <c r="U93" s="65">
        <f t="shared" si="31"/>
        <v>8.6</v>
      </c>
      <c r="V93" s="65">
        <f t="shared" si="31"/>
        <v>8</v>
      </c>
      <c r="W93" s="65">
        <f t="shared" si="31"/>
        <v>8</v>
      </c>
      <c r="X93" s="65">
        <f t="shared" si="31"/>
        <v>7</v>
      </c>
      <c r="Y93" s="65">
        <f t="shared" si="31"/>
        <v>8.4</v>
      </c>
      <c r="Z93" s="65">
        <f t="shared" si="31"/>
        <v>8</v>
      </c>
      <c r="AA93" s="65">
        <f t="shared" si="31"/>
        <v>6</v>
      </c>
      <c r="AB93" s="65">
        <f t="shared" si="31"/>
        <v>8.4</v>
      </c>
      <c r="AC93" s="65">
        <f t="shared" si="31"/>
        <v>6.6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21" t="s">
        <v>102</v>
      </c>
      <c r="B94" s="521"/>
      <c r="C94" s="522"/>
      <c r="D94" s="45"/>
      <c r="E94" s="45"/>
      <c r="F94" s="68">
        <v>0.24199999999999999</v>
      </c>
      <c r="G94" s="68">
        <v>0.24299999999999999</v>
      </c>
      <c r="H94" s="68">
        <v>0.24399999999999999</v>
      </c>
      <c r="I94" s="68">
        <v>0.247</v>
      </c>
      <c r="J94" s="68">
        <v>0.24</v>
      </c>
      <c r="K94" s="68">
        <v>0.254</v>
      </c>
      <c r="L94" s="68">
        <v>0.28000000000000003</v>
      </c>
      <c r="M94" s="68">
        <v>0.26500000000000001</v>
      </c>
      <c r="N94" s="68">
        <v>0.26</v>
      </c>
      <c r="O94" s="68">
        <v>0.28399999999999997</v>
      </c>
      <c r="P94" s="68">
        <v>0.26500000000000001</v>
      </c>
      <c r="Q94" s="68">
        <v>0.255</v>
      </c>
      <c r="R94" s="68">
        <v>0.26600000000000001</v>
      </c>
      <c r="S94" s="68">
        <v>0.27200000000000002</v>
      </c>
      <c r="T94" s="68">
        <v>0.28899999999999998</v>
      </c>
      <c r="U94" s="68">
        <v>0.28799999999999998</v>
      </c>
      <c r="V94" s="68">
        <v>0.25600000000000001</v>
      </c>
      <c r="W94" s="68">
        <v>0.27</v>
      </c>
      <c r="X94" s="68">
        <v>0.27100000000000002</v>
      </c>
      <c r="Y94" s="68">
        <v>0.26600000000000001</v>
      </c>
      <c r="Z94" s="68">
        <v>0.25700000000000001</v>
      </c>
      <c r="AA94" s="68">
        <v>0.26200000000000001</v>
      </c>
      <c r="AB94" s="68">
        <v>0.25600000000000001</v>
      </c>
      <c r="AC94" s="68">
        <v>0.25900000000000001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21" t="s">
        <v>104</v>
      </c>
      <c r="B95" s="521"/>
      <c r="C95" s="522"/>
      <c r="D95" s="45"/>
      <c r="E95" s="45"/>
      <c r="F95" s="68" t="s">
        <v>1</v>
      </c>
      <c r="G95" s="68" t="s">
        <v>1</v>
      </c>
      <c r="H95" s="68" t="s">
        <v>1</v>
      </c>
      <c r="I95" s="68" t="s">
        <v>1</v>
      </c>
      <c r="J95" s="68" t="s">
        <v>1</v>
      </c>
      <c r="K95" s="68" t="s">
        <v>1</v>
      </c>
      <c r="L95" s="68" t="s">
        <v>1</v>
      </c>
      <c r="M95" s="68" t="s">
        <v>1</v>
      </c>
      <c r="N95" s="68" t="s">
        <v>1</v>
      </c>
      <c r="O95" s="68" t="s">
        <v>1</v>
      </c>
      <c r="P95" s="68" t="s">
        <v>1</v>
      </c>
      <c r="Q95" s="68" t="s">
        <v>1</v>
      </c>
      <c r="R95" s="68" t="s">
        <v>1</v>
      </c>
      <c r="S95" s="68" t="s">
        <v>1</v>
      </c>
      <c r="T95" s="68" t="s">
        <v>1</v>
      </c>
      <c r="U95" s="68"/>
      <c r="V95" s="68"/>
      <c r="W95" s="68"/>
      <c r="X95" s="68"/>
      <c r="Y95" s="68"/>
      <c r="Z95" s="68"/>
      <c r="AA95" s="68"/>
      <c r="AB95" s="68"/>
      <c r="AC95" s="68" t="s">
        <v>1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07" t="s">
        <v>32</v>
      </c>
      <c r="B96" s="508"/>
      <c r="C96" s="509"/>
      <c r="D96" s="45"/>
      <c r="E96" s="45"/>
      <c r="F96" s="65">
        <f t="shared" ref="F96:AC96" si="32">F34</f>
        <v>14.16</v>
      </c>
      <c r="G96" s="65">
        <f t="shared" si="32"/>
        <v>13.77</v>
      </c>
      <c r="H96" s="65">
        <f t="shared" si="32"/>
        <v>14.25</v>
      </c>
      <c r="I96" s="65">
        <f t="shared" si="32"/>
        <v>14.28</v>
      </c>
      <c r="J96" s="65">
        <f t="shared" si="32"/>
        <v>12.83</v>
      </c>
      <c r="K96" s="65">
        <f t="shared" si="32"/>
        <v>12.85</v>
      </c>
      <c r="L96" s="65">
        <f t="shared" si="32"/>
        <v>14.16</v>
      </c>
      <c r="M96" s="65">
        <f t="shared" si="32"/>
        <v>14.33</v>
      </c>
      <c r="N96" s="65">
        <f t="shared" si="32"/>
        <v>13.79</v>
      </c>
      <c r="O96" s="65">
        <f t="shared" si="32"/>
        <v>14.31</v>
      </c>
      <c r="P96" s="65">
        <f t="shared" si="32"/>
        <v>14.32</v>
      </c>
      <c r="Q96" s="65">
        <f t="shared" si="32"/>
        <v>13.32</v>
      </c>
      <c r="R96" s="65">
        <f t="shared" si="32"/>
        <v>13.31</v>
      </c>
      <c r="S96" s="65">
        <f t="shared" si="32"/>
        <v>14.29</v>
      </c>
      <c r="T96" s="65">
        <f t="shared" si="32"/>
        <v>14.28</v>
      </c>
      <c r="U96" s="65">
        <f t="shared" si="32"/>
        <v>14.33</v>
      </c>
      <c r="V96" s="65">
        <f t="shared" si="32"/>
        <v>14.31</v>
      </c>
      <c r="W96" s="65">
        <f t="shared" si="32"/>
        <v>14.29</v>
      </c>
      <c r="X96" s="65">
        <f t="shared" si="32"/>
        <v>14.32</v>
      </c>
      <c r="Y96" s="65">
        <f t="shared" si="32"/>
        <v>14.3</v>
      </c>
      <c r="Z96" s="65">
        <f t="shared" si="32"/>
        <v>14.28</v>
      </c>
      <c r="AA96" s="65">
        <f t="shared" si="32"/>
        <v>13.81</v>
      </c>
      <c r="AB96" s="65">
        <f t="shared" si="32"/>
        <v>14.32</v>
      </c>
      <c r="AC96" s="65">
        <f t="shared" si="32"/>
        <v>13.79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21" t="s">
        <v>81</v>
      </c>
      <c r="B97" s="521"/>
      <c r="C97" s="522"/>
      <c r="D97" s="68"/>
      <c r="E97" s="68"/>
      <c r="F97" s="68">
        <v>0.84</v>
      </c>
      <c r="G97" s="68">
        <v>0.73</v>
      </c>
      <c r="H97" s="68">
        <v>0.75</v>
      </c>
      <c r="I97" s="68">
        <v>0.72</v>
      </c>
      <c r="J97" s="68">
        <v>0.67</v>
      </c>
      <c r="K97" s="68">
        <v>0.65</v>
      </c>
      <c r="L97" s="68">
        <v>0.84</v>
      </c>
      <c r="M97" s="68">
        <v>0.67</v>
      </c>
      <c r="N97" s="68">
        <v>0.71</v>
      </c>
      <c r="O97" s="68">
        <v>0.69</v>
      </c>
      <c r="P97" s="68">
        <v>0.68</v>
      </c>
      <c r="Q97" s="68">
        <v>0.68</v>
      </c>
      <c r="R97" s="68">
        <v>0.69</v>
      </c>
      <c r="S97" s="68">
        <v>0.71</v>
      </c>
      <c r="T97" s="68">
        <v>0.72</v>
      </c>
      <c r="U97" s="68">
        <v>0.67</v>
      </c>
      <c r="V97" s="68">
        <v>0.69</v>
      </c>
      <c r="W97" s="68">
        <v>0.71</v>
      </c>
      <c r="X97" s="68">
        <v>0.68</v>
      </c>
      <c r="Y97" s="68">
        <v>0.7</v>
      </c>
      <c r="Z97" s="68">
        <v>0.72</v>
      </c>
      <c r="AA97" s="68">
        <v>0.69</v>
      </c>
      <c r="AB97" s="68">
        <v>0.68</v>
      </c>
      <c r="AC97" s="68">
        <v>0.71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07" t="s">
        <v>33</v>
      </c>
      <c r="B98" s="508"/>
      <c r="C98" s="509"/>
      <c r="D98" s="45"/>
      <c r="E98" s="45"/>
      <c r="F98" s="64">
        <f t="shared" ref="F98:AC98" si="33">F60</f>
        <v>0</v>
      </c>
      <c r="G98" s="64">
        <f t="shared" si="33"/>
        <v>0</v>
      </c>
      <c r="H98" s="64">
        <f t="shared" si="33"/>
        <v>0</v>
      </c>
      <c r="I98" s="64">
        <f t="shared" si="33"/>
        <v>0</v>
      </c>
      <c r="J98" s="64">
        <f t="shared" si="33"/>
        <v>0</v>
      </c>
      <c r="K98" s="64">
        <f t="shared" si="33"/>
        <v>0</v>
      </c>
      <c r="L98" s="64">
        <f t="shared" si="33"/>
        <v>0</v>
      </c>
      <c r="M98" s="64">
        <f t="shared" si="33"/>
        <v>0.8</v>
      </c>
      <c r="N98" s="64">
        <f t="shared" si="33"/>
        <v>0</v>
      </c>
      <c r="O98" s="64">
        <f t="shared" si="33"/>
        <v>1.5</v>
      </c>
      <c r="P98" s="64">
        <f t="shared" si="33"/>
        <v>0</v>
      </c>
      <c r="Q98" s="64">
        <f t="shared" si="33"/>
        <v>0</v>
      </c>
      <c r="R98" s="64">
        <f t="shared" si="33"/>
        <v>0</v>
      </c>
      <c r="S98" s="64">
        <f t="shared" si="33"/>
        <v>1.5</v>
      </c>
      <c r="T98" s="64">
        <f t="shared" si="33"/>
        <v>2.2999999999999998</v>
      </c>
      <c r="U98" s="64">
        <f t="shared" si="33"/>
        <v>1.5</v>
      </c>
      <c r="V98" s="64">
        <f t="shared" si="33"/>
        <v>1.5</v>
      </c>
      <c r="W98" s="64">
        <f t="shared" si="33"/>
        <v>0</v>
      </c>
      <c r="X98" s="64">
        <f t="shared" si="33"/>
        <v>0</v>
      </c>
      <c r="Y98" s="64">
        <f t="shared" si="33"/>
        <v>2.2999999999999998</v>
      </c>
      <c r="Z98" s="64">
        <f t="shared" si="33"/>
        <v>0</v>
      </c>
      <c r="AA98" s="64">
        <f t="shared" si="33"/>
        <v>0</v>
      </c>
      <c r="AB98" s="64">
        <f t="shared" si="33"/>
        <v>0.8</v>
      </c>
      <c r="AC98" s="64">
        <f t="shared" si="33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07" t="s">
        <v>55</v>
      </c>
      <c r="B99" s="508"/>
      <c r="C99" s="509"/>
      <c r="D99" s="45"/>
      <c r="E99" s="45"/>
      <c r="F99" s="64">
        <f t="shared" ref="F99:AC99" si="34">F65</f>
        <v>1.17</v>
      </c>
      <c r="G99" s="64">
        <f t="shared" si="34"/>
        <v>1.0900000000000001</v>
      </c>
      <c r="H99" s="64">
        <f t="shared" si="34"/>
        <v>1</v>
      </c>
      <c r="I99" s="64">
        <f t="shared" si="34"/>
        <v>0.98</v>
      </c>
      <c r="J99" s="64">
        <f t="shared" si="34"/>
        <v>0.91</v>
      </c>
      <c r="K99" s="64">
        <f t="shared" si="34"/>
        <v>0.99</v>
      </c>
      <c r="L99" s="64">
        <f t="shared" si="34"/>
        <v>0.94</v>
      </c>
      <c r="M99" s="64">
        <f t="shared" si="34"/>
        <v>1.02</v>
      </c>
      <c r="N99" s="64">
        <f t="shared" si="34"/>
        <v>1.5</v>
      </c>
      <c r="O99" s="64">
        <f t="shared" si="34"/>
        <v>1.28</v>
      </c>
      <c r="P99" s="64">
        <f t="shared" si="34"/>
        <v>1.32</v>
      </c>
      <c r="Q99" s="64">
        <f t="shared" si="34"/>
        <v>1.29</v>
      </c>
      <c r="R99" s="64">
        <f t="shared" si="34"/>
        <v>1.3508</v>
      </c>
      <c r="S99" s="64">
        <f t="shared" si="34"/>
        <v>1.33</v>
      </c>
      <c r="T99" s="64">
        <f t="shared" si="34"/>
        <v>1.1599999999999999</v>
      </c>
      <c r="U99" s="64">
        <f t="shared" si="34"/>
        <v>1.26</v>
      </c>
      <c r="V99" s="64">
        <f t="shared" si="34"/>
        <v>1.35</v>
      </c>
      <c r="W99" s="64">
        <f t="shared" si="34"/>
        <v>1.31</v>
      </c>
      <c r="X99" s="64">
        <f t="shared" si="34"/>
        <v>1.32</v>
      </c>
      <c r="Y99" s="64">
        <f t="shared" si="34"/>
        <v>1.53</v>
      </c>
      <c r="Z99" s="64">
        <f t="shared" si="34"/>
        <v>1.49</v>
      </c>
      <c r="AA99" s="64">
        <f t="shared" si="34"/>
        <v>1.38</v>
      </c>
      <c r="AB99" s="64">
        <f t="shared" si="34"/>
        <v>1.25</v>
      </c>
      <c r="AC99" s="64">
        <f t="shared" si="34"/>
        <v>1.1399999999999999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07" t="s">
        <v>59</v>
      </c>
      <c r="B100" s="508"/>
      <c r="C100" s="509"/>
      <c r="D100" s="45"/>
      <c r="E100" s="45"/>
      <c r="F100" s="64">
        <f t="shared" ref="F100:AC100" si="35">F76</f>
        <v>0</v>
      </c>
      <c r="G100" s="64">
        <f t="shared" si="35"/>
        <v>0</v>
      </c>
      <c r="H100" s="64">
        <f t="shared" si="35"/>
        <v>0</v>
      </c>
      <c r="I100" s="64">
        <f t="shared" si="35"/>
        <v>0</v>
      </c>
      <c r="J100" s="64">
        <f t="shared" si="35"/>
        <v>0</v>
      </c>
      <c r="K100" s="64">
        <f t="shared" si="35"/>
        <v>0</v>
      </c>
      <c r="L100" s="64">
        <f t="shared" si="35"/>
        <v>0</v>
      </c>
      <c r="M100" s="64">
        <f t="shared" si="35"/>
        <v>0</v>
      </c>
      <c r="N100" s="64">
        <f t="shared" si="35"/>
        <v>0</v>
      </c>
      <c r="O100" s="64">
        <f t="shared" si="35"/>
        <v>0</v>
      </c>
      <c r="P100" s="64">
        <f t="shared" si="35"/>
        <v>0</v>
      </c>
      <c r="Q100" s="64">
        <f t="shared" si="35"/>
        <v>0</v>
      </c>
      <c r="R100" s="64">
        <f t="shared" si="35"/>
        <v>0</v>
      </c>
      <c r="S100" s="64">
        <f t="shared" si="35"/>
        <v>0</v>
      </c>
      <c r="T100" s="64">
        <f t="shared" si="35"/>
        <v>0</v>
      </c>
      <c r="U100" s="64">
        <f t="shared" si="35"/>
        <v>0</v>
      </c>
      <c r="V100" s="64">
        <f t="shared" si="35"/>
        <v>0</v>
      </c>
      <c r="W100" s="64">
        <f t="shared" si="35"/>
        <v>0</v>
      </c>
      <c r="X100" s="64">
        <f t="shared" si="35"/>
        <v>0</v>
      </c>
      <c r="Y100" s="64">
        <f t="shared" si="35"/>
        <v>0</v>
      </c>
      <c r="Z100" s="64">
        <f t="shared" si="35"/>
        <v>0</v>
      </c>
      <c r="AA100" s="64">
        <f t="shared" si="35"/>
        <v>0</v>
      </c>
      <c r="AB100" s="64">
        <f t="shared" si="35"/>
        <v>0</v>
      </c>
      <c r="AC100" s="64">
        <f t="shared" si="35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07" t="s">
        <v>69</v>
      </c>
      <c r="B101" s="508"/>
      <c r="C101" s="509"/>
      <c r="D101" s="45"/>
      <c r="E101" s="45"/>
      <c r="F101" s="64">
        <f t="shared" ref="F101:AC101" si="36">F80</f>
        <v>0.86</v>
      </c>
      <c r="G101" s="64">
        <f t="shared" si="36"/>
        <v>0.83</v>
      </c>
      <c r="H101" s="64">
        <f t="shared" si="36"/>
        <v>0.8</v>
      </c>
      <c r="I101" s="64">
        <f t="shared" si="36"/>
        <v>0.8</v>
      </c>
      <c r="J101" s="64">
        <f t="shared" si="36"/>
        <v>0.77</v>
      </c>
      <c r="K101" s="64">
        <f t="shared" si="36"/>
        <v>0.78</v>
      </c>
      <c r="L101" s="64">
        <f t="shared" si="36"/>
        <v>0.8</v>
      </c>
      <c r="M101" s="64">
        <f t="shared" si="36"/>
        <v>0.78</v>
      </c>
      <c r="N101" s="64">
        <f t="shared" si="36"/>
        <v>0.77</v>
      </c>
      <c r="O101" s="64">
        <f t="shared" si="36"/>
        <v>0.82</v>
      </c>
      <c r="P101" s="64">
        <f t="shared" si="36"/>
        <v>0.87</v>
      </c>
      <c r="Q101" s="64">
        <f t="shared" si="36"/>
        <v>0.87</v>
      </c>
      <c r="R101" s="64">
        <f t="shared" si="36"/>
        <v>0.89</v>
      </c>
      <c r="S101" s="64">
        <f t="shared" si="36"/>
        <v>0.88</v>
      </c>
      <c r="T101" s="64">
        <f t="shared" si="36"/>
        <v>0.88</v>
      </c>
      <c r="U101" s="64">
        <f t="shared" si="36"/>
        <v>0.89</v>
      </c>
      <c r="V101" s="64">
        <f t="shared" si="36"/>
        <v>0.87</v>
      </c>
      <c r="W101" s="64">
        <f t="shared" si="36"/>
        <v>0.85</v>
      </c>
      <c r="X101" s="64">
        <f t="shared" si="36"/>
        <v>0.85</v>
      </c>
      <c r="Y101" s="64">
        <f t="shared" si="36"/>
        <v>0.98</v>
      </c>
      <c r="Z101" s="64">
        <f t="shared" si="36"/>
        <v>0.98</v>
      </c>
      <c r="AA101" s="64">
        <f t="shared" si="36"/>
        <v>0.98</v>
      </c>
      <c r="AB101" s="64">
        <f t="shared" si="36"/>
        <v>0.94</v>
      </c>
      <c r="AC101" s="64">
        <f t="shared" si="36"/>
        <v>0.9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07" t="s">
        <v>72</v>
      </c>
      <c r="B102" s="508"/>
      <c r="C102" s="509"/>
      <c r="D102" s="45"/>
      <c r="E102" s="45"/>
      <c r="F102" s="64">
        <f t="shared" ref="F102:AC102" si="37">F82</f>
        <v>0</v>
      </c>
      <c r="G102" s="64">
        <f t="shared" si="37"/>
        <v>0</v>
      </c>
      <c r="H102" s="64">
        <f t="shared" si="37"/>
        <v>0</v>
      </c>
      <c r="I102" s="64">
        <f t="shared" si="37"/>
        <v>0</v>
      </c>
      <c r="J102" s="64">
        <f t="shared" si="37"/>
        <v>0</v>
      </c>
      <c r="K102" s="64">
        <f t="shared" si="37"/>
        <v>0</v>
      </c>
      <c r="L102" s="64">
        <f t="shared" si="37"/>
        <v>0</v>
      </c>
      <c r="M102" s="64">
        <f t="shared" si="37"/>
        <v>0</v>
      </c>
      <c r="N102" s="64">
        <f t="shared" si="37"/>
        <v>0</v>
      </c>
      <c r="O102" s="64">
        <f t="shared" si="37"/>
        <v>0</v>
      </c>
      <c r="P102" s="64">
        <f t="shared" si="37"/>
        <v>0</v>
      </c>
      <c r="Q102" s="64">
        <f t="shared" si="37"/>
        <v>0</v>
      </c>
      <c r="R102" s="64">
        <f t="shared" si="37"/>
        <v>0</v>
      </c>
      <c r="S102" s="64">
        <f t="shared" si="37"/>
        <v>0</v>
      </c>
      <c r="T102" s="64">
        <f t="shared" si="37"/>
        <v>0</v>
      </c>
      <c r="U102" s="64">
        <f t="shared" si="37"/>
        <v>0</v>
      </c>
      <c r="V102" s="64">
        <f t="shared" si="37"/>
        <v>0</v>
      </c>
      <c r="W102" s="64">
        <f t="shared" si="37"/>
        <v>0</v>
      </c>
      <c r="X102" s="64">
        <f t="shared" si="37"/>
        <v>0</v>
      </c>
      <c r="Y102" s="64">
        <f t="shared" si="37"/>
        <v>0</v>
      </c>
      <c r="Z102" s="64">
        <f t="shared" si="37"/>
        <v>0</v>
      </c>
      <c r="AA102" s="64">
        <f t="shared" si="37"/>
        <v>0</v>
      </c>
      <c r="AB102" s="64">
        <f t="shared" si="37"/>
        <v>0</v>
      </c>
      <c r="AC102" s="64">
        <f t="shared" si="37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11" t="s">
        <v>82</v>
      </c>
      <c r="B103" s="511"/>
      <c r="C103" s="511"/>
      <c r="D103" s="47"/>
      <c r="E103" s="47"/>
      <c r="F103" s="61">
        <f t="shared" ref="F103:AC103" si="38">SUM(F89,F91,F93,F96,F98:F102,F81)</f>
        <v>48.69</v>
      </c>
      <c r="G103" s="61">
        <f t="shared" si="38"/>
        <v>45.79</v>
      </c>
      <c r="H103" s="61">
        <f t="shared" si="38"/>
        <v>43.05</v>
      </c>
      <c r="I103" s="61">
        <f t="shared" si="38"/>
        <v>41.559999999999995</v>
      </c>
      <c r="J103" s="61">
        <f t="shared" si="38"/>
        <v>39.71</v>
      </c>
      <c r="K103" s="61">
        <f t="shared" si="38"/>
        <v>40.220000000000006</v>
      </c>
      <c r="L103" s="61">
        <f t="shared" si="38"/>
        <v>42.399999999999991</v>
      </c>
      <c r="M103" s="61">
        <f t="shared" si="38"/>
        <v>42.43</v>
      </c>
      <c r="N103" s="61">
        <f t="shared" si="38"/>
        <v>45.46</v>
      </c>
      <c r="O103" s="61">
        <f t="shared" si="38"/>
        <v>54.21</v>
      </c>
      <c r="P103" s="61">
        <f t="shared" si="38"/>
        <v>57.51</v>
      </c>
      <c r="Q103" s="61">
        <f t="shared" si="38"/>
        <v>55.18</v>
      </c>
      <c r="R103" s="61">
        <f t="shared" si="38"/>
        <v>57.250800000000005</v>
      </c>
      <c r="S103" s="61">
        <f>SUM(S89,S91,S93,S96,S98:S102,S81)</f>
        <v>60.4</v>
      </c>
      <c r="T103" s="61">
        <f t="shared" si="38"/>
        <v>61.62</v>
      </c>
      <c r="U103" s="61">
        <f t="shared" si="38"/>
        <v>61.98</v>
      </c>
      <c r="V103" s="61">
        <f>SUM(V89,V91,V93,V96,V98:V102,V81)</f>
        <v>60.43</v>
      </c>
      <c r="W103" s="61">
        <f t="shared" si="38"/>
        <v>58.45</v>
      </c>
      <c r="X103" s="61">
        <f t="shared" si="38"/>
        <v>57.49</v>
      </c>
      <c r="Y103" s="61">
        <f t="shared" si="38"/>
        <v>61.909999999999989</v>
      </c>
      <c r="Z103" s="61">
        <f t="shared" si="38"/>
        <v>57.75</v>
      </c>
      <c r="AA103" s="61">
        <f t="shared" si="38"/>
        <v>54.67</v>
      </c>
      <c r="AB103" s="61">
        <f t="shared" si="38"/>
        <v>52.809999999999995</v>
      </c>
      <c r="AC103" s="61">
        <f t="shared" si="38"/>
        <v>48.33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12" t="s">
        <v>83</v>
      </c>
      <c r="B104" s="512"/>
      <c r="C104" s="512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12" t="s">
        <v>84</v>
      </c>
      <c r="B105" s="512"/>
      <c r="C105" s="512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12" t="s">
        <v>85</v>
      </c>
      <c r="B106" s="512"/>
      <c r="C106" s="512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>
        <v>1.5</v>
      </c>
      <c r="R106" s="76"/>
      <c r="S106" s="76"/>
      <c r="T106" s="76"/>
      <c r="U106" s="493"/>
      <c r="V106" s="493"/>
      <c r="W106" s="493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11" t="s">
        <v>86</v>
      </c>
      <c r="B107" s="511"/>
      <c r="C107" s="511"/>
      <c r="D107" s="47"/>
      <c r="E107" s="47"/>
      <c r="F107" s="61">
        <f t="shared" ref="F107:AC107" si="39">SUM(F104:F106)</f>
        <v>0</v>
      </c>
      <c r="G107" s="61">
        <f t="shared" si="39"/>
        <v>0</v>
      </c>
      <c r="H107" s="61">
        <f t="shared" si="39"/>
        <v>0</v>
      </c>
      <c r="I107" s="61">
        <f t="shared" si="39"/>
        <v>0</v>
      </c>
      <c r="J107" s="61">
        <f t="shared" si="39"/>
        <v>0</v>
      </c>
      <c r="K107" s="61">
        <f t="shared" si="39"/>
        <v>0</v>
      </c>
      <c r="L107" s="61">
        <f t="shared" si="39"/>
        <v>0</v>
      </c>
      <c r="M107" s="61">
        <f t="shared" si="39"/>
        <v>0</v>
      </c>
      <c r="N107" s="61">
        <f t="shared" si="39"/>
        <v>0</v>
      </c>
      <c r="O107" s="61">
        <f t="shared" si="39"/>
        <v>0</v>
      </c>
      <c r="P107" s="61">
        <f t="shared" si="39"/>
        <v>0</v>
      </c>
      <c r="Q107" s="61">
        <f t="shared" si="39"/>
        <v>1.5</v>
      </c>
      <c r="R107" s="61">
        <f t="shared" si="39"/>
        <v>0</v>
      </c>
      <c r="S107" s="61">
        <f t="shared" si="39"/>
        <v>0</v>
      </c>
      <c r="T107" s="61">
        <f t="shared" si="39"/>
        <v>0</v>
      </c>
      <c r="U107" s="61">
        <f t="shared" si="39"/>
        <v>0</v>
      </c>
      <c r="V107" s="61">
        <f t="shared" si="39"/>
        <v>0</v>
      </c>
      <c r="W107" s="61">
        <f t="shared" si="39"/>
        <v>0</v>
      </c>
      <c r="X107" s="61">
        <f t="shared" si="39"/>
        <v>0</v>
      </c>
      <c r="Y107" s="61">
        <f t="shared" si="39"/>
        <v>0</v>
      </c>
      <c r="Z107" s="61">
        <f t="shared" si="39"/>
        <v>0</v>
      </c>
      <c r="AA107" s="61">
        <f t="shared" si="39"/>
        <v>0</v>
      </c>
      <c r="AB107" s="61">
        <f t="shared" si="39"/>
        <v>0</v>
      </c>
      <c r="AC107" s="61">
        <f t="shared" si="39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13" t="s">
        <v>87</v>
      </c>
      <c r="B108" s="513"/>
      <c r="C108" s="513"/>
      <c r="D108" s="48"/>
      <c r="E108" s="48"/>
      <c r="F108" s="62">
        <f t="shared" ref="F108:AC108" si="40">F103+F107</f>
        <v>48.69</v>
      </c>
      <c r="G108" s="62">
        <f t="shared" si="40"/>
        <v>45.79</v>
      </c>
      <c r="H108" s="62">
        <f t="shared" si="40"/>
        <v>43.05</v>
      </c>
      <c r="I108" s="62">
        <f t="shared" si="40"/>
        <v>41.559999999999995</v>
      </c>
      <c r="J108" s="62">
        <f t="shared" si="40"/>
        <v>39.71</v>
      </c>
      <c r="K108" s="62">
        <f t="shared" si="40"/>
        <v>40.220000000000006</v>
      </c>
      <c r="L108" s="62">
        <f t="shared" si="40"/>
        <v>42.399999999999991</v>
      </c>
      <c r="M108" s="62">
        <f t="shared" si="40"/>
        <v>42.43</v>
      </c>
      <c r="N108" s="62">
        <f t="shared" si="40"/>
        <v>45.46</v>
      </c>
      <c r="O108" s="62">
        <f t="shared" si="40"/>
        <v>54.21</v>
      </c>
      <c r="P108" s="62">
        <f t="shared" si="40"/>
        <v>57.51</v>
      </c>
      <c r="Q108" s="62">
        <f t="shared" si="40"/>
        <v>56.68</v>
      </c>
      <c r="R108" s="62">
        <f t="shared" si="40"/>
        <v>57.250800000000005</v>
      </c>
      <c r="S108" s="62">
        <f>S103+S107</f>
        <v>60.4</v>
      </c>
      <c r="T108" s="62">
        <f>T103+T107</f>
        <v>61.62</v>
      </c>
      <c r="U108" s="62">
        <f t="shared" si="40"/>
        <v>61.98</v>
      </c>
      <c r="V108" s="62">
        <f t="shared" si="40"/>
        <v>60.43</v>
      </c>
      <c r="W108" s="62">
        <f>W103+W107</f>
        <v>58.45</v>
      </c>
      <c r="X108" s="62">
        <f t="shared" si="40"/>
        <v>57.49</v>
      </c>
      <c r="Y108" s="62">
        <f t="shared" si="40"/>
        <v>61.909999999999989</v>
      </c>
      <c r="Z108" s="62">
        <f t="shared" si="40"/>
        <v>57.75</v>
      </c>
      <c r="AA108" s="62">
        <f t="shared" si="40"/>
        <v>54.67</v>
      </c>
      <c r="AB108" s="62">
        <f t="shared" si="40"/>
        <v>52.809999999999995</v>
      </c>
      <c r="AC108" s="62">
        <f t="shared" si="40"/>
        <v>48.33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14" t="s">
        <v>88</v>
      </c>
      <c r="B109" s="514"/>
      <c r="C109" s="514"/>
      <c r="D109" s="52"/>
      <c r="E109" s="52"/>
      <c r="F109" s="63">
        <f t="shared" ref="F109:AC109" si="41">(COUNT(F13:F16))*7.2+(COUNT(F27:F28)*4.9)+(COUNT(F19:F21)*4.5)-F91-F93</f>
        <v>17.000000000000004</v>
      </c>
      <c r="G109" s="63">
        <f t="shared" si="41"/>
        <v>16.000000000000004</v>
      </c>
      <c r="H109" s="63">
        <f t="shared" si="41"/>
        <v>11.600000000000005</v>
      </c>
      <c r="I109" s="63">
        <f t="shared" si="41"/>
        <v>13.100000000000001</v>
      </c>
      <c r="J109" s="63">
        <f t="shared" si="41"/>
        <v>13.399999999999999</v>
      </c>
      <c r="K109" s="63">
        <f t="shared" si="41"/>
        <v>12.999999999999998</v>
      </c>
      <c r="L109" s="63">
        <f t="shared" si="41"/>
        <v>4.9000000000000021</v>
      </c>
      <c r="M109" s="63">
        <f t="shared" si="41"/>
        <v>13.100000000000001</v>
      </c>
      <c r="N109" s="63">
        <f t="shared" si="41"/>
        <v>9.4000000000000057</v>
      </c>
      <c r="O109" s="63">
        <f t="shared" si="41"/>
        <v>14.4</v>
      </c>
      <c r="P109" s="63">
        <f t="shared" si="41"/>
        <v>9.7000000000000011</v>
      </c>
      <c r="Q109" s="63">
        <f t="shared" si="41"/>
        <v>16</v>
      </c>
      <c r="R109" s="63">
        <f t="shared" si="41"/>
        <v>14.400000000000002</v>
      </c>
      <c r="S109" s="63">
        <f t="shared" si="41"/>
        <v>8.3000000000000025</v>
      </c>
      <c r="T109" s="63">
        <f t="shared" si="41"/>
        <v>7.7000000000000011</v>
      </c>
      <c r="U109" s="63">
        <f t="shared" si="41"/>
        <v>6.9</v>
      </c>
      <c r="V109" s="63">
        <f t="shared" si="41"/>
        <v>8.3000000000000007</v>
      </c>
      <c r="W109" s="63">
        <f t="shared" si="41"/>
        <v>8.7000000000000028</v>
      </c>
      <c r="X109" s="63">
        <f t="shared" si="41"/>
        <v>8.9000000000000021</v>
      </c>
      <c r="Y109" s="63">
        <f t="shared" si="41"/>
        <v>7.9</v>
      </c>
      <c r="Z109" s="63">
        <f t="shared" si="41"/>
        <v>8.9000000000000021</v>
      </c>
      <c r="AA109" s="63">
        <f t="shared" si="41"/>
        <v>10.600000000000001</v>
      </c>
      <c r="AB109" s="63">
        <f t="shared" si="41"/>
        <v>8.0000000000000053</v>
      </c>
      <c r="AC109" s="63">
        <f t="shared" si="41"/>
        <v>9.4000000000000075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15" t="s">
        <v>89</v>
      </c>
      <c r="B110" s="516"/>
      <c r="C110" s="517"/>
      <c r="D110" s="204"/>
      <c r="E110" s="204"/>
      <c r="F110" s="205">
        <f t="shared" ref="F110:P110" si="42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6.5000000000000018</v>
      </c>
      <c r="G110" s="205">
        <f t="shared" si="42"/>
        <v>4.400000000000003</v>
      </c>
      <c r="H110" s="205">
        <f t="shared" si="42"/>
        <v>3.0000000000000044</v>
      </c>
      <c r="I110" s="205">
        <f t="shared" si="42"/>
        <v>4.5000000000000018</v>
      </c>
      <c r="J110" s="205">
        <f t="shared" si="42"/>
        <v>4.7999999999999989</v>
      </c>
      <c r="K110" s="205">
        <f t="shared" si="42"/>
        <v>4.3999999999999986</v>
      </c>
      <c r="L110" s="205">
        <f t="shared" si="42"/>
        <v>3.5000000000000018</v>
      </c>
      <c r="M110" s="205">
        <f t="shared" si="42"/>
        <v>11.7</v>
      </c>
      <c r="N110" s="205">
        <f t="shared" si="42"/>
        <v>5.1000000000000014</v>
      </c>
      <c r="O110" s="205">
        <f t="shared" si="42"/>
        <v>9.8999999999999986</v>
      </c>
      <c r="P110" s="205">
        <f t="shared" si="42"/>
        <v>5.2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11.4</v>
      </c>
      <c r="R110" s="205">
        <f t="shared" ref="R110:AC110" si="43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8.6000000000000014</v>
      </c>
      <c r="S110" s="205">
        <f t="shared" si="43"/>
        <v>4.400000000000003</v>
      </c>
      <c r="T110" s="205">
        <f t="shared" si="43"/>
        <v>3.8000000000000007</v>
      </c>
      <c r="U110" s="205">
        <f t="shared" si="43"/>
        <v>2.8</v>
      </c>
      <c r="V110" s="205">
        <f t="shared" si="43"/>
        <v>4.3999999999999995</v>
      </c>
      <c r="W110" s="205">
        <f t="shared" si="43"/>
        <v>4.8000000000000016</v>
      </c>
      <c r="X110" s="205">
        <f t="shared" si="43"/>
        <v>5.8000000000000016</v>
      </c>
      <c r="Y110" s="205">
        <f t="shared" si="43"/>
        <v>4</v>
      </c>
      <c r="Z110" s="205">
        <f t="shared" si="43"/>
        <v>5.8000000000000007</v>
      </c>
      <c r="AA110" s="205">
        <f t="shared" si="43"/>
        <v>8.3000000000000007</v>
      </c>
      <c r="AB110" s="205">
        <f t="shared" si="43"/>
        <v>4.1000000000000014</v>
      </c>
      <c r="AC110" s="205">
        <f t="shared" si="43"/>
        <v>7.1000000000000032</v>
      </c>
      <c r="AD110" s="26"/>
      <c r="AE110" s="26"/>
      <c r="AF110" s="466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10" t="s">
        <v>91</v>
      </c>
      <c r="B111" s="510"/>
      <c r="C111" s="510"/>
      <c r="D111" s="60"/>
      <c r="E111" s="72"/>
      <c r="F111" s="74">
        <v>60.14</v>
      </c>
      <c r="G111" s="74">
        <v>60.17</v>
      </c>
      <c r="H111" s="74">
        <v>60.09</v>
      </c>
      <c r="I111" s="74">
        <v>60.12</v>
      </c>
      <c r="J111" s="74">
        <v>60.24</v>
      </c>
      <c r="K111" s="74">
        <v>60.21</v>
      </c>
      <c r="L111" s="74">
        <v>60.16</v>
      </c>
      <c r="M111" s="74">
        <v>60.25</v>
      </c>
      <c r="N111" s="74">
        <v>60.17</v>
      </c>
      <c r="O111" s="74">
        <v>60.1</v>
      </c>
      <c r="P111" s="83">
        <v>60.16</v>
      </c>
      <c r="Q111" s="83">
        <v>60.3</v>
      </c>
      <c r="R111" s="83">
        <v>60.13</v>
      </c>
      <c r="S111" s="83">
        <v>60.15</v>
      </c>
      <c r="T111" s="83">
        <v>60.2</v>
      </c>
      <c r="U111" s="74">
        <v>60.03</v>
      </c>
      <c r="V111" s="74">
        <v>60.15</v>
      </c>
      <c r="W111" s="74">
        <v>60.06</v>
      </c>
      <c r="X111" s="74">
        <v>60.06</v>
      </c>
      <c r="Y111" s="74">
        <v>60.06</v>
      </c>
      <c r="Z111" s="74">
        <v>60.16</v>
      </c>
      <c r="AA111" s="74">
        <v>60.16</v>
      </c>
      <c r="AB111" s="74">
        <v>60.14</v>
      </c>
      <c r="AC111" s="74">
        <v>60.12</v>
      </c>
      <c r="AD111" s="26"/>
      <c r="AE111" s="26"/>
      <c r="AF111" s="467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18" t="s">
        <v>93</v>
      </c>
      <c r="B112" s="519"/>
      <c r="C112" s="520"/>
      <c r="D112" s="60"/>
      <c r="E112" s="72"/>
      <c r="F112" s="74"/>
      <c r="G112" s="74"/>
      <c r="H112" s="74"/>
      <c r="I112" s="74"/>
      <c r="J112" s="74"/>
      <c r="K112" s="74"/>
      <c r="L112" s="74"/>
      <c r="M112" s="74"/>
      <c r="N112" s="74"/>
      <c r="O112" s="74"/>
      <c r="P112" s="74"/>
      <c r="Q112" s="74"/>
      <c r="R112" s="74"/>
      <c r="S112" s="74"/>
      <c r="T112" s="74"/>
      <c r="U112" s="74"/>
      <c r="V112" s="74"/>
      <c r="W112" s="74"/>
      <c r="X112" s="74"/>
      <c r="Y112" s="74"/>
      <c r="Z112" s="74"/>
      <c r="AA112" s="74"/>
      <c r="AB112" s="74"/>
      <c r="AC112" s="74"/>
      <c r="AD112" s="26"/>
      <c r="AE112" s="26"/>
      <c r="AF112" s="469"/>
      <c r="AG112" s="472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18" t="s">
        <v>95</v>
      </c>
      <c r="B113" s="519"/>
      <c r="C113" s="520"/>
      <c r="D113" s="60"/>
      <c r="E113" s="74"/>
      <c r="F113" s="74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10" t="s">
        <v>96</v>
      </c>
      <c r="B114" s="510"/>
      <c r="C114" s="510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 t="s">
        <v>101</v>
      </c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10" t="s">
        <v>97</v>
      </c>
      <c r="B115" s="510"/>
      <c r="C115" s="510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499" t="s">
        <v>98</v>
      </c>
      <c r="B117" s="499"/>
      <c r="C117" s="499"/>
      <c r="D117" s="499"/>
      <c r="E117" s="499"/>
      <c r="F117" s="499"/>
      <c r="G117" s="499"/>
      <c r="H117" s="499"/>
      <c r="I117" s="499"/>
      <c r="J117" s="499"/>
      <c r="K117" s="499"/>
      <c r="L117" s="499"/>
      <c r="M117" s="499"/>
      <c r="N117" s="499"/>
      <c r="O117" s="499"/>
      <c r="P117" s="499"/>
      <c r="Q117" s="499"/>
      <c r="R117" s="499"/>
      <c r="S117" s="499"/>
      <c r="T117" s="499"/>
      <c r="U117" s="499"/>
      <c r="V117" s="499"/>
      <c r="W117" s="499"/>
      <c r="X117" s="499"/>
      <c r="Y117" s="499"/>
      <c r="Z117" s="499"/>
      <c r="AA117" s="499"/>
      <c r="AB117" s="499"/>
      <c r="AC117" s="499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00" t="s">
        <v>75</v>
      </c>
      <c r="B119" s="501"/>
      <c r="C119" s="502"/>
      <c r="D119" s="49"/>
      <c r="E119" s="49"/>
      <c r="F119" s="506" t="s">
        <v>76</v>
      </c>
      <c r="G119" s="506"/>
      <c r="H119" s="506"/>
      <c r="I119" s="506"/>
      <c r="J119" s="506"/>
      <c r="K119" s="506"/>
      <c r="L119" s="506"/>
      <c r="M119" s="506"/>
      <c r="N119" s="506"/>
      <c r="O119" s="506"/>
      <c r="P119" s="506"/>
      <c r="Q119" s="506"/>
      <c r="R119" s="506"/>
      <c r="S119" s="506"/>
      <c r="T119" s="506"/>
      <c r="U119" s="506"/>
      <c r="V119" s="506"/>
      <c r="W119" s="506"/>
      <c r="X119" s="506"/>
      <c r="Y119" s="506"/>
      <c r="Z119" s="506"/>
      <c r="AA119" s="506"/>
      <c r="AB119" s="506"/>
      <c r="AC119" s="506"/>
      <c r="AD119" s="5"/>
      <c r="AE119" s="5"/>
      <c r="AF119" s="5"/>
      <c r="AG119" s="5"/>
      <c r="AH119" s="5"/>
    </row>
    <row r="120" spans="1:124" ht="15.6" hidden="1" customHeight="1">
      <c r="A120" s="503"/>
      <c r="B120" s="504"/>
      <c r="C120" s="505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07" t="s">
        <v>27</v>
      </c>
      <c r="B121" s="508"/>
      <c r="C121" s="509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07" t="s">
        <v>78</v>
      </c>
      <c r="B122" s="508"/>
      <c r="C122" s="509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07" t="s">
        <v>29</v>
      </c>
      <c r="B123" s="508"/>
      <c r="C123" s="509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07" t="s">
        <v>32</v>
      </c>
      <c r="B124" s="508"/>
      <c r="C124" s="509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07" t="s">
        <v>33</v>
      </c>
      <c r="B125" s="508"/>
      <c r="C125" s="509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07" t="s">
        <v>55</v>
      </c>
      <c r="B126" s="508"/>
      <c r="C126" s="509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07" t="s">
        <v>59</v>
      </c>
      <c r="B127" s="508"/>
      <c r="C127" s="509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07" t="s">
        <v>69</v>
      </c>
      <c r="B128" s="508"/>
      <c r="C128" s="509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496" t="s">
        <v>99</v>
      </c>
      <c r="B129" s="497"/>
      <c r="C129" s="498"/>
      <c r="D129" s="51"/>
      <c r="E129" s="51"/>
      <c r="F129" s="44">
        <f>SUM(F121:F128)</f>
        <v>0</v>
      </c>
      <c r="G129" s="44">
        <f t="shared" ref="G129:AB129" si="44">SUM(G121:G128)</f>
        <v>0</v>
      </c>
      <c r="H129" s="44">
        <f t="shared" si="44"/>
        <v>0</v>
      </c>
      <c r="I129" s="44">
        <f t="shared" si="44"/>
        <v>0</v>
      </c>
      <c r="J129" s="44">
        <f t="shared" si="44"/>
        <v>0</v>
      </c>
      <c r="K129" s="44">
        <f t="shared" si="44"/>
        <v>0</v>
      </c>
      <c r="L129" s="44">
        <f t="shared" si="44"/>
        <v>0</v>
      </c>
      <c r="M129" s="44">
        <f t="shared" si="44"/>
        <v>0</v>
      </c>
      <c r="N129" s="44">
        <f t="shared" si="44"/>
        <v>0</v>
      </c>
      <c r="O129" s="44">
        <f t="shared" si="44"/>
        <v>0</v>
      </c>
      <c r="P129" s="44">
        <f t="shared" si="44"/>
        <v>0</v>
      </c>
      <c r="Q129" s="44">
        <f t="shared" si="44"/>
        <v>0</v>
      </c>
      <c r="R129" s="44">
        <f t="shared" si="44"/>
        <v>0</v>
      </c>
      <c r="S129" s="44">
        <f t="shared" si="44"/>
        <v>0</v>
      </c>
      <c r="T129" s="44">
        <f t="shared" si="44"/>
        <v>0</v>
      </c>
      <c r="U129" s="44">
        <f t="shared" si="44"/>
        <v>0</v>
      </c>
      <c r="V129" s="44">
        <f t="shared" si="44"/>
        <v>0</v>
      </c>
      <c r="W129" s="44">
        <f t="shared" si="44"/>
        <v>0</v>
      </c>
      <c r="X129" s="44">
        <f t="shared" si="44"/>
        <v>0</v>
      </c>
      <c r="Y129" s="44">
        <f t="shared" si="44"/>
        <v>0</v>
      </c>
      <c r="Z129" s="44">
        <f t="shared" si="44"/>
        <v>0</v>
      </c>
      <c r="AA129" s="44">
        <f t="shared" si="44"/>
        <v>0</v>
      </c>
      <c r="AB129" s="44">
        <f t="shared" si="44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128:C128"/>
    <mergeCell ref="A129:C129"/>
    <mergeCell ref="A122:C122"/>
    <mergeCell ref="A123:C123"/>
    <mergeCell ref="A124:C124"/>
    <mergeCell ref="A125:C125"/>
    <mergeCell ref="A126:C126"/>
    <mergeCell ref="A127:C127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G111:AC111">
    <cfRule type="cellIs" dxfId="2327" priority="280" operator="greaterThan">
      <formula>60.3</formula>
    </cfRule>
  </conditionalFormatting>
  <conditionalFormatting sqref="F111">
    <cfRule type="cellIs" dxfId="2326" priority="279" operator="greaterThan">
      <formula>60.3</formula>
    </cfRule>
  </conditionalFormatting>
  <conditionalFormatting sqref="G67:AC75">
    <cfRule type="cellIs" dxfId="2325" priority="271" operator="equal">
      <formula>"PMS"</formula>
    </cfRule>
    <cfRule type="containsText" dxfId="2324" priority="272" operator="containsText" text="CMS">
      <formula>NOT(ISERROR(SEARCH("CMS",G67)))</formula>
    </cfRule>
    <cfRule type="cellIs" dxfId="2323" priority="273" operator="equal">
      <formula>0</formula>
    </cfRule>
    <cfRule type="cellIs" dxfId="2322" priority="274" operator="greaterThan">
      <formula>0</formula>
    </cfRule>
    <cfRule type="cellIs" dxfId="2321" priority="275" operator="equal">
      <formula>"PMS"</formula>
    </cfRule>
    <cfRule type="containsText" dxfId="2320" priority="276" operator="containsText" text="CMS">
      <formula>NOT(ISERROR(SEARCH("CMS",G67)))</formula>
    </cfRule>
    <cfRule type="cellIs" dxfId="2319" priority="277" operator="equal">
      <formula>0</formula>
    </cfRule>
    <cfRule type="cellIs" dxfId="2318" priority="278" operator="greaterThan">
      <formula>0</formula>
    </cfRule>
  </conditionalFormatting>
  <conditionalFormatting sqref="G67:AC75">
    <cfRule type="cellIs" dxfId="2317" priority="267" operator="equal">
      <formula>"PMS"</formula>
    </cfRule>
    <cfRule type="containsText" dxfId="2316" priority="268" operator="containsText" text="CMS">
      <formula>NOT(ISERROR(SEARCH("CMS",G67)))</formula>
    </cfRule>
    <cfRule type="cellIs" dxfId="2315" priority="269" operator="equal">
      <formula>0</formula>
    </cfRule>
    <cfRule type="cellIs" dxfId="2314" priority="270" operator="greaterThan">
      <formula>0</formula>
    </cfRule>
  </conditionalFormatting>
  <conditionalFormatting sqref="G82:AC82">
    <cfRule type="cellIs" dxfId="2313" priority="259" operator="equal">
      <formula>"PMS"</formula>
    </cfRule>
    <cfRule type="containsText" dxfId="2312" priority="260" operator="containsText" text="CMS">
      <formula>NOT(ISERROR(SEARCH("CMS",G82)))</formula>
    </cfRule>
    <cfRule type="cellIs" dxfId="2311" priority="261" operator="equal">
      <formula>0</formula>
    </cfRule>
    <cfRule type="cellIs" dxfId="2310" priority="262" operator="greaterThan">
      <formula>0</formula>
    </cfRule>
    <cfRule type="cellIs" dxfId="2309" priority="263" operator="equal">
      <formula>"PMS"</formula>
    </cfRule>
    <cfRule type="containsText" dxfId="2308" priority="264" operator="containsText" text="CMS">
      <formula>NOT(ISERROR(SEARCH("CMS",G82)))</formula>
    </cfRule>
    <cfRule type="cellIs" dxfId="2307" priority="265" operator="equal">
      <formula>0</formula>
    </cfRule>
    <cfRule type="cellIs" dxfId="2306" priority="266" operator="greaterThan">
      <formula>0</formula>
    </cfRule>
  </conditionalFormatting>
  <conditionalFormatting sqref="G82:AC82">
    <cfRule type="cellIs" dxfId="2305" priority="255" operator="equal">
      <formula>"PMS"</formula>
    </cfRule>
    <cfRule type="containsText" dxfId="2304" priority="256" operator="containsText" text="CMS">
      <formula>NOT(ISERROR(SEARCH("CMS",G82)))</formula>
    </cfRule>
    <cfRule type="cellIs" dxfId="2303" priority="257" operator="equal">
      <formula>0</formula>
    </cfRule>
    <cfRule type="cellIs" dxfId="2302" priority="258" operator="greaterThan">
      <formula>0</formula>
    </cfRule>
  </conditionalFormatting>
  <conditionalFormatting sqref="E113:AC113 F112:N112">
    <cfRule type="cellIs" dxfId="2301" priority="254" operator="greaterThan">
      <formula>60.3</formula>
    </cfRule>
  </conditionalFormatting>
  <conditionalFormatting sqref="O112:AC112">
    <cfRule type="cellIs" dxfId="2300" priority="253" operator="greaterThan">
      <formula>60.3</formula>
    </cfRule>
  </conditionalFormatting>
  <conditionalFormatting sqref="G13:AC16">
    <cfRule type="cellIs" dxfId="2299" priority="245" operator="equal">
      <formula>"PMS"</formula>
    </cfRule>
    <cfRule type="containsText" dxfId="2298" priority="246" operator="containsText" text="CMS">
      <formula>NOT(ISERROR(SEARCH("CMS",G13)))</formula>
    </cfRule>
    <cfRule type="cellIs" dxfId="2297" priority="247" operator="equal">
      <formula>0</formula>
    </cfRule>
    <cfRule type="cellIs" dxfId="2296" priority="248" operator="greaterThan">
      <formula>0</formula>
    </cfRule>
    <cfRule type="cellIs" dxfId="2295" priority="249" operator="equal">
      <formula>"PMS"</formula>
    </cfRule>
    <cfRule type="containsText" dxfId="2294" priority="250" operator="containsText" text="CMS">
      <formula>NOT(ISERROR(SEARCH("CMS",G13)))</formula>
    </cfRule>
    <cfRule type="cellIs" dxfId="2293" priority="251" operator="equal">
      <formula>0</formula>
    </cfRule>
    <cfRule type="cellIs" dxfId="2292" priority="252" operator="greaterThan">
      <formula>0</formula>
    </cfRule>
  </conditionalFormatting>
  <conditionalFormatting sqref="G13:AC16">
    <cfRule type="cellIs" dxfId="2291" priority="241" operator="equal">
      <formula>"PMS"</formula>
    </cfRule>
    <cfRule type="containsText" dxfId="2290" priority="242" operator="containsText" text="CMS">
      <formula>NOT(ISERROR(SEARCH("CMS",G13)))</formula>
    </cfRule>
    <cfRule type="cellIs" dxfId="2289" priority="243" operator="equal">
      <formula>0</formula>
    </cfRule>
    <cfRule type="cellIs" dxfId="2288" priority="244" operator="greaterThan">
      <formula>0</formula>
    </cfRule>
  </conditionalFormatting>
  <conditionalFormatting sqref="H24:AC24 AC27 G19:AC21 Z27:AA27 Z28:AC29 G27:Y29 H33:AC33 G30:AC30">
    <cfRule type="cellIs" dxfId="2287" priority="233" operator="equal">
      <formula>"PMS"</formula>
    </cfRule>
    <cfRule type="containsText" dxfId="2286" priority="234" operator="containsText" text="CMS">
      <formula>NOT(ISERROR(SEARCH("CMS",G19)))</formula>
    </cfRule>
    <cfRule type="cellIs" dxfId="2285" priority="235" operator="equal">
      <formula>0</formula>
    </cfRule>
    <cfRule type="cellIs" dxfId="2284" priority="236" operator="greaterThan">
      <formula>0</formula>
    </cfRule>
    <cfRule type="cellIs" dxfId="2283" priority="237" operator="equal">
      <formula>"PMS"</formula>
    </cfRule>
    <cfRule type="containsText" dxfId="2282" priority="238" operator="containsText" text="CMS">
      <formula>NOT(ISERROR(SEARCH("CMS",G19)))</formula>
    </cfRule>
    <cfRule type="cellIs" dxfId="2281" priority="239" operator="equal">
      <formula>0</formula>
    </cfRule>
    <cfRule type="cellIs" dxfId="2280" priority="240" operator="greaterThan">
      <formula>0</formula>
    </cfRule>
  </conditionalFormatting>
  <conditionalFormatting sqref="H24:AC24 AC27 G19:AC21 Z27:AA27 Z28:AC29 G27:Y29 H33:AC33 G30:AC30">
    <cfRule type="cellIs" dxfId="2279" priority="229" operator="equal">
      <formula>"PMS"</formula>
    </cfRule>
    <cfRule type="containsText" dxfId="2278" priority="230" operator="containsText" text="CMS">
      <formula>NOT(ISERROR(SEARCH("CMS",G19)))</formula>
    </cfRule>
    <cfRule type="cellIs" dxfId="2277" priority="231" operator="equal">
      <formula>0</formula>
    </cfRule>
    <cfRule type="cellIs" dxfId="2276" priority="232" operator="greaterThan">
      <formula>0</formula>
    </cfRule>
  </conditionalFormatting>
  <conditionalFormatting sqref="V42:X42 G36:AC38 G43:X43 G39:X41 Y39:AC43 G44:AC59">
    <cfRule type="cellIs" dxfId="2275" priority="221" operator="equal">
      <formula>"PMS"</formula>
    </cfRule>
    <cfRule type="containsText" dxfId="2274" priority="222" operator="containsText" text="CMS">
      <formula>NOT(ISERROR(SEARCH("CMS",G36)))</formula>
    </cfRule>
    <cfRule type="cellIs" dxfId="2273" priority="223" operator="equal">
      <formula>0</formula>
    </cfRule>
    <cfRule type="cellIs" dxfId="2272" priority="224" operator="greaterThan">
      <formula>0</formula>
    </cfRule>
    <cfRule type="cellIs" dxfId="2271" priority="225" operator="equal">
      <formula>"PMS"</formula>
    </cfRule>
    <cfRule type="containsText" dxfId="2270" priority="226" operator="containsText" text="CMS">
      <formula>NOT(ISERROR(SEARCH("CMS",G36)))</formula>
    </cfRule>
    <cfRule type="cellIs" dxfId="2269" priority="227" operator="equal">
      <formula>0</formula>
    </cfRule>
    <cfRule type="cellIs" dxfId="2268" priority="228" operator="greaterThan">
      <formula>0</formula>
    </cfRule>
  </conditionalFormatting>
  <conditionalFormatting sqref="V42:X42 G36:AC38 G43:X43 G39:X41 Y39:AC43 G44:AC59">
    <cfRule type="cellIs" dxfId="2267" priority="217" operator="equal">
      <formula>"PMS"</formula>
    </cfRule>
    <cfRule type="containsText" dxfId="2266" priority="218" operator="containsText" text="CMS">
      <formula>NOT(ISERROR(SEARCH("CMS",G36)))</formula>
    </cfRule>
    <cfRule type="cellIs" dxfId="2265" priority="219" operator="equal">
      <formula>0</formula>
    </cfRule>
    <cfRule type="cellIs" dxfId="2264" priority="220" operator="greaterThan">
      <formula>0</formula>
    </cfRule>
  </conditionalFormatting>
  <conditionalFormatting sqref="G78:AC79 G62:AC64">
    <cfRule type="cellIs" dxfId="2263" priority="209" operator="equal">
      <formula>"PMS"</formula>
    </cfRule>
    <cfRule type="containsText" dxfId="2262" priority="210" operator="containsText" text="CMS">
      <formula>NOT(ISERROR(SEARCH("CMS",G62)))</formula>
    </cfRule>
    <cfRule type="cellIs" dxfId="2261" priority="211" operator="equal">
      <formula>0</formula>
    </cfRule>
    <cfRule type="cellIs" dxfId="2260" priority="212" operator="greaterThan">
      <formula>0</formula>
    </cfRule>
    <cfRule type="cellIs" dxfId="2259" priority="213" operator="equal">
      <formula>"PMS"</formula>
    </cfRule>
    <cfRule type="containsText" dxfId="2258" priority="214" operator="containsText" text="CMS">
      <formula>NOT(ISERROR(SEARCH("CMS",G62)))</formula>
    </cfRule>
    <cfRule type="cellIs" dxfId="2257" priority="215" operator="equal">
      <formula>0</formula>
    </cfRule>
    <cfRule type="cellIs" dxfId="2256" priority="216" operator="greaterThan">
      <formula>0</formula>
    </cfRule>
  </conditionalFormatting>
  <conditionalFormatting sqref="G78:AC79 G62:AC64">
    <cfRule type="cellIs" dxfId="2255" priority="205" operator="equal">
      <formula>"PMS"</formula>
    </cfRule>
    <cfRule type="containsText" dxfId="2254" priority="206" operator="containsText" text="CMS">
      <formula>NOT(ISERROR(SEARCH("CMS",G62)))</formula>
    </cfRule>
    <cfRule type="cellIs" dxfId="2253" priority="207" operator="equal">
      <formula>0</formula>
    </cfRule>
    <cfRule type="cellIs" dxfId="2252" priority="208" operator="greaterThan">
      <formula>0</formula>
    </cfRule>
  </conditionalFormatting>
  <conditionalFormatting sqref="G42:P42 R42:U42">
    <cfRule type="cellIs" dxfId="2251" priority="197" operator="equal">
      <formula>"PMS"</formula>
    </cfRule>
    <cfRule type="containsText" dxfId="2250" priority="198" operator="containsText" text="CMS">
      <formula>NOT(ISERROR(SEARCH("CMS",G42)))</formula>
    </cfRule>
    <cfRule type="cellIs" dxfId="2249" priority="199" operator="equal">
      <formula>0</formula>
    </cfRule>
    <cfRule type="cellIs" dxfId="2248" priority="200" operator="greaterThan">
      <formula>0</formula>
    </cfRule>
    <cfRule type="cellIs" dxfId="2247" priority="201" operator="equal">
      <formula>"PMS"</formula>
    </cfRule>
    <cfRule type="containsText" dxfId="2246" priority="202" operator="containsText" text="CMS">
      <formula>NOT(ISERROR(SEARCH("CMS",G42)))</formula>
    </cfRule>
    <cfRule type="cellIs" dxfId="2245" priority="203" operator="equal">
      <formula>0</formula>
    </cfRule>
    <cfRule type="cellIs" dxfId="2244" priority="204" operator="greaterThan">
      <formula>0</formula>
    </cfRule>
  </conditionalFormatting>
  <conditionalFormatting sqref="G42:P42 R42:U42">
    <cfRule type="cellIs" dxfId="2243" priority="193" operator="equal">
      <formula>"PMS"</formula>
    </cfRule>
    <cfRule type="containsText" dxfId="2242" priority="194" operator="containsText" text="CMS">
      <formula>NOT(ISERROR(SEARCH("CMS",G42)))</formula>
    </cfRule>
    <cfRule type="cellIs" dxfId="2241" priority="195" operator="equal">
      <formula>0</formula>
    </cfRule>
    <cfRule type="cellIs" dxfId="2240" priority="196" operator="greaterThan">
      <formula>0</formula>
    </cfRule>
  </conditionalFormatting>
  <conditionalFormatting sqref="G33">
    <cfRule type="cellIs" dxfId="2239" priority="185" operator="equal">
      <formula>"PMS"</formula>
    </cfRule>
    <cfRule type="containsText" dxfId="2238" priority="186" operator="containsText" text="CMS">
      <formula>NOT(ISERROR(SEARCH("CMS",G33)))</formula>
    </cfRule>
    <cfRule type="cellIs" dxfId="2237" priority="187" operator="equal">
      <formula>0</formula>
    </cfRule>
    <cfRule type="cellIs" dxfId="2236" priority="188" operator="greaterThan">
      <formula>0</formula>
    </cfRule>
    <cfRule type="cellIs" dxfId="2235" priority="189" operator="equal">
      <formula>"PMS"</formula>
    </cfRule>
    <cfRule type="containsText" dxfId="2234" priority="190" operator="containsText" text="CMS">
      <formula>NOT(ISERROR(SEARCH("CMS",G33)))</formula>
    </cfRule>
    <cfRule type="cellIs" dxfId="2233" priority="191" operator="equal">
      <formula>0</formula>
    </cfRule>
    <cfRule type="cellIs" dxfId="2232" priority="192" operator="greaterThan">
      <formula>0</formula>
    </cfRule>
  </conditionalFormatting>
  <conditionalFormatting sqref="G33">
    <cfRule type="cellIs" dxfId="2231" priority="181" operator="equal">
      <formula>"PMS"</formula>
    </cfRule>
    <cfRule type="containsText" dxfId="2230" priority="182" operator="containsText" text="CMS">
      <formula>NOT(ISERROR(SEARCH("CMS",G33)))</formula>
    </cfRule>
    <cfRule type="cellIs" dxfId="2229" priority="183" operator="equal">
      <formula>0</formula>
    </cfRule>
    <cfRule type="cellIs" dxfId="2228" priority="184" operator="greaterThan">
      <formula>0</formula>
    </cfRule>
  </conditionalFormatting>
  <conditionalFormatting sqref="G24">
    <cfRule type="cellIs" dxfId="2227" priority="173" operator="equal">
      <formula>"PMS"</formula>
    </cfRule>
    <cfRule type="containsText" dxfId="2226" priority="174" operator="containsText" text="CMS">
      <formula>NOT(ISERROR(SEARCH("CMS",G24)))</formula>
    </cfRule>
    <cfRule type="cellIs" dxfId="2225" priority="175" operator="equal">
      <formula>0</formula>
    </cfRule>
    <cfRule type="cellIs" dxfId="2224" priority="176" operator="greaterThan">
      <formula>0</formula>
    </cfRule>
    <cfRule type="cellIs" dxfId="2223" priority="177" operator="equal">
      <formula>"PMS"</formula>
    </cfRule>
    <cfRule type="containsText" dxfId="2222" priority="178" operator="containsText" text="CMS">
      <formula>NOT(ISERROR(SEARCH("CMS",G24)))</formula>
    </cfRule>
    <cfRule type="cellIs" dxfId="2221" priority="179" operator="equal">
      <formula>0</formula>
    </cfRule>
    <cfRule type="cellIs" dxfId="2220" priority="180" operator="greaterThan">
      <formula>0</formula>
    </cfRule>
  </conditionalFormatting>
  <conditionalFormatting sqref="G24">
    <cfRule type="cellIs" dxfId="2219" priority="169" operator="equal">
      <formula>"PMS"</formula>
    </cfRule>
    <cfRule type="containsText" dxfId="2218" priority="170" operator="containsText" text="CMS">
      <formula>NOT(ISERROR(SEARCH("CMS",G24)))</formula>
    </cfRule>
    <cfRule type="cellIs" dxfId="2217" priority="171" operator="equal">
      <formula>0</formula>
    </cfRule>
    <cfRule type="cellIs" dxfId="2216" priority="172" operator="greaterThan">
      <formula>0</formula>
    </cfRule>
  </conditionalFormatting>
  <conditionalFormatting sqref="AB27">
    <cfRule type="cellIs" dxfId="2215" priority="161" operator="equal">
      <formula>"PMS"</formula>
    </cfRule>
    <cfRule type="containsText" dxfId="2214" priority="162" operator="containsText" text="CMS">
      <formula>NOT(ISERROR(SEARCH("CMS",AB27)))</formula>
    </cfRule>
    <cfRule type="cellIs" dxfId="2213" priority="163" operator="equal">
      <formula>0</formula>
    </cfRule>
    <cfRule type="cellIs" dxfId="2212" priority="164" operator="greaterThan">
      <formula>0</formula>
    </cfRule>
    <cfRule type="cellIs" dxfId="2211" priority="165" operator="equal">
      <formula>"PMS"</formula>
    </cfRule>
    <cfRule type="containsText" dxfId="2210" priority="166" operator="containsText" text="CMS">
      <formula>NOT(ISERROR(SEARCH("CMS",AB27)))</formula>
    </cfRule>
    <cfRule type="cellIs" dxfId="2209" priority="167" operator="equal">
      <formula>0</formula>
    </cfRule>
    <cfRule type="cellIs" dxfId="2208" priority="168" operator="greaterThan">
      <formula>0</formula>
    </cfRule>
  </conditionalFormatting>
  <conditionalFormatting sqref="AB27">
    <cfRule type="cellIs" dxfId="2207" priority="157" operator="equal">
      <formula>"PMS"</formula>
    </cfRule>
    <cfRule type="containsText" dxfId="2206" priority="158" operator="containsText" text="CMS">
      <formula>NOT(ISERROR(SEARCH("CMS",AB27)))</formula>
    </cfRule>
    <cfRule type="cellIs" dxfId="2205" priority="159" operator="equal">
      <formula>0</formula>
    </cfRule>
    <cfRule type="cellIs" dxfId="2204" priority="160" operator="greaterThan">
      <formula>0</formula>
    </cfRule>
  </conditionalFormatting>
  <conditionalFormatting sqref="Q42">
    <cfRule type="cellIs" dxfId="2203" priority="149" operator="equal">
      <formula>"PMS"</formula>
    </cfRule>
    <cfRule type="containsText" dxfId="2202" priority="150" operator="containsText" text="CMS">
      <formula>NOT(ISERROR(SEARCH("CMS",Q42)))</formula>
    </cfRule>
    <cfRule type="cellIs" dxfId="2201" priority="151" operator="equal">
      <formula>0</formula>
    </cfRule>
    <cfRule type="cellIs" dxfId="2200" priority="152" operator="greaterThan">
      <formula>0</formula>
    </cfRule>
    <cfRule type="cellIs" dxfId="2199" priority="153" operator="equal">
      <formula>"PMS"</formula>
    </cfRule>
    <cfRule type="containsText" dxfId="2198" priority="154" operator="containsText" text="CMS">
      <formula>NOT(ISERROR(SEARCH("CMS",Q42)))</formula>
    </cfRule>
    <cfRule type="cellIs" dxfId="2197" priority="155" operator="equal">
      <formula>0</formula>
    </cfRule>
    <cfRule type="cellIs" dxfId="2196" priority="156" operator="greaterThan">
      <formula>0</formula>
    </cfRule>
  </conditionalFormatting>
  <conditionalFormatting sqref="Q42">
    <cfRule type="cellIs" dxfId="2195" priority="145" operator="equal">
      <formula>"PMS"</formula>
    </cfRule>
    <cfRule type="containsText" dxfId="2194" priority="146" operator="containsText" text="CMS">
      <formula>NOT(ISERROR(SEARCH("CMS",Q42)))</formula>
    </cfRule>
    <cfRule type="cellIs" dxfId="2193" priority="147" operator="equal">
      <formula>0</formula>
    </cfRule>
    <cfRule type="cellIs" dxfId="2192" priority="148" operator="greaterThan">
      <formula>0</formula>
    </cfRule>
  </conditionalFormatting>
  <conditionalFormatting sqref="F67:F75">
    <cfRule type="cellIs" dxfId="2191" priority="65" operator="equal">
      <formula>"PMS"</formula>
    </cfRule>
    <cfRule type="containsText" dxfId="2190" priority="66" operator="containsText" text="CMS">
      <formula>NOT(ISERROR(SEARCH("CMS",F67)))</formula>
    </cfRule>
    <cfRule type="cellIs" dxfId="2189" priority="67" operator="equal">
      <formula>0</formula>
    </cfRule>
    <cfRule type="cellIs" dxfId="2188" priority="68" operator="greaterThan">
      <formula>0</formula>
    </cfRule>
    <cfRule type="cellIs" dxfId="2187" priority="69" operator="equal">
      <formula>"PMS"</formula>
    </cfRule>
    <cfRule type="containsText" dxfId="2186" priority="70" operator="containsText" text="CMS">
      <formula>NOT(ISERROR(SEARCH("CMS",F67)))</formula>
    </cfRule>
    <cfRule type="cellIs" dxfId="2185" priority="71" operator="equal">
      <formula>0</formula>
    </cfRule>
    <cfRule type="cellIs" dxfId="2184" priority="72" operator="greaterThan">
      <formula>0</formula>
    </cfRule>
  </conditionalFormatting>
  <conditionalFormatting sqref="F67:F75">
    <cfRule type="cellIs" dxfId="2183" priority="61" operator="equal">
      <formula>"PMS"</formula>
    </cfRule>
    <cfRule type="containsText" dxfId="2182" priority="62" operator="containsText" text="CMS">
      <formula>NOT(ISERROR(SEARCH("CMS",F67)))</formula>
    </cfRule>
    <cfRule type="cellIs" dxfId="2181" priority="63" operator="equal">
      <formula>0</formula>
    </cfRule>
    <cfRule type="cellIs" dxfId="2180" priority="64" operator="greaterThan">
      <formula>0</formula>
    </cfRule>
  </conditionalFormatting>
  <conditionalFormatting sqref="F82">
    <cfRule type="cellIs" dxfId="2179" priority="53" operator="equal">
      <formula>"PMS"</formula>
    </cfRule>
    <cfRule type="containsText" dxfId="2178" priority="54" operator="containsText" text="CMS">
      <formula>NOT(ISERROR(SEARCH("CMS",F82)))</formula>
    </cfRule>
    <cfRule type="cellIs" dxfId="2177" priority="55" operator="equal">
      <formula>0</formula>
    </cfRule>
    <cfRule type="cellIs" dxfId="2176" priority="56" operator="greaterThan">
      <formula>0</formula>
    </cfRule>
    <cfRule type="cellIs" dxfId="2175" priority="57" operator="equal">
      <formula>"PMS"</formula>
    </cfRule>
    <cfRule type="containsText" dxfId="2174" priority="58" operator="containsText" text="CMS">
      <formula>NOT(ISERROR(SEARCH("CMS",F82)))</formula>
    </cfRule>
    <cfRule type="cellIs" dxfId="2173" priority="59" operator="equal">
      <formula>0</formula>
    </cfRule>
    <cfRule type="cellIs" dxfId="2172" priority="60" operator="greaterThan">
      <formula>0</formula>
    </cfRule>
  </conditionalFormatting>
  <conditionalFormatting sqref="F82">
    <cfRule type="cellIs" dxfId="2171" priority="49" operator="equal">
      <formula>"PMS"</formula>
    </cfRule>
    <cfRule type="containsText" dxfId="2170" priority="50" operator="containsText" text="CMS">
      <formula>NOT(ISERROR(SEARCH("CMS",F82)))</formula>
    </cfRule>
    <cfRule type="cellIs" dxfId="2169" priority="51" operator="equal">
      <formula>0</formula>
    </cfRule>
    <cfRule type="cellIs" dxfId="2168" priority="52" operator="greaterThan">
      <formula>0</formula>
    </cfRule>
  </conditionalFormatting>
  <conditionalFormatting sqref="F13:F16">
    <cfRule type="cellIs" dxfId="2167" priority="41" operator="equal">
      <formula>"PMS"</formula>
    </cfRule>
    <cfRule type="containsText" dxfId="2166" priority="42" operator="containsText" text="CMS">
      <formula>NOT(ISERROR(SEARCH("CMS",F13)))</formula>
    </cfRule>
    <cfRule type="cellIs" dxfId="2165" priority="43" operator="equal">
      <formula>0</formula>
    </cfRule>
    <cfRule type="cellIs" dxfId="2164" priority="44" operator="greaterThan">
      <formula>0</formula>
    </cfRule>
    <cfRule type="cellIs" dxfId="2163" priority="45" operator="equal">
      <formula>"PMS"</formula>
    </cfRule>
    <cfRule type="containsText" dxfId="2162" priority="46" operator="containsText" text="CMS">
      <formula>NOT(ISERROR(SEARCH("CMS",F13)))</formula>
    </cfRule>
    <cfRule type="cellIs" dxfId="2161" priority="47" operator="equal">
      <formula>0</formula>
    </cfRule>
    <cfRule type="cellIs" dxfId="2160" priority="48" operator="greaterThan">
      <formula>0</formula>
    </cfRule>
  </conditionalFormatting>
  <conditionalFormatting sqref="F13:F16">
    <cfRule type="cellIs" dxfId="2159" priority="37" operator="equal">
      <formula>"PMS"</formula>
    </cfRule>
    <cfRule type="containsText" dxfId="2158" priority="38" operator="containsText" text="CMS">
      <formula>NOT(ISERROR(SEARCH("CMS",F13)))</formula>
    </cfRule>
    <cfRule type="cellIs" dxfId="2157" priority="39" operator="equal">
      <formula>0</formula>
    </cfRule>
    <cfRule type="cellIs" dxfId="2156" priority="40" operator="greaterThan">
      <formula>0</formula>
    </cfRule>
  </conditionalFormatting>
  <conditionalFormatting sqref="F24 F19:F21 F27:F30 F33">
    <cfRule type="cellIs" dxfId="2155" priority="29" operator="equal">
      <formula>"PMS"</formula>
    </cfRule>
    <cfRule type="containsText" dxfId="2154" priority="30" operator="containsText" text="CMS">
      <formula>NOT(ISERROR(SEARCH("CMS",F19)))</formula>
    </cfRule>
    <cfRule type="cellIs" dxfId="2153" priority="31" operator="equal">
      <formula>0</formula>
    </cfRule>
    <cfRule type="cellIs" dxfId="2152" priority="32" operator="greaterThan">
      <formula>0</formula>
    </cfRule>
    <cfRule type="cellIs" dxfId="2151" priority="33" operator="equal">
      <formula>"PMS"</formula>
    </cfRule>
    <cfRule type="containsText" dxfId="2150" priority="34" operator="containsText" text="CMS">
      <formula>NOT(ISERROR(SEARCH("CMS",F19)))</formula>
    </cfRule>
    <cfRule type="cellIs" dxfId="2149" priority="35" operator="equal">
      <formula>0</formula>
    </cfRule>
    <cfRule type="cellIs" dxfId="2148" priority="36" operator="greaterThan">
      <formula>0</formula>
    </cfRule>
  </conditionalFormatting>
  <conditionalFormatting sqref="F24 F19:F21 F27:F30 F33">
    <cfRule type="cellIs" dxfId="2147" priority="25" operator="equal">
      <formula>"PMS"</formula>
    </cfRule>
    <cfRule type="containsText" dxfId="2146" priority="26" operator="containsText" text="CMS">
      <formula>NOT(ISERROR(SEARCH("CMS",F19)))</formula>
    </cfRule>
    <cfRule type="cellIs" dxfId="2145" priority="27" operator="equal">
      <formula>0</formula>
    </cfRule>
    <cfRule type="cellIs" dxfId="2144" priority="28" operator="greaterThan">
      <formula>0</formula>
    </cfRule>
  </conditionalFormatting>
  <conditionalFormatting sqref="F36:F59">
    <cfRule type="cellIs" dxfId="2143" priority="17" operator="equal">
      <formula>"PMS"</formula>
    </cfRule>
    <cfRule type="containsText" dxfId="2142" priority="18" operator="containsText" text="CMS">
      <formula>NOT(ISERROR(SEARCH("CMS",F36)))</formula>
    </cfRule>
    <cfRule type="cellIs" dxfId="2141" priority="19" operator="equal">
      <formula>0</formula>
    </cfRule>
    <cfRule type="cellIs" dxfId="2140" priority="20" operator="greaterThan">
      <formula>0</formula>
    </cfRule>
    <cfRule type="cellIs" dxfId="2139" priority="21" operator="equal">
      <formula>"PMS"</formula>
    </cfRule>
    <cfRule type="containsText" dxfId="2138" priority="22" operator="containsText" text="CMS">
      <formula>NOT(ISERROR(SEARCH("CMS",F36)))</formula>
    </cfRule>
    <cfRule type="cellIs" dxfId="2137" priority="23" operator="equal">
      <formula>0</formula>
    </cfRule>
    <cfRule type="cellIs" dxfId="2136" priority="24" operator="greaterThan">
      <formula>0</formula>
    </cfRule>
  </conditionalFormatting>
  <conditionalFormatting sqref="F36:F59">
    <cfRule type="cellIs" dxfId="2135" priority="13" operator="equal">
      <formula>"PMS"</formula>
    </cfRule>
    <cfRule type="containsText" dxfId="2134" priority="14" operator="containsText" text="CMS">
      <formula>NOT(ISERROR(SEARCH("CMS",F36)))</formula>
    </cfRule>
    <cfRule type="cellIs" dxfId="2133" priority="15" operator="equal">
      <formula>0</formula>
    </cfRule>
    <cfRule type="cellIs" dxfId="2132" priority="16" operator="greaterThan">
      <formula>0</formula>
    </cfRule>
  </conditionalFormatting>
  <conditionalFormatting sqref="F78:F79 F62:F64">
    <cfRule type="cellIs" dxfId="2131" priority="5" operator="equal">
      <formula>"PMS"</formula>
    </cfRule>
    <cfRule type="containsText" dxfId="2130" priority="6" operator="containsText" text="CMS">
      <formula>NOT(ISERROR(SEARCH("CMS",F62)))</formula>
    </cfRule>
    <cfRule type="cellIs" dxfId="2129" priority="7" operator="equal">
      <formula>0</formula>
    </cfRule>
    <cfRule type="cellIs" dxfId="2128" priority="8" operator="greaterThan">
      <formula>0</formula>
    </cfRule>
    <cfRule type="cellIs" dxfId="2127" priority="9" operator="equal">
      <formula>"PMS"</formula>
    </cfRule>
    <cfRule type="containsText" dxfId="2126" priority="10" operator="containsText" text="CMS">
      <formula>NOT(ISERROR(SEARCH("CMS",F62)))</formula>
    </cfRule>
    <cfRule type="cellIs" dxfId="2125" priority="11" operator="equal">
      <formula>0</formula>
    </cfRule>
    <cfRule type="cellIs" dxfId="2124" priority="12" operator="greaterThan">
      <formula>0</formula>
    </cfRule>
  </conditionalFormatting>
  <conditionalFormatting sqref="F78:F79 F62:F64">
    <cfRule type="cellIs" dxfId="2123" priority="1" operator="equal">
      <formula>"PMS"</formula>
    </cfRule>
    <cfRule type="containsText" dxfId="2122" priority="2" operator="containsText" text="CMS">
      <formula>NOT(ISERROR(SEARCH("CMS",F62)))</formula>
    </cfRule>
    <cfRule type="cellIs" dxfId="2121" priority="3" operator="equal">
      <formula>0</formula>
    </cfRule>
    <cfRule type="cellIs" dxfId="2120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190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86DAA-7090-414C-B3F3-C72BC6FC2C8F}">
  <sheetPr codeName="Sheet183"/>
  <dimension ref="A2:DT141"/>
  <sheetViews>
    <sheetView zoomScale="70" zoomScaleNormal="70" zoomScaleSheetLayoutView="51" zoomScalePageLayoutView="55" workbookViewId="0">
      <pane xSplit="5" ySplit="11" topLeftCell="F12" activePane="bottomRight" state="frozen"/>
      <selection pane="bottomRight" activeCell="Z30" sqref="Z30"/>
      <selection pane="bottomLeft" activeCell="AJ44" sqref="AJ44"/>
      <selection pane="topRight" activeCell="AJ44" sqref="AJ4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23"/>
      <c r="N8" s="523"/>
      <c r="O8" s="52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24" t="e" cm="1">
        <f t="array" aca="1" ref="M9" ca="1">TEXT(TODAY(),"mmmm")&amp;" "&amp;MID(CELL("filename",A1),FIND("]",CELL("filename",A1))+1,255)&amp;", "&amp;TEXT(TODAY(),"yyyy")</f>
        <v>#VALUE!</v>
      </c>
      <c r="N9" s="524"/>
      <c r="O9" s="524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4"/>
      <c r="R10" s="344"/>
      <c r="S10" s="344"/>
      <c r="T10" s="344"/>
      <c r="U10" s="344"/>
      <c r="V10" s="344"/>
      <c r="W10" s="344"/>
      <c r="X10" s="344"/>
      <c r="Y10" s="344"/>
      <c r="Z10" s="344"/>
      <c r="AA10" s="344"/>
      <c r="AB10" s="344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17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376.69999999999987</v>
      </c>
    </row>
    <row r="13" spans="1:41">
      <c r="A13" s="14" t="s">
        <v>22</v>
      </c>
      <c r="B13" s="15"/>
      <c r="C13" s="15">
        <v>7.2</v>
      </c>
      <c r="D13" s="15"/>
      <c r="E13" s="15"/>
      <c r="F13" s="372"/>
      <c r="G13" s="372"/>
      <c r="H13" s="372"/>
      <c r="I13" s="372"/>
      <c r="J13" s="372"/>
      <c r="K13" s="374"/>
      <c r="L13" s="374"/>
      <c r="M13" s="374"/>
      <c r="N13" s="372">
        <v>2.2999999999999998</v>
      </c>
      <c r="O13" s="372">
        <v>6.7</v>
      </c>
      <c r="P13" s="372">
        <v>6.7</v>
      </c>
      <c r="Q13" s="372">
        <v>6.3</v>
      </c>
      <c r="R13" s="372">
        <v>6.6</v>
      </c>
      <c r="S13" s="372">
        <v>6.6</v>
      </c>
      <c r="T13" s="372">
        <v>6.7</v>
      </c>
      <c r="U13" s="372">
        <v>6.7</v>
      </c>
      <c r="V13" s="372">
        <v>6.8</v>
      </c>
      <c r="W13" s="372">
        <v>6.7</v>
      </c>
      <c r="X13" s="374">
        <v>6.6</v>
      </c>
      <c r="Y13" s="374">
        <v>6.6</v>
      </c>
      <c r="Z13" s="372">
        <v>6.6</v>
      </c>
      <c r="AA13" s="372">
        <v>6.6</v>
      </c>
      <c r="AB13" s="372">
        <v>6.7</v>
      </c>
      <c r="AC13" s="374">
        <v>6.8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16</v>
      </c>
    </row>
    <row r="14" spans="1:41">
      <c r="A14" s="14" t="s">
        <v>23</v>
      </c>
      <c r="B14" s="15"/>
      <c r="C14" s="15">
        <v>7.2</v>
      </c>
      <c r="D14" s="15"/>
      <c r="E14" s="15"/>
      <c r="F14" s="372"/>
      <c r="G14" s="372"/>
      <c r="H14" s="372"/>
      <c r="I14" s="372"/>
      <c r="J14" s="372">
        <v>2.6</v>
      </c>
      <c r="K14" s="374"/>
      <c r="L14" s="374"/>
      <c r="M14" s="374"/>
      <c r="N14" s="372"/>
      <c r="O14" s="372"/>
      <c r="P14" s="372"/>
      <c r="Q14" s="372">
        <v>6.9</v>
      </c>
      <c r="R14" s="372">
        <v>6.6</v>
      </c>
      <c r="S14" s="372">
        <v>6.6</v>
      </c>
      <c r="T14" s="372">
        <v>6.7</v>
      </c>
      <c r="U14" s="372">
        <v>6.7</v>
      </c>
      <c r="V14" s="372">
        <v>6.8</v>
      </c>
      <c r="W14" s="372">
        <v>6.7</v>
      </c>
      <c r="X14" s="374">
        <v>6.6</v>
      </c>
      <c r="Y14" s="374">
        <v>6.6</v>
      </c>
      <c r="Z14" s="372">
        <v>6.6</v>
      </c>
      <c r="AA14" s="372">
        <v>6.6</v>
      </c>
      <c r="AB14" s="372">
        <v>6.7</v>
      </c>
      <c r="AC14" s="374">
        <v>6.8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14</v>
      </c>
    </row>
    <row r="15" spans="1:41">
      <c r="A15" s="66" t="s">
        <v>24</v>
      </c>
      <c r="B15" s="15"/>
      <c r="C15" s="15">
        <v>7.2</v>
      </c>
      <c r="D15" s="15"/>
      <c r="E15" s="15"/>
      <c r="F15" s="372">
        <v>2</v>
      </c>
      <c r="G15" s="372"/>
      <c r="H15" s="372"/>
      <c r="I15" s="372"/>
      <c r="J15" s="372">
        <v>5.0999999999999996</v>
      </c>
      <c r="K15" s="374">
        <v>6.5</v>
      </c>
      <c r="L15" s="374">
        <v>6.5</v>
      </c>
      <c r="M15" s="374">
        <v>6.7</v>
      </c>
      <c r="N15" s="372">
        <v>6.6</v>
      </c>
      <c r="O15" s="372">
        <v>6.7</v>
      </c>
      <c r="P15" s="372">
        <v>6.7</v>
      </c>
      <c r="Q15" s="372">
        <v>6.3</v>
      </c>
      <c r="R15" s="372">
        <v>6.6</v>
      </c>
      <c r="S15" s="372">
        <v>6.6</v>
      </c>
      <c r="T15" s="372">
        <v>6.7</v>
      </c>
      <c r="U15" s="372">
        <v>6.7</v>
      </c>
      <c r="V15" s="372">
        <v>6.8</v>
      </c>
      <c r="W15" s="372">
        <v>6.7</v>
      </c>
      <c r="X15" s="374">
        <v>6.6</v>
      </c>
      <c r="Y15" s="374">
        <v>6.6</v>
      </c>
      <c r="Z15" s="372">
        <v>6.7</v>
      </c>
      <c r="AA15" s="372">
        <v>6.8</v>
      </c>
      <c r="AB15" s="372">
        <v>6.7</v>
      </c>
      <c r="AC15" s="374">
        <v>6.8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21</v>
      </c>
    </row>
    <row r="16" spans="1:41">
      <c r="A16" s="14" t="s">
        <v>25</v>
      </c>
      <c r="B16" s="15"/>
      <c r="C16" s="15">
        <v>7.2</v>
      </c>
      <c r="D16" s="15"/>
      <c r="E16" s="15"/>
      <c r="F16" s="372">
        <v>6.4</v>
      </c>
      <c r="G16" s="372"/>
      <c r="H16" s="372"/>
      <c r="I16" s="372"/>
      <c r="J16" s="372">
        <v>5.3</v>
      </c>
      <c r="K16" s="374">
        <v>6.7</v>
      </c>
      <c r="L16" s="374">
        <v>6.7</v>
      </c>
      <c r="M16" s="374">
        <v>6.7</v>
      </c>
      <c r="N16" s="372">
        <v>6.6</v>
      </c>
      <c r="O16" s="372">
        <v>6.7</v>
      </c>
      <c r="P16" s="372">
        <v>6.7</v>
      </c>
      <c r="Q16" s="372"/>
      <c r="R16" s="372"/>
      <c r="S16" s="372"/>
      <c r="T16" s="372"/>
      <c r="U16" s="372"/>
      <c r="V16" s="372"/>
      <c r="W16" s="372"/>
      <c r="X16" s="374"/>
      <c r="Y16" s="374"/>
      <c r="Z16" s="372"/>
      <c r="AA16" s="372"/>
      <c r="AB16" s="372"/>
      <c r="AC16" s="372"/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8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8.4</v>
      </c>
      <c r="G17" s="19">
        <f t="shared" ref="G17:AC17" si="1">SUM(G13:G16)</f>
        <v>0</v>
      </c>
      <c r="H17" s="19">
        <f>SUM(H13:H16)</f>
        <v>0</v>
      </c>
      <c r="I17" s="19">
        <f t="shared" si="1"/>
        <v>0</v>
      </c>
      <c r="J17" s="19">
        <f t="shared" si="1"/>
        <v>13</v>
      </c>
      <c r="K17" s="19">
        <f t="shared" si="1"/>
        <v>13.2</v>
      </c>
      <c r="L17" s="19">
        <f t="shared" si="1"/>
        <v>13.2</v>
      </c>
      <c r="M17" s="19">
        <f t="shared" si="1"/>
        <v>13.4</v>
      </c>
      <c r="N17" s="19">
        <f t="shared" si="1"/>
        <v>15.499999999999998</v>
      </c>
      <c r="O17" s="19">
        <f t="shared" si="1"/>
        <v>20.100000000000001</v>
      </c>
      <c r="P17" s="19">
        <f t="shared" si="1"/>
        <v>20.100000000000001</v>
      </c>
      <c r="Q17" s="19">
        <f t="shared" si="1"/>
        <v>19.5</v>
      </c>
      <c r="R17" s="19">
        <f t="shared" si="1"/>
        <v>19.799999999999997</v>
      </c>
      <c r="S17" s="19">
        <f t="shared" si="1"/>
        <v>19.799999999999997</v>
      </c>
      <c r="T17" s="19">
        <f t="shared" si="1"/>
        <v>20.100000000000001</v>
      </c>
      <c r="U17" s="19">
        <f t="shared" si="1"/>
        <v>20.100000000000001</v>
      </c>
      <c r="V17" s="19">
        <f t="shared" si="1"/>
        <v>20.399999999999999</v>
      </c>
      <c r="W17" s="19">
        <f t="shared" si="1"/>
        <v>20.100000000000001</v>
      </c>
      <c r="X17" s="19">
        <f t="shared" si="1"/>
        <v>19.799999999999997</v>
      </c>
      <c r="Y17" s="19">
        <f t="shared" si="1"/>
        <v>19.799999999999997</v>
      </c>
      <c r="Z17" s="19">
        <f t="shared" si="1"/>
        <v>19.899999999999999</v>
      </c>
      <c r="AA17" s="19">
        <f t="shared" si="1"/>
        <v>20</v>
      </c>
      <c r="AB17" s="19">
        <f t="shared" si="1"/>
        <v>20.100000000000001</v>
      </c>
      <c r="AC17" s="19">
        <f t="shared" si="1"/>
        <v>20.399999999999999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101.79999999999998</v>
      </c>
    </row>
    <row r="19" spans="1:51">
      <c r="A19" s="14" t="s">
        <v>22</v>
      </c>
      <c r="B19" s="15"/>
      <c r="C19" s="15">
        <v>3</v>
      </c>
      <c r="D19" s="15"/>
      <c r="E19" s="15"/>
      <c r="F19" s="372"/>
      <c r="G19" s="372"/>
      <c r="H19" s="372"/>
      <c r="I19" s="372"/>
      <c r="J19" s="372"/>
      <c r="K19" s="374"/>
      <c r="L19" s="374"/>
      <c r="M19" s="374"/>
      <c r="N19" s="372"/>
      <c r="O19" s="372"/>
      <c r="P19" s="372">
        <v>2.4</v>
      </c>
      <c r="Q19" s="372">
        <v>2.8</v>
      </c>
      <c r="R19" s="372">
        <v>2.8</v>
      </c>
      <c r="S19" s="372">
        <v>2.8</v>
      </c>
      <c r="T19" s="372">
        <v>2.8</v>
      </c>
      <c r="U19" s="372">
        <v>2.8</v>
      </c>
      <c r="V19" s="372">
        <v>2.8</v>
      </c>
      <c r="W19" s="372">
        <v>2.8</v>
      </c>
      <c r="X19" s="372">
        <v>2.8</v>
      </c>
      <c r="Y19" s="372">
        <v>2.8</v>
      </c>
      <c r="Z19" s="372">
        <v>2.8</v>
      </c>
      <c r="AA19" s="372">
        <v>2</v>
      </c>
      <c r="AB19" s="372">
        <v>2</v>
      </c>
      <c r="AC19" s="372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13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372"/>
      <c r="G20" s="372"/>
      <c r="H20" s="372"/>
      <c r="I20" s="372"/>
      <c r="J20" s="372"/>
      <c r="K20" s="374"/>
      <c r="L20" s="374"/>
      <c r="M20" s="374"/>
      <c r="N20" s="372"/>
      <c r="O20" s="372"/>
      <c r="P20" s="372"/>
      <c r="Q20" s="372"/>
      <c r="R20" s="372"/>
      <c r="S20" s="372"/>
      <c r="T20" s="372"/>
      <c r="U20" s="372"/>
      <c r="V20" s="372"/>
      <c r="W20" s="372"/>
      <c r="X20" s="372"/>
      <c r="Y20" s="372"/>
      <c r="Z20" s="372"/>
      <c r="AA20" s="372"/>
      <c r="AB20" s="372"/>
      <c r="AC20" s="372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2">
        <v>3.8</v>
      </c>
      <c r="G21" s="372">
        <v>3</v>
      </c>
      <c r="H21" s="372">
        <v>2.4</v>
      </c>
      <c r="I21" s="372">
        <v>3</v>
      </c>
      <c r="J21" s="372">
        <v>3</v>
      </c>
      <c r="K21" s="374">
        <v>3</v>
      </c>
      <c r="L21" s="374">
        <v>3.5</v>
      </c>
      <c r="M21" s="374">
        <v>3.5</v>
      </c>
      <c r="N21" s="372">
        <v>3.8</v>
      </c>
      <c r="O21" s="372">
        <v>3.8</v>
      </c>
      <c r="P21" s="372">
        <v>3.8</v>
      </c>
      <c r="Q21" s="372">
        <v>3.8</v>
      </c>
      <c r="R21" s="372" t="s">
        <v>9</v>
      </c>
      <c r="S21" s="372" t="s">
        <v>9</v>
      </c>
      <c r="T21" s="372" t="s">
        <v>9</v>
      </c>
      <c r="U21" s="372" t="s">
        <v>9</v>
      </c>
      <c r="V21" s="372">
        <v>3.8</v>
      </c>
      <c r="W21" s="372">
        <v>3.8</v>
      </c>
      <c r="X21" s="372">
        <v>3.8</v>
      </c>
      <c r="Y21" s="372">
        <v>3.8</v>
      </c>
      <c r="Z21" s="372">
        <v>3.8</v>
      </c>
      <c r="AA21" s="372">
        <v>3</v>
      </c>
      <c r="AB21" s="372">
        <v>3</v>
      </c>
      <c r="AC21" s="372">
        <v>2</v>
      </c>
      <c r="AD21" s="41"/>
      <c r="AE21" s="41"/>
      <c r="AF21" s="11">
        <f>COUNTIF(F21:AC21,$AJ$8)</f>
        <v>4</v>
      </c>
      <c r="AG21" s="11">
        <f>COUNTIF(G21:AD21,$AJ$7)</f>
        <v>0</v>
      </c>
      <c r="AH21" s="11">
        <f>COUNT(F21:AC21)</f>
        <v>20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3.8</v>
      </c>
      <c r="G22" s="19">
        <f>SUM(G19:G21)</f>
        <v>3</v>
      </c>
      <c r="H22" s="19">
        <f t="shared" ref="H22:AC22" si="3">SUM(H19:H21)</f>
        <v>2.4</v>
      </c>
      <c r="I22" s="19">
        <f t="shared" si="3"/>
        <v>3</v>
      </c>
      <c r="J22" s="19">
        <f t="shared" si="3"/>
        <v>3</v>
      </c>
      <c r="K22" s="19">
        <f t="shared" si="3"/>
        <v>3</v>
      </c>
      <c r="L22" s="19">
        <f t="shared" si="3"/>
        <v>3.5</v>
      </c>
      <c r="M22" s="19">
        <f t="shared" si="3"/>
        <v>3.5</v>
      </c>
      <c r="N22" s="19">
        <f t="shared" si="3"/>
        <v>3.8</v>
      </c>
      <c r="O22" s="19">
        <f t="shared" si="3"/>
        <v>3.8</v>
      </c>
      <c r="P22" s="19">
        <f t="shared" si="3"/>
        <v>6.1999999999999993</v>
      </c>
      <c r="Q22" s="19">
        <f t="shared" si="3"/>
        <v>6.6</v>
      </c>
      <c r="R22" s="19">
        <f t="shared" si="3"/>
        <v>2.8</v>
      </c>
      <c r="S22" s="19">
        <f>SUM(S19:S21)</f>
        <v>2.8</v>
      </c>
      <c r="T22" s="19">
        <f t="shared" ref="T22" si="4">SUM(T19:T21)</f>
        <v>2.8</v>
      </c>
      <c r="U22" s="19">
        <f t="shared" si="3"/>
        <v>2.8</v>
      </c>
      <c r="V22" s="19">
        <f t="shared" si="3"/>
        <v>6.6</v>
      </c>
      <c r="W22" s="19">
        <f t="shared" si="3"/>
        <v>6.6</v>
      </c>
      <c r="X22" s="19">
        <f t="shared" si="3"/>
        <v>6.6</v>
      </c>
      <c r="Y22" s="19">
        <f t="shared" si="3"/>
        <v>6.6</v>
      </c>
      <c r="Z22" s="19">
        <f t="shared" si="3"/>
        <v>6.6</v>
      </c>
      <c r="AA22" s="19">
        <f t="shared" si="3"/>
        <v>5</v>
      </c>
      <c r="AB22" s="19">
        <f>SUM(AB19:AB21)</f>
        <v>5</v>
      </c>
      <c r="AC22" s="19">
        <f t="shared" si="3"/>
        <v>2</v>
      </c>
      <c r="AD22" s="41"/>
      <c r="AE22" s="41"/>
      <c r="AF22" s="11"/>
      <c r="AG22" s="11"/>
      <c r="AH22" s="11"/>
      <c r="AI22" s="400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409">
        <f>SUM(F24:AC24)</f>
        <v>3.8</v>
      </c>
    </row>
    <row r="24" spans="1:51">
      <c r="A24" s="14" t="s">
        <v>22</v>
      </c>
      <c r="B24" s="20"/>
      <c r="C24" s="15">
        <v>4.5</v>
      </c>
      <c r="D24" s="15"/>
      <c r="E24" s="15"/>
      <c r="F24" s="372">
        <v>3.8</v>
      </c>
      <c r="G24" s="372"/>
      <c r="H24" s="372"/>
      <c r="I24" s="372"/>
      <c r="J24" s="372"/>
      <c r="K24" s="374"/>
      <c r="L24" s="374" t="s">
        <v>9</v>
      </c>
      <c r="M24" s="374" t="s">
        <v>9</v>
      </c>
      <c r="N24" s="374" t="s">
        <v>9</v>
      </c>
      <c r="O24" s="372" t="s">
        <v>9</v>
      </c>
      <c r="P24" s="372" t="s">
        <v>9</v>
      </c>
      <c r="Q24" s="372" t="s">
        <v>9</v>
      </c>
      <c r="R24" s="372" t="s">
        <v>9</v>
      </c>
      <c r="S24" s="372" t="s">
        <v>9</v>
      </c>
      <c r="T24" s="372" t="s">
        <v>9</v>
      </c>
      <c r="U24" s="372" t="s">
        <v>9</v>
      </c>
      <c r="V24" s="372" t="s">
        <v>9</v>
      </c>
      <c r="W24" s="372" t="s">
        <v>9</v>
      </c>
      <c r="X24" s="372" t="s">
        <v>9</v>
      </c>
      <c r="Y24" s="372" t="s">
        <v>9</v>
      </c>
      <c r="Z24" s="372" t="s">
        <v>9</v>
      </c>
      <c r="AA24" s="372" t="s">
        <v>9</v>
      </c>
      <c r="AB24" s="372" t="s">
        <v>9</v>
      </c>
      <c r="AC24" s="372" t="s">
        <v>9</v>
      </c>
      <c r="AD24" s="41"/>
      <c r="AE24" s="41"/>
      <c r="AF24" s="11">
        <f>COUNTIF(F24:AC24,$AJ$8)</f>
        <v>18</v>
      </c>
      <c r="AG24" s="11">
        <f>COUNTIF(G24:AD24,$AJ$7)</f>
        <v>0</v>
      </c>
      <c r="AH24" s="11">
        <f>COUNT(F24:AC24)</f>
        <v>1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3.8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0</v>
      </c>
      <c r="P25" s="19">
        <f t="shared" si="6"/>
        <v>0</v>
      </c>
      <c r="Q25" s="19">
        <f t="shared" si="6"/>
        <v>0</v>
      </c>
      <c r="R25" s="19">
        <f t="shared" si="6"/>
        <v>0</v>
      </c>
      <c r="S25" s="19">
        <f t="shared" si="6"/>
        <v>0</v>
      </c>
      <c r="T25" s="19">
        <f t="shared" si="6"/>
        <v>0</v>
      </c>
      <c r="U25" s="19">
        <f t="shared" si="6"/>
        <v>0</v>
      </c>
      <c r="V25" s="19">
        <f t="shared" si="6"/>
        <v>0</v>
      </c>
      <c r="W25" s="19">
        <f t="shared" si="6"/>
        <v>0</v>
      </c>
      <c r="X25" s="19">
        <f t="shared" si="6"/>
        <v>0</v>
      </c>
      <c r="Y25" s="19">
        <f t="shared" si="6"/>
        <v>0</v>
      </c>
      <c r="Z25" s="19">
        <f t="shared" si="6"/>
        <v>0</v>
      </c>
      <c r="AA25" s="19">
        <f t="shared" si="6"/>
        <v>0</v>
      </c>
      <c r="AB25" s="19">
        <f t="shared" si="6"/>
        <v>0</v>
      </c>
      <c r="AC25" s="19">
        <f t="shared" si="6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177.39999999999995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2">
        <v>4.3</v>
      </c>
      <c r="G27" s="372">
        <v>2.9</v>
      </c>
      <c r="H27" s="372">
        <v>3.1</v>
      </c>
      <c r="I27" s="372">
        <v>3.4</v>
      </c>
      <c r="J27" s="372">
        <v>3</v>
      </c>
      <c r="K27" s="372">
        <v>3.2</v>
      </c>
      <c r="L27" s="374">
        <v>3.7</v>
      </c>
      <c r="M27" s="374">
        <v>3.7</v>
      </c>
      <c r="N27" s="372">
        <v>4</v>
      </c>
      <c r="O27" s="372">
        <v>3.8</v>
      </c>
      <c r="P27" s="372">
        <v>4</v>
      </c>
      <c r="Q27" s="372">
        <v>4</v>
      </c>
      <c r="R27" s="372">
        <v>4</v>
      </c>
      <c r="S27" s="372">
        <v>4.0999999999999996</v>
      </c>
      <c r="T27" s="372">
        <v>4.0999999999999996</v>
      </c>
      <c r="U27" s="372">
        <v>4.0999999999999996</v>
      </c>
      <c r="V27" s="372">
        <v>4.0999999999999996</v>
      </c>
      <c r="W27" s="372">
        <v>3.6</v>
      </c>
      <c r="X27" s="372">
        <v>3.2</v>
      </c>
      <c r="Y27" s="372">
        <v>4.2</v>
      </c>
      <c r="Z27" s="374">
        <v>4.2</v>
      </c>
      <c r="AA27" s="372">
        <v>3.6</v>
      </c>
      <c r="AB27" s="372">
        <v>3.4</v>
      </c>
      <c r="AC27" s="372">
        <v>3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2">
        <v>4.3</v>
      </c>
      <c r="G28" s="372">
        <v>2.9</v>
      </c>
      <c r="H28" s="372">
        <v>3.1</v>
      </c>
      <c r="I28" s="372">
        <v>3.4</v>
      </c>
      <c r="J28" s="372">
        <v>3</v>
      </c>
      <c r="K28" s="374">
        <v>3.2</v>
      </c>
      <c r="L28" s="374">
        <v>3.7</v>
      </c>
      <c r="M28" s="374">
        <v>3.7</v>
      </c>
      <c r="N28" s="372">
        <v>4</v>
      </c>
      <c r="O28" s="372">
        <v>3.8</v>
      </c>
      <c r="P28" s="372">
        <v>4</v>
      </c>
      <c r="Q28" s="372">
        <v>4</v>
      </c>
      <c r="R28" s="372">
        <v>4</v>
      </c>
      <c r="S28" s="372">
        <v>4.0999999999999996</v>
      </c>
      <c r="T28" s="372">
        <v>4.0999999999999996</v>
      </c>
      <c r="U28" s="372">
        <v>4.0999999999999996</v>
      </c>
      <c r="V28" s="372">
        <v>4.0999999999999996</v>
      </c>
      <c r="W28" s="372">
        <v>3.6</v>
      </c>
      <c r="X28" s="372">
        <v>3.2</v>
      </c>
      <c r="Y28" s="372">
        <v>4.2</v>
      </c>
      <c r="Z28" s="374">
        <v>4.2</v>
      </c>
      <c r="AA28" s="372">
        <v>3.6</v>
      </c>
      <c r="AB28" s="372">
        <v>3.4</v>
      </c>
      <c r="AC28" s="372">
        <v>3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21.61</v>
      </c>
    </row>
    <row r="29" spans="1:51" ht="15" customHeight="1">
      <c r="A29" s="14" t="s">
        <v>30</v>
      </c>
      <c r="B29" s="369"/>
      <c r="C29" s="370">
        <v>8.8000000000000007</v>
      </c>
      <c r="D29" s="371"/>
      <c r="E29" s="371"/>
      <c r="F29" s="372"/>
      <c r="G29" s="372"/>
      <c r="H29" s="372"/>
      <c r="I29" s="372"/>
      <c r="J29" s="372"/>
      <c r="K29" s="374"/>
      <c r="L29" s="374"/>
      <c r="M29" s="374"/>
      <c r="N29" s="372"/>
      <c r="O29" s="372"/>
      <c r="P29" s="372"/>
      <c r="Q29" s="372"/>
      <c r="R29" s="372"/>
      <c r="S29" s="372"/>
      <c r="T29" s="372">
        <v>3.68</v>
      </c>
      <c r="U29" s="372">
        <v>3.06</v>
      </c>
      <c r="V29" s="372">
        <v>0</v>
      </c>
      <c r="W29" s="372">
        <v>0</v>
      </c>
      <c r="X29" s="372">
        <v>0</v>
      </c>
      <c r="Y29" s="372">
        <v>1.49</v>
      </c>
      <c r="Z29" s="372">
        <v>3.97</v>
      </c>
      <c r="AA29" s="372">
        <v>2.9</v>
      </c>
      <c r="AB29" s="372"/>
      <c r="AC29" s="372"/>
    </row>
    <row r="30" spans="1:51" ht="15" customHeight="1">
      <c r="A30" s="14" t="s">
        <v>31</v>
      </c>
      <c r="B30" s="369"/>
      <c r="C30" s="370">
        <v>8.8000000000000007</v>
      </c>
      <c r="D30" s="371"/>
      <c r="E30" s="371"/>
      <c r="F30" s="372">
        <v>0</v>
      </c>
      <c r="G30" s="372">
        <v>0</v>
      </c>
      <c r="H30" s="372">
        <v>0</v>
      </c>
      <c r="I30" s="372">
        <v>0</v>
      </c>
      <c r="J30" s="372">
        <v>0</v>
      </c>
      <c r="K30" s="374">
        <v>0</v>
      </c>
      <c r="L30" s="374">
        <v>0</v>
      </c>
      <c r="M30" s="374">
        <v>0</v>
      </c>
      <c r="N30" s="372">
        <v>0</v>
      </c>
      <c r="O30" s="372">
        <v>0</v>
      </c>
      <c r="P30" s="372">
        <v>0</v>
      </c>
      <c r="Q30" s="372">
        <v>0</v>
      </c>
      <c r="R30" s="372"/>
      <c r="S30" s="372"/>
      <c r="T30" s="372"/>
      <c r="U30" s="372"/>
      <c r="V30" s="372"/>
      <c r="W30" s="372">
        <v>2.0099999999999998</v>
      </c>
      <c r="X30" s="372">
        <v>3.23</v>
      </c>
      <c r="Y30" s="372">
        <v>1.27</v>
      </c>
      <c r="Z30" s="372"/>
      <c r="AA30" s="372"/>
      <c r="AB30" s="372"/>
      <c r="AC30" s="372"/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SUM(F27:F29)</f>
        <v>8.6</v>
      </c>
      <c r="G31" s="19">
        <f t="shared" ref="G31:AC31" si="8">SUM(G27:G29)</f>
        <v>5.8</v>
      </c>
      <c r="H31" s="19">
        <f t="shared" si="8"/>
        <v>6.2</v>
      </c>
      <c r="I31" s="19">
        <f t="shared" si="8"/>
        <v>6.8</v>
      </c>
      <c r="J31" s="19">
        <f t="shared" si="8"/>
        <v>6</v>
      </c>
      <c r="K31" s="19">
        <f t="shared" si="8"/>
        <v>6.4</v>
      </c>
      <c r="L31" s="19">
        <f t="shared" si="8"/>
        <v>7.4</v>
      </c>
      <c r="M31" s="19">
        <f t="shared" si="8"/>
        <v>7.4</v>
      </c>
      <c r="N31" s="19">
        <f t="shared" si="8"/>
        <v>8</v>
      </c>
      <c r="O31" s="19">
        <f t="shared" si="8"/>
        <v>7.6</v>
      </c>
      <c r="P31" s="19">
        <f t="shared" si="8"/>
        <v>8</v>
      </c>
      <c r="Q31" s="19">
        <f t="shared" si="8"/>
        <v>8</v>
      </c>
      <c r="R31" s="19">
        <f t="shared" si="8"/>
        <v>8</v>
      </c>
      <c r="S31" s="19">
        <f t="shared" si="8"/>
        <v>8.1999999999999993</v>
      </c>
      <c r="T31" s="19">
        <f>SUM(T27:T29)</f>
        <v>11.879999999999999</v>
      </c>
      <c r="U31" s="19">
        <f t="shared" si="8"/>
        <v>11.26</v>
      </c>
      <c r="V31" s="19">
        <f t="shared" si="8"/>
        <v>8.1999999999999993</v>
      </c>
      <c r="W31" s="19">
        <f>SUM(W27:W30)</f>
        <v>9.2100000000000009</v>
      </c>
      <c r="X31" s="19">
        <f>SUM(X27:X30)</f>
        <v>9.6300000000000008</v>
      </c>
      <c r="Y31" s="19">
        <f>SUM(Y27:Y30)</f>
        <v>11.16</v>
      </c>
      <c r="Z31" s="19">
        <f>SUM(Z27:Z30)</f>
        <v>12.370000000000001</v>
      </c>
      <c r="AA31" s="19">
        <f t="shared" si="8"/>
        <v>10.1</v>
      </c>
      <c r="AB31" s="19">
        <f t="shared" si="8"/>
        <v>6.8</v>
      </c>
      <c r="AC31" s="19">
        <f t="shared" si="8"/>
        <v>6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331.99</v>
      </c>
    </row>
    <row r="33" spans="1:36">
      <c r="A33" s="14" t="s">
        <v>22</v>
      </c>
      <c r="B33" s="15"/>
      <c r="C33" s="15">
        <v>15</v>
      </c>
      <c r="D33" s="15"/>
      <c r="E33" s="15"/>
      <c r="F33" s="372">
        <v>14.31</v>
      </c>
      <c r="G33" s="372">
        <v>9.7799999999999994</v>
      </c>
      <c r="H33" s="372">
        <v>9.82</v>
      </c>
      <c r="I33" s="372">
        <v>14.27</v>
      </c>
      <c r="J33" s="372">
        <v>14.29</v>
      </c>
      <c r="K33" s="374">
        <v>14.32</v>
      </c>
      <c r="L33" s="374">
        <v>14.29</v>
      </c>
      <c r="M33" s="374">
        <v>13.31</v>
      </c>
      <c r="N33" s="372">
        <v>14.3</v>
      </c>
      <c r="O33" s="372">
        <v>14.29</v>
      </c>
      <c r="P33" s="372">
        <v>14.28</v>
      </c>
      <c r="Q33" s="372">
        <v>14.29</v>
      </c>
      <c r="R33" s="372">
        <v>14.27</v>
      </c>
      <c r="S33" s="372">
        <v>14.31</v>
      </c>
      <c r="T33" s="372">
        <v>14.3</v>
      </c>
      <c r="U33" s="372">
        <v>13.31</v>
      </c>
      <c r="V33" s="372">
        <v>14.29</v>
      </c>
      <c r="W33" s="372">
        <v>14.28</v>
      </c>
      <c r="X33" s="372">
        <v>14.3</v>
      </c>
      <c r="Y33" s="372">
        <v>14.28</v>
      </c>
      <c r="Z33" s="372">
        <v>14.3</v>
      </c>
      <c r="AA33" s="372">
        <v>14.24</v>
      </c>
      <c r="AB33" s="372">
        <v>14.29</v>
      </c>
      <c r="AC33" s="372">
        <v>14.27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9">SUM(F33)</f>
        <v>14.31</v>
      </c>
      <c r="G34" s="19">
        <f t="shared" ref="G34:AC34" si="10">SUM(G33)</f>
        <v>9.7799999999999994</v>
      </c>
      <c r="H34" s="19">
        <f t="shared" si="10"/>
        <v>9.82</v>
      </c>
      <c r="I34" s="19">
        <f t="shared" si="10"/>
        <v>14.27</v>
      </c>
      <c r="J34" s="19">
        <f>SUM(J33)</f>
        <v>14.29</v>
      </c>
      <c r="K34" s="19">
        <f t="shared" si="10"/>
        <v>14.32</v>
      </c>
      <c r="L34" s="19">
        <f t="shared" si="10"/>
        <v>14.29</v>
      </c>
      <c r="M34" s="19">
        <f t="shared" si="10"/>
        <v>13.31</v>
      </c>
      <c r="N34" s="19">
        <f t="shared" si="10"/>
        <v>14.3</v>
      </c>
      <c r="O34" s="19">
        <f t="shared" si="10"/>
        <v>14.29</v>
      </c>
      <c r="P34" s="19">
        <f t="shared" si="10"/>
        <v>14.28</v>
      </c>
      <c r="Q34" s="19">
        <f t="shared" si="10"/>
        <v>14.29</v>
      </c>
      <c r="R34" s="19">
        <f t="shared" si="10"/>
        <v>14.27</v>
      </c>
      <c r="S34" s="19">
        <f t="shared" si="10"/>
        <v>14.31</v>
      </c>
      <c r="T34" s="19">
        <f t="shared" si="10"/>
        <v>14.3</v>
      </c>
      <c r="U34" s="19">
        <f t="shared" si="10"/>
        <v>13.31</v>
      </c>
      <c r="V34" s="19">
        <f t="shared" si="10"/>
        <v>14.29</v>
      </c>
      <c r="W34" s="19">
        <f t="shared" si="10"/>
        <v>14.28</v>
      </c>
      <c r="X34" s="19">
        <f t="shared" si="10"/>
        <v>14.3</v>
      </c>
      <c r="Y34" s="19">
        <f t="shared" si="10"/>
        <v>14.28</v>
      </c>
      <c r="Z34" s="19">
        <f t="shared" si="10"/>
        <v>14.3</v>
      </c>
      <c r="AA34" s="19">
        <f t="shared" si="10"/>
        <v>14.24</v>
      </c>
      <c r="AB34" s="19">
        <f t="shared" si="10"/>
        <v>14.29</v>
      </c>
      <c r="AC34" s="19">
        <f t="shared" si="10"/>
        <v>14.27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55"/>
      <c r="G35" s="455"/>
      <c r="H35" s="455"/>
      <c r="I35" s="455"/>
      <c r="J35" s="455"/>
      <c r="K35" s="455"/>
      <c r="L35" s="455"/>
      <c r="M35" s="455"/>
      <c r="N35" s="455"/>
      <c r="O35" s="455"/>
      <c r="P35" s="455"/>
      <c r="Q35" s="455"/>
      <c r="R35" s="455"/>
      <c r="S35" s="455"/>
      <c r="T35" s="455"/>
      <c r="U35" s="455"/>
      <c r="V35" s="455"/>
      <c r="W35" s="456"/>
      <c r="X35" s="455"/>
      <c r="Y35" s="455"/>
      <c r="Z35" s="455"/>
      <c r="AA35" s="455"/>
      <c r="AB35" s="455"/>
      <c r="AC35" s="455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35</v>
      </c>
    </row>
    <row r="36" spans="1:36">
      <c r="A36" s="70" t="s">
        <v>36</v>
      </c>
      <c r="B36" s="15"/>
      <c r="C36" s="15"/>
      <c r="D36" s="15"/>
      <c r="E36" s="15"/>
      <c r="F36" s="372"/>
      <c r="G36" s="372"/>
      <c r="H36" s="372"/>
      <c r="I36" s="372"/>
      <c r="J36" s="372"/>
      <c r="K36" s="374"/>
      <c r="L36" s="374"/>
      <c r="M36" s="374"/>
      <c r="N36" s="372"/>
      <c r="O36" s="372"/>
      <c r="P36" s="372"/>
      <c r="Q36" s="372"/>
      <c r="R36" s="372"/>
      <c r="S36" s="372"/>
      <c r="T36" s="372"/>
      <c r="U36" s="372"/>
      <c r="V36" s="372"/>
      <c r="W36" s="372"/>
      <c r="X36" s="372"/>
      <c r="Y36" s="372"/>
      <c r="Z36" s="372"/>
      <c r="AA36" s="372"/>
      <c r="AB36" s="372"/>
      <c r="AC36" s="372"/>
      <c r="AD36" s="41"/>
      <c r="AE36" s="41"/>
      <c r="AF36" s="11">
        <f t="shared" ref="AF36:AF59" si="11">COUNTIF(F36:AC36,$AJ$8)</f>
        <v>0</v>
      </c>
      <c r="AG36" s="11">
        <f t="shared" ref="AG36:AG59" si="12">COUNTIF(G36:AD36,$AJ$7)</f>
        <v>0</v>
      </c>
      <c r="AH36" s="11">
        <f t="shared" ref="AH36:AH59" si="13">COUNT(F36:AC36)</f>
        <v>0</v>
      </c>
      <c r="AI36" s="159">
        <f>SUM(F36:AC38,F40:AC40,F45:AC59)</f>
        <v>20.21</v>
      </c>
      <c r="AJ36" t="s">
        <v>37</v>
      </c>
    </row>
    <row r="37" spans="1:36">
      <c r="A37" s="70" t="s">
        <v>38</v>
      </c>
      <c r="B37" s="15"/>
      <c r="C37" s="15"/>
      <c r="D37" s="15"/>
      <c r="E37" s="15"/>
      <c r="F37" s="372"/>
      <c r="G37" s="372"/>
      <c r="H37" s="372"/>
      <c r="I37" s="372"/>
      <c r="J37" s="372"/>
      <c r="K37" s="374"/>
      <c r="L37" s="374"/>
      <c r="M37" s="374"/>
      <c r="N37" s="372"/>
      <c r="O37" s="372"/>
      <c r="P37" s="372"/>
      <c r="Q37" s="372"/>
      <c r="R37" s="372"/>
      <c r="S37" s="372"/>
      <c r="T37" s="372"/>
      <c r="U37" s="372"/>
      <c r="V37" s="372"/>
      <c r="W37" s="372"/>
      <c r="X37" s="372"/>
      <c r="Y37" s="372"/>
      <c r="Z37" s="372"/>
      <c r="AA37" s="372"/>
      <c r="AB37" s="372"/>
      <c r="AC37" s="372"/>
      <c r="AD37" s="41"/>
      <c r="AE37" s="41"/>
      <c r="AF37" s="11">
        <f t="shared" si="11"/>
        <v>0</v>
      </c>
      <c r="AG37" s="11">
        <f t="shared" si="12"/>
        <v>0</v>
      </c>
      <c r="AH37" s="11">
        <f t="shared" si="13"/>
        <v>0</v>
      </c>
    </row>
    <row r="38" spans="1:36">
      <c r="A38" s="70" t="s">
        <v>39</v>
      </c>
      <c r="B38" s="15"/>
      <c r="C38" s="15"/>
      <c r="D38" s="15"/>
      <c r="E38" s="15"/>
      <c r="F38" s="372"/>
      <c r="G38" s="372"/>
      <c r="H38" s="372"/>
      <c r="I38" s="372"/>
      <c r="J38" s="372"/>
      <c r="K38" s="374"/>
      <c r="L38" s="374"/>
      <c r="M38" s="374"/>
      <c r="N38" s="372"/>
      <c r="O38" s="372"/>
      <c r="P38" s="372"/>
      <c r="Q38" s="372"/>
      <c r="R38" s="372"/>
      <c r="S38" s="372"/>
      <c r="T38" s="372"/>
      <c r="U38" s="372"/>
      <c r="V38" s="372"/>
      <c r="W38" s="372"/>
      <c r="X38" s="372"/>
      <c r="Y38" s="372"/>
      <c r="Z38" s="372"/>
      <c r="AA38" s="372"/>
      <c r="AB38" s="372"/>
      <c r="AC38" s="372"/>
      <c r="AD38" s="41"/>
      <c r="AE38" s="41"/>
      <c r="AF38" s="11">
        <f t="shared" si="11"/>
        <v>0</v>
      </c>
      <c r="AG38" s="11">
        <f t="shared" si="12"/>
        <v>0</v>
      </c>
      <c r="AH38" s="11">
        <f t="shared" si="13"/>
        <v>0</v>
      </c>
    </row>
    <row r="39" spans="1:36">
      <c r="A39" s="70">
        <v>34</v>
      </c>
      <c r="B39" s="15"/>
      <c r="C39" s="15"/>
      <c r="D39" s="15"/>
      <c r="E39" s="15"/>
      <c r="F39" s="372"/>
      <c r="G39" s="372"/>
      <c r="H39" s="372"/>
      <c r="I39" s="372"/>
      <c r="J39" s="372"/>
      <c r="K39" s="374"/>
      <c r="L39" s="374"/>
      <c r="M39" s="374"/>
      <c r="N39" s="372"/>
      <c r="O39" s="372"/>
      <c r="P39" s="372"/>
      <c r="Q39" s="372"/>
      <c r="R39" s="372"/>
      <c r="S39" s="372"/>
      <c r="T39" s="372"/>
      <c r="U39" s="372"/>
      <c r="V39" s="372"/>
      <c r="W39" s="372"/>
      <c r="X39" s="372"/>
      <c r="Y39" s="372"/>
      <c r="Z39" s="372"/>
      <c r="AA39" s="372"/>
      <c r="AB39" s="372"/>
      <c r="AC39" s="372"/>
      <c r="AD39" s="41"/>
      <c r="AE39" s="41"/>
      <c r="AF39" s="11">
        <f t="shared" si="11"/>
        <v>0</v>
      </c>
      <c r="AG39" s="11">
        <f t="shared" si="12"/>
        <v>0</v>
      </c>
      <c r="AH39" s="11">
        <f t="shared" si="13"/>
        <v>0</v>
      </c>
    </row>
    <row r="40" spans="1:36">
      <c r="A40" s="70">
        <v>35</v>
      </c>
      <c r="B40" s="15"/>
      <c r="C40" s="15">
        <v>0.85</v>
      </c>
      <c r="D40" s="15"/>
      <c r="E40" s="15"/>
      <c r="F40" s="372" t="s">
        <v>9</v>
      </c>
      <c r="G40" s="372" t="s">
        <v>9</v>
      </c>
      <c r="H40" s="372" t="s">
        <v>9</v>
      </c>
      <c r="I40" s="372" t="s">
        <v>9</v>
      </c>
      <c r="J40" s="372" t="s">
        <v>9</v>
      </c>
      <c r="K40" s="374" t="s">
        <v>9</v>
      </c>
      <c r="L40" s="374" t="s">
        <v>9</v>
      </c>
      <c r="M40" s="374" t="s">
        <v>9</v>
      </c>
      <c r="N40" s="372" t="s">
        <v>9</v>
      </c>
      <c r="O40" s="372" t="s">
        <v>9</v>
      </c>
      <c r="P40" s="372" t="s">
        <v>9</v>
      </c>
      <c r="Q40" s="372" t="s">
        <v>9</v>
      </c>
      <c r="R40" s="372" t="s">
        <v>9</v>
      </c>
      <c r="S40" s="372" t="s">
        <v>9</v>
      </c>
      <c r="T40" s="372" t="s">
        <v>9</v>
      </c>
      <c r="U40" s="372" t="s">
        <v>9</v>
      </c>
      <c r="V40" s="372" t="s">
        <v>9</v>
      </c>
      <c r="W40" s="372" t="s">
        <v>9</v>
      </c>
      <c r="X40" s="372" t="s">
        <v>9</v>
      </c>
      <c r="Y40" s="372" t="s">
        <v>9</v>
      </c>
      <c r="Z40" s="372" t="s">
        <v>9</v>
      </c>
      <c r="AA40" s="372" t="s">
        <v>9</v>
      </c>
      <c r="AB40" s="372" t="s">
        <v>9</v>
      </c>
      <c r="AC40" s="372" t="s">
        <v>9</v>
      </c>
      <c r="AD40" s="41"/>
      <c r="AE40" s="41"/>
      <c r="AF40" s="11">
        <f t="shared" si="11"/>
        <v>24</v>
      </c>
      <c r="AG40" s="11">
        <f t="shared" si="12"/>
        <v>0</v>
      </c>
      <c r="AH40" s="11">
        <f t="shared" si="13"/>
        <v>0</v>
      </c>
    </row>
    <row r="41" spans="1:36">
      <c r="A41" s="70">
        <v>36</v>
      </c>
      <c r="B41" s="15"/>
      <c r="C41" s="15">
        <v>1</v>
      </c>
      <c r="D41" s="15"/>
      <c r="E41" s="15"/>
      <c r="F41" s="372" t="s">
        <v>9</v>
      </c>
      <c r="G41" s="372" t="s">
        <v>9</v>
      </c>
      <c r="H41" s="372" t="s">
        <v>9</v>
      </c>
      <c r="I41" s="372" t="s">
        <v>9</v>
      </c>
      <c r="J41" s="372" t="s">
        <v>9</v>
      </c>
      <c r="K41" s="374" t="s">
        <v>9</v>
      </c>
      <c r="L41" s="374" t="s">
        <v>9</v>
      </c>
      <c r="M41" s="374" t="s">
        <v>9</v>
      </c>
      <c r="N41" s="372" t="s">
        <v>9</v>
      </c>
      <c r="O41" s="372" t="s">
        <v>9</v>
      </c>
      <c r="P41" s="372" t="s">
        <v>9</v>
      </c>
      <c r="Q41" s="372" t="s">
        <v>9</v>
      </c>
      <c r="R41" s="372" t="s">
        <v>9</v>
      </c>
      <c r="S41" s="372" t="s">
        <v>9</v>
      </c>
      <c r="T41" s="372" t="s">
        <v>9</v>
      </c>
      <c r="U41" s="372" t="s">
        <v>9</v>
      </c>
      <c r="V41" s="372" t="s">
        <v>9</v>
      </c>
      <c r="W41" s="372" t="s">
        <v>9</v>
      </c>
      <c r="X41" s="372" t="s">
        <v>9</v>
      </c>
      <c r="Y41" s="372" t="s">
        <v>9</v>
      </c>
      <c r="Z41" s="372" t="s">
        <v>9</v>
      </c>
      <c r="AA41" s="372" t="s">
        <v>9</v>
      </c>
      <c r="AB41" s="372" t="s">
        <v>9</v>
      </c>
      <c r="AC41" s="372" t="s">
        <v>9</v>
      </c>
      <c r="AD41" s="41"/>
      <c r="AE41" s="41"/>
      <c r="AF41" s="11">
        <f t="shared" si="11"/>
        <v>24</v>
      </c>
      <c r="AG41" s="11">
        <f t="shared" si="12"/>
        <v>0</v>
      </c>
      <c r="AH41" s="11">
        <f t="shared" si="13"/>
        <v>0</v>
      </c>
    </row>
    <row r="42" spans="1:36">
      <c r="A42" s="70">
        <v>37</v>
      </c>
      <c r="B42" s="15"/>
      <c r="C42" s="15">
        <v>1</v>
      </c>
      <c r="D42" s="15"/>
      <c r="E42" s="15"/>
      <c r="F42" s="372"/>
      <c r="G42" s="372"/>
      <c r="H42" s="372"/>
      <c r="I42" s="372"/>
      <c r="J42" s="372"/>
      <c r="K42" s="372"/>
      <c r="L42" s="372"/>
      <c r="M42" s="372"/>
      <c r="N42" s="372"/>
      <c r="O42" s="372"/>
      <c r="P42" s="372"/>
      <c r="Q42" s="372"/>
      <c r="R42" s="372"/>
      <c r="S42" s="372"/>
      <c r="T42" s="372"/>
      <c r="U42" s="372"/>
      <c r="V42" s="372"/>
      <c r="W42" s="372"/>
      <c r="X42" s="372"/>
      <c r="Y42" s="372"/>
      <c r="Z42" s="372"/>
      <c r="AA42" s="372"/>
      <c r="AB42" s="372"/>
      <c r="AC42" s="372"/>
      <c r="AD42" s="41"/>
      <c r="AE42" s="41"/>
      <c r="AF42" s="11">
        <f t="shared" si="11"/>
        <v>0</v>
      </c>
      <c r="AG42" s="11">
        <f t="shared" si="12"/>
        <v>0</v>
      </c>
      <c r="AH42" s="11">
        <f t="shared" si="13"/>
        <v>0</v>
      </c>
    </row>
    <row r="43" spans="1:36">
      <c r="A43" s="70">
        <v>38</v>
      </c>
      <c r="B43" s="15"/>
      <c r="C43" s="15"/>
      <c r="D43" s="15"/>
      <c r="E43" s="15"/>
      <c r="F43" s="372" t="s">
        <v>9</v>
      </c>
      <c r="G43" s="372" t="s">
        <v>9</v>
      </c>
      <c r="H43" s="372" t="s">
        <v>9</v>
      </c>
      <c r="I43" s="372" t="s">
        <v>9</v>
      </c>
      <c r="J43" s="372" t="s">
        <v>9</v>
      </c>
      <c r="K43" s="374" t="s">
        <v>9</v>
      </c>
      <c r="L43" s="374" t="s">
        <v>9</v>
      </c>
      <c r="M43" s="374" t="s">
        <v>9</v>
      </c>
      <c r="N43" s="372" t="s">
        <v>9</v>
      </c>
      <c r="O43" s="372" t="s">
        <v>9</v>
      </c>
      <c r="P43" s="372" t="s">
        <v>9</v>
      </c>
      <c r="Q43" s="372" t="s">
        <v>9</v>
      </c>
      <c r="R43" s="372" t="s">
        <v>9</v>
      </c>
      <c r="S43" s="372" t="s">
        <v>9</v>
      </c>
      <c r="T43" s="372" t="s">
        <v>9</v>
      </c>
      <c r="U43" s="372" t="s">
        <v>9</v>
      </c>
      <c r="V43" s="372" t="s">
        <v>9</v>
      </c>
      <c r="W43" s="372" t="s">
        <v>9</v>
      </c>
      <c r="X43" s="372" t="s">
        <v>9</v>
      </c>
      <c r="Y43" s="372" t="s">
        <v>9</v>
      </c>
      <c r="Z43" s="372" t="s">
        <v>9</v>
      </c>
      <c r="AA43" s="372" t="s">
        <v>9</v>
      </c>
      <c r="AB43" s="372" t="s">
        <v>9</v>
      </c>
      <c r="AC43" s="372" t="s">
        <v>9</v>
      </c>
      <c r="AD43" s="41"/>
      <c r="AE43" s="41"/>
      <c r="AF43" s="11">
        <f t="shared" si="11"/>
        <v>24</v>
      </c>
      <c r="AG43" s="11">
        <f t="shared" si="12"/>
        <v>0</v>
      </c>
      <c r="AH43" s="11">
        <f t="shared" si="13"/>
        <v>0</v>
      </c>
    </row>
    <row r="44" spans="1:36" ht="16.5" customHeight="1">
      <c r="A44" s="70">
        <v>39</v>
      </c>
      <c r="B44" s="15"/>
      <c r="C44" s="15">
        <v>1</v>
      </c>
      <c r="D44" s="15"/>
      <c r="E44" s="15"/>
      <c r="F44" s="372" t="s">
        <v>9</v>
      </c>
      <c r="G44" s="372" t="s">
        <v>9</v>
      </c>
      <c r="H44" s="372" t="s">
        <v>9</v>
      </c>
      <c r="I44" s="372" t="s">
        <v>9</v>
      </c>
      <c r="J44" s="372" t="s">
        <v>9</v>
      </c>
      <c r="K44" s="374" t="s">
        <v>9</v>
      </c>
      <c r="L44" s="374" t="s">
        <v>9</v>
      </c>
      <c r="M44" s="374" t="s">
        <v>9</v>
      </c>
      <c r="N44" s="372" t="s">
        <v>9</v>
      </c>
      <c r="O44" s="372" t="s">
        <v>9</v>
      </c>
      <c r="P44" s="372" t="s">
        <v>9</v>
      </c>
      <c r="Q44" s="372" t="s">
        <v>9</v>
      </c>
      <c r="R44" s="372" t="s">
        <v>9</v>
      </c>
      <c r="S44" s="372" t="s">
        <v>9</v>
      </c>
      <c r="T44" s="372" t="s">
        <v>9</v>
      </c>
      <c r="U44" s="372" t="s">
        <v>9</v>
      </c>
      <c r="V44" s="372" t="s">
        <v>9</v>
      </c>
      <c r="W44" s="372" t="s">
        <v>9</v>
      </c>
      <c r="X44" s="372" t="s">
        <v>9</v>
      </c>
      <c r="Y44" s="372" t="s">
        <v>9</v>
      </c>
      <c r="Z44" s="372" t="s">
        <v>9</v>
      </c>
      <c r="AA44" s="372" t="s">
        <v>9</v>
      </c>
      <c r="AB44" s="372" t="s">
        <v>9</v>
      </c>
      <c r="AC44" s="372" t="s">
        <v>9</v>
      </c>
      <c r="AD44" s="41"/>
      <c r="AE44" s="41"/>
      <c r="AF44" s="11">
        <f t="shared" si="11"/>
        <v>24</v>
      </c>
      <c r="AG44" s="11">
        <f t="shared" si="12"/>
        <v>0</v>
      </c>
      <c r="AH44" s="11">
        <f t="shared" si="13"/>
        <v>0</v>
      </c>
    </row>
    <row r="45" spans="1:36" ht="16.5" customHeight="1">
      <c r="A45" s="70" t="s">
        <v>40</v>
      </c>
      <c r="B45" s="15"/>
      <c r="C45" s="15">
        <v>0.85</v>
      </c>
      <c r="D45" s="15"/>
      <c r="E45" s="15"/>
      <c r="F45" s="372"/>
      <c r="G45" s="372"/>
      <c r="H45" s="372"/>
      <c r="I45" s="372"/>
      <c r="J45" s="372"/>
      <c r="K45" s="374"/>
      <c r="L45" s="374"/>
      <c r="M45" s="374"/>
      <c r="N45" s="372"/>
      <c r="O45" s="372"/>
      <c r="P45" s="372"/>
      <c r="Q45" s="372"/>
      <c r="R45" s="372"/>
      <c r="S45" s="372"/>
      <c r="T45" s="372"/>
      <c r="U45" s="372"/>
      <c r="V45" s="372"/>
      <c r="W45" s="372"/>
      <c r="X45" s="372"/>
      <c r="Y45" s="372"/>
      <c r="Z45" s="372"/>
      <c r="AA45" s="372"/>
      <c r="AB45" s="372"/>
      <c r="AC45" s="372"/>
      <c r="AD45" s="41"/>
      <c r="AE45" s="41"/>
      <c r="AF45" s="11">
        <f t="shared" si="11"/>
        <v>0</v>
      </c>
      <c r="AG45" s="11">
        <f t="shared" si="12"/>
        <v>0</v>
      </c>
      <c r="AH45" s="11">
        <f t="shared" si="13"/>
        <v>0</v>
      </c>
      <c r="AI45" s="159"/>
    </row>
    <row r="46" spans="1:36">
      <c r="A46" s="70" t="s">
        <v>41</v>
      </c>
      <c r="B46" s="15"/>
      <c r="C46" s="15">
        <v>0.75</v>
      </c>
      <c r="D46" s="15"/>
      <c r="E46" s="15"/>
      <c r="F46" s="372"/>
      <c r="G46" s="372"/>
      <c r="H46" s="372"/>
      <c r="I46" s="372"/>
      <c r="J46" s="372"/>
      <c r="K46" s="374"/>
      <c r="L46" s="374"/>
      <c r="M46" s="374"/>
      <c r="N46" s="372"/>
      <c r="O46" s="372"/>
      <c r="P46" s="372"/>
      <c r="Q46" s="372"/>
      <c r="R46" s="372"/>
      <c r="S46" s="372"/>
      <c r="T46" s="372"/>
      <c r="U46" s="372"/>
      <c r="V46" s="372"/>
      <c r="W46" s="372"/>
      <c r="X46" s="372"/>
      <c r="Y46" s="372"/>
      <c r="Z46" s="372"/>
      <c r="AA46" s="372"/>
      <c r="AB46" s="372"/>
      <c r="AC46" s="372"/>
      <c r="AD46" s="41"/>
      <c r="AE46" s="41"/>
      <c r="AF46" s="11">
        <f t="shared" si="11"/>
        <v>0</v>
      </c>
      <c r="AG46" s="11">
        <f t="shared" si="12"/>
        <v>0</v>
      </c>
      <c r="AH46" s="11">
        <f t="shared" si="13"/>
        <v>0</v>
      </c>
      <c r="AI46" s="159"/>
    </row>
    <row r="47" spans="1:36">
      <c r="A47" s="70" t="s">
        <v>42</v>
      </c>
      <c r="B47" s="15"/>
      <c r="C47" s="15">
        <v>0.75</v>
      </c>
      <c r="D47" s="15"/>
      <c r="E47" s="15"/>
      <c r="F47" s="372">
        <f>4.01/5</f>
        <v>0.80199999999999994</v>
      </c>
      <c r="G47" s="372"/>
      <c r="H47" s="372"/>
      <c r="I47" s="372">
        <v>0.8</v>
      </c>
      <c r="J47" s="372"/>
      <c r="K47" s="374"/>
      <c r="L47" s="374"/>
      <c r="M47" s="374"/>
      <c r="N47" s="374"/>
      <c r="O47" s="372"/>
      <c r="P47" s="372"/>
      <c r="Q47" s="372"/>
      <c r="R47" s="372"/>
      <c r="S47" s="372">
        <v>0.8</v>
      </c>
      <c r="T47" s="372"/>
      <c r="U47" s="372"/>
      <c r="V47" s="372">
        <v>0</v>
      </c>
      <c r="W47" s="372">
        <v>0</v>
      </c>
      <c r="X47" s="372">
        <v>0</v>
      </c>
      <c r="Y47" s="372">
        <v>0.8</v>
      </c>
      <c r="Z47" s="372"/>
      <c r="AA47" s="372"/>
      <c r="AB47" s="372"/>
      <c r="AC47" s="372"/>
      <c r="AD47" s="41"/>
      <c r="AE47" s="41"/>
      <c r="AF47" s="11">
        <f t="shared" si="11"/>
        <v>0</v>
      </c>
      <c r="AG47" s="11">
        <f t="shared" si="12"/>
        <v>0</v>
      </c>
      <c r="AH47" s="11">
        <f t="shared" si="13"/>
        <v>7</v>
      </c>
    </row>
    <row r="48" spans="1:36">
      <c r="A48" s="70" t="s">
        <v>43</v>
      </c>
      <c r="B48" s="15"/>
      <c r="C48" s="15">
        <v>0.75</v>
      </c>
      <c r="D48" s="15"/>
      <c r="E48" s="15"/>
      <c r="F48" s="372"/>
      <c r="G48" s="372"/>
      <c r="H48" s="372"/>
      <c r="I48" s="372"/>
      <c r="J48" s="372"/>
      <c r="K48" s="374"/>
      <c r="L48" s="374"/>
      <c r="M48" s="374"/>
      <c r="N48" s="372"/>
      <c r="O48" s="372"/>
      <c r="P48" s="372"/>
      <c r="Q48" s="372"/>
      <c r="R48" s="372"/>
      <c r="S48" s="372"/>
      <c r="T48" s="372"/>
      <c r="U48" s="372"/>
      <c r="V48" s="372"/>
      <c r="W48" s="372"/>
      <c r="X48" s="372"/>
      <c r="Y48" s="372"/>
      <c r="Z48" s="372"/>
      <c r="AA48" s="372"/>
      <c r="AB48" s="372"/>
      <c r="AC48" s="372"/>
      <c r="AD48" s="41"/>
      <c r="AE48" s="41"/>
      <c r="AF48" s="11">
        <f t="shared" si="11"/>
        <v>0</v>
      </c>
      <c r="AG48" s="11">
        <f t="shared" si="12"/>
        <v>0</v>
      </c>
      <c r="AH48" s="11">
        <f t="shared" si="13"/>
        <v>0</v>
      </c>
    </row>
    <row r="49" spans="1:124" ht="15" customHeight="1">
      <c r="A49" s="70" t="s">
        <v>44</v>
      </c>
      <c r="B49" s="15"/>
      <c r="C49" s="15">
        <v>0.75</v>
      </c>
      <c r="D49" s="15"/>
      <c r="E49" s="15"/>
      <c r="F49" s="372"/>
      <c r="G49" s="372"/>
      <c r="H49" s="372"/>
      <c r="I49" s="372"/>
      <c r="J49" s="372"/>
      <c r="K49" s="374"/>
      <c r="L49" s="374"/>
      <c r="M49" s="374"/>
      <c r="N49" s="372"/>
      <c r="O49" s="372"/>
      <c r="P49" s="372"/>
      <c r="Q49" s="372"/>
      <c r="R49" s="372"/>
      <c r="S49" s="372"/>
      <c r="T49" s="372"/>
      <c r="U49" s="372"/>
      <c r="V49" s="372"/>
      <c r="W49" s="372"/>
      <c r="X49" s="372"/>
      <c r="Y49" s="372"/>
      <c r="Z49" s="372"/>
      <c r="AA49" s="372"/>
      <c r="AB49" s="372"/>
      <c r="AC49" s="372"/>
      <c r="AD49" s="41"/>
      <c r="AE49" s="41"/>
      <c r="AF49" s="11">
        <f t="shared" si="11"/>
        <v>0</v>
      </c>
      <c r="AG49" s="11">
        <f t="shared" si="12"/>
        <v>0</v>
      </c>
      <c r="AH49" s="11">
        <f t="shared" si="13"/>
        <v>0</v>
      </c>
    </row>
    <row r="50" spans="1:124" ht="17.25" customHeight="1">
      <c r="A50" s="70" t="s">
        <v>45</v>
      </c>
      <c r="B50" s="15"/>
      <c r="C50" s="15">
        <v>0.75</v>
      </c>
      <c r="D50" s="15"/>
      <c r="E50" s="15"/>
      <c r="F50" s="372">
        <f>4.01/5</f>
        <v>0.80199999999999994</v>
      </c>
      <c r="G50" s="372"/>
      <c r="H50" s="372"/>
      <c r="I50" s="372">
        <v>0.8</v>
      </c>
      <c r="J50" s="372"/>
      <c r="K50" s="374"/>
      <c r="L50" s="374"/>
      <c r="M50" s="374"/>
      <c r="N50" s="374"/>
      <c r="O50" s="372"/>
      <c r="P50" s="372"/>
      <c r="Q50" s="372"/>
      <c r="R50" s="372">
        <v>0.8</v>
      </c>
      <c r="S50" s="372"/>
      <c r="T50" s="372"/>
      <c r="U50" s="372"/>
      <c r="V50" s="372">
        <v>0</v>
      </c>
      <c r="W50" s="372">
        <v>0</v>
      </c>
      <c r="X50" s="372">
        <v>0</v>
      </c>
      <c r="Y50" s="372">
        <v>0.8</v>
      </c>
      <c r="Z50" s="372"/>
      <c r="AA50" s="372"/>
      <c r="AB50" s="372"/>
      <c r="AC50" s="372"/>
      <c r="AD50" s="41"/>
      <c r="AE50" s="41"/>
      <c r="AF50" s="11">
        <f t="shared" si="11"/>
        <v>0</v>
      </c>
      <c r="AG50" s="11">
        <f t="shared" si="12"/>
        <v>0</v>
      </c>
      <c r="AH50" s="11">
        <f t="shared" si="13"/>
        <v>7</v>
      </c>
    </row>
    <row r="51" spans="1:124">
      <c r="A51" s="70" t="s">
        <v>46</v>
      </c>
      <c r="B51" s="15"/>
      <c r="C51" s="15">
        <v>0.85</v>
      </c>
      <c r="D51" s="15"/>
      <c r="E51" s="15"/>
      <c r="F51" s="372">
        <f>4.01/5</f>
        <v>0.80199999999999994</v>
      </c>
      <c r="G51" s="372"/>
      <c r="H51" s="372"/>
      <c r="I51" s="372">
        <v>0.8</v>
      </c>
      <c r="J51" s="372"/>
      <c r="K51" s="374"/>
      <c r="L51" s="374"/>
      <c r="M51" s="374"/>
      <c r="N51" s="374"/>
      <c r="O51" s="372"/>
      <c r="P51" s="372"/>
      <c r="Q51" s="372"/>
      <c r="R51" s="372">
        <v>0.75</v>
      </c>
      <c r="S51" s="372">
        <v>0.75</v>
      </c>
      <c r="T51" s="372"/>
      <c r="U51" s="372"/>
      <c r="V51" s="372"/>
      <c r="W51" s="372"/>
      <c r="X51" s="372">
        <v>0.75</v>
      </c>
      <c r="Y51" s="372">
        <v>0.8</v>
      </c>
      <c r="Z51" s="372"/>
      <c r="AA51" s="372"/>
      <c r="AB51" s="372"/>
      <c r="AC51" s="372"/>
      <c r="AD51" s="41"/>
      <c r="AE51" s="41"/>
      <c r="AF51" s="11">
        <f t="shared" si="11"/>
        <v>0</v>
      </c>
      <c r="AG51" s="11">
        <f t="shared" si="12"/>
        <v>0</v>
      </c>
      <c r="AH51" s="11">
        <f t="shared" si="13"/>
        <v>6</v>
      </c>
    </row>
    <row r="52" spans="1:124">
      <c r="A52" s="70" t="s">
        <v>47</v>
      </c>
      <c r="B52" s="15"/>
      <c r="C52" s="15">
        <v>0.85</v>
      </c>
      <c r="D52" s="15"/>
      <c r="E52" s="15"/>
      <c r="F52" s="372" t="s">
        <v>9</v>
      </c>
      <c r="G52" s="372" t="s">
        <v>9</v>
      </c>
      <c r="H52" s="372" t="s">
        <v>9</v>
      </c>
      <c r="I52" s="372" t="s">
        <v>9</v>
      </c>
      <c r="J52" s="372" t="s">
        <v>9</v>
      </c>
      <c r="K52" s="374" t="s">
        <v>9</v>
      </c>
      <c r="L52" s="374" t="s">
        <v>9</v>
      </c>
      <c r="M52" s="374" t="s">
        <v>9</v>
      </c>
      <c r="N52" s="372" t="s">
        <v>9</v>
      </c>
      <c r="O52" s="372" t="s">
        <v>9</v>
      </c>
      <c r="P52" s="372" t="s">
        <v>9</v>
      </c>
      <c r="Q52" s="372" t="s">
        <v>9</v>
      </c>
      <c r="R52" s="372" t="s">
        <v>9</v>
      </c>
      <c r="S52" s="372" t="s">
        <v>9</v>
      </c>
      <c r="T52" s="372" t="s">
        <v>9</v>
      </c>
      <c r="U52" s="372" t="s">
        <v>9</v>
      </c>
      <c r="V52" s="372" t="s">
        <v>9</v>
      </c>
      <c r="W52" s="372" t="s">
        <v>9</v>
      </c>
      <c r="X52" s="372" t="s">
        <v>9</v>
      </c>
      <c r="Y52" s="372" t="s">
        <v>9</v>
      </c>
      <c r="Z52" s="372" t="s">
        <v>9</v>
      </c>
      <c r="AA52" s="372" t="s">
        <v>9</v>
      </c>
      <c r="AB52" s="372" t="s">
        <v>9</v>
      </c>
      <c r="AC52" s="372" t="s">
        <v>9</v>
      </c>
      <c r="AD52" s="41"/>
      <c r="AE52" s="41"/>
      <c r="AF52" s="11">
        <f t="shared" si="11"/>
        <v>24</v>
      </c>
      <c r="AG52" s="11">
        <f t="shared" si="12"/>
        <v>0</v>
      </c>
      <c r="AH52" s="11">
        <f t="shared" si="13"/>
        <v>0</v>
      </c>
    </row>
    <row r="53" spans="1:124">
      <c r="A53" s="70" t="s">
        <v>48</v>
      </c>
      <c r="B53" s="15"/>
      <c r="C53" s="15">
        <v>0.85</v>
      </c>
      <c r="D53" s="15"/>
      <c r="E53" s="15"/>
      <c r="F53" s="372"/>
      <c r="G53" s="372"/>
      <c r="H53" s="372"/>
      <c r="I53" s="372"/>
      <c r="J53" s="372"/>
      <c r="K53" s="374"/>
      <c r="L53" s="374"/>
      <c r="M53" s="374"/>
      <c r="N53" s="372"/>
      <c r="O53" s="372"/>
      <c r="P53" s="372"/>
      <c r="Q53" s="372"/>
      <c r="R53" s="372"/>
      <c r="S53" s="372"/>
      <c r="T53" s="372"/>
      <c r="U53" s="372"/>
      <c r="V53" s="372"/>
      <c r="W53" s="372"/>
      <c r="X53" s="372"/>
      <c r="Y53" s="372"/>
      <c r="Z53" s="372"/>
      <c r="AA53" s="372"/>
      <c r="AB53" s="372"/>
      <c r="AC53" s="372"/>
      <c r="AD53" s="41"/>
      <c r="AE53" s="41"/>
      <c r="AF53" s="11">
        <f t="shared" si="11"/>
        <v>0</v>
      </c>
      <c r="AG53" s="11">
        <f t="shared" si="12"/>
        <v>0</v>
      </c>
      <c r="AH53" s="11">
        <f t="shared" si="13"/>
        <v>0</v>
      </c>
    </row>
    <row r="54" spans="1:124" ht="16.5" customHeight="1">
      <c r="A54" s="70" t="s">
        <v>49</v>
      </c>
      <c r="B54" s="15"/>
      <c r="C54" s="15">
        <v>0.85</v>
      </c>
      <c r="D54" s="15"/>
      <c r="E54" s="15"/>
      <c r="F54" s="372">
        <f>4.01/5</f>
        <v>0.80199999999999994</v>
      </c>
      <c r="G54" s="372"/>
      <c r="H54" s="372"/>
      <c r="I54" s="372">
        <v>0.8</v>
      </c>
      <c r="J54" s="372"/>
      <c r="K54" s="374"/>
      <c r="L54" s="374"/>
      <c r="M54" s="374"/>
      <c r="N54" s="374"/>
      <c r="O54" s="372"/>
      <c r="P54" s="372"/>
      <c r="Q54" s="372"/>
      <c r="R54" s="372">
        <v>0.75</v>
      </c>
      <c r="S54" s="372">
        <v>0.75</v>
      </c>
      <c r="T54" s="372"/>
      <c r="U54" s="372"/>
      <c r="V54" s="372"/>
      <c r="W54" s="372"/>
      <c r="X54" s="372">
        <v>0.75</v>
      </c>
      <c r="Y54" s="372">
        <v>0.75</v>
      </c>
      <c r="Z54" s="372"/>
      <c r="AA54" s="372"/>
      <c r="AB54" s="372"/>
      <c r="AC54" s="372"/>
      <c r="AD54" s="41"/>
      <c r="AE54" s="41"/>
      <c r="AF54" s="11">
        <f t="shared" si="11"/>
        <v>0</v>
      </c>
      <c r="AG54" s="11">
        <f t="shared" si="12"/>
        <v>0</v>
      </c>
      <c r="AH54" s="11">
        <f t="shared" si="13"/>
        <v>6</v>
      </c>
    </row>
    <row r="55" spans="1:124">
      <c r="A55" s="70" t="s">
        <v>50</v>
      </c>
      <c r="B55" s="15"/>
      <c r="C55" s="15">
        <v>0.85</v>
      </c>
      <c r="D55" s="15"/>
      <c r="E55" s="15"/>
      <c r="F55" s="372"/>
      <c r="G55" s="372"/>
      <c r="H55" s="372"/>
      <c r="I55" s="372"/>
      <c r="J55" s="372"/>
      <c r="K55" s="374"/>
      <c r="L55" s="374"/>
      <c r="M55" s="374"/>
      <c r="N55" s="372"/>
      <c r="O55" s="372"/>
      <c r="P55" s="372"/>
      <c r="Q55" s="372"/>
      <c r="R55" s="372"/>
      <c r="S55" s="372"/>
      <c r="T55" s="372"/>
      <c r="U55" s="372"/>
      <c r="V55" s="372"/>
      <c r="W55" s="372"/>
      <c r="X55" s="372"/>
      <c r="Y55" s="372"/>
      <c r="Z55" s="372"/>
      <c r="AA55" s="372"/>
      <c r="AB55" s="372"/>
      <c r="AC55" s="372"/>
      <c r="AD55" s="41"/>
      <c r="AE55" s="41"/>
      <c r="AF55" s="11">
        <f>COUNTIF(F55:AC55,$AJ$8)</f>
        <v>0</v>
      </c>
      <c r="AG55" s="11">
        <f t="shared" si="12"/>
        <v>0</v>
      </c>
      <c r="AH55" s="11">
        <f>COUNT(F55:AC55)</f>
        <v>0</v>
      </c>
    </row>
    <row r="56" spans="1:124">
      <c r="A56" s="70" t="s">
        <v>51</v>
      </c>
      <c r="B56" s="15"/>
      <c r="C56" s="15">
        <v>0.75</v>
      </c>
      <c r="D56" s="15"/>
      <c r="E56" s="15"/>
      <c r="F56" s="372">
        <f>4.01/5</f>
        <v>0.80199999999999994</v>
      </c>
      <c r="G56" s="372">
        <v>0.8</v>
      </c>
      <c r="H56" s="372"/>
      <c r="I56" s="372">
        <v>0.8</v>
      </c>
      <c r="J56" s="372"/>
      <c r="K56" s="374"/>
      <c r="L56" s="374"/>
      <c r="M56" s="374"/>
      <c r="N56" s="374"/>
      <c r="O56" s="372"/>
      <c r="P56" s="372"/>
      <c r="Q56" s="372"/>
      <c r="R56" s="372">
        <v>0.7</v>
      </c>
      <c r="S56" s="372">
        <v>0.7</v>
      </c>
      <c r="T56" s="372"/>
      <c r="U56" s="372"/>
      <c r="V56" s="372">
        <v>0</v>
      </c>
      <c r="W56" s="372">
        <v>0</v>
      </c>
      <c r="X56" s="372">
        <v>0</v>
      </c>
      <c r="Y56" s="372">
        <v>0.75</v>
      </c>
      <c r="Z56" s="372"/>
      <c r="AA56" s="372"/>
      <c r="AB56" s="372"/>
      <c r="AC56" s="372"/>
      <c r="AD56" s="41"/>
      <c r="AE56" s="41"/>
      <c r="AF56" s="11">
        <f t="shared" si="11"/>
        <v>0</v>
      </c>
      <c r="AG56" s="11">
        <f t="shared" si="12"/>
        <v>0</v>
      </c>
      <c r="AH56" s="11">
        <f t="shared" si="13"/>
        <v>9</v>
      </c>
    </row>
    <row r="57" spans="1:124">
      <c r="A57" s="70" t="s">
        <v>52</v>
      </c>
      <c r="B57" s="15"/>
      <c r="C57" s="15">
        <v>0.75</v>
      </c>
      <c r="D57" s="15"/>
      <c r="E57" s="15"/>
      <c r="F57" s="372"/>
      <c r="G57" s="372"/>
      <c r="H57" s="372"/>
      <c r="I57" s="372"/>
      <c r="J57" s="372"/>
      <c r="K57" s="374"/>
      <c r="L57" s="374"/>
      <c r="M57" s="374"/>
      <c r="N57" s="372"/>
      <c r="O57" s="372"/>
      <c r="P57" s="372"/>
      <c r="Q57" s="372"/>
      <c r="R57" s="372"/>
      <c r="S57" s="372"/>
      <c r="T57" s="372"/>
      <c r="U57" s="372"/>
      <c r="V57" s="372"/>
      <c r="W57" s="372"/>
      <c r="X57" s="372"/>
      <c r="Y57" s="372"/>
      <c r="Z57" s="372"/>
      <c r="AA57" s="372"/>
      <c r="AB57" s="372"/>
      <c r="AC57" s="372"/>
      <c r="AD57" s="41"/>
      <c r="AE57" s="41"/>
      <c r="AF57" s="11">
        <f t="shared" si="11"/>
        <v>0</v>
      </c>
      <c r="AG57" s="11">
        <f t="shared" si="12"/>
        <v>0</v>
      </c>
      <c r="AH57" s="11">
        <f t="shared" si="13"/>
        <v>0</v>
      </c>
    </row>
    <row r="58" spans="1:124">
      <c r="A58" s="70" t="s">
        <v>53</v>
      </c>
      <c r="B58" s="15"/>
      <c r="C58" s="15">
        <v>0.85</v>
      </c>
      <c r="D58" s="15"/>
      <c r="E58" s="15"/>
      <c r="F58" s="372"/>
      <c r="G58" s="372"/>
      <c r="H58" s="372"/>
      <c r="I58" s="372"/>
      <c r="J58" s="372"/>
      <c r="K58" s="374"/>
      <c r="L58" s="374"/>
      <c r="M58" s="374"/>
      <c r="N58" s="372"/>
      <c r="O58" s="372"/>
      <c r="P58" s="372"/>
      <c r="Q58" s="372"/>
      <c r="R58" s="372"/>
      <c r="S58" s="372"/>
      <c r="T58" s="372"/>
      <c r="U58" s="372"/>
      <c r="V58" s="372"/>
      <c r="W58" s="372"/>
      <c r="X58" s="372"/>
      <c r="Y58" s="372"/>
      <c r="Z58" s="372"/>
      <c r="AA58" s="372"/>
      <c r="AB58" s="372"/>
      <c r="AC58" s="372"/>
      <c r="AD58" s="41"/>
      <c r="AE58" s="41"/>
      <c r="AF58" s="11">
        <f t="shared" si="11"/>
        <v>0</v>
      </c>
      <c r="AG58" s="11">
        <f t="shared" si="12"/>
        <v>0</v>
      </c>
      <c r="AH58" s="11">
        <f t="shared" si="13"/>
        <v>0</v>
      </c>
    </row>
    <row r="59" spans="1:124">
      <c r="A59" s="70" t="s">
        <v>54</v>
      </c>
      <c r="B59" s="15"/>
      <c r="C59" s="15">
        <v>0.85</v>
      </c>
      <c r="D59" s="15"/>
      <c r="E59" s="15"/>
      <c r="F59" s="372"/>
      <c r="G59" s="372"/>
      <c r="H59" s="372"/>
      <c r="I59" s="372"/>
      <c r="J59" s="372"/>
      <c r="K59" s="374"/>
      <c r="L59" s="374"/>
      <c r="M59" s="374"/>
      <c r="N59" s="372"/>
      <c r="O59" s="372"/>
      <c r="P59" s="372"/>
      <c r="Q59" s="372"/>
      <c r="R59" s="372"/>
      <c r="S59" s="372"/>
      <c r="T59" s="372"/>
      <c r="U59" s="372"/>
      <c r="V59" s="372"/>
      <c r="W59" s="372"/>
      <c r="X59" s="372"/>
      <c r="Y59" s="372"/>
      <c r="Z59" s="372"/>
      <c r="AA59" s="372"/>
      <c r="AB59" s="372"/>
      <c r="AC59" s="372"/>
      <c r="AD59" s="41"/>
      <c r="AE59" s="41"/>
      <c r="AF59" s="11">
        <f t="shared" si="11"/>
        <v>0</v>
      </c>
      <c r="AG59" s="11">
        <f t="shared" si="12"/>
        <v>0</v>
      </c>
      <c r="AH59" s="11">
        <f t="shared" si="13"/>
        <v>0</v>
      </c>
    </row>
    <row r="60" spans="1:124">
      <c r="A60" s="9" t="s">
        <v>26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 t="shared" ref="F60" si="14">SUM(F36:F59)</f>
        <v>4.01</v>
      </c>
      <c r="G60" s="19">
        <f t="shared" ref="G60:AC60" si="15">SUM(G36:G59)</f>
        <v>0.8</v>
      </c>
      <c r="H60" s="19">
        <f t="shared" si="15"/>
        <v>0</v>
      </c>
      <c r="I60" s="19">
        <f t="shared" si="15"/>
        <v>4</v>
      </c>
      <c r="J60" s="19">
        <f t="shared" si="15"/>
        <v>0</v>
      </c>
      <c r="K60" s="19">
        <f t="shared" si="15"/>
        <v>0</v>
      </c>
      <c r="L60" s="19">
        <f t="shared" si="15"/>
        <v>0</v>
      </c>
      <c r="M60" s="19">
        <f t="shared" si="15"/>
        <v>0</v>
      </c>
      <c r="N60" s="19">
        <f t="shared" si="15"/>
        <v>0</v>
      </c>
      <c r="O60" s="19">
        <f>SUM(O36:O59)</f>
        <v>0</v>
      </c>
      <c r="P60" s="19">
        <f t="shared" si="15"/>
        <v>0</v>
      </c>
      <c r="Q60" s="19">
        <f t="shared" si="15"/>
        <v>0</v>
      </c>
      <c r="R60" s="19">
        <f t="shared" si="15"/>
        <v>3</v>
      </c>
      <c r="S60" s="19">
        <f t="shared" si="15"/>
        <v>3</v>
      </c>
      <c r="T60" s="19">
        <f>SUM(T36:T59)</f>
        <v>0</v>
      </c>
      <c r="U60" s="19">
        <f t="shared" si="15"/>
        <v>0</v>
      </c>
      <c r="V60" s="19">
        <f t="shared" si="15"/>
        <v>0</v>
      </c>
      <c r="W60" s="19">
        <f t="shared" si="15"/>
        <v>0</v>
      </c>
      <c r="X60" s="19">
        <f t="shared" si="15"/>
        <v>1.5</v>
      </c>
      <c r="Y60" s="19">
        <f t="shared" si="15"/>
        <v>3.9000000000000004</v>
      </c>
      <c r="Z60" s="19">
        <f t="shared" si="15"/>
        <v>0</v>
      </c>
      <c r="AA60" s="19">
        <f t="shared" si="15"/>
        <v>0</v>
      </c>
      <c r="AB60" s="19">
        <f t="shared" si="15"/>
        <v>0</v>
      </c>
      <c r="AC60" s="19">
        <f t="shared" si="15"/>
        <v>0</v>
      </c>
      <c r="AD60" s="34"/>
      <c r="AE60" s="34"/>
      <c r="AF60" s="11"/>
      <c r="AG60" s="11"/>
      <c r="AH60" s="11"/>
    </row>
    <row r="61" spans="1:124">
      <c r="A61" s="12" t="s">
        <v>55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26.751000000000005</v>
      </c>
      <c r="AN61" s="351"/>
    </row>
    <row r="62" spans="1:124">
      <c r="A62" s="14" t="s">
        <v>56</v>
      </c>
      <c r="B62" s="20"/>
      <c r="C62" s="15">
        <v>0.75</v>
      </c>
      <c r="D62" s="15"/>
      <c r="E62" s="15"/>
      <c r="F62" s="372">
        <f>1.04/2</f>
        <v>0.52</v>
      </c>
      <c r="G62" s="372">
        <f>1.01/2</f>
        <v>0.505</v>
      </c>
      <c r="H62" s="372">
        <f>1.01/2</f>
        <v>0.505</v>
      </c>
      <c r="I62" s="372">
        <f>0.911/2</f>
        <v>0.45550000000000002</v>
      </c>
      <c r="J62" s="374">
        <f>0.88/2</f>
        <v>0.44</v>
      </c>
      <c r="K62" s="374">
        <f>0.85/2</f>
        <v>0.42499999999999999</v>
      </c>
      <c r="L62" s="374">
        <f>0.97/2</f>
        <v>0.48499999999999999</v>
      </c>
      <c r="M62" s="374"/>
      <c r="N62" s="372"/>
      <c r="O62" s="372"/>
      <c r="P62" s="372"/>
      <c r="Q62" s="372"/>
      <c r="R62" s="372"/>
      <c r="S62" s="372"/>
      <c r="T62" s="372">
        <v>0.62</v>
      </c>
      <c r="U62" s="372">
        <f>1.18/2</f>
        <v>0.59</v>
      </c>
      <c r="V62" s="372">
        <v>0.6</v>
      </c>
      <c r="W62" s="372">
        <f>1.19/2</f>
        <v>0.59499999999999997</v>
      </c>
      <c r="X62" s="372">
        <f>1.16/2</f>
        <v>0.57999999999999996</v>
      </c>
      <c r="Y62" s="372">
        <f>1.26/2</f>
        <v>0.63</v>
      </c>
      <c r="Z62" s="372">
        <f>1.31/2</f>
        <v>0.65500000000000003</v>
      </c>
      <c r="AA62" s="372">
        <v>0.6</v>
      </c>
      <c r="AB62" s="372">
        <f>1.1/2</f>
        <v>0.55000000000000004</v>
      </c>
      <c r="AC62" s="372">
        <f>1/2</f>
        <v>0.5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17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57</v>
      </c>
      <c r="B63" s="20"/>
      <c r="C63" s="15">
        <v>0.75</v>
      </c>
      <c r="D63" s="15"/>
      <c r="E63" s="15"/>
      <c r="F63" s="372"/>
      <c r="G63" s="372">
        <f>1.01/2</f>
        <v>0.505</v>
      </c>
      <c r="H63" s="372">
        <f>1.01/2</f>
        <v>0.505</v>
      </c>
      <c r="I63" s="372">
        <f>0.911/2</f>
        <v>0.45550000000000002</v>
      </c>
      <c r="J63" s="374">
        <f>0.88/2</f>
        <v>0.44</v>
      </c>
      <c r="K63" s="374">
        <f>0.85/2</f>
        <v>0.42499999999999999</v>
      </c>
      <c r="L63" s="374">
        <f>0.97/2</f>
        <v>0.48499999999999999</v>
      </c>
      <c r="M63" s="374">
        <f>1.06/2</f>
        <v>0.53</v>
      </c>
      <c r="N63" s="372">
        <f>1.16/2</f>
        <v>0.57999999999999996</v>
      </c>
      <c r="O63" s="372">
        <f>1.17/2</f>
        <v>0.58499999999999996</v>
      </c>
      <c r="P63" s="372">
        <f>1.22/2</f>
        <v>0.61</v>
      </c>
      <c r="Q63" s="372">
        <v>0.625</v>
      </c>
      <c r="R63" s="372">
        <v>0.64</v>
      </c>
      <c r="S63" s="372">
        <v>0.55000000000000004</v>
      </c>
      <c r="T63" s="372"/>
      <c r="U63" s="372"/>
      <c r="V63" s="372"/>
      <c r="W63" s="372"/>
      <c r="X63" s="372"/>
      <c r="Y63" s="372"/>
      <c r="Z63" s="372"/>
      <c r="AA63" s="372"/>
      <c r="AB63" s="372">
        <f>1.1/2</f>
        <v>0.55000000000000004</v>
      </c>
      <c r="AC63" s="372">
        <f>1/2</f>
        <v>0.5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15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58</v>
      </c>
      <c r="B64" s="20"/>
      <c r="C64" s="15">
        <v>0.75</v>
      </c>
      <c r="D64" s="15"/>
      <c r="E64" s="15"/>
      <c r="F64" s="372">
        <f>1.04/2</f>
        <v>0.52</v>
      </c>
      <c r="G64" s="372"/>
      <c r="H64" s="372"/>
      <c r="I64" s="372"/>
      <c r="J64" s="374"/>
      <c r="K64" s="374"/>
      <c r="L64" s="374"/>
      <c r="M64" s="374">
        <f>1.06/2</f>
        <v>0.53</v>
      </c>
      <c r="N64" s="372">
        <f>1.16/2</f>
        <v>0.57999999999999996</v>
      </c>
      <c r="O64" s="372">
        <f>1.17/2</f>
        <v>0.58499999999999996</v>
      </c>
      <c r="P64" s="372">
        <f>1.22/2</f>
        <v>0.61</v>
      </c>
      <c r="Q64" s="372">
        <v>0.625</v>
      </c>
      <c r="R64" s="372">
        <v>0.64</v>
      </c>
      <c r="S64" s="372">
        <v>0.55000000000000004</v>
      </c>
      <c r="T64" s="372">
        <v>0.62</v>
      </c>
      <c r="U64" s="372">
        <f>1.18/2</f>
        <v>0.59</v>
      </c>
      <c r="V64" s="372">
        <v>0.6</v>
      </c>
      <c r="W64" s="372">
        <f>1.19/2</f>
        <v>0.59499999999999997</v>
      </c>
      <c r="X64" s="372">
        <f>1.16/2</f>
        <v>0.57999999999999996</v>
      </c>
      <c r="Y64" s="372">
        <f>1.26/2</f>
        <v>0.63</v>
      </c>
      <c r="Z64" s="372">
        <f>1.31/2</f>
        <v>0.65500000000000003</v>
      </c>
      <c r="AA64" s="372">
        <v>0.6</v>
      </c>
      <c r="AB64" s="372"/>
      <c r="AC64" s="372"/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16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1.04</v>
      </c>
      <c r="G65" s="19">
        <f t="shared" ref="G65" si="16">SUM(G62:G64)</f>
        <v>1.01</v>
      </c>
      <c r="H65" s="19">
        <f>SUM(H62:H64)</f>
        <v>1.01</v>
      </c>
      <c r="I65" s="19">
        <f>SUM(I62:I64)</f>
        <v>0.91100000000000003</v>
      </c>
      <c r="J65" s="19">
        <f t="shared" ref="J65" si="17">SUM(J62:J64)</f>
        <v>0.88</v>
      </c>
      <c r="K65" s="19">
        <f>SUM(K62:K64)</f>
        <v>0.85</v>
      </c>
      <c r="L65" s="19">
        <f>SUM(L62:L64)</f>
        <v>0.97</v>
      </c>
      <c r="M65" s="19">
        <f>SUM(M62:M64)</f>
        <v>1.06</v>
      </c>
      <c r="N65" s="19">
        <f>SUM(N62:N64)</f>
        <v>1.1599999999999999</v>
      </c>
      <c r="O65" s="19">
        <f t="shared" ref="O65:AB65" si="18">SUM(O62:O64)</f>
        <v>1.17</v>
      </c>
      <c r="P65" s="19">
        <f t="shared" si="18"/>
        <v>1.22</v>
      </c>
      <c r="Q65" s="19">
        <f t="shared" si="18"/>
        <v>1.25</v>
      </c>
      <c r="R65" s="19">
        <f t="shared" si="18"/>
        <v>1.28</v>
      </c>
      <c r="S65" s="19">
        <f t="shared" si="18"/>
        <v>1.1000000000000001</v>
      </c>
      <c r="T65" s="19">
        <f t="shared" si="18"/>
        <v>1.24</v>
      </c>
      <c r="U65" s="19">
        <f t="shared" si="18"/>
        <v>1.18</v>
      </c>
      <c r="V65" s="19">
        <f t="shared" si="18"/>
        <v>1.2</v>
      </c>
      <c r="W65" s="19">
        <f t="shared" si="18"/>
        <v>1.19</v>
      </c>
      <c r="X65" s="19">
        <f t="shared" si="18"/>
        <v>1.1599999999999999</v>
      </c>
      <c r="Y65" s="19">
        <f>SUM(Y62:Y64)</f>
        <v>1.26</v>
      </c>
      <c r="Z65" s="19">
        <f t="shared" si="18"/>
        <v>1.31</v>
      </c>
      <c r="AA65" s="19">
        <f t="shared" si="18"/>
        <v>1.2</v>
      </c>
      <c r="AB65" s="19">
        <f t="shared" si="18"/>
        <v>1.1000000000000001</v>
      </c>
      <c r="AC65" s="19">
        <f>SUM(AC62:AC64)</f>
        <v>1</v>
      </c>
      <c r="AD65" s="34"/>
      <c r="AE65" s="34"/>
      <c r="AF65" s="11"/>
      <c r="AG65" s="11"/>
      <c r="AH65" s="11"/>
    </row>
    <row r="66" spans="1:124" hidden="1">
      <c r="A66" s="12" t="s">
        <v>59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idden="1">
      <c r="A67" s="14" t="s">
        <v>60</v>
      </c>
      <c r="B67" s="15"/>
      <c r="C67" s="15">
        <v>0.85</v>
      </c>
      <c r="D67" s="15"/>
      <c r="E67" s="15"/>
      <c r="F67" s="372"/>
      <c r="G67" s="372"/>
      <c r="H67" s="372"/>
      <c r="I67" s="372"/>
      <c r="J67" s="372"/>
      <c r="K67" s="374"/>
      <c r="L67" s="374"/>
      <c r="M67" s="374"/>
      <c r="N67" s="372"/>
      <c r="O67" s="372"/>
      <c r="P67" s="372"/>
      <c r="Q67" s="372"/>
      <c r="R67" s="372"/>
      <c r="S67" s="372"/>
      <c r="T67" s="372"/>
      <c r="U67" s="372"/>
      <c r="V67" s="372"/>
      <c r="W67" s="372"/>
      <c r="X67" s="372"/>
      <c r="Y67" s="372"/>
      <c r="Z67" s="372"/>
      <c r="AA67" s="372"/>
      <c r="AB67" s="372"/>
      <c r="AC67" s="372"/>
      <c r="AD67" s="35"/>
      <c r="AE67" s="35"/>
      <c r="AF67" s="11">
        <f t="shared" ref="AF67:AF75" si="19">COUNTIF(F67:AC67,$AF$11)</f>
        <v>0</v>
      </c>
      <c r="AG67" s="11">
        <f t="shared" ref="AG67:AG75" si="20">COUNTIF(G67:AC67,$AG$11)</f>
        <v>0</v>
      </c>
      <c r="AH67" s="11">
        <f t="shared" ref="AH67:AH75" si="21">COUNT(F67:AC67)</f>
        <v>0</v>
      </c>
    </row>
    <row r="68" spans="1:124" hidden="1">
      <c r="A68" s="14" t="s">
        <v>61</v>
      </c>
      <c r="B68" s="15"/>
      <c r="C68" s="15">
        <v>0.85</v>
      </c>
      <c r="D68" s="15"/>
      <c r="E68" s="15"/>
      <c r="F68" s="372"/>
      <c r="G68" s="372"/>
      <c r="H68" s="372"/>
      <c r="I68" s="372"/>
      <c r="J68" s="372"/>
      <c r="K68" s="374"/>
      <c r="L68" s="374"/>
      <c r="M68" s="374"/>
      <c r="N68" s="372"/>
      <c r="O68" s="372"/>
      <c r="P68" s="372"/>
      <c r="Q68" s="372"/>
      <c r="R68" s="372"/>
      <c r="S68" s="372"/>
      <c r="T68" s="372"/>
      <c r="U68" s="372"/>
      <c r="V68" s="372"/>
      <c r="W68" s="372"/>
      <c r="X68" s="372"/>
      <c r="Y68" s="372"/>
      <c r="Z68" s="372"/>
      <c r="AA68" s="372"/>
      <c r="AB68" s="372"/>
      <c r="AC68" s="372"/>
      <c r="AD68" s="35"/>
      <c r="AE68" s="35"/>
      <c r="AF68" s="11">
        <f t="shared" si="19"/>
        <v>0</v>
      </c>
      <c r="AG68" s="11">
        <f t="shared" si="20"/>
        <v>0</v>
      </c>
      <c r="AH68" s="11">
        <f t="shared" si="21"/>
        <v>0</v>
      </c>
    </row>
    <row r="69" spans="1:124" hidden="1">
      <c r="A69" s="14" t="s">
        <v>62</v>
      </c>
      <c r="B69" s="15"/>
      <c r="C69" s="15">
        <v>0.85</v>
      </c>
      <c r="D69" s="15"/>
      <c r="E69" s="15"/>
      <c r="F69" s="372"/>
      <c r="G69" s="372"/>
      <c r="H69" s="372"/>
      <c r="I69" s="372"/>
      <c r="J69" s="372"/>
      <c r="K69" s="374"/>
      <c r="L69" s="374"/>
      <c r="M69" s="374"/>
      <c r="N69" s="372"/>
      <c r="O69" s="372"/>
      <c r="P69" s="372"/>
      <c r="Q69" s="372"/>
      <c r="R69" s="372"/>
      <c r="S69" s="372"/>
      <c r="T69" s="372"/>
      <c r="U69" s="372"/>
      <c r="V69" s="372"/>
      <c r="W69" s="372"/>
      <c r="X69" s="372"/>
      <c r="Y69" s="372"/>
      <c r="Z69" s="372"/>
      <c r="AA69" s="372"/>
      <c r="AB69" s="372"/>
      <c r="AC69" s="372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1"/>
        <v>0</v>
      </c>
    </row>
    <row r="70" spans="1:124" hidden="1">
      <c r="A70" s="14" t="s">
        <v>63</v>
      </c>
      <c r="B70" s="15"/>
      <c r="C70" s="15">
        <v>0.85</v>
      </c>
      <c r="D70" s="15"/>
      <c r="E70" s="15"/>
      <c r="F70" s="372"/>
      <c r="G70" s="372"/>
      <c r="H70" s="372"/>
      <c r="I70" s="372"/>
      <c r="J70" s="372"/>
      <c r="K70" s="374"/>
      <c r="L70" s="374"/>
      <c r="M70" s="374"/>
      <c r="N70" s="372"/>
      <c r="O70" s="372"/>
      <c r="P70" s="372"/>
      <c r="Q70" s="372"/>
      <c r="R70" s="372"/>
      <c r="S70" s="372"/>
      <c r="T70" s="372"/>
      <c r="U70" s="372"/>
      <c r="V70" s="372"/>
      <c r="W70" s="372"/>
      <c r="X70" s="372"/>
      <c r="Y70" s="372"/>
      <c r="Z70" s="372"/>
      <c r="AA70" s="372"/>
      <c r="AB70" s="372"/>
      <c r="AC70" s="372"/>
      <c r="AD70" s="35"/>
      <c r="AE70" s="35"/>
      <c r="AF70" s="11">
        <f t="shared" si="19"/>
        <v>0</v>
      </c>
      <c r="AG70" s="11">
        <f t="shared" si="20"/>
        <v>0</v>
      </c>
      <c r="AH70" s="11">
        <f t="shared" si="21"/>
        <v>0</v>
      </c>
      <c r="AI70" s="5"/>
      <c r="AJ70" s="5"/>
      <c r="AK70" s="5"/>
      <c r="AL70" s="5"/>
    </row>
    <row r="71" spans="1:124" hidden="1">
      <c r="A71" s="14" t="s">
        <v>64</v>
      </c>
      <c r="B71" s="15"/>
      <c r="C71" s="15">
        <v>0.85</v>
      </c>
      <c r="D71" s="15"/>
      <c r="E71" s="15"/>
      <c r="F71" s="372"/>
      <c r="G71" s="372"/>
      <c r="H71" s="372"/>
      <c r="I71" s="372"/>
      <c r="J71" s="372"/>
      <c r="K71" s="374"/>
      <c r="L71" s="374"/>
      <c r="M71" s="374"/>
      <c r="N71" s="372"/>
      <c r="O71" s="372"/>
      <c r="P71" s="372"/>
      <c r="Q71" s="372"/>
      <c r="R71" s="372"/>
      <c r="S71" s="372"/>
      <c r="T71" s="372"/>
      <c r="U71" s="372"/>
      <c r="V71" s="372"/>
      <c r="W71" s="372"/>
      <c r="X71" s="372"/>
      <c r="Y71" s="372"/>
      <c r="Z71" s="372"/>
      <c r="AA71" s="372"/>
      <c r="AB71" s="372"/>
      <c r="AC71" s="372"/>
      <c r="AD71" s="35"/>
      <c r="AE71" s="35"/>
      <c r="AF71" s="11">
        <f t="shared" si="19"/>
        <v>0</v>
      </c>
      <c r="AG71" s="11">
        <f t="shared" si="20"/>
        <v>0</v>
      </c>
      <c r="AH71" s="11">
        <f t="shared" si="21"/>
        <v>0</v>
      </c>
    </row>
    <row r="72" spans="1:124" hidden="1">
      <c r="A72" s="14" t="s">
        <v>65</v>
      </c>
      <c r="B72" s="15"/>
      <c r="C72" s="15">
        <v>0.85</v>
      </c>
      <c r="D72" s="15"/>
      <c r="E72" s="15"/>
      <c r="F72" s="372"/>
      <c r="G72" s="372"/>
      <c r="H72" s="372"/>
      <c r="I72" s="372"/>
      <c r="J72" s="372"/>
      <c r="K72" s="374"/>
      <c r="L72" s="374"/>
      <c r="M72" s="374"/>
      <c r="N72" s="372"/>
      <c r="O72" s="372"/>
      <c r="P72" s="372"/>
      <c r="Q72" s="372"/>
      <c r="R72" s="372"/>
      <c r="S72" s="372"/>
      <c r="T72" s="372"/>
      <c r="U72" s="372"/>
      <c r="V72" s="372"/>
      <c r="W72" s="372"/>
      <c r="X72" s="372"/>
      <c r="Y72" s="372"/>
      <c r="Z72" s="372"/>
      <c r="AA72" s="372"/>
      <c r="AB72" s="372"/>
      <c r="AC72" s="372"/>
      <c r="AD72" s="35"/>
      <c r="AE72" s="35"/>
      <c r="AF72" s="11">
        <f t="shared" si="19"/>
        <v>0</v>
      </c>
      <c r="AG72" s="11">
        <f t="shared" si="20"/>
        <v>0</v>
      </c>
      <c r="AH72" s="11">
        <f t="shared" si="21"/>
        <v>0</v>
      </c>
    </row>
    <row r="73" spans="1:124" hidden="1">
      <c r="A73" s="14" t="s">
        <v>66</v>
      </c>
      <c r="B73" s="15"/>
      <c r="C73" s="15">
        <v>0.85</v>
      </c>
      <c r="D73" s="15"/>
      <c r="E73" s="15"/>
      <c r="F73" s="372"/>
      <c r="G73" s="372"/>
      <c r="H73" s="372"/>
      <c r="I73" s="372"/>
      <c r="J73" s="372"/>
      <c r="K73" s="374"/>
      <c r="L73" s="374"/>
      <c r="M73" s="374"/>
      <c r="N73" s="372"/>
      <c r="O73" s="372"/>
      <c r="P73" s="372"/>
      <c r="Q73" s="372"/>
      <c r="R73" s="372"/>
      <c r="S73" s="372"/>
      <c r="T73" s="372"/>
      <c r="U73" s="372"/>
      <c r="V73" s="372"/>
      <c r="W73" s="372"/>
      <c r="X73" s="372"/>
      <c r="Y73" s="372"/>
      <c r="Z73" s="372"/>
      <c r="AA73" s="372"/>
      <c r="AB73" s="372"/>
      <c r="AC73" s="372"/>
      <c r="AD73" s="35"/>
      <c r="AE73" s="35"/>
      <c r="AF73" s="11">
        <f t="shared" si="19"/>
        <v>0</v>
      </c>
      <c r="AG73" s="11">
        <f t="shared" si="20"/>
        <v>0</v>
      </c>
      <c r="AH73" s="11">
        <f t="shared" si="21"/>
        <v>0</v>
      </c>
    </row>
    <row r="74" spans="1:124" hidden="1">
      <c r="A74" s="14" t="s">
        <v>67</v>
      </c>
      <c r="B74" s="19"/>
      <c r="C74" s="15">
        <v>0.85</v>
      </c>
      <c r="D74" s="15"/>
      <c r="E74" s="15"/>
      <c r="F74" s="372"/>
      <c r="G74" s="372"/>
      <c r="H74" s="372"/>
      <c r="I74" s="372"/>
      <c r="J74" s="372"/>
      <c r="K74" s="374"/>
      <c r="L74" s="374"/>
      <c r="M74" s="374"/>
      <c r="N74" s="372"/>
      <c r="O74" s="372"/>
      <c r="P74" s="372"/>
      <c r="Q74" s="372"/>
      <c r="R74" s="372"/>
      <c r="S74" s="372"/>
      <c r="T74" s="372"/>
      <c r="U74" s="372"/>
      <c r="V74" s="372"/>
      <c r="W74" s="372"/>
      <c r="X74" s="372"/>
      <c r="Y74" s="372"/>
      <c r="Z74" s="372"/>
      <c r="AA74" s="372"/>
      <c r="AB74" s="372"/>
      <c r="AC74" s="372"/>
      <c r="AD74" s="29"/>
      <c r="AE74" s="29"/>
      <c r="AF74" s="11">
        <f t="shared" si="19"/>
        <v>0</v>
      </c>
      <c r="AG74" s="11">
        <f t="shared" si="20"/>
        <v>0</v>
      </c>
      <c r="AH74" s="11">
        <f t="shared" si="21"/>
        <v>0</v>
      </c>
    </row>
    <row r="75" spans="1:124" ht="15.75" hidden="1" customHeight="1">
      <c r="A75" s="14" t="s">
        <v>68</v>
      </c>
      <c r="B75" s="9"/>
      <c r="C75" s="15">
        <v>0.85</v>
      </c>
      <c r="D75" s="15"/>
      <c r="E75" s="15"/>
      <c r="F75" s="372"/>
      <c r="G75" s="372"/>
      <c r="H75" s="372"/>
      <c r="I75" s="372"/>
      <c r="J75" s="372"/>
      <c r="K75" s="374"/>
      <c r="L75" s="374"/>
      <c r="M75" s="374"/>
      <c r="N75" s="372"/>
      <c r="O75" s="372"/>
      <c r="P75" s="372"/>
      <c r="Q75" s="372"/>
      <c r="R75" s="372"/>
      <c r="S75" s="372"/>
      <c r="T75" s="372"/>
      <c r="U75" s="372"/>
      <c r="V75" s="372"/>
      <c r="W75" s="372"/>
      <c r="X75" s="372"/>
      <c r="Y75" s="372"/>
      <c r="Z75" s="372"/>
      <c r="AA75" s="372"/>
      <c r="AB75" s="372"/>
      <c r="AC75" s="372"/>
      <c r="AD75" s="31"/>
      <c r="AE75" s="31"/>
      <c r="AF75" s="11">
        <f t="shared" si="19"/>
        <v>0</v>
      </c>
      <c r="AG75" s="11">
        <f t="shared" si="20"/>
        <v>0</v>
      </c>
      <c r="AH75" s="11">
        <f t="shared" si="21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2">SUM(F67:F75)</f>
        <v>0</v>
      </c>
      <c r="G76" s="19">
        <f t="shared" ref="G76:AC76" si="23">SUM(G67:G75)</f>
        <v>0</v>
      </c>
      <c r="H76" s="19">
        <f t="shared" si="23"/>
        <v>0</v>
      </c>
      <c r="I76" s="19">
        <f t="shared" si="23"/>
        <v>0</v>
      </c>
      <c r="J76" s="19">
        <f t="shared" si="23"/>
        <v>0</v>
      </c>
      <c r="K76" s="19">
        <f t="shared" si="23"/>
        <v>0</v>
      </c>
      <c r="L76" s="19">
        <f>SUM(L67:L75)</f>
        <v>0</v>
      </c>
      <c r="M76" s="19">
        <f t="shared" si="23"/>
        <v>0</v>
      </c>
      <c r="N76" s="19">
        <f t="shared" si="23"/>
        <v>0</v>
      </c>
      <c r="O76" s="19">
        <f t="shared" si="23"/>
        <v>0</v>
      </c>
      <c r="P76" s="19">
        <f t="shared" si="23"/>
        <v>0</v>
      </c>
      <c r="Q76" s="19">
        <f>SUM(Q67:Q75)</f>
        <v>0</v>
      </c>
      <c r="R76" s="19">
        <f t="shared" si="23"/>
        <v>0</v>
      </c>
      <c r="S76" s="19">
        <f t="shared" si="23"/>
        <v>0</v>
      </c>
      <c r="T76" s="19">
        <f t="shared" si="23"/>
        <v>0</v>
      </c>
      <c r="U76" s="19">
        <f t="shared" si="23"/>
        <v>0</v>
      </c>
      <c r="V76" s="19">
        <f t="shared" si="23"/>
        <v>0</v>
      </c>
      <c r="W76" s="19">
        <f t="shared" si="23"/>
        <v>0</v>
      </c>
      <c r="X76" s="19">
        <f t="shared" si="23"/>
        <v>0</v>
      </c>
      <c r="Y76" s="19">
        <f t="shared" si="23"/>
        <v>0</v>
      </c>
      <c r="Z76" s="19">
        <f t="shared" si="23"/>
        <v>0</v>
      </c>
      <c r="AA76" s="19">
        <f t="shared" si="23"/>
        <v>0</v>
      </c>
      <c r="AB76" s="19">
        <f t="shared" si="23"/>
        <v>0</v>
      </c>
      <c r="AC76" s="19">
        <f t="shared" si="23"/>
        <v>0</v>
      </c>
      <c r="AD76" s="34"/>
      <c r="AE76" s="34"/>
      <c r="AF76" s="11"/>
      <c r="AG76" s="11"/>
      <c r="AH76" s="11"/>
    </row>
    <row r="77" spans="1:124">
      <c r="A77" s="12" t="s">
        <v>69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 t="s">
        <v>21</v>
      </c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20.25</v>
      </c>
    </row>
    <row r="78" spans="1:124">
      <c r="A78" s="14" t="s">
        <v>70</v>
      </c>
      <c r="B78" s="20"/>
      <c r="C78" s="15">
        <v>1</v>
      </c>
      <c r="D78" s="15"/>
      <c r="E78" s="15"/>
      <c r="F78" s="372">
        <v>0</v>
      </c>
      <c r="G78" s="372">
        <v>0</v>
      </c>
      <c r="H78" s="372">
        <v>0</v>
      </c>
      <c r="I78" s="372">
        <v>0</v>
      </c>
      <c r="J78" s="372">
        <v>0</v>
      </c>
      <c r="K78" s="374">
        <v>0</v>
      </c>
      <c r="L78" s="374">
        <v>0</v>
      </c>
      <c r="M78" s="374">
        <v>0.75</v>
      </c>
      <c r="N78" s="372">
        <v>0.77</v>
      </c>
      <c r="O78" s="372">
        <v>0.79</v>
      </c>
      <c r="P78" s="372">
        <v>0.84</v>
      </c>
      <c r="Q78" s="372">
        <v>0.87</v>
      </c>
      <c r="R78" s="372">
        <v>0.84</v>
      </c>
      <c r="S78" s="372">
        <v>0.83</v>
      </c>
      <c r="T78" s="372">
        <v>0.83</v>
      </c>
      <c r="U78" s="372">
        <v>0.84</v>
      </c>
      <c r="V78" s="372">
        <v>0.83</v>
      </c>
      <c r="W78" s="372">
        <v>0.83</v>
      </c>
      <c r="X78" s="372">
        <v>0.86</v>
      </c>
      <c r="Y78" s="372"/>
      <c r="Z78" s="372"/>
      <c r="AA78" s="372"/>
      <c r="AB78" s="372"/>
      <c r="AC78" s="372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19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71</v>
      </c>
      <c r="B79" s="20"/>
      <c r="C79" s="15">
        <v>1</v>
      </c>
      <c r="D79" s="15"/>
      <c r="E79" s="15"/>
      <c r="F79" s="372">
        <v>0.85</v>
      </c>
      <c r="G79" s="372">
        <v>0.84</v>
      </c>
      <c r="H79" s="372">
        <v>0.8</v>
      </c>
      <c r="I79" s="372">
        <v>0.8</v>
      </c>
      <c r="J79" s="372">
        <v>0.76</v>
      </c>
      <c r="K79" s="374">
        <v>0.76</v>
      </c>
      <c r="L79" s="374">
        <v>0.77</v>
      </c>
      <c r="M79" s="374"/>
      <c r="N79" s="372"/>
      <c r="O79" s="372"/>
      <c r="P79" s="372"/>
      <c r="Q79" s="372"/>
      <c r="R79" s="372"/>
      <c r="S79" s="372"/>
      <c r="T79" s="372"/>
      <c r="U79" s="372"/>
      <c r="V79" s="372"/>
      <c r="W79" s="372"/>
      <c r="X79" s="372"/>
      <c r="Y79" s="372">
        <v>1.02</v>
      </c>
      <c r="Z79" s="372">
        <v>0.99</v>
      </c>
      <c r="AA79" s="372">
        <v>0.98</v>
      </c>
      <c r="AB79" s="372">
        <v>0.91</v>
      </c>
      <c r="AC79" s="372">
        <v>0.89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" si="24">SUM(F78:F79)</f>
        <v>0.85</v>
      </c>
      <c r="G80" s="19">
        <f t="shared" ref="G80" si="25">SUM(G78:G79)</f>
        <v>0.84</v>
      </c>
      <c r="H80" s="19">
        <f>SUM(H78:H79)</f>
        <v>0.8</v>
      </c>
      <c r="I80" s="19">
        <f>SUM(I78:I79)</f>
        <v>0.8</v>
      </c>
      <c r="J80" s="19">
        <f t="shared" ref="J80:AC80" si="26">SUM(J78:J79)</f>
        <v>0.76</v>
      </c>
      <c r="K80" s="19">
        <f t="shared" si="26"/>
        <v>0.76</v>
      </c>
      <c r="L80" s="19">
        <f>SUM(L78:L79)</f>
        <v>0.77</v>
      </c>
      <c r="M80" s="19">
        <f t="shared" si="26"/>
        <v>0.75</v>
      </c>
      <c r="N80" s="19">
        <f t="shared" si="26"/>
        <v>0.77</v>
      </c>
      <c r="O80" s="19">
        <f>SUM(O78:O79)</f>
        <v>0.79</v>
      </c>
      <c r="P80" s="19">
        <f t="shared" si="26"/>
        <v>0.84</v>
      </c>
      <c r="Q80" s="19">
        <f t="shared" si="26"/>
        <v>0.87</v>
      </c>
      <c r="R80" s="19">
        <f t="shared" si="26"/>
        <v>0.84</v>
      </c>
      <c r="S80" s="19">
        <f t="shared" si="26"/>
        <v>0.83</v>
      </c>
      <c r="T80" s="19">
        <f t="shared" si="26"/>
        <v>0.83</v>
      </c>
      <c r="U80" s="19">
        <f t="shared" si="26"/>
        <v>0.84</v>
      </c>
      <c r="V80" s="19">
        <f t="shared" si="26"/>
        <v>0.83</v>
      </c>
      <c r="W80" s="19">
        <f t="shared" si="26"/>
        <v>0.83</v>
      </c>
      <c r="X80" s="19">
        <f t="shared" si="26"/>
        <v>0.86</v>
      </c>
      <c r="Y80" s="19">
        <f t="shared" si="26"/>
        <v>1.02</v>
      </c>
      <c r="Z80" s="19">
        <f t="shared" si="26"/>
        <v>0.99</v>
      </c>
      <c r="AA80" s="19">
        <f t="shared" si="26"/>
        <v>0.98</v>
      </c>
      <c r="AB80" s="19">
        <f t="shared" si="26"/>
        <v>0.91</v>
      </c>
      <c r="AC80" s="19">
        <f t="shared" si="26"/>
        <v>0.89</v>
      </c>
      <c r="AD80" s="34"/>
      <c r="AE80" s="34"/>
      <c r="AF80" s="11"/>
      <c r="AG80" s="11"/>
      <c r="AH80" s="11"/>
    </row>
    <row r="81" spans="1:40" ht="17.45" hidden="1">
      <c r="A81" s="366" t="s">
        <v>72</v>
      </c>
      <c r="B81" s="365"/>
      <c r="C81" s="367">
        <v>2</v>
      </c>
      <c r="D81" s="363"/>
      <c r="E81" s="363"/>
      <c r="F81" s="364"/>
      <c r="G81" s="364"/>
      <c r="H81" s="364"/>
      <c r="I81" s="364"/>
      <c r="J81" s="364"/>
      <c r="K81" s="364"/>
      <c r="L81" s="364"/>
      <c r="M81" s="364"/>
      <c r="N81" s="364"/>
      <c r="O81" s="364"/>
      <c r="P81" s="364"/>
      <c r="Q81" s="364"/>
      <c r="R81" s="364"/>
      <c r="S81" s="364"/>
      <c r="T81" s="364"/>
      <c r="U81" s="364"/>
      <c r="V81" s="364"/>
      <c r="W81" s="364"/>
      <c r="X81" s="364"/>
      <c r="Y81" s="364"/>
      <c r="Z81" s="364"/>
      <c r="AA81" s="364"/>
      <c r="AB81" s="364"/>
      <c r="AC81" s="364"/>
    </row>
    <row r="82" spans="1:40" ht="17.45" hidden="1">
      <c r="A82" s="368"/>
      <c r="B82" s="369"/>
      <c r="C82" s="370"/>
      <c r="D82" s="371"/>
      <c r="E82" s="371"/>
      <c r="F82" s="372"/>
      <c r="G82" s="372"/>
      <c r="H82" s="372"/>
      <c r="I82" s="372"/>
      <c r="J82" s="372"/>
      <c r="K82" s="374"/>
      <c r="L82" s="374"/>
      <c r="M82" s="374"/>
      <c r="N82" s="372"/>
      <c r="O82" s="372"/>
      <c r="P82" s="372"/>
      <c r="Q82" s="372"/>
      <c r="R82" s="372"/>
      <c r="S82" s="372"/>
      <c r="T82" s="372"/>
      <c r="U82" s="372"/>
      <c r="V82" s="372"/>
      <c r="W82" s="372"/>
      <c r="X82" s="372"/>
      <c r="Y82" s="372"/>
      <c r="Z82" s="372"/>
      <c r="AA82" s="372"/>
      <c r="AB82" s="372"/>
      <c r="AC82" s="372"/>
    </row>
    <row r="83" spans="1:40">
      <c r="A83" s="21" t="s">
        <v>73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" si="27">SUM(F17,F22,F25,F31,F34,F60,F65,F76,F80,F82)</f>
        <v>44.81</v>
      </c>
      <c r="G83" s="28">
        <f t="shared" ref="G83:AC83" si="28">SUM(G17,G22,G25,G31,G34,G60,G65,G76,G80,G82)</f>
        <v>21.23</v>
      </c>
      <c r="H83" s="28">
        <f t="shared" si="28"/>
        <v>20.230000000000004</v>
      </c>
      <c r="I83" s="28">
        <f t="shared" si="28"/>
        <v>29.781000000000002</v>
      </c>
      <c r="J83" s="28">
        <f t="shared" si="28"/>
        <v>37.93</v>
      </c>
      <c r="K83" s="28">
        <f t="shared" si="28"/>
        <v>38.53</v>
      </c>
      <c r="L83" s="28">
        <f t="shared" si="28"/>
        <v>40.130000000000003</v>
      </c>
      <c r="M83" s="28">
        <f t="shared" si="28"/>
        <v>39.42</v>
      </c>
      <c r="N83" s="28">
        <f>SUM(N17,N22,N25,N31,N34,N60,N65,N76,N80,N82)</f>
        <v>43.529999999999994</v>
      </c>
      <c r="O83" s="28">
        <f>SUM(O17,O22,O25,O31,O34,O60,O65,O76,O80,O82)</f>
        <v>47.75</v>
      </c>
      <c r="P83" s="28">
        <f t="shared" si="28"/>
        <v>50.64</v>
      </c>
      <c r="Q83" s="28">
        <f t="shared" si="28"/>
        <v>50.51</v>
      </c>
      <c r="R83" s="28">
        <f t="shared" si="28"/>
        <v>49.99</v>
      </c>
      <c r="S83" s="28">
        <f t="shared" si="28"/>
        <v>50.04</v>
      </c>
      <c r="T83" s="28">
        <f t="shared" si="28"/>
        <v>51.15</v>
      </c>
      <c r="U83" s="28">
        <f>SUM(U17,U22,U25,U31,U34,U60,U65,U76,U80,U82)</f>
        <v>49.490000000000009</v>
      </c>
      <c r="V83" s="28">
        <f t="shared" si="28"/>
        <v>51.52</v>
      </c>
      <c r="W83" s="28">
        <f t="shared" si="28"/>
        <v>52.21</v>
      </c>
      <c r="X83" s="28">
        <f t="shared" si="28"/>
        <v>53.849999999999994</v>
      </c>
      <c r="Y83" s="28">
        <f t="shared" si="28"/>
        <v>58.02</v>
      </c>
      <c r="Z83" s="28">
        <f>SUM(Z17,Z22,Z25,Z31,Z34,Z60,Z65,Z76,Z80,Z82)</f>
        <v>55.470000000000006</v>
      </c>
      <c r="AA83" s="28">
        <f t="shared" si="28"/>
        <v>51.52</v>
      </c>
      <c r="AB83" s="28">
        <f t="shared" si="28"/>
        <v>48.199999999999996</v>
      </c>
      <c r="AC83" s="28">
        <f t="shared" si="28"/>
        <v>44.56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25" t="s">
        <v>74</v>
      </c>
      <c r="B85" s="525"/>
      <c r="C85" s="525"/>
      <c r="D85" s="525"/>
      <c r="E85" s="525"/>
      <c r="F85" s="525"/>
      <c r="G85" s="525"/>
      <c r="H85" s="525"/>
      <c r="I85" s="525"/>
      <c r="J85" s="525"/>
      <c r="K85" s="525"/>
      <c r="L85" s="525"/>
      <c r="M85" s="525"/>
      <c r="N85" s="525"/>
      <c r="O85" s="525"/>
      <c r="P85" s="525"/>
      <c r="Q85" s="525"/>
      <c r="R85" s="525"/>
      <c r="S85" s="525"/>
      <c r="T85" s="525"/>
      <c r="U85" s="525"/>
      <c r="V85" s="525"/>
      <c r="W85" s="525"/>
      <c r="X85" s="525"/>
      <c r="Y85" s="525"/>
      <c r="Z85" s="525"/>
      <c r="AA85" s="525"/>
      <c r="AB85" s="525"/>
      <c r="AC85" s="525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</row>
    <row r="87" spans="1:40" ht="17.45">
      <c r="A87" s="500" t="s">
        <v>75</v>
      </c>
      <c r="B87" s="501"/>
      <c r="C87" s="502"/>
      <c r="D87" s="49"/>
      <c r="E87" s="49"/>
      <c r="F87" s="506" t="s">
        <v>76</v>
      </c>
      <c r="G87" s="506"/>
      <c r="H87" s="506"/>
      <c r="I87" s="506"/>
      <c r="J87" s="506"/>
      <c r="K87" s="506"/>
      <c r="L87" s="506"/>
      <c r="M87" s="506"/>
      <c r="N87" s="506"/>
      <c r="O87" s="506"/>
      <c r="P87" s="506"/>
      <c r="Q87" s="506"/>
      <c r="R87" s="506"/>
      <c r="S87" s="506"/>
      <c r="T87" s="506"/>
      <c r="U87" s="506"/>
      <c r="V87" s="506"/>
      <c r="W87" s="506"/>
      <c r="X87" s="506"/>
      <c r="Y87" s="506"/>
      <c r="Z87" s="506"/>
      <c r="AA87" s="506"/>
      <c r="AB87" s="506"/>
      <c r="AC87" s="506"/>
      <c r="AD87" s="5"/>
      <c r="AE87" s="5"/>
      <c r="AF87" s="5"/>
      <c r="AG87" s="5"/>
      <c r="AH87" s="5"/>
    </row>
    <row r="88" spans="1:40" ht="15.6" customHeight="1">
      <c r="A88" s="503"/>
      <c r="B88" s="504"/>
      <c r="C88" s="505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07" t="s">
        <v>27</v>
      </c>
      <c r="B89" s="508"/>
      <c r="C89" s="509"/>
      <c r="D89" s="45"/>
      <c r="E89" s="45"/>
      <c r="F89" s="64">
        <f t="shared" ref="F89:AC89" si="29">SUM(F22,F25)</f>
        <v>7.6</v>
      </c>
      <c r="G89" s="64">
        <f t="shared" si="29"/>
        <v>3</v>
      </c>
      <c r="H89" s="64">
        <f t="shared" si="29"/>
        <v>2.4</v>
      </c>
      <c r="I89" s="64">
        <f t="shared" si="29"/>
        <v>3</v>
      </c>
      <c r="J89" s="64">
        <f t="shared" si="29"/>
        <v>3</v>
      </c>
      <c r="K89" s="64">
        <f t="shared" si="29"/>
        <v>3</v>
      </c>
      <c r="L89" s="64">
        <f t="shared" si="29"/>
        <v>3.5</v>
      </c>
      <c r="M89" s="64">
        <f t="shared" si="29"/>
        <v>3.5</v>
      </c>
      <c r="N89" s="64">
        <f t="shared" si="29"/>
        <v>3.8</v>
      </c>
      <c r="O89" s="64">
        <f t="shared" si="29"/>
        <v>3.8</v>
      </c>
      <c r="P89" s="64">
        <f t="shared" si="29"/>
        <v>6.1999999999999993</v>
      </c>
      <c r="Q89" s="64">
        <f t="shared" si="29"/>
        <v>6.6</v>
      </c>
      <c r="R89" s="64">
        <f t="shared" si="29"/>
        <v>2.8</v>
      </c>
      <c r="S89" s="64">
        <f t="shared" si="29"/>
        <v>2.8</v>
      </c>
      <c r="T89" s="64">
        <f t="shared" si="29"/>
        <v>2.8</v>
      </c>
      <c r="U89" s="64">
        <f t="shared" si="29"/>
        <v>2.8</v>
      </c>
      <c r="V89" s="64">
        <f t="shared" si="29"/>
        <v>6.6</v>
      </c>
      <c r="W89" s="64">
        <f t="shared" si="29"/>
        <v>6.6</v>
      </c>
      <c r="X89" s="64">
        <f t="shared" si="29"/>
        <v>6.6</v>
      </c>
      <c r="Y89" s="64">
        <f t="shared" si="29"/>
        <v>6.6</v>
      </c>
      <c r="Z89" s="64">
        <f t="shared" si="29"/>
        <v>6.6</v>
      </c>
      <c r="AA89" s="64">
        <f t="shared" si="29"/>
        <v>5</v>
      </c>
      <c r="AB89" s="64">
        <f t="shared" si="29"/>
        <v>5</v>
      </c>
      <c r="AC89" s="64">
        <f t="shared" si="29"/>
        <v>2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521" t="s">
        <v>77</v>
      </c>
      <c r="B90" s="521"/>
      <c r="C90" s="522"/>
      <c r="D90" s="45"/>
      <c r="E90" s="45"/>
      <c r="F90" s="68">
        <v>0.13200000000000001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 t="s">
        <v>1</v>
      </c>
      <c r="Q90" s="68" t="s">
        <v>1</v>
      </c>
      <c r="R90" s="68" t="s">
        <v>1</v>
      </c>
      <c r="S90" s="68" t="s">
        <v>1</v>
      </c>
      <c r="T90" s="68" t="s">
        <v>1</v>
      </c>
      <c r="U90" s="68"/>
      <c r="V90" s="68"/>
      <c r="W90" s="68"/>
      <c r="X90" s="68"/>
      <c r="Y90" s="68"/>
      <c r="Z90" s="68"/>
      <c r="AA90" s="68"/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07" t="s">
        <v>78</v>
      </c>
      <c r="B91" s="508"/>
      <c r="C91" s="509"/>
      <c r="D91" s="45"/>
      <c r="E91" s="45"/>
      <c r="F91" s="64">
        <f t="shared" ref="F91:AC91" si="30">F17</f>
        <v>8.4</v>
      </c>
      <c r="G91" s="64">
        <f t="shared" si="30"/>
        <v>0</v>
      </c>
      <c r="H91" s="64">
        <f t="shared" si="30"/>
        <v>0</v>
      </c>
      <c r="I91" s="64">
        <f t="shared" si="30"/>
        <v>0</v>
      </c>
      <c r="J91" s="64">
        <f t="shared" si="30"/>
        <v>13</v>
      </c>
      <c r="K91" s="64">
        <f t="shared" si="30"/>
        <v>13.2</v>
      </c>
      <c r="L91" s="64">
        <f t="shared" si="30"/>
        <v>13.2</v>
      </c>
      <c r="M91" s="64">
        <f t="shared" si="30"/>
        <v>13.4</v>
      </c>
      <c r="N91" s="64">
        <f t="shared" si="30"/>
        <v>15.499999999999998</v>
      </c>
      <c r="O91" s="64">
        <f t="shared" si="30"/>
        <v>20.100000000000001</v>
      </c>
      <c r="P91" s="64">
        <f t="shared" si="30"/>
        <v>20.100000000000001</v>
      </c>
      <c r="Q91" s="64">
        <f t="shared" si="30"/>
        <v>19.5</v>
      </c>
      <c r="R91" s="64">
        <f t="shared" si="30"/>
        <v>19.799999999999997</v>
      </c>
      <c r="S91" s="64">
        <f t="shared" si="30"/>
        <v>19.799999999999997</v>
      </c>
      <c r="T91" s="64">
        <f t="shared" si="30"/>
        <v>20.100000000000001</v>
      </c>
      <c r="U91" s="64">
        <f t="shared" si="30"/>
        <v>20.100000000000001</v>
      </c>
      <c r="V91" s="64">
        <f t="shared" si="30"/>
        <v>20.399999999999999</v>
      </c>
      <c r="W91" s="64">
        <f t="shared" si="30"/>
        <v>20.100000000000001</v>
      </c>
      <c r="X91" s="64">
        <f t="shared" si="30"/>
        <v>19.799999999999997</v>
      </c>
      <c r="Y91" s="64">
        <f t="shared" si="30"/>
        <v>19.799999999999997</v>
      </c>
      <c r="Z91" s="64">
        <f t="shared" si="30"/>
        <v>19.899999999999999</v>
      </c>
      <c r="AA91" s="64">
        <f t="shared" si="30"/>
        <v>20</v>
      </c>
      <c r="AB91" s="64">
        <f t="shared" si="30"/>
        <v>20.100000000000001</v>
      </c>
      <c r="AC91" s="64">
        <f t="shared" si="30"/>
        <v>20.399999999999999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21" t="s">
        <v>79</v>
      </c>
      <c r="B92" s="521"/>
      <c r="C92" s="522"/>
      <c r="D92" s="45"/>
      <c r="E92" s="45"/>
      <c r="F92" s="68">
        <v>0.73099999999999998</v>
      </c>
      <c r="G92" s="68" t="s">
        <v>1</v>
      </c>
      <c r="H92" s="68" t="s">
        <v>1</v>
      </c>
      <c r="I92" s="68" t="s">
        <v>1</v>
      </c>
      <c r="J92" s="68">
        <v>0.78</v>
      </c>
      <c r="K92" s="68">
        <v>0.751</v>
      </c>
      <c r="L92" s="68">
        <v>0.76800000000000002</v>
      </c>
      <c r="M92" s="68">
        <v>0.79800000000000004</v>
      </c>
      <c r="N92" s="68">
        <v>0.76300000000000001</v>
      </c>
      <c r="O92" s="68">
        <v>0.71299999999999997</v>
      </c>
      <c r="P92" s="68">
        <v>0.96399999999999997</v>
      </c>
      <c r="Q92" s="68">
        <v>1.071</v>
      </c>
      <c r="R92" s="68">
        <v>0.79</v>
      </c>
      <c r="S92" s="68">
        <v>0.71099999999999997</v>
      </c>
      <c r="T92" s="68">
        <v>0.91200000000000003</v>
      </c>
      <c r="U92" s="68">
        <v>0.92100000000000004</v>
      </c>
      <c r="V92" s="68">
        <v>0.74199999999999999</v>
      </c>
      <c r="W92" s="68">
        <v>0.66500000000000004</v>
      </c>
      <c r="X92" s="68">
        <v>0.68500000000000005</v>
      </c>
      <c r="Y92" s="68">
        <v>0.96899999999999997</v>
      </c>
      <c r="Z92" s="68">
        <v>1</v>
      </c>
      <c r="AA92" s="68">
        <v>0.93100000000000005</v>
      </c>
      <c r="AB92" s="68">
        <v>0.747</v>
      </c>
      <c r="AC92" s="68">
        <v>0.83199999999999996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07" t="s">
        <v>29</v>
      </c>
      <c r="B93" s="508"/>
      <c r="C93" s="509"/>
      <c r="D93" s="45"/>
      <c r="E93" s="45"/>
      <c r="F93" s="65">
        <f t="shared" ref="F93:AC93" si="31">F31</f>
        <v>8.6</v>
      </c>
      <c r="G93" s="65">
        <f t="shared" si="31"/>
        <v>5.8</v>
      </c>
      <c r="H93" s="65">
        <f t="shared" si="31"/>
        <v>6.2</v>
      </c>
      <c r="I93" s="65">
        <f t="shared" si="31"/>
        <v>6.8</v>
      </c>
      <c r="J93" s="65">
        <f t="shared" si="31"/>
        <v>6</v>
      </c>
      <c r="K93" s="65">
        <f t="shared" si="31"/>
        <v>6.4</v>
      </c>
      <c r="L93" s="65">
        <f t="shared" si="31"/>
        <v>7.4</v>
      </c>
      <c r="M93" s="65">
        <f t="shared" si="31"/>
        <v>7.4</v>
      </c>
      <c r="N93" s="65">
        <f t="shared" si="31"/>
        <v>8</v>
      </c>
      <c r="O93" s="65">
        <f t="shared" si="31"/>
        <v>7.6</v>
      </c>
      <c r="P93" s="65">
        <f t="shared" si="31"/>
        <v>8</v>
      </c>
      <c r="Q93" s="65">
        <f t="shared" si="31"/>
        <v>8</v>
      </c>
      <c r="R93" s="65">
        <f t="shared" si="31"/>
        <v>8</v>
      </c>
      <c r="S93" s="65">
        <f t="shared" si="31"/>
        <v>8.1999999999999993</v>
      </c>
      <c r="T93" s="65">
        <f>T31</f>
        <v>11.879999999999999</v>
      </c>
      <c r="U93" s="65">
        <f t="shared" si="31"/>
        <v>11.26</v>
      </c>
      <c r="V93" s="65">
        <f t="shared" si="31"/>
        <v>8.1999999999999993</v>
      </c>
      <c r="W93" s="65">
        <f t="shared" si="31"/>
        <v>9.2100000000000009</v>
      </c>
      <c r="X93" s="65">
        <f t="shared" si="31"/>
        <v>9.6300000000000008</v>
      </c>
      <c r="Y93" s="65">
        <f t="shared" si="31"/>
        <v>11.16</v>
      </c>
      <c r="Z93" s="65">
        <f t="shared" si="31"/>
        <v>12.370000000000001</v>
      </c>
      <c r="AA93" s="65">
        <f t="shared" si="31"/>
        <v>10.1</v>
      </c>
      <c r="AB93" s="65">
        <f t="shared" si="31"/>
        <v>6.8</v>
      </c>
      <c r="AC93" s="65">
        <f t="shared" si="31"/>
        <v>6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21" t="s">
        <v>102</v>
      </c>
      <c r="B94" s="521"/>
      <c r="C94" s="522"/>
      <c r="D94" s="45"/>
      <c r="E94" s="45"/>
      <c r="F94" s="68">
        <v>0.27100000000000002</v>
      </c>
      <c r="G94" s="68">
        <v>0.252</v>
      </c>
      <c r="H94" s="68">
        <v>0.26300000000000001</v>
      </c>
      <c r="I94" s="68">
        <v>0.26</v>
      </c>
      <c r="J94" s="68">
        <v>0.25900000000000001</v>
      </c>
      <c r="K94" s="68">
        <v>0.26300000000000001</v>
      </c>
      <c r="L94" s="68">
        <v>0.25</v>
      </c>
      <c r="M94" s="68">
        <v>0.25</v>
      </c>
      <c r="N94" s="68">
        <v>0.249</v>
      </c>
      <c r="O94" s="68">
        <v>0.27</v>
      </c>
      <c r="P94" s="68">
        <v>0.27700000000000002</v>
      </c>
      <c r="Q94" s="68">
        <v>0.28199999999999997</v>
      </c>
      <c r="R94" s="68">
        <v>0.26100000000000001</v>
      </c>
      <c r="S94" s="68">
        <v>0.26500000000000001</v>
      </c>
      <c r="T94" s="68">
        <v>0.252</v>
      </c>
      <c r="U94" s="68">
        <v>0.26300000000000001</v>
      </c>
      <c r="V94" s="68">
        <v>0.26500000000000001</v>
      </c>
      <c r="W94" s="68">
        <v>0.26800000000000002</v>
      </c>
      <c r="X94" s="68">
        <v>0.27800000000000002</v>
      </c>
      <c r="Y94" s="68">
        <v>0.25800000000000001</v>
      </c>
      <c r="Z94" s="68">
        <v>0.26400000000000001</v>
      </c>
      <c r="AA94" s="68">
        <v>0.26</v>
      </c>
      <c r="AB94" s="68">
        <v>0.26600000000000001</v>
      </c>
      <c r="AC94" s="68">
        <v>0.27600000000000002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21" t="s">
        <v>104</v>
      </c>
      <c r="B95" s="521"/>
      <c r="C95" s="522"/>
      <c r="D95" s="45"/>
      <c r="E95" s="45"/>
      <c r="F95" s="68" t="s">
        <v>1</v>
      </c>
      <c r="G95" s="68" t="s">
        <v>1</v>
      </c>
      <c r="H95" s="68" t="s">
        <v>1</v>
      </c>
      <c r="I95" s="68" t="s">
        <v>1</v>
      </c>
      <c r="J95" s="68" t="s">
        <v>1</v>
      </c>
      <c r="K95" s="68" t="s">
        <v>1</v>
      </c>
      <c r="L95" s="68" t="s">
        <v>1</v>
      </c>
      <c r="M95" s="68" t="s">
        <v>1</v>
      </c>
      <c r="N95" s="68" t="s">
        <v>1</v>
      </c>
      <c r="O95" s="68" t="s">
        <v>1</v>
      </c>
      <c r="P95" s="68" t="s">
        <v>1</v>
      </c>
      <c r="Q95" s="68" t="s">
        <v>1</v>
      </c>
      <c r="R95" s="68" t="s">
        <v>1</v>
      </c>
      <c r="S95" s="68" t="s">
        <v>1</v>
      </c>
      <c r="T95" s="68">
        <v>0.16120000000000001</v>
      </c>
      <c r="U95" s="68">
        <v>0.18559999999999999</v>
      </c>
      <c r="V95" s="68"/>
      <c r="W95" s="68">
        <v>0.19059999999999999</v>
      </c>
      <c r="X95" s="68">
        <v>0.16569999999999999</v>
      </c>
      <c r="Y95" s="68">
        <v>0.3412</v>
      </c>
      <c r="Z95" s="68">
        <v>0.19550000000000001</v>
      </c>
      <c r="AA95" s="68">
        <v>0.20960000000000001</v>
      </c>
      <c r="AB95" s="68" t="s">
        <v>1</v>
      </c>
      <c r="AC95" s="68" t="s">
        <v>1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07" t="s">
        <v>32</v>
      </c>
      <c r="B96" s="508"/>
      <c r="C96" s="509"/>
      <c r="D96" s="45"/>
      <c r="E96" s="45"/>
      <c r="F96" s="65">
        <f t="shared" ref="F96:AC96" si="32">F34</f>
        <v>14.31</v>
      </c>
      <c r="G96" s="65">
        <f t="shared" si="32"/>
        <v>9.7799999999999994</v>
      </c>
      <c r="H96" s="65">
        <f t="shared" si="32"/>
        <v>9.82</v>
      </c>
      <c r="I96" s="65">
        <f t="shared" si="32"/>
        <v>14.27</v>
      </c>
      <c r="J96" s="65">
        <f t="shared" si="32"/>
        <v>14.29</v>
      </c>
      <c r="K96" s="65">
        <f t="shared" si="32"/>
        <v>14.32</v>
      </c>
      <c r="L96" s="65">
        <f t="shared" si="32"/>
        <v>14.29</v>
      </c>
      <c r="M96" s="65">
        <f t="shared" si="32"/>
        <v>13.31</v>
      </c>
      <c r="N96" s="65">
        <f t="shared" si="32"/>
        <v>14.3</v>
      </c>
      <c r="O96" s="65">
        <f t="shared" si="32"/>
        <v>14.29</v>
      </c>
      <c r="P96" s="65">
        <f t="shared" si="32"/>
        <v>14.28</v>
      </c>
      <c r="Q96" s="65">
        <f t="shared" si="32"/>
        <v>14.29</v>
      </c>
      <c r="R96" s="65">
        <f t="shared" si="32"/>
        <v>14.27</v>
      </c>
      <c r="S96" s="65">
        <f t="shared" si="32"/>
        <v>14.31</v>
      </c>
      <c r="T96" s="65">
        <f t="shared" si="32"/>
        <v>14.3</v>
      </c>
      <c r="U96" s="65">
        <f t="shared" si="32"/>
        <v>13.31</v>
      </c>
      <c r="V96" s="65">
        <f t="shared" si="32"/>
        <v>14.29</v>
      </c>
      <c r="W96" s="65">
        <f t="shared" si="32"/>
        <v>14.28</v>
      </c>
      <c r="X96" s="65">
        <f t="shared" si="32"/>
        <v>14.3</v>
      </c>
      <c r="Y96" s="65">
        <f t="shared" si="32"/>
        <v>14.28</v>
      </c>
      <c r="Z96" s="65">
        <f t="shared" si="32"/>
        <v>14.3</v>
      </c>
      <c r="AA96" s="65">
        <f t="shared" si="32"/>
        <v>14.24</v>
      </c>
      <c r="AB96" s="65">
        <f t="shared" si="32"/>
        <v>14.29</v>
      </c>
      <c r="AC96" s="65">
        <f t="shared" si="32"/>
        <v>14.27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21" t="s">
        <v>81</v>
      </c>
      <c r="B97" s="521"/>
      <c r="C97" s="522"/>
      <c r="D97" s="68"/>
      <c r="E97" s="68"/>
      <c r="F97" s="68">
        <v>0.69</v>
      </c>
      <c r="G97" s="68">
        <v>0.72</v>
      </c>
      <c r="H97" s="68">
        <v>0.68</v>
      </c>
      <c r="I97" s="68">
        <v>0.73</v>
      </c>
      <c r="J97" s="68">
        <v>0.71</v>
      </c>
      <c r="K97" s="68">
        <v>0.68</v>
      </c>
      <c r="L97" s="68">
        <v>0.71599999999999997</v>
      </c>
      <c r="M97" s="68">
        <v>0.69</v>
      </c>
      <c r="N97" s="68">
        <v>0.7</v>
      </c>
      <c r="O97" s="68">
        <v>0.71</v>
      </c>
      <c r="P97" s="68">
        <v>0.72</v>
      </c>
      <c r="Q97" s="68">
        <v>0.71</v>
      </c>
      <c r="R97" s="68">
        <v>0.73</v>
      </c>
      <c r="S97" s="68">
        <v>0.69</v>
      </c>
      <c r="T97" s="68">
        <v>0.7</v>
      </c>
      <c r="U97" s="68">
        <v>0.69</v>
      </c>
      <c r="V97" s="68">
        <v>0.71</v>
      </c>
      <c r="W97" s="68">
        <v>0.72</v>
      </c>
      <c r="X97" s="68">
        <v>0.7</v>
      </c>
      <c r="Y97" s="68">
        <v>0.72</v>
      </c>
      <c r="Z97" s="68">
        <v>0.7</v>
      </c>
      <c r="AA97" s="68">
        <v>0.76</v>
      </c>
      <c r="AB97" s="68">
        <v>0.71</v>
      </c>
      <c r="AC97" s="68">
        <v>0.73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07" t="s">
        <v>33</v>
      </c>
      <c r="B98" s="508"/>
      <c r="C98" s="509"/>
      <c r="D98" s="45"/>
      <c r="E98" s="45"/>
      <c r="F98" s="64">
        <f t="shared" ref="F98:AC98" si="33">F60</f>
        <v>4.01</v>
      </c>
      <c r="G98" s="64">
        <f t="shared" si="33"/>
        <v>0.8</v>
      </c>
      <c r="H98" s="64">
        <f t="shared" si="33"/>
        <v>0</v>
      </c>
      <c r="I98" s="64">
        <f t="shared" si="33"/>
        <v>4</v>
      </c>
      <c r="J98" s="64">
        <f t="shared" si="33"/>
        <v>0</v>
      </c>
      <c r="K98" s="64">
        <f t="shared" si="33"/>
        <v>0</v>
      </c>
      <c r="L98" s="64">
        <f t="shared" si="33"/>
        <v>0</v>
      </c>
      <c r="M98" s="64">
        <f t="shared" si="33"/>
        <v>0</v>
      </c>
      <c r="N98" s="64">
        <f t="shared" si="33"/>
        <v>0</v>
      </c>
      <c r="O98" s="64">
        <f t="shared" si="33"/>
        <v>0</v>
      </c>
      <c r="P98" s="64">
        <f t="shared" si="33"/>
        <v>0</v>
      </c>
      <c r="Q98" s="64">
        <f t="shared" si="33"/>
        <v>0</v>
      </c>
      <c r="R98" s="64">
        <f t="shared" si="33"/>
        <v>3</v>
      </c>
      <c r="S98" s="64">
        <f t="shared" si="33"/>
        <v>3</v>
      </c>
      <c r="T98" s="64">
        <f t="shared" si="33"/>
        <v>0</v>
      </c>
      <c r="U98" s="64">
        <f t="shared" si="33"/>
        <v>0</v>
      </c>
      <c r="V98" s="64">
        <f t="shared" si="33"/>
        <v>0</v>
      </c>
      <c r="W98" s="64">
        <f t="shared" si="33"/>
        <v>0</v>
      </c>
      <c r="X98" s="64">
        <f t="shared" si="33"/>
        <v>1.5</v>
      </c>
      <c r="Y98" s="64">
        <f t="shared" si="33"/>
        <v>3.9000000000000004</v>
      </c>
      <c r="Z98" s="64">
        <f t="shared" si="33"/>
        <v>0</v>
      </c>
      <c r="AA98" s="64">
        <f t="shared" si="33"/>
        <v>0</v>
      </c>
      <c r="AB98" s="64">
        <f t="shared" si="33"/>
        <v>0</v>
      </c>
      <c r="AC98" s="64">
        <f t="shared" si="33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07" t="s">
        <v>55</v>
      </c>
      <c r="B99" s="508"/>
      <c r="C99" s="509"/>
      <c r="D99" s="45"/>
      <c r="E99" s="45"/>
      <c r="F99" s="64">
        <f t="shared" ref="F99:AC99" si="34">F65</f>
        <v>1.04</v>
      </c>
      <c r="G99" s="64">
        <f t="shared" si="34"/>
        <v>1.01</v>
      </c>
      <c r="H99" s="64">
        <f t="shared" si="34"/>
        <v>1.01</v>
      </c>
      <c r="I99" s="64">
        <f t="shared" si="34"/>
        <v>0.91100000000000003</v>
      </c>
      <c r="J99" s="64">
        <f t="shared" si="34"/>
        <v>0.88</v>
      </c>
      <c r="K99" s="64">
        <f t="shared" si="34"/>
        <v>0.85</v>
      </c>
      <c r="L99" s="64">
        <f t="shared" si="34"/>
        <v>0.97</v>
      </c>
      <c r="M99" s="64">
        <f t="shared" si="34"/>
        <v>1.06</v>
      </c>
      <c r="N99" s="64">
        <f t="shared" si="34"/>
        <v>1.1599999999999999</v>
      </c>
      <c r="O99" s="64">
        <f t="shared" si="34"/>
        <v>1.17</v>
      </c>
      <c r="P99" s="64">
        <f t="shared" si="34"/>
        <v>1.22</v>
      </c>
      <c r="Q99" s="64">
        <f t="shared" si="34"/>
        <v>1.25</v>
      </c>
      <c r="R99" s="64">
        <f t="shared" si="34"/>
        <v>1.28</v>
      </c>
      <c r="S99" s="64">
        <f t="shared" si="34"/>
        <v>1.1000000000000001</v>
      </c>
      <c r="T99" s="64">
        <f t="shared" si="34"/>
        <v>1.24</v>
      </c>
      <c r="U99" s="64">
        <f t="shared" si="34"/>
        <v>1.18</v>
      </c>
      <c r="V99" s="64">
        <f t="shared" si="34"/>
        <v>1.2</v>
      </c>
      <c r="W99" s="64">
        <f t="shared" si="34"/>
        <v>1.19</v>
      </c>
      <c r="X99" s="64">
        <f t="shared" si="34"/>
        <v>1.1599999999999999</v>
      </c>
      <c r="Y99" s="64">
        <f t="shared" si="34"/>
        <v>1.26</v>
      </c>
      <c r="Z99" s="64">
        <f t="shared" si="34"/>
        <v>1.31</v>
      </c>
      <c r="AA99" s="64">
        <f t="shared" si="34"/>
        <v>1.2</v>
      </c>
      <c r="AB99" s="64">
        <f t="shared" si="34"/>
        <v>1.1000000000000001</v>
      </c>
      <c r="AC99" s="64">
        <f t="shared" si="34"/>
        <v>1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07" t="s">
        <v>59</v>
      </c>
      <c r="B100" s="508"/>
      <c r="C100" s="509"/>
      <c r="D100" s="45"/>
      <c r="E100" s="45"/>
      <c r="F100" s="64">
        <f t="shared" ref="F100:AC100" si="35">F76</f>
        <v>0</v>
      </c>
      <c r="G100" s="64">
        <f t="shared" si="35"/>
        <v>0</v>
      </c>
      <c r="H100" s="64">
        <f t="shared" si="35"/>
        <v>0</v>
      </c>
      <c r="I100" s="64">
        <f t="shared" si="35"/>
        <v>0</v>
      </c>
      <c r="J100" s="64">
        <f t="shared" si="35"/>
        <v>0</v>
      </c>
      <c r="K100" s="64">
        <f t="shared" si="35"/>
        <v>0</v>
      </c>
      <c r="L100" s="64">
        <f t="shared" si="35"/>
        <v>0</v>
      </c>
      <c r="M100" s="64">
        <f t="shared" si="35"/>
        <v>0</v>
      </c>
      <c r="N100" s="64">
        <f t="shared" si="35"/>
        <v>0</v>
      </c>
      <c r="O100" s="64">
        <f t="shared" si="35"/>
        <v>0</v>
      </c>
      <c r="P100" s="64">
        <f t="shared" si="35"/>
        <v>0</v>
      </c>
      <c r="Q100" s="64">
        <f t="shared" si="35"/>
        <v>0</v>
      </c>
      <c r="R100" s="64">
        <f t="shared" si="35"/>
        <v>0</v>
      </c>
      <c r="S100" s="64">
        <f t="shared" si="35"/>
        <v>0</v>
      </c>
      <c r="T100" s="64">
        <f t="shared" si="35"/>
        <v>0</v>
      </c>
      <c r="U100" s="64">
        <f t="shared" si="35"/>
        <v>0</v>
      </c>
      <c r="V100" s="64">
        <f t="shared" si="35"/>
        <v>0</v>
      </c>
      <c r="W100" s="64">
        <f t="shared" si="35"/>
        <v>0</v>
      </c>
      <c r="X100" s="64">
        <f t="shared" si="35"/>
        <v>0</v>
      </c>
      <c r="Y100" s="64">
        <f t="shared" si="35"/>
        <v>0</v>
      </c>
      <c r="Z100" s="64">
        <f t="shared" si="35"/>
        <v>0</v>
      </c>
      <c r="AA100" s="64">
        <f t="shared" si="35"/>
        <v>0</v>
      </c>
      <c r="AB100" s="64">
        <f t="shared" si="35"/>
        <v>0</v>
      </c>
      <c r="AC100" s="64">
        <f t="shared" si="35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07" t="s">
        <v>69</v>
      </c>
      <c r="B101" s="508"/>
      <c r="C101" s="509"/>
      <c r="D101" s="45"/>
      <c r="E101" s="45"/>
      <c r="F101" s="64">
        <f t="shared" ref="F101:AC101" si="36">F80</f>
        <v>0.85</v>
      </c>
      <c r="G101" s="64">
        <f t="shared" si="36"/>
        <v>0.84</v>
      </c>
      <c r="H101" s="64">
        <f t="shared" si="36"/>
        <v>0.8</v>
      </c>
      <c r="I101" s="64">
        <f t="shared" si="36"/>
        <v>0.8</v>
      </c>
      <c r="J101" s="64">
        <f t="shared" si="36"/>
        <v>0.76</v>
      </c>
      <c r="K101" s="64">
        <f t="shared" si="36"/>
        <v>0.76</v>
      </c>
      <c r="L101" s="64">
        <f t="shared" si="36"/>
        <v>0.77</v>
      </c>
      <c r="M101" s="64">
        <f t="shared" si="36"/>
        <v>0.75</v>
      </c>
      <c r="N101" s="64">
        <f t="shared" si="36"/>
        <v>0.77</v>
      </c>
      <c r="O101" s="64">
        <f t="shared" si="36"/>
        <v>0.79</v>
      </c>
      <c r="P101" s="64">
        <f t="shared" si="36"/>
        <v>0.84</v>
      </c>
      <c r="Q101" s="64">
        <f t="shared" si="36"/>
        <v>0.87</v>
      </c>
      <c r="R101" s="64">
        <f t="shared" si="36"/>
        <v>0.84</v>
      </c>
      <c r="S101" s="64">
        <f t="shared" si="36"/>
        <v>0.83</v>
      </c>
      <c r="T101" s="64">
        <f t="shared" si="36"/>
        <v>0.83</v>
      </c>
      <c r="U101" s="64">
        <f t="shared" si="36"/>
        <v>0.84</v>
      </c>
      <c r="V101" s="64">
        <f t="shared" si="36"/>
        <v>0.83</v>
      </c>
      <c r="W101" s="64">
        <f t="shared" si="36"/>
        <v>0.83</v>
      </c>
      <c r="X101" s="64">
        <f t="shared" si="36"/>
        <v>0.86</v>
      </c>
      <c r="Y101" s="64">
        <f t="shared" si="36"/>
        <v>1.02</v>
      </c>
      <c r="Z101" s="64">
        <f t="shared" si="36"/>
        <v>0.99</v>
      </c>
      <c r="AA101" s="64">
        <f t="shared" si="36"/>
        <v>0.98</v>
      </c>
      <c r="AB101" s="64">
        <f t="shared" si="36"/>
        <v>0.91</v>
      </c>
      <c r="AC101" s="64">
        <f t="shared" si="36"/>
        <v>0.89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07" t="s">
        <v>72</v>
      </c>
      <c r="B102" s="508"/>
      <c r="C102" s="509"/>
      <c r="D102" s="45"/>
      <c r="E102" s="45"/>
      <c r="F102" s="64">
        <f t="shared" ref="F102:AC102" si="37">F82</f>
        <v>0</v>
      </c>
      <c r="G102" s="64">
        <f t="shared" si="37"/>
        <v>0</v>
      </c>
      <c r="H102" s="64">
        <f t="shared" si="37"/>
        <v>0</v>
      </c>
      <c r="I102" s="64">
        <f t="shared" si="37"/>
        <v>0</v>
      </c>
      <c r="J102" s="64">
        <f t="shared" si="37"/>
        <v>0</v>
      </c>
      <c r="K102" s="64">
        <f t="shared" si="37"/>
        <v>0</v>
      </c>
      <c r="L102" s="64">
        <f t="shared" si="37"/>
        <v>0</v>
      </c>
      <c r="M102" s="64">
        <f t="shared" si="37"/>
        <v>0</v>
      </c>
      <c r="N102" s="64">
        <f t="shared" si="37"/>
        <v>0</v>
      </c>
      <c r="O102" s="64">
        <f t="shared" si="37"/>
        <v>0</v>
      </c>
      <c r="P102" s="64">
        <f t="shared" si="37"/>
        <v>0</v>
      </c>
      <c r="Q102" s="64">
        <f t="shared" si="37"/>
        <v>0</v>
      </c>
      <c r="R102" s="64">
        <f t="shared" si="37"/>
        <v>0</v>
      </c>
      <c r="S102" s="64">
        <f t="shared" si="37"/>
        <v>0</v>
      </c>
      <c r="T102" s="64">
        <f t="shared" si="37"/>
        <v>0</v>
      </c>
      <c r="U102" s="64">
        <f t="shared" si="37"/>
        <v>0</v>
      </c>
      <c r="V102" s="64">
        <f t="shared" si="37"/>
        <v>0</v>
      </c>
      <c r="W102" s="64">
        <f t="shared" si="37"/>
        <v>0</v>
      </c>
      <c r="X102" s="64">
        <f t="shared" si="37"/>
        <v>0</v>
      </c>
      <c r="Y102" s="64">
        <f t="shared" si="37"/>
        <v>0</v>
      </c>
      <c r="Z102" s="64">
        <f t="shared" si="37"/>
        <v>0</v>
      </c>
      <c r="AA102" s="64">
        <f t="shared" si="37"/>
        <v>0</v>
      </c>
      <c r="AB102" s="64">
        <f t="shared" si="37"/>
        <v>0</v>
      </c>
      <c r="AC102" s="64">
        <f t="shared" si="37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11" t="s">
        <v>82</v>
      </c>
      <c r="B103" s="511"/>
      <c r="C103" s="511"/>
      <c r="D103" s="47"/>
      <c r="E103" s="47"/>
      <c r="F103" s="61">
        <f t="shared" ref="F103:AC103" si="38">SUM(F89,F91,F93,F96,F98:F102,F81)</f>
        <v>44.81</v>
      </c>
      <c r="G103" s="61">
        <f t="shared" si="38"/>
        <v>21.23</v>
      </c>
      <c r="H103" s="61">
        <f t="shared" si="38"/>
        <v>20.230000000000004</v>
      </c>
      <c r="I103" s="61">
        <f t="shared" si="38"/>
        <v>29.781000000000002</v>
      </c>
      <c r="J103" s="61">
        <f t="shared" si="38"/>
        <v>37.93</v>
      </c>
      <c r="K103" s="61">
        <f t="shared" si="38"/>
        <v>38.53</v>
      </c>
      <c r="L103" s="61">
        <f t="shared" si="38"/>
        <v>40.130000000000003</v>
      </c>
      <c r="M103" s="61">
        <f t="shared" si="38"/>
        <v>39.42</v>
      </c>
      <c r="N103" s="61">
        <f t="shared" si="38"/>
        <v>43.529999999999994</v>
      </c>
      <c r="O103" s="61">
        <f t="shared" si="38"/>
        <v>47.75</v>
      </c>
      <c r="P103" s="61">
        <f t="shared" si="38"/>
        <v>50.64</v>
      </c>
      <c r="Q103" s="61">
        <f t="shared" si="38"/>
        <v>50.51</v>
      </c>
      <c r="R103" s="61">
        <f t="shared" si="38"/>
        <v>49.99</v>
      </c>
      <c r="S103" s="61">
        <f>SUM(S89,S91,S93,S96,S98:S102,S81)</f>
        <v>50.04</v>
      </c>
      <c r="T103" s="61">
        <f t="shared" si="38"/>
        <v>51.15</v>
      </c>
      <c r="U103" s="61">
        <f t="shared" si="38"/>
        <v>49.490000000000009</v>
      </c>
      <c r="V103" s="61">
        <f>SUM(V89,V91,V93,V96,V98:V102,V81)</f>
        <v>51.52</v>
      </c>
      <c r="W103" s="61">
        <f t="shared" si="38"/>
        <v>52.21</v>
      </c>
      <c r="X103" s="61">
        <f t="shared" si="38"/>
        <v>53.849999999999994</v>
      </c>
      <c r="Y103" s="61">
        <f t="shared" si="38"/>
        <v>58.02</v>
      </c>
      <c r="Z103" s="61">
        <f t="shared" si="38"/>
        <v>55.470000000000006</v>
      </c>
      <c r="AA103" s="61">
        <f t="shared" si="38"/>
        <v>51.52</v>
      </c>
      <c r="AB103" s="61">
        <f t="shared" si="38"/>
        <v>48.199999999999996</v>
      </c>
      <c r="AC103" s="61">
        <f t="shared" si="38"/>
        <v>44.56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12" t="s">
        <v>83</v>
      </c>
      <c r="B104" s="512"/>
      <c r="C104" s="512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12" t="s">
        <v>84</v>
      </c>
      <c r="B105" s="512"/>
      <c r="C105" s="512"/>
      <c r="D105" s="46"/>
      <c r="E105" s="46"/>
      <c r="F105" s="76"/>
      <c r="G105" s="76">
        <f>24.67-3</f>
        <v>21.67</v>
      </c>
      <c r="H105" s="76">
        <f>23.4-2.4</f>
        <v>21</v>
      </c>
      <c r="I105" s="76">
        <f>(23.2-3)-8.28</f>
        <v>11.92</v>
      </c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12" t="s">
        <v>85</v>
      </c>
      <c r="B106" s="512"/>
      <c r="C106" s="512"/>
      <c r="D106" s="46"/>
      <c r="E106" s="46"/>
      <c r="F106" s="76">
        <v>2.0299999999999998</v>
      </c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493"/>
      <c r="V106" s="493"/>
      <c r="W106" s="493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11" t="s">
        <v>86</v>
      </c>
      <c r="B107" s="511"/>
      <c r="C107" s="511"/>
      <c r="D107" s="47"/>
      <c r="E107" s="47"/>
      <c r="F107" s="61">
        <f t="shared" ref="F107:AC107" si="39">SUM(F104:F106)</f>
        <v>2.0299999999999998</v>
      </c>
      <c r="G107" s="61">
        <f t="shared" si="39"/>
        <v>21.67</v>
      </c>
      <c r="H107" s="61">
        <f t="shared" si="39"/>
        <v>21</v>
      </c>
      <c r="I107" s="61">
        <f t="shared" si="39"/>
        <v>11.92</v>
      </c>
      <c r="J107" s="61">
        <f t="shared" si="39"/>
        <v>0</v>
      </c>
      <c r="K107" s="61">
        <f t="shared" si="39"/>
        <v>0</v>
      </c>
      <c r="L107" s="61">
        <f t="shared" si="39"/>
        <v>0</v>
      </c>
      <c r="M107" s="61">
        <f t="shared" si="39"/>
        <v>0</v>
      </c>
      <c r="N107" s="61">
        <f t="shared" si="39"/>
        <v>0</v>
      </c>
      <c r="O107" s="61">
        <f t="shared" si="39"/>
        <v>0</v>
      </c>
      <c r="P107" s="61">
        <f t="shared" si="39"/>
        <v>0</v>
      </c>
      <c r="Q107" s="61">
        <f t="shared" si="39"/>
        <v>0</v>
      </c>
      <c r="R107" s="61">
        <f t="shared" si="39"/>
        <v>0</v>
      </c>
      <c r="S107" s="61">
        <f t="shared" si="39"/>
        <v>0</v>
      </c>
      <c r="T107" s="61">
        <f t="shared" si="39"/>
        <v>0</v>
      </c>
      <c r="U107" s="61">
        <f t="shared" si="39"/>
        <v>0</v>
      </c>
      <c r="V107" s="61">
        <f t="shared" si="39"/>
        <v>0</v>
      </c>
      <c r="W107" s="61">
        <f t="shared" si="39"/>
        <v>0</v>
      </c>
      <c r="X107" s="61">
        <f t="shared" si="39"/>
        <v>0</v>
      </c>
      <c r="Y107" s="61">
        <f t="shared" si="39"/>
        <v>0</v>
      </c>
      <c r="Z107" s="61">
        <f t="shared" si="39"/>
        <v>0</v>
      </c>
      <c r="AA107" s="61">
        <f t="shared" si="39"/>
        <v>0</v>
      </c>
      <c r="AB107" s="61">
        <f t="shared" si="39"/>
        <v>0</v>
      </c>
      <c r="AC107" s="61">
        <f t="shared" si="39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13" t="s">
        <v>87</v>
      </c>
      <c r="B108" s="513"/>
      <c r="C108" s="513"/>
      <c r="D108" s="48"/>
      <c r="E108" s="48"/>
      <c r="F108" s="62">
        <f t="shared" ref="F108:AC108" si="40">F103+F107</f>
        <v>46.84</v>
      </c>
      <c r="G108" s="62">
        <f t="shared" si="40"/>
        <v>42.900000000000006</v>
      </c>
      <c r="H108" s="62">
        <f t="shared" si="40"/>
        <v>41.230000000000004</v>
      </c>
      <c r="I108" s="62">
        <f t="shared" si="40"/>
        <v>41.701000000000001</v>
      </c>
      <c r="J108" s="62">
        <f t="shared" si="40"/>
        <v>37.93</v>
      </c>
      <c r="K108" s="62">
        <f t="shared" si="40"/>
        <v>38.53</v>
      </c>
      <c r="L108" s="62">
        <f t="shared" si="40"/>
        <v>40.130000000000003</v>
      </c>
      <c r="M108" s="62">
        <f t="shared" si="40"/>
        <v>39.42</v>
      </c>
      <c r="N108" s="62">
        <f t="shared" si="40"/>
        <v>43.529999999999994</v>
      </c>
      <c r="O108" s="62">
        <f t="shared" si="40"/>
        <v>47.75</v>
      </c>
      <c r="P108" s="62">
        <f t="shared" si="40"/>
        <v>50.64</v>
      </c>
      <c r="Q108" s="62">
        <f t="shared" si="40"/>
        <v>50.51</v>
      </c>
      <c r="R108" s="62">
        <f t="shared" si="40"/>
        <v>49.99</v>
      </c>
      <c r="S108" s="62">
        <f>S103+S107</f>
        <v>50.04</v>
      </c>
      <c r="T108" s="62">
        <f>T103+T107</f>
        <v>51.15</v>
      </c>
      <c r="U108" s="62">
        <f t="shared" si="40"/>
        <v>49.490000000000009</v>
      </c>
      <c r="V108" s="62">
        <f t="shared" si="40"/>
        <v>51.52</v>
      </c>
      <c r="W108" s="62">
        <f>W103+W107</f>
        <v>52.21</v>
      </c>
      <c r="X108" s="62">
        <f t="shared" si="40"/>
        <v>53.849999999999994</v>
      </c>
      <c r="Y108" s="62">
        <f t="shared" si="40"/>
        <v>58.02</v>
      </c>
      <c r="Z108" s="62">
        <f t="shared" si="40"/>
        <v>55.470000000000006</v>
      </c>
      <c r="AA108" s="62">
        <f t="shared" si="40"/>
        <v>51.52</v>
      </c>
      <c r="AB108" s="62">
        <f t="shared" si="40"/>
        <v>48.199999999999996</v>
      </c>
      <c r="AC108" s="62">
        <f t="shared" si="40"/>
        <v>44.56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14" t="s">
        <v>88</v>
      </c>
      <c r="B109" s="514"/>
      <c r="C109" s="514"/>
      <c r="D109" s="52"/>
      <c r="E109" s="52"/>
      <c r="F109" s="63">
        <f t="shared" ref="F109:AC109" si="41">(COUNT(F13:F16))*7.2+(COUNT(F27:F28)*4.9)+(COUNT(F19:F21)*4.5)-F91-F93</f>
        <v>11.700000000000005</v>
      </c>
      <c r="G109" s="63">
        <f t="shared" si="41"/>
        <v>8.5</v>
      </c>
      <c r="H109" s="63">
        <f t="shared" si="41"/>
        <v>8.1000000000000014</v>
      </c>
      <c r="I109" s="63">
        <f t="shared" si="41"/>
        <v>7.5000000000000009</v>
      </c>
      <c r="J109" s="63">
        <f t="shared" si="41"/>
        <v>16.900000000000006</v>
      </c>
      <c r="K109" s="63">
        <f t="shared" si="41"/>
        <v>9.1000000000000032</v>
      </c>
      <c r="L109" s="63">
        <f t="shared" si="41"/>
        <v>8.1000000000000032</v>
      </c>
      <c r="M109" s="63">
        <f t="shared" si="41"/>
        <v>7.9000000000000021</v>
      </c>
      <c r="N109" s="63">
        <f t="shared" si="41"/>
        <v>12.400000000000006</v>
      </c>
      <c r="O109" s="63">
        <f t="shared" si="41"/>
        <v>8.2000000000000046</v>
      </c>
      <c r="P109" s="63">
        <f t="shared" si="41"/>
        <v>12.300000000000004</v>
      </c>
      <c r="Q109" s="63">
        <f t="shared" si="41"/>
        <v>12.900000000000006</v>
      </c>
      <c r="R109" s="63">
        <f t="shared" si="41"/>
        <v>8.1000000000000085</v>
      </c>
      <c r="S109" s="63">
        <f t="shared" si="41"/>
        <v>7.9000000000000092</v>
      </c>
      <c r="T109" s="63">
        <f t="shared" si="41"/>
        <v>3.9200000000000053</v>
      </c>
      <c r="U109" s="63">
        <f t="shared" si="41"/>
        <v>4.5400000000000045</v>
      </c>
      <c r="V109" s="63">
        <f t="shared" si="41"/>
        <v>11.800000000000008</v>
      </c>
      <c r="W109" s="63">
        <f t="shared" si="41"/>
        <v>11.090000000000003</v>
      </c>
      <c r="X109" s="63">
        <f t="shared" si="41"/>
        <v>10.970000000000008</v>
      </c>
      <c r="Y109" s="63">
        <f t="shared" si="41"/>
        <v>9.4400000000000084</v>
      </c>
      <c r="Z109" s="63">
        <f t="shared" si="41"/>
        <v>8.1300000000000061</v>
      </c>
      <c r="AA109" s="63">
        <f t="shared" si="41"/>
        <v>10.300000000000006</v>
      </c>
      <c r="AB109" s="63">
        <f t="shared" si="41"/>
        <v>13.500000000000004</v>
      </c>
      <c r="AC109" s="63">
        <f t="shared" si="41"/>
        <v>9.5000000000000071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15" t="s">
        <v>89</v>
      </c>
      <c r="B110" s="516"/>
      <c r="C110" s="517"/>
      <c r="D110" s="204"/>
      <c r="E110" s="204"/>
      <c r="F110" s="205">
        <f t="shared" ref="F110:P110" si="42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7.2</v>
      </c>
      <c r="G110" s="205">
        <f t="shared" si="42"/>
        <v>4.1000000000000005</v>
      </c>
      <c r="H110" s="205">
        <f t="shared" si="42"/>
        <v>4.3000000000000007</v>
      </c>
      <c r="I110" s="205">
        <f t="shared" si="42"/>
        <v>3.1000000000000005</v>
      </c>
      <c r="J110" s="205">
        <f t="shared" si="42"/>
        <v>12.5</v>
      </c>
      <c r="K110" s="205">
        <f t="shared" si="42"/>
        <v>4.7000000000000011</v>
      </c>
      <c r="L110" s="205">
        <f t="shared" si="42"/>
        <v>3.2000000000000011</v>
      </c>
      <c r="M110" s="205">
        <f t="shared" si="42"/>
        <v>3</v>
      </c>
      <c r="N110" s="205">
        <f t="shared" si="42"/>
        <v>7.2000000000000037</v>
      </c>
      <c r="O110" s="205">
        <f t="shared" si="42"/>
        <v>3.0000000000000009</v>
      </c>
      <c r="P110" s="205">
        <f t="shared" si="42"/>
        <v>3.7000000000000011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5.3000000000000025</v>
      </c>
      <c r="R110" s="205">
        <f t="shared" ref="R110:AC110" si="43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3.5000000000000044</v>
      </c>
      <c r="S110" s="205">
        <f t="shared" si="43"/>
        <v>3.3000000000000052</v>
      </c>
      <c r="T110" s="205">
        <f t="shared" si="43"/>
        <v>-0.67999999999999883</v>
      </c>
      <c r="U110" s="205">
        <f t="shared" si="43"/>
        <v>-5.9999999999999609E-2</v>
      </c>
      <c r="V110" s="205">
        <f t="shared" si="43"/>
        <v>3.4000000000000039</v>
      </c>
      <c r="W110" s="205">
        <f t="shared" si="43"/>
        <v>2.6899999999999995</v>
      </c>
      <c r="X110" s="205">
        <f t="shared" si="43"/>
        <v>2.5700000000000038</v>
      </c>
      <c r="Y110" s="205">
        <f t="shared" si="43"/>
        <v>1.0400000000000045</v>
      </c>
      <c r="Z110" s="205">
        <f t="shared" si="43"/>
        <v>-0.2699999999999978</v>
      </c>
      <c r="AA110" s="205">
        <f t="shared" si="43"/>
        <v>3.5000000000000018</v>
      </c>
      <c r="AB110" s="205">
        <f t="shared" si="43"/>
        <v>6.6999999999999993</v>
      </c>
      <c r="AC110" s="205">
        <f t="shared" si="43"/>
        <v>6.7000000000000028</v>
      </c>
      <c r="AD110" s="26"/>
      <c r="AE110" s="26"/>
      <c r="AF110" s="466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10" t="s">
        <v>91</v>
      </c>
      <c r="B111" s="510"/>
      <c r="C111" s="510"/>
      <c r="D111" s="60"/>
      <c r="E111" s="72"/>
      <c r="F111" s="74">
        <v>60.15</v>
      </c>
      <c r="G111" s="74">
        <v>60.4</v>
      </c>
      <c r="H111" s="74">
        <v>60.47</v>
      </c>
      <c r="I111" s="74">
        <v>60.63</v>
      </c>
      <c r="J111" s="74">
        <v>60.21</v>
      </c>
      <c r="K111" s="74">
        <v>60.21</v>
      </c>
      <c r="L111" s="74">
        <v>60.19</v>
      </c>
      <c r="M111" s="74">
        <v>60.12</v>
      </c>
      <c r="N111" s="74">
        <v>60.13</v>
      </c>
      <c r="O111" s="74">
        <v>60.11</v>
      </c>
      <c r="P111" s="83">
        <v>60.15</v>
      </c>
      <c r="Q111" s="83">
        <v>60.23</v>
      </c>
      <c r="R111" s="83">
        <v>60.17</v>
      </c>
      <c r="S111" s="83">
        <v>60.2</v>
      </c>
      <c r="T111" s="83">
        <v>60.2</v>
      </c>
      <c r="U111" s="74">
        <v>60.17</v>
      </c>
      <c r="V111" s="74">
        <v>60.12</v>
      </c>
      <c r="W111" s="74">
        <v>60.12</v>
      </c>
      <c r="X111" s="74">
        <v>60.09</v>
      </c>
      <c r="Y111" s="74">
        <v>60.07</v>
      </c>
      <c r="Z111" s="74">
        <v>60.15</v>
      </c>
      <c r="AA111" s="74">
        <v>60.16</v>
      </c>
      <c r="AB111" s="74">
        <v>60.14</v>
      </c>
      <c r="AC111" s="74">
        <v>60.05</v>
      </c>
      <c r="AD111" s="26"/>
      <c r="AE111" s="26"/>
      <c r="AF111" s="467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18" t="s">
        <v>93</v>
      </c>
      <c r="B112" s="519"/>
      <c r="C112" s="520"/>
      <c r="D112" s="60"/>
      <c r="E112" s="72"/>
      <c r="F112" s="74"/>
      <c r="G112" s="74"/>
      <c r="H112" s="74"/>
      <c r="I112" s="74"/>
      <c r="J112" s="74"/>
      <c r="K112" s="74"/>
      <c r="L112" s="74"/>
      <c r="M112" s="74"/>
      <c r="N112" s="74"/>
      <c r="O112" s="74"/>
      <c r="P112" s="74"/>
      <c r="Q112" s="74"/>
      <c r="R112" s="74"/>
      <c r="S112" s="74"/>
      <c r="T112" s="74"/>
      <c r="U112" s="74"/>
      <c r="V112" s="74"/>
      <c r="W112" s="74"/>
      <c r="X112" s="74"/>
      <c r="Y112" s="74"/>
      <c r="Z112" s="74"/>
      <c r="AA112" s="74"/>
      <c r="AB112" s="74"/>
      <c r="AC112" s="74"/>
      <c r="AD112" s="26"/>
      <c r="AE112" s="26"/>
      <c r="AF112" s="469"/>
      <c r="AG112" s="472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18" t="s">
        <v>95</v>
      </c>
      <c r="B113" s="519"/>
      <c r="C113" s="520"/>
      <c r="D113" s="60"/>
      <c r="E113" s="74"/>
      <c r="F113" s="74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10" t="s">
        <v>96</v>
      </c>
      <c r="B114" s="510"/>
      <c r="C114" s="510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 t="s">
        <v>101</v>
      </c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10" t="s">
        <v>97</v>
      </c>
      <c r="B115" s="510"/>
      <c r="C115" s="510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499" t="s">
        <v>98</v>
      </c>
      <c r="B117" s="499"/>
      <c r="C117" s="499"/>
      <c r="D117" s="499"/>
      <c r="E117" s="499"/>
      <c r="F117" s="499"/>
      <c r="G117" s="499"/>
      <c r="H117" s="499"/>
      <c r="I117" s="499"/>
      <c r="J117" s="499"/>
      <c r="K117" s="499"/>
      <c r="L117" s="499"/>
      <c r="M117" s="499"/>
      <c r="N117" s="499"/>
      <c r="O117" s="499"/>
      <c r="P117" s="499"/>
      <c r="Q117" s="499"/>
      <c r="R117" s="499"/>
      <c r="S117" s="499"/>
      <c r="T117" s="499"/>
      <c r="U117" s="499"/>
      <c r="V117" s="499"/>
      <c r="W117" s="499"/>
      <c r="X117" s="499"/>
      <c r="Y117" s="499"/>
      <c r="Z117" s="499"/>
      <c r="AA117" s="499"/>
      <c r="AB117" s="499"/>
      <c r="AC117" s="499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00" t="s">
        <v>75</v>
      </c>
      <c r="B119" s="501"/>
      <c r="C119" s="502"/>
      <c r="D119" s="49"/>
      <c r="E119" s="49"/>
      <c r="F119" s="506" t="s">
        <v>76</v>
      </c>
      <c r="G119" s="506"/>
      <c r="H119" s="506"/>
      <c r="I119" s="506"/>
      <c r="J119" s="506"/>
      <c r="K119" s="506"/>
      <c r="L119" s="506"/>
      <c r="M119" s="506"/>
      <c r="N119" s="506"/>
      <c r="O119" s="506"/>
      <c r="P119" s="506"/>
      <c r="Q119" s="506"/>
      <c r="R119" s="506"/>
      <c r="S119" s="506"/>
      <c r="T119" s="506"/>
      <c r="U119" s="506"/>
      <c r="V119" s="506"/>
      <c r="W119" s="506"/>
      <c r="X119" s="506"/>
      <c r="Y119" s="506"/>
      <c r="Z119" s="506"/>
      <c r="AA119" s="506"/>
      <c r="AB119" s="506"/>
      <c r="AC119" s="506"/>
      <c r="AD119" s="5"/>
      <c r="AE119" s="5"/>
      <c r="AF119" s="5"/>
      <c r="AG119" s="5"/>
      <c r="AH119" s="5"/>
    </row>
    <row r="120" spans="1:124" ht="15.6" hidden="1" customHeight="1">
      <c r="A120" s="503"/>
      <c r="B120" s="504"/>
      <c r="C120" s="505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07" t="s">
        <v>27</v>
      </c>
      <c r="B121" s="508"/>
      <c r="C121" s="509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07" t="s">
        <v>78</v>
      </c>
      <c r="B122" s="508"/>
      <c r="C122" s="509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07" t="s">
        <v>29</v>
      </c>
      <c r="B123" s="508"/>
      <c r="C123" s="509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07" t="s">
        <v>32</v>
      </c>
      <c r="B124" s="508"/>
      <c r="C124" s="509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07" t="s">
        <v>33</v>
      </c>
      <c r="B125" s="508"/>
      <c r="C125" s="509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07" t="s">
        <v>55</v>
      </c>
      <c r="B126" s="508"/>
      <c r="C126" s="509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07" t="s">
        <v>59</v>
      </c>
      <c r="B127" s="508"/>
      <c r="C127" s="509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07" t="s">
        <v>69</v>
      </c>
      <c r="B128" s="508"/>
      <c r="C128" s="509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496" t="s">
        <v>99</v>
      </c>
      <c r="B129" s="497"/>
      <c r="C129" s="498"/>
      <c r="D129" s="51"/>
      <c r="E129" s="51"/>
      <c r="F129" s="44">
        <f>SUM(F121:F128)</f>
        <v>0</v>
      </c>
      <c r="G129" s="44">
        <f t="shared" ref="G129:AB129" si="44">SUM(G121:G128)</f>
        <v>0</v>
      </c>
      <c r="H129" s="44">
        <f t="shared" si="44"/>
        <v>0</v>
      </c>
      <c r="I129" s="44">
        <f t="shared" si="44"/>
        <v>0</v>
      </c>
      <c r="J129" s="44">
        <f t="shared" si="44"/>
        <v>0</v>
      </c>
      <c r="K129" s="44">
        <f t="shared" si="44"/>
        <v>0</v>
      </c>
      <c r="L129" s="44">
        <f t="shared" si="44"/>
        <v>0</v>
      </c>
      <c r="M129" s="44">
        <f t="shared" si="44"/>
        <v>0</v>
      </c>
      <c r="N129" s="44">
        <f t="shared" si="44"/>
        <v>0</v>
      </c>
      <c r="O129" s="44">
        <f t="shared" si="44"/>
        <v>0</v>
      </c>
      <c r="P129" s="44">
        <f t="shared" si="44"/>
        <v>0</v>
      </c>
      <c r="Q129" s="44">
        <f t="shared" si="44"/>
        <v>0</v>
      </c>
      <c r="R129" s="44">
        <f t="shared" si="44"/>
        <v>0</v>
      </c>
      <c r="S129" s="44">
        <f t="shared" si="44"/>
        <v>0</v>
      </c>
      <c r="T129" s="44">
        <f t="shared" si="44"/>
        <v>0</v>
      </c>
      <c r="U129" s="44">
        <f t="shared" si="44"/>
        <v>0</v>
      </c>
      <c r="V129" s="44">
        <f t="shared" si="44"/>
        <v>0</v>
      </c>
      <c r="W129" s="44">
        <f t="shared" si="44"/>
        <v>0</v>
      </c>
      <c r="X129" s="44">
        <f t="shared" si="44"/>
        <v>0</v>
      </c>
      <c r="Y129" s="44">
        <f t="shared" si="44"/>
        <v>0</v>
      </c>
      <c r="Z129" s="44">
        <f t="shared" si="44"/>
        <v>0</v>
      </c>
      <c r="AA129" s="44">
        <f t="shared" si="44"/>
        <v>0</v>
      </c>
      <c r="AB129" s="44">
        <f t="shared" si="44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128:C128"/>
    <mergeCell ref="A129:C129"/>
    <mergeCell ref="A122:C122"/>
    <mergeCell ref="A123:C123"/>
    <mergeCell ref="A124:C124"/>
    <mergeCell ref="A125:C125"/>
    <mergeCell ref="A126:C126"/>
    <mergeCell ref="A127:C127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G111:AC111">
    <cfRule type="cellIs" dxfId="2119" priority="292" operator="greaterThan">
      <formula>60.3</formula>
    </cfRule>
  </conditionalFormatting>
  <conditionalFormatting sqref="F111">
    <cfRule type="cellIs" dxfId="2118" priority="291" operator="greaterThan">
      <formula>60.3</formula>
    </cfRule>
  </conditionalFormatting>
  <conditionalFormatting sqref="G67:AC75">
    <cfRule type="cellIs" dxfId="2117" priority="283" operator="equal">
      <formula>"PMS"</formula>
    </cfRule>
    <cfRule type="containsText" dxfId="2116" priority="284" operator="containsText" text="CMS">
      <formula>NOT(ISERROR(SEARCH("CMS",G67)))</formula>
    </cfRule>
    <cfRule type="cellIs" dxfId="2115" priority="285" operator="equal">
      <formula>0</formula>
    </cfRule>
    <cfRule type="cellIs" dxfId="2114" priority="286" operator="greaterThan">
      <formula>0</formula>
    </cfRule>
    <cfRule type="cellIs" dxfId="2113" priority="287" operator="equal">
      <formula>"PMS"</formula>
    </cfRule>
    <cfRule type="containsText" dxfId="2112" priority="288" operator="containsText" text="CMS">
      <formula>NOT(ISERROR(SEARCH("CMS",G67)))</formula>
    </cfRule>
    <cfRule type="cellIs" dxfId="2111" priority="289" operator="equal">
      <formula>0</formula>
    </cfRule>
    <cfRule type="cellIs" dxfId="2110" priority="290" operator="greaterThan">
      <formula>0</formula>
    </cfRule>
  </conditionalFormatting>
  <conditionalFormatting sqref="G67:AC75">
    <cfRule type="cellIs" dxfId="2109" priority="279" operator="equal">
      <formula>"PMS"</formula>
    </cfRule>
    <cfRule type="containsText" dxfId="2108" priority="280" operator="containsText" text="CMS">
      <formula>NOT(ISERROR(SEARCH("CMS",G67)))</formula>
    </cfRule>
    <cfRule type="cellIs" dxfId="2107" priority="281" operator="equal">
      <formula>0</formula>
    </cfRule>
    <cfRule type="cellIs" dxfId="2106" priority="282" operator="greaterThan">
      <formula>0</formula>
    </cfRule>
  </conditionalFormatting>
  <conditionalFormatting sqref="G82:AC82">
    <cfRule type="cellIs" dxfId="2105" priority="271" operator="equal">
      <formula>"PMS"</formula>
    </cfRule>
    <cfRule type="containsText" dxfId="2104" priority="272" operator="containsText" text="CMS">
      <formula>NOT(ISERROR(SEARCH("CMS",G82)))</formula>
    </cfRule>
    <cfRule type="cellIs" dxfId="2103" priority="273" operator="equal">
      <formula>0</formula>
    </cfRule>
    <cfRule type="cellIs" dxfId="2102" priority="274" operator="greaterThan">
      <formula>0</formula>
    </cfRule>
    <cfRule type="cellIs" dxfId="2101" priority="275" operator="equal">
      <formula>"PMS"</formula>
    </cfRule>
    <cfRule type="containsText" dxfId="2100" priority="276" operator="containsText" text="CMS">
      <formula>NOT(ISERROR(SEARCH("CMS",G82)))</formula>
    </cfRule>
    <cfRule type="cellIs" dxfId="2099" priority="277" operator="equal">
      <formula>0</formula>
    </cfRule>
    <cfRule type="cellIs" dxfId="2098" priority="278" operator="greaterThan">
      <formula>0</formula>
    </cfRule>
  </conditionalFormatting>
  <conditionalFormatting sqref="G82:AC82">
    <cfRule type="cellIs" dxfId="2097" priority="267" operator="equal">
      <formula>"PMS"</formula>
    </cfRule>
    <cfRule type="containsText" dxfId="2096" priority="268" operator="containsText" text="CMS">
      <formula>NOT(ISERROR(SEARCH("CMS",G82)))</formula>
    </cfRule>
    <cfRule type="cellIs" dxfId="2095" priority="269" operator="equal">
      <formula>0</formula>
    </cfRule>
    <cfRule type="cellIs" dxfId="2094" priority="270" operator="greaterThan">
      <formula>0</formula>
    </cfRule>
  </conditionalFormatting>
  <conditionalFormatting sqref="E113:AC113 F112:N112">
    <cfRule type="cellIs" dxfId="2093" priority="266" operator="greaterThan">
      <formula>60.3</formula>
    </cfRule>
  </conditionalFormatting>
  <conditionalFormatting sqref="O112:AC112">
    <cfRule type="cellIs" dxfId="2092" priority="265" operator="greaterThan">
      <formula>60.3</formula>
    </cfRule>
  </conditionalFormatting>
  <conditionalFormatting sqref="G13:AC16">
    <cfRule type="cellIs" dxfId="2091" priority="257" operator="equal">
      <formula>"PMS"</formula>
    </cfRule>
    <cfRule type="containsText" dxfId="2090" priority="258" operator="containsText" text="CMS">
      <formula>NOT(ISERROR(SEARCH("CMS",G13)))</formula>
    </cfRule>
    <cfRule type="cellIs" dxfId="2089" priority="259" operator="equal">
      <formula>0</formula>
    </cfRule>
    <cfRule type="cellIs" dxfId="2088" priority="260" operator="greaterThan">
      <formula>0</formula>
    </cfRule>
    <cfRule type="cellIs" dxfId="2087" priority="261" operator="equal">
      <formula>"PMS"</formula>
    </cfRule>
    <cfRule type="containsText" dxfId="2086" priority="262" operator="containsText" text="CMS">
      <formula>NOT(ISERROR(SEARCH("CMS",G13)))</formula>
    </cfRule>
    <cfRule type="cellIs" dxfId="2085" priority="263" operator="equal">
      <formula>0</formula>
    </cfRule>
    <cfRule type="cellIs" dxfId="2084" priority="264" operator="greaterThan">
      <formula>0</formula>
    </cfRule>
  </conditionalFormatting>
  <conditionalFormatting sqref="G13:AC16">
    <cfRule type="cellIs" dxfId="2083" priority="253" operator="equal">
      <formula>"PMS"</formula>
    </cfRule>
    <cfRule type="containsText" dxfId="2082" priority="254" operator="containsText" text="CMS">
      <formula>NOT(ISERROR(SEARCH("CMS",G13)))</formula>
    </cfRule>
    <cfRule type="cellIs" dxfId="2081" priority="255" operator="equal">
      <formula>0</formula>
    </cfRule>
    <cfRule type="cellIs" dxfId="2080" priority="256" operator="greaterThan">
      <formula>0</formula>
    </cfRule>
  </conditionalFormatting>
  <conditionalFormatting sqref="H24:K24 AC27 G19:AC21 Z27:AA27 Z28:AC29 G27:Y29 H33:AC33 G30:AC30 O24:AC24">
    <cfRule type="cellIs" dxfId="2079" priority="245" operator="equal">
      <formula>"PMS"</formula>
    </cfRule>
    <cfRule type="containsText" dxfId="2078" priority="246" operator="containsText" text="CMS">
      <formula>NOT(ISERROR(SEARCH("CMS",G19)))</formula>
    </cfRule>
    <cfRule type="cellIs" dxfId="2077" priority="247" operator="equal">
      <formula>0</formula>
    </cfRule>
    <cfRule type="cellIs" dxfId="2076" priority="248" operator="greaterThan">
      <formula>0</formula>
    </cfRule>
    <cfRule type="cellIs" dxfId="2075" priority="249" operator="equal">
      <formula>"PMS"</formula>
    </cfRule>
    <cfRule type="containsText" dxfId="2074" priority="250" operator="containsText" text="CMS">
      <formula>NOT(ISERROR(SEARCH("CMS",G19)))</formula>
    </cfRule>
    <cfRule type="cellIs" dxfId="2073" priority="251" operator="equal">
      <formula>0</formula>
    </cfRule>
    <cfRule type="cellIs" dxfId="2072" priority="252" operator="greaterThan">
      <formula>0</formula>
    </cfRule>
  </conditionalFormatting>
  <conditionalFormatting sqref="H24:K24 AC27 G19:AC21 Z27:AA27 Z28:AC29 G27:Y29 H33:AC33 G30:AC30 O24:AC24">
    <cfRule type="cellIs" dxfId="2071" priority="241" operator="equal">
      <formula>"PMS"</formula>
    </cfRule>
    <cfRule type="containsText" dxfId="2070" priority="242" operator="containsText" text="CMS">
      <formula>NOT(ISERROR(SEARCH("CMS",G19)))</formula>
    </cfRule>
    <cfRule type="cellIs" dxfId="2069" priority="243" operator="equal">
      <formula>0</formula>
    </cfRule>
    <cfRule type="cellIs" dxfId="2068" priority="244" operator="greaterThan">
      <formula>0</formula>
    </cfRule>
  </conditionalFormatting>
  <conditionalFormatting sqref="V42:X42 G36:AC38 G43:X43 G39:X41 Y39:AC43 G44:AC49 G57:AC59 H56:AC56 G52:AC55 H50:X50 G51:X51 Y50:AC51">
    <cfRule type="cellIs" dxfId="2067" priority="233" operator="equal">
      <formula>"PMS"</formula>
    </cfRule>
    <cfRule type="containsText" dxfId="2066" priority="234" operator="containsText" text="CMS">
      <formula>NOT(ISERROR(SEARCH("CMS",G36)))</formula>
    </cfRule>
    <cfRule type="cellIs" dxfId="2065" priority="235" operator="equal">
      <formula>0</formula>
    </cfRule>
    <cfRule type="cellIs" dxfId="2064" priority="236" operator="greaterThan">
      <formula>0</formula>
    </cfRule>
    <cfRule type="cellIs" dxfId="2063" priority="237" operator="equal">
      <formula>"PMS"</formula>
    </cfRule>
    <cfRule type="containsText" dxfId="2062" priority="238" operator="containsText" text="CMS">
      <formula>NOT(ISERROR(SEARCH("CMS",G36)))</formula>
    </cfRule>
    <cfRule type="cellIs" dxfId="2061" priority="239" operator="equal">
      <formula>0</formula>
    </cfRule>
    <cfRule type="cellIs" dxfId="2060" priority="240" operator="greaterThan">
      <formula>0</formula>
    </cfRule>
  </conditionalFormatting>
  <conditionalFormatting sqref="V42:X42 G36:AC38 G43:X43 G39:X41 Y39:AC43 G44:AC49 G57:AC59 H56:AC56 G52:AC55 H50:X50 G51:X51 Y50:AC51">
    <cfRule type="cellIs" dxfId="2059" priority="229" operator="equal">
      <formula>"PMS"</formula>
    </cfRule>
    <cfRule type="containsText" dxfId="2058" priority="230" operator="containsText" text="CMS">
      <formula>NOT(ISERROR(SEARCH("CMS",G36)))</formula>
    </cfRule>
    <cfRule type="cellIs" dxfId="2057" priority="231" operator="equal">
      <formula>0</formula>
    </cfRule>
    <cfRule type="cellIs" dxfId="2056" priority="232" operator="greaterThan">
      <formula>0</formula>
    </cfRule>
  </conditionalFormatting>
  <conditionalFormatting sqref="G62:AC64 G78:AC79">
    <cfRule type="cellIs" dxfId="2055" priority="221" operator="equal">
      <formula>"PMS"</formula>
    </cfRule>
    <cfRule type="containsText" dxfId="2054" priority="222" operator="containsText" text="CMS">
      <formula>NOT(ISERROR(SEARCH("CMS",G62)))</formula>
    </cfRule>
    <cfRule type="cellIs" dxfId="2053" priority="223" operator="equal">
      <formula>0</formula>
    </cfRule>
    <cfRule type="cellIs" dxfId="2052" priority="224" operator="greaterThan">
      <formula>0</formula>
    </cfRule>
    <cfRule type="cellIs" dxfId="2051" priority="225" operator="equal">
      <formula>"PMS"</formula>
    </cfRule>
    <cfRule type="containsText" dxfId="2050" priority="226" operator="containsText" text="CMS">
      <formula>NOT(ISERROR(SEARCH("CMS",G62)))</formula>
    </cfRule>
    <cfRule type="cellIs" dxfId="2049" priority="227" operator="equal">
      <formula>0</formula>
    </cfRule>
    <cfRule type="cellIs" dxfId="2048" priority="228" operator="greaterThan">
      <formula>0</formula>
    </cfRule>
  </conditionalFormatting>
  <conditionalFormatting sqref="G62:AC64 G78:AC79">
    <cfRule type="cellIs" dxfId="2047" priority="217" operator="equal">
      <formula>"PMS"</formula>
    </cfRule>
    <cfRule type="containsText" dxfId="2046" priority="218" operator="containsText" text="CMS">
      <formula>NOT(ISERROR(SEARCH("CMS",G62)))</formula>
    </cfRule>
    <cfRule type="cellIs" dxfId="2045" priority="219" operator="equal">
      <formula>0</formula>
    </cfRule>
    <cfRule type="cellIs" dxfId="2044" priority="220" operator="greaterThan">
      <formula>0</formula>
    </cfRule>
  </conditionalFormatting>
  <conditionalFormatting sqref="G42:P42 R42:U42">
    <cfRule type="cellIs" dxfId="2043" priority="209" operator="equal">
      <formula>"PMS"</formula>
    </cfRule>
    <cfRule type="containsText" dxfId="2042" priority="210" operator="containsText" text="CMS">
      <formula>NOT(ISERROR(SEARCH("CMS",G42)))</formula>
    </cfRule>
    <cfRule type="cellIs" dxfId="2041" priority="211" operator="equal">
      <formula>0</formula>
    </cfRule>
    <cfRule type="cellIs" dxfId="2040" priority="212" operator="greaterThan">
      <formula>0</formula>
    </cfRule>
    <cfRule type="cellIs" dxfId="2039" priority="213" operator="equal">
      <formula>"PMS"</formula>
    </cfRule>
    <cfRule type="containsText" dxfId="2038" priority="214" operator="containsText" text="CMS">
      <formula>NOT(ISERROR(SEARCH("CMS",G42)))</formula>
    </cfRule>
    <cfRule type="cellIs" dxfId="2037" priority="215" operator="equal">
      <formula>0</formula>
    </cfRule>
    <cfRule type="cellIs" dxfId="2036" priority="216" operator="greaterThan">
      <formula>0</formula>
    </cfRule>
  </conditionalFormatting>
  <conditionalFormatting sqref="G42:P42 R42:U42">
    <cfRule type="cellIs" dxfId="2035" priority="205" operator="equal">
      <formula>"PMS"</formula>
    </cfRule>
    <cfRule type="containsText" dxfId="2034" priority="206" operator="containsText" text="CMS">
      <formula>NOT(ISERROR(SEARCH("CMS",G42)))</formula>
    </cfRule>
    <cfRule type="cellIs" dxfId="2033" priority="207" operator="equal">
      <formula>0</formula>
    </cfRule>
    <cfRule type="cellIs" dxfId="2032" priority="208" operator="greaterThan">
      <formula>0</formula>
    </cfRule>
  </conditionalFormatting>
  <conditionalFormatting sqref="G33">
    <cfRule type="cellIs" dxfId="2031" priority="197" operator="equal">
      <formula>"PMS"</formula>
    </cfRule>
    <cfRule type="containsText" dxfId="2030" priority="198" operator="containsText" text="CMS">
      <formula>NOT(ISERROR(SEARCH("CMS",G33)))</formula>
    </cfRule>
    <cfRule type="cellIs" dxfId="2029" priority="199" operator="equal">
      <formula>0</formula>
    </cfRule>
    <cfRule type="cellIs" dxfId="2028" priority="200" operator="greaterThan">
      <formula>0</formula>
    </cfRule>
    <cfRule type="cellIs" dxfId="2027" priority="201" operator="equal">
      <formula>"PMS"</formula>
    </cfRule>
    <cfRule type="containsText" dxfId="2026" priority="202" operator="containsText" text="CMS">
      <formula>NOT(ISERROR(SEARCH("CMS",G33)))</formula>
    </cfRule>
    <cfRule type="cellIs" dxfId="2025" priority="203" operator="equal">
      <formula>0</formula>
    </cfRule>
    <cfRule type="cellIs" dxfId="2024" priority="204" operator="greaterThan">
      <formula>0</formula>
    </cfRule>
  </conditionalFormatting>
  <conditionalFormatting sqref="G33">
    <cfRule type="cellIs" dxfId="2023" priority="193" operator="equal">
      <formula>"PMS"</formula>
    </cfRule>
    <cfRule type="containsText" dxfId="2022" priority="194" operator="containsText" text="CMS">
      <formula>NOT(ISERROR(SEARCH("CMS",G33)))</formula>
    </cfRule>
    <cfRule type="cellIs" dxfId="2021" priority="195" operator="equal">
      <formula>0</formula>
    </cfRule>
    <cfRule type="cellIs" dxfId="2020" priority="196" operator="greaterThan">
      <formula>0</formula>
    </cfRule>
  </conditionalFormatting>
  <conditionalFormatting sqref="G24">
    <cfRule type="cellIs" dxfId="2019" priority="185" operator="equal">
      <formula>"PMS"</formula>
    </cfRule>
    <cfRule type="containsText" dxfId="2018" priority="186" operator="containsText" text="CMS">
      <formula>NOT(ISERROR(SEARCH("CMS",G24)))</formula>
    </cfRule>
    <cfRule type="cellIs" dxfId="2017" priority="187" operator="equal">
      <formula>0</formula>
    </cfRule>
    <cfRule type="cellIs" dxfId="2016" priority="188" operator="greaterThan">
      <formula>0</formula>
    </cfRule>
    <cfRule type="cellIs" dxfId="2015" priority="189" operator="equal">
      <formula>"PMS"</formula>
    </cfRule>
    <cfRule type="containsText" dxfId="2014" priority="190" operator="containsText" text="CMS">
      <formula>NOT(ISERROR(SEARCH("CMS",G24)))</formula>
    </cfRule>
    <cfRule type="cellIs" dxfId="2013" priority="191" operator="equal">
      <formula>0</formula>
    </cfRule>
    <cfRule type="cellIs" dxfId="2012" priority="192" operator="greaterThan">
      <formula>0</formula>
    </cfRule>
  </conditionalFormatting>
  <conditionalFormatting sqref="G24">
    <cfRule type="cellIs" dxfId="2011" priority="181" operator="equal">
      <formula>"PMS"</formula>
    </cfRule>
    <cfRule type="containsText" dxfId="2010" priority="182" operator="containsText" text="CMS">
      <formula>NOT(ISERROR(SEARCH("CMS",G24)))</formula>
    </cfRule>
    <cfRule type="cellIs" dxfId="2009" priority="183" operator="equal">
      <formula>0</formula>
    </cfRule>
    <cfRule type="cellIs" dxfId="2008" priority="184" operator="greaterThan">
      <formula>0</formula>
    </cfRule>
  </conditionalFormatting>
  <conditionalFormatting sqref="AB27">
    <cfRule type="cellIs" dxfId="2007" priority="173" operator="equal">
      <formula>"PMS"</formula>
    </cfRule>
    <cfRule type="containsText" dxfId="2006" priority="174" operator="containsText" text="CMS">
      <formula>NOT(ISERROR(SEARCH("CMS",AB27)))</formula>
    </cfRule>
    <cfRule type="cellIs" dxfId="2005" priority="175" operator="equal">
      <formula>0</formula>
    </cfRule>
    <cfRule type="cellIs" dxfId="2004" priority="176" operator="greaterThan">
      <formula>0</formula>
    </cfRule>
    <cfRule type="cellIs" dxfId="2003" priority="177" operator="equal">
      <formula>"PMS"</formula>
    </cfRule>
    <cfRule type="containsText" dxfId="2002" priority="178" operator="containsText" text="CMS">
      <formula>NOT(ISERROR(SEARCH("CMS",AB27)))</formula>
    </cfRule>
    <cfRule type="cellIs" dxfId="2001" priority="179" operator="equal">
      <formula>0</formula>
    </cfRule>
    <cfRule type="cellIs" dxfId="2000" priority="180" operator="greaterThan">
      <formula>0</formula>
    </cfRule>
  </conditionalFormatting>
  <conditionalFormatting sqref="AB27">
    <cfRule type="cellIs" dxfId="1999" priority="169" operator="equal">
      <formula>"PMS"</formula>
    </cfRule>
    <cfRule type="containsText" dxfId="1998" priority="170" operator="containsText" text="CMS">
      <formula>NOT(ISERROR(SEARCH("CMS",AB27)))</formula>
    </cfRule>
    <cfRule type="cellIs" dxfId="1997" priority="171" operator="equal">
      <formula>0</formula>
    </cfRule>
    <cfRule type="cellIs" dxfId="1996" priority="172" operator="greaterThan">
      <formula>0</formula>
    </cfRule>
  </conditionalFormatting>
  <conditionalFormatting sqref="Q42">
    <cfRule type="cellIs" dxfId="1995" priority="161" operator="equal">
      <formula>"PMS"</formula>
    </cfRule>
    <cfRule type="containsText" dxfId="1994" priority="162" operator="containsText" text="CMS">
      <formula>NOT(ISERROR(SEARCH("CMS",Q42)))</formula>
    </cfRule>
    <cfRule type="cellIs" dxfId="1993" priority="163" operator="equal">
      <formula>0</formula>
    </cfRule>
    <cfRule type="cellIs" dxfId="1992" priority="164" operator="greaterThan">
      <formula>0</formula>
    </cfRule>
    <cfRule type="cellIs" dxfId="1991" priority="165" operator="equal">
      <formula>"PMS"</formula>
    </cfRule>
    <cfRule type="containsText" dxfId="1990" priority="166" operator="containsText" text="CMS">
      <formula>NOT(ISERROR(SEARCH("CMS",Q42)))</formula>
    </cfRule>
    <cfRule type="cellIs" dxfId="1989" priority="167" operator="equal">
      <formula>0</formula>
    </cfRule>
    <cfRule type="cellIs" dxfId="1988" priority="168" operator="greaterThan">
      <formula>0</formula>
    </cfRule>
  </conditionalFormatting>
  <conditionalFormatting sqref="Q42">
    <cfRule type="cellIs" dxfId="1987" priority="157" operator="equal">
      <formula>"PMS"</formula>
    </cfRule>
    <cfRule type="containsText" dxfId="1986" priority="158" operator="containsText" text="CMS">
      <formula>NOT(ISERROR(SEARCH("CMS",Q42)))</formula>
    </cfRule>
    <cfRule type="cellIs" dxfId="1985" priority="159" operator="equal">
      <formula>0</formula>
    </cfRule>
    <cfRule type="cellIs" dxfId="1984" priority="160" operator="greaterThan">
      <formula>0</formula>
    </cfRule>
  </conditionalFormatting>
  <conditionalFormatting sqref="F67:F75">
    <cfRule type="cellIs" dxfId="1983" priority="77" operator="equal">
      <formula>"PMS"</formula>
    </cfRule>
    <cfRule type="containsText" dxfId="1982" priority="78" operator="containsText" text="CMS">
      <formula>NOT(ISERROR(SEARCH("CMS",F67)))</formula>
    </cfRule>
    <cfRule type="cellIs" dxfId="1981" priority="79" operator="equal">
      <formula>0</formula>
    </cfRule>
    <cfRule type="cellIs" dxfId="1980" priority="80" operator="greaterThan">
      <formula>0</formula>
    </cfRule>
    <cfRule type="cellIs" dxfId="1979" priority="81" operator="equal">
      <formula>"PMS"</formula>
    </cfRule>
    <cfRule type="containsText" dxfId="1978" priority="82" operator="containsText" text="CMS">
      <formula>NOT(ISERROR(SEARCH("CMS",F67)))</formula>
    </cfRule>
    <cfRule type="cellIs" dxfId="1977" priority="83" operator="equal">
      <formula>0</formula>
    </cfRule>
    <cfRule type="cellIs" dxfId="1976" priority="84" operator="greaterThan">
      <formula>0</formula>
    </cfRule>
  </conditionalFormatting>
  <conditionalFormatting sqref="F67:F75">
    <cfRule type="cellIs" dxfId="1975" priority="73" operator="equal">
      <formula>"PMS"</formula>
    </cfRule>
    <cfRule type="containsText" dxfId="1974" priority="74" operator="containsText" text="CMS">
      <formula>NOT(ISERROR(SEARCH("CMS",F67)))</formula>
    </cfRule>
    <cfRule type="cellIs" dxfId="1973" priority="75" operator="equal">
      <formula>0</formula>
    </cfRule>
    <cfRule type="cellIs" dxfId="1972" priority="76" operator="greaterThan">
      <formula>0</formula>
    </cfRule>
  </conditionalFormatting>
  <conditionalFormatting sqref="F82">
    <cfRule type="cellIs" dxfId="1971" priority="65" operator="equal">
      <formula>"PMS"</formula>
    </cfRule>
    <cfRule type="containsText" dxfId="1970" priority="66" operator="containsText" text="CMS">
      <formula>NOT(ISERROR(SEARCH("CMS",F82)))</formula>
    </cfRule>
    <cfRule type="cellIs" dxfId="1969" priority="67" operator="equal">
      <formula>0</formula>
    </cfRule>
    <cfRule type="cellIs" dxfId="1968" priority="68" operator="greaterThan">
      <formula>0</formula>
    </cfRule>
    <cfRule type="cellIs" dxfId="1967" priority="69" operator="equal">
      <formula>"PMS"</formula>
    </cfRule>
    <cfRule type="containsText" dxfId="1966" priority="70" operator="containsText" text="CMS">
      <formula>NOT(ISERROR(SEARCH("CMS",F82)))</formula>
    </cfRule>
    <cfRule type="cellIs" dxfId="1965" priority="71" operator="equal">
      <formula>0</formula>
    </cfRule>
    <cfRule type="cellIs" dxfId="1964" priority="72" operator="greaterThan">
      <formula>0</formula>
    </cfRule>
  </conditionalFormatting>
  <conditionalFormatting sqref="F82">
    <cfRule type="cellIs" dxfId="1963" priority="61" operator="equal">
      <formula>"PMS"</formula>
    </cfRule>
    <cfRule type="containsText" dxfId="1962" priority="62" operator="containsText" text="CMS">
      <formula>NOT(ISERROR(SEARCH("CMS",F82)))</formula>
    </cfRule>
    <cfRule type="cellIs" dxfId="1961" priority="63" operator="equal">
      <formula>0</formula>
    </cfRule>
    <cfRule type="cellIs" dxfId="1960" priority="64" operator="greaterThan">
      <formula>0</formula>
    </cfRule>
  </conditionalFormatting>
  <conditionalFormatting sqref="F13:F16">
    <cfRule type="cellIs" dxfId="1959" priority="53" operator="equal">
      <formula>"PMS"</formula>
    </cfRule>
    <cfRule type="containsText" dxfId="1958" priority="54" operator="containsText" text="CMS">
      <formula>NOT(ISERROR(SEARCH("CMS",F13)))</formula>
    </cfRule>
    <cfRule type="cellIs" dxfId="1957" priority="55" operator="equal">
      <formula>0</formula>
    </cfRule>
    <cfRule type="cellIs" dxfId="1956" priority="56" operator="greaterThan">
      <formula>0</formula>
    </cfRule>
    <cfRule type="cellIs" dxfId="1955" priority="57" operator="equal">
      <formula>"PMS"</formula>
    </cfRule>
    <cfRule type="containsText" dxfId="1954" priority="58" operator="containsText" text="CMS">
      <formula>NOT(ISERROR(SEARCH("CMS",F13)))</formula>
    </cfRule>
    <cfRule type="cellIs" dxfId="1953" priority="59" operator="equal">
      <formula>0</formula>
    </cfRule>
    <cfRule type="cellIs" dxfId="1952" priority="60" operator="greaterThan">
      <formula>0</formula>
    </cfRule>
  </conditionalFormatting>
  <conditionalFormatting sqref="F13:F16">
    <cfRule type="cellIs" dxfId="1951" priority="49" operator="equal">
      <formula>"PMS"</formula>
    </cfRule>
    <cfRule type="containsText" dxfId="1950" priority="50" operator="containsText" text="CMS">
      <formula>NOT(ISERROR(SEARCH("CMS",F13)))</formula>
    </cfRule>
    <cfRule type="cellIs" dxfId="1949" priority="51" operator="equal">
      <formula>0</formula>
    </cfRule>
    <cfRule type="cellIs" dxfId="1948" priority="52" operator="greaterThan">
      <formula>0</formula>
    </cfRule>
  </conditionalFormatting>
  <conditionalFormatting sqref="F24 F19:F21 F33 F27:F30">
    <cfRule type="cellIs" dxfId="1947" priority="41" operator="equal">
      <formula>"PMS"</formula>
    </cfRule>
    <cfRule type="containsText" dxfId="1946" priority="42" operator="containsText" text="CMS">
      <formula>NOT(ISERROR(SEARCH("CMS",F19)))</formula>
    </cfRule>
    <cfRule type="cellIs" dxfId="1945" priority="43" operator="equal">
      <formula>0</formula>
    </cfRule>
    <cfRule type="cellIs" dxfId="1944" priority="44" operator="greaterThan">
      <formula>0</formula>
    </cfRule>
    <cfRule type="cellIs" dxfId="1943" priority="45" operator="equal">
      <formula>"PMS"</formula>
    </cfRule>
    <cfRule type="containsText" dxfId="1942" priority="46" operator="containsText" text="CMS">
      <formula>NOT(ISERROR(SEARCH("CMS",F19)))</formula>
    </cfRule>
    <cfRule type="cellIs" dxfId="1941" priority="47" operator="equal">
      <formula>0</formula>
    </cfRule>
    <cfRule type="cellIs" dxfId="1940" priority="48" operator="greaterThan">
      <formula>0</formula>
    </cfRule>
  </conditionalFormatting>
  <conditionalFormatting sqref="F24 F19:F21 F33 F27:F30">
    <cfRule type="cellIs" dxfId="1939" priority="37" operator="equal">
      <formula>"PMS"</formula>
    </cfRule>
    <cfRule type="containsText" dxfId="1938" priority="38" operator="containsText" text="CMS">
      <formula>NOT(ISERROR(SEARCH("CMS",F19)))</formula>
    </cfRule>
    <cfRule type="cellIs" dxfId="1937" priority="39" operator="equal">
      <formula>0</formula>
    </cfRule>
    <cfRule type="cellIs" dxfId="1936" priority="40" operator="greaterThan">
      <formula>0</formula>
    </cfRule>
  </conditionalFormatting>
  <conditionalFormatting sqref="G56 F50:G50 F36:F59">
    <cfRule type="cellIs" dxfId="1935" priority="29" operator="equal">
      <formula>"PMS"</formula>
    </cfRule>
    <cfRule type="containsText" dxfId="1934" priority="30" operator="containsText" text="CMS">
      <formula>NOT(ISERROR(SEARCH("CMS",F36)))</formula>
    </cfRule>
    <cfRule type="cellIs" dxfId="1933" priority="31" operator="equal">
      <formula>0</formula>
    </cfRule>
    <cfRule type="cellIs" dxfId="1932" priority="32" operator="greaterThan">
      <formula>0</formula>
    </cfRule>
    <cfRule type="cellIs" dxfId="1931" priority="33" operator="equal">
      <formula>"PMS"</formula>
    </cfRule>
    <cfRule type="containsText" dxfId="1930" priority="34" operator="containsText" text="CMS">
      <formula>NOT(ISERROR(SEARCH("CMS",F36)))</formula>
    </cfRule>
    <cfRule type="cellIs" dxfId="1929" priority="35" operator="equal">
      <formula>0</formula>
    </cfRule>
    <cfRule type="cellIs" dxfId="1928" priority="36" operator="greaterThan">
      <formula>0</formula>
    </cfRule>
  </conditionalFormatting>
  <conditionalFormatting sqref="G56 F50:G50 F36:F59">
    <cfRule type="cellIs" dxfId="1927" priority="25" operator="equal">
      <formula>"PMS"</formula>
    </cfRule>
    <cfRule type="containsText" dxfId="1926" priority="26" operator="containsText" text="CMS">
      <formula>NOT(ISERROR(SEARCH("CMS",F36)))</formula>
    </cfRule>
    <cfRule type="cellIs" dxfId="1925" priority="27" operator="equal">
      <formula>0</formula>
    </cfRule>
    <cfRule type="cellIs" dxfId="1924" priority="28" operator="greaterThan">
      <formula>0</formula>
    </cfRule>
  </conditionalFormatting>
  <conditionalFormatting sqref="F78:F79 F62:F64">
    <cfRule type="cellIs" dxfId="1923" priority="17" operator="equal">
      <formula>"PMS"</formula>
    </cfRule>
    <cfRule type="containsText" dxfId="1922" priority="18" operator="containsText" text="CMS">
      <formula>NOT(ISERROR(SEARCH("CMS",F62)))</formula>
    </cfRule>
    <cfRule type="cellIs" dxfId="1921" priority="19" operator="equal">
      <formula>0</formula>
    </cfRule>
    <cfRule type="cellIs" dxfId="1920" priority="20" operator="greaterThan">
      <formula>0</formula>
    </cfRule>
    <cfRule type="cellIs" dxfId="1919" priority="21" operator="equal">
      <formula>"PMS"</formula>
    </cfRule>
    <cfRule type="containsText" dxfId="1918" priority="22" operator="containsText" text="CMS">
      <formula>NOT(ISERROR(SEARCH("CMS",F62)))</formula>
    </cfRule>
    <cfRule type="cellIs" dxfId="1917" priority="23" operator="equal">
      <formula>0</formula>
    </cfRule>
    <cfRule type="cellIs" dxfId="1916" priority="24" operator="greaterThan">
      <formula>0</formula>
    </cfRule>
  </conditionalFormatting>
  <conditionalFormatting sqref="F78:F79 F62:F64">
    <cfRule type="cellIs" dxfId="1915" priority="13" operator="equal">
      <formula>"PMS"</formula>
    </cfRule>
    <cfRule type="containsText" dxfId="1914" priority="14" operator="containsText" text="CMS">
      <formula>NOT(ISERROR(SEARCH("CMS",F62)))</formula>
    </cfRule>
    <cfRule type="cellIs" dxfId="1913" priority="15" operator="equal">
      <formula>0</formula>
    </cfRule>
    <cfRule type="cellIs" dxfId="1912" priority="16" operator="greaterThan">
      <formula>0</formula>
    </cfRule>
  </conditionalFormatting>
  <conditionalFormatting sqref="L24:N24">
    <cfRule type="cellIs" dxfId="1911" priority="5" operator="equal">
      <formula>"PMS"</formula>
    </cfRule>
    <cfRule type="containsText" dxfId="1910" priority="6" operator="containsText" text="CMS">
      <formula>NOT(ISERROR(SEARCH("CMS",L24)))</formula>
    </cfRule>
    <cfRule type="cellIs" dxfId="1909" priority="7" operator="equal">
      <formula>0</formula>
    </cfRule>
    <cfRule type="cellIs" dxfId="1908" priority="8" operator="greaterThan">
      <formula>0</formula>
    </cfRule>
    <cfRule type="cellIs" dxfId="1907" priority="9" operator="equal">
      <formula>"PMS"</formula>
    </cfRule>
    <cfRule type="containsText" dxfId="1906" priority="10" operator="containsText" text="CMS">
      <formula>NOT(ISERROR(SEARCH("CMS",L24)))</formula>
    </cfRule>
    <cfRule type="cellIs" dxfId="1905" priority="11" operator="equal">
      <formula>0</formula>
    </cfRule>
    <cfRule type="cellIs" dxfId="1904" priority="12" operator="greaterThan">
      <formula>0</formula>
    </cfRule>
  </conditionalFormatting>
  <conditionalFormatting sqref="L24:N24">
    <cfRule type="cellIs" dxfId="1903" priority="1" operator="equal">
      <formula>"PMS"</formula>
    </cfRule>
    <cfRule type="containsText" dxfId="1902" priority="2" operator="containsText" text="CMS">
      <formula>NOT(ISERROR(SEARCH("CMS",L24)))</formula>
    </cfRule>
    <cfRule type="cellIs" dxfId="1901" priority="3" operator="equal">
      <formula>0</formula>
    </cfRule>
    <cfRule type="cellIs" dxfId="1900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292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86D5E-ED31-4E51-9FFA-EDE9C2E954A6}">
  <sheetPr codeName="Sheet184"/>
  <dimension ref="A2:DT141"/>
  <sheetViews>
    <sheetView zoomScale="70" zoomScaleNormal="70" zoomScaleSheetLayoutView="51" zoomScalePageLayoutView="55" workbookViewId="0">
      <pane xSplit="5" ySplit="11" topLeftCell="F12" activePane="bottomRight" state="frozen"/>
      <selection pane="bottomRight" activeCell="U15" sqref="U15"/>
      <selection pane="bottomLeft" activeCell="AJ44" sqref="AJ44"/>
      <selection pane="topRight" activeCell="AJ44" sqref="AJ4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23"/>
      <c r="N8" s="523"/>
      <c r="O8" s="52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24" t="e" cm="1">
        <f t="array" aca="1" ref="M9" ca="1">TEXT(TODAY(),"mmmm")&amp;" "&amp;MID(CELL("filename",A1),FIND("]",CELL("filename",A1))+1,255)&amp;", "&amp;TEXT(TODAY(),"yyyy")</f>
        <v>#VALUE!</v>
      </c>
      <c r="N9" s="524"/>
      <c r="O9" s="524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4"/>
      <c r="R10" s="344"/>
      <c r="S10" s="344"/>
      <c r="T10" s="344"/>
      <c r="U10" s="344"/>
      <c r="V10" s="344"/>
      <c r="W10" s="344"/>
      <c r="X10" s="344"/>
      <c r="Y10" s="344"/>
      <c r="Z10" s="344"/>
      <c r="AA10" s="344"/>
      <c r="AB10" s="344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17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464.6</v>
      </c>
    </row>
    <row r="13" spans="1:41">
      <c r="A13" s="14" t="s">
        <v>22</v>
      </c>
      <c r="B13" s="15"/>
      <c r="C13" s="15">
        <v>7.2</v>
      </c>
      <c r="D13" s="15"/>
      <c r="E13" s="15"/>
      <c r="F13" s="374">
        <v>6.6</v>
      </c>
      <c r="G13" s="372">
        <v>6.7</v>
      </c>
      <c r="H13" s="372"/>
      <c r="I13" s="372"/>
      <c r="J13" s="372"/>
      <c r="K13" s="374"/>
      <c r="L13" s="374"/>
      <c r="M13" s="374"/>
      <c r="N13" s="372"/>
      <c r="O13" s="372">
        <v>6.7</v>
      </c>
      <c r="P13" s="372">
        <v>6.6</v>
      </c>
      <c r="Q13" s="372">
        <v>6.8</v>
      </c>
      <c r="R13" s="372">
        <v>6.7</v>
      </c>
      <c r="S13" s="372">
        <v>6.6</v>
      </c>
      <c r="T13" s="372">
        <v>6.9</v>
      </c>
      <c r="U13" s="372">
        <v>6.6</v>
      </c>
      <c r="V13" s="372">
        <v>6.8</v>
      </c>
      <c r="W13" s="372">
        <v>6.5</v>
      </c>
      <c r="X13" s="374">
        <v>6.5</v>
      </c>
      <c r="Y13" s="374">
        <v>6.6</v>
      </c>
      <c r="Z13" s="372">
        <v>6.7</v>
      </c>
      <c r="AA13" s="372">
        <v>6.5</v>
      </c>
      <c r="AB13" s="372">
        <v>6.5</v>
      </c>
      <c r="AC13" s="374"/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16</v>
      </c>
    </row>
    <row r="14" spans="1:41">
      <c r="A14" s="14" t="s">
        <v>23</v>
      </c>
      <c r="B14" s="15"/>
      <c r="C14" s="15">
        <v>7.2</v>
      </c>
      <c r="D14" s="15"/>
      <c r="E14" s="15"/>
      <c r="F14" s="374">
        <v>6.5</v>
      </c>
      <c r="G14" s="372">
        <v>6.6</v>
      </c>
      <c r="H14" s="372">
        <v>6.8</v>
      </c>
      <c r="I14" s="372">
        <v>6.6</v>
      </c>
      <c r="J14" s="372">
        <v>6.7</v>
      </c>
      <c r="K14" s="374">
        <v>6.2</v>
      </c>
      <c r="L14" s="374">
        <v>6.8</v>
      </c>
      <c r="M14" s="374">
        <v>6.6</v>
      </c>
      <c r="N14" s="372">
        <v>6.7</v>
      </c>
      <c r="O14" s="372">
        <v>6.7</v>
      </c>
      <c r="P14" s="372">
        <v>6.6</v>
      </c>
      <c r="Q14" s="372">
        <v>6.8</v>
      </c>
      <c r="R14" s="372">
        <v>6.7</v>
      </c>
      <c r="S14" s="372">
        <v>6.6</v>
      </c>
      <c r="T14" s="372">
        <v>6.9</v>
      </c>
      <c r="U14" s="372">
        <v>6.6</v>
      </c>
      <c r="V14" s="372">
        <v>6.8</v>
      </c>
      <c r="W14" s="372">
        <v>6.5</v>
      </c>
      <c r="X14" s="374">
        <v>6.5</v>
      </c>
      <c r="Y14" s="374">
        <v>6.6</v>
      </c>
      <c r="Z14" s="372"/>
      <c r="AA14" s="372"/>
      <c r="AB14" s="372"/>
      <c r="AC14" s="374">
        <v>6.6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21</v>
      </c>
    </row>
    <row r="15" spans="1:41">
      <c r="A15" s="66" t="s">
        <v>24</v>
      </c>
      <c r="B15" s="15"/>
      <c r="C15" s="15">
        <v>7.2</v>
      </c>
      <c r="D15" s="15"/>
      <c r="E15" s="15"/>
      <c r="F15" s="374">
        <v>6.7</v>
      </c>
      <c r="G15" s="372"/>
      <c r="H15" s="372"/>
      <c r="I15" s="372"/>
      <c r="J15" s="372"/>
      <c r="K15" s="374"/>
      <c r="L15" s="374"/>
      <c r="M15" s="374"/>
      <c r="N15" s="372"/>
      <c r="O15" s="372"/>
      <c r="P15" s="372"/>
      <c r="Q15" s="372"/>
      <c r="R15" s="372"/>
      <c r="S15" s="372"/>
      <c r="T15" s="372"/>
      <c r="U15" s="372">
        <v>6.6</v>
      </c>
      <c r="V15" s="372">
        <v>6.8</v>
      </c>
      <c r="W15" s="372">
        <v>6.5</v>
      </c>
      <c r="X15" s="374">
        <v>6.5</v>
      </c>
      <c r="Y15" s="374">
        <v>6.6</v>
      </c>
      <c r="Z15" s="372">
        <v>6.7</v>
      </c>
      <c r="AA15" s="372">
        <v>6.5</v>
      </c>
      <c r="AB15" s="372">
        <v>6.5</v>
      </c>
      <c r="AC15" s="374">
        <v>6.7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10</v>
      </c>
    </row>
    <row r="16" spans="1:41">
      <c r="A16" s="14" t="s">
        <v>25</v>
      </c>
      <c r="B16" s="15"/>
      <c r="C16" s="15">
        <v>7.2</v>
      </c>
      <c r="D16" s="15"/>
      <c r="E16" s="15"/>
      <c r="F16" s="372"/>
      <c r="G16" s="372">
        <v>6.6</v>
      </c>
      <c r="H16" s="372">
        <v>6.8</v>
      </c>
      <c r="I16" s="372">
        <v>6.5</v>
      </c>
      <c r="J16" s="372">
        <v>6.7</v>
      </c>
      <c r="K16" s="374">
        <v>6.2</v>
      </c>
      <c r="L16" s="374">
        <v>6.8</v>
      </c>
      <c r="M16" s="374">
        <v>6.6</v>
      </c>
      <c r="N16" s="372">
        <v>6.7</v>
      </c>
      <c r="O16" s="372">
        <v>6.7</v>
      </c>
      <c r="P16" s="372">
        <v>6.6</v>
      </c>
      <c r="Q16" s="372">
        <v>6.8</v>
      </c>
      <c r="R16" s="372">
        <v>6.7</v>
      </c>
      <c r="S16" s="372">
        <v>6.7</v>
      </c>
      <c r="T16" s="372">
        <v>6.9</v>
      </c>
      <c r="U16" s="372">
        <v>6.6</v>
      </c>
      <c r="V16" s="372">
        <v>6.8</v>
      </c>
      <c r="W16" s="372">
        <v>6.5</v>
      </c>
      <c r="X16" s="374">
        <v>6.5</v>
      </c>
      <c r="Y16" s="374">
        <v>6.6</v>
      </c>
      <c r="Z16" s="372">
        <v>6.7</v>
      </c>
      <c r="AA16" s="372">
        <v>6.6</v>
      </c>
      <c r="AB16" s="372">
        <v>6.5</v>
      </c>
      <c r="AC16" s="372">
        <v>6.7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23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19.8</v>
      </c>
      <c r="G17" s="19">
        <f t="shared" ref="G17:AC17" si="1">SUM(G13:G16)</f>
        <v>19.899999999999999</v>
      </c>
      <c r="H17" s="19">
        <f>SUM(H13:H16)</f>
        <v>13.6</v>
      </c>
      <c r="I17" s="19">
        <f t="shared" si="1"/>
        <v>13.1</v>
      </c>
      <c r="J17" s="19">
        <f t="shared" si="1"/>
        <v>13.4</v>
      </c>
      <c r="K17" s="19">
        <f t="shared" si="1"/>
        <v>12.4</v>
      </c>
      <c r="L17" s="19">
        <f t="shared" si="1"/>
        <v>13.6</v>
      </c>
      <c r="M17" s="19">
        <f t="shared" si="1"/>
        <v>13.2</v>
      </c>
      <c r="N17" s="19">
        <f t="shared" si="1"/>
        <v>13.4</v>
      </c>
      <c r="O17" s="19">
        <f t="shared" si="1"/>
        <v>20.100000000000001</v>
      </c>
      <c r="P17" s="19">
        <f t="shared" si="1"/>
        <v>19.799999999999997</v>
      </c>
      <c r="Q17" s="19">
        <f t="shared" si="1"/>
        <v>20.399999999999999</v>
      </c>
      <c r="R17" s="19">
        <f t="shared" si="1"/>
        <v>20.100000000000001</v>
      </c>
      <c r="S17" s="19">
        <f t="shared" si="1"/>
        <v>19.899999999999999</v>
      </c>
      <c r="T17" s="19">
        <f t="shared" si="1"/>
        <v>20.700000000000003</v>
      </c>
      <c r="U17" s="19">
        <f t="shared" si="1"/>
        <v>26.4</v>
      </c>
      <c r="V17" s="19">
        <f t="shared" si="1"/>
        <v>27.2</v>
      </c>
      <c r="W17" s="19">
        <f t="shared" si="1"/>
        <v>26</v>
      </c>
      <c r="X17" s="19">
        <f t="shared" si="1"/>
        <v>26</v>
      </c>
      <c r="Y17" s="19">
        <f t="shared" si="1"/>
        <v>26.4</v>
      </c>
      <c r="Z17" s="19">
        <f t="shared" si="1"/>
        <v>20.100000000000001</v>
      </c>
      <c r="AA17" s="19">
        <f t="shared" si="1"/>
        <v>19.600000000000001</v>
      </c>
      <c r="AB17" s="19">
        <f t="shared" si="1"/>
        <v>19.5</v>
      </c>
      <c r="AC17" s="19">
        <f t="shared" si="1"/>
        <v>20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84.59999999999998</v>
      </c>
    </row>
    <row r="19" spans="1:51">
      <c r="A19" s="14" t="s">
        <v>22</v>
      </c>
      <c r="B19" s="15"/>
      <c r="C19" s="15">
        <v>3</v>
      </c>
      <c r="D19" s="15"/>
      <c r="E19" s="15"/>
      <c r="F19" s="372"/>
      <c r="G19" s="372"/>
      <c r="H19" s="372"/>
      <c r="I19" s="372"/>
      <c r="J19" s="372"/>
      <c r="K19" s="374"/>
      <c r="L19" s="374"/>
      <c r="M19" s="374"/>
      <c r="N19" s="374">
        <v>2.8</v>
      </c>
      <c r="O19" s="372">
        <v>2.8</v>
      </c>
      <c r="P19" s="372">
        <v>2.8</v>
      </c>
      <c r="Q19" s="372">
        <v>2.8</v>
      </c>
      <c r="R19" s="372">
        <v>2.8</v>
      </c>
      <c r="S19" s="372">
        <v>2</v>
      </c>
      <c r="T19" s="372">
        <v>2.8</v>
      </c>
      <c r="U19" s="372">
        <v>2</v>
      </c>
      <c r="V19" s="372">
        <v>2</v>
      </c>
      <c r="W19" s="372">
        <v>2</v>
      </c>
      <c r="X19" s="372">
        <v>2</v>
      </c>
      <c r="Y19" s="372">
        <v>2.8</v>
      </c>
      <c r="Z19" s="372">
        <v>2.8</v>
      </c>
      <c r="AA19" s="372">
        <v>2</v>
      </c>
      <c r="AB19" s="372"/>
      <c r="AC19" s="372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14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372"/>
      <c r="G20" s="372"/>
      <c r="H20" s="372"/>
      <c r="I20" s="372"/>
      <c r="J20" s="372"/>
      <c r="K20" s="374"/>
      <c r="L20" s="374"/>
      <c r="M20" s="374"/>
      <c r="N20" s="372"/>
      <c r="O20" s="372"/>
      <c r="P20" s="372"/>
      <c r="Q20" s="372"/>
      <c r="R20" s="372"/>
      <c r="S20" s="372"/>
      <c r="T20" s="372"/>
      <c r="U20" s="372"/>
      <c r="V20" s="372"/>
      <c r="W20" s="372"/>
      <c r="X20" s="372"/>
      <c r="Y20" s="372"/>
      <c r="Z20" s="372"/>
      <c r="AA20" s="372"/>
      <c r="AB20" s="372"/>
      <c r="AC20" s="372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2"/>
      <c r="G21" s="372"/>
      <c r="H21" s="372"/>
      <c r="I21" s="372"/>
      <c r="J21" s="372"/>
      <c r="K21" s="374"/>
      <c r="L21" s="374"/>
      <c r="M21" s="374"/>
      <c r="N21" s="372"/>
      <c r="O21" s="372">
        <v>3.8</v>
      </c>
      <c r="P21" s="372">
        <v>3.8</v>
      </c>
      <c r="Q21" s="372">
        <v>3.8</v>
      </c>
      <c r="R21" s="372">
        <v>3.8</v>
      </c>
      <c r="S21" s="372">
        <v>3</v>
      </c>
      <c r="T21" s="372">
        <v>3.8</v>
      </c>
      <c r="U21" s="372">
        <v>3.4</v>
      </c>
      <c r="V21" s="372">
        <v>3</v>
      </c>
      <c r="W21" s="372">
        <v>3</v>
      </c>
      <c r="X21" s="372">
        <v>3</v>
      </c>
      <c r="Y21" s="372">
        <v>3</v>
      </c>
      <c r="Z21" s="372">
        <v>3.8</v>
      </c>
      <c r="AA21" s="372">
        <v>3</v>
      </c>
      <c r="AB21" s="372">
        <v>3</v>
      </c>
      <c r="AC21" s="372">
        <v>3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15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>SUM(G19:G21)</f>
        <v>0</v>
      </c>
      <c r="H22" s="19">
        <f t="shared" ref="H22:AC22" si="3">SUM(H19:H21)</f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2.8</v>
      </c>
      <c r="O22" s="19">
        <f t="shared" si="3"/>
        <v>6.6</v>
      </c>
      <c r="P22" s="19">
        <f t="shared" si="3"/>
        <v>6.6</v>
      </c>
      <c r="Q22" s="19">
        <f t="shared" si="3"/>
        <v>6.6</v>
      </c>
      <c r="R22" s="19">
        <f t="shared" si="3"/>
        <v>6.6</v>
      </c>
      <c r="S22" s="19">
        <f>SUM(S19:S21)</f>
        <v>5</v>
      </c>
      <c r="T22" s="19">
        <f t="shared" ref="T22" si="4">SUM(T19:T21)</f>
        <v>6.6</v>
      </c>
      <c r="U22" s="19">
        <f t="shared" si="3"/>
        <v>5.4</v>
      </c>
      <c r="V22" s="19">
        <f t="shared" si="3"/>
        <v>5</v>
      </c>
      <c r="W22" s="19">
        <f t="shared" si="3"/>
        <v>5</v>
      </c>
      <c r="X22" s="19">
        <f t="shared" si="3"/>
        <v>5</v>
      </c>
      <c r="Y22" s="19">
        <f t="shared" si="3"/>
        <v>5.8</v>
      </c>
      <c r="Z22" s="19">
        <f t="shared" si="3"/>
        <v>6.6</v>
      </c>
      <c r="AA22" s="19">
        <f t="shared" si="3"/>
        <v>5</v>
      </c>
      <c r="AB22" s="19">
        <f>SUM(AB19:AB21)</f>
        <v>3</v>
      </c>
      <c r="AC22" s="19">
        <f t="shared" si="3"/>
        <v>3</v>
      </c>
      <c r="AD22" s="41"/>
      <c r="AE22" s="41"/>
      <c r="AF22" s="11"/>
      <c r="AG22" s="11"/>
      <c r="AH22" s="11"/>
      <c r="AI22" s="400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409">
        <f>SUM(F24:AC24)</f>
        <v>30.8</v>
      </c>
    </row>
    <row r="24" spans="1:51">
      <c r="A24" s="14" t="s">
        <v>22</v>
      </c>
      <c r="B24" s="20"/>
      <c r="C24" s="15">
        <v>4.5</v>
      </c>
      <c r="D24" s="15"/>
      <c r="E24" s="15"/>
      <c r="F24" s="372" t="s">
        <v>9</v>
      </c>
      <c r="G24" s="372" t="s">
        <v>9</v>
      </c>
      <c r="H24" s="372" t="s">
        <v>9</v>
      </c>
      <c r="I24" s="372" t="s">
        <v>9</v>
      </c>
      <c r="J24" s="372" t="s">
        <v>9</v>
      </c>
      <c r="K24" s="374" t="s">
        <v>9</v>
      </c>
      <c r="L24" s="374" t="s">
        <v>9</v>
      </c>
      <c r="M24" s="374" t="s">
        <v>9</v>
      </c>
      <c r="N24" s="374" t="s">
        <v>9</v>
      </c>
      <c r="O24" s="372" t="s">
        <v>9</v>
      </c>
      <c r="P24" s="372" t="s">
        <v>9</v>
      </c>
      <c r="Q24" s="372" t="s">
        <v>9</v>
      </c>
      <c r="R24" s="372" t="s">
        <v>9</v>
      </c>
      <c r="S24" s="372">
        <v>2.4</v>
      </c>
      <c r="T24" s="372">
        <v>2.8</v>
      </c>
      <c r="U24" s="372">
        <v>3.8</v>
      </c>
      <c r="V24" s="372">
        <v>3</v>
      </c>
      <c r="W24" s="372">
        <v>3</v>
      </c>
      <c r="X24" s="372">
        <v>3</v>
      </c>
      <c r="Y24" s="372">
        <v>3</v>
      </c>
      <c r="Z24" s="372">
        <v>3.8</v>
      </c>
      <c r="AA24" s="372">
        <v>3</v>
      </c>
      <c r="AB24" s="372">
        <v>3</v>
      </c>
      <c r="AC24" s="372"/>
      <c r="AD24" s="41"/>
      <c r="AE24" s="41"/>
      <c r="AF24" s="11">
        <f>COUNTIF(F24:AC24,$AJ$8)</f>
        <v>13</v>
      </c>
      <c r="AG24" s="11">
        <f>COUNTIF(G24:AD24,$AJ$7)</f>
        <v>0</v>
      </c>
      <c r="AH24" s="11">
        <f>COUNT(F24:AC24)</f>
        <v>10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0</v>
      </c>
      <c r="P25" s="19">
        <f t="shared" si="6"/>
        <v>0</v>
      </c>
      <c r="Q25" s="19">
        <f t="shared" si="6"/>
        <v>0</v>
      </c>
      <c r="R25" s="19">
        <f t="shared" si="6"/>
        <v>0</v>
      </c>
      <c r="S25" s="19">
        <f t="shared" si="6"/>
        <v>2.4</v>
      </c>
      <c r="T25" s="19">
        <f t="shared" si="6"/>
        <v>2.8</v>
      </c>
      <c r="U25" s="19">
        <f t="shared" si="6"/>
        <v>3.8</v>
      </c>
      <c r="V25" s="19">
        <f t="shared" si="6"/>
        <v>3</v>
      </c>
      <c r="W25" s="19">
        <f t="shared" si="6"/>
        <v>3</v>
      </c>
      <c r="X25" s="19">
        <f t="shared" si="6"/>
        <v>3</v>
      </c>
      <c r="Y25" s="19">
        <f t="shared" si="6"/>
        <v>3</v>
      </c>
      <c r="Z25" s="19">
        <f t="shared" si="6"/>
        <v>3.8</v>
      </c>
      <c r="AA25" s="19">
        <f t="shared" si="6"/>
        <v>3</v>
      </c>
      <c r="AB25" s="19">
        <f t="shared" si="6"/>
        <v>3</v>
      </c>
      <c r="AC25" s="19">
        <f t="shared" si="6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175.8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2">
        <v>3</v>
      </c>
      <c r="G27" s="372">
        <v>2.5</v>
      </c>
      <c r="H27" s="372">
        <v>4.3</v>
      </c>
      <c r="I27" s="372">
        <v>3.8</v>
      </c>
      <c r="J27" s="372">
        <v>3.6</v>
      </c>
      <c r="K27" s="372">
        <v>2.5</v>
      </c>
      <c r="L27" s="374">
        <v>3.2</v>
      </c>
      <c r="M27" s="374">
        <v>4</v>
      </c>
      <c r="N27" s="372">
        <v>4</v>
      </c>
      <c r="O27" s="372">
        <v>4.0999999999999996</v>
      </c>
      <c r="P27" s="372">
        <v>4</v>
      </c>
      <c r="Q27" s="372">
        <v>4.0999999999999996</v>
      </c>
      <c r="R27" s="372">
        <v>4</v>
      </c>
      <c r="S27" s="372">
        <v>3.2</v>
      </c>
      <c r="T27" s="372">
        <v>4.5</v>
      </c>
      <c r="U27" s="372">
        <v>4.0999999999999996</v>
      </c>
      <c r="V27" s="372">
        <v>3.9</v>
      </c>
      <c r="W27" s="372">
        <v>3.5</v>
      </c>
      <c r="X27" s="372">
        <v>3</v>
      </c>
      <c r="Y27" s="372">
        <v>3.5</v>
      </c>
      <c r="Z27" s="374">
        <v>4.4000000000000004</v>
      </c>
      <c r="AA27" s="372">
        <v>4.3</v>
      </c>
      <c r="AB27" s="372">
        <v>3.4</v>
      </c>
      <c r="AC27" s="372">
        <v>3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2">
        <v>3</v>
      </c>
      <c r="G28" s="372">
        <v>2.5</v>
      </c>
      <c r="H28" s="372">
        <v>4.3</v>
      </c>
      <c r="I28" s="372">
        <v>3.8</v>
      </c>
      <c r="J28" s="372">
        <v>3.6</v>
      </c>
      <c r="K28" s="374">
        <v>2.5</v>
      </c>
      <c r="L28" s="374">
        <v>3.2</v>
      </c>
      <c r="M28" s="374">
        <v>4</v>
      </c>
      <c r="N28" s="372">
        <v>4</v>
      </c>
      <c r="O28" s="372">
        <v>4.0999999999999996</v>
      </c>
      <c r="P28" s="372">
        <v>4</v>
      </c>
      <c r="Q28" s="372">
        <v>4.0999999999999996</v>
      </c>
      <c r="R28" s="372">
        <v>4</v>
      </c>
      <c r="S28" s="372">
        <v>3.2</v>
      </c>
      <c r="T28" s="372">
        <v>4.5</v>
      </c>
      <c r="U28" s="372">
        <v>4.0999999999999996</v>
      </c>
      <c r="V28" s="372">
        <v>3.9</v>
      </c>
      <c r="W28" s="372">
        <v>3.5</v>
      </c>
      <c r="X28" s="372">
        <v>3</v>
      </c>
      <c r="Y28" s="372">
        <v>3.5</v>
      </c>
      <c r="Z28" s="374">
        <v>4.4000000000000004</v>
      </c>
      <c r="AA28" s="372">
        <v>4.3</v>
      </c>
      <c r="AB28" s="372">
        <v>3.4</v>
      </c>
      <c r="AC28" s="372">
        <v>3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30.870000000000005</v>
      </c>
    </row>
    <row r="29" spans="1:51" ht="15" customHeight="1">
      <c r="A29" s="14" t="s">
        <v>30</v>
      </c>
      <c r="B29" s="369"/>
      <c r="C29" s="370">
        <v>8.8000000000000007</v>
      </c>
      <c r="D29" s="371"/>
      <c r="E29" s="371"/>
      <c r="F29" s="372"/>
      <c r="G29" s="372"/>
      <c r="H29" s="372"/>
      <c r="I29" s="372"/>
      <c r="J29" s="372"/>
      <c r="K29" s="374"/>
      <c r="L29" s="374"/>
      <c r="M29" s="374"/>
      <c r="N29" s="372"/>
      <c r="O29" s="372"/>
      <c r="P29" s="372">
        <v>5.49</v>
      </c>
      <c r="Q29" s="372">
        <v>6.07</v>
      </c>
      <c r="R29" s="372">
        <v>6.86</v>
      </c>
      <c r="S29" s="372">
        <v>8.0299999999999994</v>
      </c>
      <c r="T29" s="372">
        <v>4.42</v>
      </c>
      <c r="U29" s="372"/>
      <c r="V29" s="372"/>
      <c r="W29" s="372"/>
      <c r="X29" s="372"/>
      <c r="Y29" s="372"/>
      <c r="Z29" s="372"/>
      <c r="AA29" s="372"/>
      <c r="AB29" s="372"/>
      <c r="AC29" s="372"/>
    </row>
    <row r="30" spans="1:51" ht="15" customHeight="1">
      <c r="A30" s="14" t="s">
        <v>31</v>
      </c>
      <c r="B30" s="369"/>
      <c r="C30" s="370">
        <v>8.8000000000000007</v>
      </c>
      <c r="D30" s="371"/>
      <c r="E30" s="371"/>
      <c r="F30" s="372"/>
      <c r="G30" s="372"/>
      <c r="H30" s="372"/>
      <c r="I30" s="372"/>
      <c r="J30" s="372"/>
      <c r="K30" s="374"/>
      <c r="L30" s="374"/>
      <c r="M30" s="374"/>
      <c r="N30" s="372"/>
      <c r="O30" s="372"/>
      <c r="P30" s="372"/>
      <c r="Q30" s="372"/>
      <c r="R30" s="372"/>
      <c r="S30" s="372"/>
      <c r="T30" s="372"/>
      <c r="U30" s="372"/>
      <c r="V30" s="372"/>
      <c r="W30" s="372"/>
      <c r="X30" s="372"/>
      <c r="Y30" s="372"/>
      <c r="Z30" s="372"/>
      <c r="AA30" s="372"/>
      <c r="AB30" s="372"/>
      <c r="AC30" s="372"/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SUM(F27:F29)</f>
        <v>6</v>
      </c>
      <c r="G31" s="19">
        <f t="shared" ref="G31:AC31" si="8">SUM(G27:G29)</f>
        <v>5</v>
      </c>
      <c r="H31" s="19">
        <f t="shared" si="8"/>
        <v>8.6</v>
      </c>
      <c r="I31" s="19">
        <f t="shared" si="8"/>
        <v>7.6</v>
      </c>
      <c r="J31" s="19">
        <f t="shared" si="8"/>
        <v>7.2</v>
      </c>
      <c r="K31" s="19">
        <f t="shared" si="8"/>
        <v>5</v>
      </c>
      <c r="L31" s="19">
        <f t="shared" si="8"/>
        <v>6.4</v>
      </c>
      <c r="M31" s="19">
        <f t="shared" si="8"/>
        <v>8</v>
      </c>
      <c r="N31" s="19">
        <f t="shared" si="8"/>
        <v>8</v>
      </c>
      <c r="O31" s="19">
        <f t="shared" si="8"/>
        <v>8.1999999999999993</v>
      </c>
      <c r="P31" s="19">
        <f t="shared" si="8"/>
        <v>13.49</v>
      </c>
      <c r="Q31" s="19">
        <f t="shared" si="8"/>
        <v>14.27</v>
      </c>
      <c r="R31" s="19">
        <f t="shared" si="8"/>
        <v>14.86</v>
      </c>
      <c r="S31" s="19">
        <f t="shared" si="8"/>
        <v>14.43</v>
      </c>
      <c r="T31" s="19">
        <f>SUM(T27:T29)</f>
        <v>13.42</v>
      </c>
      <c r="U31" s="19">
        <f t="shared" si="8"/>
        <v>8.1999999999999993</v>
      </c>
      <c r="V31" s="19">
        <f t="shared" si="8"/>
        <v>7.8</v>
      </c>
      <c r="W31" s="19">
        <f>SUM(W27:W30)</f>
        <v>7</v>
      </c>
      <c r="X31" s="19">
        <f>SUM(X27:X30)</f>
        <v>6</v>
      </c>
      <c r="Y31" s="19">
        <f>SUM(Y27:Y30)</f>
        <v>7</v>
      </c>
      <c r="Z31" s="19">
        <f>SUM(Z27:Z30)</f>
        <v>8.8000000000000007</v>
      </c>
      <c r="AA31" s="19">
        <f t="shared" si="8"/>
        <v>8.6</v>
      </c>
      <c r="AB31" s="19">
        <f t="shared" si="8"/>
        <v>6.8</v>
      </c>
      <c r="AC31" s="19">
        <f t="shared" si="8"/>
        <v>6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339.79</v>
      </c>
    </row>
    <row r="33" spans="1:36">
      <c r="A33" s="14" t="s">
        <v>22</v>
      </c>
      <c r="B33" s="15"/>
      <c r="C33" s="15">
        <v>15</v>
      </c>
      <c r="D33" s="15"/>
      <c r="E33" s="15"/>
      <c r="F33" s="372">
        <v>14.3</v>
      </c>
      <c r="G33" s="372">
        <v>12.75</v>
      </c>
      <c r="H33" s="372">
        <v>14.29</v>
      </c>
      <c r="I33" s="372">
        <v>14.3</v>
      </c>
      <c r="J33" s="372">
        <v>14.29</v>
      </c>
      <c r="K33" s="374">
        <v>14.28</v>
      </c>
      <c r="L33" s="374">
        <v>14.27</v>
      </c>
      <c r="M33" s="374">
        <v>14.27</v>
      </c>
      <c r="N33" s="372">
        <v>14.27</v>
      </c>
      <c r="O33" s="372">
        <v>14.27</v>
      </c>
      <c r="P33" s="372">
        <v>14.28</v>
      </c>
      <c r="Q33" s="372">
        <v>14.27</v>
      </c>
      <c r="R33" s="372">
        <v>14.29</v>
      </c>
      <c r="S33" s="372">
        <v>14.28</v>
      </c>
      <c r="T33" s="372">
        <v>14.29</v>
      </c>
      <c r="U33" s="372">
        <v>14.28</v>
      </c>
      <c r="V33" s="372">
        <v>14.27</v>
      </c>
      <c r="W33" s="372">
        <v>14.29</v>
      </c>
      <c r="X33" s="372">
        <v>12.8</v>
      </c>
      <c r="Y33" s="372">
        <v>14.29</v>
      </c>
      <c r="Z33" s="372">
        <v>14.3</v>
      </c>
      <c r="AA33" s="372">
        <v>14.28</v>
      </c>
      <c r="AB33" s="372">
        <v>14.29</v>
      </c>
      <c r="AC33" s="372">
        <v>14.29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9">SUM(F33)</f>
        <v>14.3</v>
      </c>
      <c r="G34" s="19">
        <f t="shared" ref="G34:AC34" si="10">SUM(G33)</f>
        <v>12.75</v>
      </c>
      <c r="H34" s="19">
        <f t="shared" si="10"/>
        <v>14.29</v>
      </c>
      <c r="I34" s="19">
        <f t="shared" si="10"/>
        <v>14.3</v>
      </c>
      <c r="J34" s="19">
        <f>SUM(J33)</f>
        <v>14.29</v>
      </c>
      <c r="K34" s="19">
        <f t="shared" si="10"/>
        <v>14.28</v>
      </c>
      <c r="L34" s="19">
        <f t="shared" si="10"/>
        <v>14.27</v>
      </c>
      <c r="M34" s="19">
        <f t="shared" si="10"/>
        <v>14.27</v>
      </c>
      <c r="N34" s="19">
        <f t="shared" si="10"/>
        <v>14.27</v>
      </c>
      <c r="O34" s="19">
        <f t="shared" si="10"/>
        <v>14.27</v>
      </c>
      <c r="P34" s="19">
        <f t="shared" si="10"/>
        <v>14.28</v>
      </c>
      <c r="Q34" s="19">
        <f t="shared" si="10"/>
        <v>14.27</v>
      </c>
      <c r="R34" s="19">
        <f t="shared" si="10"/>
        <v>14.29</v>
      </c>
      <c r="S34" s="19">
        <f t="shared" si="10"/>
        <v>14.28</v>
      </c>
      <c r="T34" s="19">
        <f t="shared" si="10"/>
        <v>14.29</v>
      </c>
      <c r="U34" s="19">
        <f t="shared" si="10"/>
        <v>14.28</v>
      </c>
      <c r="V34" s="19">
        <f t="shared" si="10"/>
        <v>14.27</v>
      </c>
      <c r="W34" s="19">
        <f t="shared" si="10"/>
        <v>14.29</v>
      </c>
      <c r="X34" s="19">
        <f t="shared" si="10"/>
        <v>12.8</v>
      </c>
      <c r="Y34" s="19">
        <f t="shared" si="10"/>
        <v>14.29</v>
      </c>
      <c r="Z34" s="19">
        <f t="shared" si="10"/>
        <v>14.3</v>
      </c>
      <c r="AA34" s="19">
        <f t="shared" si="10"/>
        <v>14.28</v>
      </c>
      <c r="AB34" s="19">
        <f t="shared" si="10"/>
        <v>14.29</v>
      </c>
      <c r="AC34" s="19">
        <f t="shared" si="10"/>
        <v>14.29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55"/>
      <c r="G35" s="455"/>
      <c r="H35" s="455"/>
      <c r="I35" s="455"/>
      <c r="J35" s="455"/>
      <c r="K35" s="455"/>
      <c r="L35" s="455"/>
      <c r="M35" s="455"/>
      <c r="N35" s="455"/>
      <c r="O35" s="455"/>
      <c r="P35" s="455"/>
      <c r="Q35" s="455"/>
      <c r="R35" s="455"/>
      <c r="S35" s="455"/>
      <c r="T35" s="455"/>
      <c r="U35" s="455"/>
      <c r="V35" s="455"/>
      <c r="W35" s="456"/>
      <c r="X35" s="455"/>
      <c r="Y35" s="455"/>
      <c r="Z35" s="455"/>
      <c r="AA35" s="455"/>
      <c r="AB35" s="455"/>
      <c r="AC35" s="455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35</v>
      </c>
    </row>
    <row r="36" spans="1:36">
      <c r="A36" s="70" t="s">
        <v>36</v>
      </c>
      <c r="B36" s="15"/>
      <c r="C36" s="15"/>
      <c r="D36" s="15"/>
      <c r="E36" s="15"/>
      <c r="F36" s="372"/>
      <c r="G36" s="372"/>
      <c r="H36" s="372"/>
      <c r="I36" s="372"/>
      <c r="J36" s="372"/>
      <c r="K36" s="374"/>
      <c r="L36" s="374"/>
      <c r="M36" s="374"/>
      <c r="N36" s="372"/>
      <c r="O36" s="372"/>
      <c r="P36" s="372"/>
      <c r="Q36" s="372"/>
      <c r="R36" s="372"/>
      <c r="S36" s="372"/>
      <c r="T36" s="372"/>
      <c r="U36" s="372"/>
      <c r="V36" s="372"/>
      <c r="W36" s="372"/>
      <c r="X36" s="372"/>
      <c r="Y36" s="372"/>
      <c r="Z36" s="372"/>
      <c r="AA36" s="372"/>
      <c r="AB36" s="372"/>
      <c r="AC36" s="372"/>
      <c r="AD36" s="41"/>
      <c r="AE36" s="41"/>
      <c r="AF36" s="11">
        <f t="shared" ref="AF36:AF59" si="11">COUNTIF(F36:AC36,$AJ$8)</f>
        <v>0</v>
      </c>
      <c r="AG36" s="11">
        <f t="shared" ref="AG36:AG59" si="12">COUNTIF(G36:AD36,$AJ$7)</f>
        <v>0</v>
      </c>
      <c r="AH36" s="11">
        <f t="shared" ref="AH36:AH59" si="13">COUNT(F36:AC36)</f>
        <v>0</v>
      </c>
      <c r="AI36" s="159">
        <f>SUM(F36:AC38,F40:AC40,F45:AC59)</f>
        <v>7.7</v>
      </c>
      <c r="AJ36" t="s">
        <v>37</v>
      </c>
    </row>
    <row r="37" spans="1:36">
      <c r="A37" s="70" t="s">
        <v>38</v>
      </c>
      <c r="B37" s="15"/>
      <c r="C37" s="15"/>
      <c r="D37" s="15"/>
      <c r="E37" s="15"/>
      <c r="F37" s="372"/>
      <c r="G37" s="372"/>
      <c r="H37" s="372"/>
      <c r="I37" s="372"/>
      <c r="J37" s="372"/>
      <c r="K37" s="374"/>
      <c r="L37" s="374"/>
      <c r="M37" s="374"/>
      <c r="N37" s="372"/>
      <c r="O37" s="372"/>
      <c r="P37" s="372"/>
      <c r="Q37" s="372"/>
      <c r="R37" s="372"/>
      <c r="S37" s="372"/>
      <c r="T37" s="372"/>
      <c r="U37" s="372"/>
      <c r="V37" s="372"/>
      <c r="W37" s="372"/>
      <c r="X37" s="372"/>
      <c r="Y37" s="372"/>
      <c r="Z37" s="372"/>
      <c r="AA37" s="372"/>
      <c r="AB37" s="372"/>
      <c r="AC37" s="372"/>
      <c r="AD37" s="41"/>
      <c r="AE37" s="41"/>
      <c r="AF37" s="11">
        <f t="shared" si="11"/>
        <v>0</v>
      </c>
      <c r="AG37" s="11">
        <f t="shared" si="12"/>
        <v>0</v>
      </c>
      <c r="AH37" s="11">
        <f t="shared" si="13"/>
        <v>0</v>
      </c>
    </row>
    <row r="38" spans="1:36">
      <c r="A38" s="70" t="s">
        <v>39</v>
      </c>
      <c r="B38" s="15"/>
      <c r="C38" s="15"/>
      <c r="D38" s="15"/>
      <c r="E38" s="15"/>
      <c r="F38" s="372"/>
      <c r="G38" s="372"/>
      <c r="H38" s="372"/>
      <c r="I38" s="372"/>
      <c r="J38" s="372"/>
      <c r="K38" s="374"/>
      <c r="L38" s="374"/>
      <c r="M38" s="374"/>
      <c r="N38" s="372"/>
      <c r="O38" s="372"/>
      <c r="P38" s="372"/>
      <c r="Q38" s="372"/>
      <c r="R38" s="372"/>
      <c r="S38" s="372"/>
      <c r="T38" s="372"/>
      <c r="U38" s="372"/>
      <c r="V38" s="372"/>
      <c r="W38" s="372"/>
      <c r="X38" s="372"/>
      <c r="Y38" s="372"/>
      <c r="Z38" s="372"/>
      <c r="AA38" s="372"/>
      <c r="AB38" s="372"/>
      <c r="AC38" s="372"/>
      <c r="AD38" s="41"/>
      <c r="AE38" s="41"/>
      <c r="AF38" s="11">
        <f t="shared" si="11"/>
        <v>0</v>
      </c>
      <c r="AG38" s="11">
        <f t="shared" si="12"/>
        <v>0</v>
      </c>
      <c r="AH38" s="11">
        <f t="shared" si="13"/>
        <v>0</v>
      </c>
    </row>
    <row r="39" spans="1:36">
      <c r="A39" s="70">
        <v>34</v>
      </c>
      <c r="B39" s="15"/>
      <c r="C39" s="15"/>
      <c r="D39" s="15"/>
      <c r="E39" s="15"/>
      <c r="F39" s="372"/>
      <c r="G39" s="372"/>
      <c r="H39" s="372"/>
      <c r="I39" s="372"/>
      <c r="J39" s="372"/>
      <c r="K39" s="374"/>
      <c r="L39" s="374"/>
      <c r="M39" s="374"/>
      <c r="N39" s="372"/>
      <c r="O39" s="372"/>
      <c r="P39" s="372"/>
      <c r="Q39" s="372"/>
      <c r="R39" s="372"/>
      <c r="S39" s="372"/>
      <c r="T39" s="372"/>
      <c r="U39" s="372"/>
      <c r="V39" s="372"/>
      <c r="W39" s="372"/>
      <c r="X39" s="372"/>
      <c r="Y39" s="372"/>
      <c r="Z39" s="372"/>
      <c r="AA39" s="372"/>
      <c r="AB39" s="372"/>
      <c r="AC39" s="372"/>
      <c r="AD39" s="41"/>
      <c r="AE39" s="41"/>
      <c r="AF39" s="11">
        <f t="shared" si="11"/>
        <v>0</v>
      </c>
      <c r="AG39" s="11">
        <f t="shared" si="12"/>
        <v>0</v>
      </c>
      <c r="AH39" s="11">
        <f t="shared" si="13"/>
        <v>0</v>
      </c>
    </row>
    <row r="40" spans="1:36">
      <c r="A40" s="70">
        <v>35</v>
      </c>
      <c r="B40" s="15"/>
      <c r="C40" s="15">
        <v>0.85</v>
      </c>
      <c r="D40" s="15"/>
      <c r="E40" s="15"/>
      <c r="F40" s="372" t="s">
        <v>9</v>
      </c>
      <c r="G40" s="372" t="s">
        <v>9</v>
      </c>
      <c r="H40" s="372" t="s">
        <v>9</v>
      </c>
      <c r="I40" s="372" t="s">
        <v>9</v>
      </c>
      <c r="J40" s="372" t="s">
        <v>9</v>
      </c>
      <c r="K40" s="374" t="s">
        <v>9</v>
      </c>
      <c r="L40" s="374" t="s">
        <v>9</v>
      </c>
      <c r="M40" s="374" t="s">
        <v>9</v>
      </c>
      <c r="N40" s="372" t="s">
        <v>9</v>
      </c>
      <c r="O40" s="372" t="s">
        <v>9</v>
      </c>
      <c r="P40" s="372" t="s">
        <v>9</v>
      </c>
      <c r="Q40" s="372" t="s">
        <v>9</v>
      </c>
      <c r="R40" s="372" t="s">
        <v>9</v>
      </c>
      <c r="S40" s="372" t="s">
        <v>9</v>
      </c>
      <c r="T40" s="372" t="s">
        <v>9</v>
      </c>
      <c r="U40" s="372" t="s">
        <v>9</v>
      </c>
      <c r="V40" s="372" t="s">
        <v>9</v>
      </c>
      <c r="W40" s="372" t="s">
        <v>9</v>
      </c>
      <c r="X40" s="372" t="s">
        <v>9</v>
      </c>
      <c r="Y40" s="372" t="s">
        <v>9</v>
      </c>
      <c r="Z40" s="372" t="s">
        <v>9</v>
      </c>
      <c r="AA40" s="372" t="s">
        <v>9</v>
      </c>
      <c r="AB40" s="372" t="s">
        <v>9</v>
      </c>
      <c r="AC40" s="372" t="s">
        <v>9</v>
      </c>
      <c r="AD40" s="41"/>
      <c r="AE40" s="41"/>
      <c r="AF40" s="11">
        <f t="shared" si="11"/>
        <v>24</v>
      </c>
      <c r="AG40" s="11">
        <f t="shared" si="12"/>
        <v>0</v>
      </c>
      <c r="AH40" s="11">
        <f t="shared" si="13"/>
        <v>0</v>
      </c>
    </row>
    <row r="41" spans="1:36">
      <c r="A41" s="70">
        <v>36</v>
      </c>
      <c r="B41" s="15"/>
      <c r="C41" s="15">
        <v>1</v>
      </c>
      <c r="D41" s="15"/>
      <c r="E41" s="15"/>
      <c r="F41" s="372" t="s">
        <v>9</v>
      </c>
      <c r="G41" s="372" t="s">
        <v>9</v>
      </c>
      <c r="H41" s="372" t="s">
        <v>9</v>
      </c>
      <c r="I41" s="372" t="s">
        <v>9</v>
      </c>
      <c r="J41" s="372" t="s">
        <v>9</v>
      </c>
      <c r="K41" s="374" t="s">
        <v>9</v>
      </c>
      <c r="L41" s="374" t="s">
        <v>9</v>
      </c>
      <c r="M41" s="374" t="s">
        <v>9</v>
      </c>
      <c r="N41" s="372" t="s">
        <v>9</v>
      </c>
      <c r="O41" s="372" t="s">
        <v>9</v>
      </c>
      <c r="P41" s="372" t="s">
        <v>9</v>
      </c>
      <c r="Q41" s="372" t="s">
        <v>9</v>
      </c>
      <c r="R41" s="372" t="s">
        <v>9</v>
      </c>
      <c r="S41" s="372" t="s">
        <v>9</v>
      </c>
      <c r="T41" s="372" t="s">
        <v>9</v>
      </c>
      <c r="U41" s="372" t="s">
        <v>9</v>
      </c>
      <c r="V41" s="372" t="s">
        <v>9</v>
      </c>
      <c r="W41" s="372" t="s">
        <v>9</v>
      </c>
      <c r="X41" s="372" t="s">
        <v>9</v>
      </c>
      <c r="Y41" s="372" t="s">
        <v>9</v>
      </c>
      <c r="Z41" s="372" t="s">
        <v>9</v>
      </c>
      <c r="AA41" s="372" t="s">
        <v>9</v>
      </c>
      <c r="AB41" s="372" t="s">
        <v>9</v>
      </c>
      <c r="AC41" s="372" t="s">
        <v>9</v>
      </c>
      <c r="AD41" s="41"/>
      <c r="AE41" s="41"/>
      <c r="AF41" s="11">
        <f t="shared" si="11"/>
        <v>24</v>
      </c>
      <c r="AG41" s="11">
        <f t="shared" si="12"/>
        <v>0</v>
      </c>
      <c r="AH41" s="11">
        <f t="shared" si="13"/>
        <v>0</v>
      </c>
    </row>
    <row r="42" spans="1:36">
      <c r="A42" s="70">
        <v>37</v>
      </c>
      <c r="B42" s="15"/>
      <c r="C42" s="15">
        <v>1</v>
      </c>
      <c r="D42" s="15"/>
      <c r="E42" s="15"/>
      <c r="F42" s="372"/>
      <c r="G42" s="372"/>
      <c r="H42" s="372"/>
      <c r="I42" s="372"/>
      <c r="J42" s="372"/>
      <c r="K42" s="372"/>
      <c r="L42" s="372"/>
      <c r="M42" s="372"/>
      <c r="N42" s="372"/>
      <c r="O42" s="372"/>
      <c r="P42" s="372"/>
      <c r="Q42" s="372"/>
      <c r="R42" s="372"/>
      <c r="S42" s="372"/>
      <c r="T42" s="372"/>
      <c r="U42" s="372"/>
      <c r="V42" s="372"/>
      <c r="W42" s="372"/>
      <c r="X42" s="372"/>
      <c r="Y42" s="372"/>
      <c r="Z42" s="372"/>
      <c r="AA42" s="372"/>
      <c r="AB42" s="372"/>
      <c r="AC42" s="372"/>
      <c r="AD42" s="41"/>
      <c r="AE42" s="41"/>
      <c r="AF42" s="11">
        <f t="shared" si="11"/>
        <v>0</v>
      </c>
      <c r="AG42" s="11">
        <f t="shared" si="12"/>
        <v>0</v>
      </c>
      <c r="AH42" s="11">
        <f t="shared" si="13"/>
        <v>0</v>
      </c>
    </row>
    <row r="43" spans="1:36">
      <c r="A43" s="70">
        <v>38</v>
      </c>
      <c r="B43" s="15"/>
      <c r="C43" s="15"/>
      <c r="D43" s="15"/>
      <c r="E43" s="15"/>
      <c r="F43" s="372" t="s">
        <v>9</v>
      </c>
      <c r="G43" s="372" t="s">
        <v>9</v>
      </c>
      <c r="H43" s="372" t="s">
        <v>9</v>
      </c>
      <c r="I43" s="372" t="s">
        <v>9</v>
      </c>
      <c r="J43" s="372" t="s">
        <v>9</v>
      </c>
      <c r="K43" s="374" t="s">
        <v>9</v>
      </c>
      <c r="L43" s="374" t="s">
        <v>9</v>
      </c>
      <c r="M43" s="374" t="s">
        <v>9</v>
      </c>
      <c r="N43" s="372" t="s">
        <v>9</v>
      </c>
      <c r="O43" s="372" t="s">
        <v>9</v>
      </c>
      <c r="P43" s="372" t="s">
        <v>9</v>
      </c>
      <c r="Q43" s="372" t="s">
        <v>9</v>
      </c>
      <c r="R43" s="372" t="s">
        <v>9</v>
      </c>
      <c r="S43" s="372" t="s">
        <v>9</v>
      </c>
      <c r="T43" s="372" t="s">
        <v>9</v>
      </c>
      <c r="U43" s="372" t="s">
        <v>9</v>
      </c>
      <c r="V43" s="372" t="s">
        <v>9</v>
      </c>
      <c r="W43" s="372" t="s">
        <v>9</v>
      </c>
      <c r="X43" s="372" t="s">
        <v>9</v>
      </c>
      <c r="Y43" s="372" t="s">
        <v>9</v>
      </c>
      <c r="Z43" s="372" t="s">
        <v>9</v>
      </c>
      <c r="AA43" s="372" t="s">
        <v>9</v>
      </c>
      <c r="AB43" s="372" t="s">
        <v>9</v>
      </c>
      <c r="AC43" s="372" t="s">
        <v>9</v>
      </c>
      <c r="AD43" s="41"/>
      <c r="AE43" s="41"/>
      <c r="AF43" s="11">
        <f t="shared" si="11"/>
        <v>24</v>
      </c>
      <c r="AG43" s="11">
        <f t="shared" si="12"/>
        <v>0</v>
      </c>
      <c r="AH43" s="11">
        <f t="shared" si="13"/>
        <v>0</v>
      </c>
    </row>
    <row r="44" spans="1:36" ht="16.5" customHeight="1">
      <c r="A44" s="70">
        <v>39</v>
      </c>
      <c r="B44" s="15"/>
      <c r="C44" s="15">
        <v>1</v>
      </c>
      <c r="D44" s="15"/>
      <c r="E44" s="15"/>
      <c r="F44" s="372" t="s">
        <v>9</v>
      </c>
      <c r="G44" s="372" t="s">
        <v>9</v>
      </c>
      <c r="H44" s="372" t="s">
        <v>9</v>
      </c>
      <c r="I44" s="372" t="s">
        <v>9</v>
      </c>
      <c r="J44" s="372" t="s">
        <v>9</v>
      </c>
      <c r="K44" s="374" t="s">
        <v>9</v>
      </c>
      <c r="L44" s="374" t="s">
        <v>9</v>
      </c>
      <c r="M44" s="374" t="s">
        <v>9</v>
      </c>
      <c r="N44" s="372" t="s">
        <v>9</v>
      </c>
      <c r="O44" s="372" t="s">
        <v>9</v>
      </c>
      <c r="P44" s="372" t="s">
        <v>9</v>
      </c>
      <c r="Q44" s="372" t="s">
        <v>9</v>
      </c>
      <c r="R44" s="372" t="s">
        <v>9</v>
      </c>
      <c r="S44" s="372" t="s">
        <v>9</v>
      </c>
      <c r="T44" s="372" t="s">
        <v>9</v>
      </c>
      <c r="U44" s="372" t="s">
        <v>9</v>
      </c>
      <c r="V44" s="372" t="s">
        <v>9</v>
      </c>
      <c r="W44" s="372" t="s">
        <v>9</v>
      </c>
      <c r="X44" s="372" t="s">
        <v>9</v>
      </c>
      <c r="Y44" s="372" t="s">
        <v>9</v>
      </c>
      <c r="Z44" s="372" t="s">
        <v>9</v>
      </c>
      <c r="AA44" s="372" t="s">
        <v>9</v>
      </c>
      <c r="AB44" s="372" t="s">
        <v>9</v>
      </c>
      <c r="AC44" s="372" t="s">
        <v>9</v>
      </c>
      <c r="AD44" s="41"/>
      <c r="AE44" s="41"/>
      <c r="AF44" s="11">
        <f t="shared" si="11"/>
        <v>24</v>
      </c>
      <c r="AG44" s="11">
        <f t="shared" si="12"/>
        <v>0</v>
      </c>
      <c r="AH44" s="11">
        <f t="shared" si="13"/>
        <v>0</v>
      </c>
    </row>
    <row r="45" spans="1:36" ht="16.5" customHeight="1">
      <c r="A45" s="70" t="s">
        <v>40</v>
      </c>
      <c r="B45" s="15"/>
      <c r="C45" s="15">
        <v>0.85</v>
      </c>
      <c r="D45" s="15"/>
      <c r="E45" s="15"/>
      <c r="F45" s="372"/>
      <c r="G45" s="372"/>
      <c r="H45" s="372"/>
      <c r="I45" s="372"/>
      <c r="J45" s="372"/>
      <c r="K45" s="374"/>
      <c r="L45" s="374"/>
      <c r="M45" s="374"/>
      <c r="N45" s="372"/>
      <c r="O45" s="372"/>
      <c r="P45" s="372"/>
      <c r="Q45" s="372"/>
      <c r="R45" s="372"/>
      <c r="S45" s="372"/>
      <c r="T45" s="372"/>
      <c r="U45" s="372"/>
      <c r="V45" s="372"/>
      <c r="W45" s="372"/>
      <c r="X45" s="372"/>
      <c r="Y45" s="372"/>
      <c r="Z45" s="372"/>
      <c r="AA45" s="372"/>
      <c r="AB45" s="372"/>
      <c r="AC45" s="372"/>
      <c r="AD45" s="41"/>
      <c r="AE45" s="41"/>
      <c r="AF45" s="11">
        <f t="shared" si="11"/>
        <v>0</v>
      </c>
      <c r="AG45" s="11">
        <f t="shared" si="12"/>
        <v>0</v>
      </c>
      <c r="AH45" s="11">
        <f t="shared" si="13"/>
        <v>0</v>
      </c>
      <c r="AI45" s="159"/>
    </row>
    <row r="46" spans="1:36">
      <c r="A46" s="70" t="s">
        <v>41</v>
      </c>
      <c r="B46" s="15"/>
      <c r="C46" s="15">
        <v>0.75</v>
      </c>
      <c r="D46" s="15"/>
      <c r="E46" s="15"/>
      <c r="F46" s="372"/>
      <c r="G46" s="372"/>
      <c r="H46" s="372"/>
      <c r="I46" s="372"/>
      <c r="J46" s="372"/>
      <c r="K46" s="374"/>
      <c r="L46" s="374"/>
      <c r="M46" s="374"/>
      <c r="N46" s="372"/>
      <c r="O46" s="372"/>
      <c r="P46" s="372"/>
      <c r="Q46" s="372"/>
      <c r="R46" s="372"/>
      <c r="S46" s="372"/>
      <c r="T46" s="372"/>
      <c r="U46" s="372"/>
      <c r="V46" s="372"/>
      <c r="W46" s="372"/>
      <c r="X46" s="372"/>
      <c r="Y46" s="372"/>
      <c r="Z46" s="372"/>
      <c r="AA46" s="372"/>
      <c r="AB46" s="372"/>
      <c r="AC46" s="372"/>
      <c r="AD46" s="41"/>
      <c r="AE46" s="41"/>
      <c r="AF46" s="11">
        <f t="shared" si="11"/>
        <v>0</v>
      </c>
      <c r="AG46" s="11">
        <f t="shared" si="12"/>
        <v>0</v>
      </c>
      <c r="AH46" s="11">
        <f t="shared" si="13"/>
        <v>0</v>
      </c>
      <c r="AI46" s="159"/>
    </row>
    <row r="47" spans="1:36">
      <c r="A47" s="70" t="s">
        <v>42</v>
      </c>
      <c r="B47" s="15"/>
      <c r="C47" s="15">
        <v>0.75</v>
      </c>
      <c r="D47" s="15"/>
      <c r="E47" s="15"/>
      <c r="F47" s="372"/>
      <c r="G47" s="372"/>
      <c r="H47" s="372"/>
      <c r="I47" s="372"/>
      <c r="J47" s="372"/>
      <c r="K47" s="374"/>
      <c r="L47" s="374"/>
      <c r="M47" s="374"/>
      <c r="N47" s="374">
        <f>3.1/4</f>
        <v>0.77500000000000002</v>
      </c>
      <c r="O47" s="372">
        <f>2.3/3</f>
        <v>0.76666666666666661</v>
      </c>
      <c r="P47" s="372"/>
      <c r="Q47" s="372"/>
      <c r="R47" s="372"/>
      <c r="S47" s="372"/>
      <c r="T47" s="372"/>
      <c r="U47" s="372">
        <v>0</v>
      </c>
      <c r="V47" s="372">
        <v>0</v>
      </c>
      <c r="W47" s="372">
        <v>0</v>
      </c>
      <c r="X47" s="372">
        <v>0</v>
      </c>
      <c r="Y47" s="372">
        <v>0</v>
      </c>
      <c r="Z47" s="372">
        <v>0</v>
      </c>
      <c r="AA47" s="372">
        <v>0</v>
      </c>
      <c r="AB47" s="372">
        <v>0</v>
      </c>
      <c r="AC47" s="372">
        <v>0</v>
      </c>
      <c r="AD47" s="41"/>
      <c r="AE47" s="41"/>
      <c r="AF47" s="11">
        <f t="shared" si="11"/>
        <v>0</v>
      </c>
      <c r="AG47" s="11">
        <f t="shared" si="12"/>
        <v>0</v>
      </c>
      <c r="AH47" s="11">
        <f t="shared" si="13"/>
        <v>11</v>
      </c>
    </row>
    <row r="48" spans="1:36">
      <c r="A48" s="70" t="s">
        <v>43</v>
      </c>
      <c r="B48" s="15"/>
      <c r="C48" s="15">
        <v>0.75</v>
      </c>
      <c r="D48" s="15"/>
      <c r="E48" s="15"/>
      <c r="F48" s="372"/>
      <c r="G48" s="372"/>
      <c r="H48" s="372"/>
      <c r="I48" s="372"/>
      <c r="J48" s="372"/>
      <c r="K48" s="374"/>
      <c r="L48" s="374"/>
      <c r="M48" s="374"/>
      <c r="N48" s="372"/>
      <c r="O48" s="372"/>
      <c r="P48" s="372"/>
      <c r="Q48" s="372"/>
      <c r="R48" s="372"/>
      <c r="S48" s="372"/>
      <c r="T48" s="372"/>
      <c r="U48" s="372"/>
      <c r="V48" s="372"/>
      <c r="W48" s="372"/>
      <c r="X48" s="372"/>
      <c r="Y48" s="372"/>
      <c r="Z48" s="372"/>
      <c r="AA48" s="372"/>
      <c r="AB48" s="372"/>
      <c r="AC48" s="372"/>
      <c r="AD48" s="41"/>
      <c r="AE48" s="41"/>
      <c r="AF48" s="11">
        <f t="shared" si="11"/>
        <v>0</v>
      </c>
      <c r="AG48" s="11">
        <f t="shared" si="12"/>
        <v>0</v>
      </c>
      <c r="AH48" s="11">
        <f t="shared" si="13"/>
        <v>0</v>
      </c>
    </row>
    <row r="49" spans="1:124" ht="15" customHeight="1">
      <c r="A49" s="70" t="s">
        <v>44</v>
      </c>
      <c r="B49" s="15"/>
      <c r="C49" s="15">
        <v>0.75</v>
      </c>
      <c r="D49" s="15"/>
      <c r="E49" s="15"/>
      <c r="F49" s="372"/>
      <c r="G49" s="372"/>
      <c r="H49" s="372"/>
      <c r="I49" s="372"/>
      <c r="J49" s="372"/>
      <c r="K49" s="374"/>
      <c r="L49" s="374"/>
      <c r="M49" s="374"/>
      <c r="N49" s="372"/>
      <c r="O49" s="372"/>
      <c r="P49" s="372"/>
      <c r="Q49" s="372"/>
      <c r="R49" s="372"/>
      <c r="S49" s="372"/>
      <c r="T49" s="372"/>
      <c r="U49" s="372"/>
      <c r="V49" s="372"/>
      <c r="W49" s="372"/>
      <c r="X49" s="372"/>
      <c r="Y49" s="372"/>
      <c r="Z49" s="372"/>
      <c r="AA49" s="372"/>
      <c r="AB49" s="372"/>
      <c r="AC49" s="372"/>
      <c r="AD49" s="41"/>
      <c r="AE49" s="41"/>
      <c r="AF49" s="11">
        <f t="shared" si="11"/>
        <v>0</v>
      </c>
      <c r="AG49" s="11">
        <f t="shared" si="12"/>
        <v>0</v>
      </c>
      <c r="AH49" s="11">
        <f t="shared" si="13"/>
        <v>0</v>
      </c>
    </row>
    <row r="50" spans="1:124" ht="17.25" customHeight="1">
      <c r="A50" s="70" t="s">
        <v>45</v>
      </c>
      <c r="B50" s="15"/>
      <c r="C50" s="15">
        <v>0.75</v>
      </c>
      <c r="D50" s="15"/>
      <c r="E50" s="15"/>
      <c r="F50" s="372"/>
      <c r="G50" s="372"/>
      <c r="H50" s="372"/>
      <c r="I50" s="372"/>
      <c r="J50" s="372"/>
      <c r="K50" s="374"/>
      <c r="L50" s="374"/>
      <c r="M50" s="374"/>
      <c r="N50" s="374">
        <f>3.1/4</f>
        <v>0.77500000000000002</v>
      </c>
      <c r="O50" s="372">
        <f>2.3/3</f>
        <v>0.76666666666666661</v>
      </c>
      <c r="P50" s="372"/>
      <c r="Q50" s="372"/>
      <c r="R50" s="372"/>
      <c r="S50" s="372"/>
      <c r="T50" s="372"/>
      <c r="U50" s="372"/>
      <c r="V50" s="372"/>
      <c r="W50" s="372"/>
      <c r="X50" s="372"/>
      <c r="Y50" s="372"/>
      <c r="Z50" s="372">
        <v>0.8</v>
      </c>
      <c r="AA50" s="372"/>
      <c r="AB50" s="372"/>
      <c r="AC50" s="372"/>
      <c r="AD50" s="41"/>
      <c r="AE50" s="41"/>
      <c r="AF50" s="11">
        <f t="shared" si="11"/>
        <v>0</v>
      </c>
      <c r="AG50" s="11">
        <f t="shared" si="12"/>
        <v>0</v>
      </c>
      <c r="AH50" s="11">
        <f t="shared" si="13"/>
        <v>3</v>
      </c>
    </row>
    <row r="51" spans="1:124">
      <c r="A51" s="70" t="s">
        <v>46</v>
      </c>
      <c r="B51" s="15"/>
      <c r="C51" s="15">
        <v>0.85</v>
      </c>
      <c r="D51" s="15"/>
      <c r="E51" s="15"/>
      <c r="F51" s="372"/>
      <c r="G51" s="372"/>
      <c r="H51" s="372"/>
      <c r="I51" s="372"/>
      <c r="J51" s="372"/>
      <c r="K51" s="374"/>
      <c r="L51" s="374"/>
      <c r="M51" s="374"/>
      <c r="N51" s="374">
        <f>3.1/4</f>
        <v>0.77500000000000002</v>
      </c>
      <c r="O51" s="372"/>
      <c r="P51" s="372"/>
      <c r="Q51" s="372"/>
      <c r="R51" s="372"/>
      <c r="S51" s="372"/>
      <c r="T51" s="372"/>
      <c r="U51" s="372">
        <v>0</v>
      </c>
      <c r="V51" s="372">
        <v>0</v>
      </c>
      <c r="W51" s="372">
        <v>0</v>
      </c>
      <c r="X51" s="372">
        <v>0</v>
      </c>
      <c r="Y51" s="372">
        <v>0</v>
      </c>
      <c r="Z51" s="372">
        <v>0</v>
      </c>
      <c r="AA51" s="372">
        <v>0</v>
      </c>
      <c r="AB51" s="372">
        <v>0</v>
      </c>
      <c r="AC51" s="372">
        <v>0</v>
      </c>
      <c r="AD51" s="41"/>
      <c r="AE51" s="41"/>
      <c r="AF51" s="11">
        <f t="shared" si="11"/>
        <v>0</v>
      </c>
      <c r="AG51" s="11">
        <f t="shared" si="12"/>
        <v>0</v>
      </c>
      <c r="AH51" s="11">
        <f t="shared" si="13"/>
        <v>10</v>
      </c>
    </row>
    <row r="52" spans="1:124">
      <c r="A52" s="70" t="s">
        <v>47</v>
      </c>
      <c r="B52" s="15"/>
      <c r="C52" s="15">
        <v>0.85</v>
      </c>
      <c r="D52" s="15"/>
      <c r="E52" s="15"/>
      <c r="F52" s="372" t="s">
        <v>9</v>
      </c>
      <c r="G52" s="372" t="s">
        <v>9</v>
      </c>
      <c r="H52" s="372" t="s">
        <v>9</v>
      </c>
      <c r="I52" s="372" t="s">
        <v>9</v>
      </c>
      <c r="J52" s="372" t="s">
        <v>9</v>
      </c>
      <c r="K52" s="374" t="s">
        <v>9</v>
      </c>
      <c r="L52" s="374" t="s">
        <v>9</v>
      </c>
      <c r="M52" s="374" t="s">
        <v>9</v>
      </c>
      <c r="N52" s="372" t="s">
        <v>9</v>
      </c>
      <c r="O52" s="372" t="s">
        <v>9</v>
      </c>
      <c r="P52" s="372" t="s">
        <v>9</v>
      </c>
      <c r="Q52" s="372" t="s">
        <v>9</v>
      </c>
      <c r="R52" s="372" t="s">
        <v>9</v>
      </c>
      <c r="S52" s="372" t="s">
        <v>9</v>
      </c>
      <c r="T52" s="372" t="s">
        <v>9</v>
      </c>
      <c r="U52" s="372" t="s">
        <v>9</v>
      </c>
      <c r="V52" s="372" t="s">
        <v>9</v>
      </c>
      <c r="W52" s="372" t="s">
        <v>9</v>
      </c>
      <c r="X52" s="372" t="s">
        <v>9</v>
      </c>
      <c r="Y52" s="372" t="s">
        <v>9</v>
      </c>
      <c r="Z52" s="372" t="s">
        <v>9</v>
      </c>
      <c r="AA52" s="372" t="s">
        <v>9</v>
      </c>
      <c r="AB52" s="372" t="s">
        <v>9</v>
      </c>
      <c r="AC52" s="372" t="s">
        <v>9</v>
      </c>
      <c r="AD52" s="41"/>
      <c r="AE52" s="41"/>
      <c r="AF52" s="11">
        <f t="shared" si="11"/>
        <v>24</v>
      </c>
      <c r="AG52" s="11">
        <f t="shared" si="12"/>
        <v>0</v>
      </c>
      <c r="AH52" s="11">
        <f t="shared" si="13"/>
        <v>0</v>
      </c>
    </row>
    <row r="53" spans="1:124">
      <c r="A53" s="70" t="s">
        <v>48</v>
      </c>
      <c r="B53" s="15"/>
      <c r="C53" s="15">
        <v>0.85</v>
      </c>
      <c r="D53" s="15"/>
      <c r="E53" s="15"/>
      <c r="F53" s="372"/>
      <c r="G53" s="372"/>
      <c r="H53" s="372"/>
      <c r="I53" s="372"/>
      <c r="J53" s="372"/>
      <c r="K53" s="374"/>
      <c r="L53" s="374"/>
      <c r="M53" s="374"/>
      <c r="N53" s="372"/>
      <c r="O53" s="372"/>
      <c r="P53" s="372"/>
      <c r="Q53" s="372"/>
      <c r="R53" s="372"/>
      <c r="S53" s="372"/>
      <c r="T53" s="372"/>
      <c r="U53" s="372"/>
      <c r="V53" s="372"/>
      <c r="W53" s="372"/>
      <c r="X53" s="372"/>
      <c r="Y53" s="372"/>
      <c r="Z53" s="372"/>
      <c r="AA53" s="372"/>
      <c r="AB53" s="372"/>
      <c r="AC53" s="372"/>
      <c r="AD53" s="41"/>
      <c r="AE53" s="41"/>
      <c r="AF53" s="11">
        <f t="shared" si="11"/>
        <v>0</v>
      </c>
      <c r="AG53" s="11">
        <f t="shared" si="12"/>
        <v>0</v>
      </c>
      <c r="AH53" s="11">
        <f t="shared" si="13"/>
        <v>0</v>
      </c>
    </row>
    <row r="54" spans="1:124" ht="16.5" customHeight="1">
      <c r="A54" s="70" t="s">
        <v>49</v>
      </c>
      <c r="B54" s="15"/>
      <c r="C54" s="15">
        <v>0.85</v>
      </c>
      <c r="D54" s="15"/>
      <c r="E54" s="15"/>
      <c r="F54" s="372"/>
      <c r="G54" s="372"/>
      <c r="H54" s="372"/>
      <c r="I54" s="372"/>
      <c r="J54" s="372"/>
      <c r="K54" s="374"/>
      <c r="L54" s="374"/>
      <c r="M54" s="374">
        <v>0.8</v>
      </c>
      <c r="N54" s="374"/>
      <c r="O54" s="372"/>
      <c r="P54" s="372"/>
      <c r="Q54" s="372"/>
      <c r="R54" s="372"/>
      <c r="S54" s="372"/>
      <c r="T54" s="372"/>
      <c r="U54" s="372">
        <v>0</v>
      </c>
      <c r="V54" s="372">
        <v>0</v>
      </c>
      <c r="W54" s="372">
        <v>0</v>
      </c>
      <c r="X54" s="372">
        <v>0</v>
      </c>
      <c r="Y54" s="372">
        <v>0</v>
      </c>
      <c r="Z54" s="372">
        <v>0</v>
      </c>
      <c r="AA54" s="372">
        <v>0</v>
      </c>
      <c r="AB54" s="372">
        <v>0</v>
      </c>
      <c r="AC54" s="372">
        <v>0</v>
      </c>
      <c r="AD54" s="41"/>
      <c r="AE54" s="41"/>
      <c r="AF54" s="11">
        <f t="shared" si="11"/>
        <v>0</v>
      </c>
      <c r="AG54" s="11">
        <f t="shared" si="12"/>
        <v>0</v>
      </c>
      <c r="AH54" s="11">
        <f t="shared" si="13"/>
        <v>10</v>
      </c>
    </row>
    <row r="55" spans="1:124">
      <c r="A55" s="70" t="s">
        <v>50</v>
      </c>
      <c r="B55" s="15"/>
      <c r="C55" s="15">
        <v>0.85</v>
      </c>
      <c r="D55" s="15"/>
      <c r="E55" s="15"/>
      <c r="F55" s="372"/>
      <c r="G55" s="372"/>
      <c r="H55" s="372"/>
      <c r="I55" s="372"/>
      <c r="J55" s="372"/>
      <c r="K55" s="374"/>
      <c r="L55" s="374"/>
      <c r="M55" s="374"/>
      <c r="N55" s="372"/>
      <c r="O55" s="372"/>
      <c r="P55" s="372"/>
      <c r="Q55" s="372"/>
      <c r="R55" s="372"/>
      <c r="S55" s="372"/>
      <c r="T55" s="372"/>
      <c r="U55" s="372"/>
      <c r="V55" s="372"/>
      <c r="W55" s="372"/>
      <c r="X55" s="372"/>
      <c r="Y55" s="372"/>
      <c r="Z55" s="372"/>
      <c r="AA55" s="372"/>
      <c r="AB55" s="372"/>
      <c r="AC55" s="372"/>
      <c r="AD55" s="41"/>
      <c r="AE55" s="41"/>
      <c r="AF55" s="11">
        <f>COUNTIF(F55:AC55,$AJ$8)</f>
        <v>0</v>
      </c>
      <c r="AG55" s="11">
        <f t="shared" si="12"/>
        <v>0</v>
      </c>
      <c r="AH55" s="11">
        <f>COUNT(F55:AC55)</f>
        <v>0</v>
      </c>
    </row>
    <row r="56" spans="1:124">
      <c r="A56" s="70" t="s">
        <v>51</v>
      </c>
      <c r="B56" s="15"/>
      <c r="C56" s="15">
        <v>0.75</v>
      </c>
      <c r="D56" s="15"/>
      <c r="E56" s="15"/>
      <c r="F56" s="372"/>
      <c r="G56" s="372"/>
      <c r="H56" s="372"/>
      <c r="I56" s="372"/>
      <c r="J56" s="372"/>
      <c r="K56" s="374"/>
      <c r="L56" s="374"/>
      <c r="M56" s="374"/>
      <c r="N56" s="374">
        <f>3.1/4</f>
        <v>0.77500000000000002</v>
      </c>
      <c r="O56" s="372">
        <f>2.3/3</f>
        <v>0.76666666666666661</v>
      </c>
      <c r="P56" s="372"/>
      <c r="Q56" s="372"/>
      <c r="R56" s="372"/>
      <c r="S56" s="372"/>
      <c r="T56" s="372"/>
      <c r="U56" s="372">
        <v>0</v>
      </c>
      <c r="V56" s="372">
        <v>0</v>
      </c>
      <c r="W56" s="372">
        <v>0</v>
      </c>
      <c r="X56" s="372">
        <v>0</v>
      </c>
      <c r="Y56" s="372">
        <v>0</v>
      </c>
      <c r="Z56" s="372">
        <v>0.7</v>
      </c>
      <c r="AA56" s="372"/>
      <c r="AB56" s="372"/>
      <c r="AC56" s="372"/>
      <c r="AD56" s="41"/>
      <c r="AE56" s="41"/>
      <c r="AF56" s="11">
        <f t="shared" si="11"/>
        <v>0</v>
      </c>
      <c r="AG56" s="11">
        <f t="shared" si="12"/>
        <v>0</v>
      </c>
      <c r="AH56" s="11">
        <f t="shared" si="13"/>
        <v>8</v>
      </c>
    </row>
    <row r="57" spans="1:124">
      <c r="A57" s="70" t="s">
        <v>52</v>
      </c>
      <c r="B57" s="15"/>
      <c r="C57" s="15">
        <v>0.75</v>
      </c>
      <c r="D57" s="15"/>
      <c r="E57" s="15"/>
      <c r="F57" s="372"/>
      <c r="G57" s="372"/>
      <c r="H57" s="372"/>
      <c r="I57" s="372"/>
      <c r="J57" s="372"/>
      <c r="K57" s="374"/>
      <c r="L57" s="374"/>
      <c r="M57" s="374"/>
      <c r="N57" s="372"/>
      <c r="O57" s="372"/>
      <c r="P57" s="372"/>
      <c r="Q57" s="372"/>
      <c r="R57" s="372"/>
      <c r="S57" s="372"/>
      <c r="T57" s="372"/>
      <c r="U57" s="372"/>
      <c r="V57" s="372"/>
      <c r="W57" s="372"/>
      <c r="X57" s="372"/>
      <c r="Y57" s="372"/>
      <c r="Z57" s="372"/>
      <c r="AA57" s="372"/>
      <c r="AB57" s="372"/>
      <c r="AC57" s="372"/>
      <c r="AD57" s="41"/>
      <c r="AE57" s="41"/>
      <c r="AF57" s="11">
        <f t="shared" si="11"/>
        <v>0</v>
      </c>
      <c r="AG57" s="11">
        <f t="shared" si="12"/>
        <v>0</v>
      </c>
      <c r="AH57" s="11">
        <f t="shared" si="13"/>
        <v>0</v>
      </c>
    </row>
    <row r="58" spans="1:124">
      <c r="A58" s="70" t="s">
        <v>53</v>
      </c>
      <c r="B58" s="15"/>
      <c r="C58" s="15">
        <v>0.85</v>
      </c>
      <c r="D58" s="15"/>
      <c r="E58" s="15"/>
      <c r="F58" s="372"/>
      <c r="G58" s="372"/>
      <c r="H58" s="372"/>
      <c r="I58" s="372"/>
      <c r="J58" s="372"/>
      <c r="K58" s="374"/>
      <c r="L58" s="374"/>
      <c r="M58" s="374"/>
      <c r="N58" s="372"/>
      <c r="O58" s="372"/>
      <c r="P58" s="372"/>
      <c r="Q58" s="372"/>
      <c r="R58" s="372"/>
      <c r="S58" s="372"/>
      <c r="T58" s="372"/>
      <c r="U58" s="372"/>
      <c r="V58" s="372"/>
      <c r="W58" s="372"/>
      <c r="X58" s="372"/>
      <c r="Y58" s="372"/>
      <c r="Z58" s="372"/>
      <c r="AA58" s="372"/>
      <c r="AB58" s="372"/>
      <c r="AC58" s="372"/>
      <c r="AD58" s="41"/>
      <c r="AE58" s="41"/>
      <c r="AF58" s="11">
        <f t="shared" si="11"/>
        <v>0</v>
      </c>
      <c r="AG58" s="11">
        <f t="shared" si="12"/>
        <v>0</v>
      </c>
      <c r="AH58" s="11">
        <f t="shared" si="13"/>
        <v>0</v>
      </c>
    </row>
    <row r="59" spans="1:124">
      <c r="A59" s="70" t="s">
        <v>54</v>
      </c>
      <c r="B59" s="15"/>
      <c r="C59" s="15">
        <v>0.85</v>
      </c>
      <c r="D59" s="15"/>
      <c r="E59" s="15"/>
      <c r="F59" s="372"/>
      <c r="G59" s="372"/>
      <c r="H59" s="372"/>
      <c r="I59" s="372"/>
      <c r="J59" s="372"/>
      <c r="K59" s="374"/>
      <c r="L59" s="374"/>
      <c r="M59" s="374"/>
      <c r="N59" s="372"/>
      <c r="O59" s="372"/>
      <c r="P59" s="372"/>
      <c r="Q59" s="372"/>
      <c r="R59" s="372"/>
      <c r="S59" s="372"/>
      <c r="T59" s="372"/>
      <c r="U59" s="372"/>
      <c r="V59" s="372"/>
      <c r="W59" s="372"/>
      <c r="X59" s="372"/>
      <c r="Y59" s="372"/>
      <c r="Z59" s="372"/>
      <c r="AA59" s="372"/>
      <c r="AB59" s="372"/>
      <c r="AC59" s="372"/>
      <c r="AD59" s="41"/>
      <c r="AE59" s="41"/>
      <c r="AF59" s="11">
        <f t="shared" si="11"/>
        <v>0</v>
      </c>
      <c r="AG59" s="11">
        <f t="shared" si="12"/>
        <v>0</v>
      </c>
      <c r="AH59" s="11">
        <f t="shared" si="13"/>
        <v>0</v>
      </c>
    </row>
    <row r="60" spans="1:124">
      <c r="A60" s="9" t="s">
        <v>26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 t="shared" ref="F60" si="14">SUM(F36:F59)</f>
        <v>0</v>
      </c>
      <c r="G60" s="19">
        <f t="shared" ref="G60:AC60" si="15">SUM(G36:G59)</f>
        <v>0</v>
      </c>
      <c r="H60" s="19">
        <f t="shared" si="15"/>
        <v>0</v>
      </c>
      <c r="I60" s="19">
        <f t="shared" si="15"/>
        <v>0</v>
      </c>
      <c r="J60" s="19">
        <f t="shared" si="15"/>
        <v>0</v>
      </c>
      <c r="K60" s="19">
        <f t="shared" si="15"/>
        <v>0</v>
      </c>
      <c r="L60" s="19">
        <f t="shared" si="15"/>
        <v>0</v>
      </c>
      <c r="M60" s="19">
        <f t="shared" si="15"/>
        <v>0.8</v>
      </c>
      <c r="N60" s="19">
        <f t="shared" si="15"/>
        <v>3.1</v>
      </c>
      <c r="O60" s="19">
        <f>SUM(O36:O59)</f>
        <v>2.2999999999999998</v>
      </c>
      <c r="P60" s="19">
        <f t="shared" si="15"/>
        <v>0</v>
      </c>
      <c r="Q60" s="19">
        <f t="shared" si="15"/>
        <v>0</v>
      </c>
      <c r="R60" s="19">
        <f t="shared" si="15"/>
        <v>0</v>
      </c>
      <c r="S60" s="19">
        <f t="shared" si="15"/>
        <v>0</v>
      </c>
      <c r="T60" s="19">
        <f>SUM(T36:T59)</f>
        <v>0</v>
      </c>
      <c r="U60" s="19">
        <f t="shared" si="15"/>
        <v>0</v>
      </c>
      <c r="V60" s="19">
        <f t="shared" si="15"/>
        <v>0</v>
      </c>
      <c r="W60" s="19">
        <f t="shared" si="15"/>
        <v>0</v>
      </c>
      <c r="X60" s="19">
        <f t="shared" si="15"/>
        <v>0</v>
      </c>
      <c r="Y60" s="19">
        <f t="shared" si="15"/>
        <v>0</v>
      </c>
      <c r="Z60" s="19">
        <f t="shared" si="15"/>
        <v>1.5</v>
      </c>
      <c r="AA60" s="19">
        <f t="shared" si="15"/>
        <v>0</v>
      </c>
      <c r="AB60" s="19">
        <f t="shared" si="15"/>
        <v>0</v>
      </c>
      <c r="AC60" s="19">
        <f t="shared" si="15"/>
        <v>0</v>
      </c>
      <c r="AD60" s="34"/>
      <c r="AE60" s="34"/>
      <c r="AF60" s="11"/>
      <c r="AG60" s="11"/>
      <c r="AH60" s="11"/>
    </row>
    <row r="61" spans="1:124">
      <c r="A61" s="12" t="s">
        <v>55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28.999999999999993</v>
      </c>
      <c r="AN61" s="351"/>
    </row>
    <row r="62" spans="1:124">
      <c r="A62" s="14" t="s">
        <v>56</v>
      </c>
      <c r="B62" s="20"/>
      <c r="C62" s="15">
        <v>0.75</v>
      </c>
      <c r="D62" s="15"/>
      <c r="E62" s="15"/>
      <c r="F62" s="372">
        <f>0.93/2</f>
        <v>0.46500000000000002</v>
      </c>
      <c r="G62" s="372">
        <f>0.88/2</f>
        <v>0.44</v>
      </c>
      <c r="H62" s="372">
        <f>0.84/2</f>
        <v>0.42</v>
      </c>
      <c r="I62" s="372">
        <f>0.82/2</f>
        <v>0.41</v>
      </c>
      <c r="J62" s="374"/>
      <c r="K62" s="374"/>
      <c r="L62" s="374"/>
      <c r="M62" s="374"/>
      <c r="N62" s="372"/>
      <c r="O62" s="372"/>
      <c r="P62" s="372"/>
      <c r="Q62" s="372"/>
      <c r="R62" s="372">
        <v>0.75</v>
      </c>
      <c r="S62" s="372">
        <v>0.73</v>
      </c>
      <c r="T62" s="372">
        <f>1.49/2</f>
        <v>0.745</v>
      </c>
      <c r="U62" s="372">
        <f>1.47/2</f>
        <v>0.73499999999999999</v>
      </c>
      <c r="V62" s="372">
        <f>1.51/2</f>
        <v>0.755</v>
      </c>
      <c r="W62" s="372">
        <f>1.43/2</f>
        <v>0.71499999999999997</v>
      </c>
      <c r="X62" s="372">
        <v>0.5</v>
      </c>
      <c r="Y62" s="372">
        <f>1.54/3</f>
        <v>0.51333333333333331</v>
      </c>
      <c r="Z62" s="372">
        <f>1.49/3</f>
        <v>0.49666666666666665</v>
      </c>
      <c r="AA62" s="372">
        <f>1.35/2</f>
        <v>0.67500000000000004</v>
      </c>
      <c r="AB62" s="372">
        <f>1.22/2</f>
        <v>0.61</v>
      </c>
      <c r="AC62" s="372">
        <f>1.16/2</f>
        <v>0.57999999999999996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16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57</v>
      </c>
      <c r="B63" s="20"/>
      <c r="C63" s="15">
        <v>0.75</v>
      </c>
      <c r="D63" s="15"/>
      <c r="E63" s="15"/>
      <c r="F63" s="372">
        <f>0.93/2</f>
        <v>0.46500000000000002</v>
      </c>
      <c r="G63" s="372">
        <f>0.88/2</f>
        <v>0.44</v>
      </c>
      <c r="H63" s="372">
        <f>0.84/2</f>
        <v>0.42</v>
      </c>
      <c r="I63" s="372">
        <f>0.82/2</f>
        <v>0.41</v>
      </c>
      <c r="J63" s="374">
        <f>0.81/2</f>
        <v>0.40500000000000003</v>
      </c>
      <c r="K63" s="374">
        <f>0.83/2</f>
        <v>0.41499999999999998</v>
      </c>
      <c r="L63" s="374">
        <f>0.94/2</f>
        <v>0.47</v>
      </c>
      <c r="M63" s="374">
        <f>1.04/2</f>
        <v>0.52</v>
      </c>
      <c r="N63" s="372">
        <f>1.07/2</f>
        <v>0.53500000000000003</v>
      </c>
      <c r="O63" s="372">
        <f>1.34/2</f>
        <v>0.67</v>
      </c>
      <c r="P63" s="372">
        <v>0.70499999999999996</v>
      </c>
      <c r="Q63" s="372">
        <v>0.73499999999999999</v>
      </c>
      <c r="R63" s="372"/>
      <c r="S63" s="372"/>
      <c r="T63" s="372"/>
      <c r="U63" s="372"/>
      <c r="V63" s="372"/>
      <c r="W63" s="372"/>
      <c r="X63" s="372"/>
      <c r="Y63" s="372">
        <f t="shared" ref="Y63:Y64" si="16">1.54/3</f>
        <v>0.51333333333333331</v>
      </c>
      <c r="Z63" s="372">
        <f t="shared" ref="Z63:Z64" si="17">1.49/3</f>
        <v>0.49666666666666665</v>
      </c>
      <c r="AA63" s="372">
        <f>1.35/2</f>
        <v>0.67500000000000004</v>
      </c>
      <c r="AB63" s="372">
        <f>1.22/2</f>
        <v>0.61</v>
      </c>
      <c r="AC63" s="372">
        <f>1.16/2</f>
        <v>0.57999999999999996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17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58</v>
      </c>
      <c r="B64" s="20"/>
      <c r="C64" s="15">
        <v>0.75</v>
      </c>
      <c r="D64" s="15"/>
      <c r="E64" s="15"/>
      <c r="F64" s="372"/>
      <c r="G64" s="372"/>
      <c r="H64" s="372"/>
      <c r="I64" s="372"/>
      <c r="J64" s="374">
        <f>0.81/2</f>
        <v>0.40500000000000003</v>
      </c>
      <c r="K64" s="374">
        <f>0.83/2</f>
        <v>0.41499999999999998</v>
      </c>
      <c r="L64" s="374">
        <f>0.94/2</f>
        <v>0.47</v>
      </c>
      <c r="M64" s="374">
        <f>1.04/2</f>
        <v>0.52</v>
      </c>
      <c r="N64" s="372">
        <f>1.07/2</f>
        <v>0.53500000000000003</v>
      </c>
      <c r="O64" s="372">
        <f>1.34/2</f>
        <v>0.67</v>
      </c>
      <c r="P64" s="372">
        <v>0.70499999999999996</v>
      </c>
      <c r="Q64" s="372">
        <v>0.73499999999999999</v>
      </c>
      <c r="R64" s="372">
        <v>0.75</v>
      </c>
      <c r="S64" s="372">
        <v>0.73</v>
      </c>
      <c r="T64" s="372">
        <f>1.49/2</f>
        <v>0.745</v>
      </c>
      <c r="U64" s="372">
        <f>1.47/2</f>
        <v>0.73499999999999999</v>
      </c>
      <c r="V64" s="372">
        <f>1.51/2</f>
        <v>0.755</v>
      </c>
      <c r="W64" s="372">
        <f>1.43/2</f>
        <v>0.71499999999999997</v>
      </c>
      <c r="X64" s="372">
        <v>0.5</v>
      </c>
      <c r="Y64" s="372">
        <f t="shared" si="16"/>
        <v>0.51333333333333331</v>
      </c>
      <c r="Z64" s="372">
        <f t="shared" si="17"/>
        <v>0.49666666666666665</v>
      </c>
      <c r="AA64" s="372">
        <v>0</v>
      </c>
      <c r="AB64" s="372">
        <v>0</v>
      </c>
      <c r="AC64" s="372">
        <v>0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20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0.93</v>
      </c>
      <c r="G65" s="19">
        <f t="shared" ref="G65" si="18">SUM(G62:G64)</f>
        <v>0.88</v>
      </c>
      <c r="H65" s="19">
        <f>SUM(H62:H64)</f>
        <v>0.84</v>
      </c>
      <c r="I65" s="19">
        <f>SUM(I62:I64)</f>
        <v>0.82</v>
      </c>
      <c r="J65" s="19">
        <f t="shared" ref="J65" si="19">SUM(J62:J64)</f>
        <v>0.81</v>
      </c>
      <c r="K65" s="19">
        <f>SUM(K62:K64)</f>
        <v>0.83</v>
      </c>
      <c r="L65" s="19">
        <f>SUM(L62:L64)</f>
        <v>0.94</v>
      </c>
      <c r="M65" s="19">
        <f>SUM(M62:M64)</f>
        <v>1.04</v>
      </c>
      <c r="N65" s="19">
        <f>SUM(N62:N64)</f>
        <v>1.07</v>
      </c>
      <c r="O65" s="19">
        <f t="shared" ref="O65:AB65" si="20">SUM(O62:O64)</f>
        <v>1.34</v>
      </c>
      <c r="P65" s="19">
        <f t="shared" si="20"/>
        <v>1.41</v>
      </c>
      <c r="Q65" s="19">
        <f t="shared" si="20"/>
        <v>1.47</v>
      </c>
      <c r="R65" s="19">
        <f t="shared" si="20"/>
        <v>1.5</v>
      </c>
      <c r="S65" s="19">
        <f t="shared" si="20"/>
        <v>1.46</v>
      </c>
      <c r="T65" s="19">
        <f t="shared" si="20"/>
        <v>1.49</v>
      </c>
      <c r="U65" s="19">
        <f t="shared" si="20"/>
        <v>1.47</v>
      </c>
      <c r="V65" s="19">
        <f t="shared" si="20"/>
        <v>1.51</v>
      </c>
      <c r="W65" s="19">
        <f t="shared" si="20"/>
        <v>1.43</v>
      </c>
      <c r="X65" s="19">
        <f t="shared" si="20"/>
        <v>1</v>
      </c>
      <c r="Y65" s="19">
        <f>SUM(Y62:Y64)</f>
        <v>1.54</v>
      </c>
      <c r="Z65" s="19">
        <f t="shared" si="20"/>
        <v>1.49</v>
      </c>
      <c r="AA65" s="19">
        <f t="shared" si="20"/>
        <v>1.35</v>
      </c>
      <c r="AB65" s="19">
        <f t="shared" si="20"/>
        <v>1.22</v>
      </c>
      <c r="AC65" s="19">
        <f>SUM(AC62:AC64)</f>
        <v>1.1599999999999999</v>
      </c>
      <c r="AD65" s="34"/>
      <c r="AE65" s="34"/>
      <c r="AF65" s="11"/>
      <c r="AG65" s="11"/>
      <c r="AH65" s="11"/>
    </row>
    <row r="66" spans="1:124" hidden="1">
      <c r="A66" s="12" t="s">
        <v>59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idden="1">
      <c r="A67" s="14" t="s">
        <v>60</v>
      </c>
      <c r="B67" s="15"/>
      <c r="C67" s="15">
        <v>0.85</v>
      </c>
      <c r="D67" s="15"/>
      <c r="E67" s="15"/>
      <c r="F67" s="372"/>
      <c r="G67" s="372"/>
      <c r="H67" s="372"/>
      <c r="I67" s="372"/>
      <c r="J67" s="372"/>
      <c r="K67" s="374"/>
      <c r="L67" s="374"/>
      <c r="M67" s="374"/>
      <c r="N67" s="372"/>
      <c r="O67" s="372"/>
      <c r="P67" s="372"/>
      <c r="Q67" s="372"/>
      <c r="R67" s="372"/>
      <c r="S67" s="372"/>
      <c r="T67" s="372"/>
      <c r="U67" s="372"/>
      <c r="V67" s="372"/>
      <c r="W67" s="372"/>
      <c r="X67" s="372"/>
      <c r="Y67" s="372"/>
      <c r="Z67" s="372"/>
      <c r="AA67" s="372"/>
      <c r="AB67" s="372"/>
      <c r="AC67" s="372"/>
      <c r="AD67" s="35"/>
      <c r="AE67" s="35"/>
      <c r="AF67" s="11">
        <f t="shared" ref="AF67:AF75" si="21">COUNTIF(F67:AC67,$AF$11)</f>
        <v>0</v>
      </c>
      <c r="AG67" s="11">
        <f t="shared" ref="AG67:AG75" si="22">COUNTIF(G67:AC67,$AG$11)</f>
        <v>0</v>
      </c>
      <c r="AH67" s="11">
        <f t="shared" ref="AH67:AH75" si="23">COUNT(F67:AC67)</f>
        <v>0</v>
      </c>
    </row>
    <row r="68" spans="1:124" hidden="1">
      <c r="A68" s="14" t="s">
        <v>61</v>
      </c>
      <c r="B68" s="15"/>
      <c r="C68" s="15">
        <v>0.85</v>
      </c>
      <c r="D68" s="15"/>
      <c r="E68" s="15"/>
      <c r="F68" s="372"/>
      <c r="G68" s="372"/>
      <c r="H68" s="372"/>
      <c r="I68" s="372"/>
      <c r="J68" s="372"/>
      <c r="K68" s="374"/>
      <c r="L68" s="374"/>
      <c r="M68" s="374"/>
      <c r="N68" s="372"/>
      <c r="O68" s="372"/>
      <c r="P68" s="372"/>
      <c r="Q68" s="372"/>
      <c r="R68" s="372"/>
      <c r="S68" s="372"/>
      <c r="T68" s="372"/>
      <c r="U68" s="372"/>
      <c r="V68" s="372"/>
      <c r="W68" s="372"/>
      <c r="X68" s="372"/>
      <c r="Y68" s="372"/>
      <c r="Z68" s="372"/>
      <c r="AA68" s="372"/>
      <c r="AB68" s="372"/>
      <c r="AC68" s="372"/>
      <c r="AD68" s="35"/>
      <c r="AE68" s="35"/>
      <c r="AF68" s="11">
        <f t="shared" si="21"/>
        <v>0</v>
      </c>
      <c r="AG68" s="11">
        <f t="shared" si="22"/>
        <v>0</v>
      </c>
      <c r="AH68" s="11">
        <f t="shared" si="23"/>
        <v>0</v>
      </c>
    </row>
    <row r="69" spans="1:124" hidden="1">
      <c r="A69" s="14" t="s">
        <v>62</v>
      </c>
      <c r="B69" s="15"/>
      <c r="C69" s="15">
        <v>0.85</v>
      </c>
      <c r="D69" s="15"/>
      <c r="E69" s="15"/>
      <c r="F69" s="372"/>
      <c r="G69" s="372"/>
      <c r="H69" s="372"/>
      <c r="I69" s="372"/>
      <c r="J69" s="372"/>
      <c r="K69" s="374"/>
      <c r="L69" s="374"/>
      <c r="M69" s="374"/>
      <c r="N69" s="372"/>
      <c r="O69" s="372"/>
      <c r="P69" s="372"/>
      <c r="Q69" s="372"/>
      <c r="R69" s="372"/>
      <c r="S69" s="372"/>
      <c r="T69" s="372"/>
      <c r="U69" s="372"/>
      <c r="V69" s="372"/>
      <c r="W69" s="372"/>
      <c r="X69" s="372"/>
      <c r="Y69" s="372"/>
      <c r="Z69" s="372"/>
      <c r="AA69" s="372"/>
      <c r="AB69" s="372"/>
      <c r="AC69" s="372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3"/>
        <v>0</v>
      </c>
    </row>
    <row r="70" spans="1:124" hidden="1">
      <c r="A70" s="14" t="s">
        <v>63</v>
      </c>
      <c r="B70" s="15"/>
      <c r="C70" s="15">
        <v>0.85</v>
      </c>
      <c r="D70" s="15"/>
      <c r="E70" s="15"/>
      <c r="F70" s="372"/>
      <c r="G70" s="372"/>
      <c r="H70" s="372"/>
      <c r="I70" s="372"/>
      <c r="J70" s="372"/>
      <c r="K70" s="374"/>
      <c r="L70" s="374"/>
      <c r="M70" s="374"/>
      <c r="N70" s="372"/>
      <c r="O70" s="372"/>
      <c r="P70" s="372"/>
      <c r="Q70" s="372"/>
      <c r="R70" s="372"/>
      <c r="S70" s="372"/>
      <c r="T70" s="372"/>
      <c r="U70" s="372"/>
      <c r="V70" s="372"/>
      <c r="W70" s="372"/>
      <c r="X70" s="372"/>
      <c r="Y70" s="372"/>
      <c r="Z70" s="372"/>
      <c r="AA70" s="372"/>
      <c r="AB70" s="372"/>
      <c r="AC70" s="372"/>
      <c r="AD70" s="35"/>
      <c r="AE70" s="35"/>
      <c r="AF70" s="11">
        <f t="shared" si="21"/>
        <v>0</v>
      </c>
      <c r="AG70" s="11">
        <f t="shared" si="22"/>
        <v>0</v>
      </c>
      <c r="AH70" s="11">
        <f t="shared" si="23"/>
        <v>0</v>
      </c>
      <c r="AI70" s="5"/>
      <c r="AJ70" s="5"/>
      <c r="AK70" s="5"/>
      <c r="AL70" s="5"/>
    </row>
    <row r="71" spans="1:124" hidden="1">
      <c r="A71" s="14" t="s">
        <v>64</v>
      </c>
      <c r="B71" s="15"/>
      <c r="C71" s="15">
        <v>0.85</v>
      </c>
      <c r="D71" s="15"/>
      <c r="E71" s="15"/>
      <c r="F71" s="372"/>
      <c r="G71" s="372"/>
      <c r="H71" s="372"/>
      <c r="I71" s="372"/>
      <c r="J71" s="372"/>
      <c r="K71" s="374"/>
      <c r="L71" s="374"/>
      <c r="M71" s="374"/>
      <c r="N71" s="372"/>
      <c r="O71" s="372"/>
      <c r="P71" s="372"/>
      <c r="Q71" s="372"/>
      <c r="R71" s="372"/>
      <c r="S71" s="372"/>
      <c r="T71" s="372"/>
      <c r="U71" s="372"/>
      <c r="V71" s="372"/>
      <c r="W71" s="372"/>
      <c r="X71" s="372"/>
      <c r="Y71" s="372"/>
      <c r="Z71" s="372"/>
      <c r="AA71" s="372"/>
      <c r="AB71" s="372"/>
      <c r="AC71" s="372"/>
      <c r="AD71" s="35"/>
      <c r="AE71" s="35"/>
      <c r="AF71" s="11">
        <f t="shared" si="21"/>
        <v>0</v>
      </c>
      <c r="AG71" s="11">
        <f t="shared" si="22"/>
        <v>0</v>
      </c>
      <c r="AH71" s="11">
        <f t="shared" si="23"/>
        <v>0</v>
      </c>
    </row>
    <row r="72" spans="1:124" hidden="1">
      <c r="A72" s="14" t="s">
        <v>65</v>
      </c>
      <c r="B72" s="15"/>
      <c r="C72" s="15">
        <v>0.85</v>
      </c>
      <c r="D72" s="15"/>
      <c r="E72" s="15"/>
      <c r="F72" s="372"/>
      <c r="G72" s="372"/>
      <c r="H72" s="372"/>
      <c r="I72" s="372"/>
      <c r="J72" s="372"/>
      <c r="K72" s="374"/>
      <c r="L72" s="374"/>
      <c r="M72" s="374"/>
      <c r="N72" s="372"/>
      <c r="O72" s="372"/>
      <c r="P72" s="372"/>
      <c r="Q72" s="372"/>
      <c r="R72" s="372"/>
      <c r="S72" s="372"/>
      <c r="T72" s="372"/>
      <c r="U72" s="372"/>
      <c r="V72" s="372"/>
      <c r="W72" s="372"/>
      <c r="X72" s="372"/>
      <c r="Y72" s="372"/>
      <c r="Z72" s="372"/>
      <c r="AA72" s="372"/>
      <c r="AB72" s="372"/>
      <c r="AC72" s="372"/>
      <c r="AD72" s="35"/>
      <c r="AE72" s="35"/>
      <c r="AF72" s="11">
        <f t="shared" si="21"/>
        <v>0</v>
      </c>
      <c r="AG72" s="11">
        <f t="shared" si="22"/>
        <v>0</v>
      </c>
      <c r="AH72" s="11">
        <f t="shared" si="23"/>
        <v>0</v>
      </c>
    </row>
    <row r="73" spans="1:124" hidden="1">
      <c r="A73" s="14" t="s">
        <v>66</v>
      </c>
      <c r="B73" s="15"/>
      <c r="C73" s="15">
        <v>0.85</v>
      </c>
      <c r="D73" s="15"/>
      <c r="E73" s="15"/>
      <c r="F73" s="372"/>
      <c r="G73" s="372"/>
      <c r="H73" s="372"/>
      <c r="I73" s="372"/>
      <c r="J73" s="372"/>
      <c r="K73" s="374"/>
      <c r="L73" s="374"/>
      <c r="M73" s="374"/>
      <c r="N73" s="372"/>
      <c r="O73" s="372"/>
      <c r="P73" s="372"/>
      <c r="Q73" s="372"/>
      <c r="R73" s="372"/>
      <c r="S73" s="372"/>
      <c r="T73" s="372"/>
      <c r="U73" s="372"/>
      <c r="V73" s="372"/>
      <c r="W73" s="372"/>
      <c r="X73" s="372"/>
      <c r="Y73" s="372"/>
      <c r="Z73" s="372"/>
      <c r="AA73" s="372"/>
      <c r="AB73" s="372"/>
      <c r="AC73" s="372"/>
      <c r="AD73" s="35"/>
      <c r="AE73" s="35"/>
      <c r="AF73" s="11">
        <f t="shared" si="21"/>
        <v>0</v>
      </c>
      <c r="AG73" s="11">
        <f t="shared" si="22"/>
        <v>0</v>
      </c>
      <c r="AH73" s="11">
        <f t="shared" si="23"/>
        <v>0</v>
      </c>
    </row>
    <row r="74" spans="1:124" hidden="1">
      <c r="A74" s="14" t="s">
        <v>67</v>
      </c>
      <c r="B74" s="19"/>
      <c r="C74" s="15">
        <v>0.85</v>
      </c>
      <c r="D74" s="15"/>
      <c r="E74" s="15"/>
      <c r="F74" s="372"/>
      <c r="G74" s="372"/>
      <c r="H74" s="372"/>
      <c r="I74" s="372"/>
      <c r="J74" s="372"/>
      <c r="K74" s="374"/>
      <c r="L74" s="374"/>
      <c r="M74" s="374"/>
      <c r="N74" s="372"/>
      <c r="O74" s="372"/>
      <c r="P74" s="372"/>
      <c r="Q74" s="372"/>
      <c r="R74" s="372"/>
      <c r="S74" s="372"/>
      <c r="T74" s="372"/>
      <c r="U74" s="372"/>
      <c r="V74" s="372"/>
      <c r="W74" s="372"/>
      <c r="X74" s="372"/>
      <c r="Y74" s="372"/>
      <c r="Z74" s="372"/>
      <c r="AA74" s="372"/>
      <c r="AB74" s="372"/>
      <c r="AC74" s="372"/>
      <c r="AD74" s="29"/>
      <c r="AE74" s="29"/>
      <c r="AF74" s="11">
        <f t="shared" si="21"/>
        <v>0</v>
      </c>
      <c r="AG74" s="11">
        <f t="shared" si="22"/>
        <v>0</v>
      </c>
      <c r="AH74" s="11">
        <f t="shared" si="23"/>
        <v>0</v>
      </c>
    </row>
    <row r="75" spans="1:124" ht="15.75" hidden="1" customHeight="1">
      <c r="A75" s="14" t="s">
        <v>68</v>
      </c>
      <c r="B75" s="9"/>
      <c r="C75" s="15">
        <v>0.85</v>
      </c>
      <c r="D75" s="15"/>
      <c r="E75" s="15"/>
      <c r="F75" s="372"/>
      <c r="G75" s="372"/>
      <c r="H75" s="372"/>
      <c r="I75" s="372"/>
      <c r="J75" s="372"/>
      <c r="K75" s="374"/>
      <c r="L75" s="374"/>
      <c r="M75" s="374"/>
      <c r="N75" s="372"/>
      <c r="O75" s="372"/>
      <c r="P75" s="372"/>
      <c r="Q75" s="372"/>
      <c r="R75" s="372"/>
      <c r="S75" s="372"/>
      <c r="T75" s="372"/>
      <c r="U75" s="372"/>
      <c r="V75" s="372"/>
      <c r="W75" s="372"/>
      <c r="X75" s="372"/>
      <c r="Y75" s="372"/>
      <c r="Z75" s="372"/>
      <c r="AA75" s="372"/>
      <c r="AB75" s="372"/>
      <c r="AC75" s="372"/>
      <c r="AD75" s="31"/>
      <c r="AE75" s="31"/>
      <c r="AF75" s="11">
        <f t="shared" si="21"/>
        <v>0</v>
      </c>
      <c r="AG75" s="11">
        <f t="shared" si="22"/>
        <v>0</v>
      </c>
      <c r="AH75" s="11">
        <f t="shared" si="23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4">SUM(F67:F75)</f>
        <v>0</v>
      </c>
      <c r="G76" s="19">
        <f t="shared" ref="G76:AC76" si="25">SUM(G67:G75)</f>
        <v>0</v>
      </c>
      <c r="H76" s="19">
        <f t="shared" si="25"/>
        <v>0</v>
      </c>
      <c r="I76" s="19">
        <f t="shared" si="25"/>
        <v>0</v>
      </c>
      <c r="J76" s="19">
        <f t="shared" si="25"/>
        <v>0</v>
      </c>
      <c r="K76" s="19">
        <f t="shared" si="25"/>
        <v>0</v>
      </c>
      <c r="L76" s="19">
        <f>SUM(L67:L75)</f>
        <v>0</v>
      </c>
      <c r="M76" s="19">
        <f t="shared" si="25"/>
        <v>0</v>
      </c>
      <c r="N76" s="19">
        <f t="shared" si="25"/>
        <v>0</v>
      </c>
      <c r="O76" s="19">
        <f t="shared" si="25"/>
        <v>0</v>
      </c>
      <c r="P76" s="19">
        <f t="shared" si="25"/>
        <v>0</v>
      </c>
      <c r="Q76" s="19">
        <f>SUM(Q67:Q75)</f>
        <v>0</v>
      </c>
      <c r="R76" s="19">
        <f t="shared" si="25"/>
        <v>0</v>
      </c>
      <c r="S76" s="19">
        <f t="shared" si="25"/>
        <v>0</v>
      </c>
      <c r="T76" s="19">
        <f t="shared" si="25"/>
        <v>0</v>
      </c>
      <c r="U76" s="19">
        <f t="shared" si="25"/>
        <v>0</v>
      </c>
      <c r="V76" s="19">
        <f t="shared" si="25"/>
        <v>0</v>
      </c>
      <c r="W76" s="19">
        <f t="shared" si="25"/>
        <v>0</v>
      </c>
      <c r="X76" s="19">
        <f t="shared" si="25"/>
        <v>0</v>
      </c>
      <c r="Y76" s="19">
        <f t="shared" si="25"/>
        <v>0</v>
      </c>
      <c r="Z76" s="19">
        <f t="shared" si="25"/>
        <v>0</v>
      </c>
      <c r="AA76" s="19">
        <f t="shared" si="25"/>
        <v>0</v>
      </c>
      <c r="AB76" s="19">
        <f t="shared" si="25"/>
        <v>0</v>
      </c>
      <c r="AC76" s="19">
        <f t="shared" si="25"/>
        <v>0</v>
      </c>
      <c r="AD76" s="34"/>
      <c r="AE76" s="34"/>
      <c r="AF76" s="11"/>
      <c r="AG76" s="11"/>
      <c r="AH76" s="11"/>
    </row>
    <row r="77" spans="1:124">
      <c r="A77" s="12" t="s">
        <v>69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 t="s">
        <v>21</v>
      </c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20.230000000000004</v>
      </c>
    </row>
    <row r="78" spans="1:124">
      <c r="A78" s="14" t="s">
        <v>70</v>
      </c>
      <c r="B78" s="20"/>
      <c r="C78" s="15">
        <v>1</v>
      </c>
      <c r="D78" s="15"/>
      <c r="E78" s="15"/>
      <c r="F78" s="372"/>
      <c r="G78" s="372"/>
      <c r="H78" s="372"/>
      <c r="I78" s="372"/>
      <c r="J78" s="372"/>
      <c r="K78" s="372"/>
      <c r="L78" s="372"/>
      <c r="M78" s="372">
        <v>0.73</v>
      </c>
      <c r="N78" s="372">
        <v>0.76</v>
      </c>
      <c r="O78" s="372">
        <v>0.81</v>
      </c>
      <c r="P78" s="372">
        <v>0.82</v>
      </c>
      <c r="Q78" s="372">
        <v>0.84</v>
      </c>
      <c r="R78" s="372">
        <v>0.87</v>
      </c>
      <c r="S78" s="372">
        <v>0.87</v>
      </c>
      <c r="T78" s="372">
        <v>0.89</v>
      </c>
      <c r="U78" s="372">
        <v>0.88</v>
      </c>
      <c r="V78" s="372">
        <v>0.9</v>
      </c>
      <c r="W78" s="372">
        <v>0.88</v>
      </c>
      <c r="X78" s="372">
        <v>0.88</v>
      </c>
      <c r="Y78" s="372">
        <v>0</v>
      </c>
      <c r="Z78" s="372">
        <v>0</v>
      </c>
      <c r="AA78" s="372">
        <v>0</v>
      </c>
      <c r="AB78" s="372">
        <v>0</v>
      </c>
      <c r="AC78" s="372">
        <v>0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17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71</v>
      </c>
      <c r="B79" s="20"/>
      <c r="C79" s="15">
        <v>1</v>
      </c>
      <c r="D79" s="15"/>
      <c r="E79" s="15"/>
      <c r="F79" s="372">
        <v>0.81</v>
      </c>
      <c r="G79" s="372">
        <v>0.8</v>
      </c>
      <c r="H79" s="372">
        <v>0.75</v>
      </c>
      <c r="I79" s="372">
        <v>0.73</v>
      </c>
      <c r="J79" s="374">
        <v>0.72</v>
      </c>
      <c r="K79" s="374">
        <v>0.73</v>
      </c>
      <c r="L79" s="374">
        <v>0.76</v>
      </c>
      <c r="M79" s="374"/>
      <c r="N79" s="372"/>
      <c r="O79" s="372"/>
      <c r="P79" s="372"/>
      <c r="Q79" s="372"/>
      <c r="R79" s="372"/>
      <c r="S79" s="372"/>
      <c r="T79" s="372"/>
      <c r="U79" s="372"/>
      <c r="V79" s="372"/>
      <c r="W79" s="372"/>
      <c r="X79" s="372"/>
      <c r="Y79" s="372">
        <v>0.97</v>
      </c>
      <c r="Z79" s="372">
        <v>1</v>
      </c>
      <c r="AA79" s="372">
        <v>1.01</v>
      </c>
      <c r="AB79" s="372">
        <v>0.93</v>
      </c>
      <c r="AC79" s="372">
        <v>0.89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" si="26">SUM(F78:F79)</f>
        <v>0.81</v>
      </c>
      <c r="G80" s="19">
        <f t="shared" ref="G80" si="27">SUM(G78:G79)</f>
        <v>0.8</v>
      </c>
      <c r="H80" s="19">
        <f>SUM(H78:H79)</f>
        <v>0.75</v>
      </c>
      <c r="I80" s="19">
        <f>SUM(I78:I79)</f>
        <v>0.73</v>
      </c>
      <c r="J80" s="19">
        <f t="shared" ref="J80:AC80" si="28">SUM(J78:J79)</f>
        <v>0.72</v>
      </c>
      <c r="K80" s="19">
        <f t="shared" si="28"/>
        <v>0.73</v>
      </c>
      <c r="L80" s="19">
        <f>SUM(L78:L79)</f>
        <v>0.76</v>
      </c>
      <c r="M80" s="19">
        <f t="shared" si="28"/>
        <v>0.73</v>
      </c>
      <c r="N80" s="19">
        <f t="shared" si="28"/>
        <v>0.76</v>
      </c>
      <c r="O80" s="19">
        <f>SUM(O78:O79)</f>
        <v>0.81</v>
      </c>
      <c r="P80" s="19">
        <f t="shared" si="28"/>
        <v>0.82</v>
      </c>
      <c r="Q80" s="19">
        <f t="shared" si="28"/>
        <v>0.84</v>
      </c>
      <c r="R80" s="19">
        <f t="shared" si="28"/>
        <v>0.87</v>
      </c>
      <c r="S80" s="19">
        <f t="shared" si="28"/>
        <v>0.87</v>
      </c>
      <c r="T80" s="19">
        <f t="shared" si="28"/>
        <v>0.89</v>
      </c>
      <c r="U80" s="19">
        <f t="shared" si="28"/>
        <v>0.88</v>
      </c>
      <c r="V80" s="19">
        <f t="shared" si="28"/>
        <v>0.9</v>
      </c>
      <c r="W80" s="19">
        <f t="shared" si="28"/>
        <v>0.88</v>
      </c>
      <c r="X80" s="19">
        <f t="shared" si="28"/>
        <v>0.88</v>
      </c>
      <c r="Y80" s="19">
        <f t="shared" si="28"/>
        <v>0.97</v>
      </c>
      <c r="Z80" s="19">
        <f t="shared" si="28"/>
        <v>1</v>
      </c>
      <c r="AA80" s="19">
        <f t="shared" si="28"/>
        <v>1.01</v>
      </c>
      <c r="AB80" s="19">
        <f t="shared" si="28"/>
        <v>0.93</v>
      </c>
      <c r="AC80" s="19">
        <f t="shared" si="28"/>
        <v>0.89</v>
      </c>
      <c r="AD80" s="34"/>
      <c r="AE80" s="34"/>
      <c r="AF80" s="11"/>
      <c r="AG80" s="11"/>
      <c r="AH80" s="11"/>
    </row>
    <row r="81" spans="1:40" ht="17.45" hidden="1">
      <c r="A81" s="366" t="s">
        <v>72</v>
      </c>
      <c r="B81" s="365"/>
      <c r="C81" s="367">
        <v>2</v>
      </c>
      <c r="D81" s="363"/>
      <c r="E81" s="363"/>
      <c r="F81" s="364"/>
      <c r="G81" s="364"/>
      <c r="H81" s="364"/>
      <c r="I81" s="364"/>
      <c r="J81" s="364"/>
      <c r="K81" s="364"/>
      <c r="L81" s="364"/>
      <c r="M81" s="364"/>
      <c r="N81" s="364"/>
      <c r="O81" s="364"/>
      <c r="P81" s="364"/>
      <c r="Q81" s="364"/>
      <c r="R81" s="364"/>
      <c r="S81" s="364"/>
      <c r="T81" s="364"/>
      <c r="U81" s="364"/>
      <c r="V81" s="364"/>
      <c r="W81" s="364"/>
      <c r="X81" s="364"/>
      <c r="Y81" s="364"/>
      <c r="Z81" s="364"/>
      <c r="AA81" s="364"/>
      <c r="AB81" s="364"/>
      <c r="AC81" s="364"/>
    </row>
    <row r="82" spans="1:40" ht="17.45" hidden="1">
      <c r="A82" s="368"/>
      <c r="B82" s="369"/>
      <c r="C82" s="370"/>
      <c r="D82" s="371"/>
      <c r="E82" s="371"/>
      <c r="F82" s="372"/>
      <c r="G82" s="372"/>
      <c r="H82" s="372"/>
      <c r="I82" s="372"/>
      <c r="J82" s="372"/>
      <c r="K82" s="374"/>
      <c r="L82" s="374"/>
      <c r="M82" s="374"/>
      <c r="N82" s="372"/>
      <c r="O82" s="372"/>
      <c r="P82" s="372"/>
      <c r="Q82" s="372"/>
      <c r="R82" s="372"/>
      <c r="S82" s="372"/>
      <c r="T82" s="372"/>
      <c r="U82" s="372"/>
      <c r="V82" s="372"/>
      <c r="W82" s="372"/>
      <c r="X82" s="372"/>
      <c r="Y82" s="372"/>
      <c r="Z82" s="372"/>
      <c r="AA82" s="372"/>
      <c r="AB82" s="372"/>
      <c r="AC82" s="372"/>
    </row>
    <row r="83" spans="1:40">
      <c r="A83" s="21" t="s">
        <v>73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" si="29">SUM(F17,F22,F25,F31,F34,F60,F65,F76,F80,F82)</f>
        <v>41.84</v>
      </c>
      <c r="G83" s="28">
        <f t="shared" ref="G83:AC83" si="30">SUM(G17,G22,G25,G31,G34,G60,G65,G76,G80,G82)</f>
        <v>39.33</v>
      </c>
      <c r="H83" s="28">
        <f t="shared" si="30"/>
        <v>38.08</v>
      </c>
      <c r="I83" s="28">
        <f t="shared" si="30"/>
        <v>36.549999999999997</v>
      </c>
      <c r="J83" s="28">
        <f t="shared" si="30"/>
        <v>36.42</v>
      </c>
      <c r="K83" s="28">
        <f t="shared" si="30"/>
        <v>33.239999999999995</v>
      </c>
      <c r="L83" s="28">
        <f t="shared" si="30"/>
        <v>35.969999999999992</v>
      </c>
      <c r="M83" s="28">
        <f t="shared" si="30"/>
        <v>38.039999999999992</v>
      </c>
      <c r="N83" s="28">
        <f>SUM(N17,N22,N25,N31,N34,N60,N65,N76,N80,N82)</f>
        <v>43.4</v>
      </c>
      <c r="O83" s="28">
        <f>SUM(O17,O22,O25,O31,O34,O60,O65,O76,O80,O82)</f>
        <v>53.620000000000005</v>
      </c>
      <c r="P83" s="28">
        <f t="shared" si="30"/>
        <v>56.4</v>
      </c>
      <c r="Q83" s="28">
        <f t="shared" si="30"/>
        <v>57.849999999999994</v>
      </c>
      <c r="R83" s="28">
        <f t="shared" si="30"/>
        <v>58.22</v>
      </c>
      <c r="S83" s="28">
        <f t="shared" si="30"/>
        <v>58.339999999999996</v>
      </c>
      <c r="T83" s="28">
        <f t="shared" si="30"/>
        <v>60.190000000000005</v>
      </c>
      <c r="U83" s="28">
        <f>SUM(U17,U22,U25,U31,U34,U60,U65,U76,U80,U82)</f>
        <v>60.43</v>
      </c>
      <c r="V83" s="28">
        <f t="shared" si="30"/>
        <v>59.679999999999993</v>
      </c>
      <c r="W83" s="28">
        <f t="shared" si="30"/>
        <v>57.6</v>
      </c>
      <c r="X83" s="28">
        <f t="shared" si="30"/>
        <v>54.68</v>
      </c>
      <c r="Y83" s="28">
        <f t="shared" si="30"/>
        <v>58.999999999999993</v>
      </c>
      <c r="Z83" s="28">
        <f>SUM(Z17,Z22,Z25,Z31,Z34,Z60,Z65,Z76,Z80,Z82)</f>
        <v>57.590000000000011</v>
      </c>
      <c r="AA83" s="28">
        <f t="shared" si="30"/>
        <v>52.84</v>
      </c>
      <c r="AB83" s="28">
        <f t="shared" si="30"/>
        <v>48.739999999999995</v>
      </c>
      <c r="AC83" s="28">
        <f t="shared" si="30"/>
        <v>45.339999999999996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25" t="s">
        <v>74</v>
      </c>
      <c r="B85" s="525"/>
      <c r="C85" s="525"/>
      <c r="D85" s="525"/>
      <c r="E85" s="525"/>
      <c r="F85" s="525"/>
      <c r="G85" s="525"/>
      <c r="H85" s="525"/>
      <c r="I85" s="525"/>
      <c r="J85" s="525"/>
      <c r="K85" s="525"/>
      <c r="L85" s="525"/>
      <c r="M85" s="525"/>
      <c r="N85" s="525"/>
      <c r="O85" s="525"/>
      <c r="P85" s="525"/>
      <c r="Q85" s="525"/>
      <c r="R85" s="525"/>
      <c r="S85" s="525"/>
      <c r="T85" s="525"/>
      <c r="U85" s="525"/>
      <c r="V85" s="525"/>
      <c r="W85" s="525"/>
      <c r="X85" s="525"/>
      <c r="Y85" s="525"/>
      <c r="Z85" s="525"/>
      <c r="AA85" s="525"/>
      <c r="AB85" s="525"/>
      <c r="AC85" s="525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</row>
    <row r="87" spans="1:40" ht="17.45">
      <c r="A87" s="500" t="s">
        <v>75</v>
      </c>
      <c r="B87" s="501"/>
      <c r="C87" s="502"/>
      <c r="D87" s="49"/>
      <c r="E87" s="49"/>
      <c r="F87" s="506" t="s">
        <v>76</v>
      </c>
      <c r="G87" s="506"/>
      <c r="H87" s="506"/>
      <c r="I87" s="506"/>
      <c r="J87" s="506"/>
      <c r="K87" s="506"/>
      <c r="L87" s="506"/>
      <c r="M87" s="506"/>
      <c r="N87" s="506"/>
      <c r="O87" s="506"/>
      <c r="P87" s="506"/>
      <c r="Q87" s="506"/>
      <c r="R87" s="506"/>
      <c r="S87" s="506"/>
      <c r="T87" s="506"/>
      <c r="U87" s="506"/>
      <c r="V87" s="506"/>
      <c r="W87" s="506"/>
      <c r="X87" s="506"/>
      <c r="Y87" s="506"/>
      <c r="Z87" s="506"/>
      <c r="AA87" s="506"/>
      <c r="AB87" s="506"/>
      <c r="AC87" s="506"/>
      <c r="AD87" s="5"/>
      <c r="AE87" s="5"/>
      <c r="AF87" s="5"/>
      <c r="AG87" s="5"/>
      <c r="AH87" s="5"/>
    </row>
    <row r="88" spans="1:40" ht="15.6" customHeight="1">
      <c r="A88" s="503"/>
      <c r="B88" s="504"/>
      <c r="C88" s="505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07" t="s">
        <v>27</v>
      </c>
      <c r="B89" s="508"/>
      <c r="C89" s="509"/>
      <c r="D89" s="45"/>
      <c r="E89" s="45"/>
      <c r="F89" s="64">
        <f t="shared" ref="F89:AC89" si="31">SUM(F22,F25)</f>
        <v>0</v>
      </c>
      <c r="G89" s="64">
        <f t="shared" si="31"/>
        <v>0</v>
      </c>
      <c r="H89" s="64">
        <f t="shared" si="31"/>
        <v>0</v>
      </c>
      <c r="I89" s="64">
        <f t="shared" si="31"/>
        <v>0</v>
      </c>
      <c r="J89" s="64">
        <f t="shared" si="31"/>
        <v>0</v>
      </c>
      <c r="K89" s="64">
        <f t="shared" si="31"/>
        <v>0</v>
      </c>
      <c r="L89" s="64">
        <f t="shared" si="31"/>
        <v>0</v>
      </c>
      <c r="M89" s="64">
        <f t="shared" si="31"/>
        <v>0</v>
      </c>
      <c r="N89" s="64">
        <f t="shared" si="31"/>
        <v>2.8</v>
      </c>
      <c r="O89" s="64">
        <f t="shared" si="31"/>
        <v>6.6</v>
      </c>
      <c r="P89" s="64">
        <f t="shared" si="31"/>
        <v>6.6</v>
      </c>
      <c r="Q89" s="64">
        <f t="shared" si="31"/>
        <v>6.6</v>
      </c>
      <c r="R89" s="64">
        <f t="shared" si="31"/>
        <v>6.6</v>
      </c>
      <c r="S89" s="64">
        <f t="shared" si="31"/>
        <v>7.4</v>
      </c>
      <c r="T89" s="64">
        <f t="shared" si="31"/>
        <v>9.3999999999999986</v>
      </c>
      <c r="U89" s="64">
        <f t="shared" si="31"/>
        <v>9.1999999999999993</v>
      </c>
      <c r="V89" s="64">
        <f t="shared" si="31"/>
        <v>8</v>
      </c>
      <c r="W89" s="64">
        <f t="shared" si="31"/>
        <v>8</v>
      </c>
      <c r="X89" s="64">
        <f t="shared" si="31"/>
        <v>8</v>
      </c>
      <c r="Y89" s="64">
        <f t="shared" si="31"/>
        <v>8.8000000000000007</v>
      </c>
      <c r="Z89" s="64">
        <f t="shared" si="31"/>
        <v>10.399999999999999</v>
      </c>
      <c r="AA89" s="64">
        <f t="shared" si="31"/>
        <v>8</v>
      </c>
      <c r="AB89" s="64">
        <f t="shared" si="31"/>
        <v>6</v>
      </c>
      <c r="AC89" s="64">
        <f t="shared" si="31"/>
        <v>3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521" t="s">
        <v>77</v>
      </c>
      <c r="B90" s="521"/>
      <c r="C90" s="522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 t="s">
        <v>1</v>
      </c>
      <c r="Q90" s="68" t="s">
        <v>1</v>
      </c>
      <c r="R90" s="68" t="s">
        <v>1</v>
      </c>
      <c r="S90" s="68">
        <v>0.21299999999999999</v>
      </c>
      <c r="T90" s="68">
        <v>0.2</v>
      </c>
      <c r="U90" s="68">
        <v>0.25600000000000001</v>
      </c>
      <c r="V90" s="68">
        <v>0.245</v>
      </c>
      <c r="W90" s="68">
        <v>0.27300000000000002</v>
      </c>
      <c r="X90" s="68">
        <v>0.26400000000000001</v>
      </c>
      <c r="Y90" s="68">
        <v>0.25</v>
      </c>
      <c r="Z90" s="68">
        <v>0.23400000000000001</v>
      </c>
      <c r="AA90" s="68">
        <v>0.26100000000000001</v>
      </c>
      <c r="AB90" s="68">
        <v>0.2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07" t="s">
        <v>78</v>
      </c>
      <c r="B91" s="508"/>
      <c r="C91" s="509"/>
      <c r="D91" s="45"/>
      <c r="E91" s="45"/>
      <c r="F91" s="64">
        <f t="shared" ref="F91:AC91" si="32">F17</f>
        <v>19.8</v>
      </c>
      <c r="G91" s="64">
        <f t="shared" si="32"/>
        <v>19.899999999999999</v>
      </c>
      <c r="H91" s="64">
        <f t="shared" si="32"/>
        <v>13.6</v>
      </c>
      <c r="I91" s="64">
        <f t="shared" si="32"/>
        <v>13.1</v>
      </c>
      <c r="J91" s="64">
        <f t="shared" si="32"/>
        <v>13.4</v>
      </c>
      <c r="K91" s="64">
        <f t="shared" si="32"/>
        <v>12.4</v>
      </c>
      <c r="L91" s="64">
        <f t="shared" si="32"/>
        <v>13.6</v>
      </c>
      <c r="M91" s="64">
        <f t="shared" si="32"/>
        <v>13.2</v>
      </c>
      <c r="N91" s="64">
        <f t="shared" si="32"/>
        <v>13.4</v>
      </c>
      <c r="O91" s="64">
        <f t="shared" si="32"/>
        <v>20.100000000000001</v>
      </c>
      <c r="P91" s="64">
        <f t="shared" si="32"/>
        <v>19.799999999999997</v>
      </c>
      <c r="Q91" s="64">
        <f t="shared" si="32"/>
        <v>20.399999999999999</v>
      </c>
      <c r="R91" s="64">
        <f t="shared" si="32"/>
        <v>20.100000000000001</v>
      </c>
      <c r="S91" s="64">
        <f t="shared" si="32"/>
        <v>19.899999999999999</v>
      </c>
      <c r="T91" s="64">
        <f t="shared" si="32"/>
        <v>20.700000000000003</v>
      </c>
      <c r="U91" s="64">
        <f t="shared" si="32"/>
        <v>26.4</v>
      </c>
      <c r="V91" s="64">
        <f t="shared" si="32"/>
        <v>27.2</v>
      </c>
      <c r="W91" s="64">
        <f t="shared" si="32"/>
        <v>26</v>
      </c>
      <c r="X91" s="64">
        <f t="shared" si="32"/>
        <v>26</v>
      </c>
      <c r="Y91" s="64">
        <f t="shared" si="32"/>
        <v>26.4</v>
      </c>
      <c r="Z91" s="64">
        <f t="shared" si="32"/>
        <v>20.100000000000001</v>
      </c>
      <c r="AA91" s="64">
        <f t="shared" si="32"/>
        <v>19.600000000000001</v>
      </c>
      <c r="AB91" s="64">
        <f t="shared" si="32"/>
        <v>19.5</v>
      </c>
      <c r="AC91" s="64">
        <f t="shared" si="32"/>
        <v>20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21" t="s">
        <v>79</v>
      </c>
      <c r="B92" s="521"/>
      <c r="C92" s="522"/>
      <c r="D92" s="45"/>
      <c r="E92" s="45"/>
      <c r="F92" s="68">
        <v>0.754</v>
      </c>
      <c r="G92" s="68">
        <v>0.78</v>
      </c>
      <c r="H92" s="68">
        <v>0.74</v>
      </c>
      <c r="I92" s="68">
        <v>0.72599999999999998</v>
      </c>
      <c r="J92" s="68">
        <v>0.876</v>
      </c>
      <c r="K92" s="68">
        <v>0.91400000000000003</v>
      </c>
      <c r="L92" s="68">
        <v>0.876</v>
      </c>
      <c r="M92" s="68">
        <v>0.65200000000000002</v>
      </c>
      <c r="N92" s="68">
        <v>0.67200000000000004</v>
      </c>
      <c r="O92" s="68">
        <v>0.73399999999999999</v>
      </c>
      <c r="P92" s="68">
        <v>0.73099999999999998</v>
      </c>
      <c r="Q92" s="68">
        <v>0.82399999999999995</v>
      </c>
      <c r="R92" s="68">
        <v>0.93899999999999995</v>
      </c>
      <c r="S92" s="68">
        <v>0.96099999999999997</v>
      </c>
      <c r="T92" s="68">
        <v>0.90300000000000002</v>
      </c>
      <c r="U92" s="68">
        <v>0.85199999999999998</v>
      </c>
      <c r="V92" s="68">
        <v>1.0509999999999999</v>
      </c>
      <c r="W92" s="68">
        <v>1.04</v>
      </c>
      <c r="X92" s="68">
        <v>1.052</v>
      </c>
      <c r="Y92" s="68">
        <v>1.03</v>
      </c>
      <c r="Z92" s="68">
        <v>0.78</v>
      </c>
      <c r="AA92" s="68">
        <v>0.70799999999999996</v>
      </c>
      <c r="AB92" s="68">
        <v>0.67</v>
      </c>
      <c r="AC92" s="68">
        <v>0.69099999999999995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07" t="s">
        <v>29</v>
      </c>
      <c r="B93" s="508"/>
      <c r="C93" s="509"/>
      <c r="D93" s="45"/>
      <c r="E93" s="45"/>
      <c r="F93" s="65">
        <f t="shared" ref="F93:AC93" si="33">F31</f>
        <v>6</v>
      </c>
      <c r="G93" s="65">
        <f t="shared" si="33"/>
        <v>5</v>
      </c>
      <c r="H93" s="65">
        <f t="shared" si="33"/>
        <v>8.6</v>
      </c>
      <c r="I93" s="65">
        <f t="shared" si="33"/>
        <v>7.6</v>
      </c>
      <c r="J93" s="65">
        <f t="shared" si="33"/>
        <v>7.2</v>
      </c>
      <c r="K93" s="65">
        <f t="shared" si="33"/>
        <v>5</v>
      </c>
      <c r="L93" s="65">
        <f t="shared" si="33"/>
        <v>6.4</v>
      </c>
      <c r="M93" s="65">
        <f t="shared" si="33"/>
        <v>8</v>
      </c>
      <c r="N93" s="65">
        <f t="shared" si="33"/>
        <v>8</v>
      </c>
      <c r="O93" s="65">
        <f t="shared" si="33"/>
        <v>8.1999999999999993</v>
      </c>
      <c r="P93" s="65">
        <f t="shared" si="33"/>
        <v>13.49</v>
      </c>
      <c r="Q93" s="65">
        <f t="shared" si="33"/>
        <v>14.27</v>
      </c>
      <c r="R93" s="65">
        <f t="shared" si="33"/>
        <v>14.86</v>
      </c>
      <c r="S93" s="65">
        <f t="shared" si="33"/>
        <v>14.43</v>
      </c>
      <c r="T93" s="65">
        <f>T31</f>
        <v>13.42</v>
      </c>
      <c r="U93" s="65">
        <f t="shared" si="33"/>
        <v>8.1999999999999993</v>
      </c>
      <c r="V93" s="65">
        <f t="shared" si="33"/>
        <v>7.8</v>
      </c>
      <c r="W93" s="65">
        <f t="shared" si="33"/>
        <v>7</v>
      </c>
      <c r="X93" s="65">
        <f t="shared" si="33"/>
        <v>6</v>
      </c>
      <c r="Y93" s="65">
        <f t="shared" si="33"/>
        <v>7</v>
      </c>
      <c r="Z93" s="65">
        <f t="shared" si="33"/>
        <v>8.8000000000000007</v>
      </c>
      <c r="AA93" s="65">
        <f t="shared" si="33"/>
        <v>8.6</v>
      </c>
      <c r="AB93" s="65">
        <f t="shared" si="33"/>
        <v>6.8</v>
      </c>
      <c r="AC93" s="65">
        <f t="shared" si="33"/>
        <v>6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21" t="s">
        <v>102</v>
      </c>
      <c r="B94" s="521"/>
      <c r="C94" s="522"/>
      <c r="D94" s="45"/>
      <c r="E94" s="45"/>
      <c r="F94" s="68">
        <v>0.27300000000000002</v>
      </c>
      <c r="G94" s="68">
        <v>0.26200000000000001</v>
      </c>
      <c r="H94" s="68">
        <v>0.245</v>
      </c>
      <c r="I94" s="68">
        <v>0.255</v>
      </c>
      <c r="J94" s="68">
        <v>0.254</v>
      </c>
      <c r="K94" s="68">
        <v>0.24</v>
      </c>
      <c r="L94" s="68">
        <v>0.255</v>
      </c>
      <c r="M94" s="68">
        <v>0.245</v>
      </c>
      <c r="N94" s="68">
        <v>0.253</v>
      </c>
      <c r="O94" s="68">
        <v>0.27100000000000002</v>
      </c>
      <c r="P94" s="68">
        <v>0.26800000000000002</v>
      </c>
      <c r="Q94" s="68">
        <v>0.27</v>
      </c>
      <c r="R94" s="68">
        <v>0.27600000000000002</v>
      </c>
      <c r="S94" s="68">
        <v>0.28199999999999997</v>
      </c>
      <c r="T94" s="68">
        <v>0.27200000000000002</v>
      </c>
      <c r="U94" s="68">
        <v>0.27500000000000002</v>
      </c>
      <c r="V94" s="68">
        <v>0.26100000000000001</v>
      </c>
      <c r="W94" s="68">
        <v>0.26500000000000001</v>
      </c>
      <c r="X94" s="68">
        <v>0.28999999999999998</v>
      </c>
      <c r="Y94" s="68">
        <v>0.29399999999999998</v>
      </c>
      <c r="Z94" s="68">
        <v>0.27700000000000002</v>
      </c>
      <c r="AA94" s="68">
        <v>0.26500000000000001</v>
      </c>
      <c r="AB94" s="68">
        <v>0.254</v>
      </c>
      <c r="AC94" s="68">
        <v>0.26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21" t="s">
        <v>104</v>
      </c>
      <c r="B95" s="521"/>
      <c r="C95" s="522"/>
      <c r="D95" s="45"/>
      <c r="E95" s="45"/>
      <c r="F95" s="68" t="s">
        <v>1</v>
      </c>
      <c r="G95" s="68" t="s">
        <v>1</v>
      </c>
      <c r="H95" s="68" t="s">
        <v>1</v>
      </c>
      <c r="I95" s="68" t="s">
        <v>1</v>
      </c>
      <c r="J95" s="68" t="s">
        <v>1</v>
      </c>
      <c r="K95" s="68" t="s">
        <v>1</v>
      </c>
      <c r="L95" s="68" t="s">
        <v>1</v>
      </c>
      <c r="M95" s="68" t="s">
        <v>1</v>
      </c>
      <c r="N95" s="68" t="s">
        <v>1</v>
      </c>
      <c r="O95" s="68" t="s">
        <v>1</v>
      </c>
      <c r="P95" s="68">
        <v>0.21440000000000001</v>
      </c>
      <c r="Q95" s="68">
        <v>0.1971</v>
      </c>
      <c r="R95" s="68">
        <v>0.1963</v>
      </c>
      <c r="S95" s="68">
        <v>0.1966</v>
      </c>
      <c r="T95" s="68">
        <v>0.19209999999999999</v>
      </c>
      <c r="U95" s="68"/>
      <c r="V95" s="68"/>
      <c r="W95" s="68"/>
      <c r="X95" s="68"/>
      <c r="Y95" s="68"/>
      <c r="Z95" s="68"/>
      <c r="AA95" s="68"/>
      <c r="AB95" s="68"/>
      <c r="AC95" s="68" t="s">
        <v>1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07" t="s">
        <v>32</v>
      </c>
      <c r="B96" s="508"/>
      <c r="C96" s="509"/>
      <c r="D96" s="45"/>
      <c r="E96" s="45"/>
      <c r="F96" s="65">
        <f t="shared" ref="F96:AC96" si="34">F34</f>
        <v>14.3</v>
      </c>
      <c r="G96" s="65">
        <f t="shared" si="34"/>
        <v>12.75</v>
      </c>
      <c r="H96" s="65">
        <f t="shared" si="34"/>
        <v>14.29</v>
      </c>
      <c r="I96" s="65">
        <f t="shared" si="34"/>
        <v>14.3</v>
      </c>
      <c r="J96" s="65">
        <f t="shared" si="34"/>
        <v>14.29</v>
      </c>
      <c r="K96" s="65">
        <f t="shared" si="34"/>
        <v>14.28</v>
      </c>
      <c r="L96" s="65">
        <f t="shared" si="34"/>
        <v>14.27</v>
      </c>
      <c r="M96" s="65">
        <f t="shared" si="34"/>
        <v>14.27</v>
      </c>
      <c r="N96" s="65">
        <f t="shared" si="34"/>
        <v>14.27</v>
      </c>
      <c r="O96" s="65">
        <f t="shared" si="34"/>
        <v>14.27</v>
      </c>
      <c r="P96" s="65">
        <f t="shared" si="34"/>
        <v>14.28</v>
      </c>
      <c r="Q96" s="65">
        <f t="shared" si="34"/>
        <v>14.27</v>
      </c>
      <c r="R96" s="65">
        <f t="shared" si="34"/>
        <v>14.29</v>
      </c>
      <c r="S96" s="65">
        <f t="shared" si="34"/>
        <v>14.28</v>
      </c>
      <c r="T96" s="65">
        <f t="shared" si="34"/>
        <v>14.29</v>
      </c>
      <c r="U96" s="65">
        <f t="shared" si="34"/>
        <v>14.28</v>
      </c>
      <c r="V96" s="65">
        <f t="shared" si="34"/>
        <v>14.27</v>
      </c>
      <c r="W96" s="65">
        <f t="shared" si="34"/>
        <v>14.29</v>
      </c>
      <c r="X96" s="65">
        <f t="shared" si="34"/>
        <v>12.8</v>
      </c>
      <c r="Y96" s="65">
        <f t="shared" si="34"/>
        <v>14.29</v>
      </c>
      <c r="Z96" s="65">
        <f t="shared" si="34"/>
        <v>14.3</v>
      </c>
      <c r="AA96" s="65">
        <f t="shared" si="34"/>
        <v>14.28</v>
      </c>
      <c r="AB96" s="65">
        <f t="shared" si="34"/>
        <v>14.29</v>
      </c>
      <c r="AC96" s="65">
        <f t="shared" si="34"/>
        <v>14.29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21" t="s">
        <v>81</v>
      </c>
      <c r="B97" s="521"/>
      <c r="C97" s="522"/>
      <c r="D97" s="68"/>
      <c r="E97" s="68"/>
      <c r="F97" s="68">
        <v>0.7</v>
      </c>
      <c r="G97" s="68">
        <v>0.75</v>
      </c>
      <c r="H97" s="68">
        <v>0.71</v>
      </c>
      <c r="I97" s="68">
        <v>0.7</v>
      </c>
      <c r="J97" s="68">
        <v>0.71</v>
      </c>
      <c r="K97" s="68">
        <v>0.72</v>
      </c>
      <c r="L97" s="68">
        <v>0.73</v>
      </c>
      <c r="M97" s="68">
        <v>0.7</v>
      </c>
      <c r="N97" s="68">
        <v>0.73</v>
      </c>
      <c r="O97" s="68">
        <v>0.74</v>
      </c>
      <c r="P97" s="68">
        <v>0.72</v>
      </c>
      <c r="Q97" s="68">
        <v>0.73</v>
      </c>
      <c r="R97" s="68">
        <v>0.71</v>
      </c>
      <c r="S97" s="68">
        <v>0.72</v>
      </c>
      <c r="T97" s="68">
        <v>0.71</v>
      </c>
      <c r="U97" s="68">
        <v>0.72</v>
      </c>
      <c r="V97" s="68">
        <v>0.73</v>
      </c>
      <c r="W97" s="68">
        <v>0.71</v>
      </c>
      <c r="X97" s="68">
        <v>0.7</v>
      </c>
      <c r="Y97" s="68">
        <v>0.71</v>
      </c>
      <c r="Z97" s="68">
        <v>0.7</v>
      </c>
      <c r="AA97" s="68">
        <v>0.72</v>
      </c>
      <c r="AB97" s="68">
        <v>0.71</v>
      </c>
      <c r="AC97" s="68">
        <v>0.71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07" t="s">
        <v>33</v>
      </c>
      <c r="B98" s="508"/>
      <c r="C98" s="509"/>
      <c r="D98" s="45"/>
      <c r="E98" s="45"/>
      <c r="F98" s="64">
        <f t="shared" ref="F98:AC98" si="35">F60</f>
        <v>0</v>
      </c>
      <c r="G98" s="64">
        <f t="shared" si="35"/>
        <v>0</v>
      </c>
      <c r="H98" s="64">
        <f t="shared" si="35"/>
        <v>0</v>
      </c>
      <c r="I98" s="64">
        <f t="shared" si="35"/>
        <v>0</v>
      </c>
      <c r="J98" s="64">
        <f t="shared" si="35"/>
        <v>0</v>
      </c>
      <c r="K98" s="64">
        <f t="shared" si="35"/>
        <v>0</v>
      </c>
      <c r="L98" s="64">
        <f t="shared" si="35"/>
        <v>0</v>
      </c>
      <c r="M98" s="64">
        <f t="shared" si="35"/>
        <v>0.8</v>
      </c>
      <c r="N98" s="64">
        <f t="shared" si="35"/>
        <v>3.1</v>
      </c>
      <c r="O98" s="64">
        <f t="shared" si="35"/>
        <v>2.2999999999999998</v>
      </c>
      <c r="P98" s="64">
        <f t="shared" si="35"/>
        <v>0</v>
      </c>
      <c r="Q98" s="64">
        <f t="shared" si="35"/>
        <v>0</v>
      </c>
      <c r="R98" s="64">
        <f t="shared" si="35"/>
        <v>0</v>
      </c>
      <c r="S98" s="64">
        <f t="shared" si="35"/>
        <v>0</v>
      </c>
      <c r="T98" s="64">
        <f t="shared" si="35"/>
        <v>0</v>
      </c>
      <c r="U98" s="64">
        <f t="shared" si="35"/>
        <v>0</v>
      </c>
      <c r="V98" s="64">
        <f t="shared" si="35"/>
        <v>0</v>
      </c>
      <c r="W98" s="64">
        <f t="shared" si="35"/>
        <v>0</v>
      </c>
      <c r="X98" s="64">
        <f t="shared" si="35"/>
        <v>0</v>
      </c>
      <c r="Y98" s="64">
        <f t="shared" si="35"/>
        <v>0</v>
      </c>
      <c r="Z98" s="64">
        <f t="shared" si="35"/>
        <v>1.5</v>
      </c>
      <c r="AA98" s="64">
        <f t="shared" si="35"/>
        <v>0</v>
      </c>
      <c r="AB98" s="64">
        <f t="shared" si="35"/>
        <v>0</v>
      </c>
      <c r="AC98" s="64">
        <f t="shared" si="35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07" t="s">
        <v>55</v>
      </c>
      <c r="B99" s="508"/>
      <c r="C99" s="509"/>
      <c r="D99" s="45"/>
      <c r="E99" s="45"/>
      <c r="F99" s="64">
        <f t="shared" ref="F99:AC99" si="36">F65</f>
        <v>0.93</v>
      </c>
      <c r="G99" s="64">
        <f t="shared" si="36"/>
        <v>0.88</v>
      </c>
      <c r="H99" s="64">
        <f t="shared" si="36"/>
        <v>0.84</v>
      </c>
      <c r="I99" s="64">
        <f t="shared" si="36"/>
        <v>0.82</v>
      </c>
      <c r="J99" s="64">
        <f t="shared" si="36"/>
        <v>0.81</v>
      </c>
      <c r="K99" s="64">
        <f t="shared" si="36"/>
        <v>0.83</v>
      </c>
      <c r="L99" s="64">
        <f t="shared" si="36"/>
        <v>0.94</v>
      </c>
      <c r="M99" s="64">
        <f t="shared" si="36"/>
        <v>1.04</v>
      </c>
      <c r="N99" s="64">
        <f t="shared" si="36"/>
        <v>1.07</v>
      </c>
      <c r="O99" s="64">
        <f t="shared" si="36"/>
        <v>1.34</v>
      </c>
      <c r="P99" s="64">
        <f t="shared" si="36"/>
        <v>1.41</v>
      </c>
      <c r="Q99" s="64">
        <f t="shared" si="36"/>
        <v>1.47</v>
      </c>
      <c r="R99" s="64">
        <f t="shared" si="36"/>
        <v>1.5</v>
      </c>
      <c r="S99" s="64">
        <f t="shared" si="36"/>
        <v>1.46</v>
      </c>
      <c r="T99" s="64">
        <f t="shared" si="36"/>
        <v>1.49</v>
      </c>
      <c r="U99" s="64">
        <f t="shared" si="36"/>
        <v>1.47</v>
      </c>
      <c r="V99" s="64">
        <f t="shared" si="36"/>
        <v>1.51</v>
      </c>
      <c r="W99" s="64">
        <f t="shared" si="36"/>
        <v>1.43</v>
      </c>
      <c r="X99" s="64">
        <f t="shared" si="36"/>
        <v>1</v>
      </c>
      <c r="Y99" s="64">
        <f t="shared" si="36"/>
        <v>1.54</v>
      </c>
      <c r="Z99" s="64">
        <f t="shared" si="36"/>
        <v>1.49</v>
      </c>
      <c r="AA99" s="64">
        <f t="shared" si="36"/>
        <v>1.35</v>
      </c>
      <c r="AB99" s="64">
        <f t="shared" si="36"/>
        <v>1.22</v>
      </c>
      <c r="AC99" s="64">
        <f t="shared" si="36"/>
        <v>1.1599999999999999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07" t="s">
        <v>59</v>
      </c>
      <c r="B100" s="508"/>
      <c r="C100" s="509"/>
      <c r="D100" s="45"/>
      <c r="E100" s="45"/>
      <c r="F100" s="64">
        <f t="shared" ref="F100:AC100" si="37">F76</f>
        <v>0</v>
      </c>
      <c r="G100" s="64">
        <f t="shared" si="37"/>
        <v>0</v>
      </c>
      <c r="H100" s="64">
        <f t="shared" si="37"/>
        <v>0</v>
      </c>
      <c r="I100" s="64">
        <f t="shared" si="37"/>
        <v>0</v>
      </c>
      <c r="J100" s="64">
        <f t="shared" si="37"/>
        <v>0</v>
      </c>
      <c r="K100" s="64">
        <f t="shared" si="37"/>
        <v>0</v>
      </c>
      <c r="L100" s="64">
        <f t="shared" si="37"/>
        <v>0</v>
      </c>
      <c r="M100" s="64">
        <f t="shared" si="37"/>
        <v>0</v>
      </c>
      <c r="N100" s="64">
        <f t="shared" si="37"/>
        <v>0</v>
      </c>
      <c r="O100" s="64">
        <f t="shared" si="37"/>
        <v>0</v>
      </c>
      <c r="P100" s="64">
        <f t="shared" si="37"/>
        <v>0</v>
      </c>
      <c r="Q100" s="64">
        <f t="shared" si="37"/>
        <v>0</v>
      </c>
      <c r="R100" s="64">
        <f t="shared" si="37"/>
        <v>0</v>
      </c>
      <c r="S100" s="64">
        <f t="shared" si="37"/>
        <v>0</v>
      </c>
      <c r="T100" s="64">
        <f t="shared" si="37"/>
        <v>0</v>
      </c>
      <c r="U100" s="64">
        <f t="shared" si="37"/>
        <v>0</v>
      </c>
      <c r="V100" s="64">
        <f t="shared" si="37"/>
        <v>0</v>
      </c>
      <c r="W100" s="64">
        <f t="shared" si="37"/>
        <v>0</v>
      </c>
      <c r="X100" s="64">
        <f t="shared" si="37"/>
        <v>0</v>
      </c>
      <c r="Y100" s="64">
        <f t="shared" si="37"/>
        <v>0</v>
      </c>
      <c r="Z100" s="64">
        <f t="shared" si="37"/>
        <v>0</v>
      </c>
      <c r="AA100" s="64">
        <f t="shared" si="37"/>
        <v>0</v>
      </c>
      <c r="AB100" s="64">
        <f t="shared" si="37"/>
        <v>0</v>
      </c>
      <c r="AC100" s="64">
        <f t="shared" si="37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07" t="s">
        <v>69</v>
      </c>
      <c r="B101" s="508"/>
      <c r="C101" s="509"/>
      <c r="D101" s="45"/>
      <c r="E101" s="45"/>
      <c r="F101" s="64">
        <f t="shared" ref="F101:AC101" si="38">F80</f>
        <v>0.81</v>
      </c>
      <c r="G101" s="64">
        <f t="shared" si="38"/>
        <v>0.8</v>
      </c>
      <c r="H101" s="64">
        <f t="shared" si="38"/>
        <v>0.75</v>
      </c>
      <c r="I101" s="64">
        <f t="shared" si="38"/>
        <v>0.73</v>
      </c>
      <c r="J101" s="64">
        <f t="shared" si="38"/>
        <v>0.72</v>
      </c>
      <c r="K101" s="64">
        <f t="shared" si="38"/>
        <v>0.73</v>
      </c>
      <c r="L101" s="64">
        <f t="shared" si="38"/>
        <v>0.76</v>
      </c>
      <c r="M101" s="64">
        <f t="shared" si="38"/>
        <v>0.73</v>
      </c>
      <c r="N101" s="64">
        <f t="shared" si="38"/>
        <v>0.76</v>
      </c>
      <c r="O101" s="64">
        <f t="shared" si="38"/>
        <v>0.81</v>
      </c>
      <c r="P101" s="64">
        <f t="shared" si="38"/>
        <v>0.82</v>
      </c>
      <c r="Q101" s="64">
        <f t="shared" si="38"/>
        <v>0.84</v>
      </c>
      <c r="R101" s="64">
        <f t="shared" si="38"/>
        <v>0.87</v>
      </c>
      <c r="S101" s="64">
        <f t="shared" si="38"/>
        <v>0.87</v>
      </c>
      <c r="T101" s="64">
        <f t="shared" si="38"/>
        <v>0.89</v>
      </c>
      <c r="U101" s="64">
        <f t="shared" si="38"/>
        <v>0.88</v>
      </c>
      <c r="V101" s="64">
        <f t="shared" si="38"/>
        <v>0.9</v>
      </c>
      <c r="W101" s="64">
        <f t="shared" si="38"/>
        <v>0.88</v>
      </c>
      <c r="X101" s="64">
        <f t="shared" si="38"/>
        <v>0.88</v>
      </c>
      <c r="Y101" s="64">
        <f t="shared" si="38"/>
        <v>0.97</v>
      </c>
      <c r="Z101" s="64">
        <f t="shared" si="38"/>
        <v>1</v>
      </c>
      <c r="AA101" s="64">
        <f t="shared" si="38"/>
        <v>1.01</v>
      </c>
      <c r="AB101" s="64">
        <f t="shared" si="38"/>
        <v>0.93</v>
      </c>
      <c r="AC101" s="64">
        <f t="shared" si="38"/>
        <v>0.89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07" t="s">
        <v>72</v>
      </c>
      <c r="B102" s="508"/>
      <c r="C102" s="509"/>
      <c r="D102" s="45"/>
      <c r="E102" s="45"/>
      <c r="F102" s="64">
        <f t="shared" ref="F102:AC102" si="39">F82</f>
        <v>0</v>
      </c>
      <c r="G102" s="64">
        <f t="shared" si="39"/>
        <v>0</v>
      </c>
      <c r="H102" s="64">
        <f t="shared" si="39"/>
        <v>0</v>
      </c>
      <c r="I102" s="64">
        <f t="shared" si="39"/>
        <v>0</v>
      </c>
      <c r="J102" s="64">
        <f t="shared" si="39"/>
        <v>0</v>
      </c>
      <c r="K102" s="64">
        <f t="shared" si="39"/>
        <v>0</v>
      </c>
      <c r="L102" s="64">
        <f t="shared" si="39"/>
        <v>0</v>
      </c>
      <c r="M102" s="64">
        <f t="shared" si="39"/>
        <v>0</v>
      </c>
      <c r="N102" s="64">
        <f t="shared" si="39"/>
        <v>0</v>
      </c>
      <c r="O102" s="64">
        <f t="shared" si="39"/>
        <v>0</v>
      </c>
      <c r="P102" s="64">
        <f t="shared" si="39"/>
        <v>0</v>
      </c>
      <c r="Q102" s="64">
        <f t="shared" si="39"/>
        <v>0</v>
      </c>
      <c r="R102" s="64">
        <f t="shared" si="39"/>
        <v>0</v>
      </c>
      <c r="S102" s="64">
        <f t="shared" si="39"/>
        <v>0</v>
      </c>
      <c r="T102" s="64">
        <f t="shared" si="39"/>
        <v>0</v>
      </c>
      <c r="U102" s="64">
        <f t="shared" si="39"/>
        <v>0</v>
      </c>
      <c r="V102" s="64">
        <f t="shared" si="39"/>
        <v>0</v>
      </c>
      <c r="W102" s="64">
        <f t="shared" si="39"/>
        <v>0</v>
      </c>
      <c r="X102" s="64">
        <f t="shared" si="39"/>
        <v>0</v>
      </c>
      <c r="Y102" s="64">
        <f t="shared" si="39"/>
        <v>0</v>
      </c>
      <c r="Z102" s="64">
        <f t="shared" si="39"/>
        <v>0</v>
      </c>
      <c r="AA102" s="64">
        <f t="shared" si="39"/>
        <v>0</v>
      </c>
      <c r="AB102" s="64">
        <f t="shared" si="39"/>
        <v>0</v>
      </c>
      <c r="AC102" s="64">
        <f t="shared" si="39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11" t="s">
        <v>82</v>
      </c>
      <c r="B103" s="511"/>
      <c r="C103" s="511"/>
      <c r="D103" s="47"/>
      <c r="E103" s="47"/>
      <c r="F103" s="61">
        <f t="shared" ref="F103:AC103" si="40">SUM(F89,F91,F93,F96,F98:F102,F81)</f>
        <v>41.84</v>
      </c>
      <c r="G103" s="61">
        <f t="shared" si="40"/>
        <v>39.33</v>
      </c>
      <c r="H103" s="61">
        <f t="shared" si="40"/>
        <v>38.08</v>
      </c>
      <c r="I103" s="61">
        <f t="shared" si="40"/>
        <v>36.549999999999997</v>
      </c>
      <c r="J103" s="61">
        <f t="shared" si="40"/>
        <v>36.42</v>
      </c>
      <c r="K103" s="61">
        <f t="shared" si="40"/>
        <v>33.239999999999995</v>
      </c>
      <c r="L103" s="61">
        <f t="shared" si="40"/>
        <v>35.969999999999992</v>
      </c>
      <c r="M103" s="61">
        <f t="shared" si="40"/>
        <v>38.039999999999992</v>
      </c>
      <c r="N103" s="61">
        <f t="shared" si="40"/>
        <v>43.4</v>
      </c>
      <c r="O103" s="61">
        <f t="shared" si="40"/>
        <v>53.620000000000005</v>
      </c>
      <c r="P103" s="61">
        <f t="shared" si="40"/>
        <v>56.4</v>
      </c>
      <c r="Q103" s="61">
        <f t="shared" si="40"/>
        <v>57.849999999999994</v>
      </c>
      <c r="R103" s="61">
        <f t="shared" si="40"/>
        <v>58.22</v>
      </c>
      <c r="S103" s="61">
        <f>SUM(S89,S91,S93,S96,S98:S102,S81)</f>
        <v>58.339999999999996</v>
      </c>
      <c r="T103" s="61">
        <f t="shared" si="40"/>
        <v>60.190000000000005</v>
      </c>
      <c r="U103" s="61">
        <f t="shared" si="40"/>
        <v>60.43</v>
      </c>
      <c r="V103" s="61">
        <f>SUM(V89,V91,V93,V96,V98:V102,V81)</f>
        <v>59.679999999999993</v>
      </c>
      <c r="W103" s="61">
        <f t="shared" si="40"/>
        <v>57.6</v>
      </c>
      <c r="X103" s="61">
        <f t="shared" si="40"/>
        <v>54.68</v>
      </c>
      <c r="Y103" s="61">
        <f t="shared" si="40"/>
        <v>59</v>
      </c>
      <c r="Z103" s="61">
        <f t="shared" si="40"/>
        <v>57.589999999999996</v>
      </c>
      <c r="AA103" s="61">
        <f t="shared" si="40"/>
        <v>52.84</v>
      </c>
      <c r="AB103" s="61">
        <f t="shared" si="40"/>
        <v>48.739999999999995</v>
      </c>
      <c r="AC103" s="61">
        <f t="shared" si="40"/>
        <v>45.339999999999996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12" t="s">
        <v>83</v>
      </c>
      <c r="B104" s="512"/>
      <c r="C104" s="512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12" t="s">
        <v>84</v>
      </c>
      <c r="B105" s="512"/>
      <c r="C105" s="512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12" t="s">
        <v>85</v>
      </c>
      <c r="B106" s="512"/>
      <c r="C106" s="512"/>
      <c r="D106" s="46"/>
      <c r="E106" s="46"/>
      <c r="F106" s="76"/>
      <c r="G106" s="76"/>
      <c r="H106" s="76"/>
      <c r="I106" s="76"/>
      <c r="J106" s="76">
        <v>0.35</v>
      </c>
      <c r="K106" s="76">
        <f>0.35+1.75</f>
        <v>2.1</v>
      </c>
      <c r="L106" s="76">
        <v>0.35</v>
      </c>
      <c r="M106" s="76">
        <v>0.52</v>
      </c>
      <c r="N106" s="76">
        <v>0.52</v>
      </c>
      <c r="O106" s="76"/>
      <c r="P106" s="76"/>
      <c r="Q106" s="76"/>
      <c r="R106" s="76"/>
      <c r="S106" s="76"/>
      <c r="T106" s="76"/>
      <c r="U106" s="493"/>
      <c r="V106" s="493"/>
      <c r="W106" s="493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11" t="s">
        <v>86</v>
      </c>
      <c r="B107" s="511"/>
      <c r="C107" s="511"/>
      <c r="D107" s="47"/>
      <c r="E107" s="47"/>
      <c r="F107" s="61">
        <f t="shared" ref="F107:AC107" si="41">SUM(F104:F106)</f>
        <v>0</v>
      </c>
      <c r="G107" s="61">
        <f t="shared" si="41"/>
        <v>0</v>
      </c>
      <c r="H107" s="61">
        <f t="shared" si="41"/>
        <v>0</v>
      </c>
      <c r="I107" s="61">
        <f t="shared" si="41"/>
        <v>0</v>
      </c>
      <c r="J107" s="61">
        <f t="shared" si="41"/>
        <v>0.35</v>
      </c>
      <c r="K107" s="61">
        <f t="shared" si="41"/>
        <v>2.1</v>
      </c>
      <c r="L107" s="61">
        <f t="shared" si="41"/>
        <v>0.35</v>
      </c>
      <c r="M107" s="61">
        <f t="shared" si="41"/>
        <v>0.52</v>
      </c>
      <c r="N107" s="61">
        <f t="shared" si="41"/>
        <v>0.52</v>
      </c>
      <c r="O107" s="61">
        <f t="shared" si="41"/>
        <v>0</v>
      </c>
      <c r="P107" s="61">
        <f t="shared" si="41"/>
        <v>0</v>
      </c>
      <c r="Q107" s="61">
        <f t="shared" si="41"/>
        <v>0</v>
      </c>
      <c r="R107" s="61">
        <f t="shared" si="41"/>
        <v>0</v>
      </c>
      <c r="S107" s="61">
        <f t="shared" si="41"/>
        <v>0</v>
      </c>
      <c r="T107" s="61">
        <f t="shared" si="41"/>
        <v>0</v>
      </c>
      <c r="U107" s="61">
        <f t="shared" si="41"/>
        <v>0</v>
      </c>
      <c r="V107" s="61">
        <f t="shared" si="41"/>
        <v>0</v>
      </c>
      <c r="W107" s="61">
        <f t="shared" si="41"/>
        <v>0</v>
      </c>
      <c r="X107" s="61">
        <f t="shared" si="41"/>
        <v>0</v>
      </c>
      <c r="Y107" s="61">
        <f t="shared" si="41"/>
        <v>0</v>
      </c>
      <c r="Z107" s="61">
        <f t="shared" si="41"/>
        <v>0</v>
      </c>
      <c r="AA107" s="61">
        <f t="shared" si="41"/>
        <v>0</v>
      </c>
      <c r="AB107" s="61">
        <f t="shared" si="41"/>
        <v>0</v>
      </c>
      <c r="AC107" s="61">
        <f t="shared" si="41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13" t="s">
        <v>87</v>
      </c>
      <c r="B108" s="513"/>
      <c r="C108" s="513"/>
      <c r="D108" s="48"/>
      <c r="E108" s="48"/>
      <c r="F108" s="62">
        <f t="shared" ref="F108:AC108" si="42">F103+F107</f>
        <v>41.84</v>
      </c>
      <c r="G108" s="62">
        <f t="shared" si="42"/>
        <v>39.33</v>
      </c>
      <c r="H108" s="62">
        <f t="shared" si="42"/>
        <v>38.08</v>
      </c>
      <c r="I108" s="62">
        <f t="shared" si="42"/>
        <v>36.549999999999997</v>
      </c>
      <c r="J108" s="62">
        <f t="shared" si="42"/>
        <v>36.770000000000003</v>
      </c>
      <c r="K108" s="62">
        <f t="shared" si="42"/>
        <v>35.339999999999996</v>
      </c>
      <c r="L108" s="62">
        <f t="shared" si="42"/>
        <v>36.319999999999993</v>
      </c>
      <c r="M108" s="62">
        <f t="shared" si="42"/>
        <v>38.559999999999995</v>
      </c>
      <c r="N108" s="62">
        <f t="shared" si="42"/>
        <v>43.92</v>
      </c>
      <c r="O108" s="62">
        <f t="shared" si="42"/>
        <v>53.620000000000005</v>
      </c>
      <c r="P108" s="62">
        <f t="shared" si="42"/>
        <v>56.4</v>
      </c>
      <c r="Q108" s="62">
        <f t="shared" si="42"/>
        <v>57.849999999999994</v>
      </c>
      <c r="R108" s="62">
        <f t="shared" si="42"/>
        <v>58.22</v>
      </c>
      <c r="S108" s="62">
        <f>S103+S107</f>
        <v>58.339999999999996</v>
      </c>
      <c r="T108" s="62">
        <f>T103+T107</f>
        <v>60.190000000000005</v>
      </c>
      <c r="U108" s="62">
        <f t="shared" si="42"/>
        <v>60.43</v>
      </c>
      <c r="V108" s="62">
        <f t="shared" si="42"/>
        <v>59.679999999999993</v>
      </c>
      <c r="W108" s="62">
        <f>W103+W107</f>
        <v>57.6</v>
      </c>
      <c r="X108" s="62">
        <f t="shared" si="42"/>
        <v>54.68</v>
      </c>
      <c r="Y108" s="62">
        <f t="shared" si="42"/>
        <v>59</v>
      </c>
      <c r="Z108" s="62">
        <f t="shared" si="42"/>
        <v>57.589999999999996</v>
      </c>
      <c r="AA108" s="62">
        <f t="shared" si="42"/>
        <v>52.84</v>
      </c>
      <c r="AB108" s="62">
        <f t="shared" si="42"/>
        <v>48.739999999999995</v>
      </c>
      <c r="AC108" s="62">
        <f t="shared" si="42"/>
        <v>45.339999999999996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14" t="s">
        <v>88</v>
      </c>
      <c r="B109" s="514"/>
      <c r="C109" s="514"/>
      <c r="D109" s="52"/>
      <c r="E109" s="52"/>
      <c r="F109" s="63">
        <f t="shared" ref="F109:AC109" si="43">(COUNT(F13:F16))*7.2+(COUNT(F27:F28)*4.9)+(COUNT(F19:F21)*4.5)-F91-F93</f>
        <v>5.6000000000000014</v>
      </c>
      <c r="G109" s="63">
        <f t="shared" si="43"/>
        <v>6.5000000000000036</v>
      </c>
      <c r="H109" s="63">
        <f t="shared" si="43"/>
        <v>2.0000000000000036</v>
      </c>
      <c r="I109" s="63">
        <f t="shared" si="43"/>
        <v>3.5000000000000036</v>
      </c>
      <c r="J109" s="63">
        <f t="shared" si="43"/>
        <v>3.6000000000000023</v>
      </c>
      <c r="K109" s="63">
        <f t="shared" si="43"/>
        <v>6.8000000000000025</v>
      </c>
      <c r="L109" s="63">
        <f t="shared" si="43"/>
        <v>4.2000000000000028</v>
      </c>
      <c r="M109" s="63">
        <f t="shared" si="43"/>
        <v>3.0000000000000036</v>
      </c>
      <c r="N109" s="63">
        <f t="shared" si="43"/>
        <v>7.3000000000000025</v>
      </c>
      <c r="O109" s="63">
        <f t="shared" si="43"/>
        <v>12.100000000000005</v>
      </c>
      <c r="P109" s="63">
        <f t="shared" si="43"/>
        <v>7.1100000000000083</v>
      </c>
      <c r="Q109" s="63">
        <f t="shared" si="43"/>
        <v>5.7300000000000075</v>
      </c>
      <c r="R109" s="63">
        <f t="shared" si="43"/>
        <v>5.4400000000000048</v>
      </c>
      <c r="S109" s="63">
        <f t="shared" si="43"/>
        <v>6.0700000000000074</v>
      </c>
      <c r="T109" s="63">
        <f t="shared" si="43"/>
        <v>6.2800000000000029</v>
      </c>
      <c r="U109" s="63">
        <f t="shared" si="43"/>
        <v>13.000000000000004</v>
      </c>
      <c r="V109" s="63">
        <f t="shared" si="43"/>
        <v>12.600000000000001</v>
      </c>
      <c r="W109" s="63">
        <f t="shared" si="43"/>
        <v>14.600000000000001</v>
      </c>
      <c r="X109" s="63">
        <f t="shared" si="43"/>
        <v>15.600000000000001</v>
      </c>
      <c r="Y109" s="63">
        <f t="shared" si="43"/>
        <v>14.200000000000003</v>
      </c>
      <c r="Z109" s="63">
        <f t="shared" si="43"/>
        <v>11.500000000000004</v>
      </c>
      <c r="AA109" s="63">
        <f t="shared" si="43"/>
        <v>12.200000000000005</v>
      </c>
      <c r="AB109" s="63">
        <f t="shared" si="43"/>
        <v>9.600000000000005</v>
      </c>
      <c r="AC109" s="63">
        <f t="shared" si="43"/>
        <v>9.9000000000000057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15" t="s">
        <v>89</v>
      </c>
      <c r="B110" s="516"/>
      <c r="C110" s="517"/>
      <c r="D110" s="204"/>
      <c r="E110" s="204"/>
      <c r="F110" s="205">
        <f t="shared" ref="F110:P110" si="44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4.2000000000000011</v>
      </c>
      <c r="G110" s="205">
        <f t="shared" si="44"/>
        <v>5.1000000000000032</v>
      </c>
      <c r="H110" s="205">
        <f t="shared" si="44"/>
        <v>0.60000000000000142</v>
      </c>
      <c r="I110" s="205">
        <f t="shared" si="44"/>
        <v>2.1000000000000014</v>
      </c>
      <c r="J110" s="205">
        <f t="shared" si="44"/>
        <v>2.2000000000000002</v>
      </c>
      <c r="K110" s="205">
        <f t="shared" si="44"/>
        <v>5.4</v>
      </c>
      <c r="L110" s="205">
        <f t="shared" si="44"/>
        <v>2.8000000000000007</v>
      </c>
      <c r="M110" s="205">
        <f t="shared" si="44"/>
        <v>1.6000000000000014</v>
      </c>
      <c r="N110" s="205">
        <f t="shared" si="44"/>
        <v>2.1000000000000005</v>
      </c>
      <c r="O110" s="205">
        <f t="shared" si="44"/>
        <v>3.1000000000000014</v>
      </c>
      <c r="P110" s="205">
        <f t="shared" si="44"/>
        <v>-1.8899999999999952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-1.8699999999999957</v>
      </c>
      <c r="R110" s="205">
        <f t="shared" ref="R110:AC110" si="45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-2.9599999999999991</v>
      </c>
      <c r="S110" s="205">
        <f t="shared" si="45"/>
        <v>1.3700000000000028</v>
      </c>
      <c r="T110" s="205">
        <f t="shared" si="45"/>
        <v>-0.42000000000000082</v>
      </c>
      <c r="U110" s="205">
        <f t="shared" si="45"/>
        <v>6.5000000000000018</v>
      </c>
      <c r="V110" s="205">
        <f t="shared" si="45"/>
        <v>7.3000000000000007</v>
      </c>
      <c r="W110" s="205">
        <f t="shared" si="45"/>
        <v>9.3000000000000007</v>
      </c>
      <c r="X110" s="205">
        <f t="shared" si="45"/>
        <v>10.3</v>
      </c>
      <c r="Y110" s="205">
        <f t="shared" si="45"/>
        <v>8.1000000000000014</v>
      </c>
      <c r="Z110" s="205">
        <f t="shared" si="45"/>
        <v>3.7999999999999989</v>
      </c>
      <c r="AA110" s="205">
        <f t="shared" si="45"/>
        <v>6.9</v>
      </c>
      <c r="AB110" s="205">
        <f t="shared" si="45"/>
        <v>7.3000000000000007</v>
      </c>
      <c r="AC110" s="205">
        <f t="shared" si="45"/>
        <v>6.1000000000000014</v>
      </c>
      <c r="AD110" s="26"/>
      <c r="AE110" s="26"/>
      <c r="AF110" s="466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10" t="s">
        <v>91</v>
      </c>
      <c r="B111" s="510"/>
      <c r="C111" s="510"/>
      <c r="D111" s="60"/>
      <c r="E111" s="72"/>
      <c r="F111" s="74">
        <v>60.12</v>
      </c>
      <c r="G111" s="74">
        <v>60.08</v>
      </c>
      <c r="H111" s="74">
        <v>60.09</v>
      </c>
      <c r="I111" s="74">
        <v>60.17</v>
      </c>
      <c r="J111" s="74">
        <v>60.08</v>
      </c>
      <c r="K111" s="74">
        <v>60.46</v>
      </c>
      <c r="L111" s="74">
        <v>60.13</v>
      </c>
      <c r="M111" s="74">
        <v>60.13</v>
      </c>
      <c r="N111" s="74">
        <v>60.09</v>
      </c>
      <c r="O111" s="74">
        <v>60.11</v>
      </c>
      <c r="P111" s="83">
        <v>60.15</v>
      </c>
      <c r="Q111" s="83">
        <v>60.17</v>
      </c>
      <c r="R111" s="83">
        <v>60.16</v>
      </c>
      <c r="S111" s="83">
        <v>60.23</v>
      </c>
      <c r="T111" s="83">
        <v>60.23</v>
      </c>
      <c r="U111" s="74">
        <v>60.14</v>
      </c>
      <c r="V111" s="74">
        <v>60.07</v>
      </c>
      <c r="W111" s="74">
        <v>60.15</v>
      </c>
      <c r="X111" s="74">
        <v>60.19</v>
      </c>
      <c r="Y111" s="74">
        <v>60.2</v>
      </c>
      <c r="Z111" s="74">
        <v>60.16</v>
      </c>
      <c r="AA111" s="74">
        <v>60.19</v>
      </c>
      <c r="AB111" s="74">
        <v>60.18</v>
      </c>
      <c r="AC111" s="74">
        <v>60.19</v>
      </c>
      <c r="AD111" s="26"/>
      <c r="AE111" s="26"/>
      <c r="AF111" s="467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18" t="s">
        <v>93</v>
      </c>
      <c r="B112" s="519"/>
      <c r="C112" s="520"/>
      <c r="D112" s="60"/>
      <c r="E112" s="72"/>
      <c r="F112" s="74"/>
      <c r="G112" s="74"/>
      <c r="H112" s="74"/>
      <c r="I112" s="74"/>
      <c r="J112" s="74"/>
      <c r="K112" s="74"/>
      <c r="L112" s="74"/>
      <c r="M112" s="74"/>
      <c r="N112" s="74"/>
      <c r="O112" s="74"/>
      <c r="P112" s="74"/>
      <c r="Q112" s="74"/>
      <c r="R112" s="74"/>
      <c r="S112" s="74"/>
      <c r="T112" s="74"/>
      <c r="U112" s="74"/>
      <c r="V112" s="74"/>
      <c r="W112" s="74"/>
      <c r="X112" s="74"/>
      <c r="Y112" s="74"/>
      <c r="Z112" s="74"/>
      <c r="AA112" s="74"/>
      <c r="AB112" s="74"/>
      <c r="AC112" s="74"/>
      <c r="AD112" s="26"/>
      <c r="AE112" s="26"/>
      <c r="AF112" s="469"/>
      <c r="AG112" s="472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18" t="s">
        <v>95</v>
      </c>
      <c r="B113" s="519"/>
      <c r="C113" s="520"/>
      <c r="D113" s="60"/>
      <c r="E113" s="74"/>
      <c r="F113" s="74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10" t="s">
        <v>96</v>
      </c>
      <c r="B114" s="510"/>
      <c r="C114" s="510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 t="s">
        <v>101</v>
      </c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10" t="s">
        <v>97</v>
      </c>
      <c r="B115" s="510"/>
      <c r="C115" s="510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499" t="s">
        <v>98</v>
      </c>
      <c r="B117" s="499"/>
      <c r="C117" s="499"/>
      <c r="D117" s="499"/>
      <c r="E117" s="499"/>
      <c r="F117" s="499"/>
      <c r="G117" s="499"/>
      <c r="H117" s="499"/>
      <c r="I117" s="499"/>
      <c r="J117" s="499"/>
      <c r="K117" s="499"/>
      <c r="L117" s="499"/>
      <c r="M117" s="499"/>
      <c r="N117" s="499"/>
      <c r="O117" s="499"/>
      <c r="P117" s="499"/>
      <c r="Q117" s="499"/>
      <c r="R117" s="499"/>
      <c r="S117" s="499"/>
      <c r="T117" s="499"/>
      <c r="U117" s="499"/>
      <c r="V117" s="499"/>
      <c r="W117" s="499"/>
      <c r="X117" s="499"/>
      <c r="Y117" s="499"/>
      <c r="Z117" s="499"/>
      <c r="AA117" s="499"/>
      <c r="AB117" s="499"/>
      <c r="AC117" s="499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00" t="s">
        <v>75</v>
      </c>
      <c r="B119" s="501"/>
      <c r="C119" s="502"/>
      <c r="D119" s="49"/>
      <c r="E119" s="49"/>
      <c r="F119" s="506" t="s">
        <v>76</v>
      </c>
      <c r="G119" s="506"/>
      <c r="H119" s="506"/>
      <c r="I119" s="506"/>
      <c r="J119" s="506"/>
      <c r="K119" s="506"/>
      <c r="L119" s="506"/>
      <c r="M119" s="506"/>
      <c r="N119" s="506"/>
      <c r="O119" s="506"/>
      <c r="P119" s="506"/>
      <c r="Q119" s="506"/>
      <c r="R119" s="506"/>
      <c r="S119" s="506"/>
      <c r="T119" s="506"/>
      <c r="U119" s="506"/>
      <c r="V119" s="506"/>
      <c r="W119" s="506"/>
      <c r="X119" s="506"/>
      <c r="Y119" s="506"/>
      <c r="Z119" s="506"/>
      <c r="AA119" s="506"/>
      <c r="AB119" s="506"/>
      <c r="AC119" s="506"/>
      <c r="AD119" s="5"/>
      <c r="AE119" s="5"/>
      <c r="AF119" s="5"/>
      <c r="AG119" s="5"/>
      <c r="AH119" s="5"/>
    </row>
    <row r="120" spans="1:124" ht="15.6" hidden="1" customHeight="1">
      <c r="A120" s="503"/>
      <c r="B120" s="504"/>
      <c r="C120" s="505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07" t="s">
        <v>27</v>
      </c>
      <c r="B121" s="508"/>
      <c r="C121" s="509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07" t="s">
        <v>78</v>
      </c>
      <c r="B122" s="508"/>
      <c r="C122" s="509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07" t="s">
        <v>29</v>
      </c>
      <c r="B123" s="508"/>
      <c r="C123" s="509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07" t="s">
        <v>32</v>
      </c>
      <c r="B124" s="508"/>
      <c r="C124" s="509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07" t="s">
        <v>33</v>
      </c>
      <c r="B125" s="508"/>
      <c r="C125" s="509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07" t="s">
        <v>55</v>
      </c>
      <c r="B126" s="508"/>
      <c r="C126" s="509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07" t="s">
        <v>59</v>
      </c>
      <c r="B127" s="508"/>
      <c r="C127" s="509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07" t="s">
        <v>69</v>
      </c>
      <c r="B128" s="508"/>
      <c r="C128" s="509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496" t="s">
        <v>99</v>
      </c>
      <c r="B129" s="497"/>
      <c r="C129" s="498"/>
      <c r="D129" s="51"/>
      <c r="E129" s="51"/>
      <c r="F129" s="44">
        <f>SUM(F121:F128)</f>
        <v>0</v>
      </c>
      <c r="G129" s="44">
        <f t="shared" ref="G129:AB129" si="46">SUM(G121:G128)</f>
        <v>0</v>
      </c>
      <c r="H129" s="44">
        <f t="shared" si="46"/>
        <v>0</v>
      </c>
      <c r="I129" s="44">
        <f t="shared" si="46"/>
        <v>0</v>
      </c>
      <c r="J129" s="44">
        <f t="shared" si="46"/>
        <v>0</v>
      </c>
      <c r="K129" s="44">
        <f t="shared" si="46"/>
        <v>0</v>
      </c>
      <c r="L129" s="44">
        <f t="shared" si="46"/>
        <v>0</v>
      </c>
      <c r="M129" s="44">
        <f t="shared" si="46"/>
        <v>0</v>
      </c>
      <c r="N129" s="44">
        <f t="shared" si="46"/>
        <v>0</v>
      </c>
      <c r="O129" s="44">
        <f t="shared" si="46"/>
        <v>0</v>
      </c>
      <c r="P129" s="44">
        <f t="shared" si="46"/>
        <v>0</v>
      </c>
      <c r="Q129" s="44">
        <f t="shared" si="46"/>
        <v>0</v>
      </c>
      <c r="R129" s="44">
        <f t="shared" si="46"/>
        <v>0</v>
      </c>
      <c r="S129" s="44">
        <f t="shared" si="46"/>
        <v>0</v>
      </c>
      <c r="T129" s="44">
        <f t="shared" si="46"/>
        <v>0</v>
      </c>
      <c r="U129" s="44">
        <f t="shared" si="46"/>
        <v>0</v>
      </c>
      <c r="V129" s="44">
        <f t="shared" si="46"/>
        <v>0</v>
      </c>
      <c r="W129" s="44">
        <f t="shared" si="46"/>
        <v>0</v>
      </c>
      <c r="X129" s="44">
        <f t="shared" si="46"/>
        <v>0</v>
      </c>
      <c r="Y129" s="44">
        <f t="shared" si="46"/>
        <v>0</v>
      </c>
      <c r="Z129" s="44">
        <f t="shared" si="46"/>
        <v>0</v>
      </c>
      <c r="AA129" s="44">
        <f t="shared" si="46"/>
        <v>0</v>
      </c>
      <c r="AB129" s="44">
        <f t="shared" si="46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1899" priority="292" operator="greaterThan">
      <formula>60.3</formula>
    </cfRule>
  </conditionalFormatting>
  <conditionalFormatting sqref="F111">
    <cfRule type="cellIs" dxfId="1898" priority="291" operator="greaterThan">
      <formula>60.3</formula>
    </cfRule>
  </conditionalFormatting>
  <conditionalFormatting sqref="G67:AC75">
    <cfRule type="cellIs" dxfId="1897" priority="283" operator="equal">
      <formula>"PMS"</formula>
    </cfRule>
    <cfRule type="containsText" dxfId="1896" priority="284" operator="containsText" text="CMS">
      <formula>NOT(ISERROR(SEARCH("CMS",G67)))</formula>
    </cfRule>
    <cfRule type="cellIs" dxfId="1895" priority="285" operator="equal">
      <formula>0</formula>
    </cfRule>
    <cfRule type="cellIs" dxfId="1894" priority="286" operator="greaterThan">
      <formula>0</formula>
    </cfRule>
    <cfRule type="cellIs" dxfId="1893" priority="287" operator="equal">
      <formula>"PMS"</formula>
    </cfRule>
    <cfRule type="containsText" dxfId="1892" priority="288" operator="containsText" text="CMS">
      <formula>NOT(ISERROR(SEARCH("CMS",G67)))</formula>
    </cfRule>
    <cfRule type="cellIs" dxfId="1891" priority="289" operator="equal">
      <formula>0</formula>
    </cfRule>
    <cfRule type="cellIs" dxfId="1890" priority="290" operator="greaterThan">
      <formula>0</formula>
    </cfRule>
  </conditionalFormatting>
  <conditionalFormatting sqref="G67:AC75">
    <cfRule type="cellIs" dxfId="1889" priority="279" operator="equal">
      <formula>"PMS"</formula>
    </cfRule>
    <cfRule type="containsText" dxfId="1888" priority="280" operator="containsText" text="CMS">
      <formula>NOT(ISERROR(SEARCH("CMS",G67)))</formula>
    </cfRule>
    <cfRule type="cellIs" dxfId="1887" priority="281" operator="equal">
      <formula>0</formula>
    </cfRule>
    <cfRule type="cellIs" dxfId="1886" priority="282" operator="greaterThan">
      <formula>0</formula>
    </cfRule>
  </conditionalFormatting>
  <conditionalFormatting sqref="G82:AC82">
    <cfRule type="cellIs" dxfId="1885" priority="271" operator="equal">
      <formula>"PMS"</formula>
    </cfRule>
    <cfRule type="containsText" dxfId="1884" priority="272" operator="containsText" text="CMS">
      <formula>NOT(ISERROR(SEARCH("CMS",G82)))</formula>
    </cfRule>
    <cfRule type="cellIs" dxfId="1883" priority="273" operator="equal">
      <formula>0</formula>
    </cfRule>
    <cfRule type="cellIs" dxfId="1882" priority="274" operator="greaterThan">
      <formula>0</formula>
    </cfRule>
    <cfRule type="cellIs" dxfId="1881" priority="275" operator="equal">
      <formula>"PMS"</formula>
    </cfRule>
    <cfRule type="containsText" dxfId="1880" priority="276" operator="containsText" text="CMS">
      <formula>NOT(ISERROR(SEARCH("CMS",G82)))</formula>
    </cfRule>
    <cfRule type="cellIs" dxfId="1879" priority="277" operator="equal">
      <formula>0</formula>
    </cfRule>
    <cfRule type="cellIs" dxfId="1878" priority="278" operator="greaterThan">
      <formula>0</formula>
    </cfRule>
  </conditionalFormatting>
  <conditionalFormatting sqref="G82:AC82">
    <cfRule type="cellIs" dxfId="1877" priority="267" operator="equal">
      <formula>"PMS"</formula>
    </cfRule>
    <cfRule type="containsText" dxfId="1876" priority="268" operator="containsText" text="CMS">
      <formula>NOT(ISERROR(SEARCH("CMS",G82)))</formula>
    </cfRule>
    <cfRule type="cellIs" dxfId="1875" priority="269" operator="equal">
      <formula>0</formula>
    </cfRule>
    <cfRule type="cellIs" dxfId="1874" priority="270" operator="greaterThan">
      <formula>0</formula>
    </cfRule>
  </conditionalFormatting>
  <conditionalFormatting sqref="E113:AC113 F112:N112">
    <cfRule type="cellIs" dxfId="1873" priority="266" operator="greaterThan">
      <formula>60.3</formula>
    </cfRule>
  </conditionalFormatting>
  <conditionalFormatting sqref="O112:AC112">
    <cfRule type="cellIs" dxfId="1872" priority="265" operator="greaterThan">
      <formula>60.3</formula>
    </cfRule>
  </conditionalFormatting>
  <conditionalFormatting sqref="G13:AC16">
    <cfRule type="cellIs" dxfId="1871" priority="257" operator="equal">
      <formula>"PMS"</formula>
    </cfRule>
    <cfRule type="containsText" dxfId="1870" priority="258" operator="containsText" text="CMS">
      <formula>NOT(ISERROR(SEARCH("CMS",G13)))</formula>
    </cfRule>
    <cfRule type="cellIs" dxfId="1869" priority="259" operator="equal">
      <formula>0</formula>
    </cfRule>
    <cfRule type="cellIs" dxfId="1868" priority="260" operator="greaterThan">
      <formula>0</formula>
    </cfRule>
    <cfRule type="cellIs" dxfId="1867" priority="261" operator="equal">
      <formula>"PMS"</formula>
    </cfRule>
    <cfRule type="containsText" dxfId="1866" priority="262" operator="containsText" text="CMS">
      <formula>NOT(ISERROR(SEARCH("CMS",G13)))</formula>
    </cfRule>
    <cfRule type="cellIs" dxfId="1865" priority="263" operator="equal">
      <formula>0</formula>
    </cfRule>
    <cfRule type="cellIs" dxfId="1864" priority="264" operator="greaterThan">
      <formula>0</formula>
    </cfRule>
  </conditionalFormatting>
  <conditionalFormatting sqref="G13:AC16">
    <cfRule type="cellIs" dxfId="1863" priority="253" operator="equal">
      <formula>"PMS"</formula>
    </cfRule>
    <cfRule type="containsText" dxfId="1862" priority="254" operator="containsText" text="CMS">
      <formula>NOT(ISERROR(SEARCH("CMS",G13)))</formula>
    </cfRule>
    <cfRule type="cellIs" dxfId="1861" priority="255" operator="equal">
      <formula>0</formula>
    </cfRule>
    <cfRule type="cellIs" dxfId="1860" priority="256" operator="greaterThan">
      <formula>0</formula>
    </cfRule>
  </conditionalFormatting>
  <conditionalFormatting sqref="H24:K24 AC27 Z27:AA27 Z28:AC29 H33:AC33 G30:AC30 O24:AC24 G19:AC21 G27:Y29">
    <cfRule type="cellIs" dxfId="1859" priority="245" operator="equal">
      <formula>"PMS"</formula>
    </cfRule>
    <cfRule type="containsText" dxfId="1858" priority="246" operator="containsText" text="CMS">
      <formula>NOT(ISERROR(SEARCH("CMS",G19)))</formula>
    </cfRule>
    <cfRule type="cellIs" dxfId="1857" priority="247" operator="equal">
      <formula>0</formula>
    </cfRule>
    <cfRule type="cellIs" dxfId="1856" priority="248" operator="greaterThan">
      <formula>0</formula>
    </cfRule>
    <cfRule type="cellIs" dxfId="1855" priority="249" operator="equal">
      <formula>"PMS"</formula>
    </cfRule>
    <cfRule type="containsText" dxfId="1854" priority="250" operator="containsText" text="CMS">
      <formula>NOT(ISERROR(SEARCH("CMS",G19)))</formula>
    </cfRule>
    <cfRule type="cellIs" dxfId="1853" priority="251" operator="equal">
      <formula>0</formula>
    </cfRule>
    <cfRule type="cellIs" dxfId="1852" priority="252" operator="greaterThan">
      <formula>0</formula>
    </cfRule>
  </conditionalFormatting>
  <conditionalFormatting sqref="H24:K24 AC27 Z27:AA27 Z28:AC29 H33:AC33 G30:AC30 O24:AC24 G19:AC21 G27:Y29">
    <cfRule type="cellIs" dxfId="1851" priority="241" operator="equal">
      <formula>"PMS"</formula>
    </cfRule>
    <cfRule type="containsText" dxfId="1850" priority="242" operator="containsText" text="CMS">
      <formula>NOT(ISERROR(SEARCH("CMS",G19)))</formula>
    </cfRule>
    <cfRule type="cellIs" dxfId="1849" priority="243" operator="equal">
      <formula>0</formula>
    </cfRule>
    <cfRule type="cellIs" dxfId="1848" priority="244" operator="greaterThan">
      <formula>0</formula>
    </cfRule>
  </conditionalFormatting>
  <conditionalFormatting sqref="V42:X42 G36:AC38 G43:X43 G39:X41 Y39:AC43 G57:AC59 Y50:AC51 H50:X50 H56:AC56 G51:X51 G44:AC49 G52:AC55">
    <cfRule type="cellIs" dxfId="1847" priority="233" operator="equal">
      <formula>"PMS"</formula>
    </cfRule>
    <cfRule type="containsText" dxfId="1846" priority="234" operator="containsText" text="CMS">
      <formula>NOT(ISERROR(SEARCH("CMS",G36)))</formula>
    </cfRule>
    <cfRule type="cellIs" dxfId="1845" priority="235" operator="equal">
      <formula>0</formula>
    </cfRule>
    <cfRule type="cellIs" dxfId="1844" priority="236" operator="greaterThan">
      <formula>0</formula>
    </cfRule>
    <cfRule type="cellIs" dxfId="1843" priority="237" operator="equal">
      <formula>"PMS"</formula>
    </cfRule>
    <cfRule type="containsText" dxfId="1842" priority="238" operator="containsText" text="CMS">
      <formula>NOT(ISERROR(SEARCH("CMS",G36)))</formula>
    </cfRule>
    <cfRule type="cellIs" dxfId="1841" priority="239" operator="equal">
      <formula>0</formula>
    </cfRule>
    <cfRule type="cellIs" dxfId="1840" priority="240" operator="greaterThan">
      <formula>0</formula>
    </cfRule>
  </conditionalFormatting>
  <conditionalFormatting sqref="V42:X42 G36:AC38 G43:X43 G39:X41 Y39:AC43 G57:AC59 Y50:AC51 H50:X50 H56:AC56 G51:X51 G44:AC49 G52:AC55">
    <cfRule type="cellIs" dxfId="1839" priority="229" operator="equal">
      <formula>"PMS"</formula>
    </cfRule>
    <cfRule type="containsText" dxfId="1838" priority="230" operator="containsText" text="CMS">
      <formula>NOT(ISERROR(SEARCH("CMS",G36)))</formula>
    </cfRule>
    <cfRule type="cellIs" dxfId="1837" priority="231" operator="equal">
      <formula>0</formula>
    </cfRule>
    <cfRule type="cellIs" dxfId="1836" priority="232" operator="greaterThan">
      <formula>0</formula>
    </cfRule>
  </conditionalFormatting>
  <conditionalFormatting sqref="F78:AC78 G79:AC79 G62:AC64">
    <cfRule type="cellIs" dxfId="1835" priority="221" operator="equal">
      <formula>"PMS"</formula>
    </cfRule>
    <cfRule type="containsText" dxfId="1834" priority="222" operator="containsText" text="CMS">
      <formula>NOT(ISERROR(SEARCH("CMS",F62)))</formula>
    </cfRule>
    <cfRule type="cellIs" dxfId="1833" priority="223" operator="equal">
      <formula>0</formula>
    </cfRule>
    <cfRule type="cellIs" dxfId="1832" priority="224" operator="greaterThan">
      <formula>0</formula>
    </cfRule>
    <cfRule type="cellIs" dxfId="1831" priority="225" operator="equal">
      <formula>"PMS"</formula>
    </cfRule>
    <cfRule type="containsText" dxfId="1830" priority="226" operator="containsText" text="CMS">
      <formula>NOT(ISERROR(SEARCH("CMS",F62)))</formula>
    </cfRule>
    <cfRule type="cellIs" dxfId="1829" priority="227" operator="equal">
      <formula>0</formula>
    </cfRule>
    <cfRule type="cellIs" dxfId="1828" priority="228" operator="greaterThan">
      <formula>0</formula>
    </cfRule>
  </conditionalFormatting>
  <conditionalFormatting sqref="F78:AC78 G79:AC79 G62:AC64">
    <cfRule type="cellIs" dxfId="1827" priority="217" operator="equal">
      <formula>"PMS"</formula>
    </cfRule>
    <cfRule type="containsText" dxfId="1826" priority="218" operator="containsText" text="CMS">
      <formula>NOT(ISERROR(SEARCH("CMS",F62)))</formula>
    </cfRule>
    <cfRule type="cellIs" dxfId="1825" priority="219" operator="equal">
      <formula>0</formula>
    </cfRule>
    <cfRule type="cellIs" dxfId="1824" priority="220" operator="greaterThan">
      <formula>0</formula>
    </cfRule>
  </conditionalFormatting>
  <conditionalFormatting sqref="G42:P42 R42:U42">
    <cfRule type="cellIs" dxfId="1823" priority="209" operator="equal">
      <formula>"PMS"</formula>
    </cfRule>
    <cfRule type="containsText" dxfId="1822" priority="210" operator="containsText" text="CMS">
      <formula>NOT(ISERROR(SEARCH("CMS",G42)))</formula>
    </cfRule>
    <cfRule type="cellIs" dxfId="1821" priority="211" operator="equal">
      <formula>0</formula>
    </cfRule>
    <cfRule type="cellIs" dxfId="1820" priority="212" operator="greaterThan">
      <formula>0</formula>
    </cfRule>
    <cfRule type="cellIs" dxfId="1819" priority="213" operator="equal">
      <formula>"PMS"</formula>
    </cfRule>
    <cfRule type="containsText" dxfId="1818" priority="214" operator="containsText" text="CMS">
      <formula>NOT(ISERROR(SEARCH("CMS",G42)))</formula>
    </cfRule>
    <cfRule type="cellIs" dxfId="1817" priority="215" operator="equal">
      <formula>0</formula>
    </cfRule>
    <cfRule type="cellIs" dxfId="1816" priority="216" operator="greaterThan">
      <formula>0</formula>
    </cfRule>
  </conditionalFormatting>
  <conditionalFormatting sqref="G42:P42 R42:U42">
    <cfRule type="cellIs" dxfId="1815" priority="205" operator="equal">
      <formula>"PMS"</formula>
    </cfRule>
    <cfRule type="containsText" dxfId="1814" priority="206" operator="containsText" text="CMS">
      <formula>NOT(ISERROR(SEARCH("CMS",G42)))</formula>
    </cfRule>
    <cfRule type="cellIs" dxfId="1813" priority="207" operator="equal">
      <formula>0</formula>
    </cfRule>
    <cfRule type="cellIs" dxfId="1812" priority="208" operator="greaterThan">
      <formula>0</formula>
    </cfRule>
  </conditionalFormatting>
  <conditionalFormatting sqref="G33">
    <cfRule type="cellIs" dxfId="1811" priority="197" operator="equal">
      <formula>"PMS"</formula>
    </cfRule>
    <cfRule type="containsText" dxfId="1810" priority="198" operator="containsText" text="CMS">
      <formula>NOT(ISERROR(SEARCH("CMS",G33)))</formula>
    </cfRule>
    <cfRule type="cellIs" dxfId="1809" priority="199" operator="equal">
      <formula>0</formula>
    </cfRule>
    <cfRule type="cellIs" dxfId="1808" priority="200" operator="greaterThan">
      <formula>0</formula>
    </cfRule>
    <cfRule type="cellIs" dxfId="1807" priority="201" operator="equal">
      <formula>"PMS"</formula>
    </cfRule>
    <cfRule type="containsText" dxfId="1806" priority="202" operator="containsText" text="CMS">
      <formula>NOT(ISERROR(SEARCH("CMS",G33)))</formula>
    </cfRule>
    <cfRule type="cellIs" dxfId="1805" priority="203" operator="equal">
      <formula>0</formula>
    </cfRule>
    <cfRule type="cellIs" dxfId="1804" priority="204" operator="greaterThan">
      <formula>0</formula>
    </cfRule>
  </conditionalFormatting>
  <conditionalFormatting sqref="G33">
    <cfRule type="cellIs" dxfId="1803" priority="193" operator="equal">
      <formula>"PMS"</formula>
    </cfRule>
    <cfRule type="containsText" dxfId="1802" priority="194" operator="containsText" text="CMS">
      <formula>NOT(ISERROR(SEARCH("CMS",G33)))</formula>
    </cfRule>
    <cfRule type="cellIs" dxfId="1801" priority="195" operator="equal">
      <formula>0</formula>
    </cfRule>
    <cfRule type="cellIs" dxfId="1800" priority="196" operator="greaterThan">
      <formula>0</formula>
    </cfRule>
  </conditionalFormatting>
  <conditionalFormatting sqref="G24">
    <cfRule type="cellIs" dxfId="1799" priority="185" operator="equal">
      <formula>"PMS"</formula>
    </cfRule>
    <cfRule type="containsText" dxfId="1798" priority="186" operator="containsText" text="CMS">
      <formula>NOT(ISERROR(SEARCH("CMS",G24)))</formula>
    </cfRule>
    <cfRule type="cellIs" dxfId="1797" priority="187" operator="equal">
      <formula>0</formula>
    </cfRule>
    <cfRule type="cellIs" dxfId="1796" priority="188" operator="greaterThan">
      <formula>0</formula>
    </cfRule>
    <cfRule type="cellIs" dxfId="1795" priority="189" operator="equal">
      <formula>"PMS"</formula>
    </cfRule>
    <cfRule type="containsText" dxfId="1794" priority="190" operator="containsText" text="CMS">
      <formula>NOT(ISERROR(SEARCH("CMS",G24)))</formula>
    </cfRule>
    <cfRule type="cellIs" dxfId="1793" priority="191" operator="equal">
      <formula>0</formula>
    </cfRule>
    <cfRule type="cellIs" dxfId="1792" priority="192" operator="greaterThan">
      <formula>0</formula>
    </cfRule>
  </conditionalFormatting>
  <conditionalFormatting sqref="G24">
    <cfRule type="cellIs" dxfId="1791" priority="181" operator="equal">
      <formula>"PMS"</formula>
    </cfRule>
    <cfRule type="containsText" dxfId="1790" priority="182" operator="containsText" text="CMS">
      <formula>NOT(ISERROR(SEARCH("CMS",G24)))</formula>
    </cfRule>
    <cfRule type="cellIs" dxfId="1789" priority="183" operator="equal">
      <formula>0</formula>
    </cfRule>
    <cfRule type="cellIs" dxfId="1788" priority="184" operator="greaterThan">
      <formula>0</formula>
    </cfRule>
  </conditionalFormatting>
  <conditionalFormatting sqref="AB27">
    <cfRule type="cellIs" dxfId="1787" priority="173" operator="equal">
      <formula>"PMS"</formula>
    </cfRule>
    <cfRule type="containsText" dxfId="1786" priority="174" operator="containsText" text="CMS">
      <formula>NOT(ISERROR(SEARCH("CMS",AB27)))</formula>
    </cfRule>
    <cfRule type="cellIs" dxfId="1785" priority="175" operator="equal">
      <formula>0</formula>
    </cfRule>
    <cfRule type="cellIs" dxfId="1784" priority="176" operator="greaterThan">
      <formula>0</formula>
    </cfRule>
    <cfRule type="cellIs" dxfId="1783" priority="177" operator="equal">
      <formula>"PMS"</formula>
    </cfRule>
    <cfRule type="containsText" dxfId="1782" priority="178" operator="containsText" text="CMS">
      <formula>NOT(ISERROR(SEARCH("CMS",AB27)))</formula>
    </cfRule>
    <cfRule type="cellIs" dxfId="1781" priority="179" operator="equal">
      <formula>0</formula>
    </cfRule>
    <cfRule type="cellIs" dxfId="1780" priority="180" operator="greaterThan">
      <formula>0</formula>
    </cfRule>
  </conditionalFormatting>
  <conditionalFormatting sqref="AB27">
    <cfRule type="cellIs" dxfId="1779" priority="169" operator="equal">
      <formula>"PMS"</formula>
    </cfRule>
    <cfRule type="containsText" dxfId="1778" priority="170" operator="containsText" text="CMS">
      <formula>NOT(ISERROR(SEARCH("CMS",AB27)))</formula>
    </cfRule>
    <cfRule type="cellIs" dxfId="1777" priority="171" operator="equal">
      <formula>0</formula>
    </cfRule>
    <cfRule type="cellIs" dxfId="1776" priority="172" operator="greaterThan">
      <formula>0</formula>
    </cfRule>
  </conditionalFormatting>
  <conditionalFormatting sqref="Q42">
    <cfRule type="cellIs" dxfId="1775" priority="161" operator="equal">
      <formula>"PMS"</formula>
    </cfRule>
    <cfRule type="containsText" dxfId="1774" priority="162" operator="containsText" text="CMS">
      <formula>NOT(ISERROR(SEARCH("CMS",Q42)))</formula>
    </cfRule>
    <cfRule type="cellIs" dxfId="1773" priority="163" operator="equal">
      <formula>0</formula>
    </cfRule>
    <cfRule type="cellIs" dxfId="1772" priority="164" operator="greaterThan">
      <formula>0</formula>
    </cfRule>
    <cfRule type="cellIs" dxfId="1771" priority="165" operator="equal">
      <formula>"PMS"</formula>
    </cfRule>
    <cfRule type="containsText" dxfId="1770" priority="166" operator="containsText" text="CMS">
      <formula>NOT(ISERROR(SEARCH("CMS",Q42)))</formula>
    </cfRule>
    <cfRule type="cellIs" dxfId="1769" priority="167" operator="equal">
      <formula>0</formula>
    </cfRule>
    <cfRule type="cellIs" dxfId="1768" priority="168" operator="greaterThan">
      <formula>0</formula>
    </cfRule>
  </conditionalFormatting>
  <conditionalFormatting sqref="Q42">
    <cfRule type="cellIs" dxfId="1767" priority="157" operator="equal">
      <formula>"PMS"</formula>
    </cfRule>
    <cfRule type="containsText" dxfId="1766" priority="158" operator="containsText" text="CMS">
      <formula>NOT(ISERROR(SEARCH("CMS",Q42)))</formula>
    </cfRule>
    <cfRule type="cellIs" dxfId="1765" priority="159" operator="equal">
      <formula>0</formula>
    </cfRule>
    <cfRule type="cellIs" dxfId="1764" priority="160" operator="greaterThan">
      <formula>0</formula>
    </cfRule>
  </conditionalFormatting>
  <conditionalFormatting sqref="G56 G50">
    <cfRule type="cellIs" dxfId="1763" priority="101" operator="equal">
      <formula>"PMS"</formula>
    </cfRule>
    <cfRule type="containsText" dxfId="1762" priority="102" operator="containsText" text="CMS">
      <formula>NOT(ISERROR(SEARCH("CMS",G50)))</formula>
    </cfRule>
    <cfRule type="cellIs" dxfId="1761" priority="103" operator="equal">
      <formula>0</formula>
    </cfRule>
    <cfRule type="cellIs" dxfId="1760" priority="104" operator="greaterThan">
      <formula>0</formula>
    </cfRule>
    <cfRule type="cellIs" dxfId="1759" priority="105" operator="equal">
      <formula>"PMS"</formula>
    </cfRule>
    <cfRule type="containsText" dxfId="1758" priority="106" operator="containsText" text="CMS">
      <formula>NOT(ISERROR(SEARCH("CMS",G50)))</formula>
    </cfRule>
    <cfRule type="cellIs" dxfId="1757" priority="107" operator="equal">
      <formula>0</formula>
    </cfRule>
    <cfRule type="cellIs" dxfId="1756" priority="108" operator="greaterThan">
      <formula>0</formula>
    </cfRule>
  </conditionalFormatting>
  <conditionalFormatting sqref="G56 G50">
    <cfRule type="cellIs" dxfId="1755" priority="97" operator="equal">
      <formula>"PMS"</formula>
    </cfRule>
    <cfRule type="containsText" dxfId="1754" priority="98" operator="containsText" text="CMS">
      <formula>NOT(ISERROR(SEARCH("CMS",G50)))</formula>
    </cfRule>
    <cfRule type="cellIs" dxfId="1753" priority="99" operator="equal">
      <formula>0</formula>
    </cfRule>
    <cfRule type="cellIs" dxfId="1752" priority="100" operator="greaterThan">
      <formula>0</formula>
    </cfRule>
  </conditionalFormatting>
  <conditionalFormatting sqref="L24:N24">
    <cfRule type="cellIs" dxfId="1751" priority="77" operator="equal">
      <formula>"PMS"</formula>
    </cfRule>
    <cfRule type="containsText" dxfId="1750" priority="78" operator="containsText" text="CMS">
      <formula>NOT(ISERROR(SEARCH("CMS",L24)))</formula>
    </cfRule>
    <cfRule type="cellIs" dxfId="1749" priority="79" operator="equal">
      <formula>0</formula>
    </cfRule>
    <cfRule type="cellIs" dxfId="1748" priority="80" operator="greaterThan">
      <formula>0</formula>
    </cfRule>
    <cfRule type="cellIs" dxfId="1747" priority="81" operator="equal">
      <formula>"PMS"</formula>
    </cfRule>
    <cfRule type="containsText" dxfId="1746" priority="82" operator="containsText" text="CMS">
      <formula>NOT(ISERROR(SEARCH("CMS",L24)))</formula>
    </cfRule>
    <cfRule type="cellIs" dxfId="1745" priority="83" operator="equal">
      <formula>0</formula>
    </cfRule>
    <cfRule type="cellIs" dxfId="1744" priority="84" operator="greaterThan">
      <formula>0</formula>
    </cfRule>
  </conditionalFormatting>
  <conditionalFormatting sqref="L24:N24">
    <cfRule type="cellIs" dxfId="1743" priority="73" operator="equal">
      <formula>"PMS"</formula>
    </cfRule>
    <cfRule type="containsText" dxfId="1742" priority="74" operator="containsText" text="CMS">
      <formula>NOT(ISERROR(SEARCH("CMS",L24)))</formula>
    </cfRule>
    <cfRule type="cellIs" dxfId="1741" priority="75" operator="equal">
      <formula>0</formula>
    </cfRule>
    <cfRule type="cellIs" dxfId="1740" priority="76" operator="greaterThan">
      <formula>0</formula>
    </cfRule>
  </conditionalFormatting>
  <conditionalFormatting sqref="F67:F75">
    <cfRule type="cellIs" dxfId="1739" priority="65" operator="equal">
      <formula>"PMS"</formula>
    </cfRule>
    <cfRule type="containsText" dxfId="1738" priority="66" operator="containsText" text="CMS">
      <formula>NOT(ISERROR(SEARCH("CMS",F67)))</formula>
    </cfRule>
    <cfRule type="cellIs" dxfId="1737" priority="67" operator="equal">
      <formula>0</formula>
    </cfRule>
    <cfRule type="cellIs" dxfId="1736" priority="68" operator="greaterThan">
      <formula>0</formula>
    </cfRule>
    <cfRule type="cellIs" dxfId="1735" priority="69" operator="equal">
      <formula>"PMS"</formula>
    </cfRule>
    <cfRule type="containsText" dxfId="1734" priority="70" operator="containsText" text="CMS">
      <formula>NOT(ISERROR(SEARCH("CMS",F67)))</formula>
    </cfRule>
    <cfRule type="cellIs" dxfId="1733" priority="71" operator="equal">
      <formula>0</formula>
    </cfRule>
    <cfRule type="cellIs" dxfId="1732" priority="72" operator="greaterThan">
      <formula>0</formula>
    </cfRule>
  </conditionalFormatting>
  <conditionalFormatting sqref="F67:F75">
    <cfRule type="cellIs" dxfId="1731" priority="61" operator="equal">
      <formula>"PMS"</formula>
    </cfRule>
    <cfRule type="containsText" dxfId="1730" priority="62" operator="containsText" text="CMS">
      <formula>NOT(ISERROR(SEARCH("CMS",F67)))</formula>
    </cfRule>
    <cfRule type="cellIs" dxfId="1729" priority="63" operator="equal">
      <formula>0</formula>
    </cfRule>
    <cfRule type="cellIs" dxfId="1728" priority="64" operator="greaterThan">
      <formula>0</formula>
    </cfRule>
  </conditionalFormatting>
  <conditionalFormatting sqref="F82">
    <cfRule type="cellIs" dxfId="1727" priority="53" operator="equal">
      <formula>"PMS"</formula>
    </cfRule>
    <cfRule type="containsText" dxfId="1726" priority="54" operator="containsText" text="CMS">
      <formula>NOT(ISERROR(SEARCH("CMS",F82)))</formula>
    </cfRule>
    <cfRule type="cellIs" dxfId="1725" priority="55" operator="equal">
      <formula>0</formula>
    </cfRule>
    <cfRule type="cellIs" dxfId="1724" priority="56" operator="greaterThan">
      <formula>0</formula>
    </cfRule>
    <cfRule type="cellIs" dxfId="1723" priority="57" operator="equal">
      <formula>"PMS"</formula>
    </cfRule>
    <cfRule type="containsText" dxfId="1722" priority="58" operator="containsText" text="CMS">
      <formula>NOT(ISERROR(SEARCH("CMS",F82)))</formula>
    </cfRule>
    <cfRule type="cellIs" dxfId="1721" priority="59" operator="equal">
      <formula>0</formula>
    </cfRule>
    <cfRule type="cellIs" dxfId="1720" priority="60" operator="greaterThan">
      <formula>0</formula>
    </cfRule>
  </conditionalFormatting>
  <conditionalFormatting sqref="F82">
    <cfRule type="cellIs" dxfId="1719" priority="49" operator="equal">
      <formula>"PMS"</formula>
    </cfRule>
    <cfRule type="containsText" dxfId="1718" priority="50" operator="containsText" text="CMS">
      <formula>NOT(ISERROR(SEARCH("CMS",F82)))</formula>
    </cfRule>
    <cfRule type="cellIs" dxfId="1717" priority="51" operator="equal">
      <formula>0</formula>
    </cfRule>
    <cfRule type="cellIs" dxfId="1716" priority="52" operator="greaterThan">
      <formula>0</formula>
    </cfRule>
  </conditionalFormatting>
  <conditionalFormatting sqref="F13:F16">
    <cfRule type="cellIs" dxfId="1715" priority="41" operator="equal">
      <formula>"PMS"</formula>
    </cfRule>
    <cfRule type="containsText" dxfId="1714" priority="42" operator="containsText" text="CMS">
      <formula>NOT(ISERROR(SEARCH("CMS",F13)))</formula>
    </cfRule>
    <cfRule type="cellIs" dxfId="1713" priority="43" operator="equal">
      <formula>0</formula>
    </cfRule>
    <cfRule type="cellIs" dxfId="1712" priority="44" operator="greaterThan">
      <formula>0</formula>
    </cfRule>
    <cfRule type="cellIs" dxfId="1711" priority="45" operator="equal">
      <formula>"PMS"</formula>
    </cfRule>
    <cfRule type="containsText" dxfId="1710" priority="46" operator="containsText" text="CMS">
      <formula>NOT(ISERROR(SEARCH("CMS",F13)))</formula>
    </cfRule>
    <cfRule type="cellIs" dxfId="1709" priority="47" operator="equal">
      <formula>0</formula>
    </cfRule>
    <cfRule type="cellIs" dxfId="1708" priority="48" operator="greaterThan">
      <formula>0</formula>
    </cfRule>
  </conditionalFormatting>
  <conditionalFormatting sqref="F13:F16">
    <cfRule type="cellIs" dxfId="1707" priority="37" operator="equal">
      <formula>"PMS"</formula>
    </cfRule>
    <cfRule type="containsText" dxfId="1706" priority="38" operator="containsText" text="CMS">
      <formula>NOT(ISERROR(SEARCH("CMS",F13)))</formula>
    </cfRule>
    <cfRule type="cellIs" dxfId="1705" priority="39" operator="equal">
      <formula>0</formula>
    </cfRule>
    <cfRule type="cellIs" dxfId="1704" priority="40" operator="greaterThan">
      <formula>0</formula>
    </cfRule>
  </conditionalFormatting>
  <conditionalFormatting sqref="F19:F21 F33 F27:F30 F24">
    <cfRule type="cellIs" dxfId="1703" priority="29" operator="equal">
      <formula>"PMS"</formula>
    </cfRule>
    <cfRule type="containsText" dxfId="1702" priority="30" operator="containsText" text="CMS">
      <formula>NOT(ISERROR(SEARCH("CMS",F19)))</formula>
    </cfRule>
    <cfRule type="cellIs" dxfId="1701" priority="31" operator="equal">
      <formula>0</formula>
    </cfRule>
    <cfRule type="cellIs" dxfId="1700" priority="32" operator="greaterThan">
      <formula>0</formula>
    </cfRule>
    <cfRule type="cellIs" dxfId="1699" priority="33" operator="equal">
      <formula>"PMS"</formula>
    </cfRule>
    <cfRule type="containsText" dxfId="1698" priority="34" operator="containsText" text="CMS">
      <formula>NOT(ISERROR(SEARCH("CMS",F19)))</formula>
    </cfRule>
    <cfRule type="cellIs" dxfId="1697" priority="35" operator="equal">
      <formula>0</formula>
    </cfRule>
    <cfRule type="cellIs" dxfId="1696" priority="36" operator="greaterThan">
      <formula>0</formula>
    </cfRule>
  </conditionalFormatting>
  <conditionalFormatting sqref="F19:F21 F33 F27:F30 F24">
    <cfRule type="cellIs" dxfId="1695" priority="25" operator="equal">
      <formula>"PMS"</formula>
    </cfRule>
    <cfRule type="containsText" dxfId="1694" priority="26" operator="containsText" text="CMS">
      <formula>NOT(ISERROR(SEARCH("CMS",F19)))</formula>
    </cfRule>
    <cfRule type="cellIs" dxfId="1693" priority="27" operator="equal">
      <formula>0</formula>
    </cfRule>
    <cfRule type="cellIs" dxfId="1692" priority="28" operator="greaterThan">
      <formula>0</formula>
    </cfRule>
  </conditionalFormatting>
  <conditionalFormatting sqref="F36:F59">
    <cfRule type="cellIs" dxfId="1691" priority="17" operator="equal">
      <formula>"PMS"</formula>
    </cfRule>
    <cfRule type="containsText" dxfId="1690" priority="18" operator="containsText" text="CMS">
      <formula>NOT(ISERROR(SEARCH("CMS",F36)))</formula>
    </cfRule>
    <cfRule type="cellIs" dxfId="1689" priority="19" operator="equal">
      <formula>0</formula>
    </cfRule>
    <cfRule type="cellIs" dxfId="1688" priority="20" operator="greaterThan">
      <formula>0</formula>
    </cfRule>
    <cfRule type="cellIs" dxfId="1687" priority="21" operator="equal">
      <formula>"PMS"</formula>
    </cfRule>
    <cfRule type="containsText" dxfId="1686" priority="22" operator="containsText" text="CMS">
      <formula>NOT(ISERROR(SEARCH("CMS",F36)))</formula>
    </cfRule>
    <cfRule type="cellIs" dxfId="1685" priority="23" operator="equal">
      <formula>0</formula>
    </cfRule>
    <cfRule type="cellIs" dxfId="1684" priority="24" operator="greaterThan">
      <formula>0</formula>
    </cfRule>
  </conditionalFormatting>
  <conditionalFormatting sqref="F36:F59">
    <cfRule type="cellIs" dxfId="1683" priority="13" operator="equal">
      <formula>"PMS"</formula>
    </cfRule>
    <cfRule type="containsText" dxfId="1682" priority="14" operator="containsText" text="CMS">
      <formula>NOT(ISERROR(SEARCH("CMS",F36)))</formula>
    </cfRule>
    <cfRule type="cellIs" dxfId="1681" priority="15" operator="equal">
      <formula>0</formula>
    </cfRule>
    <cfRule type="cellIs" dxfId="1680" priority="16" operator="greaterThan">
      <formula>0</formula>
    </cfRule>
  </conditionalFormatting>
  <conditionalFormatting sqref="F62:F64 F79">
    <cfRule type="cellIs" dxfId="1679" priority="5" operator="equal">
      <formula>"PMS"</formula>
    </cfRule>
    <cfRule type="containsText" dxfId="1678" priority="6" operator="containsText" text="CMS">
      <formula>NOT(ISERROR(SEARCH("CMS",F62)))</formula>
    </cfRule>
    <cfRule type="cellIs" dxfId="1677" priority="7" operator="equal">
      <formula>0</formula>
    </cfRule>
    <cfRule type="cellIs" dxfId="1676" priority="8" operator="greaterThan">
      <formula>0</formula>
    </cfRule>
    <cfRule type="cellIs" dxfId="1675" priority="9" operator="equal">
      <formula>"PMS"</formula>
    </cfRule>
    <cfRule type="containsText" dxfId="1674" priority="10" operator="containsText" text="CMS">
      <formula>NOT(ISERROR(SEARCH("CMS",F62)))</formula>
    </cfRule>
    <cfRule type="cellIs" dxfId="1673" priority="11" operator="equal">
      <formula>0</formula>
    </cfRule>
    <cfRule type="cellIs" dxfId="1672" priority="12" operator="greaterThan">
      <formula>0</formula>
    </cfRule>
  </conditionalFormatting>
  <conditionalFormatting sqref="F62:F64 F79">
    <cfRule type="cellIs" dxfId="1671" priority="1" operator="equal">
      <formula>"PMS"</formula>
    </cfRule>
    <cfRule type="containsText" dxfId="1670" priority="2" operator="containsText" text="CMS">
      <formula>NOT(ISERROR(SEARCH("CMS",F62)))</formula>
    </cfRule>
    <cfRule type="cellIs" dxfId="1669" priority="3" operator="equal">
      <formula>0</formula>
    </cfRule>
    <cfRule type="cellIs" dxfId="1668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5033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03950D-C0C3-4DC6-88C7-F3A0D94B0415}">
  <sheetPr codeName="Sheet185"/>
  <dimension ref="A2:DT141"/>
  <sheetViews>
    <sheetView zoomScale="70" zoomScaleNormal="70" zoomScaleSheetLayoutView="51" zoomScalePageLayoutView="55" workbookViewId="0">
      <pane xSplit="5" ySplit="11" topLeftCell="F12" activePane="bottomRight" state="frozen"/>
      <selection pane="bottomRight" activeCell="P15" sqref="P15"/>
      <selection pane="bottomLeft" activeCell="AJ44" sqref="AJ44"/>
      <selection pane="topRight" activeCell="AJ44" sqref="AJ4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23"/>
      <c r="N8" s="523"/>
      <c r="O8" s="52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24" t="e" cm="1">
        <f t="array" aca="1" ref="M9" ca="1">TEXT(TODAY(),"mmmm")&amp;" "&amp;MID(CELL("filename",A1),FIND("]",CELL("filename",A1))+1,255)&amp;", "&amp;TEXT(TODAY(),"yyyy")</f>
        <v>#VALUE!</v>
      </c>
      <c r="N9" s="524"/>
      <c r="O9" s="524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4"/>
      <c r="R10" s="344"/>
      <c r="S10" s="344"/>
      <c r="T10" s="344"/>
      <c r="U10" s="344"/>
      <c r="V10" s="344"/>
      <c r="W10" s="344"/>
      <c r="X10" s="344"/>
      <c r="Y10" s="344"/>
      <c r="Z10" s="344"/>
      <c r="AA10" s="344"/>
      <c r="AB10" s="344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17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513.9</v>
      </c>
    </row>
    <row r="13" spans="1:41">
      <c r="A13" s="14" t="s">
        <v>22</v>
      </c>
      <c r="B13" s="15"/>
      <c r="C13" s="15">
        <v>7.2</v>
      </c>
      <c r="D13" s="15"/>
      <c r="E13" s="15"/>
      <c r="F13" s="374"/>
      <c r="G13" s="372"/>
      <c r="H13" s="372"/>
      <c r="I13" s="372"/>
      <c r="J13" s="372"/>
      <c r="K13" s="374"/>
      <c r="L13" s="374"/>
      <c r="M13" s="374"/>
      <c r="N13" s="372">
        <v>6.6</v>
      </c>
      <c r="O13" s="372">
        <v>6.7</v>
      </c>
      <c r="P13" s="372">
        <v>5.7</v>
      </c>
      <c r="Q13" s="372">
        <v>6.7</v>
      </c>
      <c r="R13" s="372">
        <v>6.7</v>
      </c>
      <c r="S13" s="372">
        <v>6.6</v>
      </c>
      <c r="T13" s="372">
        <v>6.6</v>
      </c>
      <c r="U13" s="372">
        <v>6.7</v>
      </c>
      <c r="V13" s="372">
        <v>6.7</v>
      </c>
      <c r="W13" s="372">
        <v>6.3</v>
      </c>
      <c r="X13" s="374">
        <v>6.7</v>
      </c>
      <c r="Y13" s="374">
        <v>6.6</v>
      </c>
      <c r="Z13" s="372">
        <v>6.6</v>
      </c>
      <c r="AA13" s="372">
        <v>7.1</v>
      </c>
      <c r="AB13" s="372"/>
      <c r="AC13" s="374"/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14</v>
      </c>
    </row>
    <row r="14" spans="1:41">
      <c r="A14" s="14" t="s">
        <v>23</v>
      </c>
      <c r="B14" s="15"/>
      <c r="C14" s="15">
        <v>7.2</v>
      </c>
      <c r="D14" s="15"/>
      <c r="E14" s="15"/>
      <c r="F14" s="374">
        <v>6.6</v>
      </c>
      <c r="G14" s="372">
        <v>6.5</v>
      </c>
      <c r="H14" s="372">
        <v>6.6</v>
      </c>
      <c r="I14" s="372">
        <v>6.7</v>
      </c>
      <c r="J14" s="372">
        <v>6.7</v>
      </c>
      <c r="K14" s="374">
        <v>6.6</v>
      </c>
      <c r="L14" s="374">
        <v>6.5</v>
      </c>
      <c r="M14" s="374">
        <v>6.6</v>
      </c>
      <c r="N14" s="372">
        <v>6.6</v>
      </c>
      <c r="O14" s="372">
        <v>6.7</v>
      </c>
      <c r="P14" s="372">
        <v>5.7</v>
      </c>
      <c r="Q14" s="372">
        <v>6.7</v>
      </c>
      <c r="R14" s="372">
        <v>6.7</v>
      </c>
      <c r="S14" s="372">
        <v>6.6</v>
      </c>
      <c r="T14" s="372">
        <v>6.6</v>
      </c>
      <c r="U14" s="372">
        <v>6.7</v>
      </c>
      <c r="V14" s="372">
        <v>6.7</v>
      </c>
      <c r="W14" s="372">
        <v>6.3</v>
      </c>
      <c r="X14" s="374">
        <v>6.7</v>
      </c>
      <c r="Y14" s="374">
        <v>6.6</v>
      </c>
      <c r="Z14" s="372">
        <v>6.6</v>
      </c>
      <c r="AA14" s="372">
        <v>6.2</v>
      </c>
      <c r="AB14" s="372">
        <v>6.6</v>
      </c>
      <c r="AC14" s="374">
        <v>6.7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374">
        <v>6.6</v>
      </c>
      <c r="G15" s="372">
        <v>6.7</v>
      </c>
      <c r="H15" s="372"/>
      <c r="I15" s="372"/>
      <c r="J15" s="372"/>
      <c r="K15" s="374"/>
      <c r="L15" s="374"/>
      <c r="M15" s="374"/>
      <c r="N15" s="372"/>
      <c r="O15" s="372"/>
      <c r="P15" s="372">
        <v>6.5</v>
      </c>
      <c r="Q15" s="372">
        <v>6.7</v>
      </c>
      <c r="R15" s="372">
        <v>6.7</v>
      </c>
      <c r="S15" s="372">
        <v>6.6</v>
      </c>
      <c r="T15" s="372">
        <v>6.6</v>
      </c>
      <c r="U15" s="372">
        <v>6.7</v>
      </c>
      <c r="V15" s="372">
        <v>6.7</v>
      </c>
      <c r="W15" s="372">
        <v>6.3</v>
      </c>
      <c r="X15" s="374">
        <v>6.7</v>
      </c>
      <c r="Y15" s="374">
        <v>6.6</v>
      </c>
      <c r="Z15" s="372">
        <v>6.6</v>
      </c>
      <c r="AA15" s="372">
        <v>6.2</v>
      </c>
      <c r="AB15" s="372">
        <v>6.6</v>
      </c>
      <c r="AC15" s="374">
        <v>6.7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16</v>
      </c>
    </row>
    <row r="16" spans="1:41">
      <c r="A16" s="14" t="s">
        <v>25</v>
      </c>
      <c r="B16" s="15"/>
      <c r="C16" s="15">
        <v>7.2</v>
      </c>
      <c r="D16" s="15"/>
      <c r="E16" s="15"/>
      <c r="F16" s="372">
        <v>6.6</v>
      </c>
      <c r="G16" s="372">
        <v>6.7</v>
      </c>
      <c r="H16" s="372">
        <v>6.7</v>
      </c>
      <c r="I16" s="372">
        <v>6.7</v>
      </c>
      <c r="J16" s="372">
        <v>6.8</v>
      </c>
      <c r="K16" s="374">
        <v>6.8</v>
      </c>
      <c r="L16" s="374">
        <v>6.7</v>
      </c>
      <c r="M16" s="374">
        <v>6.8</v>
      </c>
      <c r="N16" s="372">
        <v>6.7</v>
      </c>
      <c r="O16" s="372">
        <v>6.7</v>
      </c>
      <c r="P16" s="372">
        <v>5.7</v>
      </c>
      <c r="Q16" s="372">
        <v>6.7</v>
      </c>
      <c r="R16" s="372">
        <v>6.7</v>
      </c>
      <c r="S16" s="372">
        <v>6.6</v>
      </c>
      <c r="T16" s="372">
        <v>6.6</v>
      </c>
      <c r="U16" s="372">
        <v>6.7</v>
      </c>
      <c r="V16" s="372">
        <v>6.7</v>
      </c>
      <c r="W16" s="372">
        <v>6.3</v>
      </c>
      <c r="X16" s="374">
        <v>6.7</v>
      </c>
      <c r="Y16" s="374">
        <v>6.6</v>
      </c>
      <c r="Z16" s="372">
        <v>6.6</v>
      </c>
      <c r="AA16" s="372">
        <v>6.2</v>
      </c>
      <c r="AB16" s="372">
        <v>6.6</v>
      </c>
      <c r="AC16" s="372">
        <v>6.7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19.799999999999997</v>
      </c>
      <c r="G17" s="19">
        <f t="shared" ref="G17:AC17" si="1">SUM(G13:G16)</f>
        <v>19.899999999999999</v>
      </c>
      <c r="H17" s="19">
        <f>SUM(H13:H16)</f>
        <v>13.3</v>
      </c>
      <c r="I17" s="19">
        <f t="shared" si="1"/>
        <v>13.4</v>
      </c>
      <c r="J17" s="19">
        <f t="shared" si="1"/>
        <v>13.5</v>
      </c>
      <c r="K17" s="19">
        <f t="shared" si="1"/>
        <v>13.399999999999999</v>
      </c>
      <c r="L17" s="19">
        <f t="shared" si="1"/>
        <v>13.2</v>
      </c>
      <c r="M17" s="19">
        <f t="shared" si="1"/>
        <v>13.399999999999999</v>
      </c>
      <c r="N17" s="19">
        <f t="shared" si="1"/>
        <v>19.899999999999999</v>
      </c>
      <c r="O17" s="19">
        <f t="shared" si="1"/>
        <v>20.100000000000001</v>
      </c>
      <c r="P17" s="19">
        <f t="shared" si="1"/>
        <v>23.599999999999998</v>
      </c>
      <c r="Q17" s="19">
        <f t="shared" si="1"/>
        <v>26.8</v>
      </c>
      <c r="R17" s="19">
        <f t="shared" si="1"/>
        <v>26.8</v>
      </c>
      <c r="S17" s="19">
        <f t="shared" si="1"/>
        <v>26.4</v>
      </c>
      <c r="T17" s="19">
        <f t="shared" si="1"/>
        <v>26.4</v>
      </c>
      <c r="U17" s="19">
        <f t="shared" si="1"/>
        <v>26.8</v>
      </c>
      <c r="V17" s="19">
        <f t="shared" si="1"/>
        <v>26.8</v>
      </c>
      <c r="W17" s="19">
        <f t="shared" si="1"/>
        <v>25.2</v>
      </c>
      <c r="X17" s="19">
        <f t="shared" si="1"/>
        <v>26.8</v>
      </c>
      <c r="Y17" s="19">
        <f t="shared" si="1"/>
        <v>26.4</v>
      </c>
      <c r="Z17" s="19">
        <f t="shared" si="1"/>
        <v>26.4</v>
      </c>
      <c r="AA17" s="19">
        <f t="shared" si="1"/>
        <v>25.7</v>
      </c>
      <c r="AB17" s="19">
        <f t="shared" si="1"/>
        <v>19.799999999999997</v>
      </c>
      <c r="AC17" s="19">
        <f t="shared" si="1"/>
        <v>20.100000000000001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80.599999999999994</v>
      </c>
    </row>
    <row r="19" spans="1:51">
      <c r="A19" s="14" t="s">
        <v>22</v>
      </c>
      <c r="B19" s="15"/>
      <c r="C19" s="15">
        <v>3</v>
      </c>
      <c r="D19" s="15"/>
      <c r="E19" s="15"/>
      <c r="F19" s="372"/>
      <c r="G19" s="372"/>
      <c r="H19" s="372"/>
      <c r="I19" s="372"/>
      <c r="J19" s="372"/>
      <c r="K19" s="374"/>
      <c r="L19" s="374"/>
      <c r="M19" s="374">
        <v>2.8</v>
      </c>
      <c r="N19" s="374">
        <v>2.8</v>
      </c>
      <c r="O19" s="372">
        <v>2.8</v>
      </c>
      <c r="P19" s="372">
        <v>2.8</v>
      </c>
      <c r="Q19" s="372">
        <v>2.5</v>
      </c>
      <c r="R19" s="372">
        <v>2.8</v>
      </c>
      <c r="S19" s="372">
        <v>2.8</v>
      </c>
      <c r="T19" s="372">
        <v>2</v>
      </c>
      <c r="U19" s="372">
        <v>2.8</v>
      </c>
      <c r="V19" s="372">
        <v>2.8</v>
      </c>
      <c r="W19" s="372">
        <v>2</v>
      </c>
      <c r="X19" s="372">
        <v>0</v>
      </c>
      <c r="Y19" s="372">
        <v>0</v>
      </c>
      <c r="Z19" s="372">
        <v>0</v>
      </c>
      <c r="AA19" s="372">
        <v>0</v>
      </c>
      <c r="AB19" s="372">
        <v>0</v>
      </c>
      <c r="AC19" s="372">
        <v>0</v>
      </c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17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372"/>
      <c r="G20" s="372"/>
      <c r="H20" s="372"/>
      <c r="I20" s="372"/>
      <c r="J20" s="372"/>
      <c r="K20" s="374"/>
      <c r="L20" s="374"/>
      <c r="M20" s="374"/>
      <c r="N20" s="372"/>
      <c r="O20" s="372"/>
      <c r="P20" s="372"/>
      <c r="Q20" s="372"/>
      <c r="R20" s="372"/>
      <c r="S20" s="372"/>
      <c r="T20" s="372"/>
      <c r="U20" s="372"/>
      <c r="V20" s="372"/>
      <c r="W20" s="372"/>
      <c r="X20" s="372"/>
      <c r="Y20" s="372"/>
      <c r="Z20" s="372"/>
      <c r="AA20" s="372"/>
      <c r="AB20" s="372"/>
      <c r="AC20" s="372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2"/>
      <c r="G21" s="372"/>
      <c r="H21" s="372"/>
      <c r="I21" s="372"/>
      <c r="J21" s="372"/>
      <c r="K21" s="374"/>
      <c r="L21" s="374"/>
      <c r="M21" s="374"/>
      <c r="N21" s="372"/>
      <c r="O21" s="372">
        <v>3.8</v>
      </c>
      <c r="P21" s="372">
        <v>3.8</v>
      </c>
      <c r="Q21" s="372">
        <v>3.5</v>
      </c>
      <c r="R21" s="372">
        <v>3.8</v>
      </c>
      <c r="S21" s="372">
        <v>3.6</v>
      </c>
      <c r="T21" s="372">
        <v>3</v>
      </c>
      <c r="U21" s="372">
        <v>3.8</v>
      </c>
      <c r="V21" s="372">
        <v>3.8</v>
      </c>
      <c r="W21" s="372">
        <v>3</v>
      </c>
      <c r="X21" s="372">
        <v>3</v>
      </c>
      <c r="Y21" s="372">
        <v>3.8</v>
      </c>
      <c r="Z21" s="372">
        <v>3</v>
      </c>
      <c r="AA21" s="372">
        <v>3</v>
      </c>
      <c r="AB21" s="372">
        <v>3</v>
      </c>
      <c r="AC21" s="372">
        <v>3.8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15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>SUM(G19:G21)</f>
        <v>0</v>
      </c>
      <c r="H22" s="19">
        <f t="shared" ref="H22:AC22" si="3">SUM(H19:H21)</f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2.8</v>
      </c>
      <c r="N22" s="19">
        <f t="shared" si="3"/>
        <v>2.8</v>
      </c>
      <c r="O22" s="19">
        <f t="shared" si="3"/>
        <v>6.6</v>
      </c>
      <c r="P22" s="19">
        <f t="shared" si="3"/>
        <v>6.6</v>
      </c>
      <c r="Q22" s="19">
        <f t="shared" si="3"/>
        <v>6</v>
      </c>
      <c r="R22" s="19">
        <f t="shared" si="3"/>
        <v>6.6</v>
      </c>
      <c r="S22" s="19">
        <f>SUM(S19:S21)</f>
        <v>6.4</v>
      </c>
      <c r="T22" s="19">
        <f t="shared" ref="T22" si="4">SUM(T19:T21)</f>
        <v>5</v>
      </c>
      <c r="U22" s="19">
        <f t="shared" si="3"/>
        <v>6.6</v>
      </c>
      <c r="V22" s="19">
        <f t="shared" si="3"/>
        <v>6.6</v>
      </c>
      <c r="W22" s="19">
        <f t="shared" si="3"/>
        <v>5</v>
      </c>
      <c r="X22" s="19">
        <f t="shared" si="3"/>
        <v>3</v>
      </c>
      <c r="Y22" s="19">
        <f t="shared" si="3"/>
        <v>3.8</v>
      </c>
      <c r="Z22" s="19">
        <f t="shared" si="3"/>
        <v>3</v>
      </c>
      <c r="AA22" s="19">
        <f t="shared" si="3"/>
        <v>3</v>
      </c>
      <c r="AB22" s="19">
        <f>SUM(AB19:AB21)</f>
        <v>3</v>
      </c>
      <c r="AC22" s="19">
        <f t="shared" si="3"/>
        <v>3.8</v>
      </c>
      <c r="AD22" s="41"/>
      <c r="AE22" s="41"/>
      <c r="AF22" s="11"/>
      <c r="AG22" s="11"/>
      <c r="AH22" s="11"/>
      <c r="AI22" s="400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409">
        <f>SUM(F24:AC24)</f>
        <v>46.8</v>
      </c>
    </row>
    <row r="24" spans="1:51">
      <c r="A24" s="14" t="s">
        <v>22</v>
      </c>
      <c r="B24" s="20"/>
      <c r="C24" s="15">
        <v>4.5</v>
      </c>
      <c r="D24" s="15"/>
      <c r="E24" s="15"/>
      <c r="F24" s="372"/>
      <c r="G24" s="372"/>
      <c r="H24" s="372"/>
      <c r="I24" s="372"/>
      <c r="J24" s="372"/>
      <c r="K24" s="374"/>
      <c r="L24" s="374"/>
      <c r="M24" s="374"/>
      <c r="N24" s="374"/>
      <c r="O24" s="372">
        <v>2.8</v>
      </c>
      <c r="P24" s="372">
        <v>3.8</v>
      </c>
      <c r="Q24" s="372">
        <v>3</v>
      </c>
      <c r="R24" s="372">
        <v>3.8</v>
      </c>
      <c r="S24" s="372">
        <v>3.8</v>
      </c>
      <c r="T24" s="372">
        <v>3</v>
      </c>
      <c r="U24" s="372">
        <v>3.8</v>
      </c>
      <c r="V24" s="372">
        <v>3.8</v>
      </c>
      <c r="W24" s="372">
        <v>3</v>
      </c>
      <c r="X24" s="372">
        <v>3</v>
      </c>
      <c r="Y24" s="372">
        <v>3.8</v>
      </c>
      <c r="Z24" s="372">
        <v>3</v>
      </c>
      <c r="AA24" s="372">
        <v>3.2</v>
      </c>
      <c r="AB24" s="372">
        <v>3</v>
      </c>
      <c r="AC24" s="372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2.8</v>
      </c>
      <c r="P25" s="19">
        <f t="shared" si="6"/>
        <v>3.8</v>
      </c>
      <c r="Q25" s="19">
        <f t="shared" si="6"/>
        <v>3</v>
      </c>
      <c r="R25" s="19">
        <f t="shared" si="6"/>
        <v>3.8</v>
      </c>
      <c r="S25" s="19">
        <f t="shared" si="6"/>
        <v>3.8</v>
      </c>
      <c r="T25" s="19">
        <f t="shared" si="6"/>
        <v>3</v>
      </c>
      <c r="U25" s="19">
        <f t="shared" si="6"/>
        <v>3.8</v>
      </c>
      <c r="V25" s="19">
        <f t="shared" si="6"/>
        <v>3.8</v>
      </c>
      <c r="W25" s="19">
        <f t="shared" si="6"/>
        <v>3</v>
      </c>
      <c r="X25" s="19">
        <f t="shared" si="6"/>
        <v>3</v>
      </c>
      <c r="Y25" s="19">
        <f t="shared" si="6"/>
        <v>3.8</v>
      </c>
      <c r="Z25" s="19">
        <f t="shared" si="6"/>
        <v>3</v>
      </c>
      <c r="AA25" s="19">
        <f t="shared" si="6"/>
        <v>3.2</v>
      </c>
      <c r="AB25" s="19">
        <f t="shared" si="6"/>
        <v>3</v>
      </c>
      <c r="AC25" s="19">
        <f t="shared" si="6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181.60000000000002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2">
        <v>3</v>
      </c>
      <c r="G27" s="372">
        <v>2.5</v>
      </c>
      <c r="H27" s="372">
        <v>4.4000000000000004</v>
      </c>
      <c r="I27" s="372">
        <v>3.8</v>
      </c>
      <c r="J27" s="372">
        <v>3</v>
      </c>
      <c r="K27" s="372">
        <v>3.8</v>
      </c>
      <c r="L27" s="374">
        <v>4</v>
      </c>
      <c r="M27" s="374">
        <v>4.2</v>
      </c>
      <c r="N27" s="372">
        <v>4.3</v>
      </c>
      <c r="O27" s="372">
        <v>4</v>
      </c>
      <c r="P27" s="372">
        <v>4.0999999999999996</v>
      </c>
      <c r="Q27" s="372">
        <v>3.8</v>
      </c>
      <c r="R27" s="372">
        <v>4.0999999999999996</v>
      </c>
      <c r="S27" s="372">
        <v>4</v>
      </c>
      <c r="T27" s="372">
        <v>4</v>
      </c>
      <c r="U27" s="372">
        <v>4.0999999999999996</v>
      </c>
      <c r="V27" s="372">
        <v>4.0999999999999996</v>
      </c>
      <c r="W27" s="372">
        <v>3.8</v>
      </c>
      <c r="X27" s="372">
        <v>3.8</v>
      </c>
      <c r="Y27" s="372">
        <v>4.0999999999999996</v>
      </c>
      <c r="Z27" s="374">
        <v>4</v>
      </c>
      <c r="AA27" s="372">
        <v>3</v>
      </c>
      <c r="AB27" s="372">
        <v>3.5</v>
      </c>
      <c r="AC27" s="372">
        <v>3.4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2">
        <v>3</v>
      </c>
      <c r="G28" s="372">
        <v>2.5</v>
      </c>
      <c r="H28" s="372">
        <v>4.4000000000000004</v>
      </c>
      <c r="I28" s="372">
        <v>3.8</v>
      </c>
      <c r="J28" s="372">
        <v>3</v>
      </c>
      <c r="K28" s="374">
        <v>3.8</v>
      </c>
      <c r="L28" s="374">
        <v>4</v>
      </c>
      <c r="M28" s="374">
        <v>4.2</v>
      </c>
      <c r="N28" s="372">
        <v>4.3</v>
      </c>
      <c r="O28" s="372">
        <v>4</v>
      </c>
      <c r="P28" s="372">
        <v>4.0999999999999996</v>
      </c>
      <c r="Q28" s="372">
        <v>3.8</v>
      </c>
      <c r="R28" s="372">
        <v>4.0999999999999996</v>
      </c>
      <c r="S28" s="372">
        <v>4</v>
      </c>
      <c r="T28" s="372">
        <v>4</v>
      </c>
      <c r="U28" s="372">
        <v>4.0999999999999996</v>
      </c>
      <c r="V28" s="372">
        <v>4.0999999999999996</v>
      </c>
      <c r="W28" s="372">
        <v>3.8</v>
      </c>
      <c r="X28" s="372">
        <v>3.8</v>
      </c>
      <c r="Y28" s="372">
        <v>4.0999999999999996</v>
      </c>
      <c r="Z28" s="374">
        <v>4</v>
      </c>
      <c r="AA28" s="372">
        <v>3</v>
      </c>
      <c r="AB28" s="372">
        <v>3.5</v>
      </c>
      <c r="AC28" s="372">
        <v>3.4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5.51</v>
      </c>
    </row>
    <row r="29" spans="1:51" ht="15" customHeight="1">
      <c r="A29" s="14" t="s">
        <v>30</v>
      </c>
      <c r="B29" s="369"/>
      <c r="C29" s="370">
        <v>8.8000000000000007</v>
      </c>
      <c r="D29" s="371"/>
      <c r="E29" s="371"/>
      <c r="F29" s="372"/>
      <c r="G29" s="372"/>
      <c r="H29" s="372"/>
      <c r="I29" s="372"/>
      <c r="J29" s="372"/>
      <c r="K29" s="374"/>
      <c r="L29" s="374"/>
      <c r="M29" s="374"/>
      <c r="N29" s="372"/>
      <c r="O29" s="372"/>
      <c r="P29" s="372">
        <v>2.61</v>
      </c>
      <c r="Q29" s="372">
        <v>2.9</v>
      </c>
      <c r="R29" s="372"/>
      <c r="S29" s="372"/>
      <c r="T29" s="372"/>
      <c r="U29" s="372"/>
      <c r="V29" s="372"/>
      <c r="W29" s="372"/>
      <c r="X29" s="372"/>
      <c r="Y29" s="372"/>
      <c r="Z29" s="372"/>
      <c r="AA29" s="372"/>
      <c r="AB29" s="372"/>
      <c r="AC29" s="372"/>
    </row>
    <row r="30" spans="1:51" ht="15" customHeight="1">
      <c r="A30" s="14" t="s">
        <v>31</v>
      </c>
      <c r="B30" s="369"/>
      <c r="C30" s="370">
        <v>8.8000000000000007</v>
      </c>
      <c r="D30" s="371"/>
      <c r="E30" s="371"/>
      <c r="F30" s="372"/>
      <c r="G30" s="372"/>
      <c r="H30" s="372"/>
      <c r="I30" s="372"/>
      <c r="J30" s="372"/>
      <c r="K30" s="374"/>
      <c r="L30" s="374"/>
      <c r="M30" s="374"/>
      <c r="N30" s="372"/>
      <c r="O30" s="372"/>
      <c r="P30" s="372"/>
      <c r="Q30" s="372"/>
      <c r="R30" s="372"/>
      <c r="S30" s="372"/>
      <c r="T30" s="372"/>
      <c r="U30" s="372"/>
      <c r="V30" s="372"/>
      <c r="W30" s="372"/>
      <c r="X30" s="372"/>
      <c r="Y30" s="372"/>
      <c r="Z30" s="372"/>
      <c r="AA30" s="372"/>
      <c r="AB30" s="372"/>
      <c r="AC30" s="372"/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SUM(F27:F29)</f>
        <v>6</v>
      </c>
      <c r="G31" s="19">
        <f t="shared" ref="G31:AC31" si="8">SUM(G27:G29)</f>
        <v>5</v>
      </c>
      <c r="H31" s="19">
        <f t="shared" si="8"/>
        <v>8.8000000000000007</v>
      </c>
      <c r="I31" s="19">
        <f t="shared" si="8"/>
        <v>7.6</v>
      </c>
      <c r="J31" s="19">
        <f t="shared" si="8"/>
        <v>6</v>
      </c>
      <c r="K31" s="19">
        <f t="shared" si="8"/>
        <v>7.6</v>
      </c>
      <c r="L31" s="19">
        <f t="shared" si="8"/>
        <v>8</v>
      </c>
      <c r="M31" s="19">
        <f t="shared" si="8"/>
        <v>8.4</v>
      </c>
      <c r="N31" s="19">
        <f t="shared" si="8"/>
        <v>8.6</v>
      </c>
      <c r="O31" s="19">
        <f t="shared" si="8"/>
        <v>8</v>
      </c>
      <c r="P31" s="19">
        <f t="shared" si="8"/>
        <v>10.809999999999999</v>
      </c>
      <c r="Q31" s="19">
        <f t="shared" si="8"/>
        <v>10.5</v>
      </c>
      <c r="R31" s="19">
        <f t="shared" si="8"/>
        <v>8.1999999999999993</v>
      </c>
      <c r="S31" s="19">
        <f t="shared" si="8"/>
        <v>8</v>
      </c>
      <c r="T31" s="19">
        <f>SUM(T27:T29)</f>
        <v>8</v>
      </c>
      <c r="U31" s="19">
        <f t="shared" si="8"/>
        <v>8.1999999999999993</v>
      </c>
      <c r="V31" s="19">
        <f t="shared" si="8"/>
        <v>8.1999999999999993</v>
      </c>
      <c r="W31" s="19">
        <f>SUM(W27:W30)</f>
        <v>7.6</v>
      </c>
      <c r="X31" s="19">
        <f>SUM(X27:X30)</f>
        <v>7.6</v>
      </c>
      <c r="Y31" s="19">
        <f>SUM(Y27:Y30)</f>
        <v>8.1999999999999993</v>
      </c>
      <c r="Z31" s="19">
        <f>SUM(Z27:Z30)</f>
        <v>8</v>
      </c>
      <c r="AA31" s="19">
        <f t="shared" si="8"/>
        <v>6</v>
      </c>
      <c r="AB31" s="19">
        <f t="shared" si="8"/>
        <v>7</v>
      </c>
      <c r="AC31" s="19">
        <f t="shared" si="8"/>
        <v>6.8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334.65</v>
      </c>
    </row>
    <row r="33" spans="1:36">
      <c r="A33" s="14" t="s">
        <v>22</v>
      </c>
      <c r="B33" s="15"/>
      <c r="C33" s="15">
        <v>15</v>
      </c>
      <c r="D33" s="15"/>
      <c r="E33" s="15"/>
      <c r="F33" s="372">
        <v>14.26</v>
      </c>
      <c r="G33" s="374">
        <v>12.74</v>
      </c>
      <c r="H33" s="372">
        <v>14.28</v>
      </c>
      <c r="I33" s="372">
        <v>14.3</v>
      </c>
      <c r="J33" s="372">
        <v>14.3</v>
      </c>
      <c r="K33" s="374">
        <v>14.27</v>
      </c>
      <c r="L33" s="374">
        <v>14.29</v>
      </c>
      <c r="M33" s="374">
        <v>14.27</v>
      </c>
      <c r="N33" s="372">
        <v>14.3</v>
      </c>
      <c r="O33" s="372">
        <v>14.28</v>
      </c>
      <c r="P33" s="372">
        <v>14.26</v>
      </c>
      <c r="Q33" s="372">
        <v>13.25</v>
      </c>
      <c r="R33" s="372">
        <v>14.24</v>
      </c>
      <c r="S33" s="372">
        <v>12.7</v>
      </c>
      <c r="T33" s="372">
        <v>14.22</v>
      </c>
      <c r="U33" s="372">
        <v>14.21</v>
      </c>
      <c r="V33" s="372">
        <v>14.23</v>
      </c>
      <c r="W33" s="372">
        <v>14.24</v>
      </c>
      <c r="X33" s="372">
        <v>13.2</v>
      </c>
      <c r="Y33" s="372">
        <v>14.26</v>
      </c>
      <c r="Z33" s="372">
        <v>13.29</v>
      </c>
      <c r="AA33" s="372">
        <v>12.76</v>
      </c>
      <c r="AB33" s="372">
        <v>14.24</v>
      </c>
      <c r="AC33" s="372">
        <v>14.26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9">SUM(F33)</f>
        <v>14.26</v>
      </c>
      <c r="G34" s="19">
        <f t="shared" ref="G34:AC34" si="10">SUM(G33)</f>
        <v>12.74</v>
      </c>
      <c r="H34" s="19">
        <f t="shared" si="10"/>
        <v>14.28</v>
      </c>
      <c r="I34" s="19">
        <f t="shared" si="10"/>
        <v>14.3</v>
      </c>
      <c r="J34" s="19">
        <f>SUM(J33)</f>
        <v>14.3</v>
      </c>
      <c r="K34" s="19">
        <f t="shared" si="10"/>
        <v>14.27</v>
      </c>
      <c r="L34" s="19">
        <f t="shared" si="10"/>
        <v>14.29</v>
      </c>
      <c r="M34" s="19">
        <f t="shared" si="10"/>
        <v>14.27</v>
      </c>
      <c r="N34" s="19">
        <f t="shared" si="10"/>
        <v>14.3</v>
      </c>
      <c r="O34" s="19">
        <f t="shared" si="10"/>
        <v>14.28</v>
      </c>
      <c r="P34" s="19">
        <f>SUM(P33)</f>
        <v>14.26</v>
      </c>
      <c r="Q34" s="19">
        <f t="shared" si="10"/>
        <v>13.25</v>
      </c>
      <c r="R34" s="19">
        <f t="shared" si="10"/>
        <v>14.24</v>
      </c>
      <c r="S34" s="19">
        <f t="shared" si="10"/>
        <v>12.7</v>
      </c>
      <c r="T34" s="19">
        <f t="shared" si="10"/>
        <v>14.22</v>
      </c>
      <c r="U34" s="19">
        <f t="shared" si="10"/>
        <v>14.21</v>
      </c>
      <c r="V34" s="19">
        <f t="shared" si="10"/>
        <v>14.23</v>
      </c>
      <c r="W34" s="19">
        <f t="shared" si="10"/>
        <v>14.24</v>
      </c>
      <c r="X34" s="19">
        <f t="shared" si="10"/>
        <v>13.2</v>
      </c>
      <c r="Y34" s="19">
        <f t="shared" si="10"/>
        <v>14.26</v>
      </c>
      <c r="Z34" s="19">
        <f t="shared" si="10"/>
        <v>13.29</v>
      </c>
      <c r="AA34" s="19">
        <f t="shared" si="10"/>
        <v>12.76</v>
      </c>
      <c r="AB34" s="19">
        <f t="shared" si="10"/>
        <v>14.24</v>
      </c>
      <c r="AC34" s="19">
        <f t="shared" si="10"/>
        <v>14.26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55"/>
      <c r="G35" s="455"/>
      <c r="H35" s="455"/>
      <c r="I35" s="455"/>
      <c r="J35" s="455"/>
      <c r="K35" s="455"/>
      <c r="L35" s="455"/>
      <c r="M35" s="455"/>
      <c r="N35" s="455"/>
      <c r="O35" s="455"/>
      <c r="P35" s="455"/>
      <c r="Q35" s="455"/>
      <c r="R35" s="455"/>
      <c r="S35" s="455"/>
      <c r="T35" s="455"/>
      <c r="U35" s="455"/>
      <c r="V35" s="455"/>
      <c r="W35" s="456"/>
      <c r="X35" s="455"/>
      <c r="Y35" s="455"/>
      <c r="Z35" s="455"/>
      <c r="AA35" s="455"/>
      <c r="AB35" s="455"/>
      <c r="AC35" s="455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35</v>
      </c>
    </row>
    <row r="36" spans="1:36">
      <c r="A36" s="70" t="s">
        <v>36</v>
      </c>
      <c r="B36" s="15"/>
      <c r="C36" s="15"/>
      <c r="D36" s="15"/>
      <c r="E36" s="15"/>
      <c r="F36" s="372"/>
      <c r="G36" s="372"/>
      <c r="H36" s="372"/>
      <c r="I36" s="372"/>
      <c r="J36" s="372"/>
      <c r="K36" s="374"/>
      <c r="L36" s="374"/>
      <c r="M36" s="374"/>
      <c r="N36" s="372"/>
      <c r="O36" s="372"/>
      <c r="P36" s="372"/>
      <c r="Q36" s="372"/>
      <c r="R36" s="372"/>
      <c r="S36" s="372"/>
      <c r="T36" s="372"/>
      <c r="U36" s="372"/>
      <c r="V36" s="372"/>
      <c r="W36" s="372"/>
      <c r="X36" s="372"/>
      <c r="Y36" s="372"/>
      <c r="Z36" s="372"/>
      <c r="AA36" s="372"/>
      <c r="AB36" s="372"/>
      <c r="AC36" s="372"/>
      <c r="AD36" s="41"/>
      <c r="AE36" s="41"/>
      <c r="AF36" s="11">
        <f t="shared" ref="AF36:AF59" si="11">COUNTIF(F36:AC36,$AJ$8)</f>
        <v>0</v>
      </c>
      <c r="AG36" s="11">
        <f t="shared" ref="AG36:AG59" si="12">COUNTIF(G36:AD36,$AJ$7)</f>
        <v>0</v>
      </c>
      <c r="AH36" s="11">
        <f t="shared" ref="AH36:AH59" si="13">COUNT(F36:AC36)</f>
        <v>0</v>
      </c>
      <c r="AI36" s="159">
        <f>SUM(F36:AC38,F40:AC40,F45:AC59)</f>
        <v>11.1</v>
      </c>
      <c r="AJ36" t="s">
        <v>37</v>
      </c>
    </row>
    <row r="37" spans="1:36">
      <c r="A37" s="70" t="s">
        <v>38</v>
      </c>
      <c r="B37" s="15"/>
      <c r="C37" s="15"/>
      <c r="D37" s="15"/>
      <c r="E37" s="15"/>
      <c r="F37" s="372"/>
      <c r="G37" s="372"/>
      <c r="H37" s="372"/>
      <c r="I37" s="372"/>
      <c r="J37" s="372"/>
      <c r="K37" s="374"/>
      <c r="L37" s="374"/>
      <c r="M37" s="374"/>
      <c r="N37" s="372"/>
      <c r="O37" s="372"/>
      <c r="P37" s="372"/>
      <c r="Q37" s="372"/>
      <c r="R37" s="372"/>
      <c r="S37" s="372"/>
      <c r="T37" s="372"/>
      <c r="U37" s="372"/>
      <c r="V37" s="372"/>
      <c r="W37" s="372"/>
      <c r="X37" s="372"/>
      <c r="Y37" s="372"/>
      <c r="Z37" s="372"/>
      <c r="AA37" s="372"/>
      <c r="AB37" s="372"/>
      <c r="AC37" s="372"/>
      <c r="AD37" s="41"/>
      <c r="AE37" s="41"/>
      <c r="AF37" s="11">
        <f t="shared" si="11"/>
        <v>0</v>
      </c>
      <c r="AG37" s="11">
        <f t="shared" si="12"/>
        <v>0</v>
      </c>
      <c r="AH37" s="11">
        <f t="shared" si="13"/>
        <v>0</v>
      </c>
    </row>
    <row r="38" spans="1:36">
      <c r="A38" s="70" t="s">
        <v>39</v>
      </c>
      <c r="B38" s="15"/>
      <c r="C38" s="15"/>
      <c r="D38" s="15"/>
      <c r="E38" s="15"/>
      <c r="F38" s="372"/>
      <c r="G38" s="372"/>
      <c r="H38" s="372"/>
      <c r="I38" s="372"/>
      <c r="J38" s="372"/>
      <c r="K38" s="374"/>
      <c r="L38" s="374"/>
      <c r="M38" s="374"/>
      <c r="N38" s="372"/>
      <c r="O38" s="372"/>
      <c r="P38" s="372"/>
      <c r="Q38" s="372"/>
      <c r="R38" s="372"/>
      <c r="S38" s="372"/>
      <c r="T38" s="372"/>
      <c r="U38" s="372"/>
      <c r="V38" s="372"/>
      <c r="W38" s="372"/>
      <c r="X38" s="372"/>
      <c r="Y38" s="372"/>
      <c r="Z38" s="372"/>
      <c r="AA38" s="372"/>
      <c r="AB38" s="372"/>
      <c r="AC38" s="372"/>
      <c r="AD38" s="41"/>
      <c r="AE38" s="41"/>
      <c r="AF38" s="11">
        <f t="shared" si="11"/>
        <v>0</v>
      </c>
      <c r="AG38" s="11">
        <f t="shared" si="12"/>
        <v>0</v>
      </c>
      <c r="AH38" s="11">
        <f t="shared" si="13"/>
        <v>0</v>
      </c>
    </row>
    <row r="39" spans="1:36">
      <c r="A39" s="70">
        <v>34</v>
      </c>
      <c r="B39" s="15"/>
      <c r="C39" s="15"/>
      <c r="D39" s="15"/>
      <c r="E39" s="15"/>
      <c r="F39" s="372"/>
      <c r="G39" s="372"/>
      <c r="H39" s="372"/>
      <c r="I39" s="372"/>
      <c r="J39" s="372"/>
      <c r="K39" s="374"/>
      <c r="L39" s="374"/>
      <c r="M39" s="374"/>
      <c r="N39" s="372"/>
      <c r="O39" s="372"/>
      <c r="P39" s="372"/>
      <c r="Q39" s="372"/>
      <c r="R39" s="372"/>
      <c r="S39" s="372"/>
      <c r="T39" s="372"/>
      <c r="U39" s="372"/>
      <c r="V39" s="372"/>
      <c r="W39" s="372"/>
      <c r="X39" s="372"/>
      <c r="Y39" s="372"/>
      <c r="Z39" s="372"/>
      <c r="AA39" s="372"/>
      <c r="AB39" s="372"/>
      <c r="AC39" s="372"/>
      <c r="AD39" s="41"/>
      <c r="AE39" s="41"/>
      <c r="AF39" s="11">
        <f t="shared" si="11"/>
        <v>0</v>
      </c>
      <c r="AG39" s="11">
        <f t="shared" si="12"/>
        <v>0</v>
      </c>
      <c r="AH39" s="11">
        <f t="shared" si="13"/>
        <v>0</v>
      </c>
    </row>
    <row r="40" spans="1:36">
      <c r="A40" s="70">
        <v>35</v>
      </c>
      <c r="B40" s="15"/>
      <c r="C40" s="15">
        <v>0.85</v>
      </c>
      <c r="D40" s="15"/>
      <c r="E40" s="15"/>
      <c r="F40" s="372" t="s">
        <v>9</v>
      </c>
      <c r="G40" s="372" t="s">
        <v>9</v>
      </c>
      <c r="H40" s="372" t="s">
        <v>9</v>
      </c>
      <c r="I40" s="372" t="s">
        <v>9</v>
      </c>
      <c r="J40" s="372" t="s">
        <v>9</v>
      </c>
      <c r="K40" s="374" t="s">
        <v>9</v>
      </c>
      <c r="L40" s="374" t="s">
        <v>9</v>
      </c>
      <c r="M40" s="374" t="s">
        <v>9</v>
      </c>
      <c r="N40" s="372" t="s">
        <v>9</v>
      </c>
      <c r="O40" s="372" t="s">
        <v>9</v>
      </c>
      <c r="P40" s="372" t="s">
        <v>9</v>
      </c>
      <c r="Q40" s="372" t="s">
        <v>9</v>
      </c>
      <c r="R40" s="372" t="s">
        <v>9</v>
      </c>
      <c r="S40" s="372" t="s">
        <v>9</v>
      </c>
      <c r="T40" s="372" t="s">
        <v>9</v>
      </c>
      <c r="U40" s="372" t="s">
        <v>9</v>
      </c>
      <c r="V40" s="372" t="s">
        <v>9</v>
      </c>
      <c r="W40" s="372" t="s">
        <v>9</v>
      </c>
      <c r="X40" s="372" t="s">
        <v>9</v>
      </c>
      <c r="Y40" s="372" t="s">
        <v>9</v>
      </c>
      <c r="Z40" s="372" t="s">
        <v>9</v>
      </c>
      <c r="AA40" s="372" t="s">
        <v>9</v>
      </c>
      <c r="AB40" s="372" t="s">
        <v>9</v>
      </c>
      <c r="AC40" s="372" t="s">
        <v>9</v>
      </c>
      <c r="AD40" s="41"/>
      <c r="AE40" s="41"/>
      <c r="AF40" s="11">
        <f t="shared" si="11"/>
        <v>24</v>
      </c>
      <c r="AG40" s="11">
        <f t="shared" si="12"/>
        <v>0</v>
      </c>
      <c r="AH40" s="11">
        <f t="shared" si="13"/>
        <v>0</v>
      </c>
    </row>
    <row r="41" spans="1:36">
      <c r="A41" s="70">
        <v>36</v>
      </c>
      <c r="B41" s="15"/>
      <c r="C41" s="15">
        <v>1</v>
      </c>
      <c r="D41" s="15"/>
      <c r="E41" s="15"/>
      <c r="F41" s="372" t="s">
        <v>9</v>
      </c>
      <c r="G41" s="372" t="s">
        <v>9</v>
      </c>
      <c r="H41" s="372" t="s">
        <v>9</v>
      </c>
      <c r="I41" s="372" t="s">
        <v>9</v>
      </c>
      <c r="J41" s="372" t="s">
        <v>9</v>
      </c>
      <c r="K41" s="374" t="s">
        <v>9</v>
      </c>
      <c r="L41" s="374" t="s">
        <v>9</v>
      </c>
      <c r="M41" s="374" t="s">
        <v>9</v>
      </c>
      <c r="N41" s="372" t="s">
        <v>9</v>
      </c>
      <c r="O41" s="372" t="s">
        <v>9</v>
      </c>
      <c r="P41" s="372" t="s">
        <v>9</v>
      </c>
      <c r="Q41" s="372" t="s">
        <v>9</v>
      </c>
      <c r="R41" s="372" t="s">
        <v>9</v>
      </c>
      <c r="S41" s="372" t="s">
        <v>9</v>
      </c>
      <c r="T41" s="372" t="s">
        <v>9</v>
      </c>
      <c r="U41" s="372" t="s">
        <v>9</v>
      </c>
      <c r="V41" s="372" t="s">
        <v>9</v>
      </c>
      <c r="W41" s="372" t="s">
        <v>9</v>
      </c>
      <c r="X41" s="372" t="s">
        <v>9</v>
      </c>
      <c r="Y41" s="372" t="s">
        <v>9</v>
      </c>
      <c r="Z41" s="372" t="s">
        <v>9</v>
      </c>
      <c r="AA41" s="372" t="s">
        <v>9</v>
      </c>
      <c r="AB41" s="372" t="s">
        <v>9</v>
      </c>
      <c r="AC41" s="372" t="s">
        <v>9</v>
      </c>
      <c r="AD41" s="41"/>
      <c r="AE41" s="41"/>
      <c r="AF41" s="11">
        <f t="shared" si="11"/>
        <v>24</v>
      </c>
      <c r="AG41" s="11">
        <f t="shared" si="12"/>
        <v>0</v>
      </c>
      <c r="AH41" s="11">
        <f t="shared" si="13"/>
        <v>0</v>
      </c>
    </row>
    <row r="42" spans="1:36">
      <c r="A42" s="70">
        <v>37</v>
      </c>
      <c r="B42" s="15"/>
      <c r="C42" s="15">
        <v>1</v>
      </c>
      <c r="D42" s="15"/>
      <c r="E42" s="15"/>
      <c r="F42" s="372"/>
      <c r="G42" s="372"/>
      <c r="H42" s="372"/>
      <c r="I42" s="372"/>
      <c r="J42" s="372"/>
      <c r="K42" s="372"/>
      <c r="L42" s="372"/>
      <c r="M42" s="372"/>
      <c r="N42" s="372"/>
      <c r="O42" s="372"/>
      <c r="P42" s="372"/>
      <c r="Q42" s="372"/>
      <c r="R42" s="372"/>
      <c r="S42" s="372"/>
      <c r="T42" s="372"/>
      <c r="U42" s="372"/>
      <c r="V42" s="372"/>
      <c r="W42" s="372"/>
      <c r="X42" s="372"/>
      <c r="Y42" s="372"/>
      <c r="Z42" s="372"/>
      <c r="AA42" s="372"/>
      <c r="AB42" s="372"/>
      <c r="AC42" s="372"/>
      <c r="AD42" s="41"/>
      <c r="AE42" s="41"/>
      <c r="AF42" s="11">
        <f t="shared" si="11"/>
        <v>0</v>
      </c>
      <c r="AG42" s="11">
        <f t="shared" si="12"/>
        <v>0</v>
      </c>
      <c r="AH42" s="11">
        <f t="shared" si="13"/>
        <v>0</v>
      </c>
    </row>
    <row r="43" spans="1:36">
      <c r="A43" s="70">
        <v>38</v>
      </c>
      <c r="B43" s="15"/>
      <c r="C43" s="15"/>
      <c r="D43" s="15"/>
      <c r="E43" s="15"/>
      <c r="F43" s="372" t="s">
        <v>9</v>
      </c>
      <c r="G43" s="372" t="s">
        <v>9</v>
      </c>
      <c r="H43" s="372" t="s">
        <v>9</v>
      </c>
      <c r="I43" s="372" t="s">
        <v>9</v>
      </c>
      <c r="J43" s="372" t="s">
        <v>9</v>
      </c>
      <c r="K43" s="374" t="s">
        <v>9</v>
      </c>
      <c r="L43" s="374" t="s">
        <v>9</v>
      </c>
      <c r="M43" s="374" t="s">
        <v>9</v>
      </c>
      <c r="N43" s="372" t="s">
        <v>9</v>
      </c>
      <c r="O43" s="372" t="s">
        <v>9</v>
      </c>
      <c r="P43" s="372" t="s">
        <v>9</v>
      </c>
      <c r="Q43" s="372" t="s">
        <v>9</v>
      </c>
      <c r="R43" s="372" t="s">
        <v>9</v>
      </c>
      <c r="S43" s="372" t="s">
        <v>9</v>
      </c>
      <c r="T43" s="372" t="s">
        <v>9</v>
      </c>
      <c r="U43" s="372" t="s">
        <v>9</v>
      </c>
      <c r="V43" s="372" t="s">
        <v>9</v>
      </c>
      <c r="W43" s="372" t="s">
        <v>9</v>
      </c>
      <c r="X43" s="372" t="s">
        <v>9</v>
      </c>
      <c r="Y43" s="372" t="s">
        <v>9</v>
      </c>
      <c r="Z43" s="372" t="s">
        <v>9</v>
      </c>
      <c r="AA43" s="372" t="s">
        <v>9</v>
      </c>
      <c r="AB43" s="372" t="s">
        <v>9</v>
      </c>
      <c r="AC43" s="372" t="s">
        <v>9</v>
      </c>
      <c r="AD43" s="41"/>
      <c r="AE43" s="41"/>
      <c r="AF43" s="11">
        <f t="shared" si="11"/>
        <v>24</v>
      </c>
      <c r="AG43" s="11">
        <f t="shared" si="12"/>
        <v>0</v>
      </c>
      <c r="AH43" s="11">
        <f t="shared" si="13"/>
        <v>0</v>
      </c>
    </row>
    <row r="44" spans="1:36" ht="16.5" customHeight="1">
      <c r="A44" s="70">
        <v>39</v>
      </c>
      <c r="B44" s="15"/>
      <c r="C44" s="15">
        <v>1</v>
      </c>
      <c r="D44" s="15"/>
      <c r="E44" s="15"/>
      <c r="F44" s="372" t="s">
        <v>9</v>
      </c>
      <c r="G44" s="372" t="s">
        <v>9</v>
      </c>
      <c r="H44" s="372" t="s">
        <v>9</v>
      </c>
      <c r="I44" s="372" t="s">
        <v>9</v>
      </c>
      <c r="J44" s="372" t="s">
        <v>9</v>
      </c>
      <c r="K44" s="374" t="s">
        <v>9</v>
      </c>
      <c r="L44" s="374" t="s">
        <v>9</v>
      </c>
      <c r="M44" s="374" t="s">
        <v>9</v>
      </c>
      <c r="N44" s="372" t="s">
        <v>9</v>
      </c>
      <c r="O44" s="372" t="s">
        <v>9</v>
      </c>
      <c r="P44" s="372" t="s">
        <v>9</v>
      </c>
      <c r="Q44" s="372" t="s">
        <v>9</v>
      </c>
      <c r="R44" s="372" t="s">
        <v>9</v>
      </c>
      <c r="S44" s="372" t="s">
        <v>9</v>
      </c>
      <c r="T44" s="372" t="s">
        <v>9</v>
      </c>
      <c r="U44" s="372" t="s">
        <v>9</v>
      </c>
      <c r="V44" s="372" t="s">
        <v>9</v>
      </c>
      <c r="W44" s="372" t="s">
        <v>9</v>
      </c>
      <c r="X44" s="372" t="s">
        <v>9</v>
      </c>
      <c r="Y44" s="372" t="s">
        <v>9</v>
      </c>
      <c r="Z44" s="372" t="s">
        <v>9</v>
      </c>
      <c r="AA44" s="372" t="s">
        <v>9</v>
      </c>
      <c r="AB44" s="372" t="s">
        <v>9</v>
      </c>
      <c r="AC44" s="372" t="s">
        <v>9</v>
      </c>
      <c r="AD44" s="41"/>
      <c r="AE44" s="41"/>
      <c r="AF44" s="11">
        <f t="shared" si="11"/>
        <v>24</v>
      </c>
      <c r="AG44" s="11">
        <f t="shared" si="12"/>
        <v>0</v>
      </c>
      <c r="AH44" s="11">
        <f t="shared" si="13"/>
        <v>0</v>
      </c>
    </row>
    <row r="45" spans="1:36" ht="16.5" customHeight="1">
      <c r="A45" s="70" t="s">
        <v>40</v>
      </c>
      <c r="B45" s="15"/>
      <c r="C45" s="15">
        <v>0.85</v>
      </c>
      <c r="D45" s="15"/>
      <c r="E45" s="15"/>
      <c r="F45" s="372"/>
      <c r="G45" s="372"/>
      <c r="H45" s="372"/>
      <c r="I45" s="372"/>
      <c r="J45" s="372"/>
      <c r="K45" s="374"/>
      <c r="L45" s="374"/>
      <c r="M45" s="374"/>
      <c r="N45" s="372"/>
      <c r="O45" s="372"/>
      <c r="P45" s="372"/>
      <c r="Q45" s="372"/>
      <c r="R45" s="372"/>
      <c r="S45" s="372"/>
      <c r="T45" s="372"/>
      <c r="U45" s="372"/>
      <c r="V45" s="372"/>
      <c r="W45" s="372"/>
      <c r="X45" s="372"/>
      <c r="Y45" s="372"/>
      <c r="Z45" s="372"/>
      <c r="AA45" s="372"/>
      <c r="AB45" s="372"/>
      <c r="AC45" s="372"/>
      <c r="AD45" s="41"/>
      <c r="AE45" s="41"/>
      <c r="AF45" s="11">
        <f t="shared" si="11"/>
        <v>0</v>
      </c>
      <c r="AG45" s="11">
        <f t="shared" si="12"/>
        <v>0</v>
      </c>
      <c r="AH45" s="11">
        <f t="shared" si="13"/>
        <v>0</v>
      </c>
      <c r="AI45" s="159"/>
    </row>
    <row r="46" spans="1:36">
      <c r="A46" s="70" t="s">
        <v>41</v>
      </c>
      <c r="B46" s="15"/>
      <c r="C46" s="15">
        <v>0.75</v>
      </c>
      <c r="D46" s="15"/>
      <c r="E46" s="15"/>
      <c r="F46" s="372"/>
      <c r="G46" s="372"/>
      <c r="H46" s="372"/>
      <c r="I46" s="372"/>
      <c r="J46" s="372"/>
      <c r="K46" s="374"/>
      <c r="L46" s="374"/>
      <c r="M46" s="374"/>
      <c r="N46" s="372"/>
      <c r="O46" s="372"/>
      <c r="P46" s="372"/>
      <c r="Q46" s="372"/>
      <c r="R46" s="372"/>
      <c r="S46" s="372"/>
      <c r="T46" s="372"/>
      <c r="U46" s="372"/>
      <c r="V46" s="372"/>
      <c r="W46" s="372"/>
      <c r="X46" s="372"/>
      <c r="Y46" s="372"/>
      <c r="Z46" s="372"/>
      <c r="AA46" s="372"/>
      <c r="AB46" s="372"/>
      <c r="AC46" s="372"/>
      <c r="AD46" s="41"/>
      <c r="AE46" s="41"/>
      <c r="AF46" s="11">
        <f t="shared" si="11"/>
        <v>0</v>
      </c>
      <c r="AG46" s="11">
        <f t="shared" si="12"/>
        <v>0</v>
      </c>
      <c r="AH46" s="11">
        <f t="shared" si="13"/>
        <v>0</v>
      </c>
      <c r="AI46" s="159"/>
    </row>
    <row r="47" spans="1:36">
      <c r="A47" s="70" t="s">
        <v>42</v>
      </c>
      <c r="B47" s="15"/>
      <c r="C47" s="15">
        <v>0.75</v>
      </c>
      <c r="D47" s="15"/>
      <c r="E47" s="15"/>
      <c r="F47" s="372">
        <v>0</v>
      </c>
      <c r="G47" s="372">
        <v>0</v>
      </c>
      <c r="H47" s="372">
        <v>0</v>
      </c>
      <c r="I47" s="372">
        <v>0</v>
      </c>
      <c r="J47" s="372">
        <v>0</v>
      </c>
      <c r="K47" s="374">
        <v>0</v>
      </c>
      <c r="L47" s="374">
        <f>3.1/4</f>
        <v>0.77500000000000002</v>
      </c>
      <c r="M47" s="374"/>
      <c r="N47" s="374"/>
      <c r="O47" s="374">
        <f>3/4</f>
        <v>0.75</v>
      </c>
      <c r="P47" s="372"/>
      <c r="Q47" s="372"/>
      <c r="R47" s="374">
        <v>0.7</v>
      </c>
      <c r="S47" s="372"/>
      <c r="T47" s="372"/>
      <c r="U47" s="372"/>
      <c r="V47" s="372"/>
      <c r="W47" s="372"/>
      <c r="X47" s="372"/>
      <c r="Y47" s="372">
        <v>0.7</v>
      </c>
      <c r="Z47" s="372"/>
      <c r="AA47" s="372"/>
      <c r="AB47" s="372"/>
      <c r="AC47" s="372"/>
      <c r="AD47" s="41"/>
      <c r="AE47" s="41"/>
      <c r="AF47" s="11">
        <f t="shared" si="11"/>
        <v>0</v>
      </c>
      <c r="AG47" s="11">
        <f t="shared" si="12"/>
        <v>0</v>
      </c>
      <c r="AH47" s="11">
        <f t="shared" si="13"/>
        <v>10</v>
      </c>
    </row>
    <row r="48" spans="1:36">
      <c r="A48" s="70" t="s">
        <v>43</v>
      </c>
      <c r="B48" s="15"/>
      <c r="C48" s="15">
        <v>0.75</v>
      </c>
      <c r="D48" s="15"/>
      <c r="E48" s="15"/>
      <c r="F48" s="372"/>
      <c r="G48" s="372"/>
      <c r="H48" s="372"/>
      <c r="I48" s="372"/>
      <c r="J48" s="372"/>
      <c r="K48" s="374"/>
      <c r="L48" s="374"/>
      <c r="M48" s="374"/>
      <c r="N48" s="372"/>
      <c r="O48" s="372"/>
      <c r="P48" s="372"/>
      <c r="Q48" s="372"/>
      <c r="R48" s="372"/>
      <c r="S48" s="372"/>
      <c r="T48" s="372"/>
      <c r="U48" s="372"/>
      <c r="V48" s="372"/>
      <c r="W48" s="372"/>
      <c r="X48" s="372"/>
      <c r="Y48" s="372"/>
      <c r="Z48" s="372"/>
      <c r="AA48" s="372"/>
      <c r="AB48" s="372"/>
      <c r="AC48" s="372"/>
      <c r="AD48" s="41"/>
      <c r="AE48" s="41"/>
      <c r="AF48" s="11">
        <f t="shared" si="11"/>
        <v>0</v>
      </c>
      <c r="AG48" s="11">
        <f t="shared" si="12"/>
        <v>0</v>
      </c>
      <c r="AH48" s="11">
        <f t="shared" si="13"/>
        <v>0</v>
      </c>
    </row>
    <row r="49" spans="1:124" ht="15" customHeight="1">
      <c r="A49" s="70" t="s">
        <v>44</v>
      </c>
      <c r="B49" s="15"/>
      <c r="C49" s="15">
        <v>0.75</v>
      </c>
      <c r="D49" s="15"/>
      <c r="E49" s="15"/>
      <c r="F49" s="372"/>
      <c r="G49" s="372"/>
      <c r="H49" s="372"/>
      <c r="I49" s="372"/>
      <c r="J49" s="372"/>
      <c r="K49" s="374"/>
      <c r="L49" s="374"/>
      <c r="M49" s="374"/>
      <c r="N49" s="372"/>
      <c r="O49" s="372"/>
      <c r="P49" s="372"/>
      <c r="Q49" s="372"/>
      <c r="R49" s="372"/>
      <c r="S49" s="372"/>
      <c r="T49" s="372"/>
      <c r="U49" s="372"/>
      <c r="V49" s="372"/>
      <c r="W49" s="372"/>
      <c r="X49" s="372"/>
      <c r="Y49" s="372"/>
      <c r="Z49" s="372"/>
      <c r="AA49" s="372"/>
      <c r="AB49" s="372"/>
      <c r="AC49" s="372"/>
      <c r="AD49" s="41"/>
      <c r="AE49" s="41"/>
      <c r="AF49" s="11">
        <f t="shared" si="11"/>
        <v>0</v>
      </c>
      <c r="AG49" s="11">
        <f t="shared" si="12"/>
        <v>0</v>
      </c>
      <c r="AH49" s="11">
        <f t="shared" si="13"/>
        <v>0</v>
      </c>
    </row>
    <row r="50" spans="1:124" ht="17.25" customHeight="1">
      <c r="A50" s="70" t="s">
        <v>45</v>
      </c>
      <c r="B50" s="15"/>
      <c r="C50" s="15">
        <v>0.75</v>
      </c>
      <c r="D50" s="15"/>
      <c r="E50" s="15"/>
      <c r="F50" s="372"/>
      <c r="G50" s="372"/>
      <c r="H50" s="372"/>
      <c r="I50" s="372"/>
      <c r="J50" s="372"/>
      <c r="K50" s="374"/>
      <c r="L50" s="374">
        <f t="shared" ref="L50:L51" si="14">3.1/4</f>
        <v>0.77500000000000002</v>
      </c>
      <c r="M50" s="374"/>
      <c r="N50" s="374"/>
      <c r="O50" s="374">
        <f t="shared" ref="O50:O51" si="15">3/4</f>
        <v>0.75</v>
      </c>
      <c r="P50" s="372"/>
      <c r="Q50" s="372"/>
      <c r="R50" s="374">
        <v>0.7</v>
      </c>
      <c r="S50" s="372"/>
      <c r="T50" s="372"/>
      <c r="U50" s="372"/>
      <c r="V50" s="372"/>
      <c r="W50" s="372"/>
      <c r="X50" s="372"/>
      <c r="Y50" s="372"/>
      <c r="Z50" s="372"/>
      <c r="AA50" s="372"/>
      <c r="AB50" s="372"/>
      <c r="AC50" s="372"/>
      <c r="AD50" s="41"/>
      <c r="AE50" s="41"/>
      <c r="AF50" s="11">
        <f t="shared" si="11"/>
        <v>0</v>
      </c>
      <c r="AG50" s="11">
        <f t="shared" si="12"/>
        <v>0</v>
      </c>
      <c r="AH50" s="11">
        <f t="shared" si="13"/>
        <v>3</v>
      </c>
    </row>
    <row r="51" spans="1:124">
      <c r="A51" s="70" t="s">
        <v>46</v>
      </c>
      <c r="B51" s="15"/>
      <c r="C51" s="15">
        <v>0.85</v>
      </c>
      <c r="D51" s="15"/>
      <c r="E51" s="15"/>
      <c r="F51" s="372">
        <v>0</v>
      </c>
      <c r="G51" s="372">
        <v>0</v>
      </c>
      <c r="H51" s="372">
        <v>0</v>
      </c>
      <c r="I51" s="372">
        <v>0</v>
      </c>
      <c r="J51" s="372">
        <v>0</v>
      </c>
      <c r="K51" s="374">
        <v>0</v>
      </c>
      <c r="L51" s="374">
        <f t="shared" si="14"/>
        <v>0.77500000000000002</v>
      </c>
      <c r="M51" s="374"/>
      <c r="N51" s="374"/>
      <c r="O51" s="374">
        <f t="shared" si="15"/>
        <v>0.75</v>
      </c>
      <c r="P51" s="372"/>
      <c r="Q51" s="372"/>
      <c r="R51" s="374"/>
      <c r="S51" s="372"/>
      <c r="T51" s="372"/>
      <c r="U51" s="372"/>
      <c r="V51" s="372"/>
      <c r="W51" s="372"/>
      <c r="X51" s="372"/>
      <c r="Y51" s="372">
        <v>0.7</v>
      </c>
      <c r="Z51" s="372"/>
      <c r="AA51" s="372"/>
      <c r="AB51" s="372"/>
      <c r="AC51" s="372"/>
      <c r="AD51" s="41"/>
      <c r="AE51" s="41"/>
      <c r="AF51" s="11">
        <f t="shared" si="11"/>
        <v>0</v>
      </c>
      <c r="AG51" s="11">
        <f t="shared" si="12"/>
        <v>0</v>
      </c>
      <c r="AH51" s="11">
        <f t="shared" si="13"/>
        <v>9</v>
      </c>
    </row>
    <row r="52" spans="1:124">
      <c r="A52" s="70" t="s">
        <v>47</v>
      </c>
      <c r="B52" s="15"/>
      <c r="C52" s="15">
        <v>0.85</v>
      </c>
      <c r="D52" s="15"/>
      <c r="E52" s="15"/>
      <c r="F52" s="372" t="s">
        <v>9</v>
      </c>
      <c r="G52" s="372" t="s">
        <v>9</v>
      </c>
      <c r="H52" s="372" t="s">
        <v>9</v>
      </c>
      <c r="I52" s="372" t="s">
        <v>9</v>
      </c>
      <c r="J52" s="372" t="s">
        <v>9</v>
      </c>
      <c r="K52" s="374" t="s">
        <v>9</v>
      </c>
      <c r="L52" s="374" t="s">
        <v>9</v>
      </c>
      <c r="M52" s="374" t="s">
        <v>9</v>
      </c>
      <c r="N52" s="372" t="s">
        <v>9</v>
      </c>
      <c r="O52" s="372" t="s">
        <v>9</v>
      </c>
      <c r="P52" s="372" t="s">
        <v>9</v>
      </c>
      <c r="Q52" s="372" t="s">
        <v>9</v>
      </c>
      <c r="R52" s="372" t="s">
        <v>9</v>
      </c>
      <c r="S52" s="372" t="s">
        <v>9</v>
      </c>
      <c r="T52" s="372" t="s">
        <v>9</v>
      </c>
      <c r="U52" s="372" t="s">
        <v>9</v>
      </c>
      <c r="V52" s="372" t="s">
        <v>9</v>
      </c>
      <c r="W52" s="372" t="s">
        <v>9</v>
      </c>
      <c r="X52" s="372" t="s">
        <v>9</v>
      </c>
      <c r="Y52" s="372" t="s">
        <v>9</v>
      </c>
      <c r="Z52" s="372" t="s">
        <v>9</v>
      </c>
      <c r="AA52" s="372" t="s">
        <v>9</v>
      </c>
      <c r="AB52" s="372" t="s">
        <v>9</v>
      </c>
      <c r="AC52" s="372" t="s">
        <v>9</v>
      </c>
      <c r="AD52" s="41"/>
      <c r="AE52" s="41"/>
      <c r="AF52" s="11">
        <f t="shared" si="11"/>
        <v>24</v>
      </c>
      <c r="AG52" s="11">
        <f t="shared" si="12"/>
        <v>0</v>
      </c>
      <c r="AH52" s="11">
        <f t="shared" si="13"/>
        <v>0</v>
      </c>
    </row>
    <row r="53" spans="1:124">
      <c r="A53" s="70" t="s">
        <v>48</v>
      </c>
      <c r="B53" s="15"/>
      <c r="C53" s="15">
        <v>0.85</v>
      </c>
      <c r="D53" s="15"/>
      <c r="E53" s="15"/>
      <c r="F53" s="372"/>
      <c r="G53" s="372"/>
      <c r="H53" s="372"/>
      <c r="I53" s="372"/>
      <c r="J53" s="372"/>
      <c r="K53" s="374"/>
      <c r="L53" s="374"/>
      <c r="M53" s="374"/>
      <c r="N53" s="372"/>
      <c r="O53" s="372"/>
      <c r="P53" s="372"/>
      <c r="Q53" s="372"/>
      <c r="R53" s="372"/>
      <c r="S53" s="372"/>
      <c r="T53" s="372"/>
      <c r="U53" s="372"/>
      <c r="V53" s="372"/>
      <c r="W53" s="372"/>
      <c r="X53" s="372"/>
      <c r="Y53" s="372"/>
      <c r="Z53" s="372"/>
      <c r="AA53" s="372"/>
      <c r="AB53" s="372"/>
      <c r="AC53" s="372"/>
      <c r="AD53" s="41"/>
      <c r="AE53" s="41"/>
      <c r="AF53" s="11">
        <f t="shared" si="11"/>
        <v>0</v>
      </c>
      <c r="AG53" s="11">
        <f t="shared" si="12"/>
        <v>0</v>
      </c>
      <c r="AH53" s="11">
        <f t="shared" si="13"/>
        <v>0</v>
      </c>
    </row>
    <row r="54" spans="1:124" ht="16.5" customHeight="1">
      <c r="A54" s="70" t="s">
        <v>49</v>
      </c>
      <c r="B54" s="15"/>
      <c r="C54" s="15">
        <v>0.85</v>
      </c>
      <c r="D54" s="15"/>
      <c r="E54" s="15"/>
      <c r="F54" s="372">
        <v>0</v>
      </c>
      <c r="G54" s="372">
        <v>0</v>
      </c>
      <c r="H54" s="372">
        <v>0.8</v>
      </c>
      <c r="I54" s="372">
        <v>0</v>
      </c>
      <c r="J54" s="372">
        <v>0</v>
      </c>
      <c r="K54" s="374">
        <v>0</v>
      </c>
      <c r="L54" s="374">
        <v>0</v>
      </c>
      <c r="M54" s="374">
        <v>0</v>
      </c>
      <c r="N54" s="374"/>
      <c r="O54" s="372"/>
      <c r="P54" s="372"/>
      <c r="Q54" s="372"/>
      <c r="R54" s="374"/>
      <c r="S54" s="372"/>
      <c r="T54" s="372"/>
      <c r="U54" s="372">
        <v>0.7</v>
      </c>
      <c r="V54" s="372">
        <v>0</v>
      </c>
      <c r="W54" s="372">
        <v>0</v>
      </c>
      <c r="X54" s="372">
        <v>0</v>
      </c>
      <c r="Y54" s="372">
        <v>0</v>
      </c>
      <c r="Z54" s="372">
        <v>0</v>
      </c>
      <c r="AA54" s="372">
        <v>0</v>
      </c>
      <c r="AB54" s="372">
        <v>0</v>
      </c>
      <c r="AC54" s="372">
        <v>0</v>
      </c>
      <c r="AD54" s="41"/>
      <c r="AE54" s="41"/>
      <c r="AF54" s="11">
        <f t="shared" si="11"/>
        <v>0</v>
      </c>
      <c r="AG54" s="11">
        <f t="shared" si="12"/>
        <v>0</v>
      </c>
      <c r="AH54" s="11">
        <f t="shared" si="13"/>
        <v>17</v>
      </c>
    </row>
    <row r="55" spans="1:124">
      <c r="A55" s="70" t="s">
        <v>50</v>
      </c>
      <c r="B55" s="15"/>
      <c r="C55" s="15">
        <v>0.85</v>
      </c>
      <c r="D55" s="15"/>
      <c r="E55" s="15"/>
      <c r="F55" s="372"/>
      <c r="G55" s="372"/>
      <c r="H55" s="372"/>
      <c r="I55" s="372"/>
      <c r="J55" s="372"/>
      <c r="K55" s="374"/>
      <c r="L55" s="374"/>
      <c r="M55" s="374"/>
      <c r="N55" s="372"/>
      <c r="O55" s="372"/>
      <c r="P55" s="372"/>
      <c r="Q55" s="372"/>
      <c r="R55" s="372"/>
      <c r="S55" s="372"/>
      <c r="T55" s="372"/>
      <c r="U55" s="372"/>
      <c r="V55" s="372"/>
      <c r="W55" s="372"/>
      <c r="X55" s="372"/>
      <c r="Y55" s="372"/>
      <c r="Z55" s="372"/>
      <c r="AA55" s="372"/>
      <c r="AB55" s="372"/>
      <c r="AC55" s="372"/>
      <c r="AD55" s="41"/>
      <c r="AE55" s="41"/>
      <c r="AF55" s="11">
        <f>COUNTIF(F55:AC55,$AJ$8)</f>
        <v>0</v>
      </c>
      <c r="AG55" s="11">
        <f t="shared" si="12"/>
        <v>0</v>
      </c>
      <c r="AH55" s="11">
        <f>COUNT(F55:AC55)</f>
        <v>0</v>
      </c>
    </row>
    <row r="56" spans="1:124">
      <c r="A56" s="70" t="s">
        <v>51</v>
      </c>
      <c r="B56" s="15"/>
      <c r="C56" s="15">
        <v>0.75</v>
      </c>
      <c r="D56" s="15"/>
      <c r="E56" s="15"/>
      <c r="F56" s="372"/>
      <c r="G56" s="372"/>
      <c r="H56" s="372"/>
      <c r="I56" s="372"/>
      <c r="J56" s="372"/>
      <c r="K56" s="374"/>
      <c r="L56" s="374">
        <f>3.1/4</f>
        <v>0.77500000000000002</v>
      </c>
      <c r="M56" s="374"/>
      <c r="N56" s="374"/>
      <c r="O56" s="374">
        <f>3/4</f>
        <v>0.75</v>
      </c>
      <c r="P56" s="372"/>
      <c r="Q56" s="372"/>
      <c r="R56" s="372"/>
      <c r="S56" s="372"/>
      <c r="T56" s="372"/>
      <c r="U56" s="372">
        <v>0.7</v>
      </c>
      <c r="V56" s="372">
        <v>0</v>
      </c>
      <c r="W56" s="372">
        <v>0</v>
      </c>
      <c r="X56" s="372">
        <v>0</v>
      </c>
      <c r="Y56" s="372">
        <v>0</v>
      </c>
      <c r="Z56" s="372">
        <v>0</v>
      </c>
      <c r="AA56" s="372">
        <v>0</v>
      </c>
      <c r="AB56" s="372">
        <v>0</v>
      </c>
      <c r="AC56" s="372">
        <v>0</v>
      </c>
      <c r="AD56" s="41"/>
      <c r="AE56" s="41"/>
      <c r="AF56" s="11">
        <f t="shared" si="11"/>
        <v>0</v>
      </c>
      <c r="AG56" s="11">
        <f t="shared" si="12"/>
        <v>0</v>
      </c>
      <c r="AH56" s="11">
        <f t="shared" si="13"/>
        <v>11</v>
      </c>
    </row>
    <row r="57" spans="1:124">
      <c r="A57" s="70" t="s">
        <v>52</v>
      </c>
      <c r="B57" s="15"/>
      <c r="C57" s="15">
        <v>0.75</v>
      </c>
      <c r="D57" s="15"/>
      <c r="E57" s="15"/>
      <c r="F57" s="372"/>
      <c r="G57" s="372"/>
      <c r="H57" s="372"/>
      <c r="I57" s="372"/>
      <c r="J57" s="372"/>
      <c r="K57" s="374"/>
      <c r="L57" s="374"/>
      <c r="M57" s="374"/>
      <c r="N57" s="372"/>
      <c r="O57" s="372"/>
      <c r="P57" s="372"/>
      <c r="Q57" s="372"/>
      <c r="R57" s="372"/>
      <c r="S57" s="372"/>
      <c r="T57" s="372"/>
      <c r="U57" s="372"/>
      <c r="V57" s="372"/>
      <c r="W57" s="372"/>
      <c r="X57" s="372"/>
      <c r="Y57" s="372"/>
      <c r="Z57" s="372"/>
      <c r="AA57" s="372"/>
      <c r="AB57" s="372"/>
      <c r="AC57" s="372"/>
      <c r="AD57" s="41"/>
      <c r="AE57" s="41"/>
      <c r="AF57" s="11">
        <f t="shared" si="11"/>
        <v>0</v>
      </c>
      <c r="AG57" s="11">
        <f t="shared" si="12"/>
        <v>0</v>
      </c>
      <c r="AH57" s="11">
        <f t="shared" si="13"/>
        <v>0</v>
      </c>
    </row>
    <row r="58" spans="1:124">
      <c r="A58" s="70" t="s">
        <v>53</v>
      </c>
      <c r="B58" s="15"/>
      <c r="C58" s="15">
        <v>0.85</v>
      </c>
      <c r="D58" s="15"/>
      <c r="E58" s="15"/>
      <c r="F58" s="372"/>
      <c r="G58" s="372"/>
      <c r="H58" s="372"/>
      <c r="I58" s="372"/>
      <c r="J58" s="372"/>
      <c r="K58" s="374"/>
      <c r="L58" s="374"/>
      <c r="M58" s="374"/>
      <c r="N58" s="372"/>
      <c r="O58" s="372"/>
      <c r="P58" s="372"/>
      <c r="Q58" s="372"/>
      <c r="R58" s="372"/>
      <c r="S58" s="372"/>
      <c r="T58" s="372"/>
      <c r="U58" s="372"/>
      <c r="V58" s="372"/>
      <c r="W58" s="372"/>
      <c r="X58" s="372"/>
      <c r="Y58" s="372"/>
      <c r="Z58" s="372"/>
      <c r="AA58" s="372"/>
      <c r="AB58" s="372"/>
      <c r="AC58" s="372"/>
      <c r="AD58" s="41"/>
      <c r="AE58" s="41"/>
      <c r="AF58" s="11">
        <f t="shared" si="11"/>
        <v>0</v>
      </c>
      <c r="AG58" s="11">
        <f t="shared" si="12"/>
        <v>0</v>
      </c>
      <c r="AH58" s="11">
        <f t="shared" si="13"/>
        <v>0</v>
      </c>
    </row>
    <row r="59" spans="1:124">
      <c r="A59" s="70" t="s">
        <v>54</v>
      </c>
      <c r="B59" s="15"/>
      <c r="C59" s="15">
        <v>0.85</v>
      </c>
      <c r="D59" s="15"/>
      <c r="E59" s="15"/>
      <c r="F59" s="372"/>
      <c r="G59" s="372"/>
      <c r="H59" s="372"/>
      <c r="I59" s="372"/>
      <c r="J59" s="372"/>
      <c r="K59" s="374"/>
      <c r="L59" s="374"/>
      <c r="M59" s="374"/>
      <c r="N59" s="372"/>
      <c r="O59" s="372"/>
      <c r="P59" s="372"/>
      <c r="Q59" s="372"/>
      <c r="R59" s="372"/>
      <c r="S59" s="372"/>
      <c r="T59" s="372"/>
      <c r="U59" s="372"/>
      <c r="V59" s="372"/>
      <c r="W59" s="372"/>
      <c r="X59" s="372"/>
      <c r="Y59" s="372"/>
      <c r="Z59" s="372"/>
      <c r="AA59" s="372"/>
      <c r="AB59" s="372"/>
      <c r="AC59" s="372"/>
      <c r="AD59" s="41"/>
      <c r="AE59" s="41"/>
      <c r="AF59" s="11">
        <f t="shared" si="11"/>
        <v>0</v>
      </c>
      <c r="AG59" s="11">
        <f t="shared" si="12"/>
        <v>0</v>
      </c>
      <c r="AH59" s="11">
        <f t="shared" si="13"/>
        <v>0</v>
      </c>
    </row>
    <row r="60" spans="1:124">
      <c r="A60" s="9" t="s">
        <v>26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 t="shared" ref="F60" si="16">SUM(F36:F59)</f>
        <v>0</v>
      </c>
      <c r="G60" s="19">
        <f t="shared" ref="G60:AC60" si="17">SUM(G36:G59)</f>
        <v>0</v>
      </c>
      <c r="H60" s="19">
        <f t="shared" si="17"/>
        <v>0.8</v>
      </c>
      <c r="I60" s="19">
        <f t="shared" si="17"/>
        <v>0</v>
      </c>
      <c r="J60" s="19">
        <f t="shared" si="17"/>
        <v>0</v>
      </c>
      <c r="K60" s="19">
        <f t="shared" si="17"/>
        <v>0</v>
      </c>
      <c r="L60" s="19">
        <f t="shared" si="17"/>
        <v>3.1</v>
      </c>
      <c r="M60" s="19">
        <f t="shared" si="17"/>
        <v>0</v>
      </c>
      <c r="N60" s="19">
        <f t="shared" si="17"/>
        <v>0</v>
      </c>
      <c r="O60" s="19">
        <f>SUM(O36:O59)</f>
        <v>3</v>
      </c>
      <c r="P60" s="19">
        <f t="shared" si="17"/>
        <v>0</v>
      </c>
      <c r="Q60" s="19">
        <f t="shared" si="17"/>
        <v>0</v>
      </c>
      <c r="R60" s="19">
        <f t="shared" si="17"/>
        <v>1.4</v>
      </c>
      <c r="S60" s="19">
        <f t="shared" si="17"/>
        <v>0</v>
      </c>
      <c r="T60" s="19">
        <f>SUM(T36:T59)</f>
        <v>0</v>
      </c>
      <c r="U60" s="19">
        <f t="shared" si="17"/>
        <v>1.4</v>
      </c>
      <c r="V60" s="19">
        <f t="shared" si="17"/>
        <v>0</v>
      </c>
      <c r="W60" s="19">
        <f t="shared" si="17"/>
        <v>0</v>
      </c>
      <c r="X60" s="19">
        <f t="shared" si="17"/>
        <v>0</v>
      </c>
      <c r="Y60" s="19">
        <f t="shared" si="17"/>
        <v>1.4</v>
      </c>
      <c r="Z60" s="19">
        <f t="shared" si="17"/>
        <v>0</v>
      </c>
      <c r="AA60" s="19">
        <f t="shared" si="17"/>
        <v>0</v>
      </c>
      <c r="AB60" s="19">
        <f t="shared" si="17"/>
        <v>0</v>
      </c>
      <c r="AC60" s="19">
        <f t="shared" si="17"/>
        <v>0</v>
      </c>
      <c r="AD60" s="34"/>
      <c r="AE60" s="34"/>
      <c r="AF60" s="11"/>
      <c r="AG60" s="11"/>
      <c r="AH60" s="11"/>
    </row>
    <row r="61" spans="1:124">
      <c r="A61" s="12" t="s">
        <v>55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29.29</v>
      </c>
      <c r="AN61" s="351"/>
    </row>
    <row r="62" spans="1:124">
      <c r="A62" s="14" t="s">
        <v>56</v>
      </c>
      <c r="B62" s="20"/>
      <c r="C62" s="15">
        <v>0.75</v>
      </c>
      <c r="D62" s="15"/>
      <c r="E62" s="15"/>
      <c r="F62" s="372">
        <f>1.04/2</f>
        <v>0.52</v>
      </c>
      <c r="G62" s="372">
        <f>0.98/2</f>
        <v>0.49</v>
      </c>
      <c r="H62" s="372">
        <f>0.93/2</f>
        <v>0.46500000000000002</v>
      </c>
      <c r="I62" s="372">
        <f>0.9/2</f>
        <v>0.45</v>
      </c>
      <c r="J62" s="374">
        <f>0.86/2</f>
        <v>0.43</v>
      </c>
      <c r="K62" s="374">
        <v>0</v>
      </c>
      <c r="L62" s="374"/>
      <c r="M62" s="374"/>
      <c r="N62" s="372"/>
      <c r="O62" s="372"/>
      <c r="P62" s="372"/>
      <c r="Q62" s="372"/>
      <c r="R62" s="372"/>
      <c r="S62" s="372">
        <f>1.48/2</f>
        <v>0.74</v>
      </c>
      <c r="T62" s="372">
        <f>1.5/2</f>
        <v>0.75</v>
      </c>
      <c r="U62" s="372">
        <f>1.5/2</f>
        <v>0.75</v>
      </c>
      <c r="V62" s="372">
        <v>0</v>
      </c>
      <c r="W62" s="372">
        <v>0.75</v>
      </c>
      <c r="X62" s="372">
        <f>1.37/2</f>
        <v>0.68500000000000005</v>
      </c>
      <c r="Y62" s="372">
        <f>1.67/3</f>
        <v>0.55666666666666664</v>
      </c>
      <c r="Z62" s="372">
        <f>1.56/3</f>
        <v>0.52</v>
      </c>
      <c r="AA62" s="372">
        <f>1.53/3</f>
        <v>0.51</v>
      </c>
      <c r="AB62" s="372">
        <f>1.38/2</f>
        <v>0.69</v>
      </c>
      <c r="AC62" s="372">
        <f>1.24/2</f>
        <v>0.62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17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57</v>
      </c>
      <c r="B63" s="20"/>
      <c r="C63" s="15">
        <v>0.75</v>
      </c>
      <c r="D63" s="15"/>
      <c r="E63" s="15"/>
      <c r="F63" s="372">
        <f>1.04/2</f>
        <v>0.52</v>
      </c>
      <c r="G63" s="372">
        <f>0.98/2</f>
        <v>0.49</v>
      </c>
      <c r="H63" s="372">
        <f>0.93/2</f>
        <v>0.46500000000000002</v>
      </c>
      <c r="I63" s="372">
        <v>0.45</v>
      </c>
      <c r="J63" s="374">
        <f>0.86/2</f>
        <v>0.43</v>
      </c>
      <c r="K63" s="374">
        <f>0.86/2</f>
        <v>0.43</v>
      </c>
      <c r="L63" s="374">
        <f>1/2</f>
        <v>0.5</v>
      </c>
      <c r="M63" s="374">
        <f>1.06/2</f>
        <v>0.53</v>
      </c>
      <c r="N63" s="372">
        <f>1.23/2</f>
        <v>0.61499999999999999</v>
      </c>
      <c r="O63" s="372">
        <f>1.27/2</f>
        <v>0.63500000000000001</v>
      </c>
      <c r="P63" s="372">
        <f>1.47/2</f>
        <v>0.73499999999999999</v>
      </c>
      <c r="Q63" s="372">
        <f>1.47/2</f>
        <v>0.73499999999999999</v>
      </c>
      <c r="R63" s="372">
        <f>1.49/2</f>
        <v>0.745</v>
      </c>
      <c r="S63" s="372"/>
      <c r="T63" s="372"/>
      <c r="U63" s="372"/>
      <c r="V63" s="372"/>
      <c r="W63" s="372"/>
      <c r="X63" s="372"/>
      <c r="Y63" s="372">
        <f>1.67/3</f>
        <v>0.55666666666666664</v>
      </c>
      <c r="Z63" s="372">
        <f>1.56/3</f>
        <v>0.52</v>
      </c>
      <c r="AA63" s="372">
        <f>1.53/3</f>
        <v>0.51</v>
      </c>
      <c r="AB63" s="372">
        <f>1.38/2</f>
        <v>0.69</v>
      </c>
      <c r="AC63" s="372">
        <f>1.24/2</f>
        <v>0.62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18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58</v>
      </c>
      <c r="B64" s="20"/>
      <c r="C64" s="15">
        <v>0.75</v>
      </c>
      <c r="D64" s="15"/>
      <c r="E64" s="15"/>
      <c r="F64" s="372">
        <v>0</v>
      </c>
      <c r="G64" s="372">
        <v>0</v>
      </c>
      <c r="H64" s="372">
        <v>0</v>
      </c>
      <c r="I64" s="372">
        <v>0</v>
      </c>
      <c r="J64" s="374">
        <v>0</v>
      </c>
      <c r="K64" s="374">
        <v>0.43</v>
      </c>
      <c r="L64" s="374">
        <f>1/2</f>
        <v>0.5</v>
      </c>
      <c r="M64" s="374">
        <f>1.06/2</f>
        <v>0.53</v>
      </c>
      <c r="N64" s="372">
        <f>1.23/2</f>
        <v>0.61499999999999999</v>
      </c>
      <c r="O64" s="372">
        <f>1.27/2</f>
        <v>0.63500000000000001</v>
      </c>
      <c r="P64" s="372">
        <f>1.47/2</f>
        <v>0.73499999999999999</v>
      </c>
      <c r="Q64" s="372">
        <f>1.47/2</f>
        <v>0.73499999999999999</v>
      </c>
      <c r="R64" s="372">
        <f>1.49/2</f>
        <v>0.745</v>
      </c>
      <c r="S64" s="372">
        <f>1.48/2</f>
        <v>0.74</v>
      </c>
      <c r="T64" s="372">
        <f>1.5/2</f>
        <v>0.75</v>
      </c>
      <c r="U64" s="372">
        <f>1.5/2</f>
        <v>0.75</v>
      </c>
      <c r="V64" s="372">
        <v>0</v>
      </c>
      <c r="W64" s="372">
        <v>0.75</v>
      </c>
      <c r="X64" s="372">
        <f>1.37/2</f>
        <v>0.68500000000000005</v>
      </c>
      <c r="Y64" s="372">
        <f>1.67/3</f>
        <v>0.55666666666666664</v>
      </c>
      <c r="Z64" s="372">
        <f>1.56/3</f>
        <v>0.52</v>
      </c>
      <c r="AA64" s="372">
        <f>1.53/3</f>
        <v>0.51</v>
      </c>
      <c r="AB64" s="372"/>
      <c r="AC64" s="372"/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22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1.04</v>
      </c>
      <c r="G65" s="19">
        <f t="shared" ref="G65" si="18">SUM(G62:G64)</f>
        <v>0.98</v>
      </c>
      <c r="H65" s="19">
        <f>SUM(H62:H64)</f>
        <v>0.93</v>
      </c>
      <c r="I65" s="19">
        <f>SUM(I62:I64)</f>
        <v>0.9</v>
      </c>
      <c r="J65" s="19">
        <f t="shared" ref="J65" si="19">SUM(J62:J64)</f>
        <v>0.86</v>
      </c>
      <c r="K65" s="19">
        <f>SUM(K62:K64)</f>
        <v>0.86</v>
      </c>
      <c r="L65" s="19">
        <f>SUM(L62:L64)</f>
        <v>1</v>
      </c>
      <c r="M65" s="19">
        <f>SUM(M62:M64)</f>
        <v>1.06</v>
      </c>
      <c r="N65" s="19">
        <f>SUM(N62:N64)</f>
        <v>1.23</v>
      </c>
      <c r="O65" s="19">
        <f t="shared" ref="O65:AB65" si="20">SUM(O62:O64)</f>
        <v>1.27</v>
      </c>
      <c r="P65" s="19">
        <f t="shared" si="20"/>
        <v>1.47</v>
      </c>
      <c r="Q65" s="19">
        <f t="shared" si="20"/>
        <v>1.47</v>
      </c>
      <c r="R65" s="19">
        <f t="shared" si="20"/>
        <v>1.49</v>
      </c>
      <c r="S65" s="19">
        <f t="shared" si="20"/>
        <v>1.48</v>
      </c>
      <c r="T65" s="19">
        <f t="shared" si="20"/>
        <v>1.5</v>
      </c>
      <c r="U65" s="19">
        <f t="shared" si="20"/>
        <v>1.5</v>
      </c>
      <c r="V65" s="19">
        <f t="shared" si="20"/>
        <v>0</v>
      </c>
      <c r="W65" s="19">
        <f t="shared" si="20"/>
        <v>1.5</v>
      </c>
      <c r="X65" s="19">
        <f t="shared" si="20"/>
        <v>1.37</v>
      </c>
      <c r="Y65" s="19">
        <f>SUM(Y62:Y64)</f>
        <v>1.67</v>
      </c>
      <c r="Z65" s="19">
        <f t="shared" si="20"/>
        <v>1.56</v>
      </c>
      <c r="AA65" s="19">
        <f t="shared" si="20"/>
        <v>1.53</v>
      </c>
      <c r="AB65" s="19">
        <f t="shared" si="20"/>
        <v>1.38</v>
      </c>
      <c r="AC65" s="19">
        <f>SUM(AC62:AC64)</f>
        <v>1.24</v>
      </c>
      <c r="AD65" s="34"/>
      <c r="AE65" s="34"/>
      <c r="AF65" s="11"/>
      <c r="AG65" s="11"/>
      <c r="AH65" s="11"/>
    </row>
    <row r="66" spans="1:124" hidden="1">
      <c r="A66" s="12" t="s">
        <v>59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idden="1">
      <c r="A67" s="14" t="s">
        <v>60</v>
      </c>
      <c r="B67" s="15"/>
      <c r="C67" s="15">
        <v>0.85</v>
      </c>
      <c r="D67" s="15"/>
      <c r="E67" s="15"/>
      <c r="F67" s="372"/>
      <c r="G67" s="372"/>
      <c r="H67" s="372"/>
      <c r="I67" s="372"/>
      <c r="J67" s="372"/>
      <c r="K67" s="374"/>
      <c r="L67" s="374"/>
      <c r="M67" s="374"/>
      <c r="N67" s="372"/>
      <c r="O67" s="372"/>
      <c r="P67" s="372"/>
      <c r="Q67" s="372"/>
      <c r="R67" s="372"/>
      <c r="S67" s="372"/>
      <c r="T67" s="372"/>
      <c r="U67" s="372"/>
      <c r="V67" s="372"/>
      <c r="W67" s="372"/>
      <c r="X67" s="372"/>
      <c r="Y67" s="372"/>
      <c r="Z67" s="372"/>
      <c r="AA67" s="372"/>
      <c r="AB67" s="372"/>
      <c r="AC67" s="372"/>
      <c r="AD67" s="35"/>
      <c r="AE67" s="35"/>
      <c r="AF67" s="11">
        <f t="shared" ref="AF67:AF75" si="21">COUNTIF(F67:AC67,$AF$11)</f>
        <v>0</v>
      </c>
      <c r="AG67" s="11">
        <f t="shared" ref="AG67:AG75" si="22">COUNTIF(G67:AC67,$AG$11)</f>
        <v>0</v>
      </c>
      <c r="AH67" s="11">
        <f t="shared" ref="AH67:AH75" si="23">COUNT(F67:AC67)</f>
        <v>0</v>
      </c>
    </row>
    <row r="68" spans="1:124" hidden="1">
      <c r="A68" s="14" t="s">
        <v>61</v>
      </c>
      <c r="B68" s="15"/>
      <c r="C68" s="15">
        <v>0.85</v>
      </c>
      <c r="D68" s="15"/>
      <c r="E68" s="15"/>
      <c r="F68" s="372"/>
      <c r="G68" s="372"/>
      <c r="H68" s="372"/>
      <c r="I68" s="372"/>
      <c r="J68" s="372"/>
      <c r="K68" s="374"/>
      <c r="L68" s="374"/>
      <c r="M68" s="374"/>
      <c r="N68" s="372"/>
      <c r="O68" s="372"/>
      <c r="P68" s="372"/>
      <c r="Q68" s="372"/>
      <c r="R68" s="372"/>
      <c r="S68" s="372"/>
      <c r="T68" s="372"/>
      <c r="U68" s="372"/>
      <c r="V68" s="372"/>
      <c r="W68" s="372"/>
      <c r="X68" s="372"/>
      <c r="Y68" s="372"/>
      <c r="Z68" s="372"/>
      <c r="AA68" s="372"/>
      <c r="AB68" s="372"/>
      <c r="AC68" s="372"/>
      <c r="AD68" s="35"/>
      <c r="AE68" s="35"/>
      <c r="AF68" s="11">
        <f t="shared" si="21"/>
        <v>0</v>
      </c>
      <c r="AG68" s="11">
        <f t="shared" si="22"/>
        <v>0</v>
      </c>
      <c r="AH68" s="11">
        <f t="shared" si="23"/>
        <v>0</v>
      </c>
    </row>
    <row r="69" spans="1:124" hidden="1">
      <c r="A69" s="14" t="s">
        <v>62</v>
      </c>
      <c r="B69" s="15"/>
      <c r="C69" s="15">
        <v>0.85</v>
      </c>
      <c r="D69" s="15"/>
      <c r="E69" s="15"/>
      <c r="F69" s="372"/>
      <c r="G69" s="372"/>
      <c r="H69" s="372"/>
      <c r="I69" s="372"/>
      <c r="J69" s="372"/>
      <c r="K69" s="374"/>
      <c r="L69" s="374"/>
      <c r="M69" s="374"/>
      <c r="N69" s="372"/>
      <c r="O69" s="372"/>
      <c r="P69" s="372"/>
      <c r="Q69" s="372"/>
      <c r="R69" s="372"/>
      <c r="S69" s="372"/>
      <c r="T69" s="372"/>
      <c r="U69" s="372"/>
      <c r="V69" s="372"/>
      <c r="W69" s="372"/>
      <c r="X69" s="372"/>
      <c r="Y69" s="372"/>
      <c r="Z69" s="372"/>
      <c r="AA69" s="372"/>
      <c r="AB69" s="372"/>
      <c r="AC69" s="372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3"/>
        <v>0</v>
      </c>
    </row>
    <row r="70" spans="1:124" hidden="1">
      <c r="A70" s="14" t="s">
        <v>63</v>
      </c>
      <c r="B70" s="15"/>
      <c r="C70" s="15">
        <v>0.85</v>
      </c>
      <c r="D70" s="15"/>
      <c r="E70" s="15"/>
      <c r="F70" s="372"/>
      <c r="G70" s="372"/>
      <c r="H70" s="372"/>
      <c r="I70" s="372"/>
      <c r="J70" s="372"/>
      <c r="K70" s="374"/>
      <c r="L70" s="374"/>
      <c r="M70" s="374"/>
      <c r="N70" s="372"/>
      <c r="O70" s="372"/>
      <c r="P70" s="372"/>
      <c r="Q70" s="372"/>
      <c r="R70" s="372"/>
      <c r="S70" s="372"/>
      <c r="T70" s="372"/>
      <c r="U70" s="372"/>
      <c r="V70" s="372"/>
      <c r="W70" s="372"/>
      <c r="X70" s="372"/>
      <c r="Y70" s="372"/>
      <c r="Z70" s="372"/>
      <c r="AA70" s="372"/>
      <c r="AB70" s="372"/>
      <c r="AC70" s="372"/>
      <c r="AD70" s="35"/>
      <c r="AE70" s="35"/>
      <c r="AF70" s="11">
        <f t="shared" si="21"/>
        <v>0</v>
      </c>
      <c r="AG70" s="11">
        <f t="shared" si="22"/>
        <v>0</v>
      </c>
      <c r="AH70" s="11">
        <f t="shared" si="23"/>
        <v>0</v>
      </c>
      <c r="AI70" s="5"/>
      <c r="AJ70" s="5"/>
      <c r="AK70" s="5"/>
      <c r="AL70" s="5"/>
    </row>
    <row r="71" spans="1:124" hidden="1">
      <c r="A71" s="14" t="s">
        <v>64</v>
      </c>
      <c r="B71" s="15"/>
      <c r="C71" s="15">
        <v>0.85</v>
      </c>
      <c r="D71" s="15"/>
      <c r="E71" s="15"/>
      <c r="F71" s="372"/>
      <c r="G71" s="372"/>
      <c r="H71" s="372"/>
      <c r="I71" s="372"/>
      <c r="J71" s="372"/>
      <c r="K71" s="374"/>
      <c r="L71" s="374"/>
      <c r="M71" s="374"/>
      <c r="N71" s="372"/>
      <c r="O71" s="372"/>
      <c r="P71" s="372"/>
      <c r="Q71" s="372"/>
      <c r="R71" s="372"/>
      <c r="S71" s="372"/>
      <c r="T71" s="372"/>
      <c r="U71" s="372"/>
      <c r="V71" s="372"/>
      <c r="W71" s="372"/>
      <c r="X71" s="372"/>
      <c r="Y71" s="372"/>
      <c r="Z71" s="372"/>
      <c r="AA71" s="372"/>
      <c r="AB71" s="372"/>
      <c r="AC71" s="372"/>
      <c r="AD71" s="35"/>
      <c r="AE71" s="35"/>
      <c r="AF71" s="11">
        <f t="shared" si="21"/>
        <v>0</v>
      </c>
      <c r="AG71" s="11">
        <f t="shared" si="22"/>
        <v>0</v>
      </c>
      <c r="AH71" s="11">
        <f t="shared" si="23"/>
        <v>0</v>
      </c>
    </row>
    <row r="72" spans="1:124" hidden="1">
      <c r="A72" s="14" t="s">
        <v>65</v>
      </c>
      <c r="B72" s="15"/>
      <c r="C72" s="15">
        <v>0.85</v>
      </c>
      <c r="D72" s="15"/>
      <c r="E72" s="15"/>
      <c r="F72" s="372"/>
      <c r="G72" s="372"/>
      <c r="H72" s="372"/>
      <c r="I72" s="372"/>
      <c r="J72" s="372"/>
      <c r="K72" s="374"/>
      <c r="L72" s="374"/>
      <c r="M72" s="374"/>
      <c r="N72" s="372"/>
      <c r="O72" s="372"/>
      <c r="P72" s="372"/>
      <c r="Q72" s="372"/>
      <c r="R72" s="372"/>
      <c r="S72" s="372"/>
      <c r="T72" s="372"/>
      <c r="U72" s="372"/>
      <c r="V72" s="372"/>
      <c r="W72" s="372"/>
      <c r="X72" s="372"/>
      <c r="Y72" s="372"/>
      <c r="Z72" s="372"/>
      <c r="AA72" s="372"/>
      <c r="AB72" s="372"/>
      <c r="AC72" s="372"/>
      <c r="AD72" s="35"/>
      <c r="AE72" s="35"/>
      <c r="AF72" s="11">
        <f t="shared" si="21"/>
        <v>0</v>
      </c>
      <c r="AG72" s="11">
        <f t="shared" si="22"/>
        <v>0</v>
      </c>
      <c r="AH72" s="11">
        <f t="shared" si="23"/>
        <v>0</v>
      </c>
    </row>
    <row r="73" spans="1:124" hidden="1">
      <c r="A73" s="14" t="s">
        <v>66</v>
      </c>
      <c r="B73" s="15"/>
      <c r="C73" s="15">
        <v>0.85</v>
      </c>
      <c r="D73" s="15"/>
      <c r="E73" s="15"/>
      <c r="F73" s="372"/>
      <c r="G73" s="372"/>
      <c r="H73" s="372"/>
      <c r="I73" s="372"/>
      <c r="J73" s="372"/>
      <c r="K73" s="374"/>
      <c r="L73" s="374"/>
      <c r="M73" s="374"/>
      <c r="N73" s="372"/>
      <c r="O73" s="372"/>
      <c r="P73" s="372"/>
      <c r="Q73" s="372"/>
      <c r="R73" s="372"/>
      <c r="S73" s="372"/>
      <c r="T73" s="372"/>
      <c r="U73" s="372"/>
      <c r="V73" s="372"/>
      <c r="W73" s="372"/>
      <c r="X73" s="372"/>
      <c r="Y73" s="372"/>
      <c r="Z73" s="372"/>
      <c r="AA73" s="372"/>
      <c r="AB73" s="372"/>
      <c r="AC73" s="372"/>
      <c r="AD73" s="35"/>
      <c r="AE73" s="35"/>
      <c r="AF73" s="11">
        <f t="shared" si="21"/>
        <v>0</v>
      </c>
      <c r="AG73" s="11">
        <f t="shared" si="22"/>
        <v>0</v>
      </c>
      <c r="AH73" s="11">
        <f t="shared" si="23"/>
        <v>0</v>
      </c>
    </row>
    <row r="74" spans="1:124" hidden="1">
      <c r="A74" s="14" t="s">
        <v>67</v>
      </c>
      <c r="B74" s="19"/>
      <c r="C74" s="15">
        <v>0.85</v>
      </c>
      <c r="D74" s="15"/>
      <c r="E74" s="15"/>
      <c r="F74" s="372"/>
      <c r="G74" s="372"/>
      <c r="H74" s="372"/>
      <c r="I74" s="372"/>
      <c r="J74" s="372"/>
      <c r="K74" s="374"/>
      <c r="L74" s="374"/>
      <c r="M74" s="374"/>
      <c r="N74" s="372"/>
      <c r="O74" s="372"/>
      <c r="P74" s="372"/>
      <c r="Q74" s="372"/>
      <c r="R74" s="372"/>
      <c r="S74" s="372"/>
      <c r="T74" s="372"/>
      <c r="U74" s="372"/>
      <c r="V74" s="372"/>
      <c r="W74" s="372"/>
      <c r="X74" s="372"/>
      <c r="Y74" s="372"/>
      <c r="Z74" s="372"/>
      <c r="AA74" s="372"/>
      <c r="AB74" s="372"/>
      <c r="AC74" s="372"/>
      <c r="AD74" s="29"/>
      <c r="AE74" s="29"/>
      <c r="AF74" s="11">
        <f t="shared" si="21"/>
        <v>0</v>
      </c>
      <c r="AG74" s="11">
        <f t="shared" si="22"/>
        <v>0</v>
      </c>
      <c r="AH74" s="11">
        <f t="shared" si="23"/>
        <v>0</v>
      </c>
    </row>
    <row r="75" spans="1:124" ht="15.75" hidden="1" customHeight="1">
      <c r="A75" s="14" t="s">
        <v>68</v>
      </c>
      <c r="B75" s="9"/>
      <c r="C75" s="15">
        <v>0.85</v>
      </c>
      <c r="D75" s="15"/>
      <c r="E75" s="15"/>
      <c r="F75" s="372"/>
      <c r="G75" s="372"/>
      <c r="H75" s="372"/>
      <c r="I75" s="372"/>
      <c r="J75" s="372"/>
      <c r="K75" s="374"/>
      <c r="L75" s="374"/>
      <c r="M75" s="374"/>
      <c r="N75" s="372"/>
      <c r="O75" s="372"/>
      <c r="P75" s="372"/>
      <c r="Q75" s="372"/>
      <c r="R75" s="372"/>
      <c r="S75" s="372"/>
      <c r="T75" s="372"/>
      <c r="U75" s="372"/>
      <c r="V75" s="372"/>
      <c r="W75" s="372"/>
      <c r="X75" s="372"/>
      <c r="Y75" s="372"/>
      <c r="Z75" s="372"/>
      <c r="AA75" s="372"/>
      <c r="AB75" s="372"/>
      <c r="AC75" s="372"/>
      <c r="AD75" s="31"/>
      <c r="AE75" s="31"/>
      <c r="AF75" s="11">
        <f t="shared" si="21"/>
        <v>0</v>
      </c>
      <c r="AG75" s="11">
        <f t="shared" si="22"/>
        <v>0</v>
      </c>
      <c r="AH75" s="11">
        <f t="shared" si="23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4">SUM(F67:F75)</f>
        <v>0</v>
      </c>
      <c r="G76" s="19">
        <f t="shared" ref="G76:AC76" si="25">SUM(G67:G75)</f>
        <v>0</v>
      </c>
      <c r="H76" s="19">
        <f t="shared" si="25"/>
        <v>0</v>
      </c>
      <c r="I76" s="19">
        <f t="shared" si="25"/>
        <v>0</v>
      </c>
      <c r="J76" s="19">
        <f t="shared" si="25"/>
        <v>0</v>
      </c>
      <c r="K76" s="19">
        <f t="shared" si="25"/>
        <v>0</v>
      </c>
      <c r="L76" s="19">
        <f>SUM(L67:L75)</f>
        <v>0</v>
      </c>
      <c r="M76" s="19">
        <f t="shared" si="25"/>
        <v>0</v>
      </c>
      <c r="N76" s="19">
        <f t="shared" si="25"/>
        <v>0</v>
      </c>
      <c r="O76" s="19">
        <f t="shared" si="25"/>
        <v>0</v>
      </c>
      <c r="P76" s="19">
        <f t="shared" si="25"/>
        <v>0</v>
      </c>
      <c r="Q76" s="19">
        <f>SUM(Q67:Q75)</f>
        <v>0</v>
      </c>
      <c r="R76" s="19">
        <f t="shared" si="25"/>
        <v>0</v>
      </c>
      <c r="S76" s="19">
        <f t="shared" si="25"/>
        <v>0</v>
      </c>
      <c r="T76" s="19">
        <f t="shared" si="25"/>
        <v>0</v>
      </c>
      <c r="U76" s="19">
        <f t="shared" si="25"/>
        <v>0</v>
      </c>
      <c r="V76" s="19">
        <f t="shared" si="25"/>
        <v>0</v>
      </c>
      <c r="W76" s="19">
        <f t="shared" si="25"/>
        <v>0</v>
      </c>
      <c r="X76" s="19">
        <f t="shared" si="25"/>
        <v>0</v>
      </c>
      <c r="Y76" s="19">
        <f t="shared" si="25"/>
        <v>0</v>
      </c>
      <c r="Z76" s="19">
        <f t="shared" si="25"/>
        <v>0</v>
      </c>
      <c r="AA76" s="19">
        <f t="shared" si="25"/>
        <v>0</v>
      </c>
      <c r="AB76" s="19">
        <f t="shared" si="25"/>
        <v>0</v>
      </c>
      <c r="AC76" s="19">
        <f t="shared" si="25"/>
        <v>0</v>
      </c>
      <c r="AD76" s="34"/>
      <c r="AE76" s="34"/>
      <c r="AF76" s="11"/>
      <c r="AG76" s="11"/>
      <c r="AH76" s="11"/>
    </row>
    <row r="77" spans="1:124">
      <c r="A77" s="12" t="s">
        <v>69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 t="s">
        <v>21</v>
      </c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20.799999999999997</v>
      </c>
    </row>
    <row r="78" spans="1:124">
      <c r="A78" s="14" t="s">
        <v>70</v>
      </c>
      <c r="B78" s="20"/>
      <c r="C78" s="15">
        <v>1</v>
      </c>
      <c r="D78" s="15"/>
      <c r="E78" s="15"/>
      <c r="F78" s="372">
        <v>0</v>
      </c>
      <c r="G78" s="372">
        <v>0</v>
      </c>
      <c r="H78" s="372">
        <v>0</v>
      </c>
      <c r="I78" s="372">
        <v>0</v>
      </c>
      <c r="J78" s="372">
        <v>0</v>
      </c>
      <c r="K78" s="372">
        <v>0</v>
      </c>
      <c r="L78" s="372">
        <v>0</v>
      </c>
      <c r="M78" s="374">
        <v>0.75</v>
      </c>
      <c r="N78" s="372">
        <v>0.79</v>
      </c>
      <c r="O78" s="372">
        <v>0.81</v>
      </c>
      <c r="P78" s="372">
        <v>0.84</v>
      </c>
      <c r="Q78" s="372">
        <v>0.88</v>
      </c>
      <c r="R78" s="372">
        <v>0.9</v>
      </c>
      <c r="S78" s="372">
        <v>0.9</v>
      </c>
      <c r="T78" s="372">
        <v>0.94</v>
      </c>
      <c r="U78" s="372">
        <v>0.94</v>
      </c>
      <c r="V78" s="372">
        <v>0.94</v>
      </c>
      <c r="W78" s="372">
        <v>0.9</v>
      </c>
      <c r="X78" s="372">
        <v>0.88</v>
      </c>
      <c r="Y78" s="372">
        <v>0</v>
      </c>
      <c r="Z78" s="372">
        <v>0</v>
      </c>
      <c r="AA78" s="372">
        <v>0</v>
      </c>
      <c r="AB78" s="372">
        <v>0</v>
      </c>
      <c r="AC78" s="372">
        <v>0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24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71</v>
      </c>
      <c r="B79" s="20"/>
      <c r="C79" s="15">
        <v>1</v>
      </c>
      <c r="D79" s="15"/>
      <c r="E79" s="15"/>
      <c r="F79" s="372">
        <v>0.84</v>
      </c>
      <c r="G79" s="372">
        <v>0.8</v>
      </c>
      <c r="H79" s="372">
        <v>0.78</v>
      </c>
      <c r="I79" s="372">
        <v>0.75</v>
      </c>
      <c r="J79" s="374">
        <v>0.73</v>
      </c>
      <c r="K79" s="374">
        <v>0.75</v>
      </c>
      <c r="L79" s="374">
        <v>0.78</v>
      </c>
      <c r="M79" s="374"/>
      <c r="N79" s="372"/>
      <c r="O79" s="372"/>
      <c r="P79" s="372"/>
      <c r="Q79" s="372"/>
      <c r="R79" s="372"/>
      <c r="S79" s="372"/>
      <c r="T79" s="372"/>
      <c r="U79" s="372"/>
      <c r="V79" s="372"/>
      <c r="W79" s="372"/>
      <c r="X79" s="372"/>
      <c r="Y79" s="372">
        <v>1.04</v>
      </c>
      <c r="Z79" s="372">
        <v>1.02</v>
      </c>
      <c r="AA79" s="372">
        <v>0.99</v>
      </c>
      <c r="AB79" s="372">
        <v>0.95</v>
      </c>
      <c r="AC79" s="372">
        <v>0.9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" si="26">SUM(F78:F79)</f>
        <v>0.84</v>
      </c>
      <c r="G80" s="19">
        <f t="shared" ref="G80" si="27">SUM(G78:G79)</f>
        <v>0.8</v>
      </c>
      <c r="H80" s="19">
        <f>SUM(H78:H79)</f>
        <v>0.78</v>
      </c>
      <c r="I80" s="19">
        <f>SUM(I78:I79)</f>
        <v>0.75</v>
      </c>
      <c r="J80" s="19">
        <f t="shared" ref="J80:AC80" si="28">SUM(J78:J79)</f>
        <v>0.73</v>
      </c>
      <c r="K80" s="19">
        <f t="shared" si="28"/>
        <v>0.75</v>
      </c>
      <c r="L80" s="19">
        <f>SUM(L78:L79)</f>
        <v>0.78</v>
      </c>
      <c r="M80" s="19">
        <f t="shared" si="28"/>
        <v>0.75</v>
      </c>
      <c r="N80" s="19">
        <f t="shared" si="28"/>
        <v>0.79</v>
      </c>
      <c r="O80" s="19">
        <f>SUM(O78:O79)</f>
        <v>0.81</v>
      </c>
      <c r="P80" s="19">
        <f t="shared" si="28"/>
        <v>0.84</v>
      </c>
      <c r="Q80" s="19">
        <f t="shared" si="28"/>
        <v>0.88</v>
      </c>
      <c r="R80" s="19">
        <f t="shared" si="28"/>
        <v>0.9</v>
      </c>
      <c r="S80" s="19">
        <f t="shared" si="28"/>
        <v>0.9</v>
      </c>
      <c r="T80" s="19">
        <f t="shared" si="28"/>
        <v>0.94</v>
      </c>
      <c r="U80" s="19">
        <f t="shared" si="28"/>
        <v>0.94</v>
      </c>
      <c r="V80" s="19">
        <f t="shared" si="28"/>
        <v>0.94</v>
      </c>
      <c r="W80" s="19">
        <f t="shared" si="28"/>
        <v>0.9</v>
      </c>
      <c r="X80" s="19">
        <f t="shared" si="28"/>
        <v>0.88</v>
      </c>
      <c r="Y80" s="19">
        <f t="shared" si="28"/>
        <v>1.04</v>
      </c>
      <c r="Z80" s="19">
        <f t="shared" si="28"/>
        <v>1.02</v>
      </c>
      <c r="AA80" s="19">
        <f t="shared" si="28"/>
        <v>0.99</v>
      </c>
      <c r="AB80" s="19">
        <f t="shared" si="28"/>
        <v>0.95</v>
      </c>
      <c r="AC80" s="19">
        <f t="shared" si="28"/>
        <v>0.9</v>
      </c>
      <c r="AD80" s="34"/>
      <c r="AE80" s="34"/>
      <c r="AF80" s="11"/>
      <c r="AG80" s="11"/>
      <c r="AH80" s="11"/>
    </row>
    <row r="81" spans="1:40" ht="17.45" hidden="1">
      <c r="A81" s="366" t="s">
        <v>72</v>
      </c>
      <c r="B81" s="365"/>
      <c r="C81" s="367">
        <v>2</v>
      </c>
      <c r="D81" s="363"/>
      <c r="E81" s="363"/>
      <c r="F81" s="364"/>
      <c r="G81" s="364"/>
      <c r="H81" s="364"/>
      <c r="I81" s="364"/>
      <c r="J81" s="364"/>
      <c r="K81" s="364"/>
      <c r="L81" s="364"/>
      <c r="M81" s="364"/>
      <c r="N81" s="364"/>
      <c r="O81" s="364"/>
      <c r="P81" s="364"/>
      <c r="Q81" s="364"/>
      <c r="R81" s="364"/>
      <c r="S81" s="364"/>
      <c r="T81" s="364"/>
      <c r="U81" s="364"/>
      <c r="V81" s="364"/>
      <c r="W81" s="364"/>
      <c r="X81" s="364"/>
      <c r="Y81" s="364"/>
      <c r="Z81" s="364"/>
      <c r="AA81" s="364"/>
      <c r="AB81" s="364"/>
      <c r="AC81" s="364"/>
    </row>
    <row r="82" spans="1:40" ht="17.45" hidden="1">
      <c r="A82" s="368"/>
      <c r="B82" s="369"/>
      <c r="C82" s="370"/>
      <c r="D82" s="371"/>
      <c r="E82" s="371"/>
      <c r="F82" s="372"/>
      <c r="G82" s="372"/>
      <c r="H82" s="372"/>
      <c r="I82" s="372"/>
      <c r="J82" s="372"/>
      <c r="K82" s="374"/>
      <c r="L82" s="374"/>
      <c r="M82" s="374"/>
      <c r="N82" s="372"/>
      <c r="O82" s="372"/>
      <c r="P82" s="372"/>
      <c r="Q82" s="372"/>
      <c r="R82" s="372"/>
      <c r="S82" s="372"/>
      <c r="T82" s="372"/>
      <c r="U82" s="372"/>
      <c r="V82" s="372"/>
      <c r="W82" s="372"/>
      <c r="X82" s="372"/>
      <c r="Y82" s="372"/>
      <c r="Z82" s="372"/>
      <c r="AA82" s="372"/>
      <c r="AB82" s="372"/>
      <c r="AC82" s="372"/>
    </row>
    <row r="83" spans="1:40">
      <c r="A83" s="21" t="s">
        <v>73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" si="29">SUM(F17,F22,F25,F31,F34,F60,F65,F76,F80,F82)</f>
        <v>41.94</v>
      </c>
      <c r="G83" s="28">
        <f t="shared" ref="G83:AC83" si="30">SUM(G17,G22,G25,G31,G34,G60,G65,G76,G80,G82)</f>
        <v>39.419999999999995</v>
      </c>
      <c r="H83" s="28">
        <f t="shared" si="30"/>
        <v>38.89</v>
      </c>
      <c r="I83" s="28">
        <f t="shared" si="30"/>
        <v>36.949999999999996</v>
      </c>
      <c r="J83" s="28">
        <f t="shared" si="30"/>
        <v>35.389999999999993</v>
      </c>
      <c r="K83" s="28">
        <f t="shared" si="30"/>
        <v>36.879999999999995</v>
      </c>
      <c r="L83" s="28">
        <f t="shared" si="30"/>
        <v>40.369999999999997</v>
      </c>
      <c r="M83" s="28">
        <f t="shared" si="30"/>
        <v>40.680000000000007</v>
      </c>
      <c r="N83" s="28">
        <f>SUM(N17,N22,N25,N31,N34,N60,N65,N76,N80,N82)</f>
        <v>47.61999999999999</v>
      </c>
      <c r="O83" s="28">
        <f>SUM(O17,O22,O25,O31,O34,O60,O65,O76,O80,O82)</f>
        <v>56.860000000000007</v>
      </c>
      <c r="P83" s="28">
        <f t="shared" si="30"/>
        <v>61.379999999999988</v>
      </c>
      <c r="Q83" s="28">
        <f t="shared" si="30"/>
        <v>61.9</v>
      </c>
      <c r="R83" s="28">
        <f t="shared" si="30"/>
        <v>63.429999999999993</v>
      </c>
      <c r="S83" s="28">
        <f t="shared" si="30"/>
        <v>59.679999999999993</v>
      </c>
      <c r="T83" s="28">
        <f t="shared" si="30"/>
        <v>59.059999999999995</v>
      </c>
      <c r="U83" s="28">
        <f>SUM(U17,U22,U25,U31,U34,U60,U65,U76,U80,U82)</f>
        <v>63.449999999999989</v>
      </c>
      <c r="V83" s="28">
        <f t="shared" si="30"/>
        <v>60.569999999999993</v>
      </c>
      <c r="W83" s="28">
        <f t="shared" si="30"/>
        <v>57.440000000000005</v>
      </c>
      <c r="X83" s="28">
        <f t="shared" si="30"/>
        <v>55.849999999999994</v>
      </c>
      <c r="Y83" s="28">
        <f t="shared" si="30"/>
        <v>60.57</v>
      </c>
      <c r="Z83" s="28">
        <f>SUM(Z17,Z22,Z25,Z31,Z34,Z60,Z65,Z76,Z80,Z82)</f>
        <v>56.27</v>
      </c>
      <c r="AA83" s="28">
        <f t="shared" si="30"/>
        <v>53.18</v>
      </c>
      <c r="AB83" s="28">
        <f t="shared" si="30"/>
        <v>49.370000000000005</v>
      </c>
      <c r="AC83" s="28">
        <f t="shared" si="30"/>
        <v>47.1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25" t="s">
        <v>74</v>
      </c>
      <c r="B85" s="525"/>
      <c r="C85" s="525"/>
      <c r="D85" s="525"/>
      <c r="E85" s="525"/>
      <c r="F85" s="525"/>
      <c r="G85" s="525"/>
      <c r="H85" s="525"/>
      <c r="I85" s="525"/>
      <c r="J85" s="525"/>
      <c r="K85" s="525"/>
      <c r="L85" s="525"/>
      <c r="M85" s="525"/>
      <c r="N85" s="525"/>
      <c r="O85" s="525"/>
      <c r="P85" s="525"/>
      <c r="Q85" s="525"/>
      <c r="R85" s="525"/>
      <c r="S85" s="525"/>
      <c r="T85" s="525"/>
      <c r="U85" s="525"/>
      <c r="V85" s="525"/>
      <c r="W85" s="525"/>
      <c r="X85" s="525"/>
      <c r="Y85" s="525"/>
      <c r="Z85" s="525"/>
      <c r="AA85" s="525"/>
      <c r="AB85" s="525"/>
      <c r="AC85" s="525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</row>
    <row r="87" spans="1:40" ht="17.45">
      <c r="A87" s="500" t="s">
        <v>75</v>
      </c>
      <c r="B87" s="501"/>
      <c r="C87" s="502"/>
      <c r="D87" s="49"/>
      <c r="E87" s="49"/>
      <c r="F87" s="506" t="s">
        <v>76</v>
      </c>
      <c r="G87" s="506"/>
      <c r="H87" s="506"/>
      <c r="I87" s="506"/>
      <c r="J87" s="506"/>
      <c r="K87" s="506"/>
      <c r="L87" s="506"/>
      <c r="M87" s="506"/>
      <c r="N87" s="506"/>
      <c r="O87" s="506"/>
      <c r="P87" s="506"/>
      <c r="Q87" s="506"/>
      <c r="R87" s="506"/>
      <c r="S87" s="506"/>
      <c r="T87" s="506"/>
      <c r="U87" s="506"/>
      <c r="V87" s="506"/>
      <c r="W87" s="506"/>
      <c r="X87" s="506"/>
      <c r="Y87" s="506"/>
      <c r="Z87" s="506"/>
      <c r="AA87" s="506"/>
      <c r="AB87" s="506"/>
      <c r="AC87" s="506"/>
      <c r="AD87" s="5"/>
      <c r="AE87" s="5"/>
      <c r="AF87" s="5"/>
      <c r="AG87" s="5"/>
      <c r="AH87" s="5"/>
    </row>
    <row r="88" spans="1:40" ht="15.6" customHeight="1">
      <c r="A88" s="503"/>
      <c r="B88" s="504"/>
      <c r="C88" s="505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07" t="s">
        <v>27</v>
      </c>
      <c r="B89" s="508"/>
      <c r="C89" s="509"/>
      <c r="D89" s="45"/>
      <c r="E89" s="45"/>
      <c r="F89" s="64">
        <f t="shared" ref="F89:AC89" si="31">SUM(F22,F25)</f>
        <v>0</v>
      </c>
      <c r="G89" s="64">
        <f t="shared" si="31"/>
        <v>0</v>
      </c>
      <c r="H89" s="64">
        <f t="shared" si="31"/>
        <v>0</v>
      </c>
      <c r="I89" s="64">
        <f t="shared" si="31"/>
        <v>0</v>
      </c>
      <c r="J89" s="64">
        <f t="shared" si="31"/>
        <v>0</v>
      </c>
      <c r="K89" s="64">
        <f t="shared" si="31"/>
        <v>0</v>
      </c>
      <c r="L89" s="64">
        <f t="shared" si="31"/>
        <v>0</v>
      </c>
      <c r="M89" s="64">
        <f t="shared" si="31"/>
        <v>2.8</v>
      </c>
      <c r="N89" s="64">
        <f t="shared" si="31"/>
        <v>2.8</v>
      </c>
      <c r="O89" s="64">
        <f t="shared" si="31"/>
        <v>9.3999999999999986</v>
      </c>
      <c r="P89" s="64">
        <f t="shared" si="31"/>
        <v>10.399999999999999</v>
      </c>
      <c r="Q89" s="64">
        <f t="shared" si="31"/>
        <v>9</v>
      </c>
      <c r="R89" s="64">
        <f t="shared" si="31"/>
        <v>10.399999999999999</v>
      </c>
      <c r="S89" s="64">
        <f t="shared" si="31"/>
        <v>10.199999999999999</v>
      </c>
      <c r="T89" s="64">
        <f t="shared" si="31"/>
        <v>8</v>
      </c>
      <c r="U89" s="64">
        <f t="shared" si="31"/>
        <v>10.399999999999999</v>
      </c>
      <c r="V89" s="64">
        <f t="shared" si="31"/>
        <v>10.399999999999999</v>
      </c>
      <c r="W89" s="64">
        <f t="shared" si="31"/>
        <v>8</v>
      </c>
      <c r="X89" s="64">
        <f t="shared" si="31"/>
        <v>6</v>
      </c>
      <c r="Y89" s="64">
        <f t="shared" si="31"/>
        <v>7.6</v>
      </c>
      <c r="Z89" s="64">
        <f t="shared" si="31"/>
        <v>6</v>
      </c>
      <c r="AA89" s="64">
        <f t="shared" si="31"/>
        <v>6.2</v>
      </c>
      <c r="AB89" s="64">
        <f t="shared" si="31"/>
        <v>6</v>
      </c>
      <c r="AC89" s="64">
        <f t="shared" si="31"/>
        <v>3.8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521" t="s">
        <v>77</v>
      </c>
      <c r="B90" s="521"/>
      <c r="C90" s="522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>
        <v>0.20699999999999999</v>
      </c>
      <c r="P90" s="68">
        <v>0.20300000000000001</v>
      </c>
      <c r="Q90" s="68">
        <v>0.27900000000000003</v>
      </c>
      <c r="R90" s="68">
        <v>0.24299999999999999</v>
      </c>
      <c r="S90" s="68">
        <v>0.26</v>
      </c>
      <c r="T90" s="68">
        <v>0.24099999999999999</v>
      </c>
      <c r="U90" s="68">
        <v>0.22</v>
      </c>
      <c r="V90" s="68">
        <v>0.247</v>
      </c>
      <c r="W90" s="68">
        <v>0.22</v>
      </c>
      <c r="X90" s="68">
        <v>0.19400000000000001</v>
      </c>
      <c r="Y90" s="68">
        <v>0.19700000000000001</v>
      </c>
      <c r="Z90" s="68">
        <v>0.21299999999999999</v>
      </c>
      <c r="AA90" s="68">
        <v>0.20499999999999999</v>
      </c>
      <c r="AB90" s="68">
        <v>0.193</v>
      </c>
      <c r="AC90" s="68"/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07" t="s">
        <v>78</v>
      </c>
      <c r="B91" s="508"/>
      <c r="C91" s="509"/>
      <c r="D91" s="45"/>
      <c r="E91" s="45"/>
      <c r="F91" s="64">
        <f t="shared" ref="F91:AC91" si="32">F17</f>
        <v>19.799999999999997</v>
      </c>
      <c r="G91" s="64">
        <f t="shared" si="32"/>
        <v>19.899999999999999</v>
      </c>
      <c r="H91" s="64">
        <f t="shared" si="32"/>
        <v>13.3</v>
      </c>
      <c r="I91" s="64">
        <f t="shared" si="32"/>
        <v>13.4</v>
      </c>
      <c r="J91" s="64">
        <f t="shared" si="32"/>
        <v>13.5</v>
      </c>
      <c r="K91" s="64">
        <f t="shared" si="32"/>
        <v>13.399999999999999</v>
      </c>
      <c r="L91" s="64">
        <f t="shared" si="32"/>
        <v>13.2</v>
      </c>
      <c r="M91" s="64">
        <f t="shared" si="32"/>
        <v>13.399999999999999</v>
      </c>
      <c r="N91" s="64">
        <f t="shared" si="32"/>
        <v>19.899999999999999</v>
      </c>
      <c r="O91" s="64">
        <f t="shared" si="32"/>
        <v>20.100000000000001</v>
      </c>
      <c r="P91" s="64">
        <f t="shared" si="32"/>
        <v>23.599999999999998</v>
      </c>
      <c r="Q91" s="64">
        <f t="shared" si="32"/>
        <v>26.8</v>
      </c>
      <c r="R91" s="64">
        <f t="shared" si="32"/>
        <v>26.8</v>
      </c>
      <c r="S91" s="64">
        <f t="shared" si="32"/>
        <v>26.4</v>
      </c>
      <c r="T91" s="64">
        <f t="shared" si="32"/>
        <v>26.4</v>
      </c>
      <c r="U91" s="64">
        <f t="shared" si="32"/>
        <v>26.8</v>
      </c>
      <c r="V91" s="64">
        <f t="shared" si="32"/>
        <v>26.8</v>
      </c>
      <c r="W91" s="64">
        <f t="shared" si="32"/>
        <v>25.2</v>
      </c>
      <c r="X91" s="64">
        <f t="shared" si="32"/>
        <v>26.8</v>
      </c>
      <c r="Y91" s="64">
        <f t="shared" si="32"/>
        <v>26.4</v>
      </c>
      <c r="Z91" s="64">
        <f t="shared" si="32"/>
        <v>26.4</v>
      </c>
      <c r="AA91" s="64">
        <f t="shared" si="32"/>
        <v>25.7</v>
      </c>
      <c r="AB91" s="64">
        <f t="shared" si="32"/>
        <v>19.799999999999997</v>
      </c>
      <c r="AC91" s="64">
        <f t="shared" si="32"/>
        <v>20.100000000000001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21" t="s">
        <v>79</v>
      </c>
      <c r="B92" s="521"/>
      <c r="C92" s="522"/>
      <c r="D92" s="45"/>
      <c r="E92" s="45"/>
      <c r="F92" s="68">
        <v>0.67900000000000005</v>
      </c>
      <c r="G92" s="68">
        <v>0.67500000000000004</v>
      </c>
      <c r="H92" s="68">
        <v>0.82299999999999995</v>
      </c>
      <c r="I92" s="68">
        <v>0.871</v>
      </c>
      <c r="J92" s="68">
        <v>0.84599999999999997</v>
      </c>
      <c r="K92" s="68">
        <v>0.70299999999999996</v>
      </c>
      <c r="L92" s="68">
        <v>0.88500000000000001</v>
      </c>
      <c r="M92" s="68">
        <v>0.78700000000000003</v>
      </c>
      <c r="N92" s="68">
        <v>0.78700000000000003</v>
      </c>
      <c r="O92" s="68">
        <v>0.71199999999999997</v>
      </c>
      <c r="P92" s="68">
        <v>0.96299999999999997</v>
      </c>
      <c r="Q92" s="68">
        <v>0.94</v>
      </c>
      <c r="R92" s="68">
        <v>0.95199999999999996</v>
      </c>
      <c r="S92" s="68">
        <v>0.88700000000000001</v>
      </c>
      <c r="T92" s="68">
        <v>0.89500000000000002</v>
      </c>
      <c r="U92" s="68">
        <v>0.82899999999999996</v>
      </c>
      <c r="V92" s="68">
        <v>1.0169999999999999</v>
      </c>
      <c r="W92" s="68">
        <v>0.96799999999999997</v>
      </c>
      <c r="X92" s="68">
        <v>0.94799999999999995</v>
      </c>
      <c r="Y92" s="68">
        <v>0.95599999999999996</v>
      </c>
      <c r="Z92" s="68">
        <v>0.76600000000000001</v>
      </c>
      <c r="AA92" s="68">
        <v>0.80400000000000005</v>
      </c>
      <c r="AB92" s="68">
        <v>0.93100000000000005</v>
      </c>
      <c r="AC92" s="68">
        <v>0.71699999999999997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07" t="s">
        <v>29</v>
      </c>
      <c r="B93" s="508"/>
      <c r="C93" s="509"/>
      <c r="D93" s="45"/>
      <c r="E93" s="45"/>
      <c r="F93" s="65">
        <f t="shared" ref="F93:AC93" si="33">F31</f>
        <v>6</v>
      </c>
      <c r="G93" s="65">
        <f t="shared" si="33"/>
        <v>5</v>
      </c>
      <c r="H93" s="65">
        <f t="shared" si="33"/>
        <v>8.8000000000000007</v>
      </c>
      <c r="I93" s="65">
        <f t="shared" si="33"/>
        <v>7.6</v>
      </c>
      <c r="J93" s="65">
        <f t="shared" si="33"/>
        <v>6</v>
      </c>
      <c r="K93" s="65">
        <f t="shared" si="33"/>
        <v>7.6</v>
      </c>
      <c r="L93" s="65">
        <f t="shared" si="33"/>
        <v>8</v>
      </c>
      <c r="M93" s="65">
        <f t="shared" si="33"/>
        <v>8.4</v>
      </c>
      <c r="N93" s="65">
        <f t="shared" si="33"/>
        <v>8.6</v>
      </c>
      <c r="O93" s="65">
        <f t="shared" si="33"/>
        <v>8</v>
      </c>
      <c r="P93" s="65">
        <f t="shared" si="33"/>
        <v>10.809999999999999</v>
      </c>
      <c r="Q93" s="65">
        <f t="shared" si="33"/>
        <v>10.5</v>
      </c>
      <c r="R93" s="65">
        <f t="shared" si="33"/>
        <v>8.1999999999999993</v>
      </c>
      <c r="S93" s="65">
        <f t="shared" si="33"/>
        <v>8</v>
      </c>
      <c r="T93" s="65">
        <f>T31</f>
        <v>8</v>
      </c>
      <c r="U93" s="65">
        <f t="shared" si="33"/>
        <v>8.1999999999999993</v>
      </c>
      <c r="V93" s="65">
        <f t="shared" si="33"/>
        <v>8.1999999999999993</v>
      </c>
      <c r="W93" s="65">
        <f t="shared" si="33"/>
        <v>7.6</v>
      </c>
      <c r="X93" s="65">
        <f t="shared" si="33"/>
        <v>7.6</v>
      </c>
      <c r="Y93" s="65">
        <f t="shared" si="33"/>
        <v>8.1999999999999993</v>
      </c>
      <c r="Z93" s="65">
        <f t="shared" si="33"/>
        <v>8</v>
      </c>
      <c r="AA93" s="65">
        <f t="shared" si="33"/>
        <v>6</v>
      </c>
      <c r="AB93" s="65">
        <f t="shared" si="33"/>
        <v>7</v>
      </c>
      <c r="AC93" s="65">
        <f t="shared" si="33"/>
        <v>6.8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21" t="s">
        <v>102</v>
      </c>
      <c r="B94" s="521"/>
      <c r="C94" s="522"/>
      <c r="D94" s="45"/>
      <c r="E94" s="45"/>
      <c r="F94" s="68">
        <v>0.26700000000000002</v>
      </c>
      <c r="G94" s="68">
        <v>0.26900000000000002</v>
      </c>
      <c r="H94" s="68">
        <v>0.27500000000000002</v>
      </c>
      <c r="I94" s="68">
        <v>0.26</v>
      </c>
      <c r="J94" s="68">
        <v>0.26300000000000001</v>
      </c>
      <c r="K94" s="68">
        <v>0.27</v>
      </c>
      <c r="L94" s="68">
        <v>0.26500000000000001</v>
      </c>
      <c r="M94" s="68">
        <v>0.26300000000000001</v>
      </c>
      <c r="N94" s="68">
        <v>0.26600000000000001</v>
      </c>
      <c r="O94" s="68">
        <v>0.28499999999999998</v>
      </c>
      <c r="P94" s="68">
        <v>0.27900000000000003</v>
      </c>
      <c r="Q94" s="68">
        <v>0.27900000000000003</v>
      </c>
      <c r="R94" s="68">
        <v>0.27900000000000003</v>
      </c>
      <c r="S94" s="68">
        <v>0.28699999999999998</v>
      </c>
      <c r="T94" s="68">
        <v>0.28799999999999998</v>
      </c>
      <c r="U94" s="68">
        <v>0.28999999999999998</v>
      </c>
      <c r="V94" s="68">
        <v>0.29899999999999999</v>
      </c>
      <c r="W94" s="68">
        <v>0.28399999999999997</v>
      </c>
      <c r="X94" s="68">
        <v>0.29699999999999999</v>
      </c>
      <c r="Y94" s="68">
        <v>0.28799999999999998</v>
      </c>
      <c r="Z94" s="68">
        <v>0.26500000000000001</v>
      </c>
      <c r="AA94" s="68">
        <v>0.27500000000000002</v>
      </c>
      <c r="AB94" s="68">
        <v>0.26600000000000001</v>
      </c>
      <c r="AC94" s="68">
        <v>0.26900000000000002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21" t="s">
        <v>104</v>
      </c>
      <c r="B95" s="521"/>
      <c r="C95" s="522"/>
      <c r="D95" s="45"/>
      <c r="E95" s="45"/>
      <c r="F95" s="68" t="s">
        <v>1</v>
      </c>
      <c r="G95" s="68" t="s">
        <v>1</v>
      </c>
      <c r="H95" s="68" t="s">
        <v>1</v>
      </c>
      <c r="I95" s="68" t="s">
        <v>1</v>
      </c>
      <c r="J95" s="68" t="s">
        <v>1</v>
      </c>
      <c r="K95" s="68" t="s">
        <v>1</v>
      </c>
      <c r="L95" s="68" t="s">
        <v>1</v>
      </c>
      <c r="M95" s="68" t="s">
        <v>1</v>
      </c>
      <c r="N95" s="68" t="s">
        <v>1</v>
      </c>
      <c r="O95" s="68" t="s">
        <v>1</v>
      </c>
      <c r="P95" s="68">
        <v>0.21340000000000001</v>
      </c>
      <c r="Q95" s="68">
        <v>0.20150000000000001</v>
      </c>
      <c r="R95" s="68" t="s">
        <v>1</v>
      </c>
      <c r="S95" s="68" t="s">
        <v>1</v>
      </c>
      <c r="T95" s="68" t="s">
        <v>1</v>
      </c>
      <c r="U95" s="68"/>
      <c r="V95" s="68"/>
      <c r="W95" s="68"/>
      <c r="X95" s="68"/>
      <c r="Y95" s="68"/>
      <c r="Z95" s="68"/>
      <c r="AA95" s="68"/>
      <c r="AB95" s="68"/>
      <c r="AC95" s="68"/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07" t="s">
        <v>32</v>
      </c>
      <c r="B96" s="508"/>
      <c r="C96" s="509"/>
      <c r="D96" s="45"/>
      <c r="E96" s="45"/>
      <c r="F96" s="65">
        <f t="shared" ref="F96:AC96" si="34">F34</f>
        <v>14.26</v>
      </c>
      <c r="G96" s="65">
        <f t="shared" si="34"/>
        <v>12.74</v>
      </c>
      <c r="H96" s="65">
        <f t="shared" si="34"/>
        <v>14.28</v>
      </c>
      <c r="I96" s="65">
        <f t="shared" si="34"/>
        <v>14.3</v>
      </c>
      <c r="J96" s="65">
        <f t="shared" si="34"/>
        <v>14.3</v>
      </c>
      <c r="K96" s="65">
        <f t="shared" si="34"/>
        <v>14.27</v>
      </c>
      <c r="L96" s="65">
        <f t="shared" si="34"/>
        <v>14.29</v>
      </c>
      <c r="M96" s="65">
        <f t="shared" si="34"/>
        <v>14.27</v>
      </c>
      <c r="N96" s="65">
        <f t="shared" si="34"/>
        <v>14.3</v>
      </c>
      <c r="O96" s="65">
        <f t="shared" si="34"/>
        <v>14.28</v>
      </c>
      <c r="P96" s="65">
        <f t="shared" si="34"/>
        <v>14.26</v>
      </c>
      <c r="Q96" s="65">
        <f t="shared" si="34"/>
        <v>13.25</v>
      </c>
      <c r="R96" s="65">
        <f t="shared" si="34"/>
        <v>14.24</v>
      </c>
      <c r="S96" s="65">
        <f t="shared" si="34"/>
        <v>12.7</v>
      </c>
      <c r="T96" s="65">
        <f t="shared" si="34"/>
        <v>14.22</v>
      </c>
      <c r="U96" s="65">
        <f t="shared" si="34"/>
        <v>14.21</v>
      </c>
      <c r="V96" s="65">
        <f t="shared" si="34"/>
        <v>14.23</v>
      </c>
      <c r="W96" s="65">
        <f t="shared" si="34"/>
        <v>14.24</v>
      </c>
      <c r="X96" s="65">
        <f t="shared" si="34"/>
        <v>13.2</v>
      </c>
      <c r="Y96" s="65">
        <f t="shared" si="34"/>
        <v>14.26</v>
      </c>
      <c r="Z96" s="65">
        <f t="shared" si="34"/>
        <v>13.29</v>
      </c>
      <c r="AA96" s="65">
        <f t="shared" si="34"/>
        <v>12.76</v>
      </c>
      <c r="AB96" s="65">
        <f t="shared" si="34"/>
        <v>14.24</v>
      </c>
      <c r="AC96" s="65">
        <f t="shared" si="34"/>
        <v>14.26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21" t="s">
        <v>81</v>
      </c>
      <c r="B97" s="521"/>
      <c r="C97" s="522"/>
      <c r="D97" s="68"/>
      <c r="E97" s="68"/>
      <c r="F97" s="68">
        <v>0.74</v>
      </c>
      <c r="G97" s="68">
        <v>0.76</v>
      </c>
      <c r="H97" s="68">
        <v>0.72</v>
      </c>
      <c r="I97" s="68">
        <v>0.7</v>
      </c>
      <c r="J97" s="68">
        <v>0.7</v>
      </c>
      <c r="K97" s="68">
        <v>0.73</v>
      </c>
      <c r="L97" s="68">
        <v>0.71</v>
      </c>
      <c r="M97" s="68">
        <v>0.73</v>
      </c>
      <c r="N97" s="68">
        <v>0.7</v>
      </c>
      <c r="O97" s="68">
        <v>0.72</v>
      </c>
      <c r="P97" s="68">
        <v>0.74</v>
      </c>
      <c r="Q97" s="68">
        <v>0.75</v>
      </c>
      <c r="R97" s="68">
        <v>0.76</v>
      </c>
      <c r="S97" s="68">
        <v>0.8</v>
      </c>
      <c r="T97" s="68">
        <v>0.78</v>
      </c>
      <c r="U97" s="68">
        <v>0.79</v>
      </c>
      <c r="V97" s="68">
        <v>0.77</v>
      </c>
      <c r="W97" s="68">
        <v>0.76</v>
      </c>
      <c r="X97" s="68">
        <v>0.8</v>
      </c>
      <c r="Y97" s="68">
        <v>0.74</v>
      </c>
      <c r="Z97" s="68">
        <v>0.71</v>
      </c>
      <c r="AA97" s="68">
        <v>0.74</v>
      </c>
      <c r="AB97" s="68">
        <v>0.76</v>
      </c>
      <c r="AC97" s="68">
        <v>0.74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07" t="s">
        <v>33</v>
      </c>
      <c r="B98" s="508"/>
      <c r="C98" s="509"/>
      <c r="D98" s="45"/>
      <c r="E98" s="45"/>
      <c r="F98" s="64">
        <f t="shared" ref="F98:AC98" si="35">F60</f>
        <v>0</v>
      </c>
      <c r="G98" s="64">
        <f t="shared" si="35"/>
        <v>0</v>
      </c>
      <c r="H98" s="64">
        <f t="shared" si="35"/>
        <v>0.8</v>
      </c>
      <c r="I98" s="64">
        <f t="shared" si="35"/>
        <v>0</v>
      </c>
      <c r="J98" s="64">
        <f t="shared" si="35"/>
        <v>0</v>
      </c>
      <c r="K98" s="64">
        <f t="shared" si="35"/>
        <v>0</v>
      </c>
      <c r="L98" s="64">
        <f t="shared" si="35"/>
        <v>3.1</v>
      </c>
      <c r="M98" s="64">
        <f t="shared" si="35"/>
        <v>0</v>
      </c>
      <c r="N98" s="64">
        <f t="shared" si="35"/>
        <v>0</v>
      </c>
      <c r="O98" s="64">
        <f t="shared" si="35"/>
        <v>3</v>
      </c>
      <c r="P98" s="64">
        <f t="shared" si="35"/>
        <v>0</v>
      </c>
      <c r="Q98" s="64">
        <f t="shared" si="35"/>
        <v>0</v>
      </c>
      <c r="R98" s="64">
        <f t="shared" si="35"/>
        <v>1.4</v>
      </c>
      <c r="S98" s="64">
        <f t="shared" si="35"/>
        <v>0</v>
      </c>
      <c r="T98" s="64">
        <f t="shared" si="35"/>
        <v>0</v>
      </c>
      <c r="U98" s="64">
        <f t="shared" si="35"/>
        <v>1.4</v>
      </c>
      <c r="V98" s="64">
        <f t="shared" si="35"/>
        <v>0</v>
      </c>
      <c r="W98" s="64">
        <f t="shared" si="35"/>
        <v>0</v>
      </c>
      <c r="X98" s="64">
        <f t="shared" si="35"/>
        <v>0</v>
      </c>
      <c r="Y98" s="64">
        <f t="shared" si="35"/>
        <v>1.4</v>
      </c>
      <c r="Z98" s="64">
        <f t="shared" si="35"/>
        <v>0</v>
      </c>
      <c r="AA98" s="64">
        <f t="shared" si="35"/>
        <v>0</v>
      </c>
      <c r="AB98" s="64">
        <f t="shared" si="35"/>
        <v>0</v>
      </c>
      <c r="AC98" s="64">
        <f t="shared" si="35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07" t="s">
        <v>55</v>
      </c>
      <c r="B99" s="508"/>
      <c r="C99" s="509"/>
      <c r="D99" s="45"/>
      <c r="E99" s="45"/>
      <c r="F99" s="64">
        <f t="shared" ref="F99:AC99" si="36">F65</f>
        <v>1.04</v>
      </c>
      <c r="G99" s="64">
        <f t="shared" si="36"/>
        <v>0.98</v>
      </c>
      <c r="H99" s="64">
        <f t="shared" si="36"/>
        <v>0.93</v>
      </c>
      <c r="I99" s="64">
        <f t="shared" si="36"/>
        <v>0.9</v>
      </c>
      <c r="J99" s="64">
        <f t="shared" si="36"/>
        <v>0.86</v>
      </c>
      <c r="K99" s="64">
        <f t="shared" si="36"/>
        <v>0.86</v>
      </c>
      <c r="L99" s="64">
        <f t="shared" si="36"/>
        <v>1</v>
      </c>
      <c r="M99" s="64">
        <f t="shared" si="36"/>
        <v>1.06</v>
      </c>
      <c r="N99" s="64">
        <f t="shared" si="36"/>
        <v>1.23</v>
      </c>
      <c r="O99" s="64">
        <f t="shared" si="36"/>
        <v>1.27</v>
      </c>
      <c r="P99" s="64">
        <f t="shared" si="36"/>
        <v>1.47</v>
      </c>
      <c r="Q99" s="64">
        <f t="shared" si="36"/>
        <v>1.47</v>
      </c>
      <c r="R99" s="64">
        <f t="shared" si="36"/>
        <v>1.49</v>
      </c>
      <c r="S99" s="64">
        <f t="shared" si="36"/>
        <v>1.48</v>
      </c>
      <c r="T99" s="64">
        <f t="shared" si="36"/>
        <v>1.5</v>
      </c>
      <c r="U99" s="64">
        <f t="shared" si="36"/>
        <v>1.5</v>
      </c>
      <c r="V99" s="64">
        <f t="shared" si="36"/>
        <v>0</v>
      </c>
      <c r="W99" s="64">
        <f t="shared" si="36"/>
        <v>1.5</v>
      </c>
      <c r="X99" s="64">
        <f t="shared" si="36"/>
        <v>1.37</v>
      </c>
      <c r="Y99" s="64">
        <f t="shared" si="36"/>
        <v>1.67</v>
      </c>
      <c r="Z99" s="64">
        <f t="shared" si="36"/>
        <v>1.56</v>
      </c>
      <c r="AA99" s="64">
        <f t="shared" si="36"/>
        <v>1.53</v>
      </c>
      <c r="AB99" s="64">
        <f t="shared" si="36"/>
        <v>1.38</v>
      </c>
      <c r="AC99" s="64">
        <f t="shared" si="36"/>
        <v>1.24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07" t="s">
        <v>59</v>
      </c>
      <c r="B100" s="508"/>
      <c r="C100" s="509"/>
      <c r="D100" s="45"/>
      <c r="E100" s="45"/>
      <c r="F100" s="64">
        <f t="shared" ref="F100:AC100" si="37">F76</f>
        <v>0</v>
      </c>
      <c r="G100" s="64">
        <f t="shared" si="37"/>
        <v>0</v>
      </c>
      <c r="H100" s="64">
        <f t="shared" si="37"/>
        <v>0</v>
      </c>
      <c r="I100" s="64">
        <f t="shared" si="37"/>
        <v>0</v>
      </c>
      <c r="J100" s="64">
        <f t="shared" si="37"/>
        <v>0</v>
      </c>
      <c r="K100" s="64">
        <f t="shared" si="37"/>
        <v>0</v>
      </c>
      <c r="L100" s="64">
        <f t="shared" si="37"/>
        <v>0</v>
      </c>
      <c r="M100" s="64">
        <f t="shared" si="37"/>
        <v>0</v>
      </c>
      <c r="N100" s="64">
        <f t="shared" si="37"/>
        <v>0</v>
      </c>
      <c r="O100" s="64">
        <f t="shared" si="37"/>
        <v>0</v>
      </c>
      <c r="P100" s="64">
        <f t="shared" si="37"/>
        <v>0</v>
      </c>
      <c r="Q100" s="64">
        <f t="shared" si="37"/>
        <v>0</v>
      </c>
      <c r="R100" s="64">
        <f t="shared" si="37"/>
        <v>0</v>
      </c>
      <c r="S100" s="64">
        <f t="shared" si="37"/>
        <v>0</v>
      </c>
      <c r="T100" s="64">
        <f t="shared" si="37"/>
        <v>0</v>
      </c>
      <c r="U100" s="64">
        <f t="shared" si="37"/>
        <v>0</v>
      </c>
      <c r="V100" s="64">
        <f t="shared" si="37"/>
        <v>0</v>
      </c>
      <c r="W100" s="64">
        <f t="shared" si="37"/>
        <v>0</v>
      </c>
      <c r="X100" s="64">
        <f t="shared" si="37"/>
        <v>0</v>
      </c>
      <c r="Y100" s="64">
        <f t="shared" si="37"/>
        <v>0</v>
      </c>
      <c r="Z100" s="64">
        <f t="shared" si="37"/>
        <v>0</v>
      </c>
      <c r="AA100" s="64">
        <f t="shared" si="37"/>
        <v>0</v>
      </c>
      <c r="AB100" s="64">
        <f t="shared" si="37"/>
        <v>0</v>
      </c>
      <c r="AC100" s="64">
        <f t="shared" si="37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07" t="s">
        <v>69</v>
      </c>
      <c r="B101" s="508"/>
      <c r="C101" s="509"/>
      <c r="D101" s="45"/>
      <c r="E101" s="45"/>
      <c r="F101" s="64">
        <f t="shared" ref="F101:AC101" si="38">F80</f>
        <v>0.84</v>
      </c>
      <c r="G101" s="64">
        <f t="shared" si="38"/>
        <v>0.8</v>
      </c>
      <c r="H101" s="64">
        <f t="shared" si="38"/>
        <v>0.78</v>
      </c>
      <c r="I101" s="64">
        <f t="shared" si="38"/>
        <v>0.75</v>
      </c>
      <c r="J101" s="64">
        <f t="shared" si="38"/>
        <v>0.73</v>
      </c>
      <c r="K101" s="64">
        <f t="shared" si="38"/>
        <v>0.75</v>
      </c>
      <c r="L101" s="64">
        <f t="shared" si="38"/>
        <v>0.78</v>
      </c>
      <c r="M101" s="64">
        <f t="shared" si="38"/>
        <v>0.75</v>
      </c>
      <c r="N101" s="64">
        <f t="shared" si="38"/>
        <v>0.79</v>
      </c>
      <c r="O101" s="64">
        <f t="shared" si="38"/>
        <v>0.81</v>
      </c>
      <c r="P101" s="64">
        <f t="shared" si="38"/>
        <v>0.84</v>
      </c>
      <c r="Q101" s="64">
        <f t="shared" si="38"/>
        <v>0.88</v>
      </c>
      <c r="R101" s="64">
        <f t="shared" si="38"/>
        <v>0.9</v>
      </c>
      <c r="S101" s="64">
        <f t="shared" si="38"/>
        <v>0.9</v>
      </c>
      <c r="T101" s="64">
        <f t="shared" si="38"/>
        <v>0.94</v>
      </c>
      <c r="U101" s="64">
        <f t="shared" si="38"/>
        <v>0.94</v>
      </c>
      <c r="V101" s="64">
        <f t="shared" si="38"/>
        <v>0.94</v>
      </c>
      <c r="W101" s="64">
        <f t="shared" si="38"/>
        <v>0.9</v>
      </c>
      <c r="X101" s="64">
        <f t="shared" si="38"/>
        <v>0.88</v>
      </c>
      <c r="Y101" s="64">
        <f t="shared" si="38"/>
        <v>1.04</v>
      </c>
      <c r="Z101" s="64">
        <f t="shared" si="38"/>
        <v>1.02</v>
      </c>
      <c r="AA101" s="64">
        <f t="shared" si="38"/>
        <v>0.99</v>
      </c>
      <c r="AB101" s="64">
        <f t="shared" si="38"/>
        <v>0.95</v>
      </c>
      <c r="AC101" s="64">
        <f t="shared" si="38"/>
        <v>0.9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07" t="s">
        <v>72</v>
      </c>
      <c r="B102" s="508"/>
      <c r="C102" s="509"/>
      <c r="D102" s="45"/>
      <c r="E102" s="45"/>
      <c r="F102" s="64">
        <f t="shared" ref="F102:AC102" si="39">F82</f>
        <v>0</v>
      </c>
      <c r="G102" s="64">
        <f t="shared" si="39"/>
        <v>0</v>
      </c>
      <c r="H102" s="64">
        <f t="shared" si="39"/>
        <v>0</v>
      </c>
      <c r="I102" s="64">
        <f t="shared" si="39"/>
        <v>0</v>
      </c>
      <c r="J102" s="64">
        <f t="shared" si="39"/>
        <v>0</v>
      </c>
      <c r="K102" s="64">
        <f t="shared" si="39"/>
        <v>0</v>
      </c>
      <c r="L102" s="64">
        <f t="shared" si="39"/>
        <v>0</v>
      </c>
      <c r="M102" s="64">
        <f t="shared" si="39"/>
        <v>0</v>
      </c>
      <c r="N102" s="64">
        <f t="shared" si="39"/>
        <v>0</v>
      </c>
      <c r="O102" s="64">
        <f t="shared" si="39"/>
        <v>0</v>
      </c>
      <c r="P102" s="64">
        <f t="shared" si="39"/>
        <v>0</v>
      </c>
      <c r="Q102" s="64">
        <f t="shared" si="39"/>
        <v>0</v>
      </c>
      <c r="R102" s="64">
        <f t="shared" si="39"/>
        <v>0</v>
      </c>
      <c r="S102" s="64">
        <f t="shared" si="39"/>
        <v>0</v>
      </c>
      <c r="T102" s="64">
        <f t="shared" si="39"/>
        <v>0</v>
      </c>
      <c r="U102" s="64">
        <f t="shared" si="39"/>
        <v>0</v>
      </c>
      <c r="V102" s="64">
        <f t="shared" si="39"/>
        <v>0</v>
      </c>
      <c r="W102" s="64">
        <f t="shared" si="39"/>
        <v>0</v>
      </c>
      <c r="X102" s="64">
        <f t="shared" si="39"/>
        <v>0</v>
      </c>
      <c r="Y102" s="64">
        <f t="shared" si="39"/>
        <v>0</v>
      </c>
      <c r="Z102" s="64">
        <f t="shared" si="39"/>
        <v>0</v>
      </c>
      <c r="AA102" s="64">
        <f t="shared" si="39"/>
        <v>0</v>
      </c>
      <c r="AB102" s="64">
        <f t="shared" si="39"/>
        <v>0</v>
      </c>
      <c r="AC102" s="64">
        <f t="shared" si="39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11" t="s">
        <v>82</v>
      </c>
      <c r="B103" s="511"/>
      <c r="C103" s="511"/>
      <c r="D103" s="47"/>
      <c r="E103" s="47"/>
      <c r="F103" s="61">
        <f t="shared" ref="F103:AC103" si="40">SUM(F89,F91,F93,F96,F98:F102,F81)</f>
        <v>41.94</v>
      </c>
      <c r="G103" s="61">
        <f t="shared" si="40"/>
        <v>39.419999999999995</v>
      </c>
      <c r="H103" s="61">
        <f t="shared" si="40"/>
        <v>38.89</v>
      </c>
      <c r="I103" s="61">
        <f t="shared" si="40"/>
        <v>36.949999999999996</v>
      </c>
      <c r="J103" s="61">
        <f t="shared" si="40"/>
        <v>35.389999999999993</v>
      </c>
      <c r="K103" s="61">
        <f t="shared" si="40"/>
        <v>36.879999999999995</v>
      </c>
      <c r="L103" s="61">
        <f t="shared" si="40"/>
        <v>40.369999999999997</v>
      </c>
      <c r="M103" s="61">
        <f t="shared" si="40"/>
        <v>40.680000000000007</v>
      </c>
      <c r="N103" s="61">
        <f t="shared" si="40"/>
        <v>47.61999999999999</v>
      </c>
      <c r="O103" s="61">
        <f t="shared" si="40"/>
        <v>56.860000000000007</v>
      </c>
      <c r="P103" s="61">
        <f t="shared" si="40"/>
        <v>61.38</v>
      </c>
      <c r="Q103" s="61">
        <f t="shared" si="40"/>
        <v>61.9</v>
      </c>
      <c r="R103" s="61">
        <f t="shared" si="40"/>
        <v>63.430000000000007</v>
      </c>
      <c r="S103" s="61">
        <f>SUM(S89,S91,S93,S96,S98:S102,S81)</f>
        <v>59.679999999999993</v>
      </c>
      <c r="T103" s="61">
        <f t="shared" si="40"/>
        <v>59.059999999999995</v>
      </c>
      <c r="U103" s="61">
        <f t="shared" si="40"/>
        <v>63.45</v>
      </c>
      <c r="V103" s="61">
        <f>SUM(V89,V91,V93,V96,V98:V102,V81)</f>
        <v>60.570000000000007</v>
      </c>
      <c r="W103" s="61">
        <f t="shared" si="40"/>
        <v>57.440000000000005</v>
      </c>
      <c r="X103" s="61">
        <f t="shared" si="40"/>
        <v>55.849999999999994</v>
      </c>
      <c r="Y103" s="61">
        <f t="shared" si="40"/>
        <v>60.57</v>
      </c>
      <c r="Z103" s="61">
        <f t="shared" si="40"/>
        <v>56.27</v>
      </c>
      <c r="AA103" s="61">
        <f t="shared" si="40"/>
        <v>53.18</v>
      </c>
      <c r="AB103" s="61">
        <f t="shared" si="40"/>
        <v>49.370000000000005</v>
      </c>
      <c r="AC103" s="61">
        <f t="shared" si="40"/>
        <v>47.1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12" t="s">
        <v>83</v>
      </c>
      <c r="B104" s="512"/>
      <c r="C104" s="512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12" t="s">
        <v>84</v>
      </c>
      <c r="B105" s="512"/>
      <c r="C105" s="512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12" t="s">
        <v>85</v>
      </c>
      <c r="B106" s="512"/>
      <c r="C106" s="512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>
        <v>4.66</v>
      </c>
      <c r="T106" s="76">
        <v>4.66</v>
      </c>
      <c r="U106" s="493">
        <v>1.42</v>
      </c>
      <c r="V106" s="493">
        <f>1.42+1.5</f>
        <v>2.92</v>
      </c>
      <c r="W106" s="493">
        <v>1.42</v>
      </c>
      <c r="X106" s="76">
        <v>0.45</v>
      </c>
      <c r="Y106" s="76">
        <v>0.45</v>
      </c>
      <c r="Z106" s="76">
        <v>0.45</v>
      </c>
      <c r="AA106" s="76">
        <v>0.45</v>
      </c>
      <c r="AB106" s="76">
        <v>0.45</v>
      </c>
      <c r="AC106" s="76">
        <v>0.45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11" t="s">
        <v>86</v>
      </c>
      <c r="B107" s="511"/>
      <c r="C107" s="511"/>
      <c r="D107" s="47"/>
      <c r="E107" s="47"/>
      <c r="F107" s="61">
        <f t="shared" ref="F107:AC107" si="41">SUM(F104:F106)</f>
        <v>0</v>
      </c>
      <c r="G107" s="61">
        <f t="shared" si="41"/>
        <v>0</v>
      </c>
      <c r="H107" s="61">
        <f t="shared" si="41"/>
        <v>0</v>
      </c>
      <c r="I107" s="61">
        <f t="shared" si="41"/>
        <v>0</v>
      </c>
      <c r="J107" s="61">
        <f t="shared" si="41"/>
        <v>0</v>
      </c>
      <c r="K107" s="61">
        <f t="shared" si="41"/>
        <v>0</v>
      </c>
      <c r="L107" s="61">
        <f t="shared" si="41"/>
        <v>0</v>
      </c>
      <c r="M107" s="61">
        <f t="shared" si="41"/>
        <v>0</v>
      </c>
      <c r="N107" s="61">
        <f t="shared" si="41"/>
        <v>0</v>
      </c>
      <c r="O107" s="61">
        <f t="shared" si="41"/>
        <v>0</v>
      </c>
      <c r="P107" s="61">
        <f t="shared" si="41"/>
        <v>0</v>
      </c>
      <c r="Q107" s="61">
        <f t="shared" si="41"/>
        <v>0</v>
      </c>
      <c r="R107" s="61">
        <f t="shared" si="41"/>
        <v>0</v>
      </c>
      <c r="S107" s="61">
        <f t="shared" si="41"/>
        <v>4.66</v>
      </c>
      <c r="T107" s="61">
        <f t="shared" si="41"/>
        <v>4.66</v>
      </c>
      <c r="U107" s="61">
        <f t="shared" si="41"/>
        <v>1.42</v>
      </c>
      <c r="V107" s="61">
        <f t="shared" si="41"/>
        <v>2.92</v>
      </c>
      <c r="W107" s="61">
        <f t="shared" si="41"/>
        <v>1.42</v>
      </c>
      <c r="X107" s="61">
        <f t="shared" si="41"/>
        <v>0.45</v>
      </c>
      <c r="Y107" s="61">
        <f t="shared" si="41"/>
        <v>0.45</v>
      </c>
      <c r="Z107" s="61">
        <f t="shared" si="41"/>
        <v>0.45</v>
      </c>
      <c r="AA107" s="61">
        <f t="shared" si="41"/>
        <v>0.45</v>
      </c>
      <c r="AB107" s="61">
        <f t="shared" si="41"/>
        <v>0.45</v>
      </c>
      <c r="AC107" s="61">
        <f t="shared" si="41"/>
        <v>0.45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13" t="s">
        <v>87</v>
      </c>
      <c r="B108" s="513"/>
      <c r="C108" s="513"/>
      <c r="D108" s="48"/>
      <c r="E108" s="48"/>
      <c r="F108" s="62">
        <f t="shared" ref="F108:AC108" si="42">F103+F107</f>
        <v>41.94</v>
      </c>
      <c r="G108" s="62">
        <f t="shared" si="42"/>
        <v>39.419999999999995</v>
      </c>
      <c r="H108" s="62">
        <f t="shared" si="42"/>
        <v>38.89</v>
      </c>
      <c r="I108" s="62">
        <f t="shared" si="42"/>
        <v>36.949999999999996</v>
      </c>
      <c r="J108" s="62">
        <f t="shared" si="42"/>
        <v>35.389999999999993</v>
      </c>
      <c r="K108" s="62">
        <f t="shared" si="42"/>
        <v>36.879999999999995</v>
      </c>
      <c r="L108" s="62">
        <f t="shared" si="42"/>
        <v>40.369999999999997</v>
      </c>
      <c r="M108" s="62">
        <f t="shared" si="42"/>
        <v>40.680000000000007</v>
      </c>
      <c r="N108" s="62">
        <f t="shared" si="42"/>
        <v>47.61999999999999</v>
      </c>
      <c r="O108" s="62">
        <f t="shared" si="42"/>
        <v>56.860000000000007</v>
      </c>
      <c r="P108" s="62">
        <f t="shared" si="42"/>
        <v>61.38</v>
      </c>
      <c r="Q108" s="62">
        <f t="shared" si="42"/>
        <v>61.9</v>
      </c>
      <c r="R108" s="62">
        <f t="shared" si="42"/>
        <v>63.430000000000007</v>
      </c>
      <c r="S108" s="62">
        <f>S103+S107</f>
        <v>64.339999999999989</v>
      </c>
      <c r="T108" s="62">
        <f>T103+T107</f>
        <v>63.72</v>
      </c>
      <c r="U108" s="62">
        <f t="shared" si="42"/>
        <v>64.87</v>
      </c>
      <c r="V108" s="62">
        <f t="shared" si="42"/>
        <v>63.490000000000009</v>
      </c>
      <c r="W108" s="62">
        <f>W103+W107</f>
        <v>58.860000000000007</v>
      </c>
      <c r="X108" s="62">
        <f t="shared" si="42"/>
        <v>56.3</v>
      </c>
      <c r="Y108" s="62">
        <f t="shared" si="42"/>
        <v>61.02</v>
      </c>
      <c r="Z108" s="62">
        <f t="shared" si="42"/>
        <v>56.720000000000006</v>
      </c>
      <c r="AA108" s="62">
        <f t="shared" si="42"/>
        <v>53.63</v>
      </c>
      <c r="AB108" s="62">
        <f t="shared" si="42"/>
        <v>49.820000000000007</v>
      </c>
      <c r="AC108" s="62">
        <f t="shared" si="42"/>
        <v>47.550000000000004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14" t="s">
        <v>88</v>
      </c>
      <c r="B109" s="514"/>
      <c r="C109" s="514"/>
      <c r="D109" s="52"/>
      <c r="E109" s="52"/>
      <c r="F109" s="63">
        <f t="shared" ref="F109:AC109" si="43">(COUNT(F13:F16))*7.2+(COUNT(F27:F28)*4.9)+(COUNT(F19:F21)*4.5)-F91-F93</f>
        <v>5.600000000000005</v>
      </c>
      <c r="G109" s="63">
        <f t="shared" si="43"/>
        <v>6.5000000000000036</v>
      </c>
      <c r="H109" s="63">
        <f t="shared" si="43"/>
        <v>2.1000000000000014</v>
      </c>
      <c r="I109" s="63">
        <f t="shared" si="43"/>
        <v>3.2000000000000028</v>
      </c>
      <c r="J109" s="63">
        <f t="shared" si="43"/>
        <v>4.7000000000000028</v>
      </c>
      <c r="K109" s="63">
        <f t="shared" si="43"/>
        <v>3.2000000000000046</v>
      </c>
      <c r="L109" s="63">
        <f t="shared" si="43"/>
        <v>3.0000000000000036</v>
      </c>
      <c r="M109" s="63">
        <f t="shared" si="43"/>
        <v>6.9000000000000039</v>
      </c>
      <c r="N109" s="63">
        <f t="shared" si="43"/>
        <v>7.4000000000000075</v>
      </c>
      <c r="O109" s="63">
        <f t="shared" si="43"/>
        <v>12.300000000000004</v>
      </c>
      <c r="P109" s="63">
        <f t="shared" si="43"/>
        <v>13.190000000000005</v>
      </c>
      <c r="Q109" s="63">
        <f t="shared" si="43"/>
        <v>10.3</v>
      </c>
      <c r="R109" s="63">
        <f t="shared" si="43"/>
        <v>12.600000000000001</v>
      </c>
      <c r="S109" s="63">
        <f t="shared" si="43"/>
        <v>13.200000000000003</v>
      </c>
      <c r="T109" s="63">
        <f t="shared" si="43"/>
        <v>13.200000000000003</v>
      </c>
      <c r="U109" s="63">
        <f t="shared" si="43"/>
        <v>12.600000000000001</v>
      </c>
      <c r="V109" s="63">
        <f t="shared" si="43"/>
        <v>12.600000000000001</v>
      </c>
      <c r="W109" s="63">
        <f t="shared" si="43"/>
        <v>14.800000000000002</v>
      </c>
      <c r="X109" s="63">
        <f t="shared" si="43"/>
        <v>13.200000000000001</v>
      </c>
      <c r="Y109" s="63">
        <f t="shared" si="43"/>
        <v>13.000000000000004</v>
      </c>
      <c r="Z109" s="63">
        <f t="shared" si="43"/>
        <v>13.200000000000003</v>
      </c>
      <c r="AA109" s="63">
        <f t="shared" si="43"/>
        <v>15.900000000000002</v>
      </c>
      <c r="AB109" s="63">
        <f t="shared" si="43"/>
        <v>13.600000000000009</v>
      </c>
      <c r="AC109" s="63">
        <f t="shared" si="43"/>
        <v>13.500000000000004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15" t="s">
        <v>89</v>
      </c>
      <c r="B110" s="516"/>
      <c r="C110" s="517"/>
      <c r="D110" s="204"/>
      <c r="E110" s="204"/>
      <c r="F110" s="205">
        <f t="shared" ref="F110:P110" si="44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4.2000000000000046</v>
      </c>
      <c r="G110" s="205">
        <f t="shared" si="44"/>
        <v>5.1000000000000032</v>
      </c>
      <c r="H110" s="205">
        <f t="shared" si="44"/>
        <v>0.69999999999999929</v>
      </c>
      <c r="I110" s="205">
        <f t="shared" si="44"/>
        <v>1.8000000000000007</v>
      </c>
      <c r="J110" s="205">
        <f t="shared" si="44"/>
        <v>3.3000000000000007</v>
      </c>
      <c r="K110" s="205">
        <f t="shared" si="44"/>
        <v>1.8000000000000025</v>
      </c>
      <c r="L110" s="205">
        <f t="shared" si="44"/>
        <v>1.6000000000000014</v>
      </c>
      <c r="M110" s="205">
        <f t="shared" si="44"/>
        <v>1.700000000000002</v>
      </c>
      <c r="N110" s="205">
        <f t="shared" si="44"/>
        <v>2.2000000000000037</v>
      </c>
      <c r="O110" s="205">
        <f t="shared" si="44"/>
        <v>5.0000000000000018</v>
      </c>
      <c r="P110" s="205">
        <f t="shared" si="44"/>
        <v>4.8900000000000059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4.8000000000000007</v>
      </c>
      <c r="R110" s="205">
        <f t="shared" ref="R110:AC110" si="45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4.9000000000000004</v>
      </c>
      <c r="S110" s="205">
        <f t="shared" si="45"/>
        <v>5.7000000000000011</v>
      </c>
      <c r="T110" s="205">
        <f t="shared" si="45"/>
        <v>7.9000000000000021</v>
      </c>
      <c r="U110" s="205">
        <f t="shared" si="45"/>
        <v>4.9000000000000004</v>
      </c>
      <c r="V110" s="205">
        <f t="shared" si="45"/>
        <v>4.9000000000000004</v>
      </c>
      <c r="W110" s="205">
        <f t="shared" si="45"/>
        <v>9.5000000000000018</v>
      </c>
      <c r="X110" s="205">
        <f t="shared" si="45"/>
        <v>6.4</v>
      </c>
      <c r="Y110" s="205">
        <f t="shared" si="45"/>
        <v>4.6000000000000023</v>
      </c>
      <c r="Z110" s="205">
        <f t="shared" si="45"/>
        <v>6.4000000000000021</v>
      </c>
      <c r="AA110" s="205">
        <f t="shared" si="45"/>
        <v>8.9000000000000021</v>
      </c>
      <c r="AB110" s="205">
        <f t="shared" si="45"/>
        <v>6.8000000000000043</v>
      </c>
      <c r="AC110" s="205">
        <f t="shared" si="45"/>
        <v>4.3999999999999995</v>
      </c>
      <c r="AD110" s="26"/>
      <c r="AE110" s="26"/>
      <c r="AF110" s="466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10" t="s">
        <v>91</v>
      </c>
      <c r="B111" s="510"/>
      <c r="C111" s="510"/>
      <c r="D111" s="60"/>
      <c r="E111" s="72"/>
      <c r="F111" s="74">
        <v>60.11</v>
      </c>
      <c r="G111" s="74">
        <v>60.14</v>
      </c>
      <c r="H111" s="74">
        <v>60.12</v>
      </c>
      <c r="I111" s="74">
        <v>60.12</v>
      </c>
      <c r="J111" s="74">
        <v>60.16</v>
      </c>
      <c r="K111" s="74">
        <v>60.05</v>
      </c>
      <c r="L111" s="74">
        <v>60.17</v>
      </c>
      <c r="M111" s="74">
        <v>60.16</v>
      </c>
      <c r="N111" s="74">
        <v>60.05</v>
      </c>
      <c r="O111" s="74">
        <v>60.07</v>
      </c>
      <c r="P111" s="83">
        <v>60.14</v>
      </c>
      <c r="Q111" s="83">
        <v>60.16</v>
      </c>
      <c r="R111" s="83">
        <v>60.18</v>
      </c>
      <c r="S111" s="83">
        <v>60.22</v>
      </c>
      <c r="T111" s="83">
        <v>60.24</v>
      </c>
      <c r="U111" s="74">
        <v>60.13</v>
      </c>
      <c r="V111" s="74">
        <v>60.12</v>
      </c>
      <c r="W111" s="74">
        <v>60.24</v>
      </c>
      <c r="X111" s="74">
        <v>60.09</v>
      </c>
      <c r="Y111" s="74">
        <v>60.17</v>
      </c>
      <c r="Z111" s="74">
        <v>60.16</v>
      </c>
      <c r="AA111" s="74">
        <v>60.2</v>
      </c>
      <c r="AB111" s="74">
        <v>60.16</v>
      </c>
      <c r="AC111" s="74">
        <v>60.2</v>
      </c>
      <c r="AD111" s="26"/>
      <c r="AE111" s="26"/>
      <c r="AF111" s="467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18" t="s">
        <v>93</v>
      </c>
      <c r="B112" s="519"/>
      <c r="C112" s="520"/>
      <c r="D112" s="60"/>
      <c r="E112" s="72"/>
      <c r="F112" s="74"/>
      <c r="G112" s="74"/>
      <c r="H112" s="74"/>
      <c r="I112" s="74"/>
      <c r="J112" s="74"/>
      <c r="K112" s="74"/>
      <c r="L112" s="74"/>
      <c r="M112" s="74"/>
      <c r="N112" s="74"/>
      <c r="O112" s="74"/>
      <c r="P112" s="74"/>
      <c r="Q112" s="74"/>
      <c r="R112" s="74"/>
      <c r="S112" s="74"/>
      <c r="T112" s="74"/>
      <c r="U112" s="74"/>
      <c r="V112" s="74"/>
      <c r="W112" s="74"/>
      <c r="X112" s="74"/>
      <c r="Y112" s="74"/>
      <c r="Z112" s="74"/>
      <c r="AA112" s="74"/>
      <c r="AB112" s="74"/>
      <c r="AC112" s="74"/>
      <c r="AD112" s="26"/>
      <c r="AE112" s="26"/>
      <c r="AF112" s="469"/>
      <c r="AG112" s="472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18" t="s">
        <v>95</v>
      </c>
      <c r="B113" s="519"/>
      <c r="C113" s="520"/>
      <c r="D113" s="60"/>
      <c r="E113" s="74"/>
      <c r="F113" s="74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10" t="s">
        <v>96</v>
      </c>
      <c r="B114" s="510"/>
      <c r="C114" s="510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 t="s">
        <v>101</v>
      </c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10" t="s">
        <v>97</v>
      </c>
      <c r="B115" s="510"/>
      <c r="C115" s="510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499" t="s">
        <v>98</v>
      </c>
      <c r="B117" s="499"/>
      <c r="C117" s="499"/>
      <c r="D117" s="499"/>
      <c r="E117" s="499"/>
      <c r="F117" s="499"/>
      <c r="G117" s="499"/>
      <c r="H117" s="499"/>
      <c r="I117" s="499"/>
      <c r="J117" s="499"/>
      <c r="K117" s="499"/>
      <c r="L117" s="499"/>
      <c r="M117" s="499"/>
      <c r="N117" s="499"/>
      <c r="O117" s="499"/>
      <c r="P117" s="499"/>
      <c r="Q117" s="499"/>
      <c r="R117" s="499"/>
      <c r="S117" s="499"/>
      <c r="T117" s="499"/>
      <c r="U117" s="499"/>
      <c r="V117" s="499"/>
      <c r="W117" s="499"/>
      <c r="X117" s="499"/>
      <c r="Y117" s="499"/>
      <c r="Z117" s="499"/>
      <c r="AA117" s="499"/>
      <c r="AB117" s="499"/>
      <c r="AC117" s="499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00" t="s">
        <v>75</v>
      </c>
      <c r="B119" s="501"/>
      <c r="C119" s="502"/>
      <c r="D119" s="49"/>
      <c r="E119" s="49"/>
      <c r="F119" s="506" t="s">
        <v>76</v>
      </c>
      <c r="G119" s="506"/>
      <c r="H119" s="506"/>
      <c r="I119" s="506"/>
      <c r="J119" s="506"/>
      <c r="K119" s="506"/>
      <c r="L119" s="506"/>
      <c r="M119" s="506"/>
      <c r="N119" s="506"/>
      <c r="O119" s="506"/>
      <c r="P119" s="506"/>
      <c r="Q119" s="506"/>
      <c r="R119" s="506"/>
      <c r="S119" s="506"/>
      <c r="T119" s="506"/>
      <c r="U119" s="506"/>
      <c r="V119" s="506"/>
      <c r="W119" s="506"/>
      <c r="X119" s="506"/>
      <c r="Y119" s="506"/>
      <c r="Z119" s="506"/>
      <c r="AA119" s="506"/>
      <c r="AB119" s="506"/>
      <c r="AC119" s="506"/>
      <c r="AD119" s="5"/>
      <c r="AE119" s="5"/>
      <c r="AF119" s="5"/>
      <c r="AG119" s="5"/>
      <c r="AH119" s="5"/>
    </row>
    <row r="120" spans="1:124" ht="15.6" hidden="1" customHeight="1">
      <c r="A120" s="503"/>
      <c r="B120" s="504"/>
      <c r="C120" s="505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07" t="s">
        <v>27</v>
      </c>
      <c r="B121" s="508"/>
      <c r="C121" s="509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07" t="s">
        <v>78</v>
      </c>
      <c r="B122" s="508"/>
      <c r="C122" s="509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07" t="s">
        <v>29</v>
      </c>
      <c r="B123" s="508"/>
      <c r="C123" s="509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07" t="s">
        <v>32</v>
      </c>
      <c r="B124" s="508"/>
      <c r="C124" s="509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07" t="s">
        <v>33</v>
      </c>
      <c r="B125" s="508"/>
      <c r="C125" s="509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07" t="s">
        <v>55</v>
      </c>
      <c r="B126" s="508"/>
      <c r="C126" s="509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07" t="s">
        <v>59</v>
      </c>
      <c r="B127" s="508"/>
      <c r="C127" s="509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07" t="s">
        <v>69</v>
      </c>
      <c r="B128" s="508"/>
      <c r="C128" s="509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496" t="s">
        <v>99</v>
      </c>
      <c r="B129" s="497"/>
      <c r="C129" s="498"/>
      <c r="D129" s="51"/>
      <c r="E129" s="51"/>
      <c r="F129" s="44">
        <f>SUM(F121:F128)</f>
        <v>0</v>
      </c>
      <c r="G129" s="44">
        <f t="shared" ref="G129:AB129" si="46">SUM(G121:G128)</f>
        <v>0</v>
      </c>
      <c r="H129" s="44">
        <f t="shared" si="46"/>
        <v>0</v>
      </c>
      <c r="I129" s="44">
        <f t="shared" si="46"/>
        <v>0</v>
      </c>
      <c r="J129" s="44">
        <f t="shared" si="46"/>
        <v>0</v>
      </c>
      <c r="K129" s="44">
        <f t="shared" si="46"/>
        <v>0</v>
      </c>
      <c r="L129" s="44">
        <f t="shared" si="46"/>
        <v>0</v>
      </c>
      <c r="M129" s="44">
        <f t="shared" si="46"/>
        <v>0</v>
      </c>
      <c r="N129" s="44">
        <f t="shared" si="46"/>
        <v>0</v>
      </c>
      <c r="O129" s="44">
        <f t="shared" si="46"/>
        <v>0</v>
      </c>
      <c r="P129" s="44">
        <f t="shared" si="46"/>
        <v>0</v>
      </c>
      <c r="Q129" s="44">
        <f t="shared" si="46"/>
        <v>0</v>
      </c>
      <c r="R129" s="44">
        <f t="shared" si="46"/>
        <v>0</v>
      </c>
      <c r="S129" s="44">
        <f t="shared" si="46"/>
        <v>0</v>
      </c>
      <c r="T129" s="44">
        <f t="shared" si="46"/>
        <v>0</v>
      </c>
      <c r="U129" s="44">
        <f t="shared" si="46"/>
        <v>0</v>
      </c>
      <c r="V129" s="44">
        <f t="shared" si="46"/>
        <v>0</v>
      </c>
      <c r="W129" s="44">
        <f t="shared" si="46"/>
        <v>0</v>
      </c>
      <c r="X129" s="44">
        <f t="shared" si="46"/>
        <v>0</v>
      </c>
      <c r="Y129" s="44">
        <f t="shared" si="46"/>
        <v>0</v>
      </c>
      <c r="Z129" s="44">
        <f t="shared" si="46"/>
        <v>0</v>
      </c>
      <c r="AA129" s="44">
        <f t="shared" si="46"/>
        <v>0</v>
      </c>
      <c r="AB129" s="44">
        <f t="shared" si="46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1667" priority="304" operator="greaterThan">
      <formula>60.3</formula>
    </cfRule>
  </conditionalFormatting>
  <conditionalFormatting sqref="F111">
    <cfRule type="cellIs" dxfId="1666" priority="303" operator="greaterThan">
      <formula>60.3</formula>
    </cfRule>
  </conditionalFormatting>
  <conditionalFormatting sqref="G67:AC75">
    <cfRule type="cellIs" dxfId="1665" priority="295" operator="equal">
      <formula>"PMS"</formula>
    </cfRule>
    <cfRule type="containsText" dxfId="1664" priority="296" operator="containsText" text="CMS">
      <formula>NOT(ISERROR(SEARCH("CMS",G67)))</formula>
    </cfRule>
    <cfRule type="cellIs" dxfId="1663" priority="297" operator="equal">
      <formula>0</formula>
    </cfRule>
    <cfRule type="cellIs" dxfId="1662" priority="298" operator="greaterThan">
      <formula>0</formula>
    </cfRule>
    <cfRule type="cellIs" dxfId="1661" priority="299" operator="equal">
      <formula>"PMS"</formula>
    </cfRule>
    <cfRule type="containsText" dxfId="1660" priority="300" operator="containsText" text="CMS">
      <formula>NOT(ISERROR(SEARCH("CMS",G67)))</formula>
    </cfRule>
    <cfRule type="cellIs" dxfId="1659" priority="301" operator="equal">
      <formula>0</formula>
    </cfRule>
    <cfRule type="cellIs" dxfId="1658" priority="302" operator="greaterThan">
      <formula>0</formula>
    </cfRule>
  </conditionalFormatting>
  <conditionalFormatting sqref="G67:AC75">
    <cfRule type="cellIs" dxfId="1657" priority="291" operator="equal">
      <formula>"PMS"</formula>
    </cfRule>
    <cfRule type="containsText" dxfId="1656" priority="292" operator="containsText" text="CMS">
      <formula>NOT(ISERROR(SEARCH("CMS",G67)))</formula>
    </cfRule>
    <cfRule type="cellIs" dxfId="1655" priority="293" operator="equal">
      <formula>0</formula>
    </cfRule>
    <cfRule type="cellIs" dxfId="1654" priority="294" operator="greaterThan">
      <formula>0</formula>
    </cfRule>
  </conditionalFormatting>
  <conditionalFormatting sqref="G82:AC82">
    <cfRule type="cellIs" dxfId="1653" priority="283" operator="equal">
      <formula>"PMS"</formula>
    </cfRule>
    <cfRule type="containsText" dxfId="1652" priority="284" operator="containsText" text="CMS">
      <formula>NOT(ISERROR(SEARCH("CMS",G82)))</formula>
    </cfRule>
    <cfRule type="cellIs" dxfId="1651" priority="285" operator="equal">
      <formula>0</formula>
    </cfRule>
    <cfRule type="cellIs" dxfId="1650" priority="286" operator="greaterThan">
      <formula>0</formula>
    </cfRule>
    <cfRule type="cellIs" dxfId="1649" priority="287" operator="equal">
      <formula>"PMS"</formula>
    </cfRule>
    <cfRule type="containsText" dxfId="1648" priority="288" operator="containsText" text="CMS">
      <formula>NOT(ISERROR(SEARCH("CMS",G82)))</formula>
    </cfRule>
    <cfRule type="cellIs" dxfId="1647" priority="289" operator="equal">
      <formula>0</formula>
    </cfRule>
    <cfRule type="cellIs" dxfId="1646" priority="290" operator="greaterThan">
      <formula>0</formula>
    </cfRule>
  </conditionalFormatting>
  <conditionalFormatting sqref="G82:AC82">
    <cfRule type="cellIs" dxfId="1645" priority="279" operator="equal">
      <formula>"PMS"</formula>
    </cfRule>
    <cfRule type="containsText" dxfId="1644" priority="280" operator="containsText" text="CMS">
      <formula>NOT(ISERROR(SEARCH("CMS",G82)))</formula>
    </cfRule>
    <cfRule type="cellIs" dxfId="1643" priority="281" operator="equal">
      <formula>0</formula>
    </cfRule>
    <cfRule type="cellIs" dxfId="1642" priority="282" operator="greaterThan">
      <formula>0</formula>
    </cfRule>
  </conditionalFormatting>
  <conditionalFormatting sqref="E113:AC113 F112:N112">
    <cfRule type="cellIs" dxfId="1641" priority="278" operator="greaterThan">
      <formula>60.3</formula>
    </cfRule>
  </conditionalFormatting>
  <conditionalFormatting sqref="O112:AC112">
    <cfRule type="cellIs" dxfId="1640" priority="277" operator="greaterThan">
      <formula>60.3</formula>
    </cfRule>
  </conditionalFormatting>
  <conditionalFormatting sqref="G13:AC16">
    <cfRule type="cellIs" dxfId="1639" priority="269" operator="equal">
      <formula>"PMS"</formula>
    </cfRule>
    <cfRule type="containsText" dxfId="1638" priority="270" operator="containsText" text="CMS">
      <formula>NOT(ISERROR(SEARCH("CMS",G13)))</formula>
    </cfRule>
    <cfRule type="cellIs" dxfId="1637" priority="271" operator="equal">
      <formula>0</formula>
    </cfRule>
    <cfRule type="cellIs" dxfId="1636" priority="272" operator="greaterThan">
      <formula>0</formula>
    </cfRule>
    <cfRule type="cellIs" dxfId="1635" priority="273" operator="equal">
      <formula>"PMS"</formula>
    </cfRule>
    <cfRule type="containsText" dxfId="1634" priority="274" operator="containsText" text="CMS">
      <formula>NOT(ISERROR(SEARCH("CMS",G13)))</formula>
    </cfRule>
    <cfRule type="cellIs" dxfId="1633" priority="275" operator="equal">
      <formula>0</formula>
    </cfRule>
    <cfRule type="cellIs" dxfId="1632" priority="276" operator="greaterThan">
      <formula>0</formula>
    </cfRule>
  </conditionalFormatting>
  <conditionalFormatting sqref="G13:AC16">
    <cfRule type="cellIs" dxfId="1631" priority="265" operator="equal">
      <formula>"PMS"</formula>
    </cfRule>
    <cfRule type="containsText" dxfId="1630" priority="266" operator="containsText" text="CMS">
      <formula>NOT(ISERROR(SEARCH("CMS",G13)))</formula>
    </cfRule>
    <cfRule type="cellIs" dxfId="1629" priority="267" operator="equal">
      <formula>0</formula>
    </cfRule>
    <cfRule type="cellIs" dxfId="1628" priority="268" operator="greaterThan">
      <formula>0</formula>
    </cfRule>
  </conditionalFormatting>
  <conditionalFormatting sqref="H24:K24 AC27 Z27:AA27 Z28:AC29 H33:AC33 G30:AC30 F21 G19:AC21 O24:AC24 G27:Y29">
    <cfRule type="cellIs" dxfId="1627" priority="257" operator="equal">
      <formula>"PMS"</formula>
    </cfRule>
    <cfRule type="containsText" dxfId="1626" priority="258" operator="containsText" text="CMS">
      <formula>NOT(ISERROR(SEARCH("CMS",F19)))</formula>
    </cfRule>
    <cfRule type="cellIs" dxfId="1625" priority="259" operator="equal">
      <formula>0</formula>
    </cfRule>
    <cfRule type="cellIs" dxfId="1624" priority="260" operator="greaterThan">
      <formula>0</formula>
    </cfRule>
    <cfRule type="cellIs" dxfId="1623" priority="261" operator="equal">
      <formula>"PMS"</formula>
    </cfRule>
    <cfRule type="containsText" dxfId="1622" priority="262" operator="containsText" text="CMS">
      <formula>NOT(ISERROR(SEARCH("CMS",F19)))</formula>
    </cfRule>
    <cfRule type="cellIs" dxfId="1621" priority="263" operator="equal">
      <formula>0</formula>
    </cfRule>
    <cfRule type="cellIs" dxfId="1620" priority="264" operator="greaterThan">
      <formula>0</formula>
    </cfRule>
  </conditionalFormatting>
  <conditionalFormatting sqref="H24:K24 AC27 Z27:AA27 Z28:AC29 H33:AC33 G30:AC30 F21 G19:AC21 O24:AC24 G27:Y29">
    <cfRule type="cellIs" dxfId="1619" priority="253" operator="equal">
      <formula>"PMS"</formula>
    </cfRule>
    <cfRule type="containsText" dxfId="1618" priority="254" operator="containsText" text="CMS">
      <formula>NOT(ISERROR(SEARCH("CMS",F19)))</formula>
    </cfRule>
    <cfRule type="cellIs" dxfId="1617" priority="255" operator="equal">
      <formula>0</formula>
    </cfRule>
    <cfRule type="cellIs" dxfId="1616" priority="256" operator="greaterThan">
      <formula>0</formula>
    </cfRule>
  </conditionalFormatting>
  <conditionalFormatting sqref="V42:X42 G36:AC38 G43:X43 G39:X41 Y39:AC43 G57:AC59 H50:K50 G51:K51 H56:U56 G44:AC49 G52:AC53 L50:AC51 G54:U55 V54:AC56">
    <cfRule type="cellIs" dxfId="1615" priority="245" operator="equal">
      <formula>"PMS"</formula>
    </cfRule>
    <cfRule type="containsText" dxfId="1614" priority="246" operator="containsText" text="CMS">
      <formula>NOT(ISERROR(SEARCH("CMS",G36)))</formula>
    </cfRule>
    <cfRule type="cellIs" dxfId="1613" priority="247" operator="equal">
      <formula>0</formula>
    </cfRule>
    <cfRule type="cellIs" dxfId="1612" priority="248" operator="greaterThan">
      <formula>0</formula>
    </cfRule>
    <cfRule type="cellIs" dxfId="1611" priority="249" operator="equal">
      <formula>"PMS"</formula>
    </cfRule>
    <cfRule type="containsText" dxfId="1610" priority="250" operator="containsText" text="CMS">
      <formula>NOT(ISERROR(SEARCH("CMS",G36)))</formula>
    </cfRule>
    <cfRule type="cellIs" dxfId="1609" priority="251" operator="equal">
      <formula>0</formula>
    </cfRule>
    <cfRule type="cellIs" dxfId="1608" priority="252" operator="greaterThan">
      <formula>0</formula>
    </cfRule>
  </conditionalFormatting>
  <conditionalFormatting sqref="V42:X42 G36:AC38 G43:X43 G39:X41 Y39:AC43 G57:AC59 H50:K50 G51:K51 H56:U56 G44:AC49 G52:AC53 L50:AC51 G54:U55 V54:AC56">
    <cfRule type="cellIs" dxfId="1607" priority="241" operator="equal">
      <formula>"PMS"</formula>
    </cfRule>
    <cfRule type="containsText" dxfId="1606" priority="242" operator="containsText" text="CMS">
      <formula>NOT(ISERROR(SEARCH("CMS",G36)))</formula>
    </cfRule>
    <cfRule type="cellIs" dxfId="1605" priority="243" operator="equal">
      <formula>0</formula>
    </cfRule>
    <cfRule type="cellIs" dxfId="1604" priority="244" operator="greaterThan">
      <formula>0</formula>
    </cfRule>
  </conditionalFormatting>
  <conditionalFormatting sqref="G78:AC79 G62:AC64">
    <cfRule type="cellIs" dxfId="1603" priority="233" operator="equal">
      <formula>"PMS"</formula>
    </cfRule>
    <cfRule type="containsText" dxfId="1602" priority="234" operator="containsText" text="CMS">
      <formula>NOT(ISERROR(SEARCH("CMS",G62)))</formula>
    </cfRule>
    <cfRule type="cellIs" dxfId="1601" priority="235" operator="equal">
      <formula>0</formula>
    </cfRule>
    <cfRule type="cellIs" dxfId="1600" priority="236" operator="greaterThan">
      <formula>0</formula>
    </cfRule>
    <cfRule type="cellIs" dxfId="1599" priority="237" operator="equal">
      <formula>"PMS"</formula>
    </cfRule>
    <cfRule type="containsText" dxfId="1598" priority="238" operator="containsText" text="CMS">
      <formula>NOT(ISERROR(SEARCH("CMS",G62)))</formula>
    </cfRule>
    <cfRule type="cellIs" dxfId="1597" priority="239" operator="equal">
      <formula>0</formula>
    </cfRule>
    <cfRule type="cellIs" dxfId="1596" priority="240" operator="greaterThan">
      <formula>0</formula>
    </cfRule>
  </conditionalFormatting>
  <conditionalFormatting sqref="G78:AC79 G62:AC64">
    <cfRule type="cellIs" dxfId="1595" priority="229" operator="equal">
      <formula>"PMS"</formula>
    </cfRule>
    <cfRule type="containsText" dxfId="1594" priority="230" operator="containsText" text="CMS">
      <formula>NOT(ISERROR(SEARCH("CMS",G62)))</formula>
    </cfRule>
    <cfRule type="cellIs" dxfId="1593" priority="231" operator="equal">
      <formula>0</formula>
    </cfRule>
    <cfRule type="cellIs" dxfId="1592" priority="232" operator="greaterThan">
      <formula>0</formula>
    </cfRule>
  </conditionalFormatting>
  <conditionalFormatting sqref="G42:P42 R42:U42">
    <cfRule type="cellIs" dxfId="1591" priority="221" operator="equal">
      <formula>"PMS"</formula>
    </cfRule>
    <cfRule type="containsText" dxfId="1590" priority="222" operator="containsText" text="CMS">
      <formula>NOT(ISERROR(SEARCH("CMS",G42)))</formula>
    </cfRule>
    <cfRule type="cellIs" dxfId="1589" priority="223" operator="equal">
      <formula>0</formula>
    </cfRule>
    <cfRule type="cellIs" dxfId="1588" priority="224" operator="greaterThan">
      <formula>0</formula>
    </cfRule>
    <cfRule type="cellIs" dxfId="1587" priority="225" operator="equal">
      <formula>"PMS"</formula>
    </cfRule>
    <cfRule type="containsText" dxfId="1586" priority="226" operator="containsText" text="CMS">
      <formula>NOT(ISERROR(SEARCH("CMS",G42)))</formula>
    </cfRule>
    <cfRule type="cellIs" dxfId="1585" priority="227" operator="equal">
      <formula>0</formula>
    </cfRule>
    <cfRule type="cellIs" dxfId="1584" priority="228" operator="greaterThan">
      <formula>0</formula>
    </cfRule>
  </conditionalFormatting>
  <conditionalFormatting sqref="G42:P42 R42:U42">
    <cfRule type="cellIs" dxfId="1583" priority="217" operator="equal">
      <formula>"PMS"</formula>
    </cfRule>
    <cfRule type="containsText" dxfId="1582" priority="218" operator="containsText" text="CMS">
      <formula>NOT(ISERROR(SEARCH("CMS",G42)))</formula>
    </cfRule>
    <cfRule type="cellIs" dxfId="1581" priority="219" operator="equal">
      <formula>0</formula>
    </cfRule>
    <cfRule type="cellIs" dxfId="1580" priority="220" operator="greaterThan">
      <formula>0</formula>
    </cfRule>
  </conditionalFormatting>
  <conditionalFormatting sqref="G33">
    <cfRule type="cellIs" dxfId="1579" priority="209" operator="equal">
      <formula>"PMS"</formula>
    </cfRule>
    <cfRule type="containsText" dxfId="1578" priority="210" operator="containsText" text="CMS">
      <formula>NOT(ISERROR(SEARCH("CMS",G33)))</formula>
    </cfRule>
    <cfRule type="cellIs" dxfId="1577" priority="211" operator="equal">
      <formula>0</formula>
    </cfRule>
    <cfRule type="cellIs" dxfId="1576" priority="212" operator="greaterThan">
      <formula>0</formula>
    </cfRule>
    <cfRule type="cellIs" dxfId="1575" priority="213" operator="equal">
      <formula>"PMS"</formula>
    </cfRule>
    <cfRule type="containsText" dxfId="1574" priority="214" operator="containsText" text="CMS">
      <formula>NOT(ISERROR(SEARCH("CMS",G33)))</formula>
    </cfRule>
    <cfRule type="cellIs" dxfId="1573" priority="215" operator="equal">
      <formula>0</formula>
    </cfRule>
    <cfRule type="cellIs" dxfId="1572" priority="216" operator="greaterThan">
      <formula>0</formula>
    </cfRule>
  </conditionalFormatting>
  <conditionalFormatting sqref="G33">
    <cfRule type="cellIs" dxfId="1571" priority="205" operator="equal">
      <formula>"PMS"</formula>
    </cfRule>
    <cfRule type="containsText" dxfId="1570" priority="206" operator="containsText" text="CMS">
      <formula>NOT(ISERROR(SEARCH("CMS",G33)))</formula>
    </cfRule>
    <cfRule type="cellIs" dxfId="1569" priority="207" operator="equal">
      <formula>0</formula>
    </cfRule>
    <cfRule type="cellIs" dxfId="1568" priority="208" operator="greaterThan">
      <formula>0</formula>
    </cfRule>
  </conditionalFormatting>
  <conditionalFormatting sqref="G24">
    <cfRule type="cellIs" dxfId="1567" priority="197" operator="equal">
      <formula>"PMS"</formula>
    </cfRule>
    <cfRule type="containsText" dxfId="1566" priority="198" operator="containsText" text="CMS">
      <formula>NOT(ISERROR(SEARCH("CMS",G24)))</formula>
    </cfRule>
    <cfRule type="cellIs" dxfId="1565" priority="199" operator="equal">
      <formula>0</formula>
    </cfRule>
    <cfRule type="cellIs" dxfId="1564" priority="200" operator="greaterThan">
      <formula>0</formula>
    </cfRule>
    <cfRule type="cellIs" dxfId="1563" priority="201" operator="equal">
      <formula>"PMS"</formula>
    </cfRule>
    <cfRule type="containsText" dxfId="1562" priority="202" operator="containsText" text="CMS">
      <formula>NOT(ISERROR(SEARCH("CMS",G24)))</formula>
    </cfRule>
    <cfRule type="cellIs" dxfId="1561" priority="203" operator="equal">
      <formula>0</formula>
    </cfRule>
    <cfRule type="cellIs" dxfId="1560" priority="204" operator="greaterThan">
      <formula>0</formula>
    </cfRule>
  </conditionalFormatting>
  <conditionalFormatting sqref="G24">
    <cfRule type="cellIs" dxfId="1559" priority="193" operator="equal">
      <formula>"PMS"</formula>
    </cfRule>
    <cfRule type="containsText" dxfId="1558" priority="194" operator="containsText" text="CMS">
      <formula>NOT(ISERROR(SEARCH("CMS",G24)))</formula>
    </cfRule>
    <cfRule type="cellIs" dxfId="1557" priority="195" operator="equal">
      <formula>0</formula>
    </cfRule>
    <cfRule type="cellIs" dxfId="1556" priority="196" operator="greaterThan">
      <formula>0</formula>
    </cfRule>
  </conditionalFormatting>
  <conditionalFormatting sqref="AB27">
    <cfRule type="cellIs" dxfId="1555" priority="185" operator="equal">
      <formula>"PMS"</formula>
    </cfRule>
    <cfRule type="containsText" dxfId="1554" priority="186" operator="containsText" text="CMS">
      <formula>NOT(ISERROR(SEARCH("CMS",AB27)))</formula>
    </cfRule>
    <cfRule type="cellIs" dxfId="1553" priority="187" operator="equal">
      <formula>0</formula>
    </cfRule>
    <cfRule type="cellIs" dxfId="1552" priority="188" operator="greaterThan">
      <formula>0</formula>
    </cfRule>
    <cfRule type="cellIs" dxfId="1551" priority="189" operator="equal">
      <formula>"PMS"</formula>
    </cfRule>
    <cfRule type="containsText" dxfId="1550" priority="190" operator="containsText" text="CMS">
      <formula>NOT(ISERROR(SEARCH("CMS",AB27)))</formula>
    </cfRule>
    <cfRule type="cellIs" dxfId="1549" priority="191" operator="equal">
      <formula>0</formula>
    </cfRule>
    <cfRule type="cellIs" dxfId="1548" priority="192" operator="greaterThan">
      <formula>0</formula>
    </cfRule>
  </conditionalFormatting>
  <conditionalFormatting sqref="AB27">
    <cfRule type="cellIs" dxfId="1547" priority="181" operator="equal">
      <formula>"PMS"</formula>
    </cfRule>
    <cfRule type="containsText" dxfId="1546" priority="182" operator="containsText" text="CMS">
      <formula>NOT(ISERROR(SEARCH("CMS",AB27)))</formula>
    </cfRule>
    <cfRule type="cellIs" dxfId="1545" priority="183" operator="equal">
      <formula>0</formula>
    </cfRule>
    <cfRule type="cellIs" dxfId="1544" priority="184" operator="greaterThan">
      <formula>0</formula>
    </cfRule>
  </conditionalFormatting>
  <conditionalFormatting sqref="Q42">
    <cfRule type="cellIs" dxfId="1543" priority="173" operator="equal">
      <formula>"PMS"</formula>
    </cfRule>
    <cfRule type="containsText" dxfId="1542" priority="174" operator="containsText" text="CMS">
      <formula>NOT(ISERROR(SEARCH("CMS",Q42)))</formula>
    </cfRule>
    <cfRule type="cellIs" dxfId="1541" priority="175" operator="equal">
      <formula>0</formula>
    </cfRule>
    <cfRule type="cellIs" dxfId="1540" priority="176" operator="greaterThan">
      <formula>0</formula>
    </cfRule>
    <cfRule type="cellIs" dxfId="1539" priority="177" operator="equal">
      <formula>"PMS"</formula>
    </cfRule>
    <cfRule type="containsText" dxfId="1538" priority="178" operator="containsText" text="CMS">
      <formula>NOT(ISERROR(SEARCH("CMS",Q42)))</formula>
    </cfRule>
    <cfRule type="cellIs" dxfId="1537" priority="179" operator="equal">
      <formula>0</formula>
    </cfRule>
    <cfRule type="cellIs" dxfId="1536" priority="180" operator="greaterThan">
      <formula>0</formula>
    </cfRule>
  </conditionalFormatting>
  <conditionalFormatting sqref="Q42">
    <cfRule type="cellIs" dxfId="1535" priority="169" operator="equal">
      <formula>"PMS"</formula>
    </cfRule>
    <cfRule type="containsText" dxfId="1534" priority="170" operator="containsText" text="CMS">
      <formula>NOT(ISERROR(SEARCH("CMS",Q42)))</formula>
    </cfRule>
    <cfRule type="cellIs" dxfId="1533" priority="171" operator="equal">
      <formula>0</formula>
    </cfRule>
    <cfRule type="cellIs" dxfId="1532" priority="172" operator="greaterThan">
      <formula>0</formula>
    </cfRule>
  </conditionalFormatting>
  <conditionalFormatting sqref="G56 G50">
    <cfRule type="cellIs" dxfId="1531" priority="161" operator="equal">
      <formula>"PMS"</formula>
    </cfRule>
    <cfRule type="containsText" dxfId="1530" priority="162" operator="containsText" text="CMS">
      <formula>NOT(ISERROR(SEARCH("CMS",G50)))</formula>
    </cfRule>
    <cfRule type="cellIs" dxfId="1529" priority="163" operator="equal">
      <formula>0</formula>
    </cfRule>
    <cfRule type="cellIs" dxfId="1528" priority="164" operator="greaterThan">
      <formula>0</formula>
    </cfRule>
    <cfRule type="cellIs" dxfId="1527" priority="165" operator="equal">
      <formula>"PMS"</formula>
    </cfRule>
    <cfRule type="containsText" dxfId="1526" priority="166" operator="containsText" text="CMS">
      <formula>NOT(ISERROR(SEARCH("CMS",G50)))</formula>
    </cfRule>
    <cfRule type="cellIs" dxfId="1525" priority="167" operator="equal">
      <formula>0</formula>
    </cfRule>
    <cfRule type="cellIs" dxfId="1524" priority="168" operator="greaterThan">
      <formula>0</formula>
    </cfRule>
  </conditionalFormatting>
  <conditionalFormatting sqref="G56 G50">
    <cfRule type="cellIs" dxfId="1523" priority="157" operator="equal">
      <formula>"PMS"</formula>
    </cfRule>
    <cfRule type="containsText" dxfId="1522" priority="158" operator="containsText" text="CMS">
      <formula>NOT(ISERROR(SEARCH("CMS",G50)))</formula>
    </cfRule>
    <cfRule type="cellIs" dxfId="1521" priority="159" operator="equal">
      <formula>0</formula>
    </cfRule>
    <cfRule type="cellIs" dxfId="1520" priority="160" operator="greaterThan">
      <formula>0</formula>
    </cfRule>
  </conditionalFormatting>
  <conditionalFormatting sqref="L24:N24">
    <cfRule type="cellIs" dxfId="1519" priority="149" operator="equal">
      <formula>"PMS"</formula>
    </cfRule>
    <cfRule type="containsText" dxfId="1518" priority="150" operator="containsText" text="CMS">
      <formula>NOT(ISERROR(SEARCH("CMS",L24)))</formula>
    </cfRule>
    <cfRule type="cellIs" dxfId="1517" priority="151" operator="equal">
      <formula>0</formula>
    </cfRule>
    <cfRule type="cellIs" dxfId="1516" priority="152" operator="greaterThan">
      <formula>0</formula>
    </cfRule>
    <cfRule type="cellIs" dxfId="1515" priority="153" operator="equal">
      <formula>"PMS"</formula>
    </cfRule>
    <cfRule type="containsText" dxfId="1514" priority="154" operator="containsText" text="CMS">
      <formula>NOT(ISERROR(SEARCH("CMS",L24)))</formula>
    </cfRule>
    <cfRule type="cellIs" dxfId="1513" priority="155" operator="equal">
      <formula>0</formula>
    </cfRule>
    <cfRule type="cellIs" dxfId="1512" priority="156" operator="greaterThan">
      <formula>0</formula>
    </cfRule>
  </conditionalFormatting>
  <conditionalFormatting sqref="L24:N24">
    <cfRule type="cellIs" dxfId="1511" priority="145" operator="equal">
      <formula>"PMS"</formula>
    </cfRule>
    <cfRule type="containsText" dxfId="1510" priority="146" operator="containsText" text="CMS">
      <formula>NOT(ISERROR(SEARCH("CMS",L24)))</formula>
    </cfRule>
    <cfRule type="cellIs" dxfId="1509" priority="147" operator="equal">
      <formula>0</formula>
    </cfRule>
    <cfRule type="cellIs" dxfId="1508" priority="148" operator="greaterThan">
      <formula>0</formula>
    </cfRule>
  </conditionalFormatting>
  <conditionalFormatting sqref="F67:F75">
    <cfRule type="cellIs" dxfId="1507" priority="65" operator="equal">
      <formula>"PMS"</formula>
    </cfRule>
    <cfRule type="containsText" dxfId="1506" priority="66" operator="containsText" text="CMS">
      <formula>NOT(ISERROR(SEARCH("CMS",F67)))</formula>
    </cfRule>
    <cfRule type="cellIs" dxfId="1505" priority="67" operator="equal">
      <formula>0</formula>
    </cfRule>
    <cfRule type="cellIs" dxfId="1504" priority="68" operator="greaterThan">
      <formula>0</formula>
    </cfRule>
    <cfRule type="cellIs" dxfId="1503" priority="69" operator="equal">
      <formula>"PMS"</formula>
    </cfRule>
    <cfRule type="containsText" dxfId="1502" priority="70" operator="containsText" text="CMS">
      <formula>NOT(ISERROR(SEARCH("CMS",F67)))</formula>
    </cfRule>
    <cfRule type="cellIs" dxfId="1501" priority="71" operator="equal">
      <formula>0</formula>
    </cfRule>
    <cfRule type="cellIs" dxfId="1500" priority="72" operator="greaterThan">
      <formula>0</formula>
    </cfRule>
  </conditionalFormatting>
  <conditionalFormatting sqref="F67:F75">
    <cfRule type="cellIs" dxfId="1499" priority="61" operator="equal">
      <formula>"PMS"</formula>
    </cfRule>
    <cfRule type="containsText" dxfId="1498" priority="62" operator="containsText" text="CMS">
      <formula>NOT(ISERROR(SEARCH("CMS",F67)))</formula>
    </cfRule>
    <cfRule type="cellIs" dxfId="1497" priority="63" operator="equal">
      <formula>0</formula>
    </cfRule>
    <cfRule type="cellIs" dxfId="1496" priority="64" operator="greaterThan">
      <formula>0</formula>
    </cfRule>
  </conditionalFormatting>
  <conditionalFormatting sqref="F82">
    <cfRule type="cellIs" dxfId="1495" priority="53" operator="equal">
      <formula>"PMS"</formula>
    </cfRule>
    <cfRule type="containsText" dxfId="1494" priority="54" operator="containsText" text="CMS">
      <formula>NOT(ISERROR(SEARCH("CMS",F82)))</formula>
    </cfRule>
    <cfRule type="cellIs" dxfId="1493" priority="55" operator="equal">
      <formula>0</formula>
    </cfRule>
    <cfRule type="cellIs" dxfId="1492" priority="56" operator="greaterThan">
      <formula>0</formula>
    </cfRule>
    <cfRule type="cellIs" dxfId="1491" priority="57" operator="equal">
      <formula>"PMS"</formula>
    </cfRule>
    <cfRule type="containsText" dxfId="1490" priority="58" operator="containsText" text="CMS">
      <formula>NOT(ISERROR(SEARCH("CMS",F82)))</formula>
    </cfRule>
    <cfRule type="cellIs" dxfId="1489" priority="59" operator="equal">
      <formula>0</formula>
    </cfRule>
    <cfRule type="cellIs" dxfId="1488" priority="60" operator="greaterThan">
      <formula>0</formula>
    </cfRule>
  </conditionalFormatting>
  <conditionalFormatting sqref="F82">
    <cfRule type="cellIs" dxfId="1487" priority="49" operator="equal">
      <formula>"PMS"</formula>
    </cfRule>
    <cfRule type="containsText" dxfId="1486" priority="50" operator="containsText" text="CMS">
      <formula>NOT(ISERROR(SEARCH("CMS",F82)))</formula>
    </cfRule>
    <cfRule type="cellIs" dxfId="1485" priority="51" operator="equal">
      <formula>0</formula>
    </cfRule>
    <cfRule type="cellIs" dxfId="1484" priority="52" operator="greaterThan">
      <formula>0</formula>
    </cfRule>
  </conditionalFormatting>
  <conditionalFormatting sqref="F13:F16">
    <cfRule type="cellIs" dxfId="1483" priority="41" operator="equal">
      <formula>"PMS"</formula>
    </cfRule>
    <cfRule type="containsText" dxfId="1482" priority="42" operator="containsText" text="CMS">
      <formula>NOT(ISERROR(SEARCH("CMS",F13)))</formula>
    </cfRule>
    <cfRule type="cellIs" dxfId="1481" priority="43" operator="equal">
      <formula>0</formula>
    </cfRule>
    <cfRule type="cellIs" dxfId="1480" priority="44" operator="greaterThan">
      <formula>0</formula>
    </cfRule>
    <cfRule type="cellIs" dxfId="1479" priority="45" operator="equal">
      <formula>"PMS"</formula>
    </cfRule>
    <cfRule type="containsText" dxfId="1478" priority="46" operator="containsText" text="CMS">
      <formula>NOT(ISERROR(SEARCH("CMS",F13)))</formula>
    </cfRule>
    <cfRule type="cellIs" dxfId="1477" priority="47" operator="equal">
      <formula>0</formula>
    </cfRule>
    <cfRule type="cellIs" dxfId="1476" priority="48" operator="greaterThan">
      <formula>0</formula>
    </cfRule>
  </conditionalFormatting>
  <conditionalFormatting sqref="F13:F16">
    <cfRule type="cellIs" dxfId="1475" priority="37" operator="equal">
      <formula>"PMS"</formula>
    </cfRule>
    <cfRule type="containsText" dxfId="1474" priority="38" operator="containsText" text="CMS">
      <formula>NOT(ISERROR(SEARCH("CMS",F13)))</formula>
    </cfRule>
    <cfRule type="cellIs" dxfId="1473" priority="39" operator="equal">
      <formula>0</formula>
    </cfRule>
    <cfRule type="cellIs" dxfId="1472" priority="40" operator="greaterThan">
      <formula>0</formula>
    </cfRule>
  </conditionalFormatting>
  <conditionalFormatting sqref="F33 F27:F30 F24 F19:F20">
    <cfRule type="cellIs" dxfId="1471" priority="29" operator="equal">
      <formula>"PMS"</formula>
    </cfRule>
    <cfRule type="containsText" dxfId="1470" priority="30" operator="containsText" text="CMS">
      <formula>NOT(ISERROR(SEARCH("CMS",F19)))</formula>
    </cfRule>
    <cfRule type="cellIs" dxfId="1469" priority="31" operator="equal">
      <formula>0</formula>
    </cfRule>
    <cfRule type="cellIs" dxfId="1468" priority="32" operator="greaterThan">
      <formula>0</formula>
    </cfRule>
    <cfRule type="cellIs" dxfId="1467" priority="33" operator="equal">
      <formula>"PMS"</formula>
    </cfRule>
    <cfRule type="containsText" dxfId="1466" priority="34" operator="containsText" text="CMS">
      <formula>NOT(ISERROR(SEARCH("CMS",F19)))</formula>
    </cfRule>
    <cfRule type="cellIs" dxfId="1465" priority="35" operator="equal">
      <formula>0</formula>
    </cfRule>
    <cfRule type="cellIs" dxfId="1464" priority="36" operator="greaterThan">
      <formula>0</formula>
    </cfRule>
  </conditionalFormatting>
  <conditionalFormatting sqref="F33 F27:F30 F24 F19:F20">
    <cfRule type="cellIs" dxfId="1463" priority="25" operator="equal">
      <formula>"PMS"</formula>
    </cfRule>
    <cfRule type="containsText" dxfId="1462" priority="26" operator="containsText" text="CMS">
      <formula>NOT(ISERROR(SEARCH("CMS",F19)))</formula>
    </cfRule>
    <cfRule type="cellIs" dxfId="1461" priority="27" operator="equal">
      <formula>0</formula>
    </cfRule>
    <cfRule type="cellIs" dxfId="1460" priority="28" operator="greaterThan">
      <formula>0</formula>
    </cfRule>
  </conditionalFormatting>
  <conditionalFormatting sqref="F36:F59">
    <cfRule type="cellIs" dxfId="1459" priority="17" operator="equal">
      <formula>"PMS"</formula>
    </cfRule>
    <cfRule type="containsText" dxfId="1458" priority="18" operator="containsText" text="CMS">
      <formula>NOT(ISERROR(SEARCH("CMS",F36)))</formula>
    </cfRule>
    <cfRule type="cellIs" dxfId="1457" priority="19" operator="equal">
      <formula>0</formula>
    </cfRule>
    <cfRule type="cellIs" dxfId="1456" priority="20" operator="greaterThan">
      <formula>0</formula>
    </cfRule>
    <cfRule type="cellIs" dxfId="1455" priority="21" operator="equal">
      <formula>"PMS"</formula>
    </cfRule>
    <cfRule type="containsText" dxfId="1454" priority="22" operator="containsText" text="CMS">
      <formula>NOT(ISERROR(SEARCH("CMS",F36)))</formula>
    </cfRule>
    <cfRule type="cellIs" dxfId="1453" priority="23" operator="equal">
      <formula>0</formula>
    </cfRule>
    <cfRule type="cellIs" dxfId="1452" priority="24" operator="greaterThan">
      <formula>0</formula>
    </cfRule>
  </conditionalFormatting>
  <conditionalFormatting sqref="F36:F59">
    <cfRule type="cellIs" dxfId="1451" priority="13" operator="equal">
      <formula>"PMS"</formula>
    </cfRule>
    <cfRule type="containsText" dxfId="1450" priority="14" operator="containsText" text="CMS">
      <formula>NOT(ISERROR(SEARCH("CMS",F36)))</formula>
    </cfRule>
    <cfRule type="cellIs" dxfId="1449" priority="15" operator="equal">
      <formula>0</formula>
    </cfRule>
    <cfRule type="cellIs" dxfId="1448" priority="16" operator="greaterThan">
      <formula>0</formula>
    </cfRule>
  </conditionalFormatting>
  <conditionalFormatting sqref="F78:F79 F62:F64">
    <cfRule type="cellIs" dxfId="1447" priority="5" operator="equal">
      <formula>"PMS"</formula>
    </cfRule>
    <cfRule type="containsText" dxfId="1446" priority="6" operator="containsText" text="CMS">
      <formula>NOT(ISERROR(SEARCH("CMS",F62)))</formula>
    </cfRule>
    <cfRule type="cellIs" dxfId="1445" priority="7" operator="equal">
      <formula>0</formula>
    </cfRule>
    <cfRule type="cellIs" dxfId="1444" priority="8" operator="greaterThan">
      <formula>0</formula>
    </cfRule>
    <cfRule type="cellIs" dxfId="1443" priority="9" operator="equal">
      <formula>"PMS"</formula>
    </cfRule>
    <cfRule type="containsText" dxfId="1442" priority="10" operator="containsText" text="CMS">
      <formula>NOT(ISERROR(SEARCH("CMS",F62)))</formula>
    </cfRule>
    <cfRule type="cellIs" dxfId="1441" priority="11" operator="equal">
      <formula>0</formula>
    </cfRule>
    <cfRule type="cellIs" dxfId="1440" priority="12" operator="greaterThan">
      <formula>0</formula>
    </cfRule>
  </conditionalFormatting>
  <conditionalFormatting sqref="F78:F79 F62:F64">
    <cfRule type="cellIs" dxfId="1439" priority="1" operator="equal">
      <formula>"PMS"</formula>
    </cfRule>
    <cfRule type="containsText" dxfId="1438" priority="2" operator="containsText" text="CMS">
      <formula>NOT(ISERROR(SEARCH("CMS",F62)))</formula>
    </cfRule>
    <cfRule type="cellIs" dxfId="1437" priority="3" operator="equal">
      <formula>0</formula>
    </cfRule>
    <cfRule type="cellIs" dxfId="1436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5136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0D37E-19B7-42E1-B0F3-57C0939D0F35}">
  <sheetPr codeName="Sheet186"/>
  <dimension ref="A2:DT141"/>
  <sheetViews>
    <sheetView zoomScale="70" zoomScaleNormal="70" zoomScaleSheetLayoutView="51" zoomScalePageLayoutView="55" workbookViewId="0">
      <pane xSplit="5" ySplit="11" topLeftCell="F12" activePane="bottomRight" state="frozen"/>
      <selection pane="bottomRight" activeCell="O16" sqref="O16"/>
      <selection pane="bottomLeft" activeCell="AJ44" sqref="AJ44"/>
      <selection pane="topRight" activeCell="AJ44" sqref="AJ4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23"/>
      <c r="N8" s="523"/>
      <c r="O8" s="52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24" t="e" cm="1">
        <f t="array" aca="1" ref="M9" ca="1">TEXT(TODAY(),"mmmm")&amp;" "&amp;MID(CELL("filename",A1),FIND("]",CELL("filename",A1))+1,255)&amp;", "&amp;TEXT(TODAY(),"yyyy")</f>
        <v>#VALUE!</v>
      </c>
      <c r="N9" s="524"/>
      <c r="O9" s="524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4"/>
      <c r="R10" s="344"/>
      <c r="S10" s="344"/>
      <c r="T10" s="344"/>
      <c r="U10" s="344"/>
      <c r="V10" s="344"/>
      <c r="W10" s="344"/>
      <c r="X10" s="344"/>
      <c r="Y10" s="344"/>
      <c r="Z10" s="344"/>
      <c r="AA10" s="344"/>
      <c r="AB10" s="344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17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483.09999999999997</v>
      </c>
    </row>
    <row r="13" spans="1:41">
      <c r="A13" s="14" t="s">
        <v>22</v>
      </c>
      <c r="B13" s="15"/>
      <c r="C13" s="15">
        <v>7.2</v>
      </c>
      <c r="D13" s="15"/>
      <c r="E13" s="15"/>
      <c r="F13" s="374"/>
      <c r="G13" s="372"/>
      <c r="H13" s="372"/>
      <c r="I13" s="372"/>
      <c r="J13" s="372"/>
      <c r="K13" s="374"/>
      <c r="L13" s="374"/>
      <c r="M13" s="374"/>
      <c r="N13" s="372">
        <v>3.3</v>
      </c>
      <c r="O13" s="372">
        <v>5.6</v>
      </c>
      <c r="P13" s="372">
        <v>6.5</v>
      </c>
      <c r="Q13" s="372">
        <v>6.6</v>
      </c>
      <c r="R13" s="372">
        <v>6.5</v>
      </c>
      <c r="S13" s="372">
        <v>6.6</v>
      </c>
      <c r="T13" s="372">
        <v>6.6</v>
      </c>
      <c r="U13" s="372">
        <v>6.4</v>
      </c>
      <c r="V13" s="372">
        <v>6.4</v>
      </c>
      <c r="W13" s="372">
        <v>6.2</v>
      </c>
      <c r="X13" s="374">
        <v>6.4</v>
      </c>
      <c r="Y13" s="374">
        <v>6.7</v>
      </c>
      <c r="Z13" s="372">
        <v>6.6</v>
      </c>
      <c r="AA13" s="372">
        <v>6.4</v>
      </c>
      <c r="AB13" s="372">
        <v>6.6</v>
      </c>
      <c r="AC13" s="374">
        <v>7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16</v>
      </c>
    </row>
    <row r="14" spans="1:41">
      <c r="A14" s="14" t="s">
        <v>23</v>
      </c>
      <c r="B14" s="15"/>
      <c r="C14" s="15">
        <v>7.2</v>
      </c>
      <c r="D14" s="15"/>
      <c r="E14" s="15"/>
      <c r="F14" s="374">
        <v>6.6</v>
      </c>
      <c r="G14" s="372">
        <v>6.2</v>
      </c>
      <c r="H14" s="372">
        <v>6.7</v>
      </c>
      <c r="I14" s="372">
        <v>6.6</v>
      </c>
      <c r="J14" s="372">
        <v>6.7</v>
      </c>
      <c r="K14" s="374">
        <v>6.6</v>
      </c>
      <c r="L14" s="374">
        <v>6.6</v>
      </c>
      <c r="M14" s="374">
        <v>6.7</v>
      </c>
      <c r="N14" s="372">
        <v>6.7</v>
      </c>
      <c r="O14" s="372">
        <v>5.6</v>
      </c>
      <c r="P14" s="372">
        <v>6.5</v>
      </c>
      <c r="Q14" s="372">
        <v>6.6</v>
      </c>
      <c r="R14" s="372">
        <v>6.5</v>
      </c>
      <c r="S14" s="372">
        <v>6.6</v>
      </c>
      <c r="T14" s="372">
        <v>6.6</v>
      </c>
      <c r="U14" s="372">
        <v>6.4</v>
      </c>
      <c r="V14" s="372">
        <v>6.4</v>
      </c>
      <c r="W14" s="372">
        <v>6.2</v>
      </c>
      <c r="X14" s="374">
        <v>6.4</v>
      </c>
      <c r="Y14" s="374">
        <v>6.7</v>
      </c>
      <c r="Z14" s="372">
        <v>6.6</v>
      </c>
      <c r="AA14" s="372">
        <v>0</v>
      </c>
      <c r="AB14" s="372">
        <v>0</v>
      </c>
      <c r="AC14" s="374">
        <v>0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374">
        <v>6.6</v>
      </c>
      <c r="G15" s="372">
        <v>6.2</v>
      </c>
      <c r="H15" s="372">
        <v>6.7</v>
      </c>
      <c r="I15" s="372">
        <v>6.6</v>
      </c>
      <c r="J15" s="372">
        <v>6.7</v>
      </c>
      <c r="K15" s="374">
        <v>6.6</v>
      </c>
      <c r="L15" s="374">
        <v>6.6</v>
      </c>
      <c r="M15" s="374">
        <v>6.7</v>
      </c>
      <c r="N15" s="372">
        <v>6.7</v>
      </c>
      <c r="O15" s="372">
        <v>5.6</v>
      </c>
      <c r="P15" s="372">
        <v>6.5</v>
      </c>
      <c r="Q15" s="372">
        <v>6.6</v>
      </c>
      <c r="R15" s="372">
        <v>6.5</v>
      </c>
      <c r="S15" s="372">
        <v>6.6</v>
      </c>
      <c r="T15" s="372">
        <v>6.6</v>
      </c>
      <c r="U15" s="372">
        <v>6.4</v>
      </c>
      <c r="V15" s="372">
        <v>6.4</v>
      </c>
      <c r="W15" s="372">
        <v>6.2</v>
      </c>
      <c r="X15" s="374">
        <v>6.4</v>
      </c>
      <c r="Y15" s="374">
        <v>6.7</v>
      </c>
      <c r="Z15" s="372">
        <v>6.6</v>
      </c>
      <c r="AA15" s="372">
        <v>6.4</v>
      </c>
      <c r="AB15" s="372">
        <v>6.6</v>
      </c>
      <c r="AC15" s="374">
        <v>7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372"/>
      <c r="G16" s="372"/>
      <c r="H16" s="372"/>
      <c r="I16" s="372"/>
      <c r="J16" s="372"/>
      <c r="K16" s="374"/>
      <c r="L16" s="374"/>
      <c r="M16" s="374"/>
      <c r="N16" s="372"/>
      <c r="O16" s="372">
        <v>3.2</v>
      </c>
      <c r="P16" s="372">
        <v>1.5</v>
      </c>
      <c r="Q16" s="372">
        <v>6.6</v>
      </c>
      <c r="R16" s="372">
        <v>6.5</v>
      </c>
      <c r="S16" s="372">
        <v>6.6</v>
      </c>
      <c r="T16" s="372">
        <v>6.6</v>
      </c>
      <c r="U16" s="372">
        <v>6.4</v>
      </c>
      <c r="V16" s="372">
        <v>6.4</v>
      </c>
      <c r="W16" s="372">
        <v>6.2</v>
      </c>
      <c r="X16" s="374">
        <v>6.4</v>
      </c>
      <c r="Y16" s="374">
        <v>6.7</v>
      </c>
      <c r="Z16" s="372">
        <v>6.6</v>
      </c>
      <c r="AA16" s="372">
        <v>6.4</v>
      </c>
      <c r="AB16" s="372">
        <v>6.6</v>
      </c>
      <c r="AC16" s="372">
        <v>7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15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13.2</v>
      </c>
      <c r="G17" s="19">
        <f t="shared" si="0"/>
        <v>12.4</v>
      </c>
      <c r="H17" s="19">
        <f>SUM(H13:H16)</f>
        <v>13.4</v>
      </c>
      <c r="I17" s="19">
        <f t="shared" si="0"/>
        <v>13.2</v>
      </c>
      <c r="J17" s="19">
        <f t="shared" si="0"/>
        <v>13.4</v>
      </c>
      <c r="K17" s="19">
        <f t="shared" si="0"/>
        <v>13.2</v>
      </c>
      <c r="L17" s="19">
        <f t="shared" si="0"/>
        <v>13.2</v>
      </c>
      <c r="M17" s="19">
        <f t="shared" si="0"/>
        <v>13.4</v>
      </c>
      <c r="N17" s="19">
        <f t="shared" si="0"/>
        <v>16.7</v>
      </c>
      <c r="O17" s="19">
        <f t="shared" si="0"/>
        <v>19.999999999999996</v>
      </c>
      <c r="P17" s="19">
        <f t="shared" si="0"/>
        <v>21</v>
      </c>
      <c r="Q17" s="19">
        <f t="shared" si="0"/>
        <v>26.4</v>
      </c>
      <c r="R17" s="19">
        <f t="shared" si="0"/>
        <v>26</v>
      </c>
      <c r="S17" s="19">
        <f t="shared" si="0"/>
        <v>26.4</v>
      </c>
      <c r="T17" s="19">
        <f t="shared" si="0"/>
        <v>26.4</v>
      </c>
      <c r="U17" s="19">
        <f t="shared" si="0"/>
        <v>25.6</v>
      </c>
      <c r="V17" s="19">
        <f t="shared" si="0"/>
        <v>25.6</v>
      </c>
      <c r="W17" s="19">
        <f t="shared" si="0"/>
        <v>24.8</v>
      </c>
      <c r="X17" s="19">
        <f t="shared" si="0"/>
        <v>25.6</v>
      </c>
      <c r="Y17" s="19">
        <f t="shared" si="0"/>
        <v>26.8</v>
      </c>
      <c r="Z17" s="19">
        <f t="shared" si="0"/>
        <v>26.4</v>
      </c>
      <c r="AA17" s="19">
        <f t="shared" si="0"/>
        <v>19.200000000000003</v>
      </c>
      <c r="AB17" s="19">
        <f t="shared" si="0"/>
        <v>19.799999999999997</v>
      </c>
      <c r="AC17" s="19">
        <f t="shared" si="0"/>
        <v>21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84.09999999999998</v>
      </c>
    </row>
    <row r="19" spans="1:51">
      <c r="A19" s="14" t="s">
        <v>22</v>
      </c>
      <c r="B19" s="15"/>
      <c r="C19" s="15">
        <v>3</v>
      </c>
      <c r="D19" s="15"/>
      <c r="E19" s="15"/>
      <c r="F19" s="372">
        <v>0</v>
      </c>
      <c r="G19" s="372">
        <v>0</v>
      </c>
      <c r="H19" s="372">
        <v>0</v>
      </c>
      <c r="I19" s="372">
        <v>0</v>
      </c>
      <c r="J19" s="372">
        <v>0</v>
      </c>
      <c r="K19" s="374">
        <v>0</v>
      </c>
      <c r="L19" s="374">
        <v>0</v>
      </c>
      <c r="M19" s="374">
        <v>2.8</v>
      </c>
      <c r="N19" s="374">
        <v>2.8</v>
      </c>
      <c r="O19" s="372">
        <v>2.8</v>
      </c>
      <c r="P19" s="372">
        <v>2.8</v>
      </c>
      <c r="Q19" s="372">
        <v>2.8</v>
      </c>
      <c r="R19" s="372">
        <v>2.8</v>
      </c>
      <c r="S19" s="372">
        <v>2.8</v>
      </c>
      <c r="T19" s="372">
        <v>2.8</v>
      </c>
      <c r="U19" s="372">
        <v>2.8</v>
      </c>
      <c r="V19" s="372">
        <v>2</v>
      </c>
      <c r="W19" s="372">
        <v>2</v>
      </c>
      <c r="X19" s="372">
        <v>2.2000000000000002</v>
      </c>
      <c r="Y19" s="372">
        <v>1.2</v>
      </c>
      <c r="Z19" s="372"/>
      <c r="AA19" s="372"/>
      <c r="AB19" s="372"/>
      <c r="AC19" s="372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20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372"/>
      <c r="G20" s="372"/>
      <c r="H20" s="372"/>
      <c r="I20" s="372"/>
      <c r="J20" s="372"/>
      <c r="K20" s="374"/>
      <c r="L20" s="374"/>
      <c r="M20" s="374"/>
      <c r="N20" s="372"/>
      <c r="O20" s="372"/>
      <c r="P20" s="372"/>
      <c r="Q20" s="372"/>
      <c r="R20" s="372"/>
      <c r="S20" s="372"/>
      <c r="T20" s="372"/>
      <c r="U20" s="372"/>
      <c r="V20" s="372"/>
      <c r="W20" s="372"/>
      <c r="X20" s="372"/>
      <c r="Y20" s="372"/>
      <c r="Z20" s="372"/>
      <c r="AA20" s="372"/>
      <c r="AB20" s="372"/>
      <c r="AC20" s="372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2">
        <v>2</v>
      </c>
      <c r="G21" s="372"/>
      <c r="H21" s="372"/>
      <c r="I21" s="372"/>
      <c r="J21" s="372"/>
      <c r="K21" s="374"/>
      <c r="L21" s="374"/>
      <c r="M21" s="374"/>
      <c r="N21" s="372"/>
      <c r="O21" s="372">
        <v>3.8</v>
      </c>
      <c r="P21" s="372">
        <v>3.8</v>
      </c>
      <c r="Q21" s="372">
        <v>3.8</v>
      </c>
      <c r="R21" s="372">
        <v>3.8</v>
      </c>
      <c r="S21" s="372">
        <v>3.8</v>
      </c>
      <c r="T21" s="372">
        <v>3.8</v>
      </c>
      <c r="U21" s="372">
        <v>3.8</v>
      </c>
      <c r="V21" s="372">
        <v>3</v>
      </c>
      <c r="W21" s="372">
        <v>3</v>
      </c>
      <c r="X21" s="372">
        <v>3.3</v>
      </c>
      <c r="Y21" s="372">
        <v>3.8</v>
      </c>
      <c r="Z21" s="372">
        <v>3</v>
      </c>
      <c r="AA21" s="372">
        <v>3.8</v>
      </c>
      <c r="AB21" s="372">
        <v>3</v>
      </c>
      <c r="AC21" s="372"/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15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1">SUM(F19:F21)</f>
        <v>2</v>
      </c>
      <c r="G22" s="19">
        <f>SUM(G19:G21)</f>
        <v>0</v>
      </c>
      <c r="H22" s="19">
        <f t="shared" ref="H22:AC22" si="2">SUM(H19:H21)</f>
        <v>0</v>
      </c>
      <c r="I22" s="19">
        <f t="shared" si="2"/>
        <v>0</v>
      </c>
      <c r="J22" s="19">
        <f t="shared" si="2"/>
        <v>0</v>
      </c>
      <c r="K22" s="19">
        <f t="shared" si="2"/>
        <v>0</v>
      </c>
      <c r="L22" s="19">
        <f t="shared" si="2"/>
        <v>0</v>
      </c>
      <c r="M22" s="19">
        <f t="shared" si="2"/>
        <v>2.8</v>
      </c>
      <c r="N22" s="19">
        <f t="shared" si="2"/>
        <v>2.8</v>
      </c>
      <c r="O22" s="19">
        <f t="shared" si="2"/>
        <v>6.6</v>
      </c>
      <c r="P22" s="19">
        <f t="shared" si="2"/>
        <v>6.6</v>
      </c>
      <c r="Q22" s="19">
        <f t="shared" si="2"/>
        <v>6.6</v>
      </c>
      <c r="R22" s="19">
        <f t="shared" si="2"/>
        <v>6.6</v>
      </c>
      <c r="S22" s="19">
        <f>SUM(S19:S21)</f>
        <v>6.6</v>
      </c>
      <c r="T22" s="19">
        <f t="shared" ref="T22" si="3">SUM(T19:T21)</f>
        <v>6.6</v>
      </c>
      <c r="U22" s="19">
        <f t="shared" si="2"/>
        <v>6.6</v>
      </c>
      <c r="V22" s="19">
        <f t="shared" si="2"/>
        <v>5</v>
      </c>
      <c r="W22" s="19">
        <f t="shared" si="2"/>
        <v>5</v>
      </c>
      <c r="X22" s="19">
        <f t="shared" si="2"/>
        <v>5.5</v>
      </c>
      <c r="Y22" s="19">
        <f t="shared" si="2"/>
        <v>5</v>
      </c>
      <c r="Z22" s="19">
        <f t="shared" si="2"/>
        <v>3</v>
      </c>
      <c r="AA22" s="19">
        <f t="shared" si="2"/>
        <v>3.8</v>
      </c>
      <c r="AB22" s="19">
        <f>SUM(AB19:AB21)</f>
        <v>3</v>
      </c>
      <c r="AC22" s="19">
        <f t="shared" si="2"/>
        <v>0</v>
      </c>
      <c r="AD22" s="41"/>
      <c r="AE22" s="41"/>
      <c r="AF22" s="11"/>
      <c r="AG22" s="11"/>
      <c r="AH22" s="11"/>
      <c r="AI22" s="400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409">
        <f>SUM(F24:AC24)</f>
        <v>47.9</v>
      </c>
    </row>
    <row r="24" spans="1:51">
      <c r="A24" s="14" t="s">
        <v>22</v>
      </c>
      <c r="B24" s="20"/>
      <c r="C24" s="15">
        <v>4.5</v>
      </c>
      <c r="D24" s="15"/>
      <c r="E24" s="15"/>
      <c r="F24" s="372"/>
      <c r="G24" s="372"/>
      <c r="H24" s="372"/>
      <c r="I24" s="372"/>
      <c r="J24" s="372"/>
      <c r="K24" s="374"/>
      <c r="L24" s="374"/>
      <c r="M24" s="374"/>
      <c r="N24" s="374"/>
      <c r="O24" s="372">
        <v>2.5</v>
      </c>
      <c r="P24" s="372">
        <v>3.8</v>
      </c>
      <c r="Q24" s="372">
        <v>3.8</v>
      </c>
      <c r="R24" s="372">
        <v>3.8</v>
      </c>
      <c r="S24" s="372">
        <v>3.8</v>
      </c>
      <c r="T24" s="372">
        <v>3.8</v>
      </c>
      <c r="U24" s="372">
        <v>3.8</v>
      </c>
      <c r="V24" s="372">
        <v>3.8</v>
      </c>
      <c r="W24" s="372">
        <v>3</v>
      </c>
      <c r="X24" s="372">
        <v>3</v>
      </c>
      <c r="Y24" s="372">
        <v>3</v>
      </c>
      <c r="Z24" s="372">
        <v>3</v>
      </c>
      <c r="AA24" s="372">
        <v>3.8</v>
      </c>
      <c r="AB24" s="372">
        <v>3</v>
      </c>
      <c r="AC24" s="372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:AC25" si="4">SUM(F24)</f>
        <v>0</v>
      </c>
      <c r="G25" s="19">
        <f t="shared" si="4"/>
        <v>0</v>
      </c>
      <c r="H25" s="19">
        <f t="shared" si="4"/>
        <v>0</v>
      </c>
      <c r="I25" s="19">
        <f t="shared" si="4"/>
        <v>0</v>
      </c>
      <c r="J25" s="19">
        <f t="shared" si="4"/>
        <v>0</v>
      </c>
      <c r="K25" s="19">
        <f t="shared" si="4"/>
        <v>0</v>
      </c>
      <c r="L25" s="19">
        <f t="shared" si="4"/>
        <v>0</v>
      </c>
      <c r="M25" s="19">
        <f t="shared" si="4"/>
        <v>0</v>
      </c>
      <c r="N25" s="19">
        <f t="shared" si="4"/>
        <v>0</v>
      </c>
      <c r="O25" s="19">
        <f t="shared" si="4"/>
        <v>2.5</v>
      </c>
      <c r="P25" s="19">
        <f t="shared" si="4"/>
        <v>3.8</v>
      </c>
      <c r="Q25" s="19">
        <f t="shared" si="4"/>
        <v>3.8</v>
      </c>
      <c r="R25" s="19">
        <f t="shared" si="4"/>
        <v>3.8</v>
      </c>
      <c r="S25" s="19">
        <f t="shared" si="4"/>
        <v>3.8</v>
      </c>
      <c r="T25" s="19">
        <f t="shared" si="4"/>
        <v>3.8</v>
      </c>
      <c r="U25" s="19">
        <f t="shared" si="4"/>
        <v>3.8</v>
      </c>
      <c r="V25" s="19">
        <f t="shared" si="4"/>
        <v>3.8</v>
      </c>
      <c r="W25" s="19">
        <f t="shared" si="4"/>
        <v>3</v>
      </c>
      <c r="X25" s="19">
        <f t="shared" si="4"/>
        <v>3</v>
      </c>
      <c r="Y25" s="19">
        <f t="shared" si="4"/>
        <v>3</v>
      </c>
      <c r="Z25" s="19">
        <f t="shared" si="4"/>
        <v>3</v>
      </c>
      <c r="AA25" s="19">
        <f t="shared" si="4"/>
        <v>3.8</v>
      </c>
      <c r="AB25" s="19">
        <f t="shared" si="4"/>
        <v>3</v>
      </c>
      <c r="AC25" s="19">
        <f t="shared" si="4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168.6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2">
        <v>3</v>
      </c>
      <c r="G27" s="372">
        <v>3</v>
      </c>
      <c r="H27" s="372">
        <v>4.5</v>
      </c>
      <c r="I27" s="372">
        <v>3.8</v>
      </c>
      <c r="J27" s="372">
        <v>3.4</v>
      </c>
      <c r="K27" s="372">
        <v>3.4</v>
      </c>
      <c r="L27" s="374">
        <v>4</v>
      </c>
      <c r="M27" s="374">
        <v>4</v>
      </c>
      <c r="N27" s="372">
        <v>4.2</v>
      </c>
      <c r="O27" s="372">
        <v>4.2</v>
      </c>
      <c r="P27" s="372">
        <v>4.2</v>
      </c>
      <c r="Q27" s="372">
        <v>4.0999999999999996</v>
      </c>
      <c r="R27" s="372">
        <v>3.8</v>
      </c>
      <c r="S27" s="372">
        <v>4</v>
      </c>
      <c r="T27" s="372">
        <v>4.0999999999999996</v>
      </c>
      <c r="U27" s="372">
        <v>3.5</v>
      </c>
      <c r="V27" s="372">
        <v>2.2000000000000002</v>
      </c>
      <c r="W27" s="372">
        <v>1.5</v>
      </c>
      <c r="X27" s="372">
        <v>1.6</v>
      </c>
      <c r="Y27" s="372">
        <v>3</v>
      </c>
      <c r="Z27" s="372">
        <v>3.1</v>
      </c>
      <c r="AA27" s="372">
        <v>4.2</v>
      </c>
      <c r="AB27" s="372">
        <v>3</v>
      </c>
      <c r="AC27" s="372">
        <v>4.5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2">
        <v>3</v>
      </c>
      <c r="G28" s="372">
        <v>3</v>
      </c>
      <c r="H28" s="372">
        <v>4.5</v>
      </c>
      <c r="I28" s="372">
        <v>3.8</v>
      </c>
      <c r="J28" s="372">
        <v>3.4</v>
      </c>
      <c r="K28" s="374">
        <v>3.4</v>
      </c>
      <c r="L28" s="374">
        <v>4</v>
      </c>
      <c r="M28" s="374">
        <v>4</v>
      </c>
      <c r="N28" s="372">
        <v>4.2</v>
      </c>
      <c r="O28" s="372">
        <v>4.2</v>
      </c>
      <c r="P28" s="372">
        <v>4.2</v>
      </c>
      <c r="Q28" s="372">
        <v>4.0999999999999996</v>
      </c>
      <c r="R28" s="372">
        <v>3.8</v>
      </c>
      <c r="S28" s="372">
        <v>4</v>
      </c>
      <c r="T28" s="372">
        <v>4.0999999999999996</v>
      </c>
      <c r="U28" s="372">
        <v>3.5</v>
      </c>
      <c r="V28" s="372">
        <v>2.2000000000000002</v>
      </c>
      <c r="W28" s="372">
        <v>1.5</v>
      </c>
      <c r="X28" s="372">
        <v>1.6</v>
      </c>
      <c r="Y28" s="372">
        <v>3</v>
      </c>
      <c r="Z28" s="372">
        <v>3.1</v>
      </c>
      <c r="AA28" s="372">
        <v>4.2</v>
      </c>
      <c r="AB28" s="372">
        <v>3</v>
      </c>
      <c r="AC28" s="372">
        <v>4.5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18.3</v>
      </c>
    </row>
    <row r="29" spans="1:51" ht="15" customHeight="1">
      <c r="A29" s="14" t="s">
        <v>30</v>
      </c>
      <c r="B29" s="369"/>
      <c r="C29" s="370">
        <v>8.8000000000000007</v>
      </c>
      <c r="D29" s="371"/>
      <c r="E29" s="371"/>
      <c r="F29" s="372"/>
      <c r="G29" s="372"/>
      <c r="H29" s="372"/>
      <c r="I29" s="372"/>
      <c r="J29" s="372"/>
      <c r="K29" s="374"/>
      <c r="L29" s="374"/>
      <c r="M29" s="374"/>
      <c r="N29" s="372"/>
      <c r="O29" s="372"/>
      <c r="P29" s="372"/>
      <c r="Q29" s="372"/>
      <c r="R29" s="372"/>
      <c r="S29" s="372"/>
      <c r="T29" s="372">
        <v>2.7</v>
      </c>
      <c r="U29" s="372"/>
      <c r="V29" s="372"/>
      <c r="W29" s="372"/>
      <c r="X29" s="372">
        <v>3.8</v>
      </c>
      <c r="Y29" s="372">
        <v>0</v>
      </c>
      <c r="Z29" s="372">
        <v>0</v>
      </c>
      <c r="AA29" s="372">
        <v>0</v>
      </c>
      <c r="AB29" s="372">
        <v>0</v>
      </c>
      <c r="AC29" s="372">
        <v>0</v>
      </c>
    </row>
    <row r="30" spans="1:51" ht="15" customHeight="1">
      <c r="A30" s="14" t="s">
        <v>31</v>
      </c>
      <c r="B30" s="369"/>
      <c r="C30" s="370">
        <v>8.8000000000000007</v>
      </c>
      <c r="D30" s="371"/>
      <c r="E30" s="371"/>
      <c r="F30" s="372"/>
      <c r="G30" s="372"/>
      <c r="H30" s="372"/>
      <c r="I30" s="372"/>
      <c r="J30" s="372"/>
      <c r="K30" s="374"/>
      <c r="L30" s="374"/>
      <c r="M30" s="374"/>
      <c r="N30" s="372"/>
      <c r="O30" s="372"/>
      <c r="P30" s="372"/>
      <c r="Q30" s="372"/>
      <c r="R30" s="372">
        <v>1</v>
      </c>
      <c r="S30" s="372"/>
      <c r="T30" s="372"/>
      <c r="U30" s="372">
        <v>1</v>
      </c>
      <c r="V30" s="372">
        <v>4</v>
      </c>
      <c r="W30" s="372">
        <v>4.8</v>
      </c>
      <c r="X30" s="372">
        <v>1</v>
      </c>
      <c r="Y30" s="372">
        <v>0</v>
      </c>
      <c r="Z30" s="372">
        <v>0</v>
      </c>
      <c r="AA30" s="372">
        <v>0</v>
      </c>
      <c r="AB30" s="372">
        <v>0</v>
      </c>
      <c r="AC30" s="372">
        <v>0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:AC31" si="5">SUM(F27:F29)</f>
        <v>6</v>
      </c>
      <c r="G31" s="19">
        <f t="shared" si="5"/>
        <v>6</v>
      </c>
      <c r="H31" s="19">
        <f t="shared" si="5"/>
        <v>9</v>
      </c>
      <c r="I31" s="19">
        <f t="shared" si="5"/>
        <v>7.6</v>
      </c>
      <c r="J31" s="19">
        <f t="shared" si="5"/>
        <v>6.8</v>
      </c>
      <c r="K31" s="19">
        <f t="shared" si="5"/>
        <v>6.8</v>
      </c>
      <c r="L31" s="19">
        <f t="shared" si="5"/>
        <v>8</v>
      </c>
      <c r="M31" s="19">
        <f t="shared" si="5"/>
        <v>8</v>
      </c>
      <c r="N31" s="19">
        <f t="shared" si="5"/>
        <v>8.4</v>
      </c>
      <c r="O31" s="19">
        <f t="shared" si="5"/>
        <v>8.4</v>
      </c>
      <c r="P31" s="19">
        <f t="shared" si="5"/>
        <v>8.4</v>
      </c>
      <c r="Q31" s="19">
        <f t="shared" si="5"/>
        <v>8.1999999999999993</v>
      </c>
      <c r="R31" s="19">
        <f t="shared" si="5"/>
        <v>7.6</v>
      </c>
      <c r="S31" s="19">
        <f t="shared" si="5"/>
        <v>8</v>
      </c>
      <c r="T31" s="19">
        <f>SUM(T27:T29)</f>
        <v>10.899999999999999</v>
      </c>
      <c r="U31" s="19">
        <f t="shared" si="5"/>
        <v>7</v>
      </c>
      <c r="V31" s="19">
        <f t="shared" si="5"/>
        <v>4.4000000000000004</v>
      </c>
      <c r="W31" s="19">
        <f>SUM(W27:W30)</f>
        <v>7.8</v>
      </c>
      <c r="X31" s="19">
        <f>SUM(X27:X30)</f>
        <v>8</v>
      </c>
      <c r="Y31" s="19">
        <f>SUM(Y27:Y30)</f>
        <v>6</v>
      </c>
      <c r="Z31" s="19">
        <f>SUM(Z27:Z30)</f>
        <v>6.2</v>
      </c>
      <c r="AA31" s="19">
        <f t="shared" si="5"/>
        <v>8.4</v>
      </c>
      <c r="AB31" s="19">
        <f t="shared" si="5"/>
        <v>6</v>
      </c>
      <c r="AC31" s="19">
        <f t="shared" si="5"/>
        <v>9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333.8</v>
      </c>
    </row>
    <row r="33" spans="1:36">
      <c r="A33" s="14" t="s">
        <v>22</v>
      </c>
      <c r="B33" s="15"/>
      <c r="C33" s="15">
        <v>15</v>
      </c>
      <c r="D33" s="15"/>
      <c r="E33" s="15"/>
      <c r="F33" s="372">
        <v>13.29</v>
      </c>
      <c r="G33" s="374">
        <v>12.75</v>
      </c>
      <c r="H33" s="372">
        <v>14.26</v>
      </c>
      <c r="I33" s="372">
        <v>14.24</v>
      </c>
      <c r="J33" s="372">
        <v>14.3</v>
      </c>
      <c r="K33" s="374">
        <v>14.28</v>
      </c>
      <c r="L33" s="374">
        <v>14.28</v>
      </c>
      <c r="M33" s="374">
        <v>13.29</v>
      </c>
      <c r="N33" s="372">
        <v>14.25</v>
      </c>
      <c r="O33" s="372">
        <v>14.25</v>
      </c>
      <c r="P33" s="372">
        <v>14.25</v>
      </c>
      <c r="Q33" s="372">
        <v>14.27</v>
      </c>
      <c r="R33" s="372">
        <v>14.26</v>
      </c>
      <c r="S33" s="372">
        <v>14.25</v>
      </c>
      <c r="T33" s="372">
        <v>14.26</v>
      </c>
      <c r="U33" s="372">
        <v>14.25</v>
      </c>
      <c r="V33" s="372">
        <v>14.27</v>
      </c>
      <c r="W33" s="372">
        <v>13.74</v>
      </c>
      <c r="X33" s="372">
        <v>11.27</v>
      </c>
      <c r="Y33" s="372">
        <v>14.25</v>
      </c>
      <c r="Z33" s="372">
        <v>13.74</v>
      </c>
      <c r="AA33" s="372">
        <v>14.24</v>
      </c>
      <c r="AB33" s="372">
        <v>13.3</v>
      </c>
      <c r="AC33" s="372">
        <v>14.26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:AC34" si="6">SUM(F33)</f>
        <v>13.29</v>
      </c>
      <c r="G34" s="19">
        <f t="shared" si="6"/>
        <v>12.75</v>
      </c>
      <c r="H34" s="19">
        <f t="shared" si="6"/>
        <v>14.26</v>
      </c>
      <c r="I34" s="19">
        <f t="shared" si="6"/>
        <v>14.24</v>
      </c>
      <c r="J34" s="19">
        <f>SUM(J33)</f>
        <v>14.3</v>
      </c>
      <c r="K34" s="19">
        <f t="shared" si="6"/>
        <v>14.28</v>
      </c>
      <c r="L34" s="19">
        <f t="shared" si="6"/>
        <v>14.28</v>
      </c>
      <c r="M34" s="19">
        <f t="shared" si="6"/>
        <v>13.29</v>
      </c>
      <c r="N34" s="19">
        <f t="shared" si="6"/>
        <v>14.25</v>
      </c>
      <c r="O34" s="19">
        <f t="shared" si="6"/>
        <v>14.25</v>
      </c>
      <c r="P34" s="19">
        <f>SUM(P33)</f>
        <v>14.25</v>
      </c>
      <c r="Q34" s="19">
        <f t="shared" si="6"/>
        <v>14.27</v>
      </c>
      <c r="R34" s="19">
        <f t="shared" si="6"/>
        <v>14.26</v>
      </c>
      <c r="S34" s="19">
        <f t="shared" si="6"/>
        <v>14.25</v>
      </c>
      <c r="T34" s="19">
        <f t="shared" si="6"/>
        <v>14.26</v>
      </c>
      <c r="U34" s="19">
        <f t="shared" si="6"/>
        <v>14.25</v>
      </c>
      <c r="V34" s="19">
        <f t="shared" si="6"/>
        <v>14.27</v>
      </c>
      <c r="W34" s="19">
        <f t="shared" si="6"/>
        <v>13.74</v>
      </c>
      <c r="X34" s="19">
        <f t="shared" si="6"/>
        <v>11.27</v>
      </c>
      <c r="Y34" s="19">
        <f t="shared" si="6"/>
        <v>14.25</v>
      </c>
      <c r="Z34" s="19">
        <f t="shared" si="6"/>
        <v>13.74</v>
      </c>
      <c r="AA34" s="19">
        <f t="shared" si="6"/>
        <v>14.24</v>
      </c>
      <c r="AB34" s="19">
        <f t="shared" si="6"/>
        <v>13.3</v>
      </c>
      <c r="AC34" s="19">
        <f t="shared" si="6"/>
        <v>14.26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55"/>
      <c r="G35" s="455"/>
      <c r="H35" s="455"/>
      <c r="I35" s="455"/>
      <c r="J35" s="455"/>
      <c r="K35" s="455"/>
      <c r="L35" s="455"/>
      <c r="M35" s="455"/>
      <c r="N35" s="455"/>
      <c r="O35" s="455"/>
      <c r="P35" s="455"/>
      <c r="Q35" s="455"/>
      <c r="R35" s="455"/>
      <c r="S35" s="455"/>
      <c r="T35" s="455"/>
      <c r="U35" s="455"/>
      <c r="V35" s="455"/>
      <c r="W35" s="456"/>
      <c r="X35" s="455"/>
      <c r="Y35" s="455"/>
      <c r="Z35" s="455"/>
      <c r="AA35" s="455"/>
      <c r="AB35" s="455"/>
      <c r="AC35" s="455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35</v>
      </c>
    </row>
    <row r="36" spans="1:36">
      <c r="A36" s="70" t="s">
        <v>36</v>
      </c>
      <c r="B36" s="15"/>
      <c r="C36" s="15"/>
      <c r="D36" s="15"/>
      <c r="E36" s="15"/>
      <c r="F36" s="372"/>
      <c r="G36" s="372"/>
      <c r="H36" s="372"/>
      <c r="I36" s="372"/>
      <c r="J36" s="372"/>
      <c r="K36" s="374"/>
      <c r="L36" s="374"/>
      <c r="M36" s="374"/>
      <c r="N36" s="372"/>
      <c r="O36" s="372"/>
      <c r="P36" s="372"/>
      <c r="Q36" s="372"/>
      <c r="R36" s="372"/>
      <c r="S36" s="372"/>
      <c r="T36" s="372"/>
      <c r="U36" s="372"/>
      <c r="V36" s="372"/>
      <c r="W36" s="372"/>
      <c r="X36" s="372"/>
      <c r="Y36" s="372"/>
      <c r="Z36" s="372"/>
      <c r="AA36" s="372"/>
      <c r="AB36" s="372"/>
      <c r="AC36" s="372"/>
      <c r="AD36" s="41"/>
      <c r="AE36" s="41"/>
      <c r="AF36" s="11">
        <f t="shared" ref="AF36:AF59" si="7">COUNTIF(F36:AC36,$AJ$8)</f>
        <v>0</v>
      </c>
      <c r="AG36" s="11">
        <f t="shared" ref="AG36:AG59" si="8">COUNTIF(G36:AD36,$AJ$7)</f>
        <v>0</v>
      </c>
      <c r="AH36" s="11">
        <f t="shared" ref="AH36:AH59" si="9">COUNT(F36:AC36)</f>
        <v>0</v>
      </c>
      <c r="AI36" s="159">
        <f>SUM(F36:AC38,F40:AC40,F45:AC59)</f>
        <v>11.95</v>
      </c>
      <c r="AJ36" t="s">
        <v>37</v>
      </c>
    </row>
    <row r="37" spans="1:36">
      <c r="A37" s="70" t="s">
        <v>38</v>
      </c>
      <c r="B37" s="15"/>
      <c r="C37" s="15"/>
      <c r="D37" s="15"/>
      <c r="E37" s="15"/>
      <c r="F37" s="372"/>
      <c r="G37" s="372"/>
      <c r="H37" s="372"/>
      <c r="I37" s="372"/>
      <c r="J37" s="372"/>
      <c r="K37" s="374"/>
      <c r="L37" s="374"/>
      <c r="M37" s="374"/>
      <c r="N37" s="372"/>
      <c r="O37" s="372"/>
      <c r="P37" s="372"/>
      <c r="Q37" s="372"/>
      <c r="R37" s="372"/>
      <c r="S37" s="372"/>
      <c r="T37" s="372"/>
      <c r="U37" s="372"/>
      <c r="V37" s="372"/>
      <c r="W37" s="372"/>
      <c r="X37" s="372"/>
      <c r="Y37" s="372"/>
      <c r="Z37" s="372"/>
      <c r="AA37" s="372"/>
      <c r="AB37" s="372"/>
      <c r="AC37" s="372"/>
      <c r="AD37" s="41"/>
      <c r="AE37" s="41"/>
      <c r="AF37" s="11">
        <f t="shared" si="7"/>
        <v>0</v>
      </c>
      <c r="AG37" s="11">
        <f t="shared" si="8"/>
        <v>0</v>
      </c>
      <c r="AH37" s="11">
        <f t="shared" si="9"/>
        <v>0</v>
      </c>
    </row>
    <row r="38" spans="1:36">
      <c r="A38" s="70" t="s">
        <v>39</v>
      </c>
      <c r="B38" s="15"/>
      <c r="C38" s="15"/>
      <c r="D38" s="15"/>
      <c r="E38" s="15"/>
      <c r="F38" s="372"/>
      <c r="G38" s="372"/>
      <c r="H38" s="372"/>
      <c r="I38" s="372"/>
      <c r="J38" s="372"/>
      <c r="K38" s="374"/>
      <c r="L38" s="374"/>
      <c r="M38" s="374"/>
      <c r="N38" s="372"/>
      <c r="O38" s="372"/>
      <c r="P38" s="372"/>
      <c r="Q38" s="372"/>
      <c r="R38" s="372"/>
      <c r="S38" s="372"/>
      <c r="T38" s="372"/>
      <c r="U38" s="372"/>
      <c r="V38" s="372"/>
      <c r="W38" s="372"/>
      <c r="X38" s="372"/>
      <c r="Y38" s="372"/>
      <c r="Z38" s="372"/>
      <c r="AA38" s="372"/>
      <c r="AB38" s="372"/>
      <c r="AC38" s="372"/>
      <c r="AD38" s="41"/>
      <c r="AE38" s="41"/>
      <c r="AF38" s="11">
        <f t="shared" si="7"/>
        <v>0</v>
      </c>
      <c r="AG38" s="11">
        <f t="shared" si="8"/>
        <v>0</v>
      </c>
      <c r="AH38" s="11">
        <f t="shared" si="9"/>
        <v>0</v>
      </c>
    </row>
    <row r="39" spans="1:36">
      <c r="A39" s="70">
        <v>34</v>
      </c>
      <c r="B39" s="15"/>
      <c r="C39" s="15"/>
      <c r="D39" s="15"/>
      <c r="E39" s="15"/>
      <c r="F39" s="372"/>
      <c r="G39" s="372"/>
      <c r="H39" s="372"/>
      <c r="I39" s="372"/>
      <c r="J39" s="372"/>
      <c r="K39" s="374"/>
      <c r="L39" s="374"/>
      <c r="M39" s="374"/>
      <c r="N39" s="372"/>
      <c r="O39" s="372"/>
      <c r="P39" s="372"/>
      <c r="Q39" s="372"/>
      <c r="R39" s="372"/>
      <c r="S39" s="372"/>
      <c r="T39" s="372"/>
      <c r="U39" s="372"/>
      <c r="V39" s="372"/>
      <c r="W39" s="372"/>
      <c r="X39" s="372"/>
      <c r="Y39" s="372"/>
      <c r="Z39" s="372"/>
      <c r="AA39" s="372"/>
      <c r="AB39" s="372"/>
      <c r="AC39" s="372"/>
      <c r="AD39" s="41"/>
      <c r="AE39" s="41"/>
      <c r="AF39" s="11">
        <f t="shared" si="7"/>
        <v>0</v>
      </c>
      <c r="AG39" s="11">
        <f t="shared" si="8"/>
        <v>0</v>
      </c>
      <c r="AH39" s="11">
        <f t="shared" si="9"/>
        <v>0</v>
      </c>
    </row>
    <row r="40" spans="1:36">
      <c r="A40" s="70">
        <v>35</v>
      </c>
      <c r="B40" s="15"/>
      <c r="C40" s="15">
        <v>0.85</v>
      </c>
      <c r="D40" s="15"/>
      <c r="E40" s="15"/>
      <c r="F40" s="372" t="s">
        <v>9</v>
      </c>
      <c r="G40" s="372" t="s">
        <v>9</v>
      </c>
      <c r="H40" s="372" t="s">
        <v>9</v>
      </c>
      <c r="I40" s="372" t="s">
        <v>9</v>
      </c>
      <c r="J40" s="372" t="s">
        <v>9</v>
      </c>
      <c r="K40" s="374" t="s">
        <v>9</v>
      </c>
      <c r="L40" s="374" t="s">
        <v>9</v>
      </c>
      <c r="M40" s="374" t="s">
        <v>9</v>
      </c>
      <c r="N40" s="372" t="s">
        <v>9</v>
      </c>
      <c r="O40" s="372" t="s">
        <v>9</v>
      </c>
      <c r="P40" s="372" t="s">
        <v>9</v>
      </c>
      <c r="Q40" s="372" t="s">
        <v>9</v>
      </c>
      <c r="R40" s="372" t="s">
        <v>9</v>
      </c>
      <c r="S40" s="372" t="s">
        <v>9</v>
      </c>
      <c r="T40" s="372" t="s">
        <v>9</v>
      </c>
      <c r="U40" s="372" t="s">
        <v>9</v>
      </c>
      <c r="V40" s="372" t="s">
        <v>9</v>
      </c>
      <c r="W40" s="372" t="s">
        <v>9</v>
      </c>
      <c r="X40" s="372" t="s">
        <v>9</v>
      </c>
      <c r="Y40" s="372" t="s">
        <v>9</v>
      </c>
      <c r="Z40" s="372" t="s">
        <v>9</v>
      </c>
      <c r="AA40" s="372" t="s">
        <v>9</v>
      </c>
      <c r="AB40" s="372" t="s">
        <v>9</v>
      </c>
      <c r="AC40" s="372" t="s">
        <v>9</v>
      </c>
      <c r="AD40" s="41"/>
      <c r="AE40" s="41"/>
      <c r="AF40" s="11">
        <f t="shared" si="7"/>
        <v>24</v>
      </c>
      <c r="AG40" s="11">
        <f t="shared" si="8"/>
        <v>0</v>
      </c>
      <c r="AH40" s="11">
        <f t="shared" si="9"/>
        <v>0</v>
      </c>
    </row>
    <row r="41" spans="1:36">
      <c r="A41" s="70">
        <v>36</v>
      </c>
      <c r="B41" s="15"/>
      <c r="C41" s="15">
        <v>1</v>
      </c>
      <c r="D41" s="15"/>
      <c r="E41" s="15"/>
      <c r="F41" s="372" t="s">
        <v>9</v>
      </c>
      <c r="G41" s="372" t="s">
        <v>9</v>
      </c>
      <c r="H41" s="372" t="s">
        <v>9</v>
      </c>
      <c r="I41" s="372" t="s">
        <v>9</v>
      </c>
      <c r="J41" s="372" t="s">
        <v>9</v>
      </c>
      <c r="K41" s="374" t="s">
        <v>9</v>
      </c>
      <c r="L41" s="374" t="s">
        <v>9</v>
      </c>
      <c r="M41" s="374" t="s">
        <v>9</v>
      </c>
      <c r="N41" s="372" t="s">
        <v>9</v>
      </c>
      <c r="O41" s="372" t="s">
        <v>9</v>
      </c>
      <c r="P41" s="372" t="s">
        <v>9</v>
      </c>
      <c r="Q41" s="372" t="s">
        <v>9</v>
      </c>
      <c r="R41" s="372" t="s">
        <v>9</v>
      </c>
      <c r="S41" s="372" t="s">
        <v>9</v>
      </c>
      <c r="T41" s="372" t="s">
        <v>9</v>
      </c>
      <c r="U41" s="372" t="s">
        <v>9</v>
      </c>
      <c r="V41" s="372" t="s">
        <v>9</v>
      </c>
      <c r="W41" s="372" t="s">
        <v>9</v>
      </c>
      <c r="X41" s="372" t="s">
        <v>9</v>
      </c>
      <c r="Y41" s="372" t="s">
        <v>9</v>
      </c>
      <c r="Z41" s="372" t="s">
        <v>9</v>
      </c>
      <c r="AA41" s="372" t="s">
        <v>9</v>
      </c>
      <c r="AB41" s="372" t="s">
        <v>9</v>
      </c>
      <c r="AC41" s="372" t="s">
        <v>9</v>
      </c>
      <c r="AD41" s="41"/>
      <c r="AE41" s="41"/>
      <c r="AF41" s="11">
        <f t="shared" si="7"/>
        <v>24</v>
      </c>
      <c r="AG41" s="11">
        <f t="shared" si="8"/>
        <v>0</v>
      </c>
      <c r="AH41" s="11">
        <f t="shared" si="9"/>
        <v>0</v>
      </c>
    </row>
    <row r="42" spans="1:36">
      <c r="A42" s="70">
        <v>37</v>
      </c>
      <c r="B42" s="15"/>
      <c r="C42" s="15">
        <v>1</v>
      </c>
      <c r="D42" s="15"/>
      <c r="E42" s="15"/>
      <c r="F42" s="372"/>
      <c r="G42" s="372"/>
      <c r="H42" s="372"/>
      <c r="I42" s="372"/>
      <c r="J42" s="372"/>
      <c r="K42" s="372"/>
      <c r="L42" s="372"/>
      <c r="M42" s="372"/>
      <c r="N42" s="372"/>
      <c r="O42" s="372"/>
      <c r="P42" s="372"/>
      <c r="Q42" s="372"/>
      <c r="R42" s="372"/>
      <c r="S42" s="372"/>
      <c r="T42" s="372"/>
      <c r="U42" s="372"/>
      <c r="V42" s="372"/>
      <c r="W42" s="372"/>
      <c r="X42" s="372"/>
      <c r="Y42" s="372"/>
      <c r="Z42" s="372"/>
      <c r="AA42" s="372"/>
      <c r="AB42" s="372"/>
      <c r="AC42" s="372"/>
      <c r="AD42" s="41"/>
      <c r="AE42" s="41"/>
      <c r="AF42" s="11">
        <f t="shared" si="7"/>
        <v>0</v>
      </c>
      <c r="AG42" s="11">
        <f t="shared" si="8"/>
        <v>0</v>
      </c>
      <c r="AH42" s="11">
        <f t="shared" si="9"/>
        <v>0</v>
      </c>
    </row>
    <row r="43" spans="1:36">
      <c r="A43" s="70">
        <v>38</v>
      </c>
      <c r="B43" s="15"/>
      <c r="C43" s="15"/>
      <c r="D43" s="15"/>
      <c r="E43" s="15"/>
      <c r="F43" s="372" t="s">
        <v>9</v>
      </c>
      <c r="G43" s="372" t="s">
        <v>9</v>
      </c>
      <c r="H43" s="372" t="s">
        <v>9</v>
      </c>
      <c r="I43" s="372" t="s">
        <v>9</v>
      </c>
      <c r="J43" s="372" t="s">
        <v>9</v>
      </c>
      <c r="K43" s="374" t="s">
        <v>9</v>
      </c>
      <c r="L43" s="374" t="s">
        <v>9</v>
      </c>
      <c r="M43" s="374" t="s">
        <v>9</v>
      </c>
      <c r="N43" s="372" t="s">
        <v>9</v>
      </c>
      <c r="O43" s="372" t="s">
        <v>9</v>
      </c>
      <c r="P43" s="372" t="s">
        <v>9</v>
      </c>
      <c r="Q43" s="372" t="s">
        <v>9</v>
      </c>
      <c r="R43" s="372" t="s">
        <v>9</v>
      </c>
      <c r="S43" s="372" t="s">
        <v>9</v>
      </c>
      <c r="T43" s="372" t="s">
        <v>9</v>
      </c>
      <c r="U43" s="372" t="s">
        <v>9</v>
      </c>
      <c r="V43" s="372" t="s">
        <v>9</v>
      </c>
      <c r="W43" s="372" t="s">
        <v>9</v>
      </c>
      <c r="X43" s="372" t="s">
        <v>9</v>
      </c>
      <c r="Y43" s="372" t="s">
        <v>9</v>
      </c>
      <c r="Z43" s="372" t="s">
        <v>9</v>
      </c>
      <c r="AA43" s="372" t="s">
        <v>9</v>
      </c>
      <c r="AB43" s="372" t="s">
        <v>9</v>
      </c>
      <c r="AC43" s="372" t="s">
        <v>9</v>
      </c>
      <c r="AD43" s="41"/>
      <c r="AE43" s="41"/>
      <c r="AF43" s="11">
        <f t="shared" si="7"/>
        <v>24</v>
      </c>
      <c r="AG43" s="11">
        <f t="shared" si="8"/>
        <v>0</v>
      </c>
      <c r="AH43" s="11">
        <f t="shared" si="9"/>
        <v>0</v>
      </c>
    </row>
    <row r="44" spans="1:36" ht="16.5" customHeight="1">
      <c r="A44" s="70">
        <v>39</v>
      </c>
      <c r="B44" s="15"/>
      <c r="C44" s="15">
        <v>1</v>
      </c>
      <c r="D44" s="15"/>
      <c r="E44" s="15"/>
      <c r="F44" s="372" t="s">
        <v>9</v>
      </c>
      <c r="G44" s="372" t="s">
        <v>9</v>
      </c>
      <c r="H44" s="372" t="s">
        <v>9</v>
      </c>
      <c r="I44" s="372" t="s">
        <v>9</v>
      </c>
      <c r="J44" s="372" t="s">
        <v>9</v>
      </c>
      <c r="K44" s="374" t="s">
        <v>9</v>
      </c>
      <c r="L44" s="374" t="s">
        <v>9</v>
      </c>
      <c r="M44" s="374" t="s">
        <v>9</v>
      </c>
      <c r="N44" s="372" t="s">
        <v>9</v>
      </c>
      <c r="O44" s="372" t="s">
        <v>9</v>
      </c>
      <c r="P44" s="372" t="s">
        <v>9</v>
      </c>
      <c r="Q44" s="372" t="s">
        <v>9</v>
      </c>
      <c r="R44" s="372" t="s">
        <v>9</v>
      </c>
      <c r="S44" s="372" t="s">
        <v>9</v>
      </c>
      <c r="T44" s="372" t="s">
        <v>9</v>
      </c>
      <c r="U44" s="372" t="s">
        <v>9</v>
      </c>
      <c r="V44" s="372" t="s">
        <v>9</v>
      </c>
      <c r="W44" s="372" t="s">
        <v>9</v>
      </c>
      <c r="X44" s="372" t="s">
        <v>9</v>
      </c>
      <c r="Y44" s="372" t="s">
        <v>9</v>
      </c>
      <c r="Z44" s="372" t="s">
        <v>9</v>
      </c>
      <c r="AA44" s="372" t="s">
        <v>9</v>
      </c>
      <c r="AB44" s="372" t="s">
        <v>9</v>
      </c>
      <c r="AC44" s="372" t="s">
        <v>9</v>
      </c>
      <c r="AD44" s="41"/>
      <c r="AE44" s="41"/>
      <c r="AF44" s="11">
        <f t="shared" si="7"/>
        <v>24</v>
      </c>
      <c r="AG44" s="11">
        <f t="shared" si="8"/>
        <v>0</v>
      </c>
      <c r="AH44" s="11">
        <f t="shared" si="9"/>
        <v>0</v>
      </c>
    </row>
    <row r="45" spans="1:36" ht="16.5" customHeight="1">
      <c r="A45" s="70" t="s">
        <v>40</v>
      </c>
      <c r="B45" s="15"/>
      <c r="C45" s="15">
        <v>0.85</v>
      </c>
      <c r="D45" s="15"/>
      <c r="E45" s="15"/>
      <c r="F45" s="372"/>
      <c r="G45" s="372"/>
      <c r="H45" s="372"/>
      <c r="I45" s="372"/>
      <c r="J45" s="372"/>
      <c r="K45" s="374"/>
      <c r="L45" s="374"/>
      <c r="M45" s="374"/>
      <c r="N45" s="372"/>
      <c r="O45" s="372"/>
      <c r="P45" s="372"/>
      <c r="Q45" s="372"/>
      <c r="R45" s="372"/>
      <c r="S45" s="372"/>
      <c r="T45" s="372"/>
      <c r="U45" s="372"/>
      <c r="V45" s="372"/>
      <c r="W45" s="372"/>
      <c r="X45" s="372"/>
      <c r="Y45" s="372"/>
      <c r="Z45" s="372"/>
      <c r="AA45" s="372"/>
      <c r="AB45" s="372"/>
      <c r="AC45" s="372"/>
      <c r="AD45" s="41"/>
      <c r="AE45" s="41"/>
      <c r="AF45" s="11">
        <f t="shared" si="7"/>
        <v>0</v>
      </c>
      <c r="AG45" s="11">
        <f t="shared" si="8"/>
        <v>0</v>
      </c>
      <c r="AH45" s="11">
        <f t="shared" si="9"/>
        <v>0</v>
      </c>
      <c r="AI45" s="159"/>
    </row>
    <row r="46" spans="1:36">
      <c r="A46" s="70" t="s">
        <v>41</v>
      </c>
      <c r="B46" s="15"/>
      <c r="C46" s="15">
        <v>0.75</v>
      </c>
      <c r="D46" s="15"/>
      <c r="E46" s="15"/>
      <c r="F46" s="372"/>
      <c r="G46" s="372"/>
      <c r="H46" s="372"/>
      <c r="I46" s="372"/>
      <c r="J46" s="372"/>
      <c r="K46" s="374"/>
      <c r="L46" s="374"/>
      <c r="M46" s="374"/>
      <c r="N46" s="372"/>
      <c r="O46" s="372"/>
      <c r="P46" s="372"/>
      <c r="Q46" s="372"/>
      <c r="R46" s="372"/>
      <c r="S46" s="372"/>
      <c r="T46" s="372"/>
      <c r="U46" s="372"/>
      <c r="V46" s="372"/>
      <c r="W46" s="372"/>
      <c r="X46" s="372"/>
      <c r="Y46" s="372"/>
      <c r="Z46" s="372"/>
      <c r="AA46" s="372"/>
      <c r="AB46" s="372"/>
      <c r="AC46" s="372"/>
      <c r="AD46" s="41"/>
      <c r="AE46" s="41"/>
      <c r="AF46" s="11">
        <f t="shared" si="7"/>
        <v>0</v>
      </c>
      <c r="AG46" s="11">
        <f t="shared" si="8"/>
        <v>0</v>
      </c>
      <c r="AH46" s="11">
        <f t="shared" si="9"/>
        <v>0</v>
      </c>
      <c r="AI46" s="159"/>
    </row>
    <row r="47" spans="1:36">
      <c r="A47" s="70" t="s">
        <v>42</v>
      </c>
      <c r="B47" s="15"/>
      <c r="C47" s="15">
        <v>0.75</v>
      </c>
      <c r="D47" s="15"/>
      <c r="E47" s="15"/>
      <c r="F47" s="372"/>
      <c r="G47" s="372"/>
      <c r="H47" s="372"/>
      <c r="I47" s="372"/>
      <c r="J47" s="372"/>
      <c r="K47" s="374"/>
      <c r="L47" s="374"/>
      <c r="M47" s="374"/>
      <c r="N47" s="374"/>
      <c r="O47" s="374">
        <v>0.75</v>
      </c>
      <c r="P47" s="372">
        <v>0.8</v>
      </c>
      <c r="Q47" s="372"/>
      <c r="R47" s="374"/>
      <c r="S47" s="372"/>
      <c r="T47" s="372"/>
      <c r="U47" s="372"/>
      <c r="V47" s="372"/>
      <c r="W47" s="372"/>
      <c r="X47" s="372"/>
      <c r="Y47" s="372"/>
      <c r="Z47" s="372"/>
      <c r="AA47" s="372"/>
      <c r="AB47" s="372"/>
      <c r="AC47" s="372"/>
      <c r="AD47" s="41"/>
      <c r="AE47" s="41"/>
      <c r="AF47" s="11">
        <f t="shared" si="7"/>
        <v>0</v>
      </c>
      <c r="AG47" s="11">
        <f t="shared" si="8"/>
        <v>0</v>
      </c>
      <c r="AH47" s="11">
        <f t="shared" si="9"/>
        <v>2</v>
      </c>
    </row>
    <row r="48" spans="1:36">
      <c r="A48" s="70" t="s">
        <v>43</v>
      </c>
      <c r="B48" s="15"/>
      <c r="C48" s="15">
        <v>0.75</v>
      </c>
      <c r="D48" s="15"/>
      <c r="E48" s="15"/>
      <c r="F48" s="372"/>
      <c r="G48" s="372"/>
      <c r="H48" s="372"/>
      <c r="I48" s="372"/>
      <c r="J48" s="372"/>
      <c r="K48" s="374"/>
      <c r="L48" s="374"/>
      <c r="M48" s="374"/>
      <c r="N48" s="372"/>
      <c r="O48" s="372"/>
      <c r="P48" s="372"/>
      <c r="Q48" s="372"/>
      <c r="R48" s="372"/>
      <c r="S48" s="372"/>
      <c r="T48" s="372"/>
      <c r="U48" s="372"/>
      <c r="V48" s="372"/>
      <c r="W48" s="372"/>
      <c r="X48" s="372"/>
      <c r="Y48" s="372"/>
      <c r="Z48" s="372"/>
      <c r="AA48" s="372"/>
      <c r="AB48" s="372"/>
      <c r="AC48" s="372"/>
      <c r="AD48" s="41"/>
      <c r="AE48" s="41"/>
      <c r="AF48" s="11">
        <f t="shared" si="7"/>
        <v>0</v>
      </c>
      <c r="AG48" s="11">
        <f t="shared" si="8"/>
        <v>0</v>
      </c>
      <c r="AH48" s="11">
        <f t="shared" si="9"/>
        <v>0</v>
      </c>
    </row>
    <row r="49" spans="1:124" ht="15" customHeight="1">
      <c r="A49" s="70" t="s">
        <v>44</v>
      </c>
      <c r="B49" s="15"/>
      <c r="C49" s="15">
        <v>0.75</v>
      </c>
      <c r="D49" s="15"/>
      <c r="E49" s="15"/>
      <c r="F49" s="372"/>
      <c r="G49" s="372"/>
      <c r="H49" s="372"/>
      <c r="I49" s="372"/>
      <c r="J49" s="372"/>
      <c r="K49" s="374"/>
      <c r="L49" s="374"/>
      <c r="M49" s="374"/>
      <c r="N49" s="372"/>
      <c r="O49" s="372"/>
      <c r="P49" s="372"/>
      <c r="Q49" s="372"/>
      <c r="R49" s="372"/>
      <c r="S49" s="372"/>
      <c r="T49" s="372"/>
      <c r="U49" s="372"/>
      <c r="V49" s="372"/>
      <c r="W49" s="372"/>
      <c r="X49" s="372"/>
      <c r="Y49" s="372"/>
      <c r="Z49" s="372"/>
      <c r="AA49" s="372"/>
      <c r="AB49" s="372"/>
      <c r="AC49" s="372"/>
      <c r="AD49" s="41"/>
      <c r="AE49" s="41"/>
      <c r="AF49" s="11">
        <f t="shared" si="7"/>
        <v>0</v>
      </c>
      <c r="AG49" s="11">
        <f t="shared" si="8"/>
        <v>0</v>
      </c>
      <c r="AH49" s="11">
        <f t="shared" si="9"/>
        <v>0</v>
      </c>
    </row>
    <row r="50" spans="1:124" ht="17.25" customHeight="1">
      <c r="A50" s="70" t="s">
        <v>45</v>
      </c>
      <c r="B50" s="15"/>
      <c r="C50" s="15">
        <v>0.75</v>
      </c>
      <c r="D50" s="15"/>
      <c r="E50" s="15"/>
      <c r="F50" s="372"/>
      <c r="G50" s="372"/>
      <c r="H50" s="372"/>
      <c r="I50" s="372"/>
      <c r="J50" s="372"/>
      <c r="K50" s="374"/>
      <c r="L50" s="374">
        <f>1.5/2</f>
        <v>0.75</v>
      </c>
      <c r="M50" s="374"/>
      <c r="N50" s="374">
        <v>0.75</v>
      </c>
      <c r="O50" s="374">
        <v>0.75</v>
      </c>
      <c r="P50" s="372">
        <v>0.75</v>
      </c>
      <c r="Q50" s="372"/>
      <c r="R50" s="374">
        <v>0.7</v>
      </c>
      <c r="S50" s="372"/>
      <c r="T50" s="372"/>
      <c r="U50" s="372"/>
      <c r="V50" s="372"/>
      <c r="W50" s="372"/>
      <c r="X50" s="372"/>
      <c r="Y50" s="372"/>
      <c r="Z50" s="372"/>
      <c r="AA50" s="372"/>
      <c r="AB50" s="372"/>
      <c r="AC50" s="372"/>
      <c r="AD50" s="41"/>
      <c r="AE50" s="41"/>
      <c r="AF50" s="11">
        <f t="shared" si="7"/>
        <v>0</v>
      </c>
      <c r="AG50" s="11">
        <f t="shared" si="8"/>
        <v>0</v>
      </c>
      <c r="AH50" s="11">
        <f t="shared" si="9"/>
        <v>5</v>
      </c>
    </row>
    <row r="51" spans="1:124">
      <c r="A51" s="70" t="s">
        <v>46</v>
      </c>
      <c r="B51" s="15"/>
      <c r="C51" s="15">
        <v>0.85</v>
      </c>
      <c r="D51" s="15"/>
      <c r="E51" s="15"/>
      <c r="F51" s="372"/>
      <c r="G51" s="372"/>
      <c r="H51" s="372"/>
      <c r="I51" s="372"/>
      <c r="J51" s="372"/>
      <c r="K51" s="374"/>
      <c r="L51" s="374"/>
      <c r="M51" s="374"/>
      <c r="N51" s="374">
        <v>0.75</v>
      </c>
      <c r="O51" s="374"/>
      <c r="P51" s="372">
        <v>0.75</v>
      </c>
      <c r="Q51" s="372"/>
      <c r="R51" s="374"/>
      <c r="S51" s="372"/>
      <c r="T51" s="372"/>
      <c r="U51" s="372"/>
      <c r="V51" s="372"/>
      <c r="W51" s="372"/>
      <c r="X51" s="372"/>
      <c r="Y51" s="372"/>
      <c r="Z51" s="372"/>
      <c r="AA51" s="372">
        <v>0.75</v>
      </c>
      <c r="AB51" s="372"/>
      <c r="AC51" s="372"/>
      <c r="AD51" s="41"/>
      <c r="AE51" s="41"/>
      <c r="AF51" s="11">
        <f t="shared" si="7"/>
        <v>0</v>
      </c>
      <c r="AG51" s="11">
        <f t="shared" si="8"/>
        <v>0</v>
      </c>
      <c r="AH51" s="11">
        <f t="shared" si="9"/>
        <v>3</v>
      </c>
    </row>
    <row r="52" spans="1:124">
      <c r="A52" s="70" t="s">
        <v>47</v>
      </c>
      <c r="B52" s="15"/>
      <c r="C52" s="15">
        <v>0.85</v>
      </c>
      <c r="D52" s="15"/>
      <c r="E52" s="15"/>
      <c r="F52" s="372" t="s">
        <v>9</v>
      </c>
      <c r="G52" s="372" t="s">
        <v>9</v>
      </c>
      <c r="H52" s="372" t="s">
        <v>9</v>
      </c>
      <c r="I52" s="372" t="s">
        <v>9</v>
      </c>
      <c r="J52" s="372" t="s">
        <v>9</v>
      </c>
      <c r="K52" s="374" t="s">
        <v>9</v>
      </c>
      <c r="L52" s="374" t="s">
        <v>9</v>
      </c>
      <c r="M52" s="374" t="s">
        <v>9</v>
      </c>
      <c r="N52" s="372" t="s">
        <v>9</v>
      </c>
      <c r="O52" s="372" t="s">
        <v>9</v>
      </c>
      <c r="P52" s="372" t="s">
        <v>9</v>
      </c>
      <c r="Q52" s="372" t="s">
        <v>9</v>
      </c>
      <c r="R52" s="372" t="s">
        <v>9</v>
      </c>
      <c r="S52" s="372" t="s">
        <v>9</v>
      </c>
      <c r="T52" s="372" t="s">
        <v>9</v>
      </c>
      <c r="U52" s="372" t="s">
        <v>9</v>
      </c>
      <c r="V52" s="372" t="s">
        <v>9</v>
      </c>
      <c r="W52" s="372" t="s">
        <v>9</v>
      </c>
      <c r="X52" s="372" t="s">
        <v>9</v>
      </c>
      <c r="Y52" s="372" t="s">
        <v>9</v>
      </c>
      <c r="Z52" s="372" t="s">
        <v>9</v>
      </c>
      <c r="AA52" s="372" t="s">
        <v>9</v>
      </c>
      <c r="AB52" s="372" t="s">
        <v>9</v>
      </c>
      <c r="AC52" s="372" t="s">
        <v>9</v>
      </c>
      <c r="AD52" s="41"/>
      <c r="AE52" s="41"/>
      <c r="AF52" s="11">
        <f t="shared" si="7"/>
        <v>24</v>
      </c>
      <c r="AG52" s="11">
        <f t="shared" si="8"/>
        <v>0</v>
      </c>
      <c r="AH52" s="11">
        <f t="shared" si="9"/>
        <v>0</v>
      </c>
    </row>
    <row r="53" spans="1:124">
      <c r="A53" s="70" t="s">
        <v>48</v>
      </c>
      <c r="B53" s="15"/>
      <c r="C53" s="15">
        <v>0.85</v>
      </c>
      <c r="D53" s="15"/>
      <c r="E53" s="15"/>
      <c r="F53" s="372"/>
      <c r="G53" s="372"/>
      <c r="H53" s="372"/>
      <c r="I53" s="372"/>
      <c r="J53" s="372"/>
      <c r="K53" s="374"/>
      <c r="L53" s="374"/>
      <c r="M53" s="374"/>
      <c r="N53" s="372"/>
      <c r="O53" s="372"/>
      <c r="P53" s="372"/>
      <c r="Q53" s="372"/>
      <c r="R53" s="372"/>
      <c r="S53" s="372"/>
      <c r="T53" s="372"/>
      <c r="U53" s="372"/>
      <c r="V53" s="372"/>
      <c r="W53" s="372"/>
      <c r="X53" s="372"/>
      <c r="Y53" s="372"/>
      <c r="Z53" s="372"/>
      <c r="AA53" s="372"/>
      <c r="AB53" s="372"/>
      <c r="AC53" s="372"/>
      <c r="AD53" s="41"/>
      <c r="AE53" s="41"/>
      <c r="AF53" s="11">
        <f t="shared" si="7"/>
        <v>0</v>
      </c>
      <c r="AG53" s="11">
        <f t="shared" si="8"/>
        <v>0</v>
      </c>
      <c r="AH53" s="11">
        <f t="shared" si="9"/>
        <v>0</v>
      </c>
    </row>
    <row r="54" spans="1:124" ht="16.5" customHeight="1">
      <c r="A54" s="70" t="s">
        <v>49</v>
      </c>
      <c r="B54" s="15"/>
      <c r="C54" s="15">
        <v>0.85</v>
      </c>
      <c r="D54" s="15"/>
      <c r="E54" s="15"/>
      <c r="F54" s="372">
        <v>0</v>
      </c>
      <c r="G54" s="372">
        <v>0</v>
      </c>
      <c r="H54" s="372">
        <v>0</v>
      </c>
      <c r="I54" s="372">
        <v>0</v>
      </c>
      <c r="J54" s="372">
        <v>0</v>
      </c>
      <c r="K54" s="374">
        <v>0</v>
      </c>
      <c r="L54" s="374">
        <v>0</v>
      </c>
      <c r="M54" s="374">
        <v>0</v>
      </c>
      <c r="N54" s="374"/>
      <c r="O54" s="372"/>
      <c r="P54" s="372">
        <v>0.75</v>
      </c>
      <c r="Q54" s="372"/>
      <c r="R54" s="374"/>
      <c r="S54" s="372"/>
      <c r="T54" s="372"/>
      <c r="U54" s="372"/>
      <c r="V54" s="372"/>
      <c r="W54" s="372"/>
      <c r="X54" s="372"/>
      <c r="Y54" s="372"/>
      <c r="Z54" s="372"/>
      <c r="AA54" s="372">
        <v>0.75</v>
      </c>
      <c r="AB54" s="372"/>
      <c r="AC54" s="372"/>
      <c r="AD54" s="41"/>
      <c r="AE54" s="41"/>
      <c r="AF54" s="11">
        <f t="shared" si="7"/>
        <v>0</v>
      </c>
      <c r="AG54" s="11">
        <f t="shared" si="8"/>
        <v>0</v>
      </c>
      <c r="AH54" s="11">
        <f t="shared" si="9"/>
        <v>10</v>
      </c>
    </row>
    <row r="55" spans="1:124">
      <c r="A55" s="70" t="s">
        <v>50</v>
      </c>
      <c r="B55" s="15"/>
      <c r="C55" s="15">
        <v>0.85</v>
      </c>
      <c r="D55" s="15"/>
      <c r="E55" s="15"/>
      <c r="F55" s="372"/>
      <c r="G55" s="372"/>
      <c r="H55" s="372"/>
      <c r="I55" s="372"/>
      <c r="J55" s="372"/>
      <c r="K55" s="374"/>
      <c r="L55" s="374"/>
      <c r="M55" s="374"/>
      <c r="N55" s="372"/>
      <c r="O55" s="372"/>
      <c r="P55" s="372"/>
      <c r="Q55" s="372"/>
      <c r="R55" s="372"/>
      <c r="S55" s="372"/>
      <c r="T55" s="372"/>
      <c r="U55" s="372"/>
      <c r="V55" s="372"/>
      <c r="W55" s="372"/>
      <c r="X55" s="372"/>
      <c r="Y55" s="372"/>
      <c r="Z55" s="372"/>
      <c r="AA55" s="372"/>
      <c r="AB55" s="372"/>
      <c r="AC55" s="372"/>
      <c r="AD55" s="41"/>
      <c r="AE55" s="41"/>
      <c r="AF55" s="11">
        <f>COUNTIF(F55:AC55,$AJ$8)</f>
        <v>0</v>
      </c>
      <c r="AG55" s="11">
        <f t="shared" si="8"/>
        <v>0</v>
      </c>
      <c r="AH55" s="11">
        <f>COUNT(F55:AC55)</f>
        <v>0</v>
      </c>
    </row>
    <row r="56" spans="1:124">
      <c r="A56" s="70" t="s">
        <v>51</v>
      </c>
      <c r="B56" s="15"/>
      <c r="C56" s="15">
        <v>0.75</v>
      </c>
      <c r="D56" s="15"/>
      <c r="E56" s="15"/>
      <c r="F56" s="372">
        <v>0</v>
      </c>
      <c r="G56" s="372">
        <v>0</v>
      </c>
      <c r="H56" s="372">
        <v>0</v>
      </c>
      <c r="I56" s="372">
        <v>0</v>
      </c>
      <c r="J56" s="372">
        <v>0</v>
      </c>
      <c r="K56" s="374">
        <v>0</v>
      </c>
      <c r="L56" s="374">
        <f>1.5/2</f>
        <v>0.75</v>
      </c>
      <c r="M56" s="374"/>
      <c r="N56" s="374">
        <v>0.75</v>
      </c>
      <c r="O56" s="374"/>
      <c r="P56" s="372">
        <v>0.75</v>
      </c>
      <c r="Q56" s="372"/>
      <c r="R56" s="372"/>
      <c r="S56" s="372">
        <v>0.7</v>
      </c>
      <c r="T56" s="372"/>
      <c r="U56" s="372"/>
      <c r="V56" s="372"/>
      <c r="W56" s="372"/>
      <c r="X56" s="372"/>
      <c r="Y56" s="372"/>
      <c r="Z56" s="372"/>
      <c r="AA56" s="372"/>
      <c r="AB56" s="372"/>
      <c r="AC56" s="372"/>
      <c r="AD56" s="41"/>
      <c r="AE56" s="41"/>
      <c r="AF56" s="11">
        <f t="shared" si="7"/>
        <v>0</v>
      </c>
      <c r="AG56" s="11">
        <f t="shared" si="8"/>
        <v>0</v>
      </c>
      <c r="AH56" s="11">
        <f t="shared" si="9"/>
        <v>10</v>
      </c>
    </row>
    <row r="57" spans="1:124">
      <c r="A57" s="70" t="s">
        <v>52</v>
      </c>
      <c r="B57" s="15"/>
      <c r="C57" s="15">
        <v>0.75</v>
      </c>
      <c r="D57" s="15"/>
      <c r="E57" s="15"/>
      <c r="F57" s="372"/>
      <c r="G57" s="372"/>
      <c r="H57" s="372"/>
      <c r="I57" s="372"/>
      <c r="J57" s="372"/>
      <c r="K57" s="374"/>
      <c r="L57" s="374"/>
      <c r="M57" s="374"/>
      <c r="N57" s="372"/>
      <c r="O57" s="372"/>
      <c r="P57" s="372"/>
      <c r="Q57" s="372"/>
      <c r="R57" s="372"/>
      <c r="S57" s="372"/>
      <c r="T57" s="372"/>
      <c r="U57" s="372"/>
      <c r="V57" s="372"/>
      <c r="W57" s="372"/>
      <c r="X57" s="372"/>
      <c r="Y57" s="372"/>
      <c r="Z57" s="372"/>
      <c r="AA57" s="372"/>
      <c r="AB57" s="372"/>
      <c r="AC57" s="372"/>
      <c r="AD57" s="41"/>
      <c r="AE57" s="41"/>
      <c r="AF57" s="11">
        <f t="shared" si="7"/>
        <v>0</v>
      </c>
      <c r="AG57" s="11">
        <f t="shared" si="8"/>
        <v>0</v>
      </c>
      <c r="AH57" s="11">
        <f t="shared" si="9"/>
        <v>0</v>
      </c>
    </row>
    <row r="58" spans="1:124">
      <c r="A58" s="70" t="s">
        <v>53</v>
      </c>
      <c r="B58" s="15"/>
      <c r="C58" s="15">
        <v>0.85</v>
      </c>
      <c r="D58" s="15"/>
      <c r="E58" s="15"/>
      <c r="F58" s="372"/>
      <c r="G58" s="372"/>
      <c r="H58" s="372"/>
      <c r="I58" s="372"/>
      <c r="J58" s="372"/>
      <c r="K58" s="374"/>
      <c r="L58" s="374"/>
      <c r="M58" s="374"/>
      <c r="N58" s="372"/>
      <c r="O58" s="372"/>
      <c r="P58" s="372"/>
      <c r="Q58" s="372"/>
      <c r="R58" s="372"/>
      <c r="S58" s="372"/>
      <c r="T58" s="372"/>
      <c r="U58" s="372"/>
      <c r="V58" s="372"/>
      <c r="W58" s="372"/>
      <c r="X58" s="372"/>
      <c r="Y58" s="372"/>
      <c r="Z58" s="372"/>
      <c r="AA58" s="372"/>
      <c r="AB58" s="372"/>
      <c r="AC58" s="372"/>
      <c r="AD58" s="41"/>
      <c r="AE58" s="41"/>
      <c r="AF58" s="11">
        <f t="shared" si="7"/>
        <v>0</v>
      </c>
      <c r="AG58" s="11">
        <f t="shared" si="8"/>
        <v>0</v>
      </c>
      <c r="AH58" s="11">
        <f t="shared" si="9"/>
        <v>0</v>
      </c>
    </row>
    <row r="59" spans="1:124">
      <c r="A59" s="70" t="s">
        <v>54</v>
      </c>
      <c r="B59" s="15"/>
      <c r="C59" s="15">
        <v>0.85</v>
      </c>
      <c r="D59" s="15"/>
      <c r="E59" s="15"/>
      <c r="F59" s="372"/>
      <c r="G59" s="372"/>
      <c r="H59" s="372"/>
      <c r="I59" s="372"/>
      <c r="J59" s="372"/>
      <c r="K59" s="374"/>
      <c r="L59" s="374"/>
      <c r="M59" s="374"/>
      <c r="N59" s="372"/>
      <c r="O59" s="372"/>
      <c r="P59" s="372"/>
      <c r="Q59" s="372"/>
      <c r="R59" s="372"/>
      <c r="S59" s="372"/>
      <c r="T59" s="372"/>
      <c r="U59" s="372"/>
      <c r="V59" s="372"/>
      <c r="W59" s="372"/>
      <c r="X59" s="372"/>
      <c r="Y59" s="372"/>
      <c r="Z59" s="372"/>
      <c r="AA59" s="372"/>
      <c r="AB59" s="372"/>
      <c r="AC59" s="372"/>
      <c r="AD59" s="41"/>
      <c r="AE59" s="41"/>
      <c r="AF59" s="11">
        <f t="shared" si="7"/>
        <v>0</v>
      </c>
      <c r="AG59" s="11">
        <f t="shared" si="8"/>
        <v>0</v>
      </c>
      <c r="AH59" s="11">
        <f t="shared" si="9"/>
        <v>0</v>
      </c>
    </row>
    <row r="60" spans="1:124">
      <c r="A60" s="9" t="s">
        <v>26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 t="shared" ref="F60:AC60" si="10">SUM(F36:F59)</f>
        <v>0</v>
      </c>
      <c r="G60" s="19">
        <f t="shared" si="10"/>
        <v>0</v>
      </c>
      <c r="H60" s="19">
        <f t="shared" si="10"/>
        <v>0</v>
      </c>
      <c r="I60" s="19">
        <f t="shared" si="10"/>
        <v>0</v>
      </c>
      <c r="J60" s="19">
        <f t="shared" si="10"/>
        <v>0</v>
      </c>
      <c r="K60" s="19">
        <f t="shared" si="10"/>
        <v>0</v>
      </c>
      <c r="L60" s="19">
        <f t="shared" si="10"/>
        <v>1.5</v>
      </c>
      <c r="M60" s="19">
        <f t="shared" si="10"/>
        <v>0</v>
      </c>
      <c r="N60" s="19">
        <f t="shared" si="10"/>
        <v>2.25</v>
      </c>
      <c r="O60" s="19">
        <f>SUM(O36:O59)</f>
        <v>1.5</v>
      </c>
      <c r="P60" s="19">
        <f t="shared" si="10"/>
        <v>3.8</v>
      </c>
      <c r="Q60" s="19">
        <f t="shared" si="10"/>
        <v>0</v>
      </c>
      <c r="R60" s="19">
        <f t="shared" si="10"/>
        <v>0.7</v>
      </c>
      <c r="S60" s="19">
        <f t="shared" si="10"/>
        <v>0.7</v>
      </c>
      <c r="T60" s="19">
        <f>SUM(T36:T59)</f>
        <v>0</v>
      </c>
      <c r="U60" s="19">
        <f t="shared" si="10"/>
        <v>0</v>
      </c>
      <c r="V60" s="19">
        <f t="shared" si="10"/>
        <v>0</v>
      </c>
      <c r="W60" s="19">
        <f t="shared" si="10"/>
        <v>0</v>
      </c>
      <c r="X60" s="19">
        <f t="shared" si="10"/>
        <v>0</v>
      </c>
      <c r="Y60" s="19">
        <f t="shared" si="10"/>
        <v>0</v>
      </c>
      <c r="Z60" s="19">
        <f t="shared" si="10"/>
        <v>0</v>
      </c>
      <c r="AA60" s="19">
        <f t="shared" si="10"/>
        <v>1.5</v>
      </c>
      <c r="AB60" s="19">
        <f t="shared" si="10"/>
        <v>0</v>
      </c>
      <c r="AC60" s="19">
        <f t="shared" si="10"/>
        <v>0</v>
      </c>
      <c r="AD60" s="34"/>
      <c r="AE60" s="34"/>
      <c r="AF60" s="11"/>
      <c r="AG60" s="11"/>
      <c r="AH60" s="11"/>
    </row>
    <row r="61" spans="1:124">
      <c r="A61" s="12" t="s">
        <v>55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27.62</v>
      </c>
      <c r="AN61" s="351"/>
    </row>
    <row r="62" spans="1:124">
      <c r="A62" s="14" t="s">
        <v>56</v>
      </c>
      <c r="B62" s="20"/>
      <c r="C62" s="15">
        <v>0.75</v>
      </c>
      <c r="D62" s="15"/>
      <c r="E62" s="15"/>
      <c r="F62" s="372">
        <f>1.17/2</f>
        <v>0.58499999999999996</v>
      </c>
      <c r="G62" s="372">
        <f>1.09/2</f>
        <v>0.54500000000000004</v>
      </c>
      <c r="H62" s="372">
        <f>1.02/2</f>
        <v>0.51</v>
      </c>
      <c r="I62" s="372">
        <f>0.95/2</f>
        <v>0.47499999999999998</v>
      </c>
      <c r="J62" s="374">
        <f>0.92/2</f>
        <v>0.46</v>
      </c>
      <c r="K62" s="374">
        <f>0.92/2</f>
        <v>0.46</v>
      </c>
      <c r="L62" s="374">
        <f>1.03/2</f>
        <v>0.51500000000000001</v>
      </c>
      <c r="M62" s="374">
        <v>0.55500000000000005</v>
      </c>
      <c r="N62" s="372">
        <v>0.63</v>
      </c>
      <c r="O62" s="372"/>
      <c r="P62" s="372"/>
      <c r="Q62" s="372">
        <v>0.78</v>
      </c>
      <c r="R62" s="372">
        <f>1.57/3</f>
        <v>0.52333333333333332</v>
      </c>
      <c r="S62" s="372">
        <f>1.28/3</f>
        <v>0.42666666666666669</v>
      </c>
      <c r="T62" s="372"/>
      <c r="U62" s="372"/>
      <c r="V62" s="372"/>
      <c r="W62" s="372"/>
      <c r="X62" s="372"/>
      <c r="Y62" s="372">
        <f>1.54/3</f>
        <v>0.51333333333333331</v>
      </c>
      <c r="Z62" s="372">
        <f t="shared" ref="Z62:Z64" si="11">1.56/3</f>
        <v>0.52</v>
      </c>
      <c r="AA62" s="372">
        <f>1.49/2</f>
        <v>0.745</v>
      </c>
      <c r="AB62" s="372">
        <f>1.29/2</f>
        <v>0.64500000000000002</v>
      </c>
      <c r="AC62" s="372">
        <f>1.15/2</f>
        <v>0.57499999999999996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17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57</v>
      </c>
      <c r="B63" s="20"/>
      <c r="C63" s="15">
        <v>0.75</v>
      </c>
      <c r="D63" s="15"/>
      <c r="E63" s="15"/>
      <c r="F63" s="372">
        <f>1.17/2</f>
        <v>0.58499999999999996</v>
      </c>
      <c r="G63" s="372">
        <f>1.09/2</f>
        <v>0.54500000000000004</v>
      </c>
      <c r="H63" s="372">
        <f>1.02/2</f>
        <v>0.51</v>
      </c>
      <c r="I63" s="372">
        <f>0.95/2</f>
        <v>0.47499999999999998</v>
      </c>
      <c r="J63" s="374">
        <f>0.92/2</f>
        <v>0.46</v>
      </c>
      <c r="K63" s="374"/>
      <c r="L63" s="374"/>
      <c r="M63" s="374"/>
      <c r="N63" s="372"/>
      <c r="O63" s="372"/>
      <c r="P63" s="372"/>
      <c r="Q63" s="372"/>
      <c r="R63" s="372">
        <v>0.52333333333333332</v>
      </c>
      <c r="S63" s="372">
        <v>0.42666666666666669</v>
      </c>
      <c r="T63" s="372">
        <f>1.27/2</f>
        <v>0.63500000000000001</v>
      </c>
      <c r="U63" s="372">
        <f>1.44/2</f>
        <v>0.72</v>
      </c>
      <c r="V63" s="372">
        <f>1.32/2</f>
        <v>0.66</v>
      </c>
      <c r="W63" s="372">
        <f>1.34/2</f>
        <v>0.67</v>
      </c>
      <c r="X63" s="372">
        <f>1.34/2</f>
        <v>0.67</v>
      </c>
      <c r="Y63" s="372">
        <f t="shared" ref="Y63:Y64" si="12">1.54/3</f>
        <v>0.51333333333333331</v>
      </c>
      <c r="Z63" s="372">
        <f t="shared" si="11"/>
        <v>0.52</v>
      </c>
      <c r="AA63" s="372"/>
      <c r="AB63" s="372"/>
      <c r="AC63" s="372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14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58</v>
      </c>
      <c r="B64" s="20"/>
      <c r="C64" s="15">
        <v>0.75</v>
      </c>
      <c r="D64" s="15"/>
      <c r="E64" s="15"/>
      <c r="F64" s="372"/>
      <c r="G64" s="372"/>
      <c r="H64" s="372"/>
      <c r="I64" s="372"/>
      <c r="J64" s="374"/>
      <c r="K64" s="374">
        <f>0.92/2</f>
        <v>0.46</v>
      </c>
      <c r="L64" s="374">
        <f>1.03/2</f>
        <v>0.51500000000000001</v>
      </c>
      <c r="M64" s="374">
        <v>0.55500000000000005</v>
      </c>
      <c r="N64" s="372">
        <v>0.63</v>
      </c>
      <c r="O64" s="372"/>
      <c r="P64" s="372"/>
      <c r="Q64" s="372">
        <v>0.78</v>
      </c>
      <c r="R64" s="372">
        <v>0.52333333333333332</v>
      </c>
      <c r="S64" s="372">
        <v>0.42666666666666669</v>
      </c>
      <c r="T64" s="372">
        <f>1.27/2</f>
        <v>0.63500000000000001</v>
      </c>
      <c r="U64" s="372">
        <f>1.44/2</f>
        <v>0.72</v>
      </c>
      <c r="V64" s="372">
        <f>1.32/2</f>
        <v>0.66</v>
      </c>
      <c r="W64" s="372">
        <f>1.34/2</f>
        <v>0.67</v>
      </c>
      <c r="X64" s="372">
        <f>1.34/2</f>
        <v>0.67</v>
      </c>
      <c r="Y64" s="372">
        <f t="shared" si="12"/>
        <v>0.51333333333333331</v>
      </c>
      <c r="Z64" s="372">
        <f t="shared" si="11"/>
        <v>0.52</v>
      </c>
      <c r="AA64" s="372">
        <f>1.49/2</f>
        <v>0.745</v>
      </c>
      <c r="AB64" s="372">
        <f>1.29/2</f>
        <v>0.64500000000000002</v>
      </c>
      <c r="AC64" s="372">
        <f>1.15/2</f>
        <v>0.57499999999999996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17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1.17</v>
      </c>
      <c r="G65" s="19">
        <f t="shared" ref="G65" si="13">SUM(G62:G64)</f>
        <v>1.0900000000000001</v>
      </c>
      <c r="H65" s="19">
        <f>SUM(H62:H64)</f>
        <v>1.02</v>
      </c>
      <c r="I65" s="19">
        <f>SUM(I62:I64)</f>
        <v>0.95</v>
      </c>
      <c r="J65" s="19">
        <f t="shared" ref="J65" si="14">SUM(J62:J64)</f>
        <v>0.92</v>
      </c>
      <c r="K65" s="19">
        <f>SUM(K62:K64)</f>
        <v>0.92</v>
      </c>
      <c r="L65" s="19">
        <f>SUM(L62:L64)</f>
        <v>1.03</v>
      </c>
      <c r="M65" s="19">
        <f>SUM(M62:M64)</f>
        <v>1.1100000000000001</v>
      </c>
      <c r="N65" s="19">
        <f>SUM(N62:N64)</f>
        <v>1.26</v>
      </c>
      <c r="O65" s="19">
        <f t="shared" ref="O65:AB65" si="15">SUM(O62:O64)</f>
        <v>0</v>
      </c>
      <c r="P65" s="19">
        <f t="shared" si="15"/>
        <v>0</v>
      </c>
      <c r="Q65" s="19">
        <f t="shared" si="15"/>
        <v>1.56</v>
      </c>
      <c r="R65" s="19">
        <f t="shared" si="15"/>
        <v>1.5699999999999998</v>
      </c>
      <c r="S65" s="19">
        <f t="shared" si="15"/>
        <v>1.28</v>
      </c>
      <c r="T65" s="19">
        <f t="shared" si="15"/>
        <v>1.27</v>
      </c>
      <c r="U65" s="19">
        <f t="shared" si="15"/>
        <v>1.44</v>
      </c>
      <c r="V65" s="19">
        <f t="shared" si="15"/>
        <v>1.32</v>
      </c>
      <c r="W65" s="19">
        <f t="shared" si="15"/>
        <v>1.34</v>
      </c>
      <c r="X65" s="19">
        <f t="shared" si="15"/>
        <v>1.34</v>
      </c>
      <c r="Y65" s="19">
        <f>SUM(Y62:Y64)</f>
        <v>1.54</v>
      </c>
      <c r="Z65" s="19">
        <f t="shared" si="15"/>
        <v>1.56</v>
      </c>
      <c r="AA65" s="19">
        <f t="shared" si="15"/>
        <v>1.49</v>
      </c>
      <c r="AB65" s="19">
        <f t="shared" si="15"/>
        <v>1.29</v>
      </c>
      <c r="AC65" s="19">
        <f>SUM(AC62:AC64)</f>
        <v>1.1499999999999999</v>
      </c>
      <c r="AD65" s="34"/>
      <c r="AE65" s="34"/>
      <c r="AF65" s="11"/>
      <c r="AG65" s="11"/>
      <c r="AH65" s="11"/>
    </row>
    <row r="66" spans="1:124" hidden="1">
      <c r="A66" s="12" t="s">
        <v>59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idden="1">
      <c r="A67" s="14" t="s">
        <v>60</v>
      </c>
      <c r="B67" s="15"/>
      <c r="C67" s="15">
        <v>0.85</v>
      </c>
      <c r="D67" s="15"/>
      <c r="E67" s="15"/>
      <c r="F67" s="372"/>
      <c r="G67" s="372"/>
      <c r="H67" s="372"/>
      <c r="I67" s="372"/>
      <c r="J67" s="372"/>
      <c r="K67" s="374"/>
      <c r="L67" s="374"/>
      <c r="M67" s="374"/>
      <c r="N67" s="372"/>
      <c r="O67" s="372"/>
      <c r="P67" s="372"/>
      <c r="Q67" s="372"/>
      <c r="R67" s="372"/>
      <c r="S67" s="372"/>
      <c r="T67" s="372"/>
      <c r="U67" s="372"/>
      <c r="V67" s="372"/>
      <c r="W67" s="372"/>
      <c r="X67" s="372"/>
      <c r="Y67" s="372"/>
      <c r="Z67" s="372"/>
      <c r="AA67" s="372"/>
      <c r="AB67" s="372"/>
      <c r="AC67" s="372"/>
      <c r="AD67" s="35"/>
      <c r="AE67" s="35"/>
      <c r="AF67" s="11">
        <f t="shared" ref="AF67:AF75" si="16">COUNTIF(F67:AC67,$AF$11)</f>
        <v>0</v>
      </c>
      <c r="AG67" s="11">
        <f t="shared" ref="AG67:AG75" si="17">COUNTIF(G67:AC67,$AG$11)</f>
        <v>0</v>
      </c>
      <c r="AH67" s="11">
        <f t="shared" ref="AH67:AH75" si="18">COUNT(F67:AC67)</f>
        <v>0</v>
      </c>
    </row>
    <row r="68" spans="1:124" hidden="1">
      <c r="A68" s="14" t="s">
        <v>61</v>
      </c>
      <c r="B68" s="15"/>
      <c r="C68" s="15">
        <v>0.85</v>
      </c>
      <c r="D68" s="15"/>
      <c r="E68" s="15"/>
      <c r="F68" s="372"/>
      <c r="G68" s="372"/>
      <c r="H68" s="372"/>
      <c r="I68" s="372"/>
      <c r="J68" s="372"/>
      <c r="K68" s="374"/>
      <c r="L68" s="374"/>
      <c r="M68" s="374"/>
      <c r="N68" s="372"/>
      <c r="O68" s="372"/>
      <c r="P68" s="372"/>
      <c r="Q68" s="372"/>
      <c r="R68" s="372"/>
      <c r="S68" s="372"/>
      <c r="T68" s="372"/>
      <c r="U68" s="372"/>
      <c r="V68" s="372"/>
      <c r="W68" s="372"/>
      <c r="X68" s="372"/>
      <c r="Y68" s="372"/>
      <c r="Z68" s="372"/>
      <c r="AA68" s="372"/>
      <c r="AB68" s="372"/>
      <c r="AC68" s="372"/>
      <c r="AD68" s="35"/>
      <c r="AE68" s="35"/>
      <c r="AF68" s="11">
        <f t="shared" si="16"/>
        <v>0</v>
      </c>
      <c r="AG68" s="11">
        <f t="shared" si="17"/>
        <v>0</v>
      </c>
      <c r="AH68" s="11">
        <f t="shared" si="18"/>
        <v>0</v>
      </c>
    </row>
    <row r="69" spans="1:124" hidden="1">
      <c r="A69" s="14" t="s">
        <v>62</v>
      </c>
      <c r="B69" s="15"/>
      <c r="C69" s="15">
        <v>0.85</v>
      </c>
      <c r="D69" s="15"/>
      <c r="E69" s="15"/>
      <c r="F69" s="372"/>
      <c r="G69" s="372"/>
      <c r="H69" s="372"/>
      <c r="I69" s="372"/>
      <c r="J69" s="372"/>
      <c r="K69" s="374"/>
      <c r="L69" s="374"/>
      <c r="M69" s="374"/>
      <c r="N69" s="372"/>
      <c r="O69" s="372"/>
      <c r="P69" s="372"/>
      <c r="Q69" s="372"/>
      <c r="R69" s="372"/>
      <c r="S69" s="372"/>
      <c r="T69" s="372"/>
      <c r="U69" s="372"/>
      <c r="V69" s="372"/>
      <c r="W69" s="372"/>
      <c r="X69" s="372"/>
      <c r="Y69" s="372"/>
      <c r="Z69" s="372"/>
      <c r="AA69" s="372"/>
      <c r="AB69" s="372"/>
      <c r="AC69" s="372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8"/>
        <v>0</v>
      </c>
    </row>
    <row r="70" spans="1:124" hidden="1">
      <c r="A70" s="14" t="s">
        <v>63</v>
      </c>
      <c r="B70" s="15"/>
      <c r="C70" s="15">
        <v>0.85</v>
      </c>
      <c r="D70" s="15"/>
      <c r="E70" s="15"/>
      <c r="F70" s="372"/>
      <c r="G70" s="372"/>
      <c r="H70" s="372"/>
      <c r="I70" s="372"/>
      <c r="J70" s="372"/>
      <c r="K70" s="374"/>
      <c r="L70" s="374"/>
      <c r="M70" s="374"/>
      <c r="N70" s="372"/>
      <c r="O70" s="372"/>
      <c r="P70" s="372"/>
      <c r="Q70" s="372"/>
      <c r="R70" s="372"/>
      <c r="S70" s="372"/>
      <c r="T70" s="372"/>
      <c r="U70" s="372"/>
      <c r="V70" s="372"/>
      <c r="W70" s="372"/>
      <c r="X70" s="372"/>
      <c r="Y70" s="372"/>
      <c r="Z70" s="372"/>
      <c r="AA70" s="372"/>
      <c r="AB70" s="372"/>
      <c r="AC70" s="372"/>
      <c r="AD70" s="35"/>
      <c r="AE70" s="35"/>
      <c r="AF70" s="11">
        <f t="shared" si="16"/>
        <v>0</v>
      </c>
      <c r="AG70" s="11">
        <f t="shared" si="17"/>
        <v>0</v>
      </c>
      <c r="AH70" s="11">
        <f t="shared" si="18"/>
        <v>0</v>
      </c>
      <c r="AI70" s="5"/>
      <c r="AJ70" s="5"/>
      <c r="AK70" s="5"/>
      <c r="AL70" s="5"/>
    </row>
    <row r="71" spans="1:124" hidden="1">
      <c r="A71" s="14" t="s">
        <v>64</v>
      </c>
      <c r="B71" s="15"/>
      <c r="C71" s="15">
        <v>0.85</v>
      </c>
      <c r="D71" s="15"/>
      <c r="E71" s="15"/>
      <c r="F71" s="372"/>
      <c r="G71" s="372"/>
      <c r="H71" s="372"/>
      <c r="I71" s="372"/>
      <c r="J71" s="372"/>
      <c r="K71" s="374"/>
      <c r="L71" s="374"/>
      <c r="M71" s="374"/>
      <c r="N71" s="372"/>
      <c r="O71" s="372"/>
      <c r="P71" s="372"/>
      <c r="Q71" s="372"/>
      <c r="R71" s="372"/>
      <c r="S71" s="372"/>
      <c r="T71" s="372"/>
      <c r="U71" s="372"/>
      <c r="V71" s="372"/>
      <c r="W71" s="372"/>
      <c r="X71" s="372"/>
      <c r="Y71" s="372"/>
      <c r="Z71" s="372"/>
      <c r="AA71" s="372"/>
      <c r="AB71" s="372"/>
      <c r="AC71" s="372"/>
      <c r="AD71" s="35"/>
      <c r="AE71" s="35"/>
      <c r="AF71" s="11">
        <f t="shared" si="16"/>
        <v>0</v>
      </c>
      <c r="AG71" s="11">
        <f t="shared" si="17"/>
        <v>0</v>
      </c>
      <c r="AH71" s="11">
        <f t="shared" si="18"/>
        <v>0</v>
      </c>
    </row>
    <row r="72" spans="1:124" hidden="1">
      <c r="A72" s="14" t="s">
        <v>65</v>
      </c>
      <c r="B72" s="15"/>
      <c r="C72" s="15">
        <v>0.85</v>
      </c>
      <c r="D72" s="15"/>
      <c r="E72" s="15"/>
      <c r="F72" s="372"/>
      <c r="G72" s="372"/>
      <c r="H72" s="372"/>
      <c r="I72" s="372"/>
      <c r="J72" s="372"/>
      <c r="K72" s="374"/>
      <c r="L72" s="374"/>
      <c r="M72" s="374"/>
      <c r="N72" s="372"/>
      <c r="O72" s="372"/>
      <c r="P72" s="372"/>
      <c r="Q72" s="372"/>
      <c r="R72" s="372"/>
      <c r="S72" s="372"/>
      <c r="T72" s="372"/>
      <c r="U72" s="372"/>
      <c r="V72" s="372"/>
      <c r="W72" s="372"/>
      <c r="X72" s="372"/>
      <c r="Y72" s="372"/>
      <c r="Z72" s="372"/>
      <c r="AA72" s="372"/>
      <c r="AB72" s="372"/>
      <c r="AC72" s="372"/>
      <c r="AD72" s="35"/>
      <c r="AE72" s="35"/>
      <c r="AF72" s="11">
        <f t="shared" si="16"/>
        <v>0</v>
      </c>
      <c r="AG72" s="11">
        <f t="shared" si="17"/>
        <v>0</v>
      </c>
      <c r="AH72" s="11">
        <f t="shared" si="18"/>
        <v>0</v>
      </c>
    </row>
    <row r="73" spans="1:124" hidden="1">
      <c r="A73" s="14" t="s">
        <v>66</v>
      </c>
      <c r="B73" s="15"/>
      <c r="C73" s="15">
        <v>0.85</v>
      </c>
      <c r="D73" s="15"/>
      <c r="E73" s="15"/>
      <c r="F73" s="372"/>
      <c r="G73" s="372"/>
      <c r="H73" s="372"/>
      <c r="I73" s="372"/>
      <c r="J73" s="372"/>
      <c r="K73" s="374"/>
      <c r="L73" s="374"/>
      <c r="M73" s="374"/>
      <c r="N73" s="372"/>
      <c r="O73" s="372"/>
      <c r="P73" s="372"/>
      <c r="Q73" s="372"/>
      <c r="R73" s="372"/>
      <c r="S73" s="372"/>
      <c r="T73" s="372"/>
      <c r="U73" s="372"/>
      <c r="V73" s="372"/>
      <c r="W73" s="372"/>
      <c r="X73" s="372"/>
      <c r="Y73" s="372"/>
      <c r="Z73" s="372"/>
      <c r="AA73" s="372"/>
      <c r="AB73" s="372"/>
      <c r="AC73" s="372"/>
      <c r="AD73" s="35"/>
      <c r="AE73" s="35"/>
      <c r="AF73" s="11">
        <f t="shared" si="16"/>
        <v>0</v>
      </c>
      <c r="AG73" s="11">
        <f t="shared" si="17"/>
        <v>0</v>
      </c>
      <c r="AH73" s="11">
        <f t="shared" si="18"/>
        <v>0</v>
      </c>
    </row>
    <row r="74" spans="1:124" hidden="1">
      <c r="A74" s="14" t="s">
        <v>67</v>
      </c>
      <c r="B74" s="19"/>
      <c r="C74" s="15">
        <v>0.85</v>
      </c>
      <c r="D74" s="15"/>
      <c r="E74" s="15"/>
      <c r="F74" s="372"/>
      <c r="G74" s="372"/>
      <c r="H74" s="372"/>
      <c r="I74" s="372"/>
      <c r="J74" s="372"/>
      <c r="K74" s="374"/>
      <c r="L74" s="374"/>
      <c r="M74" s="374"/>
      <c r="N74" s="372"/>
      <c r="O74" s="372"/>
      <c r="P74" s="372"/>
      <c r="Q74" s="372"/>
      <c r="R74" s="372"/>
      <c r="S74" s="372"/>
      <c r="T74" s="372"/>
      <c r="U74" s="372"/>
      <c r="V74" s="372"/>
      <c r="W74" s="372"/>
      <c r="X74" s="372"/>
      <c r="Y74" s="372"/>
      <c r="Z74" s="372"/>
      <c r="AA74" s="372"/>
      <c r="AB74" s="372"/>
      <c r="AC74" s="372"/>
      <c r="AD74" s="29"/>
      <c r="AE74" s="29"/>
      <c r="AF74" s="11">
        <f t="shared" si="16"/>
        <v>0</v>
      </c>
      <c r="AG74" s="11">
        <f t="shared" si="17"/>
        <v>0</v>
      </c>
      <c r="AH74" s="11">
        <f t="shared" si="18"/>
        <v>0</v>
      </c>
    </row>
    <row r="75" spans="1:124" ht="15.75" hidden="1" customHeight="1">
      <c r="A75" s="14" t="s">
        <v>68</v>
      </c>
      <c r="B75" s="9"/>
      <c r="C75" s="15">
        <v>0.85</v>
      </c>
      <c r="D75" s="15"/>
      <c r="E75" s="15"/>
      <c r="F75" s="372"/>
      <c r="G75" s="372"/>
      <c r="H75" s="372"/>
      <c r="I75" s="372"/>
      <c r="J75" s="372"/>
      <c r="K75" s="374"/>
      <c r="L75" s="374"/>
      <c r="M75" s="374"/>
      <c r="N75" s="372"/>
      <c r="O75" s="372"/>
      <c r="P75" s="372"/>
      <c r="Q75" s="372"/>
      <c r="R75" s="372"/>
      <c r="S75" s="372"/>
      <c r="T75" s="372"/>
      <c r="U75" s="372"/>
      <c r="V75" s="372"/>
      <c r="W75" s="372"/>
      <c r="X75" s="372"/>
      <c r="Y75" s="372"/>
      <c r="Z75" s="372"/>
      <c r="AA75" s="372"/>
      <c r="AB75" s="372"/>
      <c r="AC75" s="372"/>
      <c r="AD75" s="31"/>
      <c r="AE75" s="31"/>
      <c r="AF75" s="11">
        <f t="shared" si="16"/>
        <v>0</v>
      </c>
      <c r="AG75" s="11">
        <f t="shared" si="17"/>
        <v>0</v>
      </c>
      <c r="AH75" s="11">
        <f t="shared" si="18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19">SUM(F67:F75)</f>
        <v>0</v>
      </c>
      <c r="G76" s="19">
        <f t="shared" si="19"/>
        <v>0</v>
      </c>
      <c r="H76" s="19">
        <f t="shared" si="19"/>
        <v>0</v>
      </c>
      <c r="I76" s="19">
        <f t="shared" si="19"/>
        <v>0</v>
      </c>
      <c r="J76" s="19">
        <f t="shared" si="19"/>
        <v>0</v>
      </c>
      <c r="K76" s="19">
        <f t="shared" si="19"/>
        <v>0</v>
      </c>
      <c r="L76" s="19">
        <f>SUM(L67:L75)</f>
        <v>0</v>
      </c>
      <c r="M76" s="19">
        <f t="shared" si="19"/>
        <v>0</v>
      </c>
      <c r="N76" s="19">
        <f t="shared" si="19"/>
        <v>0</v>
      </c>
      <c r="O76" s="19">
        <f t="shared" si="19"/>
        <v>0</v>
      </c>
      <c r="P76" s="19">
        <f t="shared" si="19"/>
        <v>0</v>
      </c>
      <c r="Q76" s="19">
        <f>SUM(Q67:Q75)</f>
        <v>0</v>
      </c>
      <c r="R76" s="19">
        <f t="shared" si="19"/>
        <v>0</v>
      </c>
      <c r="S76" s="19">
        <f t="shared" si="19"/>
        <v>0</v>
      </c>
      <c r="T76" s="19">
        <f t="shared" si="19"/>
        <v>0</v>
      </c>
      <c r="U76" s="19">
        <f t="shared" si="19"/>
        <v>0</v>
      </c>
      <c r="V76" s="19">
        <f t="shared" si="19"/>
        <v>0</v>
      </c>
      <c r="W76" s="19">
        <f t="shared" si="19"/>
        <v>0</v>
      </c>
      <c r="X76" s="19">
        <f t="shared" si="19"/>
        <v>0</v>
      </c>
      <c r="Y76" s="19">
        <f t="shared" si="19"/>
        <v>0</v>
      </c>
      <c r="Z76" s="19">
        <f t="shared" si="19"/>
        <v>0</v>
      </c>
      <c r="AA76" s="19">
        <f t="shared" si="19"/>
        <v>0</v>
      </c>
      <c r="AB76" s="19">
        <f t="shared" si="19"/>
        <v>0</v>
      </c>
      <c r="AC76" s="19">
        <f t="shared" si="19"/>
        <v>0</v>
      </c>
      <c r="AD76" s="34"/>
      <c r="AE76" s="34"/>
      <c r="AF76" s="11"/>
      <c r="AG76" s="11"/>
      <c r="AH76" s="11"/>
    </row>
    <row r="77" spans="1:124">
      <c r="A77" s="12" t="s">
        <v>69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 t="s">
        <v>21</v>
      </c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19.909999999999997</v>
      </c>
    </row>
    <row r="78" spans="1:124">
      <c r="A78" s="14" t="s">
        <v>70</v>
      </c>
      <c r="B78" s="20"/>
      <c r="C78" s="15">
        <v>1</v>
      </c>
      <c r="D78" s="15"/>
      <c r="E78" s="15"/>
      <c r="F78" s="372">
        <v>0</v>
      </c>
      <c r="G78" s="372">
        <v>0</v>
      </c>
      <c r="H78" s="372">
        <v>0</v>
      </c>
      <c r="I78" s="372">
        <v>0</v>
      </c>
      <c r="J78" s="372">
        <v>0</v>
      </c>
      <c r="K78" s="372">
        <v>0</v>
      </c>
      <c r="L78" s="372">
        <v>0</v>
      </c>
      <c r="M78" s="374">
        <v>0.79</v>
      </c>
      <c r="N78" s="372">
        <v>0.8</v>
      </c>
      <c r="O78" s="372">
        <v>0.83</v>
      </c>
      <c r="P78" s="372">
        <v>0.81</v>
      </c>
      <c r="Q78" s="372">
        <v>0.81</v>
      </c>
      <c r="R78" s="372">
        <v>0.81</v>
      </c>
      <c r="S78" s="372">
        <v>0.8</v>
      </c>
      <c r="T78" s="372">
        <v>0.8</v>
      </c>
      <c r="U78" s="372">
        <v>0.79</v>
      </c>
      <c r="V78" s="372">
        <v>0.81</v>
      </c>
      <c r="W78" s="372">
        <v>0.84</v>
      </c>
      <c r="X78" s="372">
        <v>0.86</v>
      </c>
      <c r="Y78" s="372">
        <v>0</v>
      </c>
      <c r="Z78" s="372">
        <v>0</v>
      </c>
      <c r="AA78" s="372">
        <v>0</v>
      </c>
      <c r="AB78" s="372">
        <v>0</v>
      </c>
      <c r="AC78" s="372">
        <v>0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24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71</v>
      </c>
      <c r="B79" s="20"/>
      <c r="C79" s="15">
        <v>1</v>
      </c>
      <c r="D79" s="15"/>
      <c r="E79" s="15"/>
      <c r="F79" s="372">
        <v>0.87</v>
      </c>
      <c r="G79" s="372">
        <v>0.84</v>
      </c>
      <c r="H79" s="372">
        <v>0.81</v>
      </c>
      <c r="I79" s="372">
        <v>0.77</v>
      </c>
      <c r="J79" s="374">
        <v>0.75</v>
      </c>
      <c r="K79" s="374">
        <v>0.77</v>
      </c>
      <c r="L79" s="374">
        <v>0.79</v>
      </c>
      <c r="M79" s="374"/>
      <c r="N79" s="372"/>
      <c r="O79" s="372"/>
      <c r="P79" s="372"/>
      <c r="Q79" s="372"/>
      <c r="R79" s="372"/>
      <c r="S79" s="372"/>
      <c r="T79" s="372"/>
      <c r="U79" s="372"/>
      <c r="V79" s="372"/>
      <c r="W79" s="372"/>
      <c r="X79" s="372"/>
      <c r="Y79" s="372">
        <v>0.97</v>
      </c>
      <c r="Z79" s="372">
        <v>0.96</v>
      </c>
      <c r="AA79" s="372">
        <v>0.91</v>
      </c>
      <c r="AB79" s="372">
        <v>0.88</v>
      </c>
      <c r="AC79" s="372">
        <v>0.84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20">SUM(F78:F79)</f>
        <v>0.87</v>
      </c>
      <c r="G80" s="19">
        <f t="shared" si="20"/>
        <v>0.84</v>
      </c>
      <c r="H80" s="19">
        <f>SUM(H78:H79)</f>
        <v>0.81</v>
      </c>
      <c r="I80" s="19">
        <f>SUM(I78:I79)</f>
        <v>0.77</v>
      </c>
      <c r="J80" s="19">
        <f t="shared" ref="J80:AC80" si="21">SUM(J78:J79)</f>
        <v>0.75</v>
      </c>
      <c r="K80" s="19">
        <f t="shared" si="21"/>
        <v>0.77</v>
      </c>
      <c r="L80" s="19">
        <f>SUM(L78:L79)</f>
        <v>0.79</v>
      </c>
      <c r="M80" s="19">
        <f t="shared" si="21"/>
        <v>0.79</v>
      </c>
      <c r="N80" s="19">
        <f t="shared" si="21"/>
        <v>0.8</v>
      </c>
      <c r="O80" s="19">
        <f>SUM(O78:O79)</f>
        <v>0.83</v>
      </c>
      <c r="P80" s="19">
        <f t="shared" si="21"/>
        <v>0.81</v>
      </c>
      <c r="Q80" s="19">
        <f t="shared" si="21"/>
        <v>0.81</v>
      </c>
      <c r="R80" s="19">
        <f t="shared" si="21"/>
        <v>0.81</v>
      </c>
      <c r="S80" s="19">
        <f t="shared" si="21"/>
        <v>0.8</v>
      </c>
      <c r="T80" s="19">
        <f t="shared" si="21"/>
        <v>0.8</v>
      </c>
      <c r="U80" s="19">
        <f t="shared" si="21"/>
        <v>0.79</v>
      </c>
      <c r="V80" s="19">
        <f t="shared" si="21"/>
        <v>0.81</v>
      </c>
      <c r="W80" s="19">
        <f t="shared" si="21"/>
        <v>0.84</v>
      </c>
      <c r="X80" s="19">
        <f t="shared" si="21"/>
        <v>0.86</v>
      </c>
      <c r="Y80" s="19">
        <f t="shared" si="21"/>
        <v>0.97</v>
      </c>
      <c r="Z80" s="19">
        <f t="shared" si="21"/>
        <v>0.96</v>
      </c>
      <c r="AA80" s="19">
        <f t="shared" si="21"/>
        <v>0.91</v>
      </c>
      <c r="AB80" s="19">
        <f t="shared" si="21"/>
        <v>0.88</v>
      </c>
      <c r="AC80" s="19">
        <f t="shared" si="21"/>
        <v>0.84</v>
      </c>
      <c r="AD80" s="34"/>
      <c r="AE80" s="34"/>
      <c r="AF80" s="11"/>
      <c r="AG80" s="11"/>
      <c r="AH80" s="11"/>
    </row>
    <row r="81" spans="1:40" ht="17.45" hidden="1">
      <c r="A81" s="366" t="s">
        <v>72</v>
      </c>
      <c r="B81" s="365"/>
      <c r="C81" s="367">
        <v>2</v>
      </c>
      <c r="D81" s="363"/>
      <c r="E81" s="363"/>
      <c r="F81" s="364"/>
      <c r="G81" s="364"/>
      <c r="H81" s="364"/>
      <c r="I81" s="364"/>
      <c r="J81" s="364"/>
      <c r="K81" s="364"/>
      <c r="L81" s="364"/>
      <c r="M81" s="364"/>
      <c r="N81" s="364"/>
      <c r="O81" s="364"/>
      <c r="P81" s="364"/>
      <c r="Q81" s="364"/>
      <c r="R81" s="364"/>
      <c r="S81" s="364"/>
      <c r="T81" s="364"/>
      <c r="U81" s="364"/>
      <c r="V81" s="364"/>
      <c r="W81" s="364"/>
      <c r="X81" s="364"/>
      <c r="Y81" s="364"/>
      <c r="Z81" s="364"/>
      <c r="AA81" s="364"/>
      <c r="AB81" s="364"/>
      <c r="AC81" s="364"/>
    </row>
    <row r="82" spans="1:40" ht="17.45" hidden="1">
      <c r="A82" s="368"/>
      <c r="B82" s="369"/>
      <c r="C82" s="370"/>
      <c r="D82" s="371"/>
      <c r="E82" s="371"/>
      <c r="F82" s="372"/>
      <c r="G82" s="372"/>
      <c r="H82" s="372"/>
      <c r="I82" s="372"/>
      <c r="J82" s="372"/>
      <c r="K82" s="374"/>
      <c r="L82" s="374"/>
      <c r="M82" s="374"/>
      <c r="N82" s="372"/>
      <c r="O82" s="372"/>
      <c r="P82" s="372"/>
      <c r="Q82" s="372"/>
      <c r="R82" s="372"/>
      <c r="S82" s="372"/>
      <c r="T82" s="372"/>
      <c r="U82" s="372"/>
      <c r="V82" s="372"/>
      <c r="W82" s="372"/>
      <c r="X82" s="372"/>
      <c r="Y82" s="372"/>
      <c r="Z82" s="372"/>
      <c r="AA82" s="372"/>
      <c r="AB82" s="372"/>
      <c r="AC82" s="372"/>
    </row>
    <row r="83" spans="1:40">
      <c r="A83" s="21" t="s">
        <v>73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:AC83" si="22">SUM(F17,F22,F25,F31,F34,F60,F65,F76,F80,F82)</f>
        <v>36.529999999999994</v>
      </c>
      <c r="G83" s="28">
        <f t="shared" si="22"/>
        <v>33.080000000000005</v>
      </c>
      <c r="H83" s="28">
        <f t="shared" si="22"/>
        <v>38.49</v>
      </c>
      <c r="I83" s="28">
        <f t="shared" si="22"/>
        <v>36.760000000000005</v>
      </c>
      <c r="J83" s="28">
        <f t="shared" si="22"/>
        <v>36.17</v>
      </c>
      <c r="K83" s="28">
        <f t="shared" si="22"/>
        <v>35.970000000000006</v>
      </c>
      <c r="L83" s="28">
        <f t="shared" si="22"/>
        <v>38.799999999999997</v>
      </c>
      <c r="M83" s="28">
        <f t="shared" si="22"/>
        <v>39.389999999999993</v>
      </c>
      <c r="N83" s="28">
        <f>SUM(N17,N22,N25,N31,N34,N60,N65,N76,N80,N82)</f>
        <v>46.459999999999994</v>
      </c>
      <c r="O83" s="28">
        <f>SUM(O17,O22,O25,O31,O34,O60,O65,O76,O80,O82)</f>
        <v>54.079999999999991</v>
      </c>
      <c r="P83" s="28">
        <f t="shared" si="22"/>
        <v>58.660000000000004</v>
      </c>
      <c r="Q83" s="28">
        <f t="shared" si="22"/>
        <v>61.64</v>
      </c>
      <c r="R83" s="28">
        <f t="shared" si="22"/>
        <v>61.34</v>
      </c>
      <c r="S83" s="28">
        <f t="shared" si="22"/>
        <v>61.83</v>
      </c>
      <c r="T83" s="28">
        <f t="shared" si="22"/>
        <v>64.03</v>
      </c>
      <c r="U83" s="28">
        <f>SUM(U17,U22,U25,U31,U34,U60,U65,U76,U80,U82)</f>
        <v>59.48</v>
      </c>
      <c r="V83" s="28">
        <f t="shared" si="22"/>
        <v>55.199999999999996</v>
      </c>
      <c r="W83" s="28">
        <f t="shared" si="22"/>
        <v>56.52</v>
      </c>
      <c r="X83" s="28">
        <f t="shared" si="22"/>
        <v>55.570000000000007</v>
      </c>
      <c r="Y83" s="28">
        <f t="shared" si="22"/>
        <v>57.559999999999995</v>
      </c>
      <c r="Z83" s="28">
        <f>SUM(Z17,Z22,Z25,Z31,Z34,Z60,Z65,Z76,Z80,Z82)</f>
        <v>54.860000000000007</v>
      </c>
      <c r="AA83" s="28">
        <f t="shared" si="22"/>
        <v>53.34</v>
      </c>
      <c r="AB83" s="28">
        <f t="shared" si="22"/>
        <v>47.269999999999996</v>
      </c>
      <c r="AC83" s="28">
        <f t="shared" si="22"/>
        <v>46.25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25" t="s">
        <v>74</v>
      </c>
      <c r="B85" s="525"/>
      <c r="C85" s="525"/>
      <c r="D85" s="525"/>
      <c r="E85" s="525"/>
      <c r="F85" s="525"/>
      <c r="G85" s="525"/>
      <c r="H85" s="525"/>
      <c r="I85" s="525"/>
      <c r="J85" s="525"/>
      <c r="K85" s="525"/>
      <c r="L85" s="525"/>
      <c r="M85" s="525"/>
      <c r="N85" s="525"/>
      <c r="O85" s="525"/>
      <c r="P85" s="525"/>
      <c r="Q85" s="525"/>
      <c r="R85" s="525"/>
      <c r="S85" s="525"/>
      <c r="T85" s="525"/>
      <c r="U85" s="525"/>
      <c r="V85" s="525"/>
      <c r="W85" s="525"/>
      <c r="X85" s="525"/>
      <c r="Y85" s="525"/>
      <c r="Z85" s="525"/>
      <c r="AA85" s="525"/>
      <c r="AB85" s="525"/>
      <c r="AC85" s="525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</row>
    <row r="87" spans="1:40" ht="17.45">
      <c r="A87" s="500" t="s">
        <v>75</v>
      </c>
      <c r="B87" s="501"/>
      <c r="C87" s="502"/>
      <c r="D87" s="49"/>
      <c r="E87" s="49"/>
      <c r="F87" s="506" t="s">
        <v>76</v>
      </c>
      <c r="G87" s="506"/>
      <c r="H87" s="506"/>
      <c r="I87" s="506"/>
      <c r="J87" s="506"/>
      <c r="K87" s="506"/>
      <c r="L87" s="506"/>
      <c r="M87" s="506"/>
      <c r="N87" s="506"/>
      <c r="O87" s="506"/>
      <c r="P87" s="506"/>
      <c r="Q87" s="506"/>
      <c r="R87" s="506"/>
      <c r="S87" s="506"/>
      <c r="T87" s="506"/>
      <c r="U87" s="506"/>
      <c r="V87" s="506"/>
      <c r="W87" s="506"/>
      <c r="X87" s="506"/>
      <c r="Y87" s="506"/>
      <c r="Z87" s="506"/>
      <c r="AA87" s="506"/>
      <c r="AB87" s="506"/>
      <c r="AC87" s="506"/>
      <c r="AD87" s="5"/>
      <c r="AE87" s="5"/>
      <c r="AF87" s="5"/>
      <c r="AG87" s="5"/>
      <c r="AH87" s="5"/>
    </row>
    <row r="88" spans="1:40" ht="15.6" customHeight="1">
      <c r="A88" s="503"/>
      <c r="B88" s="504"/>
      <c r="C88" s="505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07" t="s">
        <v>27</v>
      </c>
      <c r="B89" s="508"/>
      <c r="C89" s="509"/>
      <c r="D89" s="45"/>
      <c r="E89" s="45"/>
      <c r="F89" s="64">
        <f t="shared" ref="F89:AC89" si="23">SUM(F22,F25)</f>
        <v>2</v>
      </c>
      <c r="G89" s="64">
        <f t="shared" si="23"/>
        <v>0</v>
      </c>
      <c r="H89" s="64">
        <f t="shared" si="23"/>
        <v>0</v>
      </c>
      <c r="I89" s="64">
        <f t="shared" si="23"/>
        <v>0</v>
      </c>
      <c r="J89" s="64">
        <f t="shared" si="23"/>
        <v>0</v>
      </c>
      <c r="K89" s="64">
        <f t="shared" si="23"/>
        <v>0</v>
      </c>
      <c r="L89" s="64">
        <f t="shared" si="23"/>
        <v>0</v>
      </c>
      <c r="M89" s="64">
        <f t="shared" si="23"/>
        <v>2.8</v>
      </c>
      <c r="N89" s="64">
        <f t="shared" si="23"/>
        <v>2.8</v>
      </c>
      <c r="O89" s="64">
        <f t="shared" si="23"/>
        <v>9.1</v>
      </c>
      <c r="P89" s="64">
        <f t="shared" si="23"/>
        <v>10.399999999999999</v>
      </c>
      <c r="Q89" s="64">
        <f t="shared" si="23"/>
        <v>10.399999999999999</v>
      </c>
      <c r="R89" s="64">
        <f t="shared" si="23"/>
        <v>10.399999999999999</v>
      </c>
      <c r="S89" s="64">
        <f t="shared" si="23"/>
        <v>10.399999999999999</v>
      </c>
      <c r="T89" s="64">
        <f t="shared" si="23"/>
        <v>10.399999999999999</v>
      </c>
      <c r="U89" s="64">
        <f t="shared" si="23"/>
        <v>10.399999999999999</v>
      </c>
      <c r="V89" s="64">
        <f t="shared" si="23"/>
        <v>8.8000000000000007</v>
      </c>
      <c r="W89" s="64">
        <f t="shared" si="23"/>
        <v>8</v>
      </c>
      <c r="X89" s="64">
        <f t="shared" si="23"/>
        <v>8.5</v>
      </c>
      <c r="Y89" s="64">
        <f t="shared" si="23"/>
        <v>8</v>
      </c>
      <c r="Z89" s="64">
        <f t="shared" si="23"/>
        <v>6</v>
      </c>
      <c r="AA89" s="64">
        <f t="shared" si="23"/>
        <v>7.6</v>
      </c>
      <c r="AB89" s="64">
        <f t="shared" si="23"/>
        <v>6</v>
      </c>
      <c r="AC89" s="64">
        <f t="shared" si="23"/>
        <v>0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521" t="s">
        <v>77</v>
      </c>
      <c r="B90" s="521"/>
      <c r="C90" s="522"/>
      <c r="D90" s="45"/>
      <c r="E90" s="45"/>
      <c r="F90" s="68"/>
      <c r="G90" s="68"/>
      <c r="H90" s="68"/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>
        <v>0.20100000000000001</v>
      </c>
      <c r="Q90" s="68">
        <v>0.21299999999999999</v>
      </c>
      <c r="R90" s="68">
        <v>0.222</v>
      </c>
      <c r="S90" s="68">
        <v>0.18099999999999999</v>
      </c>
      <c r="T90" s="68">
        <v>0.191</v>
      </c>
      <c r="U90" s="68">
        <v>0.26300000000000001</v>
      </c>
      <c r="V90" s="68">
        <v>0.20200000000000001</v>
      </c>
      <c r="W90" s="68">
        <v>0.20100000000000001</v>
      </c>
      <c r="X90" s="68">
        <v>0.20399999999999999</v>
      </c>
      <c r="Y90" s="68">
        <v>0.249</v>
      </c>
      <c r="Z90" s="68">
        <v>0.19900000000000001</v>
      </c>
      <c r="AA90" s="68">
        <v>0.215</v>
      </c>
      <c r="AB90" s="68">
        <v>0.23300000000000001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07" t="s">
        <v>78</v>
      </c>
      <c r="B91" s="508"/>
      <c r="C91" s="509"/>
      <c r="D91" s="45"/>
      <c r="E91" s="45"/>
      <c r="F91" s="64">
        <f t="shared" ref="F91:AC91" si="24">F17</f>
        <v>13.2</v>
      </c>
      <c r="G91" s="64">
        <f t="shared" si="24"/>
        <v>12.4</v>
      </c>
      <c r="H91" s="64">
        <f t="shared" si="24"/>
        <v>13.4</v>
      </c>
      <c r="I91" s="64">
        <f t="shared" si="24"/>
        <v>13.2</v>
      </c>
      <c r="J91" s="64">
        <f t="shared" si="24"/>
        <v>13.4</v>
      </c>
      <c r="K91" s="64">
        <f t="shared" si="24"/>
        <v>13.2</v>
      </c>
      <c r="L91" s="64">
        <f t="shared" si="24"/>
        <v>13.2</v>
      </c>
      <c r="M91" s="64">
        <f t="shared" si="24"/>
        <v>13.4</v>
      </c>
      <c r="N91" s="64">
        <f t="shared" si="24"/>
        <v>16.7</v>
      </c>
      <c r="O91" s="64">
        <f t="shared" si="24"/>
        <v>19.999999999999996</v>
      </c>
      <c r="P91" s="64">
        <f t="shared" si="24"/>
        <v>21</v>
      </c>
      <c r="Q91" s="64">
        <f t="shared" si="24"/>
        <v>26.4</v>
      </c>
      <c r="R91" s="64">
        <f t="shared" si="24"/>
        <v>26</v>
      </c>
      <c r="S91" s="64">
        <f t="shared" si="24"/>
        <v>26.4</v>
      </c>
      <c r="T91" s="64">
        <f t="shared" si="24"/>
        <v>26.4</v>
      </c>
      <c r="U91" s="64">
        <f t="shared" si="24"/>
        <v>25.6</v>
      </c>
      <c r="V91" s="64">
        <f t="shared" si="24"/>
        <v>25.6</v>
      </c>
      <c r="W91" s="64">
        <f t="shared" si="24"/>
        <v>24.8</v>
      </c>
      <c r="X91" s="64">
        <f t="shared" si="24"/>
        <v>25.6</v>
      </c>
      <c r="Y91" s="64">
        <f t="shared" si="24"/>
        <v>26.8</v>
      </c>
      <c r="Z91" s="64">
        <f t="shared" si="24"/>
        <v>26.4</v>
      </c>
      <c r="AA91" s="64">
        <f t="shared" si="24"/>
        <v>19.200000000000003</v>
      </c>
      <c r="AB91" s="64">
        <f t="shared" si="24"/>
        <v>19.799999999999997</v>
      </c>
      <c r="AC91" s="64">
        <f t="shared" si="24"/>
        <v>21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21" t="s">
        <v>79</v>
      </c>
      <c r="B92" s="521"/>
      <c r="C92" s="522"/>
      <c r="D92" s="45"/>
      <c r="E92" s="45"/>
      <c r="F92" s="68">
        <v>0.63900000000000001</v>
      </c>
      <c r="G92" s="68">
        <v>0.64200000000000002</v>
      </c>
      <c r="H92" s="68">
        <v>0.61399999999999999</v>
      </c>
      <c r="I92" s="68">
        <v>0.73499999999999999</v>
      </c>
      <c r="J92" s="68">
        <v>0.749</v>
      </c>
      <c r="K92" s="68">
        <v>0.60599999999999998</v>
      </c>
      <c r="L92" s="68">
        <v>0.64600000000000002</v>
      </c>
      <c r="M92" s="68">
        <v>0.64100000000000001</v>
      </c>
      <c r="N92" s="68">
        <v>0.89800000000000002</v>
      </c>
      <c r="O92" s="68">
        <v>0.98</v>
      </c>
      <c r="P92" s="68">
        <v>0.88500000000000001</v>
      </c>
      <c r="Q92" s="68">
        <v>0.88500000000000001</v>
      </c>
      <c r="R92" s="68">
        <v>0.99199999999999999</v>
      </c>
      <c r="S92" s="68">
        <v>1.018</v>
      </c>
      <c r="T92" s="68">
        <v>0.82899999999999996</v>
      </c>
      <c r="U92" s="68">
        <v>0.83499999999999996</v>
      </c>
      <c r="V92" s="68">
        <v>1.026</v>
      </c>
      <c r="W92" s="68">
        <v>0.98</v>
      </c>
      <c r="X92" s="68">
        <v>0.98199999999999998</v>
      </c>
      <c r="Y92" s="68">
        <v>1.0129999999999999</v>
      </c>
      <c r="Z92" s="68">
        <v>0.95</v>
      </c>
      <c r="AA92" s="68">
        <v>0.84599999999999997</v>
      </c>
      <c r="AB92" s="68">
        <v>0.67900000000000005</v>
      </c>
      <c r="AC92" s="68">
        <v>0.86199999999999999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07" t="s">
        <v>29</v>
      </c>
      <c r="B93" s="508"/>
      <c r="C93" s="509"/>
      <c r="D93" s="45"/>
      <c r="E93" s="45"/>
      <c r="F93" s="65">
        <f t="shared" ref="F93:AC93" si="25">F31</f>
        <v>6</v>
      </c>
      <c r="G93" s="65">
        <f t="shared" si="25"/>
        <v>6</v>
      </c>
      <c r="H93" s="65">
        <f t="shared" si="25"/>
        <v>9</v>
      </c>
      <c r="I93" s="65">
        <f t="shared" si="25"/>
        <v>7.6</v>
      </c>
      <c r="J93" s="65">
        <f t="shared" si="25"/>
        <v>6.8</v>
      </c>
      <c r="K93" s="65">
        <f t="shared" si="25"/>
        <v>6.8</v>
      </c>
      <c r="L93" s="65">
        <f t="shared" si="25"/>
        <v>8</v>
      </c>
      <c r="M93" s="65">
        <f t="shared" si="25"/>
        <v>8</v>
      </c>
      <c r="N93" s="65">
        <f t="shared" si="25"/>
        <v>8.4</v>
      </c>
      <c r="O93" s="65">
        <f t="shared" si="25"/>
        <v>8.4</v>
      </c>
      <c r="P93" s="65">
        <f t="shared" si="25"/>
        <v>8.4</v>
      </c>
      <c r="Q93" s="65">
        <f t="shared" si="25"/>
        <v>8.1999999999999993</v>
      </c>
      <c r="R93" s="65">
        <f t="shared" si="25"/>
        <v>7.6</v>
      </c>
      <c r="S93" s="65">
        <f t="shared" si="25"/>
        <v>8</v>
      </c>
      <c r="T93" s="65">
        <f>T31</f>
        <v>10.899999999999999</v>
      </c>
      <c r="U93" s="65">
        <f t="shared" si="25"/>
        <v>7</v>
      </c>
      <c r="V93" s="65">
        <f t="shared" si="25"/>
        <v>4.4000000000000004</v>
      </c>
      <c r="W93" s="65">
        <f t="shared" si="25"/>
        <v>7.8</v>
      </c>
      <c r="X93" s="65">
        <f t="shared" si="25"/>
        <v>8</v>
      </c>
      <c r="Y93" s="65">
        <f t="shared" si="25"/>
        <v>6</v>
      </c>
      <c r="Z93" s="65">
        <f t="shared" si="25"/>
        <v>6.2</v>
      </c>
      <c r="AA93" s="65">
        <f t="shared" si="25"/>
        <v>8.4</v>
      </c>
      <c r="AB93" s="65">
        <f t="shared" si="25"/>
        <v>6</v>
      </c>
      <c r="AC93" s="65">
        <f t="shared" si="25"/>
        <v>9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21" t="s">
        <v>102</v>
      </c>
      <c r="B94" s="521"/>
      <c r="C94" s="522"/>
      <c r="D94" s="45"/>
      <c r="E94" s="45"/>
      <c r="F94" s="68">
        <v>0.26900000000000002</v>
      </c>
      <c r="G94" s="68">
        <v>0.30199999999999999</v>
      </c>
      <c r="H94" s="68">
        <v>0.26900000000000002</v>
      </c>
      <c r="I94" s="68">
        <v>0.25800000000000001</v>
      </c>
      <c r="J94" s="68">
        <v>0.26800000000000002</v>
      </c>
      <c r="K94" s="68">
        <v>0.26</v>
      </c>
      <c r="L94" s="68">
        <v>0.27</v>
      </c>
      <c r="M94" s="68">
        <v>0.27700000000000002</v>
      </c>
      <c r="N94" s="68">
        <v>0.27500000000000002</v>
      </c>
      <c r="O94" s="68">
        <v>0.246</v>
      </c>
      <c r="P94" s="68">
        <v>0.25900000000000001</v>
      </c>
      <c r="Q94" s="68">
        <v>0.27800000000000002</v>
      </c>
      <c r="R94" s="68">
        <v>0.25800000000000001</v>
      </c>
      <c r="S94" s="68">
        <v>0.27600000000000002</v>
      </c>
      <c r="T94" s="68">
        <v>0.29199999999999998</v>
      </c>
      <c r="U94" s="68">
        <v>0.27900000000000003</v>
      </c>
      <c r="V94" s="68">
        <v>0.26500000000000001</v>
      </c>
      <c r="W94" s="68">
        <v>0.27300000000000002</v>
      </c>
      <c r="X94" s="68">
        <v>0.26600000000000001</v>
      </c>
      <c r="Y94" s="68">
        <v>0.26600000000000001</v>
      </c>
      <c r="Z94" s="68">
        <v>0.25900000000000001</v>
      </c>
      <c r="AA94" s="68">
        <v>0.252</v>
      </c>
      <c r="AB94" s="68">
        <v>0.25600000000000001</v>
      </c>
      <c r="AC94" s="68">
        <v>0.24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21" t="s">
        <v>104</v>
      </c>
      <c r="B95" s="521"/>
      <c r="C95" s="522"/>
      <c r="D95" s="45"/>
      <c r="E95" s="45"/>
      <c r="F95" s="68"/>
      <c r="G95" s="68"/>
      <c r="H95" s="68"/>
      <c r="I95" s="68" t="s">
        <v>1</v>
      </c>
      <c r="J95" s="68" t="s">
        <v>1</v>
      </c>
      <c r="K95" s="68" t="s">
        <v>1</v>
      </c>
      <c r="L95" s="68" t="s">
        <v>1</v>
      </c>
      <c r="M95" s="68" t="s">
        <v>1</v>
      </c>
      <c r="N95" s="68" t="s">
        <v>1</v>
      </c>
      <c r="O95" s="68" t="s">
        <v>1</v>
      </c>
      <c r="P95" s="68" t="s">
        <v>1</v>
      </c>
      <c r="Q95" s="68" t="s">
        <v>1</v>
      </c>
      <c r="R95" s="68">
        <v>0.21340000000000001</v>
      </c>
      <c r="S95" s="68" t="s">
        <v>1</v>
      </c>
      <c r="T95" s="68" t="s">
        <v>1</v>
      </c>
      <c r="U95" s="68">
        <v>0.19700000000000001</v>
      </c>
      <c r="V95" s="68">
        <v>0.17399999999999999</v>
      </c>
      <c r="W95" s="68">
        <v>0.17699999999999999</v>
      </c>
      <c r="X95" s="68">
        <v>0.30499999999999999</v>
      </c>
      <c r="Y95" s="68"/>
      <c r="Z95" s="68"/>
      <c r="AA95" s="68"/>
      <c r="AB95" s="68"/>
      <c r="AC95" s="68" t="s">
        <v>1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07" t="s">
        <v>32</v>
      </c>
      <c r="B96" s="508"/>
      <c r="C96" s="509"/>
      <c r="D96" s="45"/>
      <c r="E96" s="45"/>
      <c r="F96" s="65">
        <f t="shared" ref="F96:AC96" si="26">F34</f>
        <v>13.29</v>
      </c>
      <c r="G96" s="65">
        <f t="shared" si="26"/>
        <v>12.75</v>
      </c>
      <c r="H96" s="65">
        <f t="shared" si="26"/>
        <v>14.26</v>
      </c>
      <c r="I96" s="65">
        <f t="shared" si="26"/>
        <v>14.24</v>
      </c>
      <c r="J96" s="65">
        <f t="shared" si="26"/>
        <v>14.3</v>
      </c>
      <c r="K96" s="65">
        <f t="shared" si="26"/>
        <v>14.28</v>
      </c>
      <c r="L96" s="65">
        <f t="shared" si="26"/>
        <v>14.28</v>
      </c>
      <c r="M96" s="65">
        <f t="shared" si="26"/>
        <v>13.29</v>
      </c>
      <c r="N96" s="65">
        <f t="shared" si="26"/>
        <v>14.25</v>
      </c>
      <c r="O96" s="65">
        <f t="shared" si="26"/>
        <v>14.25</v>
      </c>
      <c r="P96" s="65">
        <f t="shared" si="26"/>
        <v>14.25</v>
      </c>
      <c r="Q96" s="65">
        <f t="shared" si="26"/>
        <v>14.27</v>
      </c>
      <c r="R96" s="65">
        <f t="shared" si="26"/>
        <v>14.26</v>
      </c>
      <c r="S96" s="65">
        <f t="shared" si="26"/>
        <v>14.25</v>
      </c>
      <c r="T96" s="65">
        <f t="shared" si="26"/>
        <v>14.26</v>
      </c>
      <c r="U96" s="65">
        <f t="shared" si="26"/>
        <v>14.25</v>
      </c>
      <c r="V96" s="65">
        <f t="shared" si="26"/>
        <v>14.27</v>
      </c>
      <c r="W96" s="65">
        <f t="shared" si="26"/>
        <v>13.74</v>
      </c>
      <c r="X96" s="65">
        <f t="shared" si="26"/>
        <v>11.27</v>
      </c>
      <c r="Y96" s="65">
        <f t="shared" si="26"/>
        <v>14.25</v>
      </c>
      <c r="Z96" s="65">
        <f t="shared" si="26"/>
        <v>13.74</v>
      </c>
      <c r="AA96" s="65">
        <f t="shared" si="26"/>
        <v>14.24</v>
      </c>
      <c r="AB96" s="65">
        <f t="shared" si="26"/>
        <v>13.3</v>
      </c>
      <c r="AC96" s="65">
        <f t="shared" si="26"/>
        <v>14.26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21" t="s">
        <v>81</v>
      </c>
      <c r="B97" s="521"/>
      <c r="C97" s="522"/>
      <c r="D97" s="68"/>
      <c r="E97" s="68"/>
      <c r="F97" s="68">
        <v>0.71</v>
      </c>
      <c r="G97" s="68">
        <v>0.75</v>
      </c>
      <c r="H97" s="68">
        <v>0.74</v>
      </c>
      <c r="I97" s="68">
        <v>0.76</v>
      </c>
      <c r="J97" s="68">
        <v>0.7</v>
      </c>
      <c r="K97" s="68">
        <v>0.72</v>
      </c>
      <c r="L97" s="68">
        <v>0.72</v>
      </c>
      <c r="M97" s="68">
        <v>0.71</v>
      </c>
      <c r="N97" s="68">
        <v>0.75</v>
      </c>
      <c r="O97" s="68">
        <v>0.74</v>
      </c>
      <c r="P97" s="68">
        <v>0.76</v>
      </c>
      <c r="Q97" s="68">
        <v>0.73</v>
      </c>
      <c r="R97" s="68">
        <v>0.74</v>
      </c>
      <c r="S97" s="68">
        <v>0.75</v>
      </c>
      <c r="T97" s="68">
        <v>0.74</v>
      </c>
      <c r="U97" s="68">
        <v>0.75</v>
      </c>
      <c r="V97" s="68">
        <v>0.73</v>
      </c>
      <c r="W97" s="68">
        <v>0.76</v>
      </c>
      <c r="X97" s="68">
        <v>0.73</v>
      </c>
      <c r="Y97" s="68">
        <v>0.75</v>
      </c>
      <c r="Z97" s="68">
        <v>0.76</v>
      </c>
      <c r="AA97" s="68">
        <v>0.76</v>
      </c>
      <c r="AB97" s="68">
        <v>0.7</v>
      </c>
      <c r="AC97" s="68">
        <v>0.74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07" t="s">
        <v>33</v>
      </c>
      <c r="B98" s="508"/>
      <c r="C98" s="509"/>
      <c r="D98" s="45"/>
      <c r="E98" s="45"/>
      <c r="F98" s="64">
        <f t="shared" ref="F98:AC98" si="27">F60</f>
        <v>0</v>
      </c>
      <c r="G98" s="64">
        <f t="shared" si="27"/>
        <v>0</v>
      </c>
      <c r="H98" s="64">
        <f t="shared" si="27"/>
        <v>0</v>
      </c>
      <c r="I98" s="64">
        <f t="shared" si="27"/>
        <v>0</v>
      </c>
      <c r="J98" s="64">
        <f t="shared" si="27"/>
        <v>0</v>
      </c>
      <c r="K98" s="64">
        <f t="shared" si="27"/>
        <v>0</v>
      </c>
      <c r="L98" s="64">
        <f t="shared" si="27"/>
        <v>1.5</v>
      </c>
      <c r="M98" s="64">
        <f t="shared" si="27"/>
        <v>0</v>
      </c>
      <c r="N98" s="64">
        <f t="shared" si="27"/>
        <v>2.25</v>
      </c>
      <c r="O98" s="64">
        <f t="shared" si="27"/>
        <v>1.5</v>
      </c>
      <c r="P98" s="64">
        <f t="shared" si="27"/>
        <v>3.8</v>
      </c>
      <c r="Q98" s="64">
        <f t="shared" si="27"/>
        <v>0</v>
      </c>
      <c r="R98" s="64">
        <f t="shared" si="27"/>
        <v>0.7</v>
      </c>
      <c r="S98" s="64">
        <f t="shared" si="27"/>
        <v>0.7</v>
      </c>
      <c r="T98" s="64">
        <f t="shared" si="27"/>
        <v>0</v>
      </c>
      <c r="U98" s="64">
        <f t="shared" si="27"/>
        <v>0</v>
      </c>
      <c r="V98" s="64">
        <f t="shared" si="27"/>
        <v>0</v>
      </c>
      <c r="W98" s="64">
        <f t="shared" si="27"/>
        <v>0</v>
      </c>
      <c r="X98" s="64">
        <f t="shared" si="27"/>
        <v>0</v>
      </c>
      <c r="Y98" s="64">
        <f t="shared" si="27"/>
        <v>0</v>
      </c>
      <c r="Z98" s="64">
        <f t="shared" si="27"/>
        <v>0</v>
      </c>
      <c r="AA98" s="64">
        <f t="shared" si="27"/>
        <v>1.5</v>
      </c>
      <c r="AB98" s="64">
        <f t="shared" si="27"/>
        <v>0</v>
      </c>
      <c r="AC98" s="64">
        <f t="shared" si="27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07" t="s">
        <v>55</v>
      </c>
      <c r="B99" s="508"/>
      <c r="C99" s="509"/>
      <c r="D99" s="45"/>
      <c r="E99" s="45"/>
      <c r="F99" s="64">
        <f t="shared" ref="F99:AC99" si="28">F65</f>
        <v>1.17</v>
      </c>
      <c r="G99" s="64">
        <f t="shared" si="28"/>
        <v>1.0900000000000001</v>
      </c>
      <c r="H99" s="64">
        <f t="shared" si="28"/>
        <v>1.02</v>
      </c>
      <c r="I99" s="64">
        <f t="shared" si="28"/>
        <v>0.95</v>
      </c>
      <c r="J99" s="64">
        <f t="shared" si="28"/>
        <v>0.92</v>
      </c>
      <c r="K99" s="64">
        <f t="shared" si="28"/>
        <v>0.92</v>
      </c>
      <c r="L99" s="64">
        <f t="shared" si="28"/>
        <v>1.03</v>
      </c>
      <c r="M99" s="64">
        <f t="shared" si="28"/>
        <v>1.1100000000000001</v>
      </c>
      <c r="N99" s="64">
        <f t="shared" si="28"/>
        <v>1.26</v>
      </c>
      <c r="O99" s="64">
        <f t="shared" si="28"/>
        <v>0</v>
      </c>
      <c r="P99" s="64">
        <f t="shared" si="28"/>
        <v>0</v>
      </c>
      <c r="Q99" s="64">
        <f t="shared" si="28"/>
        <v>1.56</v>
      </c>
      <c r="R99" s="64">
        <f t="shared" si="28"/>
        <v>1.5699999999999998</v>
      </c>
      <c r="S99" s="64">
        <f t="shared" si="28"/>
        <v>1.28</v>
      </c>
      <c r="T99" s="64">
        <f t="shared" si="28"/>
        <v>1.27</v>
      </c>
      <c r="U99" s="64">
        <f t="shared" si="28"/>
        <v>1.44</v>
      </c>
      <c r="V99" s="64">
        <f t="shared" si="28"/>
        <v>1.32</v>
      </c>
      <c r="W99" s="64">
        <f t="shared" si="28"/>
        <v>1.34</v>
      </c>
      <c r="X99" s="64">
        <f t="shared" si="28"/>
        <v>1.34</v>
      </c>
      <c r="Y99" s="64">
        <f t="shared" si="28"/>
        <v>1.54</v>
      </c>
      <c r="Z99" s="64">
        <f t="shared" si="28"/>
        <v>1.56</v>
      </c>
      <c r="AA99" s="64">
        <f t="shared" si="28"/>
        <v>1.49</v>
      </c>
      <c r="AB99" s="64">
        <f t="shared" si="28"/>
        <v>1.29</v>
      </c>
      <c r="AC99" s="64">
        <f t="shared" si="28"/>
        <v>1.1499999999999999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07" t="s">
        <v>59</v>
      </c>
      <c r="B100" s="508"/>
      <c r="C100" s="509"/>
      <c r="D100" s="45"/>
      <c r="E100" s="45"/>
      <c r="F100" s="64">
        <f t="shared" ref="F100:AC100" si="29">F76</f>
        <v>0</v>
      </c>
      <c r="G100" s="64">
        <f t="shared" si="29"/>
        <v>0</v>
      </c>
      <c r="H100" s="64">
        <f t="shared" si="29"/>
        <v>0</v>
      </c>
      <c r="I100" s="64">
        <f t="shared" si="29"/>
        <v>0</v>
      </c>
      <c r="J100" s="64">
        <f t="shared" si="29"/>
        <v>0</v>
      </c>
      <c r="K100" s="64">
        <f t="shared" si="29"/>
        <v>0</v>
      </c>
      <c r="L100" s="64">
        <f t="shared" si="29"/>
        <v>0</v>
      </c>
      <c r="M100" s="64">
        <f t="shared" si="29"/>
        <v>0</v>
      </c>
      <c r="N100" s="64">
        <f t="shared" si="29"/>
        <v>0</v>
      </c>
      <c r="O100" s="64">
        <f t="shared" si="29"/>
        <v>0</v>
      </c>
      <c r="P100" s="64">
        <f t="shared" si="29"/>
        <v>0</v>
      </c>
      <c r="Q100" s="64">
        <f t="shared" si="29"/>
        <v>0</v>
      </c>
      <c r="R100" s="64">
        <f t="shared" si="29"/>
        <v>0</v>
      </c>
      <c r="S100" s="64">
        <f t="shared" si="29"/>
        <v>0</v>
      </c>
      <c r="T100" s="64">
        <f t="shared" si="29"/>
        <v>0</v>
      </c>
      <c r="U100" s="64">
        <f t="shared" si="29"/>
        <v>0</v>
      </c>
      <c r="V100" s="64">
        <f t="shared" si="29"/>
        <v>0</v>
      </c>
      <c r="W100" s="64">
        <f t="shared" si="29"/>
        <v>0</v>
      </c>
      <c r="X100" s="64">
        <f t="shared" si="29"/>
        <v>0</v>
      </c>
      <c r="Y100" s="64">
        <f t="shared" si="29"/>
        <v>0</v>
      </c>
      <c r="Z100" s="64">
        <f t="shared" si="29"/>
        <v>0</v>
      </c>
      <c r="AA100" s="64">
        <f t="shared" si="29"/>
        <v>0</v>
      </c>
      <c r="AB100" s="64">
        <f t="shared" si="29"/>
        <v>0</v>
      </c>
      <c r="AC100" s="64">
        <f t="shared" si="29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07" t="s">
        <v>69</v>
      </c>
      <c r="B101" s="508"/>
      <c r="C101" s="509"/>
      <c r="D101" s="45"/>
      <c r="E101" s="45"/>
      <c r="F101" s="64">
        <f t="shared" ref="F101:AC101" si="30">F80</f>
        <v>0.87</v>
      </c>
      <c r="G101" s="64">
        <f t="shared" si="30"/>
        <v>0.84</v>
      </c>
      <c r="H101" s="64">
        <f t="shared" si="30"/>
        <v>0.81</v>
      </c>
      <c r="I101" s="64">
        <f t="shared" si="30"/>
        <v>0.77</v>
      </c>
      <c r="J101" s="64">
        <f t="shared" si="30"/>
        <v>0.75</v>
      </c>
      <c r="K101" s="64">
        <f t="shared" si="30"/>
        <v>0.77</v>
      </c>
      <c r="L101" s="64">
        <f t="shared" si="30"/>
        <v>0.79</v>
      </c>
      <c r="M101" s="64">
        <f t="shared" si="30"/>
        <v>0.79</v>
      </c>
      <c r="N101" s="64">
        <f t="shared" si="30"/>
        <v>0.8</v>
      </c>
      <c r="O101" s="64">
        <f t="shared" si="30"/>
        <v>0.83</v>
      </c>
      <c r="P101" s="64">
        <f t="shared" si="30"/>
        <v>0.81</v>
      </c>
      <c r="Q101" s="64">
        <f t="shared" si="30"/>
        <v>0.81</v>
      </c>
      <c r="R101" s="64">
        <f t="shared" si="30"/>
        <v>0.81</v>
      </c>
      <c r="S101" s="64">
        <f t="shared" si="30"/>
        <v>0.8</v>
      </c>
      <c r="T101" s="64">
        <f t="shared" si="30"/>
        <v>0.8</v>
      </c>
      <c r="U101" s="64">
        <f t="shared" si="30"/>
        <v>0.79</v>
      </c>
      <c r="V101" s="64">
        <f t="shared" si="30"/>
        <v>0.81</v>
      </c>
      <c r="W101" s="64">
        <f t="shared" si="30"/>
        <v>0.84</v>
      </c>
      <c r="X101" s="64">
        <f t="shared" si="30"/>
        <v>0.86</v>
      </c>
      <c r="Y101" s="64">
        <f t="shared" si="30"/>
        <v>0.97</v>
      </c>
      <c r="Z101" s="64">
        <f t="shared" si="30"/>
        <v>0.96</v>
      </c>
      <c r="AA101" s="64">
        <f t="shared" si="30"/>
        <v>0.91</v>
      </c>
      <c r="AB101" s="64">
        <f t="shared" si="30"/>
        <v>0.88</v>
      </c>
      <c r="AC101" s="64">
        <f t="shared" si="30"/>
        <v>0.84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07" t="s">
        <v>72</v>
      </c>
      <c r="B102" s="508"/>
      <c r="C102" s="509"/>
      <c r="D102" s="45"/>
      <c r="E102" s="45"/>
      <c r="F102" s="64">
        <f t="shared" ref="F102:AC102" si="31">F82</f>
        <v>0</v>
      </c>
      <c r="G102" s="64">
        <f t="shared" si="31"/>
        <v>0</v>
      </c>
      <c r="H102" s="64">
        <f t="shared" si="31"/>
        <v>0</v>
      </c>
      <c r="I102" s="64">
        <f t="shared" si="31"/>
        <v>0</v>
      </c>
      <c r="J102" s="64">
        <f t="shared" si="31"/>
        <v>0</v>
      </c>
      <c r="K102" s="64">
        <f t="shared" si="31"/>
        <v>0</v>
      </c>
      <c r="L102" s="64">
        <f t="shared" si="31"/>
        <v>0</v>
      </c>
      <c r="M102" s="64">
        <f t="shared" si="31"/>
        <v>0</v>
      </c>
      <c r="N102" s="64">
        <f t="shared" si="31"/>
        <v>0</v>
      </c>
      <c r="O102" s="64">
        <f t="shared" si="31"/>
        <v>0</v>
      </c>
      <c r="P102" s="64">
        <f t="shared" si="31"/>
        <v>0</v>
      </c>
      <c r="Q102" s="64">
        <f t="shared" si="31"/>
        <v>0</v>
      </c>
      <c r="R102" s="64">
        <f t="shared" si="31"/>
        <v>0</v>
      </c>
      <c r="S102" s="64">
        <f t="shared" si="31"/>
        <v>0</v>
      </c>
      <c r="T102" s="64">
        <f t="shared" si="31"/>
        <v>0</v>
      </c>
      <c r="U102" s="64">
        <f t="shared" si="31"/>
        <v>0</v>
      </c>
      <c r="V102" s="64">
        <f t="shared" si="31"/>
        <v>0</v>
      </c>
      <c r="W102" s="64">
        <f t="shared" si="31"/>
        <v>0</v>
      </c>
      <c r="X102" s="64">
        <f t="shared" si="31"/>
        <v>0</v>
      </c>
      <c r="Y102" s="64">
        <f t="shared" si="31"/>
        <v>0</v>
      </c>
      <c r="Z102" s="64">
        <f t="shared" si="31"/>
        <v>0</v>
      </c>
      <c r="AA102" s="64">
        <f t="shared" si="31"/>
        <v>0</v>
      </c>
      <c r="AB102" s="64">
        <f t="shared" si="31"/>
        <v>0</v>
      </c>
      <c r="AC102" s="64">
        <f t="shared" si="31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11" t="s">
        <v>82</v>
      </c>
      <c r="B103" s="511"/>
      <c r="C103" s="511"/>
      <c r="D103" s="47"/>
      <c r="E103" s="47"/>
      <c r="F103" s="61">
        <f t="shared" ref="F103:AC103" si="32">SUM(F89,F91,F93,F96,F98:F102,F81)</f>
        <v>36.529999999999994</v>
      </c>
      <c r="G103" s="61">
        <f t="shared" si="32"/>
        <v>33.080000000000005</v>
      </c>
      <c r="H103" s="61">
        <f t="shared" si="32"/>
        <v>38.49</v>
      </c>
      <c r="I103" s="61">
        <f t="shared" si="32"/>
        <v>36.760000000000005</v>
      </c>
      <c r="J103" s="61">
        <f t="shared" si="32"/>
        <v>36.17</v>
      </c>
      <c r="K103" s="61">
        <f t="shared" si="32"/>
        <v>35.970000000000006</v>
      </c>
      <c r="L103" s="61">
        <f t="shared" si="32"/>
        <v>38.799999999999997</v>
      </c>
      <c r="M103" s="61">
        <f t="shared" si="32"/>
        <v>39.389999999999993</v>
      </c>
      <c r="N103" s="61">
        <f t="shared" si="32"/>
        <v>46.459999999999994</v>
      </c>
      <c r="O103" s="61">
        <f t="shared" si="32"/>
        <v>54.079999999999991</v>
      </c>
      <c r="P103" s="61">
        <f t="shared" si="32"/>
        <v>58.66</v>
      </c>
      <c r="Q103" s="61">
        <f t="shared" si="32"/>
        <v>61.64</v>
      </c>
      <c r="R103" s="61">
        <f t="shared" si="32"/>
        <v>61.34</v>
      </c>
      <c r="S103" s="61">
        <f>SUM(S89,S91,S93,S96,S98:S102,S81)</f>
        <v>61.83</v>
      </c>
      <c r="T103" s="61">
        <f t="shared" si="32"/>
        <v>64.03</v>
      </c>
      <c r="U103" s="61">
        <f t="shared" si="32"/>
        <v>59.48</v>
      </c>
      <c r="V103" s="61">
        <f>SUM(V89,V91,V93,V96,V98:V102,V81)</f>
        <v>55.20000000000001</v>
      </c>
      <c r="W103" s="61">
        <f t="shared" si="32"/>
        <v>56.52</v>
      </c>
      <c r="X103" s="61">
        <f t="shared" si="32"/>
        <v>55.570000000000007</v>
      </c>
      <c r="Y103" s="61">
        <f t="shared" si="32"/>
        <v>57.559999999999995</v>
      </c>
      <c r="Z103" s="61">
        <f t="shared" si="32"/>
        <v>54.860000000000007</v>
      </c>
      <c r="AA103" s="61">
        <f t="shared" si="32"/>
        <v>53.34</v>
      </c>
      <c r="AB103" s="61">
        <f t="shared" si="32"/>
        <v>47.269999999999996</v>
      </c>
      <c r="AC103" s="61">
        <f t="shared" si="32"/>
        <v>46.25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12" t="s">
        <v>83</v>
      </c>
      <c r="B104" s="512"/>
      <c r="C104" s="512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12" t="s">
        <v>84</v>
      </c>
      <c r="B105" s="512"/>
      <c r="C105" s="512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12" t="s">
        <v>85</v>
      </c>
      <c r="B106" s="512"/>
      <c r="C106" s="512"/>
      <c r="D106" s="46"/>
      <c r="E106" s="46"/>
      <c r="F106" s="76">
        <v>0.45</v>
      </c>
      <c r="G106" s="76">
        <f>0.45+1.91</f>
        <v>2.36</v>
      </c>
      <c r="H106" s="76">
        <v>0.45</v>
      </c>
      <c r="I106" s="76">
        <v>0.45</v>
      </c>
      <c r="J106" s="76">
        <v>0.45</v>
      </c>
      <c r="K106" s="76">
        <v>0.45</v>
      </c>
      <c r="L106" s="76">
        <v>0.45</v>
      </c>
      <c r="M106" s="76">
        <v>0.45</v>
      </c>
      <c r="N106" s="76">
        <v>0.45</v>
      </c>
      <c r="O106" s="76">
        <v>0.45</v>
      </c>
      <c r="P106" s="76">
        <v>0.45</v>
      </c>
      <c r="Q106" s="76">
        <v>0.45</v>
      </c>
      <c r="R106" s="76">
        <v>0.45</v>
      </c>
      <c r="S106" s="76">
        <v>0.45</v>
      </c>
      <c r="T106" s="76">
        <f>0.45+0.4</f>
        <v>0.85000000000000009</v>
      </c>
      <c r="U106" s="76">
        <f>0.45+1.03</f>
        <v>1.48</v>
      </c>
      <c r="V106" s="493"/>
      <c r="W106" s="493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11" t="s">
        <v>86</v>
      </c>
      <c r="B107" s="511"/>
      <c r="C107" s="511"/>
      <c r="D107" s="47"/>
      <c r="E107" s="47"/>
      <c r="F107" s="61">
        <f t="shared" ref="F107:AC107" si="33">SUM(F104:F106)</f>
        <v>0.45</v>
      </c>
      <c r="G107" s="61">
        <f t="shared" si="33"/>
        <v>2.36</v>
      </c>
      <c r="H107" s="61">
        <f t="shared" si="33"/>
        <v>0.45</v>
      </c>
      <c r="I107" s="61">
        <f t="shared" si="33"/>
        <v>0.45</v>
      </c>
      <c r="J107" s="61">
        <f t="shared" si="33"/>
        <v>0.45</v>
      </c>
      <c r="K107" s="61">
        <f t="shared" si="33"/>
        <v>0.45</v>
      </c>
      <c r="L107" s="61">
        <f t="shared" si="33"/>
        <v>0.45</v>
      </c>
      <c r="M107" s="61">
        <f t="shared" si="33"/>
        <v>0.45</v>
      </c>
      <c r="N107" s="61">
        <f t="shared" si="33"/>
        <v>0.45</v>
      </c>
      <c r="O107" s="61">
        <f t="shared" si="33"/>
        <v>0.45</v>
      </c>
      <c r="P107" s="61">
        <f t="shared" si="33"/>
        <v>0.45</v>
      </c>
      <c r="Q107" s="61">
        <f t="shared" si="33"/>
        <v>0.45</v>
      </c>
      <c r="R107" s="61">
        <f t="shared" si="33"/>
        <v>0.45</v>
      </c>
      <c r="S107" s="61">
        <f t="shared" si="33"/>
        <v>0.45</v>
      </c>
      <c r="T107" s="61">
        <f t="shared" si="33"/>
        <v>0.85000000000000009</v>
      </c>
      <c r="U107" s="61">
        <f t="shared" si="33"/>
        <v>1.48</v>
      </c>
      <c r="V107" s="61">
        <f t="shared" si="33"/>
        <v>0</v>
      </c>
      <c r="W107" s="61">
        <f t="shared" si="33"/>
        <v>0</v>
      </c>
      <c r="X107" s="61">
        <f t="shared" si="33"/>
        <v>0</v>
      </c>
      <c r="Y107" s="61">
        <f t="shared" si="33"/>
        <v>0</v>
      </c>
      <c r="Z107" s="61">
        <f t="shared" si="33"/>
        <v>0</v>
      </c>
      <c r="AA107" s="61">
        <f t="shared" si="33"/>
        <v>0</v>
      </c>
      <c r="AB107" s="61">
        <f t="shared" si="33"/>
        <v>0</v>
      </c>
      <c r="AC107" s="61">
        <f t="shared" si="33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13" t="s">
        <v>87</v>
      </c>
      <c r="B108" s="513"/>
      <c r="C108" s="513"/>
      <c r="D108" s="48"/>
      <c r="E108" s="48"/>
      <c r="F108" s="62">
        <f t="shared" ref="F108:AC108" si="34">F103+F107</f>
        <v>36.979999999999997</v>
      </c>
      <c r="G108" s="62">
        <f t="shared" si="34"/>
        <v>35.440000000000005</v>
      </c>
      <c r="H108" s="62">
        <f t="shared" si="34"/>
        <v>38.940000000000005</v>
      </c>
      <c r="I108" s="62">
        <f t="shared" si="34"/>
        <v>37.210000000000008</v>
      </c>
      <c r="J108" s="62">
        <f t="shared" si="34"/>
        <v>36.620000000000005</v>
      </c>
      <c r="K108" s="62">
        <f t="shared" si="34"/>
        <v>36.420000000000009</v>
      </c>
      <c r="L108" s="62">
        <f t="shared" si="34"/>
        <v>39.25</v>
      </c>
      <c r="M108" s="62">
        <f t="shared" si="34"/>
        <v>39.839999999999996</v>
      </c>
      <c r="N108" s="62">
        <f t="shared" si="34"/>
        <v>46.91</v>
      </c>
      <c r="O108" s="62">
        <f t="shared" si="34"/>
        <v>54.529999999999994</v>
      </c>
      <c r="P108" s="62">
        <f t="shared" si="34"/>
        <v>59.11</v>
      </c>
      <c r="Q108" s="62">
        <f t="shared" si="34"/>
        <v>62.09</v>
      </c>
      <c r="R108" s="62">
        <f t="shared" si="34"/>
        <v>61.790000000000006</v>
      </c>
      <c r="S108" s="62">
        <f>S103+S107</f>
        <v>62.28</v>
      </c>
      <c r="T108" s="62">
        <f>T103+T107</f>
        <v>64.88</v>
      </c>
      <c r="U108" s="62">
        <f t="shared" si="34"/>
        <v>60.959999999999994</v>
      </c>
      <c r="V108" s="62">
        <f t="shared" si="34"/>
        <v>55.20000000000001</v>
      </c>
      <c r="W108" s="62">
        <f>W103+W107</f>
        <v>56.52</v>
      </c>
      <c r="X108" s="62">
        <f t="shared" si="34"/>
        <v>55.570000000000007</v>
      </c>
      <c r="Y108" s="62">
        <f t="shared" si="34"/>
        <v>57.559999999999995</v>
      </c>
      <c r="Z108" s="62">
        <f t="shared" si="34"/>
        <v>54.860000000000007</v>
      </c>
      <c r="AA108" s="62">
        <f t="shared" si="34"/>
        <v>53.34</v>
      </c>
      <c r="AB108" s="62">
        <f t="shared" si="34"/>
        <v>47.269999999999996</v>
      </c>
      <c r="AC108" s="62">
        <f t="shared" si="34"/>
        <v>46.25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14" t="s">
        <v>88</v>
      </c>
      <c r="B109" s="514"/>
      <c r="C109" s="514"/>
      <c r="D109" s="52"/>
      <c r="E109" s="52"/>
      <c r="F109" s="63">
        <f t="shared" ref="F109:AC109" si="35">(COUNT(F13:F16))*7.2+(COUNT(F27:F28)*4.9)+(COUNT(F19:F21)*4.5)-F91-F93</f>
        <v>14.000000000000004</v>
      </c>
      <c r="G109" s="63">
        <f t="shared" si="35"/>
        <v>10.300000000000004</v>
      </c>
      <c r="H109" s="63">
        <f t="shared" si="35"/>
        <v>6.3000000000000025</v>
      </c>
      <c r="I109" s="63">
        <f t="shared" si="35"/>
        <v>7.9000000000000039</v>
      </c>
      <c r="J109" s="63">
        <f t="shared" si="35"/>
        <v>8.5000000000000036</v>
      </c>
      <c r="K109" s="63">
        <f t="shared" si="35"/>
        <v>8.7000000000000028</v>
      </c>
      <c r="L109" s="63">
        <f t="shared" si="35"/>
        <v>7.5000000000000036</v>
      </c>
      <c r="M109" s="63">
        <f t="shared" si="35"/>
        <v>7.3000000000000025</v>
      </c>
      <c r="N109" s="63">
        <f t="shared" si="35"/>
        <v>10.800000000000006</v>
      </c>
      <c r="O109" s="63">
        <f t="shared" si="35"/>
        <v>19.200000000000003</v>
      </c>
      <c r="P109" s="63">
        <f t="shared" si="35"/>
        <v>18.200000000000003</v>
      </c>
      <c r="Q109" s="63">
        <f t="shared" si="35"/>
        <v>13.000000000000004</v>
      </c>
      <c r="R109" s="63">
        <f t="shared" si="35"/>
        <v>14.000000000000002</v>
      </c>
      <c r="S109" s="63">
        <f t="shared" si="35"/>
        <v>13.200000000000003</v>
      </c>
      <c r="T109" s="63">
        <f t="shared" si="35"/>
        <v>10.300000000000004</v>
      </c>
      <c r="U109" s="63">
        <f t="shared" si="35"/>
        <v>15</v>
      </c>
      <c r="V109" s="63">
        <f t="shared" si="35"/>
        <v>17.600000000000001</v>
      </c>
      <c r="W109" s="63">
        <f t="shared" si="35"/>
        <v>15</v>
      </c>
      <c r="X109" s="63">
        <f t="shared" si="35"/>
        <v>14</v>
      </c>
      <c r="Y109" s="63">
        <f t="shared" si="35"/>
        <v>14.8</v>
      </c>
      <c r="Z109" s="63">
        <f t="shared" si="35"/>
        <v>10.500000000000004</v>
      </c>
      <c r="AA109" s="63">
        <f t="shared" si="35"/>
        <v>15.499999999999998</v>
      </c>
      <c r="AB109" s="63">
        <f t="shared" si="35"/>
        <v>17.300000000000004</v>
      </c>
      <c r="AC109" s="63">
        <f t="shared" si="35"/>
        <v>8.6000000000000014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15" t="s">
        <v>89</v>
      </c>
      <c r="B110" s="516"/>
      <c r="C110" s="517"/>
      <c r="D110" s="204"/>
      <c r="E110" s="204"/>
      <c r="F110" s="205">
        <f t="shared" ref="F110:P110" si="36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6.1000000000000014</v>
      </c>
      <c r="G110" s="205">
        <f t="shared" si="36"/>
        <v>4.4000000000000004</v>
      </c>
      <c r="H110" s="205">
        <f t="shared" si="36"/>
        <v>0.40000000000000036</v>
      </c>
      <c r="I110" s="205">
        <f t="shared" si="36"/>
        <v>2.0000000000000018</v>
      </c>
      <c r="J110" s="205">
        <f t="shared" si="36"/>
        <v>2.6000000000000005</v>
      </c>
      <c r="K110" s="205">
        <f t="shared" si="36"/>
        <v>2.8000000000000016</v>
      </c>
      <c r="L110" s="205">
        <f t="shared" si="36"/>
        <v>1.6000000000000014</v>
      </c>
      <c r="M110" s="205">
        <f t="shared" si="36"/>
        <v>2.1000000000000005</v>
      </c>
      <c r="N110" s="205">
        <f t="shared" si="36"/>
        <v>5.6000000000000023</v>
      </c>
      <c r="O110" s="205">
        <f t="shared" si="36"/>
        <v>12.200000000000005</v>
      </c>
      <c r="P110" s="205">
        <f t="shared" si="36"/>
        <v>9.9000000000000039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6.1000000000000032</v>
      </c>
      <c r="R110" s="205">
        <f t="shared" ref="R110:AC110" si="37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6.3000000000000025</v>
      </c>
      <c r="S110" s="205">
        <f t="shared" si="37"/>
        <v>5.5000000000000018</v>
      </c>
      <c r="T110" s="205">
        <f t="shared" si="37"/>
        <v>2.6000000000000032</v>
      </c>
      <c r="U110" s="205">
        <f t="shared" si="37"/>
        <v>7.2999999999999989</v>
      </c>
      <c r="V110" s="205">
        <f t="shared" si="37"/>
        <v>11.5</v>
      </c>
      <c r="W110" s="205">
        <f t="shared" si="37"/>
        <v>9.6999999999999993</v>
      </c>
      <c r="X110" s="205">
        <f t="shared" si="37"/>
        <v>8.1999999999999993</v>
      </c>
      <c r="Y110" s="205">
        <f t="shared" si="37"/>
        <v>9.5</v>
      </c>
      <c r="Z110" s="205">
        <f t="shared" si="37"/>
        <v>8.2000000000000028</v>
      </c>
      <c r="AA110" s="205">
        <f t="shared" si="37"/>
        <v>4.3999999999999995</v>
      </c>
      <c r="AB110" s="205">
        <f t="shared" si="37"/>
        <v>7.8000000000000043</v>
      </c>
      <c r="AC110" s="205">
        <f t="shared" si="37"/>
        <v>0.60000000000000142</v>
      </c>
      <c r="AD110" s="26"/>
      <c r="AE110" s="26"/>
      <c r="AF110" s="466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10" t="s">
        <v>91</v>
      </c>
      <c r="B111" s="510"/>
      <c r="C111" s="510"/>
      <c r="D111" s="60"/>
      <c r="E111" s="72"/>
      <c r="F111" s="74">
        <v>60.2</v>
      </c>
      <c r="G111" s="74">
        <v>60.34</v>
      </c>
      <c r="H111" s="74">
        <v>59.98</v>
      </c>
      <c r="I111" s="74">
        <v>60.11</v>
      </c>
      <c r="J111" s="74">
        <v>60.09</v>
      </c>
      <c r="K111" s="74">
        <v>60.13</v>
      </c>
      <c r="L111" s="74">
        <v>60.1</v>
      </c>
      <c r="M111" s="74">
        <v>60.12</v>
      </c>
      <c r="N111" s="74">
        <v>60.15</v>
      </c>
      <c r="O111" s="74">
        <v>60.15</v>
      </c>
      <c r="P111" s="83">
        <v>60.16</v>
      </c>
      <c r="Q111" s="83">
        <v>60.06</v>
      </c>
      <c r="R111" s="83">
        <v>60.17</v>
      </c>
      <c r="S111" s="83">
        <v>60.19</v>
      </c>
      <c r="T111" s="83">
        <v>60.18</v>
      </c>
      <c r="U111" s="74">
        <v>60.25</v>
      </c>
      <c r="V111" s="74">
        <v>60.27</v>
      </c>
      <c r="W111" s="74">
        <v>60.37</v>
      </c>
      <c r="X111" s="74">
        <v>60.32</v>
      </c>
      <c r="Y111" s="74">
        <v>60.23</v>
      </c>
      <c r="Z111" s="74">
        <v>60.15</v>
      </c>
      <c r="AA111" s="74">
        <v>60.17</v>
      </c>
      <c r="AB111" s="74">
        <v>60.15</v>
      </c>
      <c r="AC111" s="74">
        <v>60.01</v>
      </c>
      <c r="AD111" s="26"/>
      <c r="AE111" s="26"/>
      <c r="AF111" s="467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18" t="s">
        <v>93</v>
      </c>
      <c r="B112" s="519"/>
      <c r="C112" s="520"/>
      <c r="D112" s="60"/>
      <c r="E112" s="72"/>
      <c r="F112" s="74"/>
      <c r="G112" s="74"/>
      <c r="H112" s="74"/>
      <c r="I112" s="74"/>
      <c r="J112" s="74"/>
      <c r="K112" s="74"/>
      <c r="L112" s="74"/>
      <c r="M112" s="74"/>
      <c r="N112" s="74"/>
      <c r="O112" s="74"/>
      <c r="P112" s="74"/>
      <c r="Q112" s="74"/>
      <c r="R112" s="74"/>
      <c r="S112" s="74"/>
      <c r="T112" s="74"/>
      <c r="U112" s="74"/>
      <c r="V112" s="74"/>
      <c r="W112" s="74"/>
      <c r="X112" s="74"/>
      <c r="Y112" s="74"/>
      <c r="Z112" s="74"/>
      <c r="AA112" s="74"/>
      <c r="AB112" s="74"/>
      <c r="AC112" s="74"/>
      <c r="AD112" s="26"/>
      <c r="AE112" s="26"/>
      <c r="AF112" s="469"/>
      <c r="AG112" s="472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18" t="s">
        <v>95</v>
      </c>
      <c r="B113" s="519"/>
      <c r="C113" s="520"/>
      <c r="D113" s="60"/>
      <c r="E113" s="74"/>
      <c r="F113" s="74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10" t="s">
        <v>96</v>
      </c>
      <c r="B114" s="510"/>
      <c r="C114" s="510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 t="s">
        <v>101</v>
      </c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10" t="s">
        <v>97</v>
      </c>
      <c r="B115" s="510"/>
      <c r="C115" s="510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499" t="s">
        <v>98</v>
      </c>
      <c r="B117" s="499"/>
      <c r="C117" s="499"/>
      <c r="D117" s="499"/>
      <c r="E117" s="499"/>
      <c r="F117" s="499"/>
      <c r="G117" s="499"/>
      <c r="H117" s="499"/>
      <c r="I117" s="499"/>
      <c r="J117" s="499"/>
      <c r="K117" s="499"/>
      <c r="L117" s="499"/>
      <c r="M117" s="499"/>
      <c r="N117" s="499"/>
      <c r="O117" s="499"/>
      <c r="P117" s="499"/>
      <c r="Q117" s="499"/>
      <c r="R117" s="499"/>
      <c r="S117" s="499"/>
      <c r="T117" s="499"/>
      <c r="U117" s="499"/>
      <c r="V117" s="499"/>
      <c r="W117" s="499"/>
      <c r="X117" s="499"/>
      <c r="Y117" s="499"/>
      <c r="Z117" s="499"/>
      <c r="AA117" s="499"/>
      <c r="AB117" s="499"/>
      <c r="AC117" s="499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00" t="s">
        <v>75</v>
      </c>
      <c r="B119" s="501"/>
      <c r="C119" s="502"/>
      <c r="D119" s="49"/>
      <c r="E119" s="49"/>
      <c r="F119" s="506" t="s">
        <v>76</v>
      </c>
      <c r="G119" s="506"/>
      <c r="H119" s="506"/>
      <c r="I119" s="506"/>
      <c r="J119" s="506"/>
      <c r="K119" s="506"/>
      <c r="L119" s="506"/>
      <c r="M119" s="506"/>
      <c r="N119" s="506"/>
      <c r="O119" s="506"/>
      <c r="P119" s="506"/>
      <c r="Q119" s="506"/>
      <c r="R119" s="506"/>
      <c r="S119" s="506"/>
      <c r="T119" s="506"/>
      <c r="U119" s="506"/>
      <c r="V119" s="506"/>
      <c r="W119" s="506"/>
      <c r="X119" s="506"/>
      <c r="Y119" s="506"/>
      <c r="Z119" s="506"/>
      <c r="AA119" s="506"/>
      <c r="AB119" s="506"/>
      <c r="AC119" s="506"/>
      <c r="AD119" s="5"/>
      <c r="AE119" s="5"/>
      <c r="AF119" s="5"/>
      <c r="AG119" s="5"/>
      <c r="AH119" s="5"/>
    </row>
    <row r="120" spans="1:124" ht="15.6" hidden="1" customHeight="1">
      <c r="A120" s="503"/>
      <c r="B120" s="504"/>
      <c r="C120" s="505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07" t="s">
        <v>27</v>
      </c>
      <c r="B121" s="508"/>
      <c r="C121" s="509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07" t="s">
        <v>78</v>
      </c>
      <c r="B122" s="508"/>
      <c r="C122" s="509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07" t="s">
        <v>29</v>
      </c>
      <c r="B123" s="508"/>
      <c r="C123" s="509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07" t="s">
        <v>32</v>
      </c>
      <c r="B124" s="508"/>
      <c r="C124" s="509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07" t="s">
        <v>33</v>
      </c>
      <c r="B125" s="508"/>
      <c r="C125" s="509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07" t="s">
        <v>55</v>
      </c>
      <c r="B126" s="508"/>
      <c r="C126" s="509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07" t="s">
        <v>59</v>
      </c>
      <c r="B127" s="508"/>
      <c r="C127" s="509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07" t="s">
        <v>69</v>
      </c>
      <c r="B128" s="508"/>
      <c r="C128" s="509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496" t="s">
        <v>99</v>
      </c>
      <c r="B129" s="497"/>
      <c r="C129" s="498"/>
      <c r="D129" s="51"/>
      <c r="E129" s="51"/>
      <c r="F129" s="44">
        <f>SUM(F121:F128)</f>
        <v>0</v>
      </c>
      <c r="G129" s="44">
        <f t="shared" ref="G129:AB129" si="38">SUM(G121:G128)</f>
        <v>0</v>
      </c>
      <c r="H129" s="44">
        <f t="shared" si="38"/>
        <v>0</v>
      </c>
      <c r="I129" s="44">
        <f t="shared" si="38"/>
        <v>0</v>
      </c>
      <c r="J129" s="44">
        <f t="shared" si="38"/>
        <v>0</v>
      </c>
      <c r="K129" s="44">
        <f t="shared" si="38"/>
        <v>0</v>
      </c>
      <c r="L129" s="44">
        <f t="shared" si="38"/>
        <v>0</v>
      </c>
      <c r="M129" s="44">
        <f t="shared" si="38"/>
        <v>0</v>
      </c>
      <c r="N129" s="44">
        <f t="shared" si="38"/>
        <v>0</v>
      </c>
      <c r="O129" s="44">
        <f t="shared" si="38"/>
        <v>0</v>
      </c>
      <c r="P129" s="44">
        <f t="shared" si="38"/>
        <v>0</v>
      </c>
      <c r="Q129" s="44">
        <f t="shared" si="38"/>
        <v>0</v>
      </c>
      <c r="R129" s="44">
        <f t="shared" si="38"/>
        <v>0</v>
      </c>
      <c r="S129" s="44">
        <f t="shared" si="38"/>
        <v>0</v>
      </c>
      <c r="T129" s="44">
        <f t="shared" si="38"/>
        <v>0</v>
      </c>
      <c r="U129" s="44">
        <f t="shared" si="38"/>
        <v>0</v>
      </c>
      <c r="V129" s="44">
        <f t="shared" si="38"/>
        <v>0</v>
      </c>
      <c r="W129" s="44">
        <f t="shared" si="38"/>
        <v>0</v>
      </c>
      <c r="X129" s="44">
        <f t="shared" si="38"/>
        <v>0</v>
      </c>
      <c r="Y129" s="44">
        <f t="shared" si="38"/>
        <v>0</v>
      </c>
      <c r="Z129" s="44">
        <f t="shared" si="38"/>
        <v>0</v>
      </c>
      <c r="AA129" s="44">
        <f t="shared" si="38"/>
        <v>0</v>
      </c>
      <c r="AB129" s="44">
        <f t="shared" si="38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128:C128"/>
    <mergeCell ref="A129:C129"/>
    <mergeCell ref="A122:C122"/>
    <mergeCell ref="A123:C123"/>
    <mergeCell ref="A124:C124"/>
    <mergeCell ref="A125:C125"/>
    <mergeCell ref="A126:C126"/>
    <mergeCell ref="A127:C127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G67:AC75">
    <cfRule type="cellIs" dxfId="1435" priority="237" operator="equal">
      <formula>"PMS"</formula>
    </cfRule>
    <cfRule type="containsText" dxfId="1434" priority="238" operator="containsText" text="CMS">
      <formula>NOT(ISERROR(SEARCH("CMS",G67)))</formula>
    </cfRule>
    <cfRule type="cellIs" dxfId="1433" priority="239" operator="equal">
      <formula>0</formula>
    </cfRule>
    <cfRule type="cellIs" dxfId="1432" priority="240" operator="greaterThan">
      <formula>0</formula>
    </cfRule>
    <cfRule type="cellIs" dxfId="1431" priority="241" operator="equal">
      <formula>"PMS"</formula>
    </cfRule>
    <cfRule type="containsText" dxfId="1430" priority="242" operator="containsText" text="CMS">
      <formula>NOT(ISERROR(SEARCH("CMS",G67)))</formula>
    </cfRule>
    <cfRule type="cellIs" dxfId="1429" priority="243" operator="equal">
      <formula>0</formula>
    </cfRule>
    <cfRule type="cellIs" dxfId="1428" priority="244" operator="greaterThan">
      <formula>0</formula>
    </cfRule>
  </conditionalFormatting>
  <conditionalFormatting sqref="G67:AC75">
    <cfRule type="cellIs" dxfId="1427" priority="233" operator="equal">
      <formula>"PMS"</formula>
    </cfRule>
    <cfRule type="containsText" dxfId="1426" priority="234" operator="containsText" text="CMS">
      <formula>NOT(ISERROR(SEARCH("CMS",G67)))</formula>
    </cfRule>
    <cfRule type="cellIs" dxfId="1425" priority="235" operator="equal">
      <formula>0</formula>
    </cfRule>
    <cfRule type="cellIs" dxfId="1424" priority="236" operator="greaterThan">
      <formula>0</formula>
    </cfRule>
  </conditionalFormatting>
  <conditionalFormatting sqref="G82:AC82">
    <cfRule type="cellIs" dxfId="1423" priority="225" operator="equal">
      <formula>"PMS"</formula>
    </cfRule>
    <cfRule type="containsText" dxfId="1422" priority="226" operator="containsText" text="CMS">
      <formula>NOT(ISERROR(SEARCH("CMS",G82)))</formula>
    </cfRule>
    <cfRule type="cellIs" dxfId="1421" priority="227" operator="equal">
      <formula>0</formula>
    </cfRule>
    <cfRule type="cellIs" dxfId="1420" priority="228" operator="greaterThan">
      <formula>0</formula>
    </cfRule>
    <cfRule type="cellIs" dxfId="1419" priority="229" operator="equal">
      <formula>"PMS"</formula>
    </cfRule>
    <cfRule type="containsText" dxfId="1418" priority="230" operator="containsText" text="CMS">
      <formula>NOT(ISERROR(SEARCH("CMS",G82)))</formula>
    </cfRule>
    <cfRule type="cellIs" dxfId="1417" priority="231" operator="equal">
      <formula>0</formula>
    </cfRule>
    <cfRule type="cellIs" dxfId="1416" priority="232" operator="greaterThan">
      <formula>0</formula>
    </cfRule>
  </conditionalFormatting>
  <conditionalFormatting sqref="G82:AC82">
    <cfRule type="cellIs" dxfId="1415" priority="221" operator="equal">
      <formula>"PMS"</formula>
    </cfRule>
    <cfRule type="containsText" dxfId="1414" priority="222" operator="containsText" text="CMS">
      <formula>NOT(ISERROR(SEARCH("CMS",G82)))</formula>
    </cfRule>
    <cfRule type="cellIs" dxfId="1413" priority="223" operator="equal">
      <formula>0</formula>
    </cfRule>
    <cfRule type="cellIs" dxfId="1412" priority="224" operator="greaterThan">
      <formula>0</formula>
    </cfRule>
  </conditionalFormatting>
  <conditionalFormatting sqref="E113:AC113 F112:N112">
    <cfRule type="cellIs" dxfId="1411" priority="220" operator="greaterThan">
      <formula>60.3</formula>
    </cfRule>
  </conditionalFormatting>
  <conditionalFormatting sqref="O112:AC112">
    <cfRule type="cellIs" dxfId="1410" priority="219" operator="greaterThan">
      <formula>60.3</formula>
    </cfRule>
  </conditionalFormatting>
  <conditionalFormatting sqref="G13:AC15 F16:AC16">
    <cfRule type="cellIs" dxfId="1409" priority="211" operator="equal">
      <formula>"PMS"</formula>
    </cfRule>
    <cfRule type="containsText" dxfId="1408" priority="212" operator="containsText" text="CMS">
      <formula>NOT(ISERROR(SEARCH("CMS",F13)))</formula>
    </cfRule>
    <cfRule type="cellIs" dxfId="1407" priority="213" operator="equal">
      <formula>0</formula>
    </cfRule>
    <cfRule type="cellIs" dxfId="1406" priority="214" operator="greaterThan">
      <formula>0</formula>
    </cfRule>
    <cfRule type="cellIs" dxfId="1405" priority="215" operator="equal">
      <formula>"PMS"</formula>
    </cfRule>
    <cfRule type="containsText" dxfId="1404" priority="216" operator="containsText" text="CMS">
      <formula>NOT(ISERROR(SEARCH("CMS",F13)))</formula>
    </cfRule>
    <cfRule type="cellIs" dxfId="1403" priority="217" operator="equal">
      <formula>0</formula>
    </cfRule>
    <cfRule type="cellIs" dxfId="1402" priority="218" operator="greaterThan">
      <formula>0</formula>
    </cfRule>
  </conditionalFormatting>
  <conditionalFormatting sqref="G13:AC15 F16:AC16">
    <cfRule type="cellIs" dxfId="1401" priority="207" operator="equal">
      <formula>"PMS"</formula>
    </cfRule>
    <cfRule type="containsText" dxfId="1400" priority="208" operator="containsText" text="CMS">
      <formula>NOT(ISERROR(SEARCH("CMS",F13)))</formula>
    </cfRule>
    <cfRule type="cellIs" dxfId="1399" priority="209" operator="equal">
      <formula>0</formula>
    </cfRule>
    <cfRule type="cellIs" dxfId="1398" priority="210" operator="greaterThan">
      <formula>0</formula>
    </cfRule>
  </conditionalFormatting>
  <conditionalFormatting sqref="H24:K24 AC27 AA27 Z29:AC29 H33:AC33 G27:Y29 G30:AC30 AA28:AC28 Z27:Z28 G19:AC21 O24:AC24">
    <cfRule type="cellIs" dxfId="1397" priority="199" operator="equal">
      <formula>"PMS"</formula>
    </cfRule>
    <cfRule type="containsText" dxfId="1396" priority="200" operator="containsText" text="CMS">
      <formula>NOT(ISERROR(SEARCH("CMS",G19)))</formula>
    </cfRule>
    <cfRule type="cellIs" dxfId="1395" priority="201" operator="equal">
      <formula>0</formula>
    </cfRule>
    <cfRule type="cellIs" dxfId="1394" priority="202" operator="greaterThan">
      <formula>0</formula>
    </cfRule>
    <cfRule type="cellIs" dxfId="1393" priority="203" operator="equal">
      <formula>"PMS"</formula>
    </cfRule>
    <cfRule type="containsText" dxfId="1392" priority="204" operator="containsText" text="CMS">
      <formula>NOT(ISERROR(SEARCH("CMS",G19)))</formula>
    </cfRule>
    <cfRule type="cellIs" dxfId="1391" priority="205" operator="equal">
      <formula>0</formula>
    </cfRule>
    <cfRule type="cellIs" dxfId="1390" priority="206" operator="greaterThan">
      <formula>0</formula>
    </cfRule>
  </conditionalFormatting>
  <conditionalFormatting sqref="H24:K24 AC27 AA27 Z29:AC29 H33:AC33 G27:Y29 G30:AC30 AA28:AC28 Z27:Z28 G19:AC21 O24:AC24">
    <cfRule type="cellIs" dxfId="1389" priority="195" operator="equal">
      <formula>"PMS"</formula>
    </cfRule>
    <cfRule type="containsText" dxfId="1388" priority="196" operator="containsText" text="CMS">
      <formula>NOT(ISERROR(SEARCH("CMS",G19)))</formula>
    </cfRule>
    <cfRule type="cellIs" dxfId="1387" priority="197" operator="equal">
      <formula>0</formula>
    </cfRule>
    <cfRule type="cellIs" dxfId="1386" priority="198" operator="greaterThan">
      <formula>0</formula>
    </cfRule>
  </conditionalFormatting>
  <conditionalFormatting sqref="V42:X42 G36:AC38 G43:X43 G39:X41 Y39:AC43 G57:AC59 H50:K50 G51:K51 H56:U56 G44:AC49 G52:AC53 G54:U55 L50:AC51 V54:AC56">
    <cfRule type="cellIs" dxfId="1385" priority="187" operator="equal">
      <formula>"PMS"</formula>
    </cfRule>
    <cfRule type="containsText" dxfId="1384" priority="188" operator="containsText" text="CMS">
      <formula>NOT(ISERROR(SEARCH("CMS",G36)))</formula>
    </cfRule>
    <cfRule type="cellIs" dxfId="1383" priority="189" operator="equal">
      <formula>0</formula>
    </cfRule>
    <cfRule type="cellIs" dxfId="1382" priority="190" operator="greaterThan">
      <formula>0</formula>
    </cfRule>
    <cfRule type="cellIs" dxfId="1381" priority="191" operator="equal">
      <formula>"PMS"</formula>
    </cfRule>
    <cfRule type="containsText" dxfId="1380" priority="192" operator="containsText" text="CMS">
      <formula>NOT(ISERROR(SEARCH("CMS",G36)))</formula>
    </cfRule>
    <cfRule type="cellIs" dxfId="1379" priority="193" operator="equal">
      <formula>0</formula>
    </cfRule>
    <cfRule type="cellIs" dxfId="1378" priority="194" operator="greaterThan">
      <formula>0</formula>
    </cfRule>
  </conditionalFormatting>
  <conditionalFormatting sqref="V42:X42 G36:AC38 G43:X43 G39:X41 Y39:AC43 G57:AC59 H50:K50 G51:K51 H56:U56 G44:AC49 G52:AC53 G54:U55 L50:AC51 V54:AC56">
    <cfRule type="cellIs" dxfId="1377" priority="183" operator="equal">
      <formula>"PMS"</formula>
    </cfRule>
    <cfRule type="containsText" dxfId="1376" priority="184" operator="containsText" text="CMS">
      <formula>NOT(ISERROR(SEARCH("CMS",G36)))</formula>
    </cfRule>
    <cfRule type="cellIs" dxfId="1375" priority="185" operator="equal">
      <formula>0</formula>
    </cfRule>
    <cfRule type="cellIs" dxfId="1374" priority="186" operator="greaterThan">
      <formula>0</formula>
    </cfRule>
  </conditionalFormatting>
  <conditionalFormatting sqref="G78:AC79 G62:AC64">
    <cfRule type="cellIs" dxfId="1373" priority="175" operator="equal">
      <formula>"PMS"</formula>
    </cfRule>
    <cfRule type="containsText" dxfId="1372" priority="176" operator="containsText" text="CMS">
      <formula>NOT(ISERROR(SEARCH("CMS",G62)))</formula>
    </cfRule>
    <cfRule type="cellIs" dxfId="1371" priority="177" operator="equal">
      <formula>0</formula>
    </cfRule>
    <cfRule type="cellIs" dxfId="1370" priority="178" operator="greaterThan">
      <formula>0</formula>
    </cfRule>
    <cfRule type="cellIs" dxfId="1369" priority="179" operator="equal">
      <formula>"PMS"</formula>
    </cfRule>
    <cfRule type="containsText" dxfId="1368" priority="180" operator="containsText" text="CMS">
      <formula>NOT(ISERROR(SEARCH("CMS",G62)))</formula>
    </cfRule>
    <cfRule type="cellIs" dxfId="1367" priority="181" operator="equal">
      <formula>0</formula>
    </cfRule>
    <cfRule type="cellIs" dxfId="1366" priority="182" operator="greaterThan">
      <formula>0</formula>
    </cfRule>
  </conditionalFormatting>
  <conditionalFormatting sqref="G78:AC79 G62:AC64">
    <cfRule type="cellIs" dxfId="1365" priority="171" operator="equal">
      <formula>"PMS"</formula>
    </cfRule>
    <cfRule type="containsText" dxfId="1364" priority="172" operator="containsText" text="CMS">
      <formula>NOT(ISERROR(SEARCH("CMS",G62)))</formula>
    </cfRule>
    <cfRule type="cellIs" dxfId="1363" priority="173" operator="equal">
      <formula>0</formula>
    </cfRule>
    <cfRule type="cellIs" dxfId="1362" priority="174" operator="greaterThan">
      <formula>0</formula>
    </cfRule>
  </conditionalFormatting>
  <conditionalFormatting sqref="G42:P42 R42:U42">
    <cfRule type="cellIs" dxfId="1361" priority="163" operator="equal">
      <formula>"PMS"</formula>
    </cfRule>
    <cfRule type="containsText" dxfId="1360" priority="164" operator="containsText" text="CMS">
      <formula>NOT(ISERROR(SEARCH("CMS",G42)))</formula>
    </cfRule>
    <cfRule type="cellIs" dxfId="1359" priority="165" operator="equal">
      <formula>0</formula>
    </cfRule>
    <cfRule type="cellIs" dxfId="1358" priority="166" operator="greaterThan">
      <formula>0</formula>
    </cfRule>
    <cfRule type="cellIs" dxfId="1357" priority="167" operator="equal">
      <formula>"PMS"</formula>
    </cfRule>
    <cfRule type="containsText" dxfId="1356" priority="168" operator="containsText" text="CMS">
      <formula>NOT(ISERROR(SEARCH("CMS",G42)))</formula>
    </cfRule>
    <cfRule type="cellIs" dxfId="1355" priority="169" operator="equal">
      <formula>0</formula>
    </cfRule>
    <cfRule type="cellIs" dxfId="1354" priority="170" operator="greaterThan">
      <formula>0</formula>
    </cfRule>
  </conditionalFormatting>
  <conditionalFormatting sqref="G42:P42 R42:U42">
    <cfRule type="cellIs" dxfId="1353" priority="159" operator="equal">
      <formula>"PMS"</formula>
    </cfRule>
    <cfRule type="containsText" dxfId="1352" priority="160" operator="containsText" text="CMS">
      <formula>NOT(ISERROR(SEARCH("CMS",G42)))</formula>
    </cfRule>
    <cfRule type="cellIs" dxfId="1351" priority="161" operator="equal">
      <formula>0</formula>
    </cfRule>
    <cfRule type="cellIs" dxfId="1350" priority="162" operator="greaterThan">
      <formula>0</formula>
    </cfRule>
  </conditionalFormatting>
  <conditionalFormatting sqref="G33">
    <cfRule type="cellIs" dxfId="1349" priority="151" operator="equal">
      <formula>"PMS"</formula>
    </cfRule>
    <cfRule type="containsText" dxfId="1348" priority="152" operator="containsText" text="CMS">
      <formula>NOT(ISERROR(SEARCH("CMS",G33)))</formula>
    </cfRule>
    <cfRule type="cellIs" dxfId="1347" priority="153" operator="equal">
      <formula>0</formula>
    </cfRule>
    <cfRule type="cellIs" dxfId="1346" priority="154" operator="greaterThan">
      <formula>0</formula>
    </cfRule>
    <cfRule type="cellIs" dxfId="1345" priority="155" operator="equal">
      <formula>"PMS"</formula>
    </cfRule>
    <cfRule type="containsText" dxfId="1344" priority="156" operator="containsText" text="CMS">
      <formula>NOT(ISERROR(SEARCH("CMS",G33)))</formula>
    </cfRule>
    <cfRule type="cellIs" dxfId="1343" priority="157" operator="equal">
      <formula>0</formula>
    </cfRule>
    <cfRule type="cellIs" dxfId="1342" priority="158" operator="greaterThan">
      <formula>0</formula>
    </cfRule>
  </conditionalFormatting>
  <conditionalFormatting sqref="G33">
    <cfRule type="cellIs" dxfId="1341" priority="147" operator="equal">
      <formula>"PMS"</formula>
    </cfRule>
    <cfRule type="containsText" dxfId="1340" priority="148" operator="containsText" text="CMS">
      <formula>NOT(ISERROR(SEARCH("CMS",G33)))</formula>
    </cfRule>
    <cfRule type="cellIs" dxfId="1339" priority="149" operator="equal">
      <formula>0</formula>
    </cfRule>
    <cfRule type="cellIs" dxfId="1338" priority="150" operator="greaterThan">
      <formula>0</formula>
    </cfRule>
  </conditionalFormatting>
  <conditionalFormatting sqref="G24">
    <cfRule type="cellIs" dxfId="1337" priority="139" operator="equal">
      <formula>"PMS"</formula>
    </cfRule>
    <cfRule type="containsText" dxfId="1336" priority="140" operator="containsText" text="CMS">
      <formula>NOT(ISERROR(SEARCH("CMS",G24)))</formula>
    </cfRule>
    <cfRule type="cellIs" dxfId="1335" priority="141" operator="equal">
      <formula>0</formula>
    </cfRule>
    <cfRule type="cellIs" dxfId="1334" priority="142" operator="greaterThan">
      <formula>0</formula>
    </cfRule>
    <cfRule type="cellIs" dxfId="1333" priority="143" operator="equal">
      <formula>"PMS"</formula>
    </cfRule>
    <cfRule type="containsText" dxfId="1332" priority="144" operator="containsText" text="CMS">
      <formula>NOT(ISERROR(SEARCH("CMS",G24)))</formula>
    </cfRule>
    <cfRule type="cellIs" dxfId="1331" priority="145" operator="equal">
      <formula>0</formula>
    </cfRule>
    <cfRule type="cellIs" dxfId="1330" priority="146" operator="greaterThan">
      <formula>0</formula>
    </cfRule>
  </conditionalFormatting>
  <conditionalFormatting sqref="G24">
    <cfRule type="cellIs" dxfId="1329" priority="135" operator="equal">
      <formula>"PMS"</formula>
    </cfRule>
    <cfRule type="containsText" dxfId="1328" priority="136" operator="containsText" text="CMS">
      <formula>NOT(ISERROR(SEARCH("CMS",G24)))</formula>
    </cfRule>
    <cfRule type="cellIs" dxfId="1327" priority="137" operator="equal">
      <formula>0</formula>
    </cfRule>
    <cfRule type="cellIs" dxfId="1326" priority="138" operator="greaterThan">
      <formula>0</formula>
    </cfRule>
  </conditionalFormatting>
  <conditionalFormatting sqref="AB27">
    <cfRule type="cellIs" dxfId="1325" priority="127" operator="equal">
      <formula>"PMS"</formula>
    </cfRule>
    <cfRule type="containsText" dxfId="1324" priority="128" operator="containsText" text="CMS">
      <formula>NOT(ISERROR(SEARCH("CMS",AB27)))</formula>
    </cfRule>
    <cfRule type="cellIs" dxfId="1323" priority="129" operator="equal">
      <formula>0</formula>
    </cfRule>
    <cfRule type="cellIs" dxfId="1322" priority="130" operator="greaterThan">
      <formula>0</formula>
    </cfRule>
    <cfRule type="cellIs" dxfId="1321" priority="131" operator="equal">
      <formula>"PMS"</formula>
    </cfRule>
    <cfRule type="containsText" dxfId="1320" priority="132" operator="containsText" text="CMS">
      <formula>NOT(ISERROR(SEARCH("CMS",AB27)))</formula>
    </cfRule>
    <cfRule type="cellIs" dxfId="1319" priority="133" operator="equal">
      <formula>0</formula>
    </cfRule>
    <cfRule type="cellIs" dxfId="1318" priority="134" operator="greaterThan">
      <formula>0</formula>
    </cfRule>
  </conditionalFormatting>
  <conditionalFormatting sqref="AB27">
    <cfRule type="cellIs" dxfId="1317" priority="123" operator="equal">
      <formula>"PMS"</formula>
    </cfRule>
    <cfRule type="containsText" dxfId="1316" priority="124" operator="containsText" text="CMS">
      <formula>NOT(ISERROR(SEARCH("CMS",AB27)))</formula>
    </cfRule>
    <cfRule type="cellIs" dxfId="1315" priority="125" operator="equal">
      <formula>0</formula>
    </cfRule>
    <cfRule type="cellIs" dxfId="1314" priority="126" operator="greaterThan">
      <formula>0</formula>
    </cfRule>
  </conditionalFormatting>
  <conditionalFormatting sqref="Q42">
    <cfRule type="cellIs" dxfId="1313" priority="115" operator="equal">
      <formula>"PMS"</formula>
    </cfRule>
    <cfRule type="containsText" dxfId="1312" priority="116" operator="containsText" text="CMS">
      <formula>NOT(ISERROR(SEARCH("CMS",Q42)))</formula>
    </cfRule>
    <cfRule type="cellIs" dxfId="1311" priority="117" operator="equal">
      <formula>0</formula>
    </cfRule>
    <cfRule type="cellIs" dxfId="1310" priority="118" operator="greaterThan">
      <formula>0</formula>
    </cfRule>
    <cfRule type="cellIs" dxfId="1309" priority="119" operator="equal">
      <formula>"PMS"</formula>
    </cfRule>
    <cfRule type="containsText" dxfId="1308" priority="120" operator="containsText" text="CMS">
      <formula>NOT(ISERROR(SEARCH("CMS",Q42)))</formula>
    </cfRule>
    <cfRule type="cellIs" dxfId="1307" priority="121" operator="equal">
      <formula>0</formula>
    </cfRule>
    <cfRule type="cellIs" dxfId="1306" priority="122" operator="greaterThan">
      <formula>0</formula>
    </cfRule>
  </conditionalFormatting>
  <conditionalFormatting sqref="Q42">
    <cfRule type="cellIs" dxfId="1305" priority="111" operator="equal">
      <formula>"PMS"</formula>
    </cfRule>
    <cfRule type="containsText" dxfId="1304" priority="112" operator="containsText" text="CMS">
      <formula>NOT(ISERROR(SEARCH("CMS",Q42)))</formula>
    </cfRule>
    <cfRule type="cellIs" dxfId="1303" priority="113" operator="equal">
      <formula>0</formula>
    </cfRule>
    <cfRule type="cellIs" dxfId="1302" priority="114" operator="greaterThan">
      <formula>0</formula>
    </cfRule>
  </conditionalFormatting>
  <conditionalFormatting sqref="G56 G50">
    <cfRule type="cellIs" dxfId="1301" priority="103" operator="equal">
      <formula>"PMS"</formula>
    </cfRule>
    <cfRule type="containsText" dxfId="1300" priority="104" operator="containsText" text="CMS">
      <formula>NOT(ISERROR(SEARCH("CMS",G50)))</formula>
    </cfRule>
    <cfRule type="cellIs" dxfId="1299" priority="105" operator="equal">
      <formula>0</formula>
    </cfRule>
    <cfRule type="cellIs" dxfId="1298" priority="106" operator="greaterThan">
      <formula>0</formula>
    </cfRule>
    <cfRule type="cellIs" dxfId="1297" priority="107" operator="equal">
      <formula>"PMS"</formula>
    </cfRule>
    <cfRule type="containsText" dxfId="1296" priority="108" operator="containsText" text="CMS">
      <formula>NOT(ISERROR(SEARCH("CMS",G50)))</formula>
    </cfRule>
    <cfRule type="cellIs" dxfId="1295" priority="109" operator="equal">
      <formula>0</formula>
    </cfRule>
    <cfRule type="cellIs" dxfId="1294" priority="110" operator="greaterThan">
      <formula>0</formula>
    </cfRule>
  </conditionalFormatting>
  <conditionalFormatting sqref="G56 G50">
    <cfRule type="cellIs" dxfId="1293" priority="99" operator="equal">
      <formula>"PMS"</formula>
    </cfRule>
    <cfRule type="containsText" dxfId="1292" priority="100" operator="containsText" text="CMS">
      <formula>NOT(ISERROR(SEARCH("CMS",G50)))</formula>
    </cfRule>
    <cfRule type="cellIs" dxfId="1291" priority="101" operator="equal">
      <formula>0</formula>
    </cfRule>
    <cfRule type="cellIs" dxfId="1290" priority="102" operator="greaterThan">
      <formula>0</formula>
    </cfRule>
  </conditionalFormatting>
  <conditionalFormatting sqref="L24:N24">
    <cfRule type="cellIs" dxfId="1289" priority="91" operator="equal">
      <formula>"PMS"</formula>
    </cfRule>
    <cfRule type="containsText" dxfId="1288" priority="92" operator="containsText" text="CMS">
      <formula>NOT(ISERROR(SEARCH("CMS",L24)))</formula>
    </cfRule>
    <cfRule type="cellIs" dxfId="1287" priority="93" operator="equal">
      <formula>0</formula>
    </cfRule>
    <cfRule type="cellIs" dxfId="1286" priority="94" operator="greaterThan">
      <formula>0</formula>
    </cfRule>
    <cfRule type="cellIs" dxfId="1285" priority="95" operator="equal">
      <formula>"PMS"</formula>
    </cfRule>
    <cfRule type="containsText" dxfId="1284" priority="96" operator="containsText" text="CMS">
      <formula>NOT(ISERROR(SEARCH("CMS",L24)))</formula>
    </cfRule>
    <cfRule type="cellIs" dxfId="1283" priority="97" operator="equal">
      <formula>0</formula>
    </cfRule>
    <cfRule type="cellIs" dxfId="1282" priority="98" operator="greaterThan">
      <formula>0</formula>
    </cfRule>
  </conditionalFormatting>
  <conditionalFormatting sqref="L24:N24">
    <cfRule type="cellIs" dxfId="1281" priority="87" operator="equal">
      <formula>"PMS"</formula>
    </cfRule>
    <cfRule type="containsText" dxfId="1280" priority="88" operator="containsText" text="CMS">
      <formula>NOT(ISERROR(SEARCH("CMS",L24)))</formula>
    </cfRule>
    <cfRule type="cellIs" dxfId="1279" priority="89" operator="equal">
      <formula>0</formula>
    </cfRule>
    <cfRule type="cellIs" dxfId="1278" priority="90" operator="greaterThan">
      <formula>0</formula>
    </cfRule>
  </conditionalFormatting>
  <conditionalFormatting sqref="F82">
    <cfRule type="cellIs" dxfId="1277" priority="79" operator="equal">
      <formula>"PMS"</formula>
    </cfRule>
    <cfRule type="containsText" dxfId="1276" priority="80" operator="containsText" text="CMS">
      <formula>NOT(ISERROR(SEARCH("CMS",F82)))</formula>
    </cfRule>
    <cfRule type="cellIs" dxfId="1275" priority="81" operator="equal">
      <formula>0</formula>
    </cfRule>
    <cfRule type="cellIs" dxfId="1274" priority="82" operator="greaterThan">
      <formula>0</formula>
    </cfRule>
    <cfRule type="cellIs" dxfId="1273" priority="83" operator="equal">
      <formula>"PMS"</formula>
    </cfRule>
    <cfRule type="containsText" dxfId="1272" priority="84" operator="containsText" text="CMS">
      <formula>NOT(ISERROR(SEARCH("CMS",F82)))</formula>
    </cfRule>
    <cfRule type="cellIs" dxfId="1271" priority="85" operator="equal">
      <formula>0</formula>
    </cfRule>
    <cfRule type="cellIs" dxfId="1270" priority="86" operator="greaterThan">
      <formula>0</formula>
    </cfRule>
  </conditionalFormatting>
  <conditionalFormatting sqref="F82">
    <cfRule type="cellIs" dxfId="1269" priority="75" operator="equal">
      <formula>"PMS"</formula>
    </cfRule>
    <cfRule type="containsText" dxfId="1268" priority="76" operator="containsText" text="CMS">
      <formula>NOT(ISERROR(SEARCH("CMS",F82)))</formula>
    </cfRule>
    <cfRule type="cellIs" dxfId="1267" priority="77" operator="equal">
      <formula>0</formula>
    </cfRule>
    <cfRule type="cellIs" dxfId="1266" priority="78" operator="greaterThan">
      <formula>0</formula>
    </cfRule>
  </conditionalFormatting>
  <conditionalFormatting sqref="F13">
    <cfRule type="cellIs" dxfId="1265" priority="67" operator="equal">
      <formula>"PMS"</formula>
    </cfRule>
    <cfRule type="containsText" dxfId="1264" priority="68" operator="containsText" text="CMS">
      <formula>NOT(ISERROR(SEARCH("CMS",F13)))</formula>
    </cfRule>
    <cfRule type="cellIs" dxfId="1263" priority="69" operator="equal">
      <formula>0</formula>
    </cfRule>
    <cfRule type="cellIs" dxfId="1262" priority="70" operator="greaterThan">
      <formula>0</formula>
    </cfRule>
    <cfRule type="cellIs" dxfId="1261" priority="71" operator="equal">
      <formula>"PMS"</formula>
    </cfRule>
    <cfRule type="containsText" dxfId="1260" priority="72" operator="containsText" text="CMS">
      <formula>NOT(ISERROR(SEARCH("CMS",F13)))</formula>
    </cfRule>
    <cfRule type="cellIs" dxfId="1259" priority="73" operator="equal">
      <formula>0</formula>
    </cfRule>
    <cfRule type="cellIs" dxfId="1258" priority="74" operator="greaterThan">
      <formula>0</formula>
    </cfRule>
  </conditionalFormatting>
  <conditionalFormatting sqref="F13">
    <cfRule type="cellIs" dxfId="1257" priority="63" operator="equal">
      <formula>"PMS"</formula>
    </cfRule>
    <cfRule type="containsText" dxfId="1256" priority="64" operator="containsText" text="CMS">
      <formula>NOT(ISERROR(SEARCH("CMS",F13)))</formula>
    </cfRule>
    <cfRule type="cellIs" dxfId="1255" priority="65" operator="equal">
      <formula>0</formula>
    </cfRule>
    <cfRule type="cellIs" dxfId="1254" priority="66" operator="greaterThan">
      <formula>0</formula>
    </cfRule>
  </conditionalFormatting>
  <conditionalFormatting sqref="F67:F75">
    <cfRule type="cellIs" dxfId="1253" priority="55" operator="equal">
      <formula>"PMS"</formula>
    </cfRule>
    <cfRule type="containsText" dxfId="1252" priority="56" operator="containsText" text="CMS">
      <formula>NOT(ISERROR(SEARCH("CMS",F67)))</formula>
    </cfRule>
    <cfRule type="cellIs" dxfId="1251" priority="57" operator="equal">
      <formula>0</formula>
    </cfRule>
    <cfRule type="cellIs" dxfId="1250" priority="58" operator="greaterThan">
      <formula>0</formula>
    </cfRule>
    <cfRule type="cellIs" dxfId="1249" priority="59" operator="equal">
      <formula>"PMS"</formula>
    </cfRule>
    <cfRule type="containsText" dxfId="1248" priority="60" operator="containsText" text="CMS">
      <formula>NOT(ISERROR(SEARCH("CMS",F67)))</formula>
    </cfRule>
    <cfRule type="cellIs" dxfId="1247" priority="61" operator="equal">
      <formula>0</formula>
    </cfRule>
    <cfRule type="cellIs" dxfId="1246" priority="62" operator="greaterThan">
      <formula>0</formula>
    </cfRule>
  </conditionalFormatting>
  <conditionalFormatting sqref="F67:F75">
    <cfRule type="cellIs" dxfId="1245" priority="51" operator="equal">
      <formula>"PMS"</formula>
    </cfRule>
    <cfRule type="containsText" dxfId="1244" priority="52" operator="containsText" text="CMS">
      <formula>NOT(ISERROR(SEARCH("CMS",F67)))</formula>
    </cfRule>
    <cfRule type="cellIs" dxfId="1243" priority="53" operator="equal">
      <formula>0</formula>
    </cfRule>
    <cfRule type="cellIs" dxfId="1242" priority="54" operator="greaterThan">
      <formula>0</formula>
    </cfRule>
  </conditionalFormatting>
  <conditionalFormatting sqref="F14:F15">
    <cfRule type="cellIs" dxfId="1241" priority="43" operator="equal">
      <formula>"PMS"</formula>
    </cfRule>
    <cfRule type="containsText" dxfId="1240" priority="44" operator="containsText" text="CMS">
      <formula>NOT(ISERROR(SEARCH("CMS",F14)))</formula>
    </cfRule>
    <cfRule type="cellIs" dxfId="1239" priority="45" operator="equal">
      <formula>0</formula>
    </cfRule>
    <cfRule type="cellIs" dxfId="1238" priority="46" operator="greaterThan">
      <formula>0</formula>
    </cfRule>
    <cfRule type="cellIs" dxfId="1237" priority="47" operator="equal">
      <formula>"PMS"</formula>
    </cfRule>
    <cfRule type="containsText" dxfId="1236" priority="48" operator="containsText" text="CMS">
      <formula>NOT(ISERROR(SEARCH("CMS",F14)))</formula>
    </cfRule>
    <cfRule type="cellIs" dxfId="1235" priority="49" operator="equal">
      <formula>0</formula>
    </cfRule>
    <cfRule type="cellIs" dxfId="1234" priority="50" operator="greaterThan">
      <formula>0</formula>
    </cfRule>
  </conditionalFormatting>
  <conditionalFormatting sqref="F14:F15">
    <cfRule type="cellIs" dxfId="1233" priority="39" operator="equal">
      <formula>"PMS"</formula>
    </cfRule>
    <cfRule type="containsText" dxfId="1232" priority="40" operator="containsText" text="CMS">
      <formula>NOT(ISERROR(SEARCH("CMS",F14)))</formula>
    </cfRule>
    <cfRule type="cellIs" dxfId="1231" priority="41" operator="equal">
      <formula>0</formula>
    </cfRule>
    <cfRule type="cellIs" dxfId="1230" priority="42" operator="greaterThan">
      <formula>0</formula>
    </cfRule>
  </conditionalFormatting>
  <conditionalFormatting sqref="F33 F27:F30 F19:F21 F24">
    <cfRule type="cellIs" dxfId="1229" priority="31" operator="equal">
      <formula>"PMS"</formula>
    </cfRule>
    <cfRule type="containsText" dxfId="1228" priority="32" operator="containsText" text="CMS">
      <formula>NOT(ISERROR(SEARCH("CMS",F19)))</formula>
    </cfRule>
    <cfRule type="cellIs" dxfId="1227" priority="33" operator="equal">
      <formula>0</formula>
    </cfRule>
    <cfRule type="cellIs" dxfId="1226" priority="34" operator="greaterThan">
      <formula>0</formula>
    </cfRule>
    <cfRule type="cellIs" dxfId="1225" priority="35" operator="equal">
      <formula>"PMS"</formula>
    </cfRule>
    <cfRule type="containsText" dxfId="1224" priority="36" operator="containsText" text="CMS">
      <formula>NOT(ISERROR(SEARCH("CMS",F19)))</formula>
    </cfRule>
    <cfRule type="cellIs" dxfId="1223" priority="37" operator="equal">
      <formula>0</formula>
    </cfRule>
    <cfRule type="cellIs" dxfId="1222" priority="38" operator="greaterThan">
      <formula>0</formula>
    </cfRule>
  </conditionalFormatting>
  <conditionalFormatting sqref="F33 F27:F30 F19:F21 F24">
    <cfRule type="cellIs" dxfId="1221" priority="27" operator="equal">
      <formula>"PMS"</formula>
    </cfRule>
    <cfRule type="containsText" dxfId="1220" priority="28" operator="containsText" text="CMS">
      <formula>NOT(ISERROR(SEARCH("CMS",F19)))</formula>
    </cfRule>
    <cfRule type="cellIs" dxfId="1219" priority="29" operator="equal">
      <formula>0</formula>
    </cfRule>
    <cfRule type="cellIs" dxfId="1218" priority="30" operator="greaterThan">
      <formula>0</formula>
    </cfRule>
  </conditionalFormatting>
  <conditionalFormatting sqref="F36:F59">
    <cfRule type="cellIs" dxfId="1217" priority="19" operator="equal">
      <formula>"PMS"</formula>
    </cfRule>
    <cfRule type="containsText" dxfId="1216" priority="20" operator="containsText" text="CMS">
      <formula>NOT(ISERROR(SEARCH("CMS",F36)))</formula>
    </cfRule>
    <cfRule type="cellIs" dxfId="1215" priority="21" operator="equal">
      <formula>0</formula>
    </cfRule>
    <cfRule type="cellIs" dxfId="1214" priority="22" operator="greaterThan">
      <formula>0</formula>
    </cfRule>
    <cfRule type="cellIs" dxfId="1213" priority="23" operator="equal">
      <formula>"PMS"</formula>
    </cfRule>
    <cfRule type="containsText" dxfId="1212" priority="24" operator="containsText" text="CMS">
      <formula>NOT(ISERROR(SEARCH("CMS",F36)))</formula>
    </cfRule>
    <cfRule type="cellIs" dxfId="1211" priority="25" operator="equal">
      <formula>0</formula>
    </cfRule>
    <cfRule type="cellIs" dxfId="1210" priority="26" operator="greaterThan">
      <formula>0</formula>
    </cfRule>
  </conditionalFormatting>
  <conditionalFormatting sqref="F36:F59">
    <cfRule type="cellIs" dxfId="1209" priority="15" operator="equal">
      <formula>"PMS"</formula>
    </cfRule>
    <cfRule type="containsText" dxfId="1208" priority="16" operator="containsText" text="CMS">
      <formula>NOT(ISERROR(SEARCH("CMS",F36)))</formula>
    </cfRule>
    <cfRule type="cellIs" dxfId="1207" priority="17" operator="equal">
      <formula>0</formula>
    </cfRule>
    <cfRule type="cellIs" dxfId="1206" priority="18" operator="greaterThan">
      <formula>0</formula>
    </cfRule>
  </conditionalFormatting>
  <conditionalFormatting sqref="F78:F79 F62:F64">
    <cfRule type="cellIs" dxfId="1205" priority="7" operator="equal">
      <formula>"PMS"</formula>
    </cfRule>
    <cfRule type="containsText" dxfId="1204" priority="8" operator="containsText" text="CMS">
      <formula>NOT(ISERROR(SEARCH("CMS",F62)))</formula>
    </cfRule>
    <cfRule type="cellIs" dxfId="1203" priority="9" operator="equal">
      <formula>0</formula>
    </cfRule>
    <cfRule type="cellIs" dxfId="1202" priority="10" operator="greaterThan">
      <formula>0</formula>
    </cfRule>
    <cfRule type="cellIs" dxfId="1201" priority="11" operator="equal">
      <formula>"PMS"</formula>
    </cfRule>
    <cfRule type="containsText" dxfId="1200" priority="12" operator="containsText" text="CMS">
      <formula>NOT(ISERROR(SEARCH("CMS",F62)))</formula>
    </cfRule>
    <cfRule type="cellIs" dxfId="1199" priority="13" operator="equal">
      <formula>0</formula>
    </cfRule>
    <cfRule type="cellIs" dxfId="1198" priority="14" operator="greaterThan">
      <formula>0</formula>
    </cfRule>
  </conditionalFormatting>
  <conditionalFormatting sqref="F78:F79 F62:F64">
    <cfRule type="cellIs" dxfId="1197" priority="3" operator="equal">
      <formula>"PMS"</formula>
    </cfRule>
    <cfRule type="containsText" dxfId="1196" priority="4" operator="containsText" text="CMS">
      <formula>NOT(ISERROR(SEARCH("CMS",F62)))</formula>
    </cfRule>
    <cfRule type="cellIs" dxfId="1195" priority="5" operator="equal">
      <formula>0</formula>
    </cfRule>
    <cfRule type="cellIs" dxfId="1194" priority="6" operator="greaterThan">
      <formula>0</formula>
    </cfRule>
  </conditionalFormatting>
  <conditionalFormatting sqref="G111:AC111">
    <cfRule type="cellIs" dxfId="1193" priority="2" operator="greaterThan">
      <formula>60.3</formula>
    </cfRule>
  </conditionalFormatting>
  <conditionalFormatting sqref="F111">
    <cfRule type="cellIs" dxfId="1192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7081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7481A-284F-46AF-8267-8355D01D7FF3}">
  <sheetPr codeName="Sheet12"/>
  <dimension ref="A1:BR753"/>
  <sheetViews>
    <sheetView zoomScale="90" zoomScaleNormal="90" workbookViewId="0">
      <pane xSplit="4" ySplit="4" topLeftCell="BS753" activePane="bottomRight" state="frozen"/>
      <selection pane="bottomRight" activeCell="BS753" sqref="BS753"/>
      <selection pane="bottomLeft" activeCell="O83" sqref="O83"/>
      <selection pane="topRight" activeCell="O83" sqref="O83"/>
    </sheetView>
  </sheetViews>
  <sheetFormatPr defaultColWidth="8.42578125" defaultRowHeight="13.9"/>
  <cols>
    <col min="1" max="1" width="14.42578125" style="22" bestFit="1" customWidth="1"/>
    <col min="2" max="2" width="6.85546875" style="22" customWidth="1"/>
    <col min="3" max="3" width="5.85546875" style="22" hidden="1" customWidth="1"/>
    <col min="4" max="4" width="5.5703125" style="22" hidden="1" customWidth="1"/>
    <col min="5" max="5" width="10" style="308" customWidth="1"/>
    <col min="6" max="10" width="10.42578125" style="308" customWidth="1"/>
    <col min="11" max="11" width="10.42578125" style="308" hidden="1" customWidth="1"/>
    <col min="12" max="12" width="9.5703125" style="308" customWidth="1"/>
    <col min="13" max="14" width="10.42578125" style="308" customWidth="1"/>
    <col min="15" max="15" width="10.42578125" style="308" hidden="1" customWidth="1"/>
    <col min="16" max="18" width="10.42578125" style="308" customWidth="1"/>
    <col min="19" max="19" width="10.42578125" style="308" hidden="1" customWidth="1"/>
    <col min="20" max="45" width="10.42578125" style="308" customWidth="1"/>
    <col min="46" max="46" width="12.140625" style="308" customWidth="1"/>
    <col min="47" max="47" width="12" style="308" customWidth="1"/>
    <col min="48" max="50" width="10.42578125" style="308" customWidth="1"/>
    <col min="51" max="51" width="10.42578125" style="309" customWidth="1"/>
    <col min="52" max="59" width="10.42578125" style="308" customWidth="1"/>
    <col min="60" max="60" width="10.42578125" style="308" hidden="1" customWidth="1"/>
    <col min="61" max="63" width="10.42578125" style="308" customWidth="1"/>
    <col min="64" max="64" width="10.42578125" style="308" hidden="1" customWidth="1"/>
    <col min="65" max="66" width="10.42578125" style="308" customWidth="1"/>
    <col min="67" max="67" width="10.42578125" style="308" hidden="1" customWidth="1"/>
    <col min="68" max="68" width="9.85546875" style="308" hidden="1" customWidth="1"/>
    <col min="69" max="70" width="10.42578125" style="308" hidden="1" customWidth="1"/>
    <col min="71" max="16384" width="8.42578125" style="22"/>
  </cols>
  <sheetData>
    <row r="1" spans="1:70" ht="14.45" thickBot="1">
      <c r="A1" s="258" t="str">
        <f ca="1">TEXT(TODAY(), "MMMM")</f>
        <v>November</v>
      </c>
      <c r="E1" s="23">
        <v>13</v>
      </c>
      <c r="F1" s="23">
        <v>13</v>
      </c>
      <c r="G1" s="23">
        <v>13</v>
      </c>
      <c r="H1" s="23"/>
      <c r="I1" s="23"/>
      <c r="J1" s="23">
        <v>14</v>
      </c>
      <c r="K1" s="23"/>
      <c r="L1" s="23"/>
      <c r="M1" s="23"/>
      <c r="N1" s="23">
        <v>15</v>
      </c>
      <c r="O1" s="23"/>
      <c r="P1" s="23"/>
      <c r="Q1" s="23"/>
      <c r="R1" s="23">
        <v>16</v>
      </c>
      <c r="S1" s="23"/>
      <c r="T1" s="23"/>
      <c r="U1" s="23"/>
      <c r="V1" s="23">
        <v>19</v>
      </c>
      <c r="W1" s="23"/>
      <c r="X1" s="23"/>
      <c r="Y1" s="23"/>
      <c r="Z1" s="23">
        <v>20</v>
      </c>
      <c r="AA1" s="23"/>
      <c r="AB1" s="23"/>
      <c r="AC1" s="23"/>
      <c r="AD1" s="23">
        <v>21</v>
      </c>
      <c r="AE1" s="23"/>
      <c r="AF1" s="23"/>
      <c r="AG1" s="23"/>
      <c r="AH1" s="23">
        <v>24</v>
      </c>
      <c r="AI1" s="23"/>
      <c r="AJ1" s="23"/>
      <c r="AK1" s="23"/>
      <c r="AL1" s="23">
        <v>27</v>
      </c>
      <c r="AM1" s="23">
        <v>27</v>
      </c>
      <c r="AN1" s="23">
        <v>27</v>
      </c>
      <c r="AO1" s="23"/>
      <c r="AP1" s="23"/>
      <c r="AQ1" s="23">
        <v>28</v>
      </c>
      <c r="AR1" s="23"/>
      <c r="AS1" s="23"/>
      <c r="AT1" s="23">
        <v>29</v>
      </c>
      <c r="AU1" s="23"/>
      <c r="AV1" s="23"/>
      <c r="AW1" s="23"/>
      <c r="AX1" s="23">
        <v>32</v>
      </c>
      <c r="AY1" s="259">
        <v>31</v>
      </c>
      <c r="AZ1" s="23">
        <v>33</v>
      </c>
      <c r="BA1" s="23"/>
      <c r="BB1" s="23"/>
      <c r="BC1" s="23">
        <v>60</v>
      </c>
      <c r="BD1" s="23"/>
      <c r="BE1" s="23"/>
      <c r="BF1" s="23"/>
      <c r="BG1" s="23">
        <v>65</v>
      </c>
      <c r="BH1" s="23"/>
      <c r="BI1" s="23"/>
      <c r="BJ1" s="23"/>
      <c r="BK1" s="23">
        <v>80</v>
      </c>
      <c r="BL1" s="23"/>
      <c r="BM1" s="23"/>
      <c r="BN1" s="23"/>
      <c r="BO1" s="23">
        <v>76</v>
      </c>
      <c r="BP1" s="23"/>
      <c r="BQ1" s="23"/>
      <c r="BR1" s="23"/>
    </row>
    <row r="2" spans="1:70" s="261" customFormat="1" ht="16.149999999999999" thickBot="1">
      <c r="A2" s="533" t="s">
        <v>105</v>
      </c>
      <c r="B2" s="533" t="s">
        <v>76</v>
      </c>
      <c r="C2" s="108"/>
      <c r="D2" s="260"/>
      <c r="E2" s="535" t="s">
        <v>106</v>
      </c>
      <c r="F2" s="536"/>
      <c r="G2" s="536"/>
      <c r="H2" s="536"/>
      <c r="I2" s="536"/>
      <c r="J2" s="536"/>
      <c r="K2" s="536"/>
      <c r="L2" s="536"/>
      <c r="M2" s="536"/>
      <c r="N2" s="536"/>
      <c r="O2" s="536"/>
      <c r="P2" s="536"/>
      <c r="Q2" s="536"/>
      <c r="R2" s="536"/>
      <c r="S2" s="536"/>
      <c r="T2" s="536"/>
      <c r="U2" s="537"/>
      <c r="V2" s="538" t="s">
        <v>27</v>
      </c>
      <c r="W2" s="536"/>
      <c r="X2" s="536"/>
      <c r="Y2" s="536"/>
      <c r="Z2" s="536"/>
      <c r="AA2" s="536"/>
      <c r="AB2" s="536"/>
      <c r="AC2" s="536"/>
      <c r="AD2" s="536"/>
      <c r="AE2" s="536"/>
      <c r="AF2" s="536"/>
      <c r="AG2" s="539"/>
      <c r="AH2" s="526" t="s">
        <v>107</v>
      </c>
      <c r="AI2" s="527"/>
      <c r="AJ2" s="527"/>
      <c r="AK2" s="528"/>
      <c r="AL2" s="526" t="s">
        <v>108</v>
      </c>
      <c r="AM2" s="527"/>
      <c r="AN2" s="527"/>
      <c r="AO2" s="527"/>
      <c r="AP2" s="527"/>
      <c r="AQ2" s="527"/>
      <c r="AR2" s="527"/>
      <c r="AS2" s="527"/>
      <c r="AT2" s="527"/>
      <c r="AU2" s="527"/>
      <c r="AV2" s="527"/>
      <c r="AW2" s="528"/>
      <c r="AX2" s="526" t="s">
        <v>109</v>
      </c>
      <c r="AY2" s="527"/>
      <c r="AZ2" s="550"/>
      <c r="BA2" s="550"/>
      <c r="BB2" s="551"/>
      <c r="BC2" s="526" t="s">
        <v>110</v>
      </c>
      <c r="BD2" s="550"/>
      <c r="BE2" s="550"/>
      <c r="BF2" s="551"/>
      <c r="BG2" s="526" t="s">
        <v>111</v>
      </c>
      <c r="BH2" s="527"/>
      <c r="BI2" s="527"/>
      <c r="BJ2" s="528"/>
      <c r="BK2" s="526" t="s">
        <v>112</v>
      </c>
      <c r="BL2" s="527"/>
      <c r="BM2" s="527"/>
      <c r="BN2" s="528"/>
      <c r="BO2" s="526" t="s">
        <v>113</v>
      </c>
      <c r="BP2" s="527"/>
      <c r="BQ2" s="527"/>
      <c r="BR2" s="528"/>
    </row>
    <row r="3" spans="1:70" ht="29.45" customHeight="1" thickBot="1">
      <c r="A3" s="534"/>
      <c r="B3" s="534"/>
      <c r="C3" s="262"/>
      <c r="D3" s="263"/>
      <c r="E3" s="529" t="s">
        <v>114</v>
      </c>
      <c r="F3" s="530"/>
      <c r="G3" s="264" t="s">
        <v>115</v>
      </c>
      <c r="H3" s="264" t="s">
        <v>116</v>
      </c>
      <c r="I3" s="264" t="s">
        <v>117</v>
      </c>
      <c r="J3" s="264" t="s">
        <v>115</v>
      </c>
      <c r="K3" s="264" t="s">
        <v>118</v>
      </c>
      <c r="L3" s="264" t="s">
        <v>116</v>
      </c>
      <c r="M3" s="264" t="s">
        <v>117</v>
      </c>
      <c r="N3" s="264" t="s">
        <v>115</v>
      </c>
      <c r="O3" s="264" t="s">
        <v>118</v>
      </c>
      <c r="P3" s="264" t="s">
        <v>116</v>
      </c>
      <c r="Q3" s="264" t="s">
        <v>117</v>
      </c>
      <c r="R3" s="264" t="s">
        <v>115</v>
      </c>
      <c r="S3" s="264" t="s">
        <v>118</v>
      </c>
      <c r="T3" s="264" t="s">
        <v>116</v>
      </c>
      <c r="U3" s="265" t="s">
        <v>117</v>
      </c>
      <c r="V3" s="266" t="s">
        <v>115</v>
      </c>
      <c r="W3" s="267" t="s">
        <v>118</v>
      </c>
      <c r="X3" s="267" t="s">
        <v>116</v>
      </c>
      <c r="Y3" s="267" t="s">
        <v>117</v>
      </c>
      <c r="Z3" s="267" t="s">
        <v>115</v>
      </c>
      <c r="AA3" s="267" t="s">
        <v>118</v>
      </c>
      <c r="AB3" s="267" t="s">
        <v>116</v>
      </c>
      <c r="AC3" s="267" t="s">
        <v>117</v>
      </c>
      <c r="AD3" s="267" t="s">
        <v>115</v>
      </c>
      <c r="AE3" s="267" t="s">
        <v>118</v>
      </c>
      <c r="AF3" s="267" t="s">
        <v>116</v>
      </c>
      <c r="AG3" s="268" t="s">
        <v>117</v>
      </c>
      <c r="AH3" s="269" t="s">
        <v>115</v>
      </c>
      <c r="AI3" s="267" t="s">
        <v>118</v>
      </c>
      <c r="AJ3" s="267" t="s">
        <v>116</v>
      </c>
      <c r="AK3" s="270" t="s">
        <v>117</v>
      </c>
      <c r="AL3" s="529" t="s">
        <v>119</v>
      </c>
      <c r="AM3" s="530"/>
      <c r="AN3" s="264" t="s">
        <v>115</v>
      </c>
      <c r="AO3" s="264" t="s">
        <v>116</v>
      </c>
      <c r="AP3" s="264" t="s">
        <v>117</v>
      </c>
      <c r="AQ3" s="264" t="s">
        <v>115</v>
      </c>
      <c r="AR3" s="264" t="s">
        <v>116</v>
      </c>
      <c r="AS3" s="265" t="s">
        <v>117</v>
      </c>
      <c r="AT3" s="264" t="s">
        <v>115</v>
      </c>
      <c r="AU3" s="428" t="s">
        <v>120</v>
      </c>
      <c r="AV3" s="264" t="s">
        <v>116</v>
      </c>
      <c r="AW3" s="265" t="s">
        <v>117</v>
      </c>
      <c r="AX3" s="531" t="s">
        <v>114</v>
      </c>
      <c r="AY3" s="532"/>
      <c r="AZ3" s="271" t="s">
        <v>115</v>
      </c>
      <c r="BA3" s="272" t="s">
        <v>116</v>
      </c>
      <c r="BB3" s="273" t="s">
        <v>117</v>
      </c>
      <c r="BC3" s="274" t="s">
        <v>121</v>
      </c>
      <c r="BD3" s="271" t="s">
        <v>115</v>
      </c>
      <c r="BE3" s="272" t="s">
        <v>116</v>
      </c>
      <c r="BF3" s="273" t="s">
        <v>117</v>
      </c>
      <c r="BG3" s="269" t="s">
        <v>115</v>
      </c>
      <c r="BH3" s="267" t="s">
        <v>118</v>
      </c>
      <c r="BI3" s="267" t="s">
        <v>116</v>
      </c>
      <c r="BJ3" s="270" t="s">
        <v>117</v>
      </c>
      <c r="BK3" s="269" t="s">
        <v>115</v>
      </c>
      <c r="BL3" s="267" t="s">
        <v>118</v>
      </c>
      <c r="BM3" s="267" t="s">
        <v>116</v>
      </c>
      <c r="BN3" s="270" t="s">
        <v>117</v>
      </c>
      <c r="BO3" s="269" t="s">
        <v>115</v>
      </c>
      <c r="BP3" s="267" t="s">
        <v>118</v>
      </c>
      <c r="BQ3" s="267" t="s">
        <v>116</v>
      </c>
      <c r="BR3" s="270" t="s">
        <v>117</v>
      </c>
    </row>
    <row r="4" spans="1:70" ht="15" customHeight="1" thickBot="1">
      <c r="A4" s="534"/>
      <c r="B4" s="534"/>
      <c r="C4" s="275"/>
      <c r="D4" s="276"/>
      <c r="E4" s="277"/>
      <c r="F4" s="278"/>
      <c r="G4" s="540" t="s">
        <v>122</v>
      </c>
      <c r="H4" s="541"/>
      <c r="I4" s="542"/>
      <c r="J4" s="543" t="s">
        <v>123</v>
      </c>
      <c r="K4" s="544"/>
      <c r="L4" s="544"/>
      <c r="M4" s="545"/>
      <c r="N4" s="543" t="s">
        <v>124</v>
      </c>
      <c r="O4" s="544"/>
      <c r="P4" s="544"/>
      <c r="Q4" s="545"/>
      <c r="R4" s="546" t="s">
        <v>125</v>
      </c>
      <c r="S4" s="544"/>
      <c r="T4" s="544"/>
      <c r="U4" s="545"/>
      <c r="V4" s="552" t="s">
        <v>122</v>
      </c>
      <c r="W4" s="553"/>
      <c r="X4" s="553"/>
      <c r="Y4" s="554"/>
      <c r="Z4" s="552" t="s">
        <v>123</v>
      </c>
      <c r="AA4" s="553"/>
      <c r="AB4" s="553"/>
      <c r="AC4" s="555"/>
      <c r="AD4" s="556" t="s">
        <v>124</v>
      </c>
      <c r="AE4" s="553"/>
      <c r="AF4" s="553"/>
      <c r="AG4" s="554"/>
      <c r="AH4" s="547" t="s">
        <v>122</v>
      </c>
      <c r="AI4" s="548"/>
      <c r="AJ4" s="548"/>
      <c r="AK4" s="549"/>
      <c r="AL4" s="557"/>
      <c r="AM4" s="558"/>
      <c r="AN4" s="547" t="s">
        <v>122</v>
      </c>
      <c r="AO4" s="548"/>
      <c r="AP4" s="549"/>
      <c r="AQ4" s="540" t="s">
        <v>123</v>
      </c>
      <c r="AR4" s="541"/>
      <c r="AS4" s="542"/>
      <c r="AT4" s="559" t="s">
        <v>30</v>
      </c>
      <c r="AU4" s="560"/>
      <c r="AV4" s="560"/>
      <c r="AW4" s="561"/>
      <c r="AX4" s="562"/>
      <c r="AY4" s="563"/>
      <c r="AZ4" s="547" t="s">
        <v>122</v>
      </c>
      <c r="BA4" s="548"/>
      <c r="BB4" s="549"/>
      <c r="BC4" s="279"/>
      <c r="BD4" s="547" t="s">
        <v>126</v>
      </c>
      <c r="BE4" s="548"/>
      <c r="BF4" s="549"/>
      <c r="BG4" s="547" t="s">
        <v>122</v>
      </c>
      <c r="BH4" s="548"/>
      <c r="BI4" s="548"/>
      <c r="BJ4" s="549"/>
      <c r="BK4" s="547" t="s">
        <v>122</v>
      </c>
      <c r="BL4" s="548"/>
      <c r="BM4" s="548"/>
      <c r="BN4" s="549"/>
      <c r="BO4" s="547" t="s">
        <v>122</v>
      </c>
      <c r="BP4" s="548"/>
      <c r="BQ4" s="548"/>
      <c r="BR4" s="549"/>
    </row>
    <row r="5" spans="1:70">
      <c r="A5" s="360">
        <v>45748</v>
      </c>
      <c r="B5" s="357">
        <v>0</v>
      </c>
      <c r="C5" s="310">
        <v>1</v>
      </c>
      <c r="D5" s="311" t="s">
        <v>127</v>
      </c>
      <c r="E5" s="280">
        <v>14.2</v>
      </c>
      <c r="F5" s="281">
        <v>70.319999999999993</v>
      </c>
      <c r="G5" s="282" cm="1">
        <f t="array" aca="1" ref="G5" ca="1">INDIRECT("'"&amp;$C5&amp;"'!"&amp;"$"&amp;$D5&amp;$E$1&amp;"")</f>
        <v>0</v>
      </c>
      <c r="H5" s="283" t="s">
        <v>1</v>
      </c>
      <c r="I5" s="281" t="s">
        <v>1</v>
      </c>
      <c r="J5" s="282" cm="1">
        <f t="array" aca="1" ref="J5" ca="1">INDIRECT("'"&amp;$C5&amp;"'!"&amp;"$"&amp;$D5&amp;$J$1&amp;"")</f>
        <v>6.7</v>
      </c>
      <c r="K5" s="283"/>
      <c r="L5" s="283">
        <v>0.99</v>
      </c>
      <c r="M5" s="281">
        <v>1.1299999999999999</v>
      </c>
      <c r="N5" s="282" cm="1">
        <f t="array" aca="1" ref="N5" ca="1">INDIRECT("'"&amp;$C5&amp;"'!"&amp;"$"&amp;$D5&amp;$N$1&amp;"")</f>
        <v>6.5</v>
      </c>
      <c r="O5" s="283"/>
      <c r="P5" s="283">
        <v>0.99</v>
      </c>
      <c r="Q5" s="281">
        <v>1.05</v>
      </c>
      <c r="R5" s="282" cm="1">
        <f t="array" aca="1" ref="R5" ca="1">INDIRECT("'"&amp;$C5&amp;"'!"&amp;"$"&amp;$D5&amp;$R$1&amp;"")</f>
        <v>6.5</v>
      </c>
      <c r="S5" s="283"/>
      <c r="T5" s="283">
        <v>0.99</v>
      </c>
      <c r="U5" s="281">
        <v>1.93</v>
      </c>
      <c r="V5" s="282" t="str" cm="1">
        <f t="array" aca="1" ref="V5" ca="1">INDIRECT("'"&amp;$C5&amp;"'!"&amp;"$"&amp;$D5&amp;$V$1&amp;"")</f>
        <v>CMS</v>
      </c>
      <c r="W5" s="283" t="s">
        <v>1</v>
      </c>
      <c r="X5" s="283" t="s">
        <v>1</v>
      </c>
      <c r="Y5" s="284" t="s">
        <v>1</v>
      </c>
      <c r="Z5" s="280" cm="1">
        <f t="array" aca="1" ref="Z5" ca="1">INDIRECT("'"&amp;$C5&amp;"'!"&amp;"$"&amp;$D5&amp;$Z$1&amp;"")</f>
        <v>0</v>
      </c>
      <c r="AA5" s="283" t="s">
        <v>1</v>
      </c>
      <c r="AB5" s="283" t="s">
        <v>1</v>
      </c>
      <c r="AC5" s="281" t="s">
        <v>1</v>
      </c>
      <c r="AD5" s="282" cm="1">
        <f t="array" aca="1" ref="AD5" ca="1">INDIRECT("'"&amp;$C5&amp;"'!"&amp;"$"&amp;$D5&amp;$AD$1&amp;"")</f>
        <v>0</v>
      </c>
      <c r="AE5" s="283" t="s">
        <v>1</v>
      </c>
      <c r="AF5" s="283" t="s">
        <v>1</v>
      </c>
      <c r="AG5" s="281" t="s">
        <v>1</v>
      </c>
      <c r="AH5" s="280" cm="1">
        <f t="array" aca="1" ref="AH5" ca="1">INDIRECT("'"&amp;$C5&amp;"'!"&amp;"$"&amp;$D5&amp;$AH$1&amp;"")</f>
        <v>0</v>
      </c>
      <c r="AI5" s="283" t="s">
        <v>1</v>
      </c>
      <c r="AJ5" s="283" t="s">
        <v>1</v>
      </c>
      <c r="AK5" s="281" t="s">
        <v>1</v>
      </c>
      <c r="AL5" s="280">
        <v>11.8</v>
      </c>
      <c r="AM5" s="284">
        <v>70.599999999999994</v>
      </c>
      <c r="AN5" s="280" cm="1">
        <f t="array" aca="1" ref="AN5" ca="1">INDIRECT("'"&amp;$C5&amp;"'!"&amp;"$"&amp;$D5&amp;$AL$1&amp;"")</f>
        <v>3.5</v>
      </c>
      <c r="AO5" s="283">
        <v>0.98</v>
      </c>
      <c r="AP5" s="281">
        <v>0.66</v>
      </c>
      <c r="AQ5" s="282" t="str" cm="1">
        <f t="array" aca="1" ref="AQ5" ca="1">INDIRECT("'"&amp;$C5&amp;"'!"&amp;"$"&amp;$D5&amp;$AQ$1&amp;"")</f>
        <v>CMS</v>
      </c>
      <c r="AR5" s="283" t="s">
        <v>1</v>
      </c>
      <c r="AS5" s="281" t="s">
        <v>1</v>
      </c>
      <c r="AT5" s="283" cm="1">
        <f t="array" aca="1" ref="AT5" ca="1">INDIRECT("'"&amp;$C5&amp;"'!"&amp;"$"&amp;$D5&amp;$AT$1&amp;"")</f>
        <v>0</v>
      </c>
      <c r="AU5" s="282" t="s">
        <v>1</v>
      </c>
      <c r="AV5" s="283" t="s">
        <v>1</v>
      </c>
      <c r="AW5" s="281" t="s">
        <v>1</v>
      </c>
      <c r="AX5" s="285">
        <v>14.11</v>
      </c>
      <c r="AY5" s="284">
        <v>71.489999999999995</v>
      </c>
      <c r="AZ5" s="285" cm="1">
        <f t="array" aca="1" ref="AZ5" ca="1">INDIRECT("'"&amp;$C5&amp;"'!"&amp;"$"&amp;$D5&amp;$AZ$1&amp;"")</f>
        <v>13.3</v>
      </c>
      <c r="BA5" s="283">
        <v>0.99</v>
      </c>
      <c r="BB5" s="281">
        <v>2.2000000000000002</v>
      </c>
      <c r="BC5" s="312">
        <v>69.2</v>
      </c>
      <c r="BD5" s="280" cm="1">
        <f t="array" aca="1" ref="BD5" ca="1">INDIRECT("'"&amp;$C5&amp;"'!"&amp;"$"&amp;$D5&amp;$BC$1&amp;"")</f>
        <v>2.600000000000001</v>
      </c>
      <c r="BE5" s="282">
        <v>0.98</v>
      </c>
      <c r="BF5" s="281">
        <v>0.52</v>
      </c>
      <c r="BG5" s="285" cm="1">
        <f t="array" aca="1" ref="BG5" ca="1">INDIRECT("'"&amp;$C5&amp;"'!"&amp;"$"&amp;$D5&amp;$BG$1&amp;"")</f>
        <v>0.87</v>
      </c>
      <c r="BH5" s="283"/>
      <c r="BI5" s="283">
        <v>0.99</v>
      </c>
      <c r="BJ5" s="281">
        <v>0.11</v>
      </c>
      <c r="BK5" s="285" cm="1">
        <f t="array" aca="1" ref="BK5" ca="1">INDIRECT("'"&amp;$C5&amp;"'!"&amp;"$"&amp;$D5&amp;$BK$1&amp;"")</f>
        <v>0.81</v>
      </c>
      <c r="BL5" s="283"/>
      <c r="BM5" s="283">
        <v>0.96</v>
      </c>
      <c r="BN5" s="281">
        <v>0.22</v>
      </c>
      <c r="BO5" s="373" cm="1">
        <f t="array" aca="1" ref="BO5" ca="1">INDIRECT("'"&amp;$C5&amp;"'!"&amp;"$"&amp;$D5&amp;74&amp;"")</f>
        <v>0</v>
      </c>
      <c r="BP5" s="283"/>
      <c r="BQ5" s="283" t="s">
        <v>1</v>
      </c>
      <c r="BR5" s="281" t="s">
        <v>1</v>
      </c>
    </row>
    <row r="6" spans="1:70">
      <c r="A6" s="361">
        <v>45748</v>
      </c>
      <c r="B6" s="358">
        <v>4.1666666666666699E-2</v>
      </c>
      <c r="C6" s="313">
        <v>1</v>
      </c>
      <c r="D6" s="314" t="s">
        <v>128</v>
      </c>
      <c r="E6" s="286">
        <v>14.2</v>
      </c>
      <c r="F6" s="287">
        <v>70.39</v>
      </c>
      <c r="G6" s="288" cm="1">
        <f t="array" aca="1" ref="G6" ca="1">INDIRECT("'"&amp;$C6&amp;"'!"&amp;"$"&amp;$D6&amp;$E$1&amp;"")</f>
        <v>0</v>
      </c>
      <c r="H6" s="289" t="s">
        <v>1</v>
      </c>
      <c r="I6" s="287" t="s">
        <v>1</v>
      </c>
      <c r="J6" s="288" cm="1">
        <f t="array" aca="1" ref="J6" ca="1">INDIRECT("'"&amp;$C6&amp;"'!"&amp;"$"&amp;$D6&amp;$J$1&amp;"")</f>
        <v>1.4</v>
      </c>
      <c r="K6" s="289"/>
      <c r="L6" s="289">
        <v>0.98</v>
      </c>
      <c r="M6" s="287">
        <v>1.27</v>
      </c>
      <c r="N6" s="288" cm="1">
        <f t="array" aca="1" ref="N6" ca="1">INDIRECT("'"&amp;$C6&amp;"'!"&amp;"$"&amp;$D6&amp;$N$1&amp;"")</f>
        <v>7.1</v>
      </c>
      <c r="O6" s="289"/>
      <c r="P6" s="289">
        <v>0.99</v>
      </c>
      <c r="Q6" s="287">
        <v>1.1499999999999999</v>
      </c>
      <c r="R6" s="288" cm="1">
        <f t="array" aca="1" ref="R6" ca="1">INDIRECT("'"&amp;$C6&amp;"'!"&amp;"$"&amp;$D6&amp;$R$1&amp;"")</f>
        <v>7.1</v>
      </c>
      <c r="S6" s="289"/>
      <c r="T6" s="289">
        <v>0.98</v>
      </c>
      <c r="U6" s="287">
        <v>1.53</v>
      </c>
      <c r="V6" s="288" t="str" cm="1">
        <f t="array" aca="1" ref="V6" ca="1">INDIRECT("'"&amp;$C6&amp;"'!"&amp;"$"&amp;$D6&amp;$V$1&amp;"")</f>
        <v>CMS</v>
      </c>
      <c r="W6" s="289" t="s">
        <v>1</v>
      </c>
      <c r="X6" s="289" t="s">
        <v>1</v>
      </c>
      <c r="Y6" s="290" t="s">
        <v>1</v>
      </c>
      <c r="Z6" s="286" cm="1">
        <f t="array" aca="1" ref="Z6" ca="1">INDIRECT("'"&amp;$C6&amp;"'!"&amp;"$"&amp;$D6&amp;$Z$1&amp;"")</f>
        <v>0</v>
      </c>
      <c r="AA6" s="289" t="s">
        <v>1</v>
      </c>
      <c r="AB6" s="289" t="s">
        <v>1</v>
      </c>
      <c r="AC6" s="287" t="s">
        <v>1</v>
      </c>
      <c r="AD6" s="288" cm="1">
        <f t="array" aca="1" ref="AD6" ca="1">INDIRECT("'"&amp;$C6&amp;"'!"&amp;"$"&amp;$D6&amp;$AD$1&amp;"")</f>
        <v>0</v>
      </c>
      <c r="AE6" s="289" t="s">
        <v>1</v>
      </c>
      <c r="AF6" s="289" t="s">
        <v>1</v>
      </c>
      <c r="AG6" s="290" t="s">
        <v>1</v>
      </c>
      <c r="AH6" s="286" cm="1">
        <f t="array" aca="1" ref="AH6" ca="1">INDIRECT("'"&amp;$C6&amp;"'!"&amp;"$"&amp;$D6&amp;$AH$1&amp;"")</f>
        <v>0</v>
      </c>
      <c r="AI6" s="289" t="s">
        <v>1</v>
      </c>
      <c r="AJ6" s="289" t="s">
        <v>1</v>
      </c>
      <c r="AK6" s="287" t="s">
        <v>1</v>
      </c>
      <c r="AL6" s="286">
        <v>11.8</v>
      </c>
      <c r="AM6" s="290">
        <v>70.7</v>
      </c>
      <c r="AN6" s="286" cm="1">
        <f t="array" aca="1" ref="AN6" ca="1">INDIRECT("'"&amp;$C6&amp;"'!"&amp;"$"&amp;$D6&amp;$AL$1&amp;"")</f>
        <v>4.0999999999999996</v>
      </c>
      <c r="AO6" s="289">
        <v>0.98</v>
      </c>
      <c r="AP6" s="287">
        <v>0.45</v>
      </c>
      <c r="AQ6" s="288" t="str" cm="1">
        <f t="array" aca="1" ref="AQ6" ca="1">INDIRECT("'"&amp;$C6&amp;"'!"&amp;"$"&amp;$D6&amp;$AQ$1&amp;"")</f>
        <v>CMS</v>
      </c>
      <c r="AR6" s="289" t="s">
        <v>1</v>
      </c>
      <c r="AS6" s="287" t="s">
        <v>1</v>
      </c>
      <c r="AT6" s="289" cm="1">
        <f t="array" aca="1" ref="AT6" ca="1">INDIRECT("'"&amp;$C6&amp;"'!"&amp;"$"&amp;$D6&amp;$AT$1&amp;"")</f>
        <v>0</v>
      </c>
      <c r="AU6" s="288" t="s">
        <v>1</v>
      </c>
      <c r="AV6" s="289" t="s">
        <v>1</v>
      </c>
      <c r="AW6" s="287" t="s">
        <v>1</v>
      </c>
      <c r="AX6" s="291">
        <v>14.15</v>
      </c>
      <c r="AY6" s="290">
        <v>71.760000000000005</v>
      </c>
      <c r="AZ6" s="291" cm="1">
        <f t="array" aca="1" ref="AZ6" ca="1">INDIRECT("'"&amp;$C6&amp;"'!"&amp;"$"&amp;$D6&amp;$AZ$1&amp;"")</f>
        <v>14.29</v>
      </c>
      <c r="BA6" s="289">
        <v>0.99</v>
      </c>
      <c r="BB6" s="287">
        <v>2.2999999999999998</v>
      </c>
      <c r="BC6" s="292">
        <v>69.400000000000006</v>
      </c>
      <c r="BD6" s="286" cm="1">
        <f t="array" aca="1" ref="BD6" ca="1">INDIRECT("'"&amp;$C6&amp;"'!"&amp;"$"&amp;$D6&amp;$BC$1&amp;"")</f>
        <v>2.52</v>
      </c>
      <c r="BE6" s="288">
        <v>0.99</v>
      </c>
      <c r="BF6" s="287">
        <v>0.35</v>
      </c>
      <c r="BG6" s="291" cm="1">
        <f t="array" aca="1" ref="BG6" ca="1">INDIRECT("'"&amp;$C6&amp;"'!"&amp;"$"&amp;$D6&amp;$BG$1&amp;"")</f>
        <v>0.84</v>
      </c>
      <c r="BH6" s="289"/>
      <c r="BI6" s="289">
        <v>0.99</v>
      </c>
      <c r="BJ6" s="287">
        <v>0.1</v>
      </c>
      <c r="BK6" s="291" cm="1">
        <f t="array" aca="1" ref="BK6" ca="1">INDIRECT("'"&amp;$C6&amp;"'!"&amp;"$"&amp;$D6&amp;$BK$1&amp;"")</f>
        <v>0.77</v>
      </c>
      <c r="BL6" s="289"/>
      <c r="BM6" s="289">
        <v>0.96</v>
      </c>
      <c r="BN6" s="287">
        <v>0.21</v>
      </c>
      <c r="BO6" s="292" cm="1">
        <f t="array" aca="1" ref="BO6" ca="1">INDIRECT("'"&amp;$C6&amp;"'!"&amp;"$"&amp;$D6&amp;74&amp;"")</f>
        <v>0</v>
      </c>
      <c r="BP6" s="289"/>
      <c r="BQ6" s="289" t="s">
        <v>1</v>
      </c>
      <c r="BR6" s="287" t="s">
        <v>1</v>
      </c>
    </row>
    <row r="7" spans="1:70">
      <c r="A7" s="361">
        <v>45748</v>
      </c>
      <c r="B7" s="358">
        <v>8.3333333333333301E-2</v>
      </c>
      <c r="C7" s="313">
        <v>1</v>
      </c>
      <c r="D7" s="314" t="s">
        <v>129</v>
      </c>
      <c r="E7" s="293">
        <v>14.2</v>
      </c>
      <c r="F7" s="294">
        <v>70.59</v>
      </c>
      <c r="G7" s="295" cm="1">
        <f t="array" aca="1" ref="G7" ca="1">INDIRECT("'"&amp;$C7&amp;"'!"&amp;"$"&amp;$D7&amp;$E$1&amp;"")</f>
        <v>0</v>
      </c>
      <c r="H7" s="296" t="s">
        <v>1</v>
      </c>
      <c r="I7" s="294" t="s">
        <v>1</v>
      </c>
      <c r="J7" s="295" cm="1">
        <f t="array" aca="1" ref="J7" ca="1">INDIRECT("'"&amp;$C7&amp;"'!"&amp;"$"&amp;$D7&amp;$J$1&amp;"")</f>
        <v>0</v>
      </c>
      <c r="K7" s="296"/>
      <c r="L7" s="296" t="s">
        <v>1</v>
      </c>
      <c r="M7" s="294" t="s">
        <v>1</v>
      </c>
      <c r="N7" s="295" cm="1">
        <f t="array" aca="1" ref="N7" ca="1">INDIRECT("'"&amp;$C7&amp;"'!"&amp;"$"&amp;$D7&amp;$N$1&amp;"")</f>
        <v>6.8</v>
      </c>
      <c r="O7" s="296"/>
      <c r="P7" s="296">
        <v>0.99</v>
      </c>
      <c r="Q7" s="294">
        <v>1.07</v>
      </c>
      <c r="R7" s="295" cm="1">
        <f t="array" aca="1" ref="R7" ca="1">INDIRECT("'"&amp;$C7&amp;"'!"&amp;"$"&amp;$D7&amp;$R$1&amp;"")</f>
        <v>6.8</v>
      </c>
      <c r="S7" s="296"/>
      <c r="T7" s="296">
        <v>0.98</v>
      </c>
      <c r="U7" s="294">
        <v>1.38</v>
      </c>
      <c r="V7" s="295" t="str" cm="1">
        <f t="array" aca="1" ref="V7" ca="1">INDIRECT("'"&amp;$C7&amp;"'!"&amp;"$"&amp;$D7&amp;$V$1&amp;"")</f>
        <v>CMS</v>
      </c>
      <c r="W7" s="296" t="s">
        <v>1</v>
      </c>
      <c r="X7" s="296" t="s">
        <v>1</v>
      </c>
      <c r="Y7" s="297" t="s">
        <v>1</v>
      </c>
      <c r="Z7" s="293">
        <v>0</v>
      </c>
      <c r="AA7" s="296" t="s">
        <v>1</v>
      </c>
      <c r="AB7" s="296" t="s">
        <v>1</v>
      </c>
      <c r="AC7" s="294" t="s">
        <v>1</v>
      </c>
      <c r="AD7" s="295" cm="1">
        <f t="array" aca="1" ref="AD7" ca="1">INDIRECT("'"&amp;$C7&amp;"'!"&amp;"$"&amp;$D7&amp;$AD$1&amp;"")</f>
        <v>0</v>
      </c>
      <c r="AE7" s="296" t="s">
        <v>1</v>
      </c>
      <c r="AF7" s="296" t="s">
        <v>1</v>
      </c>
      <c r="AG7" s="297" t="s">
        <v>1</v>
      </c>
      <c r="AH7" s="293" cm="1">
        <f t="array" aca="1" ref="AH7" ca="1">INDIRECT("'"&amp;$C7&amp;"'!"&amp;"$"&amp;$D7&amp;$AH$1&amp;"")</f>
        <v>0</v>
      </c>
      <c r="AI7" s="296" t="s">
        <v>1</v>
      </c>
      <c r="AJ7" s="296" t="s">
        <v>1</v>
      </c>
      <c r="AK7" s="297" t="s">
        <v>1</v>
      </c>
      <c r="AL7" s="293">
        <v>11.8</v>
      </c>
      <c r="AM7" s="297">
        <v>70.7</v>
      </c>
      <c r="AN7" s="293" cm="1">
        <f t="array" aca="1" ref="AN7" ca="1">INDIRECT("'"&amp;$C7&amp;"'!"&amp;"$"&amp;$D7&amp;$AL$1&amp;"")</f>
        <v>4.3</v>
      </c>
      <c r="AO7" s="296">
        <v>1</v>
      </c>
      <c r="AP7" s="294">
        <v>0.2</v>
      </c>
      <c r="AQ7" s="295" t="str" cm="1">
        <f t="array" aca="1" ref="AQ7" ca="1">INDIRECT("'"&amp;$C7&amp;"'!"&amp;"$"&amp;$D7&amp;$AQ$1&amp;"")</f>
        <v>CMS</v>
      </c>
      <c r="AR7" s="296" t="s">
        <v>1</v>
      </c>
      <c r="AS7" s="294" t="s">
        <v>1</v>
      </c>
      <c r="AT7" s="296" cm="1">
        <f t="array" aca="1" ref="AT7" ca="1">INDIRECT("'"&amp;$C7&amp;"'!"&amp;"$"&amp;$D7&amp;$AT$1&amp;"")</f>
        <v>0</v>
      </c>
      <c r="AU7" s="295" t="s">
        <v>1</v>
      </c>
      <c r="AV7" s="296" t="s">
        <v>1</v>
      </c>
      <c r="AW7" s="294" t="s">
        <v>1</v>
      </c>
      <c r="AX7" s="298">
        <v>14.22</v>
      </c>
      <c r="AY7" s="297">
        <v>72.05</v>
      </c>
      <c r="AZ7" s="298" cm="1">
        <f t="array" aca="1" ref="AZ7" ca="1">INDIRECT("'"&amp;$C7&amp;"'!"&amp;"$"&amp;$D7&amp;$AZ$1&amp;"")</f>
        <v>14.29</v>
      </c>
      <c r="BA7" s="296">
        <v>0.99</v>
      </c>
      <c r="BB7" s="294">
        <v>2.2999999999999998</v>
      </c>
      <c r="BC7" s="299">
        <v>69.5</v>
      </c>
      <c r="BD7" s="293" cm="1">
        <f t="array" aca="1" ref="BD7" ca="1">INDIRECT("'"&amp;$C7&amp;"'!"&amp;"$"&amp;$D7&amp;$BC$1&amp;"")</f>
        <v>2.8</v>
      </c>
      <c r="BE7" s="295">
        <v>0.98</v>
      </c>
      <c r="BF7" s="294">
        <v>0.56000000000000005</v>
      </c>
      <c r="BG7" s="298" cm="1">
        <f t="array" aca="1" ref="BG7" ca="1">INDIRECT("'"&amp;$C7&amp;"'!"&amp;"$"&amp;$D7&amp;$BG$1&amp;"")</f>
        <v>0.82</v>
      </c>
      <c r="BH7" s="296"/>
      <c r="BI7" s="296">
        <v>0.99</v>
      </c>
      <c r="BJ7" s="294">
        <v>0.1</v>
      </c>
      <c r="BK7" s="298" cm="1">
        <f t="array" aca="1" ref="BK7" ca="1">INDIRECT("'"&amp;$C7&amp;"'!"&amp;"$"&amp;$D7&amp;$BK$1&amp;"")</f>
        <v>0.77</v>
      </c>
      <c r="BL7" s="296"/>
      <c r="BM7" s="296">
        <v>0.96</v>
      </c>
      <c r="BN7" s="294">
        <v>0.21</v>
      </c>
      <c r="BO7" s="299" cm="1">
        <f t="array" aca="1" ref="BO7" ca="1">INDIRECT("'"&amp;$C7&amp;"'!"&amp;"$"&amp;$D7&amp;74&amp;"")</f>
        <v>0</v>
      </c>
      <c r="BP7" s="296"/>
      <c r="BQ7" s="296" t="s">
        <v>1</v>
      </c>
      <c r="BR7" s="294" t="s">
        <v>1</v>
      </c>
    </row>
    <row r="8" spans="1:70">
      <c r="A8" s="361">
        <v>45748</v>
      </c>
      <c r="B8" s="358">
        <v>0.125</v>
      </c>
      <c r="C8" s="313">
        <v>1</v>
      </c>
      <c r="D8" s="314" t="s">
        <v>130</v>
      </c>
      <c r="E8" s="286">
        <v>14.1</v>
      </c>
      <c r="F8" s="287">
        <v>70.209999999999994</v>
      </c>
      <c r="G8" s="288" cm="1">
        <f t="array" aca="1" ref="G8" ca="1">INDIRECT("'"&amp;$C8&amp;"'!"&amp;"$"&amp;$D8&amp;$E$1&amp;"")</f>
        <v>0</v>
      </c>
      <c r="H8" s="289" t="s">
        <v>1</v>
      </c>
      <c r="I8" s="287" t="s">
        <v>1</v>
      </c>
      <c r="J8" s="288" cm="1">
        <f t="array" aca="1" ref="J8" ca="1">INDIRECT("'"&amp;$C8&amp;"'!"&amp;"$"&amp;$D8&amp;$J$1&amp;"")</f>
        <v>0</v>
      </c>
      <c r="K8" s="289"/>
      <c r="L8" s="289" t="s">
        <v>1</v>
      </c>
      <c r="M8" s="287" t="s">
        <v>1</v>
      </c>
      <c r="N8" s="288" cm="1">
        <f t="array" aca="1" ref="N8" ca="1">INDIRECT("'"&amp;$C8&amp;"'!"&amp;"$"&amp;$D8&amp;$N$1&amp;"")</f>
        <v>6.7</v>
      </c>
      <c r="O8" s="289"/>
      <c r="P8" s="289">
        <v>0.99</v>
      </c>
      <c r="Q8" s="287">
        <v>1.06</v>
      </c>
      <c r="R8" s="288" cm="1">
        <f t="array" aca="1" ref="R8" ca="1">INDIRECT("'"&amp;$C8&amp;"'!"&amp;"$"&amp;$D8&amp;$R$1&amp;"")</f>
        <v>6.7</v>
      </c>
      <c r="S8" s="289"/>
      <c r="T8" s="289">
        <v>0.97</v>
      </c>
      <c r="U8" s="287">
        <v>1.58</v>
      </c>
      <c r="V8" s="288" t="str" cm="1">
        <f t="array" aca="1" ref="V8" ca="1">INDIRECT("'"&amp;$C8&amp;"'!"&amp;"$"&amp;$D8&amp;$V$1&amp;"")</f>
        <v>CMS</v>
      </c>
      <c r="W8" s="289" t="s">
        <v>1</v>
      </c>
      <c r="X8" s="289" t="s">
        <v>1</v>
      </c>
      <c r="Y8" s="290" t="s">
        <v>1</v>
      </c>
      <c r="Z8" s="286" cm="1">
        <f t="array" aca="1" ref="Z8" ca="1">INDIRECT("'"&amp;$C8&amp;"'!"&amp;"$"&amp;$D8&amp;$Z$1&amp;"")</f>
        <v>0</v>
      </c>
      <c r="AA8" s="289" t="s">
        <v>1</v>
      </c>
      <c r="AB8" s="289" t="s">
        <v>1</v>
      </c>
      <c r="AC8" s="287" t="s">
        <v>1</v>
      </c>
      <c r="AD8" s="288" cm="1">
        <f t="array" aca="1" ref="AD8" ca="1">INDIRECT("'"&amp;$C8&amp;"'!"&amp;"$"&amp;$D8&amp;$AD$1&amp;"")</f>
        <v>0</v>
      </c>
      <c r="AE8" s="289" t="s">
        <v>1</v>
      </c>
      <c r="AF8" s="289" t="s">
        <v>1</v>
      </c>
      <c r="AG8" s="290" t="s">
        <v>1</v>
      </c>
      <c r="AH8" s="286" cm="1">
        <f t="array" aca="1" ref="AH8" ca="1">INDIRECT("'"&amp;$C8&amp;"'!"&amp;"$"&amp;$D8&amp;$AH$1&amp;"")</f>
        <v>0</v>
      </c>
      <c r="AI8" s="289" t="s">
        <v>1</v>
      </c>
      <c r="AJ8" s="289" t="s">
        <v>1</v>
      </c>
      <c r="AK8" s="287" t="s">
        <v>1</v>
      </c>
      <c r="AL8" s="286">
        <v>11.8</v>
      </c>
      <c r="AM8" s="290">
        <v>70.5</v>
      </c>
      <c r="AN8" s="286" cm="1">
        <f t="array" aca="1" ref="AN8" ca="1">INDIRECT("'"&amp;$C8&amp;"'!"&amp;"$"&amp;$D8&amp;$AL$1&amp;"")</f>
        <v>4.4000000000000004</v>
      </c>
      <c r="AO8" s="289">
        <v>0.98</v>
      </c>
      <c r="AP8" s="287">
        <v>0.65</v>
      </c>
      <c r="AQ8" s="288" t="str" cm="1">
        <f t="array" aca="1" ref="AQ8" ca="1">INDIRECT("'"&amp;$C8&amp;"'!"&amp;"$"&amp;$D8&amp;$AQ$1&amp;"")</f>
        <v>CMS</v>
      </c>
      <c r="AR8" s="289" t="s">
        <v>1</v>
      </c>
      <c r="AS8" s="287" t="s">
        <v>1</v>
      </c>
      <c r="AT8" s="289" cm="1">
        <f t="array" aca="1" ref="AT8" ca="1">INDIRECT("'"&amp;$C8&amp;"'!"&amp;"$"&amp;$D8&amp;$AT$1&amp;"")</f>
        <v>0</v>
      </c>
      <c r="AU8" s="288" t="s">
        <v>1</v>
      </c>
      <c r="AV8" s="289" t="s">
        <v>1</v>
      </c>
      <c r="AW8" s="287" t="s">
        <v>1</v>
      </c>
      <c r="AX8" s="291">
        <v>14.02</v>
      </c>
      <c r="AY8" s="290">
        <v>71.39</v>
      </c>
      <c r="AZ8" s="291" cm="1">
        <f t="array" aca="1" ref="AZ8" ca="1">INDIRECT("'"&amp;$C8&amp;"'!"&amp;"$"&amp;$D8&amp;$AZ$1&amp;"")</f>
        <v>14.3</v>
      </c>
      <c r="BA8" s="289">
        <v>1</v>
      </c>
      <c r="BB8" s="287">
        <v>1.3</v>
      </c>
      <c r="BC8" s="292">
        <v>69.400000000000006</v>
      </c>
      <c r="BD8" s="286" cm="1">
        <f t="array" aca="1" ref="BD8" ca="1">INDIRECT("'"&amp;$C8&amp;"'!"&amp;"$"&amp;$D8&amp;$BC$1&amp;"")</f>
        <v>1.33</v>
      </c>
      <c r="BE8" s="288">
        <v>0.98</v>
      </c>
      <c r="BF8" s="287">
        <v>0.27</v>
      </c>
      <c r="BG8" s="291" cm="1">
        <f t="array" aca="1" ref="BG8" ca="1">INDIRECT("'"&amp;$C8&amp;"'!"&amp;"$"&amp;$D8&amp;$BG$1&amp;"")</f>
        <v>0.8</v>
      </c>
      <c r="BH8" s="289"/>
      <c r="BI8" s="289">
        <v>0.99</v>
      </c>
      <c r="BJ8" s="287">
        <v>0.1</v>
      </c>
      <c r="BK8" s="291" cm="1">
        <f t="array" aca="1" ref="BK8" ca="1">INDIRECT("'"&amp;$C8&amp;"'!"&amp;"$"&amp;$D8&amp;$BK$1&amp;"")</f>
        <v>0.73</v>
      </c>
      <c r="BL8" s="289"/>
      <c r="BM8" s="289">
        <v>0.96</v>
      </c>
      <c r="BN8" s="287">
        <v>0.21</v>
      </c>
      <c r="BO8" s="292" cm="1">
        <f t="array" aca="1" ref="BO8" ca="1">INDIRECT("'"&amp;$C8&amp;"'!"&amp;"$"&amp;$D8&amp;74&amp;"")</f>
        <v>0</v>
      </c>
      <c r="BP8" s="289"/>
      <c r="BQ8" s="289" t="s">
        <v>1</v>
      </c>
      <c r="BR8" s="287" t="s">
        <v>1</v>
      </c>
    </row>
    <row r="9" spans="1:70">
      <c r="A9" s="361">
        <v>45748</v>
      </c>
      <c r="B9" s="358">
        <v>0.16666666666666699</v>
      </c>
      <c r="C9" s="313">
        <v>1</v>
      </c>
      <c r="D9" s="314" t="s">
        <v>131</v>
      </c>
      <c r="E9" s="293">
        <v>14.1</v>
      </c>
      <c r="F9" s="294">
        <v>70.06</v>
      </c>
      <c r="G9" s="295" cm="1">
        <f t="array" aca="1" ref="G9" ca="1">INDIRECT("'"&amp;$C9&amp;"'!"&amp;"$"&amp;$D9&amp;$E$1&amp;"")</f>
        <v>0</v>
      </c>
      <c r="H9" s="296" t="s">
        <v>1</v>
      </c>
      <c r="I9" s="294" t="s">
        <v>1</v>
      </c>
      <c r="J9" s="295" cm="1">
        <f t="array" aca="1" ref="J9" ca="1">INDIRECT("'"&amp;$C9&amp;"'!"&amp;"$"&amp;$D9&amp;$J$1&amp;"")</f>
        <v>0</v>
      </c>
      <c r="K9" s="296"/>
      <c r="L9" s="296" t="s">
        <v>1</v>
      </c>
      <c r="M9" s="294" t="s">
        <v>1</v>
      </c>
      <c r="N9" s="295" cm="1">
        <f t="array" aca="1" ref="N9" ca="1">INDIRECT("'"&amp;$C9&amp;"'!"&amp;"$"&amp;$D9&amp;$N$1&amp;"")</f>
        <v>6.7</v>
      </c>
      <c r="O9" s="296"/>
      <c r="P9" s="296">
        <v>0.99</v>
      </c>
      <c r="Q9" s="294">
        <v>1.08</v>
      </c>
      <c r="R9" s="295" cm="1">
        <f t="array" aca="1" ref="R9" ca="1">INDIRECT("'"&amp;$C9&amp;"'!"&amp;"$"&amp;$D9&amp;$R$1&amp;"")</f>
        <v>6.7</v>
      </c>
      <c r="S9" s="296"/>
      <c r="T9" s="296">
        <v>0.96</v>
      </c>
      <c r="U9" s="294">
        <v>1.86</v>
      </c>
      <c r="V9" s="295" t="str" cm="1">
        <f t="array" aca="1" ref="V9" ca="1">INDIRECT("'"&amp;$C9&amp;"'!"&amp;"$"&amp;$D9&amp;$V$1&amp;"")</f>
        <v>CMS</v>
      </c>
      <c r="W9" s="296" t="s">
        <v>1</v>
      </c>
      <c r="X9" s="296" t="s">
        <v>1</v>
      </c>
      <c r="Y9" s="297" t="s">
        <v>1</v>
      </c>
      <c r="Z9" s="293" cm="1">
        <f t="array" aca="1" ref="Z9" ca="1">INDIRECT("'"&amp;$C9&amp;"'!"&amp;"$"&amp;$D9&amp;$Z$1&amp;"")</f>
        <v>0</v>
      </c>
      <c r="AA9" s="296" t="s">
        <v>1</v>
      </c>
      <c r="AB9" s="296" t="s">
        <v>1</v>
      </c>
      <c r="AC9" s="294" t="s">
        <v>1</v>
      </c>
      <c r="AD9" s="295" cm="1">
        <f t="array" aca="1" ref="AD9" ca="1">INDIRECT("'"&amp;$C9&amp;"'!"&amp;"$"&amp;$D9&amp;$AD$1&amp;"")</f>
        <v>0</v>
      </c>
      <c r="AE9" s="296" t="s">
        <v>1</v>
      </c>
      <c r="AF9" s="296" t="s">
        <v>1</v>
      </c>
      <c r="AG9" s="297" t="s">
        <v>1</v>
      </c>
      <c r="AH9" s="293" cm="1">
        <f t="array" aca="1" ref="AH9" ca="1">INDIRECT("'"&amp;$C9&amp;"'!"&amp;"$"&amp;$D9&amp;$AH$1&amp;"")</f>
        <v>0</v>
      </c>
      <c r="AI9" s="296" t="s">
        <v>1</v>
      </c>
      <c r="AJ9" s="296" t="s">
        <v>1</v>
      </c>
      <c r="AK9" s="294" t="s">
        <v>1</v>
      </c>
      <c r="AL9" s="293">
        <v>11.8</v>
      </c>
      <c r="AM9" s="297">
        <v>70.5</v>
      </c>
      <c r="AN9" s="293" cm="1">
        <f t="array" aca="1" ref="AN9" ca="1">INDIRECT("'"&amp;$C9&amp;"'!"&amp;"$"&amp;$D9&amp;$AL$1&amp;"")</f>
        <v>4</v>
      </c>
      <c r="AO9" s="296">
        <v>0.98</v>
      </c>
      <c r="AP9" s="294">
        <v>0.75</v>
      </c>
      <c r="AQ9" s="295" t="str" cm="1">
        <f t="array" aca="1" ref="AQ9" ca="1">INDIRECT("'"&amp;$C9&amp;"'!"&amp;"$"&amp;$D9&amp;$AQ$1&amp;"")</f>
        <v>CMS</v>
      </c>
      <c r="AR9" s="296" t="s">
        <v>1</v>
      </c>
      <c r="AS9" s="294" t="s">
        <v>1</v>
      </c>
      <c r="AT9" s="296" cm="1">
        <f t="array" aca="1" ref="AT9" ca="1">INDIRECT("'"&amp;$C9&amp;"'!"&amp;"$"&amp;$D9&amp;$AT$1&amp;"")</f>
        <v>0</v>
      </c>
      <c r="AU9" s="295" t="s">
        <v>1</v>
      </c>
      <c r="AV9" s="296" t="s">
        <v>1</v>
      </c>
      <c r="AW9" s="294" t="s">
        <v>1</v>
      </c>
      <c r="AX9" s="298">
        <v>14.02</v>
      </c>
      <c r="AY9" s="297">
        <v>71.37</v>
      </c>
      <c r="AZ9" s="298" cm="1">
        <f t="array" aca="1" ref="AZ9" ca="1">INDIRECT("'"&amp;$C9&amp;"'!"&amp;"$"&amp;$D9&amp;$AZ$1&amp;"")</f>
        <v>14.28</v>
      </c>
      <c r="BA9" s="296">
        <v>1</v>
      </c>
      <c r="BB9" s="294">
        <v>1.3</v>
      </c>
      <c r="BC9" s="299">
        <v>69.2</v>
      </c>
      <c r="BD9" s="293" cm="1">
        <f t="array" aca="1" ref="BD9" ca="1">INDIRECT("'"&amp;$C9&amp;"'!"&amp;"$"&amp;$D9&amp;$BC$1&amp;"")</f>
        <v>0.7</v>
      </c>
      <c r="BE9" s="295">
        <v>0.98</v>
      </c>
      <c r="BF9" s="294">
        <v>0.14000000000000001</v>
      </c>
      <c r="BG9" s="298" cm="1">
        <f t="array" aca="1" ref="BG9" ca="1">INDIRECT("'"&amp;$C9&amp;"'!"&amp;"$"&amp;$D9&amp;$BG$1&amp;"")</f>
        <v>0.79</v>
      </c>
      <c r="BH9" s="296"/>
      <c r="BI9" s="296">
        <v>0.99</v>
      </c>
      <c r="BJ9" s="294">
        <v>0.1</v>
      </c>
      <c r="BK9" s="298" cm="1">
        <f t="array" aca="1" ref="BK9" ca="1">INDIRECT("'"&amp;$C9&amp;"'!"&amp;"$"&amp;$D9&amp;$BK$1&amp;"")</f>
        <v>0.71</v>
      </c>
      <c r="BL9" s="296"/>
      <c r="BM9" s="296">
        <v>0.96</v>
      </c>
      <c r="BN9" s="294">
        <v>0.19</v>
      </c>
      <c r="BO9" s="299" cm="1">
        <f t="array" aca="1" ref="BO9" ca="1">INDIRECT("'"&amp;$C9&amp;"'!"&amp;"$"&amp;$D9&amp;74&amp;"")</f>
        <v>0</v>
      </c>
      <c r="BP9" s="296"/>
      <c r="BQ9" s="296" t="s">
        <v>1</v>
      </c>
      <c r="BR9" s="294" t="s">
        <v>1</v>
      </c>
    </row>
    <row r="10" spans="1:70">
      <c r="A10" s="361">
        <v>45748</v>
      </c>
      <c r="B10" s="358">
        <v>0.20833333333333301</v>
      </c>
      <c r="C10" s="313">
        <v>1</v>
      </c>
      <c r="D10" s="314" t="s">
        <v>132</v>
      </c>
      <c r="E10" s="286">
        <v>14.2</v>
      </c>
      <c r="F10" s="287">
        <v>70.209999999999994</v>
      </c>
      <c r="G10" s="288" cm="1">
        <f t="array" aca="1" ref="G10" ca="1">INDIRECT("'"&amp;$C10&amp;"'!"&amp;"$"&amp;$D10&amp;$E$1&amp;"")</f>
        <v>0</v>
      </c>
      <c r="H10" s="289" t="s">
        <v>1</v>
      </c>
      <c r="I10" s="287" t="s">
        <v>1</v>
      </c>
      <c r="J10" s="288" cm="1">
        <f t="array" aca="1" ref="J10" ca="1">INDIRECT("'"&amp;$C10&amp;"'!"&amp;"$"&amp;$D10&amp;$J$1&amp;"")</f>
        <v>0</v>
      </c>
      <c r="K10" s="289"/>
      <c r="L10" s="289" t="s">
        <v>1</v>
      </c>
      <c r="M10" s="287" t="s">
        <v>1</v>
      </c>
      <c r="N10" s="288" cm="1">
        <f t="array" aca="1" ref="N10" ca="1">INDIRECT("'"&amp;$C10&amp;"'!"&amp;"$"&amp;$D10&amp;$N$1&amp;"")</f>
        <v>6.7</v>
      </c>
      <c r="O10" s="289"/>
      <c r="P10" s="289">
        <v>0.98</v>
      </c>
      <c r="Q10" s="287">
        <v>1.45</v>
      </c>
      <c r="R10" s="288" cm="1">
        <f t="array" aca="1" ref="R10" ca="1">INDIRECT("'"&amp;$C10&amp;"'!"&amp;"$"&amp;$D10&amp;$R$1&amp;"")</f>
        <v>6.7</v>
      </c>
      <c r="S10" s="289"/>
      <c r="T10" s="289">
        <v>0.98</v>
      </c>
      <c r="U10" s="287">
        <v>1.46</v>
      </c>
      <c r="V10" s="288" t="str" cm="1">
        <f t="array" aca="1" ref="V10" ca="1">INDIRECT("'"&amp;$C10&amp;"'!"&amp;"$"&amp;$D10&amp;$V$1&amp;"")</f>
        <v>CMS</v>
      </c>
      <c r="W10" s="289" t="s">
        <v>1</v>
      </c>
      <c r="X10" s="289" t="s">
        <v>1</v>
      </c>
      <c r="Y10" s="290" t="s">
        <v>1</v>
      </c>
      <c r="Z10" s="286" cm="1">
        <f t="array" aca="1" ref="Z10" ca="1">INDIRECT("'"&amp;$C10&amp;"'!"&amp;"$"&amp;$D10&amp;$Z$1&amp;"")</f>
        <v>0</v>
      </c>
      <c r="AA10" s="289" t="s">
        <v>1</v>
      </c>
      <c r="AB10" s="289" t="s">
        <v>1</v>
      </c>
      <c r="AC10" s="287" t="s">
        <v>1</v>
      </c>
      <c r="AD10" s="288" cm="1">
        <f t="array" aca="1" ref="AD10" ca="1">INDIRECT("'"&amp;$C10&amp;"'!"&amp;"$"&amp;$D10&amp;$AD$1&amp;"")</f>
        <v>0</v>
      </c>
      <c r="AE10" s="289" t="s">
        <v>1</v>
      </c>
      <c r="AF10" s="289" t="s">
        <v>1</v>
      </c>
      <c r="AG10" s="290" t="s">
        <v>1</v>
      </c>
      <c r="AH10" s="286" cm="1">
        <f t="array" aca="1" ref="AH10" ca="1">INDIRECT("'"&amp;$C10&amp;"'!"&amp;"$"&amp;$D10&amp;$AH$1&amp;"")</f>
        <v>0</v>
      </c>
      <c r="AI10" s="289" t="s">
        <v>1</v>
      </c>
      <c r="AJ10" s="289" t="s">
        <v>1</v>
      </c>
      <c r="AK10" s="287" t="s">
        <v>1</v>
      </c>
      <c r="AL10" s="286">
        <v>11.8</v>
      </c>
      <c r="AM10" s="290">
        <v>70.5</v>
      </c>
      <c r="AN10" s="286" cm="1">
        <f t="array" aca="1" ref="AN10" ca="1">INDIRECT("'"&amp;$C10&amp;"'!"&amp;"$"&amp;$D10&amp;$AL$1&amp;"")</f>
        <v>3.9</v>
      </c>
      <c r="AO10" s="289">
        <v>0.98</v>
      </c>
      <c r="AP10" s="287">
        <v>0.69</v>
      </c>
      <c r="AQ10" s="288" t="str" cm="1">
        <f t="array" aca="1" ref="AQ10" ca="1">INDIRECT("'"&amp;$C10&amp;"'!"&amp;"$"&amp;$D10&amp;$AQ$1&amp;"")</f>
        <v>CMS</v>
      </c>
      <c r="AR10" s="289" t="s">
        <v>1</v>
      </c>
      <c r="AS10" s="287" t="s">
        <v>1</v>
      </c>
      <c r="AT10" s="289" cm="1">
        <f t="array" aca="1" ref="AT10" ca="1">INDIRECT("'"&amp;$C10&amp;"'!"&amp;"$"&amp;$D10&amp;$AT$1&amp;"")</f>
        <v>0</v>
      </c>
      <c r="AU10" s="288" t="s">
        <v>1</v>
      </c>
      <c r="AV10" s="289" t="s">
        <v>1</v>
      </c>
      <c r="AW10" s="287" t="s">
        <v>1</v>
      </c>
      <c r="AX10" s="291">
        <v>13.99</v>
      </c>
      <c r="AY10" s="290">
        <v>71.430000000000007</v>
      </c>
      <c r="AZ10" s="291" cm="1">
        <f t="array" aca="1" ref="AZ10" ca="1">INDIRECT("'"&amp;$C10&amp;"'!"&amp;"$"&amp;$D10&amp;$AZ$1&amp;"")</f>
        <v>14.3</v>
      </c>
      <c r="BA10" s="289">
        <v>1</v>
      </c>
      <c r="BB10" s="287">
        <v>1.3</v>
      </c>
      <c r="BC10" s="292">
        <v>69.2</v>
      </c>
      <c r="BD10" s="286" cm="1">
        <f t="array" aca="1" ref="BD10" ca="1">INDIRECT("'"&amp;$C10&amp;"'!"&amp;"$"&amp;$D10&amp;$BC$1&amp;"")</f>
        <v>1.34</v>
      </c>
      <c r="BE10" s="288">
        <v>0.98</v>
      </c>
      <c r="BF10" s="287">
        <v>0.27</v>
      </c>
      <c r="BG10" s="291" cm="1">
        <f t="array" aca="1" ref="BG10" ca="1">INDIRECT("'"&amp;$C10&amp;"'!"&amp;"$"&amp;$D10&amp;$BG$1&amp;"")</f>
        <v>0.79</v>
      </c>
      <c r="BH10" s="289"/>
      <c r="BI10" s="289">
        <v>0.99</v>
      </c>
      <c r="BJ10" s="287">
        <v>0.09</v>
      </c>
      <c r="BK10" s="291" cm="1">
        <f t="array" aca="1" ref="BK10" ca="1">INDIRECT("'"&amp;$C10&amp;"'!"&amp;"$"&amp;$D10&amp;$BK$1&amp;"")</f>
        <v>0.72</v>
      </c>
      <c r="BL10" s="289"/>
      <c r="BM10" s="289">
        <v>0.96</v>
      </c>
      <c r="BN10" s="287">
        <v>0.21</v>
      </c>
      <c r="BO10" s="292" cm="1">
        <f t="array" aca="1" ref="BO10" ca="1">INDIRECT("'"&amp;$C10&amp;"'!"&amp;"$"&amp;$D10&amp;74&amp;"")</f>
        <v>0</v>
      </c>
      <c r="BP10" s="289"/>
      <c r="BQ10" s="289" t="s">
        <v>1</v>
      </c>
      <c r="BR10" s="287" t="s">
        <v>1</v>
      </c>
    </row>
    <row r="11" spans="1:70">
      <c r="A11" s="361">
        <v>45748</v>
      </c>
      <c r="B11" s="358">
        <v>0.25</v>
      </c>
      <c r="C11" s="313">
        <v>1</v>
      </c>
      <c r="D11" s="314" t="s">
        <v>133</v>
      </c>
      <c r="E11" s="293">
        <v>14.1</v>
      </c>
      <c r="F11" s="294">
        <v>70.08</v>
      </c>
      <c r="G11" s="295" cm="1">
        <f t="array" aca="1" ref="G11" ca="1">INDIRECT("'"&amp;$C11&amp;"'!"&amp;"$"&amp;$D11&amp;$E$1&amp;"")</f>
        <v>0</v>
      </c>
      <c r="H11" s="296" t="s">
        <v>1</v>
      </c>
      <c r="I11" s="294" t="s">
        <v>1</v>
      </c>
      <c r="J11" s="295" cm="1">
        <f t="array" aca="1" ref="J11" ca="1">INDIRECT("'"&amp;$C11&amp;"'!"&amp;"$"&amp;$D11&amp;$J$1&amp;"")</f>
        <v>0</v>
      </c>
      <c r="K11" s="296"/>
      <c r="L11" s="296" t="s">
        <v>1</v>
      </c>
      <c r="M11" s="294" t="s">
        <v>1</v>
      </c>
      <c r="N11" s="295" cm="1">
        <f t="array" aca="1" ref="N11" ca="1">INDIRECT("'"&amp;$C11&amp;"'!"&amp;"$"&amp;$D11&amp;$N$1&amp;"")</f>
        <v>6.2</v>
      </c>
      <c r="O11" s="296"/>
      <c r="P11" s="296">
        <v>0.98</v>
      </c>
      <c r="Q11" s="294">
        <v>1.36</v>
      </c>
      <c r="R11" s="295" cm="1">
        <f t="array" aca="1" ref="R11" ca="1">INDIRECT("'"&amp;$C11&amp;"'!"&amp;"$"&amp;$D11&amp;$R$1&amp;"")</f>
        <v>6.2</v>
      </c>
      <c r="S11" s="296"/>
      <c r="T11" s="296">
        <v>0.98</v>
      </c>
      <c r="U11" s="294">
        <v>1.41</v>
      </c>
      <c r="V11" s="295" t="str" cm="1">
        <f t="array" aca="1" ref="V11" ca="1">INDIRECT("'"&amp;$C11&amp;"'!"&amp;"$"&amp;$D11&amp;$V$1&amp;"")</f>
        <v>CMS</v>
      </c>
      <c r="W11" s="296" t="s">
        <v>1</v>
      </c>
      <c r="X11" s="296" t="s">
        <v>1</v>
      </c>
      <c r="Y11" s="297" t="s">
        <v>1</v>
      </c>
      <c r="Z11" s="293" cm="1">
        <f t="array" aca="1" ref="Z11" ca="1">INDIRECT("'"&amp;$C11&amp;"'!"&amp;"$"&amp;$D11&amp;$Z$1&amp;"")</f>
        <v>0</v>
      </c>
      <c r="AA11" s="296" t="s">
        <v>1</v>
      </c>
      <c r="AB11" s="296" t="s">
        <v>1</v>
      </c>
      <c r="AC11" s="294" t="s">
        <v>1</v>
      </c>
      <c r="AD11" s="295" cm="1">
        <f t="array" aca="1" ref="AD11" ca="1">INDIRECT("'"&amp;$C11&amp;"'!"&amp;"$"&amp;$D11&amp;$AD$1&amp;"")</f>
        <v>0.5</v>
      </c>
      <c r="AE11" s="296">
        <f>3.8*3.58</f>
        <v>13.603999999999999</v>
      </c>
      <c r="AF11" s="296">
        <v>1</v>
      </c>
      <c r="AG11" s="297">
        <v>0</v>
      </c>
      <c r="AH11" s="293" cm="1">
        <f t="array" aca="1" ref="AH11" ca="1">INDIRECT("'"&amp;$C11&amp;"'!"&amp;"$"&amp;$D11&amp;$AH$1&amp;"")</f>
        <v>0</v>
      </c>
      <c r="AI11" s="296" t="s">
        <v>1</v>
      </c>
      <c r="AJ11" s="296" t="s">
        <v>1</v>
      </c>
      <c r="AK11" s="294" t="s">
        <v>1</v>
      </c>
      <c r="AL11" s="293">
        <v>11.8</v>
      </c>
      <c r="AM11" s="297">
        <v>70.7</v>
      </c>
      <c r="AN11" s="293" cm="1">
        <f t="array" aca="1" ref="AN11" ca="1">INDIRECT("'"&amp;$C11&amp;"'!"&amp;"$"&amp;$D11&amp;$AL$1&amp;"")</f>
        <v>3.7</v>
      </c>
      <c r="AO11" s="296">
        <v>0.98</v>
      </c>
      <c r="AP11" s="294">
        <v>0.5</v>
      </c>
      <c r="AQ11" s="295" t="str" cm="1">
        <f t="array" aca="1" ref="AQ11" ca="1">INDIRECT("'"&amp;$C11&amp;"'!"&amp;"$"&amp;$D11&amp;$AQ$1&amp;"")</f>
        <v>CMS</v>
      </c>
      <c r="AR11" s="296" t="s">
        <v>1</v>
      </c>
      <c r="AS11" s="294" t="s">
        <v>1</v>
      </c>
      <c r="AT11" s="296" cm="1">
        <f t="array" aca="1" ref="AT11" ca="1">INDIRECT("'"&amp;$C11&amp;"'!"&amp;"$"&amp;$D11&amp;$AT$1&amp;"")</f>
        <v>0</v>
      </c>
      <c r="AU11" s="295" t="s">
        <v>1</v>
      </c>
      <c r="AV11" s="296" t="s">
        <v>1</v>
      </c>
      <c r="AW11" s="294" t="s">
        <v>1</v>
      </c>
      <c r="AX11" s="298">
        <v>14.07</v>
      </c>
      <c r="AY11" s="297">
        <v>71.73</v>
      </c>
      <c r="AZ11" s="298" cm="1">
        <f t="array" aca="1" ref="AZ11" ca="1">INDIRECT("'"&amp;$C11&amp;"'!"&amp;"$"&amp;$D11&amp;$AZ$1&amp;"")</f>
        <v>14.27</v>
      </c>
      <c r="BA11" s="296">
        <v>1</v>
      </c>
      <c r="BB11" s="294">
        <v>1.3</v>
      </c>
      <c r="BC11" s="299">
        <v>69.400000000000006</v>
      </c>
      <c r="BD11" s="293" cm="1">
        <f t="array" aca="1" ref="BD11" ca="1">INDIRECT("'"&amp;$C11&amp;"'!"&amp;"$"&amp;$D11&amp;$BC$1&amp;"")</f>
        <v>2.12</v>
      </c>
      <c r="BE11" s="295">
        <v>0.98</v>
      </c>
      <c r="BF11" s="294">
        <v>0.43</v>
      </c>
      <c r="BG11" s="298" cm="1">
        <f t="array" aca="1" ref="BG11" ca="1">INDIRECT("'"&amp;$C11&amp;"'!"&amp;"$"&amp;$D11&amp;$BG$1&amp;"")</f>
        <v>0.88</v>
      </c>
      <c r="BH11" s="296"/>
      <c r="BI11" s="296">
        <v>0.99</v>
      </c>
      <c r="BJ11" s="294">
        <v>0.09</v>
      </c>
      <c r="BK11" s="298" cm="1">
        <f t="array" aca="1" ref="BK11" ca="1">INDIRECT("'"&amp;$C11&amp;"'!"&amp;"$"&amp;$D11&amp;$BK$1&amp;"")</f>
        <v>0.73</v>
      </c>
      <c r="BL11" s="296"/>
      <c r="BM11" s="296">
        <v>0.96</v>
      </c>
      <c r="BN11" s="294">
        <v>0.2</v>
      </c>
      <c r="BO11" s="299" cm="1">
        <f t="array" aca="1" ref="BO11" ca="1">INDIRECT("'"&amp;$C11&amp;"'!"&amp;"$"&amp;$D11&amp;74&amp;"")</f>
        <v>0</v>
      </c>
      <c r="BP11" s="296"/>
      <c r="BQ11" s="296" t="s">
        <v>1</v>
      </c>
      <c r="BR11" s="294" t="s">
        <v>1</v>
      </c>
    </row>
    <row r="12" spans="1:70">
      <c r="A12" s="361">
        <v>45748</v>
      </c>
      <c r="B12" s="358">
        <v>0.29166666666666702</v>
      </c>
      <c r="C12" s="313">
        <v>1</v>
      </c>
      <c r="D12" s="314" t="s">
        <v>134</v>
      </c>
      <c r="E12" s="286">
        <v>14.1</v>
      </c>
      <c r="F12" s="287">
        <v>70.3</v>
      </c>
      <c r="G12" s="288" cm="1">
        <f t="array" aca="1" ref="G12" ca="1">INDIRECT("'"&amp;$C12&amp;"'!"&amp;"$"&amp;$D12&amp;$E$1&amp;"")</f>
        <v>0</v>
      </c>
      <c r="H12" s="289" t="s">
        <v>1</v>
      </c>
      <c r="I12" s="287" t="s">
        <v>1</v>
      </c>
      <c r="J12" s="288" cm="1">
        <f t="array" aca="1" ref="J12" ca="1">INDIRECT("'"&amp;$C12&amp;"'!"&amp;"$"&amp;$D12&amp;$J$1&amp;"")</f>
        <v>0</v>
      </c>
      <c r="K12" s="289"/>
      <c r="L12" s="289" t="s">
        <v>1</v>
      </c>
      <c r="M12" s="287" t="s">
        <v>1</v>
      </c>
      <c r="N12" s="288" cm="1">
        <f t="array" aca="1" ref="N12" ca="1">INDIRECT("'"&amp;$C12&amp;"'!"&amp;"$"&amp;$D12&amp;$N$1&amp;"")</f>
        <v>6.6</v>
      </c>
      <c r="O12" s="289"/>
      <c r="P12" s="289">
        <v>0.97</v>
      </c>
      <c r="Q12" s="287">
        <v>1.64</v>
      </c>
      <c r="R12" s="288" cm="1">
        <f t="array" aca="1" ref="R12" ca="1">INDIRECT("'"&amp;$C12&amp;"'!"&amp;"$"&amp;$D12&amp;$R$1&amp;"")</f>
        <v>6.5</v>
      </c>
      <c r="S12" s="289"/>
      <c r="T12" s="289">
        <v>0.97</v>
      </c>
      <c r="U12" s="287">
        <v>1.61</v>
      </c>
      <c r="V12" s="288" cm="1">
        <f t="array" aca="1" ref="V12" ca="1">INDIRECT("'"&amp;$C12&amp;"'!"&amp;"$"&amp;$D12&amp;$V$1&amp;"")</f>
        <v>0</v>
      </c>
      <c r="W12" s="289" t="s">
        <v>1</v>
      </c>
      <c r="X12" s="289" t="s">
        <v>1</v>
      </c>
      <c r="Y12" s="290" t="s">
        <v>1</v>
      </c>
      <c r="Z12" s="286" cm="1">
        <f t="array" aca="1" ref="Z12" ca="1">INDIRECT("'"&amp;$C12&amp;"'!"&amp;"$"&amp;$D12&amp;$Z$1&amp;"")</f>
        <v>0</v>
      </c>
      <c r="AA12" s="289" t="s">
        <v>1</v>
      </c>
      <c r="AB12" s="289" t="s">
        <v>1</v>
      </c>
      <c r="AC12" s="287" t="s">
        <v>1</v>
      </c>
      <c r="AD12" s="288" cm="1">
        <f t="array" aca="1" ref="AD12" ca="1">INDIRECT("'"&amp;$C12&amp;"'!"&amp;"$"&amp;$D12&amp;$AD$1&amp;"")</f>
        <v>2</v>
      </c>
      <c r="AE12" s="289">
        <f>3.8*3.6</f>
        <v>13.68</v>
      </c>
      <c r="AF12" s="289">
        <v>0.98</v>
      </c>
      <c r="AG12" s="290">
        <v>0.35</v>
      </c>
      <c r="AH12" s="286" cm="1">
        <f t="array" aca="1" ref="AH12" ca="1">INDIRECT("'"&amp;$C12&amp;"'!"&amp;"$"&amp;$D12&amp;$AH$1&amp;"")</f>
        <v>0</v>
      </c>
      <c r="AI12" s="289" t="s">
        <v>1</v>
      </c>
      <c r="AJ12" s="289" t="s">
        <v>1</v>
      </c>
      <c r="AK12" s="287" t="s">
        <v>1</v>
      </c>
      <c r="AL12" s="286">
        <v>11.8</v>
      </c>
      <c r="AM12" s="290">
        <v>70.5</v>
      </c>
      <c r="AN12" s="286" cm="1">
        <f t="array" aca="1" ref="AN12" ca="1">INDIRECT("'"&amp;$C12&amp;"'!"&amp;"$"&amp;$D12&amp;$AL$1&amp;"")</f>
        <v>3.5</v>
      </c>
      <c r="AO12" s="289">
        <v>0.98</v>
      </c>
      <c r="AP12" s="287">
        <v>0.69</v>
      </c>
      <c r="AQ12" s="288" t="str" cm="1">
        <f t="array" aca="1" ref="AQ12" ca="1">INDIRECT("'"&amp;$C12&amp;"'!"&amp;"$"&amp;$D12&amp;$AQ$1&amp;"")</f>
        <v>CMS</v>
      </c>
      <c r="AR12" s="289" t="s">
        <v>1</v>
      </c>
      <c r="AS12" s="287" t="s">
        <v>1</v>
      </c>
      <c r="AT12" s="289" cm="1">
        <f t="array" aca="1" ref="AT12" ca="1">INDIRECT("'"&amp;$C12&amp;"'!"&amp;"$"&amp;$D12&amp;$AT$1&amp;"")</f>
        <v>0</v>
      </c>
      <c r="AU12" s="288" t="s">
        <v>1</v>
      </c>
      <c r="AV12" s="289" t="s">
        <v>1</v>
      </c>
      <c r="AW12" s="287" t="s">
        <v>1</v>
      </c>
      <c r="AX12" s="291">
        <v>14.03</v>
      </c>
      <c r="AY12" s="290">
        <v>71.540000000000006</v>
      </c>
      <c r="AZ12" s="291" cm="1">
        <f t="array" aca="1" ref="AZ12" ca="1">INDIRECT("'"&amp;$C12&amp;"'!"&amp;"$"&amp;$D12&amp;$AZ$1&amp;"")</f>
        <v>13.29</v>
      </c>
      <c r="BA12" s="289">
        <v>1</v>
      </c>
      <c r="BB12" s="287">
        <v>1.2</v>
      </c>
      <c r="BC12" s="292">
        <v>69.099999999999994</v>
      </c>
      <c r="BD12" s="286" cm="1">
        <f t="array" aca="1" ref="BD12" ca="1">INDIRECT("'"&amp;$C12&amp;"'!"&amp;"$"&amp;$D12&amp;$BC$1&amp;"")</f>
        <v>0</v>
      </c>
      <c r="BE12" s="288" t="s">
        <v>1</v>
      </c>
      <c r="BF12" s="287" t="s">
        <v>1</v>
      </c>
      <c r="BG12" s="291" cm="1">
        <f t="array" aca="1" ref="BG12" ca="1">INDIRECT("'"&amp;$C12&amp;"'!"&amp;"$"&amp;$D12&amp;$BG$1&amp;"")</f>
        <v>0.97</v>
      </c>
      <c r="BH12" s="289"/>
      <c r="BI12" s="289">
        <v>0.99</v>
      </c>
      <c r="BJ12" s="287">
        <v>0.11</v>
      </c>
      <c r="BK12" s="292" cm="1">
        <f t="array" aca="1" ref="BK12" ca="1">INDIRECT("'"&amp;$C12&amp;"'!"&amp;"$"&amp;$D12&amp;$BK$1&amp;"")</f>
        <v>0.71</v>
      </c>
      <c r="BL12" s="289"/>
      <c r="BM12" s="289">
        <v>0.96</v>
      </c>
      <c r="BN12" s="287">
        <v>0.2</v>
      </c>
      <c r="BO12" s="292" cm="1">
        <f t="array" aca="1" ref="BO12" ca="1">INDIRECT("'"&amp;$C12&amp;"'!"&amp;"$"&amp;$D12&amp;74&amp;"")</f>
        <v>0</v>
      </c>
      <c r="BP12" s="289"/>
      <c r="BQ12" s="289" t="s">
        <v>1</v>
      </c>
      <c r="BR12" s="287" t="s">
        <v>1</v>
      </c>
    </row>
    <row r="13" spans="1:70">
      <c r="A13" s="361">
        <v>45748</v>
      </c>
      <c r="B13" s="358">
        <v>0.33333333333333398</v>
      </c>
      <c r="C13" s="313">
        <v>1</v>
      </c>
      <c r="D13" s="314" t="s">
        <v>135</v>
      </c>
      <c r="E13" s="293">
        <v>14</v>
      </c>
      <c r="F13" s="294">
        <v>69.63</v>
      </c>
      <c r="G13" s="295" cm="1">
        <f t="array" aca="1" ref="G13" ca="1">INDIRECT("'"&amp;$C13&amp;"'!"&amp;"$"&amp;$D13&amp;$E$1&amp;"")</f>
        <v>4.8</v>
      </c>
      <c r="H13" s="296">
        <v>0.96</v>
      </c>
      <c r="I13" s="294">
        <v>1.53</v>
      </c>
      <c r="J13" s="295" cm="1">
        <f t="array" aca="1" ref="J13" ca="1">INDIRECT("'"&amp;$C13&amp;"'!"&amp;"$"&amp;$D13&amp;$J$1&amp;"")</f>
        <v>0</v>
      </c>
      <c r="K13" s="296"/>
      <c r="L13" s="296" t="s">
        <v>1</v>
      </c>
      <c r="M13" s="294" t="s">
        <v>1</v>
      </c>
      <c r="N13" s="295" cm="1">
        <f t="array" aca="1" ref="N13" ca="1">INDIRECT("'"&amp;$C13&amp;"'!"&amp;"$"&amp;$D13&amp;$N$1&amp;"")</f>
        <v>5.8</v>
      </c>
      <c r="O13" s="296"/>
      <c r="P13" s="296">
        <v>0.96</v>
      </c>
      <c r="Q13" s="294">
        <v>1.4</v>
      </c>
      <c r="R13" s="295" cm="1">
        <f t="array" aca="1" ref="R13" ca="1">INDIRECT("'"&amp;$C13&amp;"'!"&amp;"$"&amp;$D13&amp;$R$1&amp;"")</f>
        <v>5.8</v>
      </c>
      <c r="S13" s="296"/>
      <c r="T13" s="296">
        <v>0.96</v>
      </c>
      <c r="U13" s="294">
        <v>1.4</v>
      </c>
      <c r="V13" s="295" cm="1">
        <f t="array" aca="1" ref="V13" ca="1">INDIRECT("'"&amp;$C13&amp;"'!"&amp;"$"&amp;$D13&amp;$V$1&amp;"")</f>
        <v>0</v>
      </c>
      <c r="W13" s="296" t="s">
        <v>1</v>
      </c>
      <c r="X13" s="296" t="s">
        <v>1</v>
      </c>
      <c r="Y13" s="297" t="s">
        <v>1</v>
      </c>
      <c r="Z13" s="293" cm="1">
        <f t="array" aca="1" ref="Z13" ca="1">INDIRECT("'"&amp;$C13&amp;"'!"&amp;"$"&amp;$D13&amp;$Z$1&amp;"")</f>
        <v>0</v>
      </c>
      <c r="AA13" s="296" t="s">
        <v>1</v>
      </c>
      <c r="AB13" s="296" t="s">
        <v>1</v>
      </c>
      <c r="AC13" s="294" t="s">
        <v>1</v>
      </c>
      <c r="AD13" s="295" cm="1">
        <f t="array" aca="1" ref="AD13" ca="1">INDIRECT("'"&amp;$C13&amp;"'!"&amp;"$"&amp;$D13&amp;$AD$1&amp;"")</f>
        <v>3.3</v>
      </c>
      <c r="AE13" s="296">
        <f>3.8*3.55</f>
        <v>13.489999999999998</v>
      </c>
      <c r="AF13" s="296">
        <v>0.96</v>
      </c>
      <c r="AG13" s="297">
        <v>1.05</v>
      </c>
      <c r="AH13" s="293" cm="1">
        <f t="array" aca="1" ref="AH13" ca="1">INDIRECT("'"&amp;$C13&amp;"'!"&amp;"$"&amp;$D13&amp;$AH$1&amp;"")</f>
        <v>0</v>
      </c>
      <c r="AI13" s="296" t="s">
        <v>1</v>
      </c>
      <c r="AJ13" s="296" t="s">
        <v>1</v>
      </c>
      <c r="AK13" s="294" t="s">
        <v>1</v>
      </c>
      <c r="AL13" s="293">
        <v>11.8</v>
      </c>
      <c r="AM13" s="297">
        <v>70.099999999999994</v>
      </c>
      <c r="AN13" s="293" cm="1">
        <f t="array" aca="1" ref="AN13" ca="1">INDIRECT("'"&amp;$C13&amp;"'!"&amp;"$"&amp;$D13&amp;$AL$1&amp;"")</f>
        <v>3.8</v>
      </c>
      <c r="AO13" s="296">
        <v>0.96</v>
      </c>
      <c r="AP13" s="294">
        <v>1.1000000000000001</v>
      </c>
      <c r="AQ13" s="295" t="str" cm="1">
        <f t="array" aca="1" ref="AQ13" ca="1">INDIRECT("'"&amp;$C13&amp;"'!"&amp;"$"&amp;$D13&amp;$AQ$1&amp;"")</f>
        <v>CMS</v>
      </c>
      <c r="AR13" s="296" t="s">
        <v>1</v>
      </c>
      <c r="AS13" s="294" t="s">
        <v>1</v>
      </c>
      <c r="AT13" s="296" cm="1">
        <f t="array" aca="1" ref="AT13" ca="1">INDIRECT("'"&amp;$C13&amp;"'!"&amp;"$"&amp;$D13&amp;$AT$1&amp;"")</f>
        <v>0</v>
      </c>
      <c r="AU13" s="295" t="s">
        <v>1</v>
      </c>
      <c r="AV13" s="296" t="s">
        <v>1</v>
      </c>
      <c r="AW13" s="294" t="s">
        <v>1</v>
      </c>
      <c r="AX13" s="298">
        <v>14.03</v>
      </c>
      <c r="AY13" s="297">
        <v>71.03</v>
      </c>
      <c r="AZ13" s="298" cm="1">
        <f t="array" aca="1" ref="AZ13" ca="1">INDIRECT("'"&amp;$C13&amp;"'!"&amp;"$"&amp;$D13&amp;$AZ$1&amp;"")</f>
        <v>14.28</v>
      </c>
      <c r="BA13" s="296">
        <v>0.99</v>
      </c>
      <c r="BB13" s="294">
        <v>2.4</v>
      </c>
      <c r="BC13" s="299">
        <v>68.7</v>
      </c>
      <c r="BD13" s="293" cm="1">
        <f t="array" aca="1" ref="BD13" ca="1">INDIRECT("'"&amp;$C13&amp;"'!"&amp;"$"&amp;$D13&amp;$BC$1&amp;"")</f>
        <v>0</v>
      </c>
      <c r="BE13" s="295" t="s">
        <v>1</v>
      </c>
      <c r="BF13" s="294" t="s">
        <v>1</v>
      </c>
      <c r="BG13" s="298" cm="1">
        <f t="array" aca="1" ref="BG13" ca="1">INDIRECT("'"&amp;$C13&amp;"'!"&amp;"$"&amp;$D13&amp;$BG$1&amp;"")</f>
        <v>1</v>
      </c>
      <c r="BH13" s="296"/>
      <c r="BI13" s="296">
        <v>0.99</v>
      </c>
      <c r="BJ13" s="294">
        <v>0.16</v>
      </c>
      <c r="BK13" s="299" cm="1">
        <f t="array" aca="1" ref="BK13" ca="1">INDIRECT("'"&amp;$C13&amp;"'!"&amp;"$"&amp;$D13&amp;$BK$1&amp;"")</f>
        <v>0.77</v>
      </c>
      <c r="BL13" s="296"/>
      <c r="BM13" s="296">
        <v>0.96</v>
      </c>
      <c r="BN13" s="294">
        <v>0.22</v>
      </c>
      <c r="BO13" s="299" cm="1">
        <f t="array" aca="1" ref="BO13" ca="1">INDIRECT("'"&amp;$C13&amp;"'!"&amp;"$"&amp;$D13&amp;74&amp;"")</f>
        <v>0</v>
      </c>
      <c r="BP13" s="296"/>
      <c r="BQ13" s="296" t="s">
        <v>1</v>
      </c>
      <c r="BR13" s="294" t="s">
        <v>1</v>
      </c>
    </row>
    <row r="14" spans="1:70">
      <c r="A14" s="361">
        <v>45748</v>
      </c>
      <c r="B14" s="358">
        <v>0.375</v>
      </c>
      <c r="C14" s="313">
        <v>1</v>
      </c>
      <c r="D14" s="314" t="s">
        <v>136</v>
      </c>
      <c r="E14" s="286">
        <v>14</v>
      </c>
      <c r="F14" s="287">
        <v>69.28</v>
      </c>
      <c r="G14" s="288" cm="1">
        <f t="array" aca="1" ref="G14" ca="1">INDIRECT("'"&amp;$C14&amp;"'!"&amp;"$"&amp;$D14&amp;$E$1&amp;"")</f>
        <v>6.5</v>
      </c>
      <c r="H14" s="289">
        <v>0.96</v>
      </c>
      <c r="I14" s="287">
        <v>1.8</v>
      </c>
      <c r="J14" s="288" cm="1">
        <f t="array" aca="1" ref="J14" ca="1">INDIRECT("'"&amp;$C14&amp;"'!"&amp;"$"&amp;$D14&amp;$J$1&amp;"")</f>
        <v>0</v>
      </c>
      <c r="K14" s="289"/>
      <c r="L14" s="289" t="s">
        <v>1</v>
      </c>
      <c r="M14" s="287" t="s">
        <v>1</v>
      </c>
      <c r="N14" s="288" cm="1">
        <f t="array" aca="1" ref="N14" ca="1">INDIRECT("'"&amp;$C14&amp;"'!"&amp;"$"&amp;$D14&amp;$N$1&amp;"")</f>
        <v>6.5</v>
      </c>
      <c r="O14" s="289"/>
      <c r="P14" s="289">
        <v>0.96</v>
      </c>
      <c r="Q14" s="287">
        <v>1.8</v>
      </c>
      <c r="R14" s="288" cm="1">
        <f t="array" aca="1" ref="R14" ca="1">INDIRECT("'"&amp;$C14&amp;"'!"&amp;"$"&amp;$D14&amp;$R$1&amp;"")</f>
        <v>6.5</v>
      </c>
      <c r="S14" s="289"/>
      <c r="T14" s="289">
        <v>0.96</v>
      </c>
      <c r="U14" s="287">
        <v>1.8</v>
      </c>
      <c r="V14" s="288" cm="1">
        <f t="array" aca="1" ref="V14" ca="1">INDIRECT("'"&amp;$C14&amp;"'!"&amp;"$"&amp;$D14&amp;$V$1&amp;"")</f>
        <v>0</v>
      </c>
      <c r="W14" s="289" t="s">
        <v>1</v>
      </c>
      <c r="X14" s="289" t="s">
        <v>1</v>
      </c>
      <c r="Y14" s="290" t="s">
        <v>1</v>
      </c>
      <c r="Z14" s="286" cm="1">
        <f t="array" aca="1" ref="Z14" ca="1">INDIRECT("'"&amp;$C14&amp;"'!"&amp;"$"&amp;$D14&amp;$Z$1&amp;"")</f>
        <v>0</v>
      </c>
      <c r="AA14" s="289" t="s">
        <v>1</v>
      </c>
      <c r="AB14" s="289" t="s">
        <v>1</v>
      </c>
      <c r="AC14" s="287" t="s">
        <v>1</v>
      </c>
      <c r="AD14" s="288" t="str" cm="1">
        <f t="array" aca="1" ref="AD14" ca="1">INDIRECT("'"&amp;$C14&amp;"'!"&amp;"$"&amp;$D14&amp;$AD$1&amp;"")</f>
        <v>CMS</v>
      </c>
      <c r="AE14" s="289" t="s">
        <v>1</v>
      </c>
      <c r="AF14" s="289" t="s">
        <v>1</v>
      </c>
      <c r="AG14" s="290" t="s">
        <v>1</v>
      </c>
      <c r="AH14" s="286" cm="1">
        <f t="array" aca="1" ref="AH14" ca="1">INDIRECT("'"&amp;$C14&amp;"'!"&amp;"$"&amp;$D14&amp;$AH$1&amp;"")</f>
        <v>2.5</v>
      </c>
      <c r="AI14" s="289">
        <v>13.92</v>
      </c>
      <c r="AJ14" s="289">
        <v>0.97</v>
      </c>
      <c r="AK14" s="287">
        <v>0.59399999999999997</v>
      </c>
      <c r="AL14" s="286">
        <v>11.8</v>
      </c>
      <c r="AM14" s="290">
        <v>69.8</v>
      </c>
      <c r="AN14" s="286" cm="1">
        <f t="array" aca="1" ref="AN14" ca="1">INDIRECT("'"&amp;$C14&amp;"'!"&amp;"$"&amp;$D14&amp;$AL$1&amp;"")</f>
        <v>4</v>
      </c>
      <c r="AO14" s="289">
        <v>0.94</v>
      </c>
      <c r="AP14" s="287">
        <v>1.54</v>
      </c>
      <c r="AQ14" s="288" t="str" cm="1">
        <f t="array" aca="1" ref="AQ14" ca="1">INDIRECT("'"&amp;$C14&amp;"'!"&amp;"$"&amp;$D14&amp;$AQ$1&amp;"")</f>
        <v>CMS</v>
      </c>
      <c r="AR14" s="289" t="s">
        <v>1</v>
      </c>
      <c r="AS14" s="287" t="s">
        <v>1</v>
      </c>
      <c r="AT14" s="289" cm="1">
        <f t="array" aca="1" ref="AT14" ca="1">INDIRECT("'"&amp;$C14&amp;"'!"&amp;"$"&amp;$D14&amp;$AT$1&amp;"")</f>
        <v>0</v>
      </c>
      <c r="AU14" s="288" t="s">
        <v>1</v>
      </c>
      <c r="AV14" s="289" t="s">
        <v>1</v>
      </c>
      <c r="AW14" s="287" t="s">
        <v>1</v>
      </c>
      <c r="AX14" s="291">
        <v>14.16</v>
      </c>
      <c r="AY14" s="290">
        <v>71.319999999999993</v>
      </c>
      <c r="AZ14" s="291" cm="1">
        <f t="array" aca="1" ref="AZ14" ca="1">INDIRECT("'"&amp;$C14&amp;"'!"&amp;"$"&amp;$D14&amp;$AZ$1&amp;"")</f>
        <v>14.28</v>
      </c>
      <c r="BA14" s="289">
        <v>0.98</v>
      </c>
      <c r="BB14" s="287">
        <v>3.5</v>
      </c>
      <c r="BC14" s="292">
        <v>68.099999999999994</v>
      </c>
      <c r="BD14" s="286" cm="1">
        <f t="array" aca="1" ref="BD14" ca="1">INDIRECT("'"&amp;$C14&amp;"'!"&amp;"$"&amp;$D14&amp;$BC$1&amp;"")</f>
        <v>3.3999999999999995</v>
      </c>
      <c r="BE14" s="288">
        <v>0.96</v>
      </c>
      <c r="BF14" s="287">
        <v>0.99</v>
      </c>
      <c r="BG14" s="291" cm="1">
        <f t="array" aca="1" ref="BG14" ca="1">INDIRECT("'"&amp;$C14&amp;"'!"&amp;"$"&amp;$D14&amp;$BG$1&amp;"")</f>
        <v>1.17</v>
      </c>
      <c r="BH14" s="289"/>
      <c r="BI14" s="289">
        <v>0.99</v>
      </c>
      <c r="BJ14" s="287">
        <v>0.19</v>
      </c>
      <c r="BK14" s="292" cm="1">
        <f t="array" aca="1" ref="BK14" ca="1">INDIRECT("'"&amp;$C14&amp;"'!"&amp;"$"&amp;$D14&amp;$BK$1&amp;"")</f>
        <v>0.82</v>
      </c>
      <c r="BL14" s="289"/>
      <c r="BM14" s="289">
        <v>0.96</v>
      </c>
      <c r="BN14" s="287">
        <v>0.25</v>
      </c>
      <c r="BO14" s="292" cm="1">
        <f t="array" aca="1" ref="BO14" ca="1">INDIRECT("'"&amp;$C14&amp;"'!"&amp;"$"&amp;$D14&amp;74&amp;"")</f>
        <v>0</v>
      </c>
      <c r="BP14" s="289"/>
      <c r="BQ14" s="289" t="s">
        <v>1</v>
      </c>
      <c r="BR14" s="287" t="s">
        <v>1</v>
      </c>
    </row>
    <row r="15" spans="1:70">
      <c r="A15" s="361">
        <v>45748</v>
      </c>
      <c r="B15" s="358">
        <v>0.41666666666666702</v>
      </c>
      <c r="C15" s="313">
        <v>1</v>
      </c>
      <c r="D15" s="314" t="s">
        <v>137</v>
      </c>
      <c r="E15" s="293">
        <v>14</v>
      </c>
      <c r="F15" s="294">
        <v>69.13</v>
      </c>
      <c r="G15" s="295" cm="1">
        <f t="array" aca="1" ref="G15" ca="1">INDIRECT("'"&amp;$C15&amp;"'!"&amp;"$"&amp;$D15&amp;$E$1&amp;"")</f>
        <v>6.9</v>
      </c>
      <c r="H15" s="296">
        <v>0.94</v>
      </c>
      <c r="I15" s="294">
        <v>2.4</v>
      </c>
      <c r="J15" s="295" cm="1">
        <f t="array" aca="1" ref="J15" ca="1">INDIRECT("'"&amp;$C15&amp;"'!"&amp;"$"&amp;$D15&amp;$J$1&amp;"")</f>
        <v>0</v>
      </c>
      <c r="K15" s="296"/>
      <c r="L15" s="296" t="s">
        <v>1</v>
      </c>
      <c r="M15" s="294" t="s">
        <v>1</v>
      </c>
      <c r="N15" s="295" cm="1">
        <f t="array" aca="1" ref="N15" ca="1">INDIRECT("'"&amp;$C15&amp;"'!"&amp;"$"&amp;$D15&amp;$N$1&amp;"")</f>
        <v>6.9</v>
      </c>
      <c r="O15" s="296"/>
      <c r="P15" s="296">
        <v>0.94</v>
      </c>
      <c r="Q15" s="294">
        <v>2.4</v>
      </c>
      <c r="R15" s="295" cm="1">
        <f t="array" aca="1" ref="R15" ca="1">INDIRECT("'"&amp;$C15&amp;"'!"&amp;"$"&amp;$D15&amp;$R$1&amp;"")</f>
        <v>6.9</v>
      </c>
      <c r="S15" s="296"/>
      <c r="T15" s="296">
        <v>0.94</v>
      </c>
      <c r="U15" s="294">
        <v>2.4</v>
      </c>
      <c r="V15" s="295" cm="1">
        <f t="array" aca="1" ref="V15" ca="1">INDIRECT("'"&amp;$C15&amp;"'!"&amp;"$"&amp;$D15&amp;$V$1&amp;"")</f>
        <v>2.8</v>
      </c>
      <c r="W15" s="296">
        <f>3.8*3.53</f>
        <v>13.413999999999998</v>
      </c>
      <c r="X15" s="296">
        <v>0.91</v>
      </c>
      <c r="Y15" s="297">
        <v>1.1399999999999999</v>
      </c>
      <c r="Z15" s="293" cm="1">
        <f t="array" aca="1" ref="Z15" ca="1">INDIRECT("'"&amp;$C15&amp;"'!"&amp;"$"&amp;$D15&amp;$Z$1&amp;"")</f>
        <v>0</v>
      </c>
      <c r="AA15" s="296" t="s">
        <v>1</v>
      </c>
      <c r="AB15" s="296" t="s">
        <v>1</v>
      </c>
      <c r="AC15" s="294" t="s">
        <v>1</v>
      </c>
      <c r="AD15" s="295" cm="1">
        <f t="array" aca="1" ref="AD15" ca="1">INDIRECT("'"&amp;$C15&amp;"'!"&amp;"$"&amp;$D15&amp;$AD$1&amp;"")</f>
        <v>3.7</v>
      </c>
      <c r="AE15" s="296">
        <f>3.8*3.53</f>
        <v>13.413999999999998</v>
      </c>
      <c r="AF15" s="296">
        <v>0.91</v>
      </c>
      <c r="AG15" s="297">
        <v>1.79</v>
      </c>
      <c r="AH15" s="293" cm="1">
        <f t="array" aca="1" ref="AH15" ca="1">INDIRECT("'"&amp;$C15&amp;"'!"&amp;"$"&amp;$D15&amp;$AH$1&amp;"")</f>
        <v>3.8</v>
      </c>
      <c r="AI15" s="296">
        <v>13.84</v>
      </c>
      <c r="AJ15" s="296">
        <v>0.99</v>
      </c>
      <c r="AK15" s="294">
        <v>0.47399999999999998</v>
      </c>
      <c r="AL15" s="293">
        <v>11.8</v>
      </c>
      <c r="AM15" s="297">
        <v>69.8</v>
      </c>
      <c r="AN15" s="293" cm="1">
        <f t="array" aca="1" ref="AN15" ca="1">INDIRECT("'"&amp;$C15&amp;"'!"&amp;"$"&amp;$D15&amp;$AL$1&amp;"")</f>
        <v>4.0999999999999996</v>
      </c>
      <c r="AO15" s="296">
        <v>0.94</v>
      </c>
      <c r="AP15" s="294">
        <v>1.52</v>
      </c>
      <c r="AQ15" s="295" t="str" cm="1">
        <f t="array" aca="1" ref="AQ15" ca="1">INDIRECT("'"&amp;$C15&amp;"'!"&amp;"$"&amp;$D15&amp;$AQ$1&amp;"")</f>
        <v>CMS</v>
      </c>
      <c r="AR15" s="296" t="s">
        <v>1</v>
      </c>
      <c r="AS15" s="294" t="s">
        <v>1</v>
      </c>
      <c r="AT15" s="296" cm="1">
        <f t="array" aca="1" ref="AT15" ca="1">INDIRECT("'"&amp;$C15&amp;"'!"&amp;"$"&amp;$D15&amp;$AT$1&amp;"")</f>
        <v>0</v>
      </c>
      <c r="AU15" s="295" t="s">
        <v>1</v>
      </c>
      <c r="AV15" s="296" t="s">
        <v>1</v>
      </c>
      <c r="AW15" s="294" t="s">
        <v>1</v>
      </c>
      <c r="AX15" s="298">
        <v>14.13</v>
      </c>
      <c r="AY15" s="297">
        <v>71.06</v>
      </c>
      <c r="AZ15" s="298" cm="1">
        <f t="array" aca="1" ref="AZ15" ca="1">INDIRECT("'"&amp;$C15&amp;"'!"&amp;"$"&amp;$D15&amp;$AZ$1&amp;"")</f>
        <v>14.3</v>
      </c>
      <c r="BA15" s="296">
        <v>0.98</v>
      </c>
      <c r="BB15" s="294">
        <v>3.4</v>
      </c>
      <c r="BC15" s="299">
        <v>67.900000000000006</v>
      </c>
      <c r="BD15" s="293" cm="1">
        <f t="array" aca="1" ref="BD15" ca="1">INDIRECT("'"&amp;$C15&amp;"'!"&amp;"$"&amp;$D15&amp;$BC$1&amp;"")</f>
        <v>0</v>
      </c>
      <c r="BE15" s="295" t="s">
        <v>1</v>
      </c>
      <c r="BF15" s="294" t="s">
        <v>1</v>
      </c>
      <c r="BG15" s="298" cm="1">
        <f t="array" aca="1" ref="BG15" ca="1">INDIRECT("'"&amp;$C15&amp;"'!"&amp;"$"&amp;$D15&amp;$BG$1&amp;"")</f>
        <v>1.17</v>
      </c>
      <c r="BH15" s="296"/>
      <c r="BI15" s="296">
        <v>0.99</v>
      </c>
      <c r="BJ15" s="294">
        <v>0.2</v>
      </c>
      <c r="BK15" s="299" cm="1">
        <f t="array" aca="1" ref="BK15" ca="1">INDIRECT("'"&amp;$C15&amp;"'!"&amp;"$"&amp;$D15&amp;$BK$1&amp;"")</f>
        <v>0.84</v>
      </c>
      <c r="BL15" s="296"/>
      <c r="BM15" s="296">
        <v>0.96</v>
      </c>
      <c r="BN15" s="294">
        <v>0.26</v>
      </c>
      <c r="BO15" s="299" cm="1">
        <f t="array" aca="1" ref="BO15" ca="1">INDIRECT("'"&amp;$C15&amp;"'!"&amp;"$"&amp;$D15&amp;74&amp;"")</f>
        <v>0</v>
      </c>
      <c r="BP15" s="296"/>
      <c r="BQ15" s="296" t="s">
        <v>1</v>
      </c>
      <c r="BR15" s="294" t="s">
        <v>1</v>
      </c>
    </row>
    <row r="16" spans="1:70">
      <c r="A16" s="361">
        <v>45748</v>
      </c>
      <c r="B16" s="358">
        <v>0.45833333333333398</v>
      </c>
      <c r="C16" s="313">
        <v>1</v>
      </c>
      <c r="D16" s="314" t="s">
        <v>138</v>
      </c>
      <c r="E16" s="286">
        <v>14</v>
      </c>
      <c r="F16" s="287">
        <v>69.290000000000006</v>
      </c>
      <c r="G16" s="288" cm="1">
        <f t="array" aca="1" ref="G16" ca="1">INDIRECT("'"&amp;$C16&amp;"'!"&amp;"$"&amp;$D16&amp;$E$1&amp;"")</f>
        <v>6.7</v>
      </c>
      <c r="H16" s="289">
        <v>0.97</v>
      </c>
      <c r="I16" s="287">
        <v>2.0499999999999998</v>
      </c>
      <c r="J16" s="288" cm="1">
        <f t="array" aca="1" ref="J16" ca="1">INDIRECT("'"&amp;$C16&amp;"'!"&amp;"$"&amp;$D16&amp;$J$1&amp;"")</f>
        <v>0</v>
      </c>
      <c r="K16" s="289"/>
      <c r="L16" s="289" t="s">
        <v>1</v>
      </c>
      <c r="M16" s="287" t="s">
        <v>1</v>
      </c>
      <c r="N16" s="288" cm="1">
        <f t="array" aca="1" ref="N16" ca="1">INDIRECT("'"&amp;$C16&amp;"'!"&amp;"$"&amp;$D16&amp;$N$1&amp;"")</f>
        <v>6.7</v>
      </c>
      <c r="O16" s="289"/>
      <c r="P16" s="289">
        <v>0.97</v>
      </c>
      <c r="Q16" s="287">
        <v>2.0499999999999998</v>
      </c>
      <c r="R16" s="288" cm="1">
        <f t="array" aca="1" ref="R16" ca="1">INDIRECT("'"&amp;$C16&amp;"'!"&amp;"$"&amp;$D16&amp;$R$1&amp;"")</f>
        <v>6.7</v>
      </c>
      <c r="S16" s="289"/>
      <c r="T16" s="289">
        <v>0.97</v>
      </c>
      <c r="U16" s="287">
        <v>2.0499999999999998</v>
      </c>
      <c r="V16" s="288" cm="1">
        <f t="array" aca="1" ref="V16" ca="1">INDIRECT("'"&amp;$C16&amp;"'!"&amp;"$"&amp;$D16&amp;$V$1&amp;"")</f>
        <v>2.8</v>
      </c>
      <c r="W16" s="289">
        <f>3.8*3.54</f>
        <v>13.452</v>
      </c>
      <c r="X16" s="289">
        <v>0.91</v>
      </c>
      <c r="Y16" s="290">
        <v>1.1000000000000001</v>
      </c>
      <c r="Z16" s="286" cm="1">
        <f t="array" aca="1" ref="Z16" ca="1">INDIRECT("'"&amp;$C16&amp;"'!"&amp;"$"&amp;$D16&amp;$Z$1&amp;"")</f>
        <v>0</v>
      </c>
      <c r="AA16" s="289" t="s">
        <v>1</v>
      </c>
      <c r="AB16" s="289" t="s">
        <v>1</v>
      </c>
      <c r="AC16" s="287" t="s">
        <v>1</v>
      </c>
      <c r="AD16" s="288" cm="1">
        <f t="array" aca="1" ref="AD16" ca="1">INDIRECT("'"&amp;$C16&amp;"'!"&amp;"$"&amp;$D16&amp;$AD$1&amp;"")</f>
        <v>3.8</v>
      </c>
      <c r="AE16" s="289">
        <f>3.8*3.54</f>
        <v>13.452</v>
      </c>
      <c r="AF16" s="289">
        <v>0.91</v>
      </c>
      <c r="AG16" s="290">
        <v>1.86</v>
      </c>
      <c r="AH16" s="286" cm="1">
        <f t="array" aca="1" ref="AH16" ca="1">INDIRECT("'"&amp;$C16&amp;"'!"&amp;"$"&amp;$D16&amp;$AH$1&amp;"")</f>
        <v>3.8</v>
      </c>
      <c r="AI16" s="289">
        <v>13.84</v>
      </c>
      <c r="AJ16" s="289">
        <v>0.99</v>
      </c>
      <c r="AK16" s="287">
        <v>0.61399999999999999</v>
      </c>
      <c r="AL16" s="286">
        <v>11.8</v>
      </c>
      <c r="AM16" s="290">
        <v>69.900000000000006</v>
      </c>
      <c r="AN16" s="286" cm="1">
        <f t="array" aca="1" ref="AN16" ca="1">INDIRECT("'"&amp;$C16&amp;"'!"&amp;"$"&amp;$D16&amp;$AL$1&amp;"")</f>
        <v>4.2</v>
      </c>
      <c r="AO16" s="289">
        <v>0.93</v>
      </c>
      <c r="AP16" s="287">
        <v>1.57</v>
      </c>
      <c r="AQ16" s="288" t="str" cm="1">
        <f t="array" aca="1" ref="AQ16" ca="1">INDIRECT("'"&amp;$C16&amp;"'!"&amp;"$"&amp;$D16&amp;$AQ$1&amp;"")</f>
        <v>CMS</v>
      </c>
      <c r="AR16" s="289" t="s">
        <v>1</v>
      </c>
      <c r="AS16" s="287" t="s">
        <v>1</v>
      </c>
      <c r="AT16" s="289" cm="1">
        <f t="array" aca="1" ref="AT16" ca="1">INDIRECT("'"&amp;$C16&amp;"'!"&amp;"$"&amp;$D16&amp;$AT$1&amp;"")</f>
        <v>0</v>
      </c>
      <c r="AU16" s="288" t="s">
        <v>1</v>
      </c>
      <c r="AV16" s="289" t="s">
        <v>1</v>
      </c>
      <c r="AW16" s="287" t="s">
        <v>1</v>
      </c>
      <c r="AX16" s="291">
        <v>14.09</v>
      </c>
      <c r="AY16" s="290">
        <v>70.97</v>
      </c>
      <c r="AZ16" s="291" cm="1">
        <f t="array" aca="1" ref="AZ16" ca="1">INDIRECT("'"&amp;$C16&amp;"'!"&amp;"$"&amp;$D16&amp;$AZ$1&amp;"")</f>
        <v>14.29</v>
      </c>
      <c r="BA16" s="289">
        <v>0.98</v>
      </c>
      <c r="BB16" s="287">
        <v>3.4</v>
      </c>
      <c r="BC16" s="292">
        <v>68.099999999999994</v>
      </c>
      <c r="BD16" s="286" cm="1">
        <f t="array" aca="1" ref="BD16" ca="1">INDIRECT("'"&amp;$C16&amp;"'!"&amp;"$"&amp;$D16&amp;$BC$1&amp;"")</f>
        <v>1.4</v>
      </c>
      <c r="BE16" s="288">
        <v>0.96</v>
      </c>
      <c r="BF16" s="287">
        <v>0.41</v>
      </c>
      <c r="BG16" s="291" cm="1">
        <f t="array" aca="1" ref="BG16" ca="1">INDIRECT("'"&amp;$C16&amp;"'!"&amp;"$"&amp;$D16&amp;$BG$1&amp;"")</f>
        <v>1.25</v>
      </c>
      <c r="BH16" s="289"/>
      <c r="BI16" s="289">
        <v>0.99</v>
      </c>
      <c r="BJ16" s="287">
        <v>0.22</v>
      </c>
      <c r="BK16" s="292" cm="1">
        <f t="array" aca="1" ref="BK16" ca="1">INDIRECT("'"&amp;$C16&amp;"'!"&amp;"$"&amp;$D16&amp;$BK$1&amp;"")</f>
        <v>0.87</v>
      </c>
      <c r="BL16" s="289"/>
      <c r="BM16" s="289">
        <v>0.96</v>
      </c>
      <c r="BN16" s="287">
        <v>0.26</v>
      </c>
      <c r="BO16" s="292" cm="1">
        <f t="array" aca="1" ref="BO16" ca="1">INDIRECT("'"&amp;$C16&amp;"'!"&amp;"$"&amp;$D16&amp;74&amp;"")</f>
        <v>0</v>
      </c>
      <c r="BP16" s="289"/>
      <c r="BQ16" s="289" t="s">
        <v>1</v>
      </c>
      <c r="BR16" s="287" t="s">
        <v>1</v>
      </c>
    </row>
    <row r="17" spans="1:70">
      <c r="A17" s="361">
        <v>45748</v>
      </c>
      <c r="B17" s="358">
        <v>0.5</v>
      </c>
      <c r="C17" s="313">
        <v>1</v>
      </c>
      <c r="D17" s="314" t="s">
        <v>139</v>
      </c>
      <c r="E17" s="293">
        <v>14.1</v>
      </c>
      <c r="F17" s="294">
        <v>69.260000000000005</v>
      </c>
      <c r="G17" s="295" cm="1">
        <f t="array" aca="1" ref="G17" ca="1">INDIRECT("'"&amp;$C17&amp;"'!"&amp;"$"&amp;$D17&amp;$E$1&amp;"")</f>
        <v>6.7</v>
      </c>
      <c r="H17" s="296">
        <v>0.96</v>
      </c>
      <c r="I17" s="294">
        <v>1.94</v>
      </c>
      <c r="J17" s="295" cm="1">
        <f t="array" aca="1" ref="J17" ca="1">INDIRECT("'"&amp;$C17&amp;"'!"&amp;"$"&amp;$D17&amp;$J$1&amp;"")</f>
        <v>0</v>
      </c>
      <c r="K17" s="296"/>
      <c r="L17" s="296" t="s">
        <v>1</v>
      </c>
      <c r="M17" s="294" t="s">
        <v>1</v>
      </c>
      <c r="N17" s="295" cm="1">
        <f t="array" aca="1" ref="N17" ca="1">INDIRECT("'"&amp;$C17&amp;"'!"&amp;"$"&amp;$D17&amp;$N$1&amp;"")</f>
        <v>6.7</v>
      </c>
      <c r="O17" s="296"/>
      <c r="P17" s="296">
        <v>0.96</v>
      </c>
      <c r="Q17" s="294">
        <v>1.94</v>
      </c>
      <c r="R17" s="295" cm="1">
        <f t="array" aca="1" ref="R17" ca="1">INDIRECT("'"&amp;$C17&amp;"'!"&amp;"$"&amp;$D17&amp;$R$1&amp;"")</f>
        <v>6.7</v>
      </c>
      <c r="S17" s="296"/>
      <c r="T17" s="296">
        <v>0.96</v>
      </c>
      <c r="U17" s="294">
        <v>1.94</v>
      </c>
      <c r="V17" s="295" cm="1">
        <f t="array" aca="1" ref="V17" ca="1">INDIRECT("'"&amp;$C17&amp;"'!"&amp;"$"&amp;$D17&amp;$V$1&amp;"")</f>
        <v>2.8</v>
      </c>
      <c r="W17" s="296">
        <f>3.8*3.53</f>
        <v>13.413999999999998</v>
      </c>
      <c r="X17" s="296">
        <v>0.91</v>
      </c>
      <c r="Y17" s="297">
        <v>1.83</v>
      </c>
      <c r="Z17" s="293" cm="1">
        <f t="array" aca="1" ref="Z17" ca="1">INDIRECT("'"&amp;$C17&amp;"'!"&amp;"$"&amp;$D17&amp;$Z$1&amp;"")</f>
        <v>0</v>
      </c>
      <c r="AA17" s="296" t="s">
        <v>1</v>
      </c>
      <c r="AB17" s="296" t="s">
        <v>1</v>
      </c>
      <c r="AC17" s="294" t="s">
        <v>1</v>
      </c>
      <c r="AD17" s="295" cm="1">
        <f t="array" aca="1" ref="AD17" ca="1">INDIRECT("'"&amp;$C17&amp;"'!"&amp;"$"&amp;$D17&amp;$AD$1&amp;"")</f>
        <v>3.8</v>
      </c>
      <c r="AE17" s="296">
        <f>3.8*3.53</f>
        <v>13.413999999999998</v>
      </c>
      <c r="AF17" s="296">
        <v>0.99</v>
      </c>
      <c r="AG17" s="297">
        <v>0.61399999999999999</v>
      </c>
      <c r="AH17" s="293" cm="1">
        <f t="array" aca="1" ref="AH17" ca="1">INDIRECT("'"&amp;$C17&amp;"'!"&amp;"$"&amp;$D17&amp;$AH$1&amp;"")</f>
        <v>3.8</v>
      </c>
      <c r="AI17" s="296">
        <v>13.84</v>
      </c>
      <c r="AJ17" s="296">
        <v>0.99</v>
      </c>
      <c r="AK17" s="294">
        <v>0.61399999999999999</v>
      </c>
      <c r="AL17" s="293">
        <v>11.8</v>
      </c>
      <c r="AM17" s="297">
        <v>69.900000000000006</v>
      </c>
      <c r="AN17" s="293" cm="1">
        <f t="array" aca="1" ref="AN17" ca="1">INDIRECT("'"&amp;$C17&amp;"'!"&amp;"$"&amp;$D17&amp;$AL$1&amp;"")</f>
        <v>4</v>
      </c>
      <c r="AO17" s="296">
        <v>0.93</v>
      </c>
      <c r="AP17" s="294">
        <v>1.48</v>
      </c>
      <c r="AQ17" s="295" t="str" cm="1">
        <f t="array" aca="1" ref="AQ17" ca="1">INDIRECT("'"&amp;$C17&amp;"'!"&amp;"$"&amp;$D17&amp;$AQ$1&amp;"")</f>
        <v>CMS</v>
      </c>
      <c r="AR17" s="296" t="s">
        <v>1</v>
      </c>
      <c r="AS17" s="294" t="s">
        <v>1</v>
      </c>
      <c r="AT17" s="296" cm="1">
        <f t="array" aca="1" ref="AT17" ca="1">INDIRECT("'"&amp;$C17&amp;"'!"&amp;"$"&amp;$D17&amp;$AT$1&amp;"")</f>
        <v>0</v>
      </c>
      <c r="AU17" s="295" t="s">
        <v>1</v>
      </c>
      <c r="AV17" s="296" t="s">
        <v>1</v>
      </c>
      <c r="AW17" s="294" t="s">
        <v>1</v>
      </c>
      <c r="AX17" s="298">
        <v>14.12</v>
      </c>
      <c r="AY17" s="297">
        <v>71.099999999999994</v>
      </c>
      <c r="AZ17" s="298" cm="1">
        <f t="array" aca="1" ref="AZ17" ca="1">INDIRECT("'"&amp;$C17&amp;"'!"&amp;"$"&amp;$D17&amp;$AZ$1&amp;"")</f>
        <v>14.27</v>
      </c>
      <c r="BA17" s="296">
        <v>0.98</v>
      </c>
      <c r="BB17" s="294">
        <v>3.4</v>
      </c>
      <c r="BC17" s="299">
        <v>68</v>
      </c>
      <c r="BD17" s="293" cm="1">
        <f t="array" aca="1" ref="BD17" ca="1">INDIRECT("'"&amp;$C17&amp;"'!"&amp;"$"&amp;$D17&amp;$BC$1&amp;"")</f>
        <v>1.4</v>
      </c>
      <c r="BE17" s="295">
        <v>0.96</v>
      </c>
      <c r="BF17" s="294">
        <v>0.43</v>
      </c>
      <c r="BG17" s="298" cm="1">
        <f t="array" aca="1" ref="BG17" ca="1">INDIRECT("'"&amp;$C17&amp;"'!"&amp;"$"&amp;$D17&amp;$BG$1&amp;"")</f>
        <v>0.97</v>
      </c>
      <c r="BH17" s="296"/>
      <c r="BI17" s="296">
        <v>1</v>
      </c>
      <c r="BJ17" s="294">
        <v>0.09</v>
      </c>
      <c r="BK17" s="299" cm="1">
        <f t="array" aca="1" ref="BK17" ca="1">INDIRECT("'"&amp;$C17&amp;"'!"&amp;"$"&amp;$D17&amp;$BK$1&amp;"")</f>
        <v>0.87</v>
      </c>
      <c r="BL17" s="296"/>
      <c r="BM17" s="296">
        <v>0.96</v>
      </c>
      <c r="BN17" s="294">
        <v>0.96</v>
      </c>
      <c r="BO17" s="299" cm="1">
        <f t="array" aca="1" ref="BO17" ca="1">INDIRECT("'"&amp;$C17&amp;"'!"&amp;"$"&amp;$D17&amp;74&amp;"")</f>
        <v>0</v>
      </c>
      <c r="BP17" s="296"/>
      <c r="BQ17" s="296" t="s">
        <v>1</v>
      </c>
      <c r="BR17" s="294" t="s">
        <v>1</v>
      </c>
    </row>
    <row r="18" spans="1:70">
      <c r="A18" s="361">
        <v>45748</v>
      </c>
      <c r="B18" s="358">
        <v>0.54166666666666696</v>
      </c>
      <c r="C18" s="313">
        <v>1</v>
      </c>
      <c r="D18" s="314" t="s">
        <v>140</v>
      </c>
      <c r="E18" s="286">
        <v>14.1</v>
      </c>
      <c r="F18" s="287">
        <v>69.94</v>
      </c>
      <c r="G18" s="288" cm="1">
        <f t="array" aca="1" ref="G18" ca="1">INDIRECT("'"&amp;$C18&amp;"'!"&amp;"$"&amp;$D18&amp;$E$1&amp;"")</f>
        <v>6.3</v>
      </c>
      <c r="H18" s="289">
        <v>0.97</v>
      </c>
      <c r="I18" s="287">
        <v>1.4</v>
      </c>
      <c r="J18" s="288" cm="1">
        <f t="array" aca="1" ref="J18" ca="1">INDIRECT("'"&amp;$C18&amp;"'!"&amp;"$"&amp;$D18&amp;$J$1&amp;"")</f>
        <v>0</v>
      </c>
      <c r="K18" s="289"/>
      <c r="L18" s="289" t="s">
        <v>1</v>
      </c>
      <c r="M18" s="287" t="s">
        <v>1</v>
      </c>
      <c r="N18" s="288" cm="1">
        <f t="array" aca="1" ref="N18" ca="1">INDIRECT("'"&amp;$C18&amp;"'!"&amp;"$"&amp;$D18&amp;$N$1&amp;"")</f>
        <v>6.3</v>
      </c>
      <c r="O18" s="289"/>
      <c r="P18" s="289">
        <v>0.97</v>
      </c>
      <c r="Q18" s="287">
        <v>1.4</v>
      </c>
      <c r="R18" s="288" cm="1">
        <f t="array" aca="1" ref="R18" ca="1">INDIRECT("'"&amp;$C18&amp;"'!"&amp;"$"&amp;$D18&amp;$R$1&amp;"")</f>
        <v>6.3</v>
      </c>
      <c r="S18" s="289"/>
      <c r="T18" s="289">
        <v>0.97</v>
      </c>
      <c r="U18" s="287">
        <v>1.4</v>
      </c>
      <c r="V18" s="288" cm="1">
        <f t="array" aca="1" ref="V18" ca="1">INDIRECT("'"&amp;$C18&amp;"'!"&amp;"$"&amp;$D18&amp;$V$1&amp;"")</f>
        <v>2</v>
      </c>
      <c r="W18" s="289">
        <f>3.8*3.6</f>
        <v>13.68</v>
      </c>
      <c r="X18" s="289">
        <v>0.91</v>
      </c>
      <c r="Y18" s="290">
        <v>0.95</v>
      </c>
      <c r="Z18" s="286" cm="1">
        <f t="array" aca="1" ref="Z18" ca="1">INDIRECT("'"&amp;$C18&amp;"'!"&amp;"$"&amp;$D18&amp;$Z$1&amp;"")</f>
        <v>0</v>
      </c>
      <c r="AA18" s="289" t="s">
        <v>1</v>
      </c>
      <c r="AB18" s="289" t="s">
        <v>1</v>
      </c>
      <c r="AC18" s="287" t="s">
        <v>1</v>
      </c>
      <c r="AD18" s="288" cm="1">
        <f t="array" aca="1" ref="AD18" ca="1">INDIRECT("'"&amp;$C18&amp;"'!"&amp;"$"&amp;$D18&amp;$AD$1&amp;"")</f>
        <v>3</v>
      </c>
      <c r="AE18" s="289">
        <v>13.68</v>
      </c>
      <c r="AF18" s="289">
        <v>0.91</v>
      </c>
      <c r="AG18" s="290">
        <v>1.17</v>
      </c>
      <c r="AH18" s="286" cm="1">
        <f t="array" aca="1" ref="AH18" ca="1">INDIRECT("'"&amp;$C18&amp;"'!"&amp;"$"&amp;$D18&amp;$AH$1&amp;"")</f>
        <v>3</v>
      </c>
      <c r="AI18" s="289">
        <v>14.04</v>
      </c>
      <c r="AJ18" s="289">
        <v>0.97</v>
      </c>
      <c r="AK18" s="287">
        <v>0.96</v>
      </c>
      <c r="AL18" s="286">
        <v>11.8</v>
      </c>
      <c r="AM18" s="290">
        <v>70.400000000000006</v>
      </c>
      <c r="AN18" s="286" cm="1">
        <f t="array" aca="1" ref="AN18" ca="1">INDIRECT("'"&amp;$C18&amp;"'!"&amp;"$"&amp;$D18&amp;$AL$1&amp;"")</f>
        <v>3</v>
      </c>
      <c r="AO18" s="289">
        <v>0.96</v>
      </c>
      <c r="AP18" s="287">
        <v>0.97</v>
      </c>
      <c r="AQ18" s="288" t="str" cm="1">
        <f t="array" aca="1" ref="AQ18" ca="1">INDIRECT("'"&amp;$C18&amp;"'!"&amp;"$"&amp;$D18&amp;$AQ$1&amp;"")</f>
        <v>CMS</v>
      </c>
      <c r="AR18" s="289" t="s">
        <v>1</v>
      </c>
      <c r="AS18" s="287" t="s">
        <v>1</v>
      </c>
      <c r="AT18" s="289" cm="1">
        <f t="array" aca="1" ref="AT18" ca="1">INDIRECT("'"&amp;$C18&amp;"'!"&amp;"$"&amp;$D18&amp;$AT$1&amp;"")</f>
        <v>0</v>
      </c>
      <c r="AU18" s="288" t="s">
        <v>1</v>
      </c>
      <c r="AV18" s="289" t="s">
        <v>1</v>
      </c>
      <c r="AW18" s="287" t="s">
        <v>1</v>
      </c>
      <c r="AX18" s="291">
        <v>14.14</v>
      </c>
      <c r="AY18" s="290">
        <v>71.319999999999993</v>
      </c>
      <c r="AZ18" s="291" cm="1">
        <f t="array" aca="1" ref="AZ18" ca="1">INDIRECT("'"&amp;$C18&amp;"'!"&amp;"$"&amp;$D18&amp;$AZ$1&amp;"")</f>
        <v>12.78</v>
      </c>
      <c r="BA18" s="289">
        <v>0.98</v>
      </c>
      <c r="BB18" s="287">
        <v>3.2</v>
      </c>
      <c r="BC18" s="292">
        <v>68.8</v>
      </c>
      <c r="BD18" s="286" cm="1">
        <f t="array" aca="1" ref="BD18" ca="1">INDIRECT("'"&amp;$C18&amp;"'!"&amp;"$"&amp;$D18&amp;$BC$1&amp;"")</f>
        <v>0</v>
      </c>
      <c r="BE18" s="288" t="s">
        <v>1</v>
      </c>
      <c r="BF18" s="287" t="s">
        <v>1</v>
      </c>
      <c r="BG18" s="291" cm="1">
        <f t="array" aca="1" ref="BG18" ca="1">INDIRECT("'"&amp;$C18&amp;"'!"&amp;"$"&amp;$D18&amp;$BG$1&amp;"")</f>
        <v>1.2</v>
      </c>
      <c r="BH18" s="289"/>
      <c r="BI18" s="289">
        <v>0.99</v>
      </c>
      <c r="BJ18" s="287">
        <v>0.19</v>
      </c>
      <c r="BK18" s="292" cm="1">
        <f t="array" aca="1" ref="BK18" ca="1">INDIRECT("'"&amp;$C18&amp;"'!"&amp;"$"&amp;$D18&amp;$BK$1&amp;"")</f>
        <v>0.9</v>
      </c>
      <c r="BL18" s="289"/>
      <c r="BM18" s="289">
        <v>0.96</v>
      </c>
      <c r="BN18" s="287">
        <v>0.27</v>
      </c>
      <c r="BO18" s="292" cm="1">
        <f t="array" aca="1" ref="BO18" ca="1">INDIRECT("'"&amp;$C18&amp;"'!"&amp;"$"&amp;$D18&amp;74&amp;"")</f>
        <v>0</v>
      </c>
      <c r="BP18" s="289"/>
      <c r="BQ18" s="289" t="s">
        <v>1</v>
      </c>
      <c r="BR18" s="287" t="s">
        <v>1</v>
      </c>
    </row>
    <row r="19" spans="1:70">
      <c r="A19" s="361">
        <v>45748</v>
      </c>
      <c r="B19" s="358">
        <v>0.58333333333333404</v>
      </c>
      <c r="C19" s="313">
        <v>1</v>
      </c>
      <c r="D19" s="314" t="s">
        <v>141</v>
      </c>
      <c r="E19" s="293">
        <v>14.1</v>
      </c>
      <c r="F19" s="294">
        <v>69.760000000000005</v>
      </c>
      <c r="G19" s="295" cm="1">
        <f t="array" aca="1" ref="G19" ca="1">INDIRECT("'"&amp;$C19&amp;"'!"&amp;"$"&amp;$D19&amp;$E$1&amp;"")</f>
        <v>6.5</v>
      </c>
      <c r="H19" s="296">
        <v>0.96</v>
      </c>
      <c r="I19" s="294">
        <v>1.96</v>
      </c>
      <c r="J19" s="295" cm="1">
        <f t="array" aca="1" ref="J19" ca="1">INDIRECT("'"&amp;$C19&amp;"'!"&amp;"$"&amp;$D19&amp;$J$1&amp;"")</f>
        <v>2.9</v>
      </c>
      <c r="K19" s="296"/>
      <c r="L19" s="296">
        <v>0.97</v>
      </c>
      <c r="M19" s="294">
        <v>1.5</v>
      </c>
      <c r="N19" s="295" cm="1">
        <f t="array" aca="1" ref="N19" ca="1">INDIRECT("'"&amp;$C19&amp;"'!"&amp;"$"&amp;$D19&amp;$N$1&amp;"")</f>
        <v>6.5</v>
      </c>
      <c r="O19" s="296"/>
      <c r="P19" s="296">
        <v>0.96</v>
      </c>
      <c r="Q19" s="294">
        <v>1.96</v>
      </c>
      <c r="R19" s="295" cm="1">
        <f t="array" aca="1" ref="R19" ca="1">INDIRECT("'"&amp;$C19&amp;"'!"&amp;"$"&amp;$D19&amp;$R$1&amp;"")</f>
        <v>6.5</v>
      </c>
      <c r="S19" s="296"/>
      <c r="T19" s="296">
        <v>0.96</v>
      </c>
      <c r="U19" s="294">
        <v>1.96</v>
      </c>
      <c r="V19" s="295" cm="1">
        <f t="array" aca="1" ref="V19" ca="1">INDIRECT("'"&amp;$C19&amp;"'!"&amp;"$"&amp;$D19&amp;$V$1&amp;"")</f>
        <v>2</v>
      </c>
      <c r="W19" s="296">
        <f>3.5*3.8</f>
        <v>13.299999999999999</v>
      </c>
      <c r="X19" s="296">
        <v>0.92</v>
      </c>
      <c r="Y19" s="297">
        <v>1.08</v>
      </c>
      <c r="Z19" s="293" cm="1">
        <f t="array" aca="1" ref="Z19" ca="1">INDIRECT("'"&amp;$C19&amp;"'!"&amp;"$"&amp;$D19&amp;$Z$1&amp;"")</f>
        <v>0</v>
      </c>
      <c r="AA19" s="296" t="s">
        <v>1</v>
      </c>
      <c r="AB19" s="296" t="s">
        <v>1</v>
      </c>
      <c r="AC19" s="294" t="s">
        <v>1</v>
      </c>
      <c r="AD19" s="295" cm="1">
        <f t="array" aca="1" ref="AD19" ca="1">INDIRECT("'"&amp;$C19&amp;"'!"&amp;"$"&amp;$D19&amp;$AD$1&amp;"")</f>
        <v>3</v>
      </c>
      <c r="AE19" s="296">
        <f>3.5*3.8</f>
        <v>13.299999999999999</v>
      </c>
      <c r="AF19" s="296">
        <v>0.92</v>
      </c>
      <c r="AG19" s="297">
        <v>1.72</v>
      </c>
      <c r="AH19" s="293" cm="1">
        <f t="array" aca="1" ref="AH19" ca="1">INDIRECT("'"&amp;$C19&amp;"'!"&amp;"$"&amp;$D19&amp;$AH$1&amp;"")</f>
        <v>3</v>
      </c>
      <c r="AI19" s="296">
        <v>14.04</v>
      </c>
      <c r="AJ19" s="296">
        <v>0.96</v>
      </c>
      <c r="AK19" s="294">
        <v>1.07</v>
      </c>
      <c r="AL19" s="293">
        <v>11.8</v>
      </c>
      <c r="AM19" s="297">
        <v>70.2</v>
      </c>
      <c r="AN19" s="293" cm="1">
        <f t="array" aca="1" ref="AN19" ca="1">INDIRECT("'"&amp;$C19&amp;"'!"&amp;"$"&amp;$D19&amp;$AL$1&amp;"")</f>
        <v>3.6</v>
      </c>
      <c r="AO19" s="296">
        <v>0.96</v>
      </c>
      <c r="AP19" s="294">
        <v>1.1299999999999999</v>
      </c>
      <c r="AQ19" s="295" t="str" cm="1">
        <f t="array" aca="1" ref="AQ19" ca="1">INDIRECT("'"&amp;$C19&amp;"'!"&amp;"$"&amp;$D19&amp;$AQ$1&amp;"")</f>
        <v>CMS</v>
      </c>
      <c r="AR19" s="296" t="s">
        <v>1</v>
      </c>
      <c r="AS19" s="294" t="s">
        <v>1</v>
      </c>
      <c r="AT19" s="296" cm="1">
        <f t="array" aca="1" ref="AT19" ca="1">INDIRECT("'"&amp;$C19&amp;"'!"&amp;"$"&amp;$D19&amp;$AT$1&amp;"")</f>
        <v>0</v>
      </c>
      <c r="AU19" s="295" t="s">
        <v>1</v>
      </c>
      <c r="AV19" s="296" t="s">
        <v>1</v>
      </c>
      <c r="AW19" s="294" t="s">
        <v>1</v>
      </c>
      <c r="AX19" s="298">
        <v>14.2</v>
      </c>
      <c r="AY19" s="297">
        <v>71.5</v>
      </c>
      <c r="AZ19" s="298" cm="1">
        <f t="array" aca="1" ref="AZ19" ca="1">INDIRECT("'"&amp;$C19&amp;"'!"&amp;"$"&amp;$D19&amp;$AZ$1&amp;"")</f>
        <v>14.27</v>
      </c>
      <c r="BA19" s="296">
        <v>0.98</v>
      </c>
      <c r="BB19" s="294">
        <v>3.5</v>
      </c>
      <c r="BC19" s="299">
        <v>68.5</v>
      </c>
      <c r="BD19" s="293" cm="1">
        <f t="array" aca="1" ref="BD19" ca="1">INDIRECT("'"&amp;$C19&amp;"'!"&amp;"$"&amp;$D19&amp;$BC$1&amp;"")</f>
        <v>0</v>
      </c>
      <c r="BE19" s="295" t="s">
        <v>1</v>
      </c>
      <c r="BF19" s="294" t="s">
        <v>1</v>
      </c>
      <c r="BG19" s="298" cm="1">
        <f t="array" aca="1" ref="BG19" ca="1">INDIRECT("'"&amp;$C19&amp;"'!"&amp;"$"&amp;$D19&amp;$BG$1&amp;"")</f>
        <v>1.25</v>
      </c>
      <c r="BH19" s="296"/>
      <c r="BI19" s="296">
        <v>0.99</v>
      </c>
      <c r="BJ19" s="294">
        <v>0.23</v>
      </c>
      <c r="BK19" s="299" cm="1">
        <f t="array" aca="1" ref="BK19" ca="1">INDIRECT("'"&amp;$C19&amp;"'!"&amp;"$"&amp;$D19&amp;$BK$1&amp;"")</f>
        <v>0.9</v>
      </c>
      <c r="BL19" s="296"/>
      <c r="BM19" s="296">
        <v>0.96</v>
      </c>
      <c r="BN19" s="294">
        <v>0.26</v>
      </c>
      <c r="BO19" s="299" cm="1">
        <f t="array" aca="1" ref="BO19" ca="1">INDIRECT("'"&amp;$C19&amp;"'!"&amp;"$"&amp;$D19&amp;74&amp;"")</f>
        <v>0</v>
      </c>
      <c r="BP19" s="296"/>
      <c r="BQ19" s="296" t="s">
        <v>1</v>
      </c>
      <c r="BR19" s="294" t="s">
        <v>1</v>
      </c>
    </row>
    <row r="20" spans="1:70">
      <c r="A20" s="361">
        <v>45748</v>
      </c>
      <c r="B20" s="358">
        <v>0.625</v>
      </c>
      <c r="C20" s="313">
        <v>1</v>
      </c>
      <c r="D20" s="314" t="s">
        <v>142</v>
      </c>
      <c r="E20" s="286">
        <v>14.1</v>
      </c>
      <c r="F20" s="287">
        <v>69.06</v>
      </c>
      <c r="G20" s="288" cm="1">
        <f t="array" aca="1" ref="G20" ca="1">INDIRECT("'"&amp;$C20&amp;"'!"&amp;"$"&amp;$D20&amp;$E$1&amp;"")</f>
        <v>6.5</v>
      </c>
      <c r="H20" s="289">
        <v>0.95</v>
      </c>
      <c r="I20" s="287">
        <v>2.23</v>
      </c>
      <c r="J20" s="288" cm="1">
        <f t="array" aca="1" ref="J20" ca="1">INDIRECT("'"&amp;$C20&amp;"'!"&amp;"$"&amp;$D20&amp;$J$1&amp;"")</f>
        <v>6.5</v>
      </c>
      <c r="K20" s="289"/>
      <c r="L20" s="289">
        <v>0.95</v>
      </c>
      <c r="M20" s="287">
        <v>2.23</v>
      </c>
      <c r="N20" s="288" cm="1">
        <f t="array" aca="1" ref="N20" ca="1">INDIRECT("'"&amp;$C20&amp;"'!"&amp;"$"&amp;$D20&amp;$N$1&amp;"")</f>
        <v>6.5</v>
      </c>
      <c r="O20" s="289"/>
      <c r="P20" s="289">
        <v>0.95</v>
      </c>
      <c r="Q20" s="287">
        <v>2.23</v>
      </c>
      <c r="R20" s="288" cm="1">
        <f t="array" aca="1" ref="R20" ca="1">INDIRECT("'"&amp;$C20&amp;"'!"&amp;"$"&amp;$D20&amp;$R$1&amp;"")</f>
        <v>6.5</v>
      </c>
      <c r="S20" s="289"/>
      <c r="T20" s="289">
        <v>0.95</v>
      </c>
      <c r="U20" s="287">
        <v>2.23</v>
      </c>
      <c r="V20" s="288" cm="1">
        <f t="array" aca="1" ref="V20" ca="1">INDIRECT("'"&amp;$C20&amp;"'!"&amp;"$"&amp;$D20&amp;$V$1&amp;"")</f>
        <v>2.5</v>
      </c>
      <c r="W20" s="289">
        <f>3.61*3.8</f>
        <v>13.717999999999998</v>
      </c>
      <c r="X20" s="289">
        <v>0.92</v>
      </c>
      <c r="Y20" s="290">
        <v>1.1200000000000001</v>
      </c>
      <c r="Z20" s="286" cm="1">
        <f t="array" aca="1" ref="Z20" ca="1">INDIRECT("'"&amp;$C20&amp;"'!"&amp;"$"&amp;$D20&amp;$Z$1&amp;"")</f>
        <v>0</v>
      </c>
      <c r="AA20" s="289" t="s">
        <v>1</v>
      </c>
      <c r="AB20" s="289" t="s">
        <v>1</v>
      </c>
      <c r="AC20" s="287" t="s">
        <v>1</v>
      </c>
      <c r="AD20" s="288" cm="1">
        <f t="array" aca="1" ref="AD20" ca="1">INDIRECT("'"&amp;$C20&amp;"'!"&amp;"$"&amp;$D20&amp;$AD$1&amp;"")</f>
        <v>3</v>
      </c>
      <c r="AE20" s="289">
        <f>3.61*3.8</f>
        <v>13.717999999999998</v>
      </c>
      <c r="AF20" s="289">
        <v>0.92</v>
      </c>
      <c r="AG20" s="290">
        <v>1.75</v>
      </c>
      <c r="AH20" s="286" cm="1">
        <f t="array" aca="1" ref="AH20" ca="1">INDIRECT("'"&amp;$C20&amp;"'!"&amp;"$"&amp;$D20&amp;$AH$1&amp;"")</f>
        <v>3</v>
      </c>
      <c r="AI20" s="289">
        <v>14</v>
      </c>
      <c r="AJ20" s="289">
        <v>0.94</v>
      </c>
      <c r="AK20" s="287">
        <v>1.31</v>
      </c>
      <c r="AL20" s="286">
        <v>11.8</v>
      </c>
      <c r="AM20" s="290">
        <v>69.8</v>
      </c>
      <c r="AN20" s="286" cm="1">
        <f t="array" aca="1" ref="AN20" ca="1">INDIRECT("'"&amp;$C20&amp;"'!"&amp;"$"&amp;$D20&amp;$AL$1&amp;"")</f>
        <v>4.0999999999999996</v>
      </c>
      <c r="AO20" s="289">
        <v>0.93</v>
      </c>
      <c r="AP20" s="287">
        <v>1.65</v>
      </c>
      <c r="AQ20" s="288" t="str" cm="1">
        <f t="array" aca="1" ref="AQ20" ca="1">INDIRECT("'"&amp;$C20&amp;"'!"&amp;"$"&amp;$D20&amp;$AQ$1&amp;"")</f>
        <v>CMS</v>
      </c>
      <c r="AR20" s="289" t="s">
        <v>1</v>
      </c>
      <c r="AS20" s="287" t="s">
        <v>1</v>
      </c>
      <c r="AT20" s="289" cm="1">
        <f t="array" aca="1" ref="AT20" ca="1">INDIRECT("'"&amp;$C20&amp;"'!"&amp;"$"&amp;$D20&amp;$AT$1&amp;"")</f>
        <v>0</v>
      </c>
      <c r="AU20" s="288" t="s">
        <v>1</v>
      </c>
      <c r="AV20" s="289" t="s">
        <v>1</v>
      </c>
      <c r="AW20" s="287" t="s">
        <v>1</v>
      </c>
      <c r="AX20" s="291">
        <v>14.12</v>
      </c>
      <c r="AY20" s="290">
        <v>71.13</v>
      </c>
      <c r="AZ20" s="291" cm="1">
        <f t="array" aca="1" ref="AZ20" ca="1">INDIRECT("'"&amp;$C20&amp;"'!"&amp;"$"&amp;$D20&amp;$AZ$1&amp;"")</f>
        <v>14.3</v>
      </c>
      <c r="BA20" s="289">
        <v>0.98</v>
      </c>
      <c r="BB20" s="287">
        <v>3.5</v>
      </c>
      <c r="BC20" s="292">
        <v>67.400000000000006</v>
      </c>
      <c r="BD20" s="286" cm="1">
        <f t="array" aca="1" ref="BD20" ca="1">INDIRECT("'"&amp;$C20&amp;"'!"&amp;"$"&amp;$D20&amp;$BC$1&amp;"")</f>
        <v>0</v>
      </c>
      <c r="BE20" s="288" t="s">
        <v>1</v>
      </c>
      <c r="BF20" s="287" t="s">
        <v>1</v>
      </c>
      <c r="BG20" s="291" cm="1">
        <f t="array" aca="1" ref="BG20" ca="1">INDIRECT("'"&amp;$C20&amp;"'!"&amp;"$"&amp;$D20&amp;$BG$1&amp;"")</f>
        <v>1.2549999999999999</v>
      </c>
      <c r="BH20" s="289"/>
      <c r="BI20" s="289">
        <v>0.99</v>
      </c>
      <c r="BJ20" s="287">
        <v>0.21</v>
      </c>
      <c r="BK20" s="292" cm="1">
        <f t="array" aca="1" ref="BK20" ca="1">INDIRECT("'"&amp;$C20&amp;"'!"&amp;"$"&amp;$D20&amp;$BK$1&amp;"")</f>
        <v>0.91</v>
      </c>
      <c r="BL20" s="289"/>
      <c r="BM20" s="289">
        <v>0.96</v>
      </c>
      <c r="BN20" s="287">
        <v>0.27</v>
      </c>
      <c r="BO20" s="292" cm="1">
        <f t="array" aca="1" ref="BO20" ca="1">INDIRECT("'"&amp;$C20&amp;"'!"&amp;"$"&amp;$D20&amp;74&amp;"")</f>
        <v>0</v>
      </c>
      <c r="BP20" s="289"/>
      <c r="BQ20" s="289" t="s">
        <v>1</v>
      </c>
      <c r="BR20" s="287" t="s">
        <v>1</v>
      </c>
    </row>
    <row r="21" spans="1:70">
      <c r="A21" s="361">
        <v>45748</v>
      </c>
      <c r="B21" s="358">
        <v>0.66666666666666696</v>
      </c>
      <c r="C21" s="313">
        <v>1</v>
      </c>
      <c r="D21" s="314" t="s">
        <v>143</v>
      </c>
      <c r="E21" s="293">
        <v>14.1</v>
      </c>
      <c r="F21" s="294">
        <v>69.38</v>
      </c>
      <c r="G21" s="295" cm="1">
        <f t="array" aca="1" ref="G21" ca="1">INDIRECT("'"&amp;$C21&amp;"'!"&amp;"$"&amp;$D21&amp;$E$1&amp;"")</f>
        <v>6.4</v>
      </c>
      <c r="H21" s="296">
        <v>0.95</v>
      </c>
      <c r="I21" s="294">
        <v>2.09</v>
      </c>
      <c r="J21" s="295" cm="1">
        <f t="array" aca="1" ref="J21" ca="1">INDIRECT("'"&amp;$C21&amp;"'!"&amp;"$"&amp;$D21&amp;$J$1&amp;"")</f>
        <v>6.4</v>
      </c>
      <c r="K21" s="296"/>
      <c r="L21" s="296">
        <v>0.95</v>
      </c>
      <c r="M21" s="294">
        <v>2.09</v>
      </c>
      <c r="N21" s="295" cm="1">
        <f t="array" aca="1" ref="N21" ca="1">INDIRECT("'"&amp;$C21&amp;"'!"&amp;"$"&amp;$D21&amp;$N$1&amp;"")</f>
        <v>6.4</v>
      </c>
      <c r="O21" s="296"/>
      <c r="P21" s="296">
        <v>0.95</v>
      </c>
      <c r="Q21" s="294">
        <v>2.09</v>
      </c>
      <c r="R21" s="295" cm="1">
        <f t="array" aca="1" ref="R21" ca="1">INDIRECT("'"&amp;$C21&amp;"'!"&amp;"$"&amp;$D21&amp;$R$1&amp;"")</f>
        <v>6.4</v>
      </c>
      <c r="S21" s="296"/>
      <c r="T21" s="296">
        <v>0.95</v>
      </c>
      <c r="U21" s="294">
        <v>2.09</v>
      </c>
      <c r="V21" s="295" cm="1">
        <f t="array" aca="1" ref="V21" ca="1">INDIRECT("'"&amp;$C21&amp;"'!"&amp;"$"&amp;$D21&amp;$V$1&amp;"")</f>
        <v>2.6</v>
      </c>
      <c r="W21" s="296">
        <f>3.52*3.8</f>
        <v>13.375999999999999</v>
      </c>
      <c r="X21" s="296">
        <v>0.92</v>
      </c>
      <c r="Y21" s="297">
        <v>1.1399999999999999</v>
      </c>
      <c r="Z21" s="293" cm="1">
        <f t="array" aca="1" ref="Z21" ca="1">INDIRECT("'"&amp;$C21&amp;"'!"&amp;"$"&amp;$D21&amp;$Z$1&amp;"")</f>
        <v>0</v>
      </c>
      <c r="AA21" s="296" t="s">
        <v>1</v>
      </c>
      <c r="AB21" s="296" t="s">
        <v>1</v>
      </c>
      <c r="AC21" s="294" t="s">
        <v>1</v>
      </c>
      <c r="AD21" s="295" cm="1">
        <f t="array" aca="1" ref="AD21" ca="1">INDIRECT("'"&amp;$C21&amp;"'!"&amp;"$"&amp;$D21&amp;$AD$1&amp;"")</f>
        <v>3</v>
      </c>
      <c r="AE21" s="296">
        <f>3.52*3.8</f>
        <v>13.375999999999999</v>
      </c>
      <c r="AF21" s="296">
        <v>0.92</v>
      </c>
      <c r="AG21" s="297">
        <v>1.7</v>
      </c>
      <c r="AH21" s="293" cm="1">
        <f t="array" aca="1" ref="AH21" ca="1">INDIRECT("'"&amp;$C21&amp;"'!"&amp;"$"&amp;$D21&amp;$AH$1&amp;"")</f>
        <v>3</v>
      </c>
      <c r="AI21" s="296">
        <v>14</v>
      </c>
      <c r="AJ21" s="296">
        <v>0.94</v>
      </c>
      <c r="AK21" s="294">
        <v>1.32</v>
      </c>
      <c r="AL21" s="293">
        <v>11.8</v>
      </c>
      <c r="AM21" s="297">
        <v>70</v>
      </c>
      <c r="AN21" s="293" cm="1">
        <f t="array" aca="1" ref="AN21" ca="1">INDIRECT("'"&amp;$C21&amp;"'!"&amp;"$"&amp;$D21&amp;$AL$1&amp;"")</f>
        <v>3.9</v>
      </c>
      <c r="AO21" s="296">
        <v>0.94</v>
      </c>
      <c r="AP21" s="294">
        <v>1.31</v>
      </c>
      <c r="AQ21" s="295" t="str" cm="1">
        <f t="array" aca="1" ref="AQ21" ca="1">INDIRECT("'"&amp;$C21&amp;"'!"&amp;"$"&amp;$D21&amp;$AQ$1&amp;"")</f>
        <v>CMS</v>
      </c>
      <c r="AR21" s="296" t="s">
        <v>1</v>
      </c>
      <c r="AS21" s="294" t="s">
        <v>1</v>
      </c>
      <c r="AT21" s="296" cm="1">
        <f t="array" aca="1" ref="AT21" ca="1">INDIRECT("'"&amp;$C21&amp;"'!"&amp;"$"&amp;$D21&amp;$AT$1&amp;"")</f>
        <v>0</v>
      </c>
      <c r="AU21" s="295" t="s">
        <v>1</v>
      </c>
      <c r="AV21" s="296" t="s">
        <v>1</v>
      </c>
      <c r="AW21" s="294" t="s">
        <v>1</v>
      </c>
      <c r="AX21" s="298">
        <v>14.17</v>
      </c>
      <c r="AY21" s="297">
        <v>71.41</v>
      </c>
      <c r="AZ21" s="298" cm="1">
        <f t="array" aca="1" ref="AZ21" ca="1">INDIRECT("'"&amp;$C21&amp;"'!"&amp;"$"&amp;$D21&amp;$AZ$1&amp;"")</f>
        <v>13.28</v>
      </c>
      <c r="BA21" s="296">
        <v>0.98</v>
      </c>
      <c r="BB21" s="294">
        <v>3.3</v>
      </c>
      <c r="BC21" s="299">
        <v>68</v>
      </c>
      <c r="BD21" s="293" cm="1">
        <f t="array" aca="1" ref="BD21" ca="1">INDIRECT("'"&amp;$C21&amp;"'!"&amp;"$"&amp;$D21&amp;$BC$1&amp;"")</f>
        <v>0</v>
      </c>
      <c r="BE21" s="295" t="s">
        <v>1</v>
      </c>
      <c r="BF21" s="294" t="s">
        <v>1</v>
      </c>
      <c r="BG21" s="298" cm="1">
        <f t="array" aca="1" ref="BG21" ca="1">INDIRECT("'"&amp;$C21&amp;"'!"&amp;"$"&amp;$D21&amp;$BG$1&amp;"")</f>
        <v>1.27</v>
      </c>
      <c r="BH21" s="296"/>
      <c r="BI21" s="296">
        <v>0.99</v>
      </c>
      <c r="BJ21" s="294">
        <v>0.22</v>
      </c>
      <c r="BK21" s="299" cm="1">
        <f t="array" aca="1" ref="BK21" ca="1">INDIRECT("'"&amp;$C21&amp;"'!"&amp;"$"&amp;$D21&amp;$BK$1&amp;"")</f>
        <v>0.92</v>
      </c>
      <c r="BL21" s="296"/>
      <c r="BM21" s="296">
        <v>0.96</v>
      </c>
      <c r="BN21" s="294">
        <v>0.26</v>
      </c>
      <c r="BO21" s="299" cm="1">
        <f t="array" aca="1" ref="BO21" ca="1">INDIRECT("'"&amp;$C21&amp;"'!"&amp;"$"&amp;$D21&amp;74&amp;"")</f>
        <v>0</v>
      </c>
      <c r="BP21" s="296"/>
      <c r="BQ21" s="296" t="s">
        <v>1</v>
      </c>
      <c r="BR21" s="294" t="s">
        <v>1</v>
      </c>
    </row>
    <row r="22" spans="1:70">
      <c r="A22" s="361">
        <v>45748</v>
      </c>
      <c r="B22" s="358">
        <v>0.70833333333333404</v>
      </c>
      <c r="C22" s="313">
        <v>1</v>
      </c>
      <c r="D22" s="314" t="s">
        <v>144</v>
      </c>
      <c r="E22" s="286">
        <v>14</v>
      </c>
      <c r="F22" s="287">
        <v>69.14</v>
      </c>
      <c r="G22" s="288" cm="1">
        <f t="array" aca="1" ref="G22" ca="1">INDIRECT("'"&amp;$C22&amp;"'!"&amp;"$"&amp;$D22&amp;$E$1&amp;"")</f>
        <v>6.2</v>
      </c>
      <c r="H22" s="289">
        <v>0.95</v>
      </c>
      <c r="I22" s="287">
        <v>2.14</v>
      </c>
      <c r="J22" s="288" cm="1">
        <f t="array" aca="1" ref="J22" ca="1">INDIRECT("'"&amp;$C22&amp;"'!"&amp;"$"&amp;$D22&amp;$J$1&amp;"")</f>
        <v>6.2</v>
      </c>
      <c r="K22" s="289"/>
      <c r="L22" s="289">
        <v>0.95</v>
      </c>
      <c r="M22" s="287">
        <v>2.14</v>
      </c>
      <c r="N22" s="288" cm="1">
        <f t="array" aca="1" ref="N22" ca="1">INDIRECT("'"&amp;$C22&amp;"'!"&amp;"$"&amp;$D22&amp;$N$1&amp;"")</f>
        <v>6.2</v>
      </c>
      <c r="O22" s="289"/>
      <c r="P22" s="289">
        <v>0.95</v>
      </c>
      <c r="Q22" s="287">
        <v>2.14</v>
      </c>
      <c r="R22" s="288" cm="1">
        <f t="array" aca="1" ref="R22" ca="1">INDIRECT("'"&amp;$C22&amp;"'!"&amp;"$"&amp;$D22&amp;$R$1&amp;"")</f>
        <v>6.2</v>
      </c>
      <c r="S22" s="289"/>
      <c r="T22" s="289">
        <v>0.95</v>
      </c>
      <c r="U22" s="287">
        <v>2.14</v>
      </c>
      <c r="V22" s="288" cm="1">
        <f t="array" aca="1" ref="V22" ca="1">INDIRECT("'"&amp;$C22&amp;"'!"&amp;"$"&amp;$D22&amp;$V$1&amp;"")</f>
        <v>2.1</v>
      </c>
      <c r="W22" s="289">
        <f>3.52*3.8</f>
        <v>13.375999999999999</v>
      </c>
      <c r="X22" s="289">
        <v>0.92</v>
      </c>
      <c r="Y22" s="290">
        <v>1.08</v>
      </c>
      <c r="Z22" s="286" cm="1">
        <f t="array" aca="1" ref="Z22" ca="1">INDIRECT("'"&amp;$C22&amp;"'!"&amp;"$"&amp;$D22&amp;$Z$1&amp;"")</f>
        <v>0</v>
      </c>
      <c r="AA22" s="289" t="s">
        <v>1</v>
      </c>
      <c r="AB22" s="289" t="s">
        <v>1</v>
      </c>
      <c r="AC22" s="287" t="s">
        <v>1</v>
      </c>
      <c r="AD22" s="288" cm="1">
        <f t="array" aca="1" ref="AD22" ca="1">INDIRECT("'"&amp;$C22&amp;"'!"&amp;"$"&amp;$D22&amp;$AD$1&amp;"")</f>
        <v>3</v>
      </c>
      <c r="AE22" s="289">
        <v>13.375999999999999</v>
      </c>
      <c r="AF22" s="289">
        <v>0.92</v>
      </c>
      <c r="AG22" s="290">
        <v>1.68</v>
      </c>
      <c r="AH22" s="286" cm="1">
        <f t="array" aca="1" ref="AH22" ca="1">INDIRECT("'"&amp;$C22&amp;"'!"&amp;"$"&amp;$D22&amp;$AH$1&amp;"")</f>
        <v>3</v>
      </c>
      <c r="AI22" s="289">
        <v>14</v>
      </c>
      <c r="AJ22" s="289">
        <v>0.95</v>
      </c>
      <c r="AK22" s="287">
        <v>1.29</v>
      </c>
      <c r="AL22" s="286">
        <v>11.8</v>
      </c>
      <c r="AM22" s="290">
        <v>70</v>
      </c>
      <c r="AN22" s="286" cm="1">
        <f t="array" aca="1" ref="AN22" ca="1">INDIRECT("'"&amp;$C22&amp;"'!"&amp;"$"&amp;$D22&amp;$AL$1&amp;"")</f>
        <v>3.5</v>
      </c>
      <c r="AO22" s="289">
        <v>0.93</v>
      </c>
      <c r="AP22" s="287">
        <v>1.41</v>
      </c>
      <c r="AQ22" s="288" t="str" cm="1">
        <f t="array" aca="1" ref="AQ22" ca="1">INDIRECT("'"&amp;$C22&amp;"'!"&amp;"$"&amp;$D22&amp;$AQ$1&amp;"")</f>
        <v>CMS</v>
      </c>
      <c r="AR22" s="289" t="s">
        <v>1</v>
      </c>
      <c r="AS22" s="287" t="s">
        <v>1</v>
      </c>
      <c r="AT22" s="289" cm="1">
        <f t="array" aca="1" ref="AT22" ca="1">INDIRECT("'"&amp;$C22&amp;"'!"&amp;"$"&amp;$D22&amp;$AT$1&amp;"")</f>
        <v>0</v>
      </c>
      <c r="AU22" s="288" t="s">
        <v>1</v>
      </c>
      <c r="AV22" s="289" t="s">
        <v>1</v>
      </c>
      <c r="AW22" s="287" t="s">
        <v>1</v>
      </c>
      <c r="AX22" s="291">
        <v>14.14</v>
      </c>
      <c r="AY22" s="290">
        <v>71.290000000000006</v>
      </c>
      <c r="AZ22" s="291" cm="1">
        <f t="array" aca="1" ref="AZ22" ca="1">INDIRECT("'"&amp;$C22&amp;"'!"&amp;"$"&amp;$D22&amp;$AZ$1&amp;"")</f>
        <v>13.29</v>
      </c>
      <c r="BA22" s="289">
        <v>0.98</v>
      </c>
      <c r="BB22" s="287">
        <v>3.3</v>
      </c>
      <c r="BC22" s="292">
        <v>69.7</v>
      </c>
      <c r="BD22" s="286" cm="1">
        <f t="array" aca="1" ref="BD22" ca="1">INDIRECT("'"&amp;$C22&amp;"'!"&amp;"$"&amp;$D22&amp;$BC$1&amp;"")</f>
        <v>0</v>
      </c>
      <c r="BE22" s="288" t="s">
        <v>1</v>
      </c>
      <c r="BF22" s="287" t="s">
        <v>1</v>
      </c>
      <c r="BG22" s="291" cm="1">
        <f t="array" aca="1" ref="BG22" ca="1">INDIRECT("'"&amp;$C22&amp;"'!"&amp;"$"&amp;$D22&amp;$BG$1&amp;"")</f>
        <v>1.26</v>
      </c>
      <c r="BH22" s="289"/>
      <c r="BI22" s="289">
        <v>0.99</v>
      </c>
      <c r="BJ22" s="287">
        <v>0.21</v>
      </c>
      <c r="BK22" s="292" cm="1">
        <f t="array" aca="1" ref="BK22" ca="1">INDIRECT("'"&amp;$C22&amp;"'!"&amp;"$"&amp;$D22&amp;$BK$1&amp;"")</f>
        <v>0.9</v>
      </c>
      <c r="BL22" s="289"/>
      <c r="BM22" s="289">
        <v>0.96</v>
      </c>
      <c r="BN22" s="287">
        <v>0.26</v>
      </c>
      <c r="BO22" s="292" cm="1">
        <f t="array" aca="1" ref="BO22" ca="1">INDIRECT("'"&amp;$C22&amp;"'!"&amp;"$"&amp;$D22&amp;74&amp;"")</f>
        <v>0</v>
      </c>
      <c r="BP22" s="289"/>
      <c r="BQ22" s="289" t="s">
        <v>1</v>
      </c>
      <c r="BR22" s="287" t="s">
        <v>1</v>
      </c>
    </row>
    <row r="23" spans="1:70">
      <c r="A23" s="361">
        <v>45748</v>
      </c>
      <c r="B23" s="358">
        <v>0.750000000000001</v>
      </c>
      <c r="C23" s="313">
        <v>1</v>
      </c>
      <c r="D23" s="314" t="s">
        <v>145</v>
      </c>
      <c r="E23" s="293">
        <v>14.1</v>
      </c>
      <c r="F23" s="294">
        <v>69.91</v>
      </c>
      <c r="G23" s="295" cm="1">
        <f t="array" aca="1" ref="G23" ca="1">INDIRECT("'"&amp;$C23&amp;"'!"&amp;"$"&amp;$D23&amp;$E$1&amp;"")</f>
        <v>6.4</v>
      </c>
      <c r="H23" s="296">
        <v>0.97</v>
      </c>
      <c r="I23" s="294">
        <v>1.76</v>
      </c>
      <c r="J23" s="295" cm="1">
        <f t="array" aca="1" ref="J23" ca="1">INDIRECT("'"&amp;$C23&amp;"'!"&amp;"$"&amp;$D23&amp;$J$1&amp;"")</f>
        <v>6.4</v>
      </c>
      <c r="K23" s="296"/>
      <c r="L23" s="296">
        <v>0.97</v>
      </c>
      <c r="M23" s="294">
        <v>1.76</v>
      </c>
      <c r="N23" s="295" cm="1">
        <f t="array" aca="1" ref="N23" ca="1">INDIRECT("'"&amp;$C23&amp;"'!"&amp;"$"&amp;$D23&amp;$N$1&amp;"")</f>
        <v>6.4</v>
      </c>
      <c r="O23" s="296"/>
      <c r="P23" s="296">
        <v>0.97</v>
      </c>
      <c r="Q23" s="294">
        <v>1.76</v>
      </c>
      <c r="R23" s="295" cm="1">
        <f t="array" aca="1" ref="R23" ca="1">INDIRECT("'"&amp;$C23&amp;"'!"&amp;"$"&amp;$D23&amp;$R$1&amp;"")</f>
        <v>6.4</v>
      </c>
      <c r="S23" s="296"/>
      <c r="T23" s="296">
        <v>0.97</v>
      </c>
      <c r="U23" s="294">
        <v>1.76</v>
      </c>
      <c r="V23" s="295" cm="1">
        <f t="array" aca="1" ref="V23" ca="1">INDIRECT("'"&amp;$C23&amp;"'!"&amp;"$"&amp;$D23&amp;$V$1&amp;"")</f>
        <v>2.1</v>
      </c>
      <c r="W23" s="296">
        <f>3.56*3.8</f>
        <v>13.527999999999999</v>
      </c>
      <c r="X23" s="296">
        <v>0.93</v>
      </c>
      <c r="Y23" s="297">
        <v>0.91</v>
      </c>
      <c r="Z23" s="293" cm="1">
        <f t="array" aca="1" ref="Z23" ca="1">INDIRECT("'"&amp;$C23&amp;"'!"&amp;"$"&amp;$D23&amp;$Z$1&amp;"")</f>
        <v>0</v>
      </c>
      <c r="AA23" s="296" t="s">
        <v>1</v>
      </c>
      <c r="AB23" s="296" t="s">
        <v>1</v>
      </c>
      <c r="AC23" s="294" t="s">
        <v>1</v>
      </c>
      <c r="AD23" s="295" cm="1">
        <f t="array" aca="1" ref="AD23" ca="1">INDIRECT("'"&amp;$C23&amp;"'!"&amp;"$"&amp;$D23&amp;$AD$1&amp;"")</f>
        <v>3</v>
      </c>
      <c r="AE23" s="296">
        <v>13.527999999999999</v>
      </c>
      <c r="AF23" s="296">
        <v>0.93</v>
      </c>
      <c r="AG23" s="297">
        <v>1.61</v>
      </c>
      <c r="AH23" s="293" cm="1">
        <f t="array" aca="1" ref="AH23" ca="1">INDIRECT("'"&amp;$C23&amp;"'!"&amp;"$"&amp;$D23&amp;$AH$1&amp;"")</f>
        <v>3</v>
      </c>
      <c r="AI23" s="296">
        <v>14</v>
      </c>
      <c r="AJ23" s="296">
        <v>0.94</v>
      </c>
      <c r="AK23" s="294">
        <v>1.1299999999999999</v>
      </c>
      <c r="AL23" s="293">
        <v>11.8</v>
      </c>
      <c r="AM23" s="297">
        <v>70.400000000000006</v>
      </c>
      <c r="AN23" s="293" cm="1">
        <f t="array" aca="1" ref="AN23" ca="1">INDIRECT("'"&amp;$C23&amp;"'!"&amp;"$"&amp;$D23&amp;$AL$1&amp;"")</f>
        <v>3</v>
      </c>
      <c r="AO23" s="296">
        <v>0.95</v>
      </c>
      <c r="AP23" s="294">
        <v>0.97</v>
      </c>
      <c r="AQ23" s="295" t="str" cm="1">
        <f t="array" aca="1" ref="AQ23" ca="1">INDIRECT("'"&amp;$C23&amp;"'!"&amp;"$"&amp;$D23&amp;$AQ$1&amp;"")</f>
        <v>CMS</v>
      </c>
      <c r="AR23" s="296" t="s">
        <v>1</v>
      </c>
      <c r="AS23" s="294" t="s">
        <v>1</v>
      </c>
      <c r="AT23" s="296" cm="1">
        <f t="array" aca="1" ref="AT23" ca="1">INDIRECT("'"&amp;$C23&amp;"'!"&amp;"$"&amp;$D23&amp;$AT$1&amp;"")</f>
        <v>0</v>
      </c>
      <c r="AU23" s="295" t="s">
        <v>1</v>
      </c>
      <c r="AV23" s="296" t="s">
        <v>1</v>
      </c>
      <c r="AW23" s="294" t="s">
        <v>1</v>
      </c>
      <c r="AX23" s="298">
        <v>14.21</v>
      </c>
      <c r="AY23" s="297">
        <v>71.69</v>
      </c>
      <c r="AZ23" s="298" cm="1">
        <f t="array" aca="1" ref="AZ23" ca="1">INDIRECT("'"&amp;$C23&amp;"'!"&amp;"$"&amp;$D23&amp;$AZ$1&amp;"")</f>
        <v>12.77</v>
      </c>
      <c r="BA23" s="296">
        <v>0.98</v>
      </c>
      <c r="BB23" s="294">
        <v>3.2</v>
      </c>
      <c r="BC23" s="299">
        <v>68.5</v>
      </c>
      <c r="BD23" s="293" cm="1">
        <f t="array" aca="1" ref="BD23" ca="1">INDIRECT("'"&amp;$C23&amp;"'!"&amp;"$"&amp;$D23&amp;$BC$1&amp;"")</f>
        <v>0</v>
      </c>
      <c r="BE23" s="295" t="s">
        <v>1</v>
      </c>
      <c r="BF23" s="294" t="s">
        <v>1</v>
      </c>
      <c r="BG23" s="298" cm="1">
        <f t="array" aca="1" ref="BG23" ca="1">INDIRECT("'"&amp;$C23&amp;"'!"&amp;"$"&amp;$D23&amp;$BG$1&amp;"")</f>
        <v>1.24</v>
      </c>
      <c r="BH23" s="296"/>
      <c r="BI23" s="296">
        <v>0.99</v>
      </c>
      <c r="BJ23" s="294">
        <v>0.19</v>
      </c>
      <c r="BK23" s="299" cm="1">
        <f t="array" aca="1" ref="BK23" ca="1">INDIRECT("'"&amp;$C23&amp;"'!"&amp;"$"&amp;$D23&amp;$BK$1&amp;"")</f>
        <v>0.91</v>
      </c>
      <c r="BL23" s="296"/>
      <c r="BM23" s="296">
        <v>0.96</v>
      </c>
      <c r="BN23" s="294">
        <v>0.26</v>
      </c>
      <c r="BO23" s="299" cm="1">
        <f t="array" aca="1" ref="BO23" ca="1">INDIRECT("'"&amp;$C23&amp;"'!"&amp;"$"&amp;$D23&amp;74&amp;"")</f>
        <v>0</v>
      </c>
      <c r="BP23" s="296"/>
      <c r="BQ23" s="296" t="s">
        <v>1</v>
      </c>
      <c r="BR23" s="294" t="s">
        <v>1</v>
      </c>
    </row>
    <row r="24" spans="1:70">
      <c r="A24" s="361">
        <v>45748</v>
      </c>
      <c r="B24" s="358">
        <v>0.79166666666666696</v>
      </c>
      <c r="C24" s="313">
        <v>1</v>
      </c>
      <c r="D24" s="314" t="s">
        <v>146</v>
      </c>
      <c r="E24" s="286">
        <v>14.1</v>
      </c>
      <c r="F24" s="287">
        <v>70.400000000000006</v>
      </c>
      <c r="G24" s="288" cm="1">
        <f t="array" aca="1" ref="G24" ca="1">INDIRECT("'"&amp;$C24&amp;"'!"&amp;"$"&amp;$D24&amp;$E$1&amp;"")</f>
        <v>6.6</v>
      </c>
      <c r="H24" s="289">
        <v>0.97</v>
      </c>
      <c r="I24" s="287">
        <v>1.7</v>
      </c>
      <c r="J24" s="288" cm="1">
        <f t="array" aca="1" ref="J24" ca="1">INDIRECT("'"&amp;$C24&amp;"'!"&amp;"$"&amp;$D24&amp;$J$1&amp;"")</f>
        <v>6.6</v>
      </c>
      <c r="K24" s="300"/>
      <c r="L24" s="289">
        <v>0.97</v>
      </c>
      <c r="M24" s="287">
        <v>1.7</v>
      </c>
      <c r="N24" s="288" cm="1">
        <f t="array" aca="1" ref="N24" ca="1">INDIRECT("'"&amp;$C24&amp;"'!"&amp;"$"&amp;$D24&amp;$N$1&amp;"")</f>
        <v>6.6</v>
      </c>
      <c r="O24" s="289"/>
      <c r="P24" s="289">
        <v>0.97</v>
      </c>
      <c r="Q24" s="287">
        <v>1.7</v>
      </c>
      <c r="R24" s="288" cm="1">
        <f t="array" aca="1" ref="R24" ca="1">INDIRECT("'"&amp;$C24&amp;"'!"&amp;"$"&amp;$D24&amp;$R$1&amp;"")</f>
        <v>6.6</v>
      </c>
      <c r="S24" s="289"/>
      <c r="T24" s="289">
        <v>0.97</v>
      </c>
      <c r="U24" s="287">
        <v>1.7</v>
      </c>
      <c r="V24" s="288" cm="1">
        <f t="array" aca="1" ref="V24" ca="1">INDIRECT("'"&amp;$C24&amp;"'!"&amp;"$"&amp;$D24&amp;$V$1&amp;"")</f>
        <v>2.6</v>
      </c>
      <c r="W24" s="289">
        <f>3.8*3.54</f>
        <v>13.452</v>
      </c>
      <c r="X24" s="289">
        <v>0.94</v>
      </c>
      <c r="Y24" s="290">
        <v>0.93</v>
      </c>
      <c r="Z24" s="286" cm="1">
        <f t="array" aca="1" ref="Z24" ca="1">INDIRECT("'"&amp;$C24&amp;"'!"&amp;"$"&amp;$D24&amp;$Z$1&amp;"")</f>
        <v>0</v>
      </c>
      <c r="AA24" s="289" t="s">
        <v>1</v>
      </c>
      <c r="AB24" s="289" t="s">
        <v>1</v>
      </c>
      <c r="AC24" s="287" t="s">
        <v>1</v>
      </c>
      <c r="AD24" s="288" cm="1">
        <f t="array" aca="1" ref="AD24" ca="1">INDIRECT("'"&amp;$C24&amp;"'!"&amp;"$"&amp;$D24&amp;$AD$1&amp;"")</f>
        <v>3.8</v>
      </c>
      <c r="AE24" s="289">
        <f>3.8*3.54</f>
        <v>13.452</v>
      </c>
      <c r="AF24" s="289">
        <v>0.94</v>
      </c>
      <c r="AG24" s="290">
        <v>1.35</v>
      </c>
      <c r="AH24" s="286" cm="1">
        <f t="array" aca="1" ref="AH24" ca="1">INDIRECT("'"&amp;$C24&amp;"'!"&amp;"$"&amp;$D24&amp;$AH$1&amp;"")</f>
        <v>3.8</v>
      </c>
      <c r="AI24" s="289">
        <v>14</v>
      </c>
      <c r="AJ24" s="289">
        <v>0.93</v>
      </c>
      <c r="AK24" s="287">
        <v>1.38</v>
      </c>
      <c r="AL24" s="286">
        <v>11.8</v>
      </c>
      <c r="AM24" s="290">
        <v>70</v>
      </c>
      <c r="AN24" s="286" cm="1">
        <f t="array" aca="1" ref="AN24" ca="1">INDIRECT("'"&amp;$C24&amp;"'!"&amp;"$"&amp;$D24&amp;$AL$1&amp;"")</f>
        <v>4.0999999999999996</v>
      </c>
      <c r="AO24" s="289">
        <v>0.93</v>
      </c>
      <c r="AP24" s="287">
        <v>1.46</v>
      </c>
      <c r="AQ24" s="288" t="str" cm="1">
        <f t="array" aca="1" ref="AQ24" ca="1">INDIRECT("'"&amp;$C24&amp;"'!"&amp;"$"&amp;$D24&amp;$AQ$1&amp;"")</f>
        <v>CMS</v>
      </c>
      <c r="AR24" s="289" t="s">
        <v>1</v>
      </c>
      <c r="AS24" s="287" t="s">
        <v>1</v>
      </c>
      <c r="AT24" s="289" cm="1">
        <f t="array" aca="1" ref="AT24" ca="1">INDIRECT("'"&amp;$C24&amp;"'!"&amp;"$"&amp;$D24&amp;$AT$1&amp;"")</f>
        <v>0</v>
      </c>
      <c r="AU24" s="288" t="s">
        <v>1</v>
      </c>
      <c r="AV24" s="289" t="s">
        <v>1</v>
      </c>
      <c r="AW24" s="287" t="s">
        <v>1</v>
      </c>
      <c r="AX24" s="291">
        <v>14.03</v>
      </c>
      <c r="AY24" s="290">
        <v>71.02</v>
      </c>
      <c r="AZ24" s="291" cm="1">
        <f t="array" aca="1" ref="AZ24" ca="1">INDIRECT("'"&amp;$C24&amp;"'!"&amp;"$"&amp;$D24&amp;$AZ$1&amp;"")</f>
        <v>14.28</v>
      </c>
      <c r="BA24" s="289">
        <v>0.99</v>
      </c>
      <c r="BB24" s="287">
        <v>2.4</v>
      </c>
      <c r="BC24" s="292">
        <v>68.2</v>
      </c>
      <c r="BD24" s="286" cm="1">
        <f t="array" aca="1" ref="BD24" ca="1">INDIRECT("'"&amp;$C24&amp;"'!"&amp;"$"&amp;$D24&amp;$BC$1&amp;"")</f>
        <v>0.7</v>
      </c>
      <c r="BE24" s="288">
        <v>0.98</v>
      </c>
      <c r="BF24" s="287">
        <v>1.1399999999999999</v>
      </c>
      <c r="BG24" s="291" cm="1">
        <f t="array" aca="1" ref="BG24" ca="1">INDIRECT("'"&amp;$C24&amp;"'!"&amp;"$"&amp;$D24&amp;$BG$1&amp;"")</f>
        <v>1.6</v>
      </c>
      <c r="BH24" s="289"/>
      <c r="BI24" s="289">
        <v>0.99</v>
      </c>
      <c r="BJ24" s="287">
        <v>0.21</v>
      </c>
      <c r="BK24" s="292" cm="1">
        <f t="array" aca="1" ref="BK24" ca="1">INDIRECT("'"&amp;$C24&amp;"'!"&amp;"$"&amp;$D24&amp;$BK$1&amp;"")</f>
        <v>1.03</v>
      </c>
      <c r="BL24" s="289"/>
      <c r="BM24" s="289">
        <v>0.97</v>
      </c>
      <c r="BN24" s="287">
        <v>0.27</v>
      </c>
      <c r="BO24" s="292" cm="1">
        <f t="array" aca="1" ref="BO24" ca="1">INDIRECT("'"&amp;$C24&amp;"'!"&amp;"$"&amp;$D24&amp;74&amp;"")</f>
        <v>0</v>
      </c>
      <c r="BP24" s="289"/>
      <c r="BQ24" s="289" t="s">
        <v>1</v>
      </c>
      <c r="BR24" s="287" t="s">
        <v>1</v>
      </c>
    </row>
    <row r="25" spans="1:70">
      <c r="A25" s="361">
        <v>45748</v>
      </c>
      <c r="B25" s="358">
        <v>0.83333333333333337</v>
      </c>
      <c r="C25" s="313">
        <v>1</v>
      </c>
      <c r="D25" s="314" t="s">
        <v>147</v>
      </c>
      <c r="E25" s="293">
        <v>14.1</v>
      </c>
      <c r="F25" s="294">
        <v>69.56</v>
      </c>
      <c r="G25" s="295" cm="1">
        <f t="array" aca="1" ref="G25" ca="1">INDIRECT("'"&amp;$C25&amp;"'!"&amp;"$"&amp;$D25&amp;$E$1&amp;"")</f>
        <v>6.7</v>
      </c>
      <c r="H25" s="296">
        <v>0.96</v>
      </c>
      <c r="I25" s="294">
        <v>1.82</v>
      </c>
      <c r="J25" s="295" cm="1">
        <f t="array" aca="1" ref="J25" ca="1">INDIRECT("'"&amp;$C25&amp;"'!"&amp;"$"&amp;$D25&amp;$J$1&amp;"")</f>
        <v>6.7</v>
      </c>
      <c r="K25" s="296"/>
      <c r="L25" s="296">
        <v>0.96</v>
      </c>
      <c r="M25" s="294">
        <v>1.82</v>
      </c>
      <c r="N25" s="295" cm="1">
        <f t="array" aca="1" ref="N25" ca="1">INDIRECT("'"&amp;$C25&amp;"'!"&amp;"$"&amp;$D25&amp;$N$1&amp;"")</f>
        <v>6.7</v>
      </c>
      <c r="O25" s="296"/>
      <c r="P25" s="296">
        <v>0.96</v>
      </c>
      <c r="Q25" s="294">
        <v>1.82</v>
      </c>
      <c r="R25" s="295" cm="1">
        <f t="array" aca="1" ref="R25" ca="1">INDIRECT("'"&amp;$C25&amp;"'!"&amp;"$"&amp;$D25&amp;$R$1&amp;"")</f>
        <v>6.7</v>
      </c>
      <c r="S25" s="296"/>
      <c r="T25" s="296">
        <v>0.96</v>
      </c>
      <c r="U25" s="294">
        <v>1.82</v>
      </c>
      <c r="V25" s="295" cm="1">
        <f t="array" aca="1" ref="V25" ca="1">INDIRECT("'"&amp;$C25&amp;"'!"&amp;"$"&amp;$D25&amp;$V$1&amp;"")</f>
        <v>2</v>
      </c>
      <c r="W25" s="296">
        <f>3.8*3.53</f>
        <v>13.413999999999998</v>
      </c>
      <c r="X25" s="296">
        <v>0.95</v>
      </c>
      <c r="Y25" s="297">
        <v>0.94</v>
      </c>
      <c r="Z25" s="293" cm="1">
        <f t="array" aca="1" ref="Z25" ca="1">INDIRECT("'"&amp;$C25&amp;"'!"&amp;"$"&amp;$D25&amp;$Z$1&amp;"")</f>
        <v>0</v>
      </c>
      <c r="AA25" s="296" t="s">
        <v>1</v>
      </c>
      <c r="AB25" s="296" t="s">
        <v>1</v>
      </c>
      <c r="AC25" s="294" t="s">
        <v>1</v>
      </c>
      <c r="AD25" s="295" cm="1">
        <f t="array" aca="1" ref="AD25" ca="1">INDIRECT("'"&amp;$C25&amp;"'!"&amp;"$"&amp;$D25&amp;$AD$1&amp;"")</f>
        <v>3</v>
      </c>
      <c r="AE25" s="296">
        <f>3.8*3.53</f>
        <v>13.413999999999998</v>
      </c>
      <c r="AF25" s="296">
        <v>0.95</v>
      </c>
      <c r="AG25" s="297">
        <v>0.94</v>
      </c>
      <c r="AH25" s="293" cm="1">
        <f t="array" aca="1" ref="AH25" ca="1">INDIRECT("'"&amp;$C25&amp;"'!"&amp;"$"&amp;$D25&amp;$AH$1&amp;"")</f>
        <v>3.8</v>
      </c>
      <c r="AI25" s="296">
        <v>14</v>
      </c>
      <c r="AJ25" s="296">
        <v>0.94</v>
      </c>
      <c r="AK25" s="294">
        <v>1.37</v>
      </c>
      <c r="AL25" s="293">
        <v>11.8</v>
      </c>
      <c r="AM25" s="297">
        <v>70</v>
      </c>
      <c r="AN25" s="293" cm="1">
        <f t="array" aca="1" ref="AN25" ca="1">INDIRECT("'"&amp;$C25&amp;"'!"&amp;"$"&amp;$D25&amp;$AL$1&amp;"")</f>
        <v>4</v>
      </c>
      <c r="AO25" s="296">
        <v>0.94</v>
      </c>
      <c r="AP25" s="294">
        <v>1.3</v>
      </c>
      <c r="AQ25" s="295" t="str" cm="1">
        <f t="array" aca="1" ref="AQ25" ca="1">INDIRECT("'"&amp;$C25&amp;"'!"&amp;"$"&amp;$D25&amp;$AQ$1&amp;"")</f>
        <v>CMS</v>
      </c>
      <c r="AR25" s="296" t="s">
        <v>1</v>
      </c>
      <c r="AS25" s="294" t="s">
        <v>1</v>
      </c>
      <c r="AT25" s="296" cm="1">
        <f t="array" aca="1" ref="AT25" ca="1">INDIRECT("'"&amp;$C25&amp;"'!"&amp;"$"&amp;$D25&amp;$AT$1&amp;"")</f>
        <v>0</v>
      </c>
      <c r="AU25" s="295" t="s">
        <v>1</v>
      </c>
      <c r="AV25" s="296" t="s">
        <v>1</v>
      </c>
      <c r="AW25" s="294" t="s">
        <v>1</v>
      </c>
      <c r="AX25" s="298">
        <v>14.02</v>
      </c>
      <c r="AY25" s="297">
        <v>70.930000000000007</v>
      </c>
      <c r="AZ25" s="298" cm="1">
        <f t="array" aca="1" ref="AZ25" ca="1">INDIRECT("'"&amp;$C25&amp;"'!"&amp;"$"&amp;$D25&amp;$AZ$1&amp;"")</f>
        <v>14.27</v>
      </c>
      <c r="BA25" s="296">
        <v>0.99</v>
      </c>
      <c r="BB25" s="294">
        <v>2.4</v>
      </c>
      <c r="BC25" s="299">
        <v>68.2</v>
      </c>
      <c r="BD25" s="293" cm="1">
        <f t="array" aca="1" ref="BD25" ca="1">INDIRECT("'"&amp;$C25&amp;"'!"&amp;"$"&amp;$D25&amp;$BC$1&amp;"")</f>
        <v>0</v>
      </c>
      <c r="BE25" s="295" t="s">
        <v>1</v>
      </c>
      <c r="BF25" s="294" t="s">
        <v>1</v>
      </c>
      <c r="BG25" s="298" cm="1">
        <f t="array" aca="1" ref="BG25" ca="1">INDIRECT("'"&amp;$C25&amp;"'!"&amp;"$"&amp;$D25&amp;$BG$1&amp;"")</f>
        <v>1.63</v>
      </c>
      <c r="BH25" s="296"/>
      <c r="BI25" s="296">
        <v>0.99</v>
      </c>
      <c r="BJ25" s="294">
        <v>0.21</v>
      </c>
      <c r="BK25" s="299" cm="1">
        <f t="array" aca="1" ref="BK25" ca="1">INDIRECT("'"&amp;$C25&amp;"'!"&amp;"$"&amp;$D25&amp;$BK$1&amp;"")</f>
        <v>1.07</v>
      </c>
      <c r="BL25" s="296"/>
      <c r="BM25" s="296">
        <v>0.97</v>
      </c>
      <c r="BN25" s="294">
        <v>0.27</v>
      </c>
      <c r="BO25" s="299" cm="1">
        <f t="array" aca="1" ref="BO25" ca="1">INDIRECT("'"&amp;$C25&amp;"'!"&amp;"$"&amp;$D25&amp;74&amp;"")</f>
        <v>0</v>
      </c>
      <c r="BP25" s="296"/>
      <c r="BQ25" s="296" t="s">
        <v>1</v>
      </c>
      <c r="BR25" s="294" t="s">
        <v>1</v>
      </c>
    </row>
    <row r="26" spans="1:70">
      <c r="A26" s="361">
        <v>45748</v>
      </c>
      <c r="B26" s="358">
        <v>0.875000000000001</v>
      </c>
      <c r="C26" s="313">
        <v>1</v>
      </c>
      <c r="D26" s="314" t="s">
        <v>148</v>
      </c>
      <c r="E26" s="286">
        <v>14.2</v>
      </c>
      <c r="F26" s="287">
        <v>69.7</v>
      </c>
      <c r="G26" s="288" cm="1">
        <f t="array" aca="1" ref="G26" ca="1">INDIRECT("'"&amp;$C26&amp;"'!"&amp;"$"&amp;$D26&amp;$E$1&amp;"")</f>
        <v>6.2</v>
      </c>
      <c r="H26" s="289">
        <v>0.97</v>
      </c>
      <c r="I26" s="287">
        <v>1.49</v>
      </c>
      <c r="J26" s="288" cm="1">
        <f t="array" aca="1" ref="J26" ca="1">INDIRECT("'"&amp;$C26&amp;"'!"&amp;"$"&amp;$D26&amp;$J$1&amp;"")</f>
        <v>6.2</v>
      </c>
      <c r="K26" s="289"/>
      <c r="L26" s="289">
        <v>0.97</v>
      </c>
      <c r="M26" s="287">
        <v>1.49</v>
      </c>
      <c r="N26" s="288" cm="1">
        <f t="array" aca="1" ref="N26" ca="1">INDIRECT("'"&amp;$C26&amp;"'!"&amp;"$"&amp;$D26&amp;$N$1&amp;"")</f>
        <v>6.2</v>
      </c>
      <c r="O26" s="289"/>
      <c r="P26" s="289">
        <v>0.97</v>
      </c>
      <c r="Q26" s="287">
        <v>1.49</v>
      </c>
      <c r="R26" s="288" cm="1">
        <f t="array" aca="1" ref="R26" ca="1">INDIRECT("'"&amp;$C26&amp;"'!"&amp;"$"&amp;$D26&amp;$R$1&amp;"")</f>
        <v>6.2</v>
      </c>
      <c r="S26" s="289"/>
      <c r="T26" s="289">
        <v>0.97</v>
      </c>
      <c r="U26" s="287">
        <v>1.49</v>
      </c>
      <c r="V26" s="288" cm="1">
        <f t="array" aca="1" ref="V26" ca="1">INDIRECT("'"&amp;$C26&amp;"'!"&amp;"$"&amp;$D26&amp;$V$1&amp;"")</f>
        <v>2.4</v>
      </c>
      <c r="W26" s="289">
        <f>3.8*3.49</f>
        <v>13.262</v>
      </c>
      <c r="X26" s="289">
        <v>0.98</v>
      </c>
      <c r="Y26" s="290">
        <v>0.39</v>
      </c>
      <c r="Z26" s="286" cm="1">
        <f t="array" aca="1" ref="Z26" ca="1">INDIRECT("'"&amp;$C26&amp;"'!"&amp;"$"&amp;$D26&amp;$Z$1&amp;"")</f>
        <v>0</v>
      </c>
      <c r="AA26" s="289" t="s">
        <v>1</v>
      </c>
      <c r="AB26" s="289" t="s">
        <v>1</v>
      </c>
      <c r="AC26" s="287" t="s">
        <v>1</v>
      </c>
      <c r="AD26" s="288" t="str" cm="1">
        <f t="array" aca="1" ref="AD26" ca="1">INDIRECT("'"&amp;$C26&amp;"'!"&amp;"$"&amp;$D26&amp;$AD$1&amp;"")</f>
        <v>CMS</v>
      </c>
      <c r="AE26" s="289" t="s">
        <v>1</v>
      </c>
      <c r="AF26" s="289" t="s">
        <v>1</v>
      </c>
      <c r="AG26" s="290" t="s">
        <v>1</v>
      </c>
      <c r="AH26" s="286" cm="1">
        <f t="array" aca="1" ref="AH26" ca="1">INDIRECT("'"&amp;$C26&amp;"'!"&amp;"$"&amp;$D26&amp;$AH$1&amp;"")</f>
        <v>3.8</v>
      </c>
      <c r="AI26" s="289">
        <v>14</v>
      </c>
      <c r="AJ26" s="289">
        <v>0.95</v>
      </c>
      <c r="AK26" s="287">
        <v>1.29</v>
      </c>
      <c r="AL26" s="286">
        <v>11.8</v>
      </c>
      <c r="AM26" s="290">
        <v>70.2</v>
      </c>
      <c r="AN26" s="286" cm="1">
        <f t="array" aca="1" ref="AN26" ca="1">INDIRECT("'"&amp;$C26&amp;"'!"&amp;"$"&amp;$D26&amp;$AL$1&amp;"")</f>
        <v>3.9</v>
      </c>
      <c r="AO26" s="289">
        <v>0.95</v>
      </c>
      <c r="AP26" s="287">
        <v>1.3</v>
      </c>
      <c r="AQ26" s="288" t="str" cm="1">
        <f t="array" aca="1" ref="AQ26" ca="1">INDIRECT("'"&amp;$C26&amp;"'!"&amp;"$"&amp;$D26&amp;$AQ$1&amp;"")</f>
        <v>CMS</v>
      </c>
      <c r="AR26" s="289" t="s">
        <v>1</v>
      </c>
      <c r="AS26" s="287" t="s">
        <v>1</v>
      </c>
      <c r="AT26" s="289" cm="1">
        <f t="array" aca="1" ref="AT26" ca="1">INDIRECT("'"&amp;$C26&amp;"'!"&amp;"$"&amp;$D26&amp;$AT$1&amp;"")</f>
        <v>0</v>
      </c>
      <c r="AU26" s="288" t="s">
        <v>1</v>
      </c>
      <c r="AV26" s="289" t="s">
        <v>1</v>
      </c>
      <c r="AW26" s="287" t="s">
        <v>1</v>
      </c>
      <c r="AX26" s="291">
        <v>14.16</v>
      </c>
      <c r="AY26" s="290">
        <v>71.59</v>
      </c>
      <c r="AZ26" s="291" cm="1">
        <f t="array" aca="1" ref="AZ26" ca="1">INDIRECT("'"&amp;$C26&amp;"'!"&amp;"$"&amp;$D26&amp;$AZ$1&amp;"")</f>
        <v>14.29</v>
      </c>
      <c r="BA26" s="289">
        <v>0.99</v>
      </c>
      <c r="BB26" s="287">
        <v>2.2999999999999998</v>
      </c>
      <c r="BC26" s="292">
        <v>68.400000000000006</v>
      </c>
      <c r="BD26" s="286" cm="1">
        <f t="array" aca="1" ref="BD26" ca="1">INDIRECT("'"&amp;$C26&amp;"'!"&amp;"$"&amp;$D26&amp;$BC$1&amp;"")</f>
        <v>2.0999999999999996</v>
      </c>
      <c r="BE26" s="288">
        <v>0.98</v>
      </c>
      <c r="BF26" s="287">
        <v>0.42</v>
      </c>
      <c r="BG26" s="291" cm="1">
        <f t="array" aca="1" ref="BG26" ca="1">INDIRECT("'"&amp;$C26&amp;"'!"&amp;"$"&amp;$D26&amp;$BG$1&amp;"")</f>
        <v>1.47</v>
      </c>
      <c r="BH26" s="289"/>
      <c r="BI26" s="289">
        <v>0.99</v>
      </c>
      <c r="BJ26" s="287">
        <v>0.21</v>
      </c>
      <c r="BK26" s="292" cm="1">
        <f t="array" aca="1" ref="BK26" ca="1">INDIRECT("'"&amp;$C26&amp;"'!"&amp;"$"&amp;$D26&amp;$BK$1&amp;"")</f>
        <v>1.05</v>
      </c>
      <c r="BL26" s="289"/>
      <c r="BM26" s="289">
        <v>0.97</v>
      </c>
      <c r="BN26" s="287">
        <v>0.26</v>
      </c>
      <c r="BO26" s="292" cm="1">
        <f t="array" aca="1" ref="BO26" ca="1">INDIRECT("'"&amp;$C26&amp;"'!"&amp;"$"&amp;$D26&amp;74&amp;"")</f>
        <v>0</v>
      </c>
      <c r="BP26" s="289"/>
      <c r="BQ26" s="289" t="s">
        <v>1</v>
      </c>
      <c r="BR26" s="287" t="s">
        <v>1</v>
      </c>
    </row>
    <row r="27" spans="1:70">
      <c r="A27" s="361">
        <v>45748</v>
      </c>
      <c r="B27" s="358">
        <v>0.91666666666666696</v>
      </c>
      <c r="C27" s="313">
        <v>1</v>
      </c>
      <c r="D27" s="314" t="s">
        <v>149</v>
      </c>
      <c r="E27" s="293">
        <v>14.2</v>
      </c>
      <c r="F27" s="294">
        <v>69.819999999999993</v>
      </c>
      <c r="G27" s="295" cm="1">
        <f t="array" aca="1" ref="G27" ca="1">INDIRECT("'"&amp;$C27&amp;"'!"&amp;"$"&amp;$D27&amp;$E$1&amp;"")</f>
        <v>7</v>
      </c>
      <c r="H27" s="296">
        <v>0.97</v>
      </c>
      <c r="I27" s="294">
        <v>1.7</v>
      </c>
      <c r="J27" s="295" cm="1">
        <f t="array" aca="1" ref="J27" ca="1">INDIRECT("'"&amp;$C27&amp;"'!"&amp;"$"&amp;$D27&amp;$J$1&amp;"")</f>
        <v>6.2</v>
      </c>
      <c r="K27" s="296"/>
      <c r="L27" s="296">
        <v>0.97</v>
      </c>
      <c r="M27" s="294">
        <v>1.61</v>
      </c>
      <c r="N27" s="295" cm="1">
        <f t="array" aca="1" ref="N27" ca="1">INDIRECT("'"&amp;$C27&amp;"'!"&amp;"$"&amp;$D27&amp;$N$1&amp;"")</f>
        <v>6.2</v>
      </c>
      <c r="O27" s="296"/>
      <c r="P27" s="296">
        <v>0.97</v>
      </c>
      <c r="Q27" s="294">
        <v>1.61</v>
      </c>
      <c r="R27" s="295" cm="1">
        <f t="array" aca="1" ref="R27" ca="1">INDIRECT("'"&amp;$C27&amp;"'!"&amp;"$"&amp;$D27&amp;$R$1&amp;"")</f>
        <v>6.2</v>
      </c>
      <c r="S27" s="296"/>
      <c r="T27" s="296">
        <v>0.97</v>
      </c>
      <c r="U27" s="294">
        <v>1.61</v>
      </c>
      <c r="V27" s="295" cm="1">
        <f t="array" aca="1" ref="V27" ca="1">INDIRECT("'"&amp;$C27&amp;"'!"&amp;"$"&amp;$D27&amp;$V$1&amp;"")</f>
        <v>2.6</v>
      </c>
      <c r="W27" s="296">
        <f>3.8*3.51</f>
        <v>13.337999999999999</v>
      </c>
      <c r="X27" s="296">
        <v>0.98</v>
      </c>
      <c r="Y27" s="297">
        <v>0.41</v>
      </c>
      <c r="Z27" s="293" cm="1">
        <f t="array" aca="1" ref="Z27" ca="1">INDIRECT("'"&amp;$C27&amp;"'!"&amp;"$"&amp;$D27&amp;$Z$1&amp;"")</f>
        <v>0</v>
      </c>
      <c r="AA27" s="296" t="s">
        <v>1</v>
      </c>
      <c r="AB27" s="296" t="s">
        <v>1</v>
      </c>
      <c r="AC27" s="294" t="s">
        <v>1</v>
      </c>
      <c r="AD27" s="295" t="str" cm="1">
        <f t="array" aca="1" ref="AD27" ca="1">INDIRECT("'"&amp;$C27&amp;"'!"&amp;"$"&amp;$D27&amp;$AD$1&amp;"")</f>
        <v>CMS</v>
      </c>
      <c r="AE27" s="296" t="s">
        <v>1</v>
      </c>
      <c r="AF27" s="296" t="s">
        <v>1</v>
      </c>
      <c r="AG27" s="297" t="s">
        <v>1</v>
      </c>
      <c r="AH27" s="293" cm="1">
        <f t="array" aca="1" ref="AH27" ca="1">INDIRECT("'"&amp;$C27&amp;"'!"&amp;"$"&amp;$D27&amp;$AH$1&amp;"")</f>
        <v>3.8</v>
      </c>
      <c r="AI27" s="296">
        <v>14</v>
      </c>
      <c r="AJ27" s="296">
        <v>0.96</v>
      </c>
      <c r="AK27" s="294">
        <v>1.1599999999999999</v>
      </c>
      <c r="AL27" s="293">
        <v>11.8</v>
      </c>
      <c r="AM27" s="297">
        <v>70.2</v>
      </c>
      <c r="AN27" s="293" cm="1">
        <f t="array" aca="1" ref="AN27" ca="1">INDIRECT("'"&amp;$C27&amp;"'!"&amp;"$"&amp;$D27&amp;$AL$1&amp;"")</f>
        <v>3.6</v>
      </c>
      <c r="AO27" s="296">
        <v>0.96</v>
      </c>
      <c r="AP27" s="294">
        <v>1.1499999999999999</v>
      </c>
      <c r="AQ27" s="295" t="str" cm="1">
        <f t="array" aca="1" ref="AQ27" ca="1">INDIRECT("'"&amp;$C27&amp;"'!"&amp;"$"&amp;$D27&amp;$AQ$1&amp;"")</f>
        <v>CMS</v>
      </c>
      <c r="AR27" s="296" t="s">
        <v>1</v>
      </c>
      <c r="AS27" s="294" t="s">
        <v>1</v>
      </c>
      <c r="AT27" s="296" cm="1">
        <f t="array" aca="1" ref="AT27" ca="1">INDIRECT("'"&amp;$C27&amp;"'!"&amp;"$"&amp;$D27&amp;$AT$1&amp;"")</f>
        <v>0</v>
      </c>
      <c r="AU27" s="295" t="s">
        <v>1</v>
      </c>
      <c r="AV27" s="296" t="s">
        <v>1</v>
      </c>
      <c r="AW27" s="294" t="s">
        <v>1</v>
      </c>
      <c r="AX27" s="298">
        <v>14.07</v>
      </c>
      <c r="AY27" s="297">
        <v>71.28</v>
      </c>
      <c r="AZ27" s="298" cm="1">
        <f t="array" aca="1" ref="AZ27" ca="1">INDIRECT("'"&amp;$C27&amp;"'!"&amp;"$"&amp;$D27&amp;$AZ$1&amp;"")</f>
        <v>13.28</v>
      </c>
      <c r="BA27" s="296">
        <v>0.99</v>
      </c>
      <c r="BB27" s="294">
        <v>2.2000000000000002</v>
      </c>
      <c r="BC27" s="299">
        <v>68.599999999999994</v>
      </c>
      <c r="BD27" s="293" cm="1">
        <f t="array" aca="1" ref="BD27" ca="1">INDIRECT("'"&amp;$C27&amp;"'!"&amp;"$"&amp;$D27&amp;$BC$1&amp;"")</f>
        <v>0</v>
      </c>
      <c r="BE27" s="295" t="s">
        <v>1</v>
      </c>
      <c r="BF27" s="294" t="s">
        <v>1</v>
      </c>
      <c r="BG27" s="298" cm="1">
        <f t="array" aca="1" ref="BG27" ca="1">INDIRECT("'"&amp;$C27&amp;"'!"&amp;"$"&amp;$D27&amp;$BG$1&amp;"")</f>
        <v>1.28</v>
      </c>
      <c r="BH27" s="296"/>
      <c r="BI27" s="296">
        <v>0.99</v>
      </c>
      <c r="BJ27" s="294">
        <v>0.19</v>
      </c>
      <c r="BK27" s="299" cm="1">
        <f t="array" aca="1" ref="BK27" ca="1">INDIRECT("'"&amp;$C27&amp;"'!"&amp;"$"&amp;$D27&amp;$BK$1&amp;"")</f>
        <v>0.99</v>
      </c>
      <c r="BL27" s="296"/>
      <c r="BM27" s="296">
        <v>0.97</v>
      </c>
      <c r="BN27" s="294">
        <v>0.45</v>
      </c>
      <c r="BO27" s="299" cm="1">
        <f t="array" aca="1" ref="BO27" ca="1">INDIRECT("'"&amp;$C27&amp;"'!"&amp;"$"&amp;$D27&amp;74&amp;"")</f>
        <v>0</v>
      </c>
      <c r="BP27" s="296"/>
      <c r="BQ27" s="296" t="s">
        <v>1</v>
      </c>
      <c r="BR27" s="294" t="s">
        <v>1</v>
      </c>
    </row>
    <row r="28" spans="1:70" ht="14.45" thickBot="1">
      <c r="A28" s="362">
        <v>45748</v>
      </c>
      <c r="B28" s="359">
        <v>0.95833333333333404</v>
      </c>
      <c r="C28" s="315">
        <v>1</v>
      </c>
      <c r="D28" s="316" t="s">
        <v>150</v>
      </c>
      <c r="E28" s="301">
        <v>14.2</v>
      </c>
      <c r="F28" s="302">
        <v>70.040000000000006</v>
      </c>
      <c r="G28" s="303" cm="1">
        <f t="array" aca="1" ref="G28" ca="1">INDIRECT("'"&amp;$C28&amp;"'!"&amp;"$"&amp;$D28&amp;$E$1&amp;"")</f>
        <v>0</v>
      </c>
      <c r="H28" s="304" t="s">
        <v>1</v>
      </c>
      <c r="I28" s="302" t="s">
        <v>1</v>
      </c>
      <c r="J28" s="303" cm="1">
        <f t="array" aca="1" ref="J28" ca="1">INDIRECT("'"&amp;$C28&amp;"'!"&amp;"$"&amp;$D28&amp;$J$1&amp;"")</f>
        <v>6.5</v>
      </c>
      <c r="K28" s="304"/>
      <c r="L28" s="304">
        <v>0.97</v>
      </c>
      <c r="M28" s="302">
        <v>1.65</v>
      </c>
      <c r="N28" s="303" cm="1">
        <f t="array" aca="1" ref="N28" ca="1">INDIRECT("'"&amp;$C28&amp;"'!"&amp;"$"&amp;$D28&amp;$N$1&amp;"")</f>
        <v>6.5</v>
      </c>
      <c r="O28" s="304"/>
      <c r="P28" s="304">
        <v>0.97</v>
      </c>
      <c r="Q28" s="302">
        <v>1.65</v>
      </c>
      <c r="R28" s="303" cm="1">
        <f t="array" aca="1" ref="R28" ca="1">INDIRECT("'"&amp;$C28&amp;"'!"&amp;"$"&amp;$D28&amp;$R$1&amp;"")</f>
        <v>6.5</v>
      </c>
      <c r="S28" s="304"/>
      <c r="T28" s="304">
        <v>0.97</v>
      </c>
      <c r="U28" s="302">
        <v>1.65</v>
      </c>
      <c r="V28" s="303" cm="1">
        <f t="array" aca="1" ref="V28" ca="1">INDIRECT("'"&amp;$C28&amp;"'!"&amp;"$"&amp;$D28&amp;$V$1&amp;"")</f>
        <v>2.6</v>
      </c>
      <c r="W28" s="304">
        <f>3.8*3.53</f>
        <v>13.413999999999998</v>
      </c>
      <c r="X28" s="304">
        <v>0.98</v>
      </c>
      <c r="Y28" s="305">
        <v>0.45</v>
      </c>
      <c r="Z28" s="301" cm="1">
        <f t="array" aca="1" ref="Z28" ca="1">INDIRECT("'"&amp;$C28&amp;"'!"&amp;"$"&amp;$D28&amp;$Z$1&amp;"")</f>
        <v>0</v>
      </c>
      <c r="AA28" s="304" t="s">
        <v>1</v>
      </c>
      <c r="AB28" s="304" t="s">
        <v>1</v>
      </c>
      <c r="AC28" s="302" t="s">
        <v>1</v>
      </c>
      <c r="AD28" s="303" t="str" cm="1">
        <f t="array" aca="1" ref="AD28" ca="1">INDIRECT("'"&amp;$C28&amp;"'!"&amp;"$"&amp;$D28&amp;$AD$1&amp;"")</f>
        <v>CMS</v>
      </c>
      <c r="AE28" s="304" t="s">
        <v>1</v>
      </c>
      <c r="AF28" s="304" t="s">
        <v>1</v>
      </c>
      <c r="AG28" s="305" t="s">
        <v>1</v>
      </c>
      <c r="AH28" s="301" cm="1">
        <f t="array" aca="1" ref="AH28" ca="1">INDIRECT("'"&amp;$C28&amp;"'!"&amp;"$"&amp;$D28&amp;$AH$1&amp;"")</f>
        <v>3.8</v>
      </c>
      <c r="AI28" s="304">
        <v>14</v>
      </c>
      <c r="AJ28" s="304">
        <v>0.98</v>
      </c>
      <c r="AK28" s="302">
        <v>0.78700000000000003</v>
      </c>
      <c r="AL28" s="301">
        <v>11.8</v>
      </c>
      <c r="AM28" s="305">
        <v>70.5</v>
      </c>
      <c r="AN28" s="301" cm="1">
        <f t="array" aca="1" ref="AN28" ca="1">INDIRECT("'"&amp;$C28&amp;"'!"&amp;"$"&amp;$D28&amp;$AL$1&amp;"")</f>
        <v>3.8</v>
      </c>
      <c r="AO28" s="304">
        <v>0.98</v>
      </c>
      <c r="AP28" s="302">
        <v>0.69</v>
      </c>
      <c r="AQ28" s="303" t="str" cm="1">
        <f t="array" aca="1" ref="AQ28" ca="1">INDIRECT("'"&amp;$C28&amp;"'!"&amp;"$"&amp;$D28&amp;$AQ$1&amp;"")</f>
        <v>CMS</v>
      </c>
      <c r="AR28" s="304" t="s">
        <v>1</v>
      </c>
      <c r="AS28" s="302" t="s">
        <v>1</v>
      </c>
      <c r="AT28" s="304" cm="1">
        <f t="array" aca="1" ref="AT28" ca="1">INDIRECT("'"&amp;$C28&amp;"'!"&amp;"$"&amp;$D28&amp;$AT$1&amp;"")</f>
        <v>0</v>
      </c>
      <c r="AU28" s="303" t="s">
        <v>1</v>
      </c>
      <c r="AV28" s="304" t="s">
        <v>1</v>
      </c>
      <c r="AW28" s="302" t="s">
        <v>1</v>
      </c>
      <c r="AX28" s="306">
        <v>14.18</v>
      </c>
      <c r="AY28" s="305">
        <v>71.900000000000006</v>
      </c>
      <c r="AZ28" s="306" cm="1">
        <f t="array" aca="1" ref="AZ28" ca="1">INDIRECT("'"&amp;$C28&amp;"'!"&amp;"$"&amp;$D28&amp;$AZ$1&amp;"")</f>
        <v>14.31</v>
      </c>
      <c r="BA28" s="304">
        <v>0.99</v>
      </c>
      <c r="BB28" s="302">
        <v>2.2999999999999998</v>
      </c>
      <c r="BC28" s="307">
        <v>69</v>
      </c>
      <c r="BD28" s="301" cm="1">
        <f t="array" aca="1" ref="BD28" ca="1">INDIRECT("'"&amp;$C28&amp;"'!"&amp;"$"&amp;$D28&amp;$BC$1&amp;"")</f>
        <v>0.64</v>
      </c>
      <c r="BE28" s="303">
        <v>0.98</v>
      </c>
      <c r="BF28" s="302">
        <v>0.12</v>
      </c>
      <c r="BG28" s="306" cm="1">
        <f t="array" aca="1" ref="BG28" ca="1">INDIRECT("'"&amp;$C28&amp;"'!"&amp;"$"&amp;$D28&amp;$BG$1&amp;"")</f>
        <v>1.1399999999999999</v>
      </c>
      <c r="BH28" s="304"/>
      <c r="BI28" s="304">
        <v>0.99</v>
      </c>
      <c r="BJ28" s="302">
        <v>0.18</v>
      </c>
      <c r="BK28" s="307" cm="1">
        <f t="array" aca="1" ref="BK28" ca="1">INDIRECT("'"&amp;$C28&amp;"'!"&amp;"$"&amp;$D28&amp;$BK$1&amp;"")</f>
        <v>0.9</v>
      </c>
      <c r="BL28" s="304"/>
      <c r="BM28" s="304">
        <v>0.96</v>
      </c>
      <c r="BN28" s="302">
        <v>0.24</v>
      </c>
      <c r="BO28" s="307" cm="1">
        <f t="array" aca="1" ref="BO28" ca="1">INDIRECT("'"&amp;$C28&amp;"'!"&amp;"$"&amp;$D28&amp;74&amp;"")</f>
        <v>0</v>
      </c>
      <c r="BP28" s="304"/>
      <c r="BQ28" s="304" t="s">
        <v>1</v>
      </c>
      <c r="BR28" s="302" t="s">
        <v>1</v>
      </c>
    </row>
    <row r="29" spans="1:70" ht="8.1" customHeight="1" thickBot="1">
      <c r="BC29" s="441"/>
      <c r="BD29" s="441"/>
    </row>
    <row r="30" spans="1:70">
      <c r="A30" s="361">
        <v>45749</v>
      </c>
      <c r="B30" s="357">
        <v>0</v>
      </c>
      <c r="C30" s="310">
        <f>C5+1</f>
        <v>2</v>
      </c>
      <c r="D30" s="311" t="s">
        <v>127</v>
      </c>
      <c r="E30" s="280">
        <v>14.3</v>
      </c>
      <c r="F30" s="281">
        <v>70.45</v>
      </c>
      <c r="G30" s="282" cm="1">
        <f t="array" aca="1" ref="G30" ca="1">INDIRECT("'"&amp;$C30&amp;"'!"&amp;"$"&amp;$D30&amp;$E$1&amp;"")</f>
        <v>0</v>
      </c>
      <c r="H30" s="283" t="s">
        <v>1</v>
      </c>
      <c r="I30" s="281" t="s">
        <v>1</v>
      </c>
      <c r="J30" s="282" cm="1">
        <f t="array" aca="1" ref="J30" ca="1">INDIRECT("'"&amp;$C30&amp;"'!"&amp;"$"&amp;$D30&amp;$J$1&amp;"")</f>
        <v>6.5</v>
      </c>
      <c r="K30" s="283"/>
      <c r="L30" s="283">
        <v>0.97</v>
      </c>
      <c r="M30" s="281">
        <v>1.55</v>
      </c>
      <c r="N30" s="282" cm="1">
        <f t="array" aca="1" ref="N30" ca="1">INDIRECT("'"&amp;$C30&amp;"'!"&amp;"$"&amp;$D30&amp;$N$1&amp;"")</f>
        <v>6.5</v>
      </c>
      <c r="O30" s="283"/>
      <c r="P30" s="283">
        <v>0.97</v>
      </c>
      <c r="Q30" s="281">
        <v>1.55</v>
      </c>
      <c r="R30" s="282" cm="1">
        <f t="array" aca="1" ref="R30" ca="1">INDIRECT("'"&amp;$C30&amp;"'!"&amp;"$"&amp;$D30&amp;$R$1&amp;"")</f>
        <v>6.5</v>
      </c>
      <c r="S30" s="283"/>
      <c r="T30" s="283">
        <v>0.97</v>
      </c>
      <c r="U30" s="281">
        <v>1.55</v>
      </c>
      <c r="V30" s="282" cm="1">
        <f t="array" aca="1" ref="V30" ca="1">INDIRECT("'"&amp;$C30&amp;"'!"&amp;"$"&amp;$D30&amp;$V$1&amp;"")</f>
        <v>2.6</v>
      </c>
      <c r="W30" s="283">
        <f>3.8*3.57</f>
        <v>13.565999999999999</v>
      </c>
      <c r="X30" s="283">
        <v>0.98</v>
      </c>
      <c r="Y30" s="284">
        <v>0.45</v>
      </c>
      <c r="Z30" s="280" cm="1">
        <f t="array" aca="1" ref="Z30" ca="1">INDIRECT("'"&amp;$C30&amp;"'!"&amp;"$"&amp;$D30&amp;$Z$1&amp;"")</f>
        <v>0</v>
      </c>
      <c r="AA30" s="283" t="s">
        <v>1</v>
      </c>
      <c r="AB30" s="283" t="s">
        <v>1</v>
      </c>
      <c r="AC30" s="281" t="s">
        <v>1</v>
      </c>
      <c r="AD30" s="282" t="str" cm="1">
        <f t="array" aca="1" ref="AD30" ca="1">INDIRECT("'"&amp;$C30&amp;"'!"&amp;"$"&amp;$D30&amp;$AD$1&amp;"")</f>
        <v>CMS</v>
      </c>
      <c r="AE30" s="283" t="s">
        <v>1</v>
      </c>
      <c r="AF30" s="283" t="s">
        <v>1</v>
      </c>
      <c r="AG30" s="281" t="s">
        <v>1</v>
      </c>
      <c r="AH30" s="280" cm="1">
        <f t="array" aca="1" ref="AH30" ca="1">INDIRECT("'"&amp;$C30&amp;"'!"&amp;"$"&amp;$D30&amp;$AH$1&amp;"")</f>
        <v>0</v>
      </c>
      <c r="AI30" s="283" t="s">
        <v>1</v>
      </c>
      <c r="AJ30" s="283" t="s">
        <v>1</v>
      </c>
      <c r="AK30" s="281" t="s">
        <v>1</v>
      </c>
      <c r="AL30" s="280">
        <v>11.8</v>
      </c>
      <c r="AM30" s="284">
        <v>70.7</v>
      </c>
      <c r="AN30" s="280" cm="1">
        <f t="array" aca="1" ref="AN30" ca="1">INDIRECT("'"&amp;$C30&amp;"'!"&amp;"$"&amp;$D30&amp;$AL$1&amp;"")</f>
        <v>4.2</v>
      </c>
      <c r="AO30" s="283">
        <v>0.99</v>
      </c>
      <c r="AP30" s="281">
        <v>0.66</v>
      </c>
      <c r="AQ30" s="282" t="str" cm="1">
        <f t="array" aca="1" ref="AQ30" ca="1">INDIRECT("'"&amp;$C30&amp;"'!"&amp;"$"&amp;$D30&amp;$AQ$1&amp;"")</f>
        <v>CMS</v>
      </c>
      <c r="AR30" s="283" t="s">
        <v>1</v>
      </c>
      <c r="AS30" s="281" t="s">
        <v>1</v>
      </c>
      <c r="AT30" s="283" cm="1">
        <f t="array" aca="1" ref="AT30" ca="1">INDIRECT("'"&amp;$C30&amp;"'!"&amp;"$"&amp;$D30&amp;$AT$1&amp;"")</f>
        <v>0</v>
      </c>
      <c r="AU30" s="282" t="s">
        <v>1</v>
      </c>
      <c r="AV30" s="283" t="s">
        <v>1</v>
      </c>
      <c r="AW30" s="281" t="s">
        <v>1</v>
      </c>
      <c r="AX30" s="285">
        <v>14.15</v>
      </c>
      <c r="AY30" s="284">
        <v>71.75</v>
      </c>
      <c r="AZ30" s="285" cm="1">
        <f t="array" aca="1" ref="AZ30" ca="1">INDIRECT("'"&amp;$C30&amp;"'!"&amp;"$"&amp;$D30&amp;$AZ$1&amp;"")</f>
        <v>14.24</v>
      </c>
      <c r="BA30" s="283">
        <v>0.99</v>
      </c>
      <c r="BB30" s="281">
        <v>2.4</v>
      </c>
      <c r="BC30" s="312">
        <v>69.599999999999994</v>
      </c>
      <c r="BD30" s="280" cm="1">
        <f t="array" aca="1" ref="BD30" ca="1">INDIRECT("'"&amp;$C30&amp;"'!"&amp;"$"&amp;$D30&amp;$BC$1&amp;"")</f>
        <v>0.7</v>
      </c>
      <c r="BE30" s="282">
        <v>0.98</v>
      </c>
      <c r="BF30" s="281">
        <v>0.14000000000000001</v>
      </c>
      <c r="BG30" s="285" cm="1">
        <f t="array" aca="1" ref="BG30" ca="1">INDIRECT("'"&amp;$C30&amp;"'!"&amp;"$"&amp;$D30&amp;$BG$1&amp;"")</f>
        <v>1.05</v>
      </c>
      <c r="BH30" s="283"/>
      <c r="BI30" s="283">
        <v>0.99</v>
      </c>
      <c r="BJ30" s="281">
        <v>0.17</v>
      </c>
      <c r="BK30" s="285" cm="1">
        <f t="array" aca="1" ref="BK30" ca="1">INDIRECT("'"&amp;$C30&amp;"'!"&amp;"$"&amp;$D30&amp;$BK$1&amp;"")</f>
        <v>0.85</v>
      </c>
      <c r="BL30" s="283"/>
      <c r="BM30" s="283">
        <v>0.96</v>
      </c>
      <c r="BN30" s="281">
        <v>0.22</v>
      </c>
      <c r="BO30" s="373" cm="1">
        <f t="array" aca="1" ref="BO30" ca="1">INDIRECT("'"&amp;$C30&amp;"'!"&amp;"$"&amp;$D30&amp;74&amp;"")</f>
        <v>0</v>
      </c>
      <c r="BP30" s="283"/>
      <c r="BQ30" s="283" t="s">
        <v>1</v>
      </c>
      <c r="BR30" s="281" t="s">
        <v>1</v>
      </c>
    </row>
    <row r="31" spans="1:70">
      <c r="A31" s="361">
        <v>45749</v>
      </c>
      <c r="B31" s="358">
        <v>4.1666666666666699E-2</v>
      </c>
      <c r="C31" s="313">
        <f t="shared" ref="C31:C53" si="0">C6+1</f>
        <v>2</v>
      </c>
      <c r="D31" s="314" t="s">
        <v>128</v>
      </c>
      <c r="E31" s="286">
        <v>14.2</v>
      </c>
      <c r="F31" s="287">
        <v>70.430000000000007</v>
      </c>
      <c r="G31" s="288" cm="1">
        <f t="array" aca="1" ref="G31" ca="1">INDIRECT("'"&amp;$C31&amp;"'!"&amp;"$"&amp;$D31&amp;$E$1&amp;"")</f>
        <v>0</v>
      </c>
      <c r="H31" s="289" t="s">
        <v>1</v>
      </c>
      <c r="I31" s="287" t="s">
        <v>1</v>
      </c>
      <c r="J31" s="288" cm="1">
        <f t="array" aca="1" ref="J31" ca="1">INDIRECT("'"&amp;$C31&amp;"'!"&amp;"$"&amp;$D31&amp;$J$1&amp;"")</f>
        <v>6.5</v>
      </c>
      <c r="K31" s="289"/>
      <c r="L31" s="289">
        <v>0.98</v>
      </c>
      <c r="M31" s="287">
        <v>1.56</v>
      </c>
      <c r="N31" s="288" cm="1">
        <f t="array" aca="1" ref="N31" ca="1">INDIRECT("'"&amp;$C31&amp;"'!"&amp;"$"&amp;$D31&amp;$N$1&amp;"")</f>
        <v>6.5</v>
      </c>
      <c r="O31" s="289"/>
      <c r="P31" s="289">
        <v>0.98</v>
      </c>
      <c r="Q31" s="287">
        <v>1.56</v>
      </c>
      <c r="R31" s="288" cm="1">
        <f t="array" aca="1" ref="R31" ca="1">INDIRECT("'"&amp;$C31&amp;"'!"&amp;"$"&amp;$D31&amp;$R$1&amp;"")</f>
        <v>6.5</v>
      </c>
      <c r="S31" s="289"/>
      <c r="T31" s="289">
        <v>0.98</v>
      </c>
      <c r="U31" s="287">
        <v>1.56</v>
      </c>
      <c r="V31" s="288" cm="1">
        <f t="array" aca="1" ref="V31" ca="1">INDIRECT("'"&amp;$C31&amp;"'!"&amp;"$"&amp;$D31&amp;$V$1&amp;"")</f>
        <v>0</v>
      </c>
      <c r="W31" s="289" t="s">
        <v>1</v>
      </c>
      <c r="X31" s="289" t="s">
        <v>1</v>
      </c>
      <c r="Y31" s="290" t="s">
        <v>1</v>
      </c>
      <c r="Z31" s="286" cm="1">
        <f t="array" aca="1" ref="Z31" ca="1">INDIRECT("'"&amp;$C31&amp;"'!"&amp;"$"&amp;$D31&amp;$Z$1&amp;"")</f>
        <v>0</v>
      </c>
      <c r="AA31" s="289" t="s">
        <v>1</v>
      </c>
      <c r="AB31" s="289" t="s">
        <v>1</v>
      </c>
      <c r="AC31" s="287" t="s">
        <v>1</v>
      </c>
      <c r="AD31" s="288" t="str" cm="1">
        <f t="array" aca="1" ref="AD31" ca="1">INDIRECT("'"&amp;$C31&amp;"'!"&amp;"$"&amp;$D31&amp;$AD$1&amp;"")</f>
        <v>CMS</v>
      </c>
      <c r="AE31" s="289" t="s">
        <v>1</v>
      </c>
      <c r="AF31" s="289" t="s">
        <v>1</v>
      </c>
      <c r="AG31" s="290" t="s">
        <v>1</v>
      </c>
      <c r="AH31" s="286" cm="1">
        <f t="array" aca="1" ref="AH31" ca="1">INDIRECT("'"&amp;$C31&amp;"'!"&amp;"$"&amp;$D31&amp;$AH$1&amp;"")</f>
        <v>0</v>
      </c>
      <c r="AI31" s="289" t="s">
        <v>1</v>
      </c>
      <c r="AJ31" s="289" t="s">
        <v>1</v>
      </c>
      <c r="AK31" s="287" t="s">
        <v>1</v>
      </c>
      <c r="AL31" s="286">
        <v>11.8</v>
      </c>
      <c r="AM31" s="290">
        <v>70.7</v>
      </c>
      <c r="AN31" s="286" cm="1">
        <f t="array" aca="1" ref="AN31" ca="1">INDIRECT("'"&amp;$C31&amp;"'!"&amp;"$"&amp;$D31&amp;$AL$1&amp;"")</f>
        <v>3.9</v>
      </c>
      <c r="AO31" s="289">
        <v>0.98</v>
      </c>
      <c r="AP31" s="287">
        <v>0.6</v>
      </c>
      <c r="AQ31" s="288" t="str" cm="1">
        <f t="array" aca="1" ref="AQ31" ca="1">INDIRECT("'"&amp;$C31&amp;"'!"&amp;"$"&amp;$D31&amp;$AQ$1&amp;"")</f>
        <v>CMS</v>
      </c>
      <c r="AR31" s="289" t="s">
        <v>1</v>
      </c>
      <c r="AS31" s="287" t="s">
        <v>1</v>
      </c>
      <c r="AT31" s="289" cm="1">
        <f t="array" aca="1" ref="AT31" ca="1">INDIRECT("'"&amp;$C31&amp;"'!"&amp;"$"&amp;$D31&amp;$AT$1&amp;"")</f>
        <v>0</v>
      </c>
      <c r="AU31" s="288" t="s">
        <v>1</v>
      </c>
      <c r="AV31" s="289" t="s">
        <v>1</v>
      </c>
      <c r="AW31" s="287" t="s">
        <v>1</v>
      </c>
      <c r="AX31" s="291">
        <v>14.16</v>
      </c>
      <c r="AY31" s="290">
        <v>71.72</v>
      </c>
      <c r="AZ31" s="291" cm="1">
        <f t="array" aca="1" ref="AZ31" ca="1">INDIRECT("'"&amp;$C31&amp;"'!"&amp;"$"&amp;$D31&amp;$AZ$1&amp;"")</f>
        <v>13.3</v>
      </c>
      <c r="BA31" s="289">
        <v>0.99</v>
      </c>
      <c r="BB31" s="287">
        <v>2.2000000000000002</v>
      </c>
      <c r="BC31" s="292">
        <v>69.5</v>
      </c>
      <c r="BD31" s="286" cm="1">
        <f t="array" aca="1" ref="BD31" ca="1">INDIRECT("'"&amp;$C31&amp;"'!"&amp;"$"&amp;$D31&amp;$BC$1&amp;"")</f>
        <v>0</v>
      </c>
      <c r="BE31" s="288" t="s">
        <v>1</v>
      </c>
      <c r="BF31" s="287" t="s">
        <v>1</v>
      </c>
      <c r="BG31" s="291" cm="1">
        <f t="array" aca="1" ref="BG31" ca="1">INDIRECT("'"&amp;$C31&amp;"'!"&amp;"$"&amp;$D31&amp;$BG$1&amp;"")</f>
        <v>0.97</v>
      </c>
      <c r="BH31" s="289"/>
      <c r="BI31" s="289">
        <v>0.99</v>
      </c>
      <c r="BJ31" s="287">
        <v>0.15</v>
      </c>
      <c r="BK31" s="291" cm="1">
        <f t="array" aca="1" ref="BK31" ca="1">INDIRECT("'"&amp;$C31&amp;"'!"&amp;"$"&amp;$D31&amp;$BK$1&amp;"")</f>
        <v>0.81</v>
      </c>
      <c r="BL31" s="289"/>
      <c r="BM31" s="289">
        <v>0.96</v>
      </c>
      <c r="BN31" s="287">
        <v>0.22</v>
      </c>
      <c r="BO31" s="292" cm="1">
        <f t="array" aca="1" ref="BO31" ca="1">INDIRECT("'"&amp;$C31&amp;"'!"&amp;"$"&amp;$D31&amp;74&amp;"")</f>
        <v>0</v>
      </c>
      <c r="BP31" s="289"/>
      <c r="BQ31" s="289" t="s">
        <v>1</v>
      </c>
      <c r="BR31" s="287" t="s">
        <v>1</v>
      </c>
    </row>
    <row r="32" spans="1:70">
      <c r="A32" s="361">
        <v>45749</v>
      </c>
      <c r="B32" s="358">
        <v>8.3333333333333301E-2</v>
      </c>
      <c r="C32" s="313">
        <f t="shared" si="0"/>
        <v>2</v>
      </c>
      <c r="D32" s="314" t="s">
        <v>129</v>
      </c>
      <c r="E32" s="293">
        <v>14.2</v>
      </c>
      <c r="F32" s="294">
        <v>70.430000000000007</v>
      </c>
      <c r="G32" s="295" cm="1">
        <f t="array" aca="1" ref="G32" ca="1">INDIRECT("'"&amp;$C32&amp;"'!"&amp;"$"&amp;$D32&amp;$E$1&amp;"")</f>
        <v>0</v>
      </c>
      <c r="H32" s="296" t="s">
        <v>1</v>
      </c>
      <c r="I32" s="294" t="s">
        <v>1</v>
      </c>
      <c r="J32" s="295" cm="1">
        <f t="array" aca="1" ref="J32" ca="1">INDIRECT("'"&amp;$C32&amp;"'!"&amp;"$"&amp;$D32&amp;$J$1&amp;"")</f>
        <v>6.7</v>
      </c>
      <c r="K32" s="296"/>
      <c r="L32" s="296">
        <v>0.99</v>
      </c>
      <c r="M32" s="294">
        <v>1.06</v>
      </c>
      <c r="N32" s="295" cm="1">
        <f t="array" aca="1" ref="N32" ca="1">INDIRECT("'"&amp;$C32&amp;"'!"&amp;"$"&amp;$D32&amp;$N$1&amp;"")</f>
        <v>6.7</v>
      </c>
      <c r="O32" s="296"/>
      <c r="P32" s="296">
        <v>0.99</v>
      </c>
      <c r="Q32" s="294">
        <v>1.06</v>
      </c>
      <c r="R32" s="295" cm="1">
        <f t="array" aca="1" ref="R32" ca="1">INDIRECT("'"&amp;$C32&amp;"'!"&amp;"$"&amp;$D32&amp;$R$1&amp;"")</f>
        <v>6.7</v>
      </c>
      <c r="S32" s="296"/>
      <c r="T32" s="296">
        <v>0.99</v>
      </c>
      <c r="U32" s="294">
        <v>1.06</v>
      </c>
      <c r="V32" s="295" cm="1">
        <f t="array" aca="1" ref="V32" ca="1">INDIRECT("'"&amp;$C32&amp;"'!"&amp;"$"&amp;$D32&amp;$V$1&amp;"")</f>
        <v>0</v>
      </c>
      <c r="W32" s="296" t="s">
        <v>1</v>
      </c>
      <c r="X32" s="296" t="s">
        <v>1</v>
      </c>
      <c r="Y32" s="297" t="s">
        <v>1</v>
      </c>
      <c r="Z32" s="293">
        <v>0</v>
      </c>
      <c r="AA32" s="296" t="s">
        <v>1</v>
      </c>
      <c r="AB32" s="296" t="s">
        <v>1</v>
      </c>
      <c r="AC32" s="294" t="s">
        <v>1</v>
      </c>
      <c r="AD32" s="295" t="str" cm="1">
        <f t="array" aca="1" ref="AD32" ca="1">INDIRECT("'"&amp;$C32&amp;"'!"&amp;"$"&amp;$D32&amp;$AD$1&amp;"")</f>
        <v>CMS</v>
      </c>
      <c r="AE32" s="296" t="s">
        <v>1</v>
      </c>
      <c r="AF32" s="296" t="s">
        <v>1</v>
      </c>
      <c r="AG32" s="297" t="s">
        <v>1</v>
      </c>
      <c r="AH32" s="293" cm="1">
        <f t="array" aca="1" ref="AH32" ca="1">INDIRECT("'"&amp;$C32&amp;"'!"&amp;"$"&amp;$D32&amp;$AH$1&amp;"")</f>
        <v>0</v>
      </c>
      <c r="AI32" s="296" t="s">
        <v>1</v>
      </c>
      <c r="AJ32" s="296" t="s">
        <v>1</v>
      </c>
      <c r="AK32" s="297" t="s">
        <v>1</v>
      </c>
      <c r="AL32" s="293">
        <v>11.8</v>
      </c>
      <c r="AM32" s="297">
        <v>70.7</v>
      </c>
      <c r="AN32" s="293" cm="1">
        <f t="array" aca="1" ref="AN32" ca="1">INDIRECT("'"&amp;$C32&amp;"'!"&amp;"$"&amp;$D32&amp;$AL$1&amp;"")</f>
        <v>3</v>
      </c>
      <c r="AO32" s="296">
        <v>0.98</v>
      </c>
      <c r="AP32" s="294">
        <v>0.64</v>
      </c>
      <c r="AQ32" s="295" t="str" cm="1">
        <f t="array" aca="1" ref="AQ32" ca="1">INDIRECT("'"&amp;$C32&amp;"'!"&amp;"$"&amp;$D32&amp;$AQ$1&amp;"")</f>
        <v>CMS</v>
      </c>
      <c r="AR32" s="296" t="s">
        <v>1</v>
      </c>
      <c r="AS32" s="294" t="s">
        <v>1</v>
      </c>
      <c r="AT32" s="296" cm="1">
        <f t="array" aca="1" ref="AT32" ca="1">INDIRECT("'"&amp;$C32&amp;"'!"&amp;"$"&amp;$D32&amp;$AT$1&amp;"")</f>
        <v>0</v>
      </c>
      <c r="AU32" s="295" t="s">
        <v>1</v>
      </c>
      <c r="AV32" s="296" t="s">
        <v>1</v>
      </c>
      <c r="AW32" s="294" t="s">
        <v>1</v>
      </c>
      <c r="AX32" s="298">
        <v>14.14</v>
      </c>
      <c r="AY32" s="297">
        <v>71.709999999999994</v>
      </c>
      <c r="AZ32" s="298" cm="1">
        <f t="array" aca="1" ref="AZ32" ca="1">INDIRECT("'"&amp;$C32&amp;"'!"&amp;"$"&amp;$D32&amp;$AZ$1&amp;"")</f>
        <v>12.8</v>
      </c>
      <c r="BA32" s="296">
        <v>0.99</v>
      </c>
      <c r="BB32" s="294">
        <v>2.1</v>
      </c>
      <c r="BC32" s="299">
        <v>69.599999999999994</v>
      </c>
      <c r="BD32" s="293" cm="1">
        <f t="array" aca="1" ref="BD32" ca="1">INDIRECT("'"&amp;$C32&amp;"'!"&amp;"$"&amp;$D32&amp;$BC$1&amp;"")</f>
        <v>0</v>
      </c>
      <c r="BE32" s="295" t="s">
        <v>1</v>
      </c>
      <c r="BF32" s="294" t="s">
        <v>1</v>
      </c>
      <c r="BG32" s="298" cm="1">
        <f t="array" aca="1" ref="BG32" ca="1">INDIRECT("'"&amp;$C32&amp;"'!"&amp;"$"&amp;$D32&amp;$BG$1&amp;"")</f>
        <v>0.9</v>
      </c>
      <c r="BH32" s="296"/>
      <c r="BI32" s="296">
        <v>0.99</v>
      </c>
      <c r="BJ32" s="294">
        <v>0.13</v>
      </c>
      <c r="BK32" s="298" cm="1">
        <f t="array" aca="1" ref="BK32" ca="1">INDIRECT("'"&amp;$C32&amp;"'!"&amp;"$"&amp;$D32&amp;$BK$1&amp;"")</f>
        <v>0.77</v>
      </c>
      <c r="BL32" s="296"/>
      <c r="BM32" s="296">
        <v>0.96</v>
      </c>
      <c r="BN32" s="294">
        <v>0.21</v>
      </c>
      <c r="BO32" s="299" cm="1">
        <f t="array" aca="1" ref="BO32" ca="1">INDIRECT("'"&amp;$C32&amp;"'!"&amp;"$"&amp;$D32&amp;74&amp;"")</f>
        <v>0</v>
      </c>
      <c r="BP32" s="296"/>
      <c r="BQ32" s="296" t="s">
        <v>1</v>
      </c>
      <c r="BR32" s="294" t="s">
        <v>1</v>
      </c>
    </row>
    <row r="33" spans="1:70">
      <c r="A33" s="361">
        <v>45749</v>
      </c>
      <c r="B33" s="358">
        <v>0.125</v>
      </c>
      <c r="C33" s="313">
        <f t="shared" si="0"/>
        <v>2</v>
      </c>
      <c r="D33" s="314" t="s">
        <v>130</v>
      </c>
      <c r="E33" s="286">
        <v>14.2</v>
      </c>
      <c r="F33" s="287">
        <v>70.569999999999993</v>
      </c>
      <c r="G33" s="288" cm="1">
        <f t="array" aca="1" ref="G33" ca="1">INDIRECT("'"&amp;$C33&amp;"'!"&amp;"$"&amp;$D33&amp;$E$1&amp;"")</f>
        <v>0</v>
      </c>
      <c r="H33" s="289" t="s">
        <v>1</v>
      </c>
      <c r="I33" s="287" t="s">
        <v>1</v>
      </c>
      <c r="J33" s="288" cm="1">
        <f t="array" aca="1" ref="J33" ca="1">INDIRECT("'"&amp;$C33&amp;"'!"&amp;"$"&amp;$D33&amp;$J$1&amp;"")</f>
        <v>7</v>
      </c>
      <c r="K33" s="289"/>
      <c r="L33" s="289">
        <v>0.99</v>
      </c>
      <c r="M33" s="287">
        <v>1.3</v>
      </c>
      <c r="N33" s="288" cm="1">
        <f t="array" aca="1" ref="N33" ca="1">INDIRECT("'"&amp;$C33&amp;"'!"&amp;"$"&amp;$D33&amp;$N$1&amp;"")</f>
        <v>6.2</v>
      </c>
      <c r="O33" s="289"/>
      <c r="P33" s="289">
        <v>0.99</v>
      </c>
      <c r="Q33" s="287">
        <v>1.01</v>
      </c>
      <c r="R33" s="288" cm="1">
        <f t="array" aca="1" ref="R33" ca="1">INDIRECT("'"&amp;$C33&amp;"'!"&amp;"$"&amp;$D33&amp;$R$1&amp;"")</f>
        <v>6.2</v>
      </c>
      <c r="S33" s="289"/>
      <c r="T33" s="289">
        <v>0.99</v>
      </c>
      <c r="U33" s="287">
        <v>1.01</v>
      </c>
      <c r="V33" s="288" cm="1">
        <f t="array" aca="1" ref="V33" ca="1">INDIRECT("'"&amp;$C33&amp;"'!"&amp;"$"&amp;$D33&amp;$V$1&amp;"")</f>
        <v>0</v>
      </c>
      <c r="W33" s="289" t="s">
        <v>1</v>
      </c>
      <c r="X33" s="289" t="s">
        <v>1</v>
      </c>
      <c r="Y33" s="290" t="s">
        <v>1</v>
      </c>
      <c r="Z33" s="286" cm="1">
        <f t="array" aca="1" ref="Z33" ca="1">INDIRECT("'"&amp;$C33&amp;"'!"&amp;"$"&amp;$D33&amp;$Z$1&amp;"")</f>
        <v>0</v>
      </c>
      <c r="AA33" s="289" t="s">
        <v>1</v>
      </c>
      <c r="AB33" s="289" t="s">
        <v>1</v>
      </c>
      <c r="AC33" s="287" t="s">
        <v>1</v>
      </c>
      <c r="AD33" s="288" t="str" cm="1">
        <f t="array" aca="1" ref="AD33" ca="1">INDIRECT("'"&amp;$C33&amp;"'!"&amp;"$"&amp;$D33&amp;$AD$1&amp;"")</f>
        <v>CMS</v>
      </c>
      <c r="AE33" s="289" t="s">
        <v>1</v>
      </c>
      <c r="AF33" s="289" t="s">
        <v>1</v>
      </c>
      <c r="AG33" s="290" t="s">
        <v>1</v>
      </c>
      <c r="AH33" s="286" cm="1">
        <f t="array" aca="1" ref="AH33" ca="1">INDIRECT("'"&amp;$C33&amp;"'!"&amp;"$"&amp;$D33&amp;$AH$1&amp;"")</f>
        <v>0</v>
      </c>
      <c r="AI33" s="289" t="s">
        <v>1</v>
      </c>
      <c r="AJ33" s="289" t="s">
        <v>1</v>
      </c>
      <c r="AK33" s="287" t="s">
        <v>1</v>
      </c>
      <c r="AL33" s="286">
        <v>11.9</v>
      </c>
      <c r="AM33" s="290">
        <v>70.8</v>
      </c>
      <c r="AN33" s="286" cm="1">
        <f t="array" aca="1" ref="AN33" ca="1">INDIRECT("'"&amp;$C33&amp;"'!"&amp;"$"&amp;$D33&amp;$AL$1&amp;"")</f>
        <v>2.9</v>
      </c>
      <c r="AO33" s="289">
        <v>0.97</v>
      </c>
      <c r="AP33" s="287">
        <v>0.57999999999999996</v>
      </c>
      <c r="AQ33" s="288" t="str" cm="1">
        <f t="array" aca="1" ref="AQ33" ca="1">INDIRECT("'"&amp;$C33&amp;"'!"&amp;"$"&amp;$D33&amp;$AQ$1&amp;"")</f>
        <v>CMS</v>
      </c>
      <c r="AR33" s="289" t="s">
        <v>1</v>
      </c>
      <c r="AS33" s="287" t="s">
        <v>1</v>
      </c>
      <c r="AT33" s="289" cm="1">
        <f t="array" aca="1" ref="AT33" ca="1">INDIRECT("'"&amp;$C33&amp;"'!"&amp;"$"&amp;$D33&amp;$AT$1&amp;"")</f>
        <v>0</v>
      </c>
      <c r="AU33" s="288" t="s">
        <v>1</v>
      </c>
      <c r="AV33" s="289" t="s">
        <v>1</v>
      </c>
      <c r="AW33" s="287" t="s">
        <v>1</v>
      </c>
      <c r="AX33" s="291">
        <v>14.18</v>
      </c>
      <c r="AY33" s="290">
        <v>71.989999999999995</v>
      </c>
      <c r="AZ33" s="291" cm="1">
        <f t="array" aca="1" ref="AZ33" ca="1">INDIRECT("'"&amp;$C33&amp;"'!"&amp;"$"&amp;$D33&amp;$AZ$1&amp;"")</f>
        <v>12.78</v>
      </c>
      <c r="BA33" s="289">
        <v>0.99</v>
      </c>
      <c r="BB33" s="287">
        <v>2.2000000000000002</v>
      </c>
      <c r="BC33" s="292">
        <v>69.599999999999994</v>
      </c>
      <c r="BD33" s="286" cm="1">
        <f t="array" aca="1" ref="BD33" ca="1">INDIRECT("'"&amp;$C33&amp;"'!"&amp;"$"&amp;$D33&amp;$BC$1&amp;"")</f>
        <v>0</v>
      </c>
      <c r="BE33" s="288" t="s">
        <v>1</v>
      </c>
      <c r="BF33" s="287" t="s">
        <v>1</v>
      </c>
      <c r="BG33" s="291" cm="1">
        <f t="array" aca="1" ref="BG33" ca="1">INDIRECT("'"&amp;$C33&amp;"'!"&amp;"$"&amp;$D33&amp;$BG$1&amp;"")</f>
        <v>0.84</v>
      </c>
      <c r="BH33" s="289"/>
      <c r="BI33" s="289">
        <v>0.99</v>
      </c>
      <c r="BJ33" s="287">
        <v>0.11</v>
      </c>
      <c r="BK33" s="291" cm="1">
        <f t="array" aca="1" ref="BK33" ca="1">INDIRECT("'"&amp;$C33&amp;"'!"&amp;"$"&amp;$D33&amp;$BK$1&amp;"")</f>
        <v>0.75</v>
      </c>
      <c r="BL33" s="289"/>
      <c r="BM33" s="289">
        <v>0.96</v>
      </c>
      <c r="BN33" s="287">
        <v>0.21</v>
      </c>
      <c r="BO33" s="292" cm="1">
        <f t="array" aca="1" ref="BO33" ca="1">INDIRECT("'"&amp;$C33&amp;"'!"&amp;"$"&amp;$D33&amp;74&amp;"")</f>
        <v>0</v>
      </c>
      <c r="BP33" s="289"/>
      <c r="BQ33" s="289" t="s">
        <v>1</v>
      </c>
      <c r="BR33" s="287" t="s">
        <v>1</v>
      </c>
    </row>
    <row r="34" spans="1:70">
      <c r="A34" s="361">
        <v>45749</v>
      </c>
      <c r="B34" s="358">
        <v>0.16666666666666699</v>
      </c>
      <c r="C34" s="313">
        <f t="shared" si="0"/>
        <v>2</v>
      </c>
      <c r="D34" s="314" t="s">
        <v>131</v>
      </c>
      <c r="E34" s="293">
        <v>14</v>
      </c>
      <c r="F34" s="294">
        <v>69.680000000000007</v>
      </c>
      <c r="G34" s="295" cm="1">
        <f t="array" aca="1" ref="G34" ca="1">INDIRECT("'"&amp;$C34&amp;"'!"&amp;"$"&amp;$D34&amp;$E$1&amp;"")</f>
        <v>0</v>
      </c>
      <c r="H34" s="296" t="s">
        <v>1</v>
      </c>
      <c r="I34" s="294" t="s">
        <v>1</v>
      </c>
      <c r="J34" s="295" cm="1">
        <f t="array" aca="1" ref="J34" ca="1">INDIRECT("'"&amp;$C34&amp;"'!"&amp;"$"&amp;$D34&amp;$J$1&amp;"")</f>
        <v>0</v>
      </c>
      <c r="K34" s="296"/>
      <c r="L34" s="296" t="s">
        <v>1</v>
      </c>
      <c r="M34" s="294" t="s">
        <v>1</v>
      </c>
      <c r="N34" s="295" cm="1">
        <f t="array" aca="1" ref="N34" ca="1">INDIRECT("'"&amp;$C34&amp;"'!"&amp;"$"&amp;$D34&amp;$N$1&amp;"")</f>
        <v>6.7</v>
      </c>
      <c r="O34" s="296"/>
      <c r="P34" s="296">
        <v>0.98</v>
      </c>
      <c r="Q34" s="294">
        <v>1.4</v>
      </c>
      <c r="R34" s="295" cm="1">
        <f t="array" aca="1" ref="R34" ca="1">INDIRECT("'"&amp;$C34&amp;"'!"&amp;"$"&amp;$D34&amp;$R$1&amp;"")</f>
        <v>6.7</v>
      </c>
      <c r="S34" s="296"/>
      <c r="T34" s="296">
        <v>0.98</v>
      </c>
      <c r="U34" s="294">
        <v>1.4</v>
      </c>
      <c r="V34" s="295" cm="1">
        <f t="array" aca="1" ref="V34" ca="1">INDIRECT("'"&amp;$C34&amp;"'!"&amp;"$"&amp;$D34&amp;$V$1&amp;"")</f>
        <v>0</v>
      </c>
      <c r="W34" s="296" t="s">
        <v>1</v>
      </c>
      <c r="X34" s="296" t="s">
        <v>1</v>
      </c>
      <c r="Y34" s="297" t="s">
        <v>1</v>
      </c>
      <c r="Z34" s="293" cm="1">
        <f t="array" aca="1" ref="Z34" ca="1">INDIRECT("'"&amp;$C34&amp;"'!"&amp;"$"&amp;$D34&amp;$Z$1&amp;"")</f>
        <v>0</v>
      </c>
      <c r="AA34" s="296" t="s">
        <v>1</v>
      </c>
      <c r="AB34" s="296" t="s">
        <v>1</v>
      </c>
      <c r="AC34" s="294" t="s">
        <v>1</v>
      </c>
      <c r="AD34" s="295" t="str" cm="1">
        <f t="array" aca="1" ref="AD34" ca="1">INDIRECT("'"&amp;$C34&amp;"'!"&amp;"$"&amp;$D34&amp;$AD$1&amp;"")</f>
        <v>CMS</v>
      </c>
      <c r="AE34" s="296" t="s">
        <v>1</v>
      </c>
      <c r="AF34" s="296" t="s">
        <v>1</v>
      </c>
      <c r="AG34" s="297" t="s">
        <v>1</v>
      </c>
      <c r="AH34" s="293" cm="1">
        <f t="array" aca="1" ref="AH34" ca="1">INDIRECT("'"&amp;$C34&amp;"'!"&amp;"$"&amp;$D34&amp;$AH$1&amp;"")</f>
        <v>3</v>
      </c>
      <c r="AI34" s="296">
        <v>14</v>
      </c>
      <c r="AJ34" s="296">
        <v>0.99</v>
      </c>
      <c r="AK34" s="294">
        <v>0.12</v>
      </c>
      <c r="AL34" s="293">
        <v>11.9</v>
      </c>
      <c r="AM34" s="297">
        <v>70.599999999999994</v>
      </c>
      <c r="AN34" s="293" cm="1">
        <f t="array" aca="1" ref="AN34" ca="1">INDIRECT("'"&amp;$C34&amp;"'!"&amp;"$"&amp;$D34&amp;$AL$1&amp;"")</f>
        <v>3.5</v>
      </c>
      <c r="AO34" s="296">
        <v>0.97</v>
      </c>
      <c r="AP34" s="294">
        <v>0.8</v>
      </c>
      <c r="AQ34" s="295" t="str" cm="1">
        <f t="array" aca="1" ref="AQ34" ca="1">INDIRECT("'"&amp;$C34&amp;"'!"&amp;"$"&amp;$D34&amp;$AQ$1&amp;"")</f>
        <v>CMS</v>
      </c>
      <c r="AR34" s="296" t="s">
        <v>1</v>
      </c>
      <c r="AS34" s="294" t="s">
        <v>1</v>
      </c>
      <c r="AT34" s="296" cm="1">
        <f t="array" aca="1" ref="AT34" ca="1">INDIRECT("'"&amp;$C34&amp;"'!"&amp;"$"&amp;$D34&amp;$AT$1&amp;"")</f>
        <v>0</v>
      </c>
      <c r="AU34" s="295" t="s">
        <v>1</v>
      </c>
      <c r="AV34" s="296" t="s">
        <v>1</v>
      </c>
      <c r="AW34" s="294" t="s">
        <v>1</v>
      </c>
      <c r="AX34" s="298">
        <v>14.25</v>
      </c>
      <c r="AY34" s="297">
        <v>72.08</v>
      </c>
      <c r="AZ34" s="298" cm="1">
        <f t="array" aca="1" ref="AZ34" ca="1">INDIRECT("'"&amp;$C34&amp;"'!"&amp;"$"&amp;$D34&amp;$AZ$1&amp;"")</f>
        <v>13.3</v>
      </c>
      <c r="BA34" s="296">
        <v>0.99</v>
      </c>
      <c r="BB34" s="294">
        <v>2.2999999999999998</v>
      </c>
      <c r="BC34" s="299">
        <v>68.8</v>
      </c>
      <c r="BD34" s="293" cm="1">
        <f t="array" aca="1" ref="BD34" ca="1">INDIRECT("'"&amp;$C34&amp;"'!"&amp;"$"&amp;$D34&amp;$BC$1&amp;"")</f>
        <v>0</v>
      </c>
      <c r="BE34" s="295" t="s">
        <v>1</v>
      </c>
      <c r="BF34" s="294" t="s">
        <v>1</v>
      </c>
      <c r="BG34" s="298" cm="1">
        <f t="array" aca="1" ref="BG34" ca="1">INDIRECT("'"&amp;$C34&amp;"'!"&amp;"$"&amp;$D34&amp;$BG$1&amp;"")</f>
        <v>0.81</v>
      </c>
      <c r="BH34" s="296"/>
      <c r="BI34" s="296">
        <v>0.99</v>
      </c>
      <c r="BJ34" s="294">
        <v>0.1</v>
      </c>
      <c r="BK34" s="298" cm="1">
        <f t="array" aca="1" ref="BK34" ca="1">INDIRECT("'"&amp;$C34&amp;"'!"&amp;"$"&amp;$D34&amp;$BK$1&amp;"")</f>
        <v>0.76</v>
      </c>
      <c r="BL34" s="296"/>
      <c r="BM34" s="296">
        <v>0.96</v>
      </c>
      <c r="BN34" s="294">
        <v>0.21</v>
      </c>
      <c r="BO34" s="299" cm="1">
        <f t="array" aca="1" ref="BO34" ca="1">INDIRECT("'"&amp;$C34&amp;"'!"&amp;"$"&amp;$D34&amp;74&amp;"")</f>
        <v>0</v>
      </c>
      <c r="BP34" s="296"/>
      <c r="BQ34" s="296" t="s">
        <v>1</v>
      </c>
      <c r="BR34" s="294" t="s">
        <v>1</v>
      </c>
    </row>
    <row r="35" spans="1:70">
      <c r="A35" s="361">
        <v>45749</v>
      </c>
      <c r="B35" s="358">
        <v>0.20833333333333301</v>
      </c>
      <c r="C35" s="313">
        <f t="shared" si="0"/>
        <v>2</v>
      </c>
      <c r="D35" s="314" t="s">
        <v>132</v>
      </c>
      <c r="E35" s="286">
        <v>14</v>
      </c>
      <c r="F35" s="287">
        <v>69.599999999999994</v>
      </c>
      <c r="G35" s="288" cm="1">
        <f t="array" aca="1" ref="G35" ca="1">INDIRECT("'"&amp;$C35&amp;"'!"&amp;"$"&amp;$D35&amp;$E$1&amp;"")</f>
        <v>0</v>
      </c>
      <c r="H35" s="289" t="s">
        <v>1</v>
      </c>
      <c r="I35" s="287" t="s">
        <v>1</v>
      </c>
      <c r="J35" s="288" cm="1">
        <f t="array" aca="1" ref="J35" ca="1">INDIRECT("'"&amp;$C35&amp;"'!"&amp;"$"&amp;$D35&amp;$J$1&amp;"")</f>
        <v>0</v>
      </c>
      <c r="K35" s="289"/>
      <c r="L35" s="289" t="s">
        <v>1</v>
      </c>
      <c r="M35" s="287" t="s">
        <v>1</v>
      </c>
      <c r="N35" s="288" cm="1">
        <f t="array" aca="1" ref="N35" ca="1">INDIRECT("'"&amp;$C35&amp;"'!"&amp;"$"&amp;$D35&amp;$N$1&amp;"")</f>
        <v>6.7</v>
      </c>
      <c r="O35" s="289"/>
      <c r="P35" s="289">
        <v>0.98</v>
      </c>
      <c r="Q35" s="287">
        <v>1.51</v>
      </c>
      <c r="R35" s="288" cm="1">
        <f t="array" aca="1" ref="R35" ca="1">INDIRECT("'"&amp;$C35&amp;"'!"&amp;"$"&amp;$D35&amp;$R$1&amp;"")</f>
        <v>6.7</v>
      </c>
      <c r="S35" s="289"/>
      <c r="T35" s="289">
        <v>0.98</v>
      </c>
      <c r="U35" s="287">
        <v>1.51</v>
      </c>
      <c r="V35" s="288" cm="1">
        <f t="array" aca="1" ref="V35" ca="1">INDIRECT("'"&amp;$C35&amp;"'!"&amp;"$"&amp;$D35&amp;$V$1&amp;"")</f>
        <v>0</v>
      </c>
      <c r="W35" s="289" t="s">
        <v>1</v>
      </c>
      <c r="X35" s="289" t="s">
        <v>1</v>
      </c>
      <c r="Y35" s="290" t="s">
        <v>1</v>
      </c>
      <c r="Z35" s="286" cm="1">
        <f t="array" aca="1" ref="Z35" ca="1">INDIRECT("'"&amp;$C35&amp;"'!"&amp;"$"&amp;$D35&amp;$Z$1&amp;"")</f>
        <v>0</v>
      </c>
      <c r="AA35" s="289" t="s">
        <v>1</v>
      </c>
      <c r="AB35" s="289" t="s">
        <v>1</v>
      </c>
      <c r="AC35" s="287" t="s">
        <v>1</v>
      </c>
      <c r="AD35" s="288" t="str" cm="1">
        <f t="array" aca="1" ref="AD35" ca="1">INDIRECT("'"&amp;$C35&amp;"'!"&amp;"$"&amp;$D35&amp;$AD$1&amp;"")</f>
        <v>CMS</v>
      </c>
      <c r="AE35" s="289" t="s">
        <v>1</v>
      </c>
      <c r="AF35" s="289" t="s">
        <v>1</v>
      </c>
      <c r="AG35" s="290" t="s">
        <v>1</v>
      </c>
      <c r="AH35" s="286" cm="1">
        <f t="array" aca="1" ref="AH35" ca="1">INDIRECT("'"&amp;$C35&amp;"'!"&amp;"$"&amp;$D35&amp;$AH$1&amp;"")</f>
        <v>3</v>
      </c>
      <c r="AI35" s="289">
        <v>14</v>
      </c>
      <c r="AJ35" s="289">
        <v>0.99</v>
      </c>
      <c r="AK35" s="287">
        <v>0.16300000000000001</v>
      </c>
      <c r="AL35" s="286">
        <v>11.9</v>
      </c>
      <c r="AM35" s="290">
        <v>70.5</v>
      </c>
      <c r="AN35" s="286" cm="1">
        <f t="array" aca="1" ref="AN35" ca="1">INDIRECT("'"&amp;$C35&amp;"'!"&amp;"$"&amp;$D35&amp;$AL$1&amp;"")</f>
        <v>3.8</v>
      </c>
      <c r="AO35" s="289">
        <v>0.97</v>
      </c>
      <c r="AP35" s="287">
        <v>0.9</v>
      </c>
      <c r="AQ35" s="288" t="str" cm="1">
        <f t="array" aca="1" ref="AQ35" ca="1">INDIRECT("'"&amp;$C35&amp;"'!"&amp;"$"&amp;$D35&amp;$AQ$1&amp;"")</f>
        <v>CMS</v>
      </c>
      <c r="AR35" s="289" t="s">
        <v>1</v>
      </c>
      <c r="AS35" s="287" t="s">
        <v>1</v>
      </c>
      <c r="AT35" s="289" cm="1">
        <f t="array" aca="1" ref="AT35" ca="1">INDIRECT("'"&amp;$C35&amp;"'!"&amp;"$"&amp;$D35&amp;$AT$1&amp;"")</f>
        <v>0</v>
      </c>
      <c r="AU35" s="288" t="s">
        <v>1</v>
      </c>
      <c r="AV35" s="289" t="s">
        <v>1</v>
      </c>
      <c r="AW35" s="287" t="s">
        <v>1</v>
      </c>
      <c r="AX35" s="291">
        <v>14.19</v>
      </c>
      <c r="AY35" s="290">
        <v>70.5</v>
      </c>
      <c r="AZ35" s="291" cm="1">
        <f t="array" aca="1" ref="AZ35" ca="1">INDIRECT("'"&amp;$C35&amp;"'!"&amp;"$"&amp;$D35&amp;$AZ$1&amp;"")</f>
        <v>14.24</v>
      </c>
      <c r="BA35" s="289">
        <v>0.99</v>
      </c>
      <c r="BB35" s="287">
        <v>2.2999999999999998</v>
      </c>
      <c r="BC35" s="292">
        <v>68.599999999999994</v>
      </c>
      <c r="BD35" s="286" cm="1">
        <f t="array" aca="1" ref="BD35" ca="1">INDIRECT("'"&amp;$C35&amp;"'!"&amp;"$"&amp;$D35&amp;$BC$1&amp;"")</f>
        <v>0</v>
      </c>
      <c r="BE35" s="288" t="s">
        <v>1</v>
      </c>
      <c r="BF35" s="287" t="s">
        <v>1</v>
      </c>
      <c r="BG35" s="291" cm="1">
        <f t="array" aca="1" ref="BG35" ca="1">INDIRECT("'"&amp;$C35&amp;"'!"&amp;"$"&amp;$D35&amp;$BG$1&amp;"")</f>
        <v>0.87</v>
      </c>
      <c r="BH35" s="289"/>
      <c r="BI35" s="289">
        <v>0.99</v>
      </c>
      <c r="BJ35" s="287">
        <v>0.1</v>
      </c>
      <c r="BK35" s="291" cm="1">
        <f t="array" aca="1" ref="BK35" ca="1">INDIRECT("'"&amp;$C35&amp;"'!"&amp;"$"&amp;$D35&amp;$BK$1&amp;"")</f>
        <v>0.79</v>
      </c>
      <c r="BL35" s="289"/>
      <c r="BM35" s="289">
        <v>0.96</v>
      </c>
      <c r="BN35" s="287">
        <v>0.21</v>
      </c>
      <c r="BO35" s="292" cm="1">
        <f t="array" aca="1" ref="BO35" ca="1">INDIRECT("'"&amp;$C35&amp;"'!"&amp;"$"&amp;$D35&amp;74&amp;"")</f>
        <v>0</v>
      </c>
      <c r="BP35" s="289"/>
      <c r="BQ35" s="289" t="s">
        <v>1</v>
      </c>
      <c r="BR35" s="287" t="s">
        <v>1</v>
      </c>
    </row>
    <row r="36" spans="1:70">
      <c r="A36" s="361">
        <v>45749</v>
      </c>
      <c r="B36" s="358">
        <v>0.25</v>
      </c>
      <c r="C36" s="313">
        <f t="shared" si="0"/>
        <v>2</v>
      </c>
      <c r="D36" s="314" t="s">
        <v>133</v>
      </c>
      <c r="E36" s="293">
        <v>14.2</v>
      </c>
      <c r="F36" s="294">
        <v>70.06</v>
      </c>
      <c r="G36" s="295" cm="1">
        <f t="array" aca="1" ref="G36" ca="1">INDIRECT("'"&amp;$C36&amp;"'!"&amp;"$"&amp;$D36&amp;$E$1&amp;"")</f>
        <v>3.8</v>
      </c>
      <c r="H36" s="296">
        <v>0.96</v>
      </c>
      <c r="I36" s="294">
        <v>1.1499999999999999</v>
      </c>
      <c r="J36" s="295" cm="1">
        <f t="array" aca="1" ref="J36" ca="1">INDIRECT("'"&amp;$C36&amp;"'!"&amp;"$"&amp;$D36&amp;$J$1&amp;"")</f>
        <v>0</v>
      </c>
      <c r="K36" s="296"/>
      <c r="L36" s="296" t="s">
        <v>1</v>
      </c>
      <c r="M36" s="294" t="s">
        <v>1</v>
      </c>
      <c r="N36" s="295" cm="1">
        <f t="array" aca="1" ref="N36" ca="1">INDIRECT("'"&amp;$C36&amp;"'!"&amp;"$"&amp;$D36&amp;$N$1&amp;"")</f>
        <v>6.7</v>
      </c>
      <c r="O36" s="296"/>
      <c r="P36" s="296">
        <v>0.97</v>
      </c>
      <c r="Q36" s="294">
        <v>1.6</v>
      </c>
      <c r="R36" s="295" cm="1">
        <f t="array" aca="1" ref="R36" ca="1">INDIRECT("'"&amp;$C36&amp;"'!"&amp;"$"&amp;$D36&amp;$R$1&amp;"")</f>
        <v>6.7</v>
      </c>
      <c r="S36" s="296"/>
      <c r="T36" s="296">
        <v>0.97</v>
      </c>
      <c r="U36" s="294">
        <v>1.6</v>
      </c>
      <c r="V36" s="295" cm="1">
        <f t="array" aca="1" ref="V36" ca="1">INDIRECT("'"&amp;$C36&amp;"'!"&amp;"$"&amp;$D36&amp;$V$1&amp;"")</f>
        <v>0</v>
      </c>
      <c r="W36" s="296" t="s">
        <v>1</v>
      </c>
      <c r="X36" s="296" t="s">
        <v>1</v>
      </c>
      <c r="Y36" s="297" t="s">
        <v>1</v>
      </c>
      <c r="Z36" s="293" cm="1">
        <f t="array" aca="1" ref="Z36" ca="1">INDIRECT("'"&amp;$C36&amp;"'!"&amp;"$"&amp;$D36&amp;$Z$1&amp;"")</f>
        <v>0</v>
      </c>
      <c r="AA36" s="296" t="s">
        <v>1</v>
      </c>
      <c r="AB36" s="296" t="s">
        <v>1</v>
      </c>
      <c r="AC36" s="294" t="s">
        <v>1</v>
      </c>
      <c r="AD36" s="295" cm="1">
        <f t="array" aca="1" ref="AD36" ca="1">INDIRECT("'"&amp;$C36&amp;"'!"&amp;"$"&amp;$D36&amp;$AD$1&amp;"")</f>
        <v>0</v>
      </c>
      <c r="AE36" s="296" t="s">
        <v>1</v>
      </c>
      <c r="AF36" s="296" t="s">
        <v>1</v>
      </c>
      <c r="AG36" s="297" t="s">
        <v>1</v>
      </c>
      <c r="AH36" s="293" cm="1">
        <f t="array" aca="1" ref="AH36" ca="1">INDIRECT("'"&amp;$C36&amp;"'!"&amp;"$"&amp;$D36&amp;$AH$1&amp;"")</f>
        <v>3.8</v>
      </c>
      <c r="AI36" s="296">
        <v>14.04</v>
      </c>
      <c r="AJ36" s="296">
        <v>1</v>
      </c>
      <c r="AK36" s="294">
        <v>0.75</v>
      </c>
      <c r="AL36" s="293">
        <v>11.9</v>
      </c>
      <c r="AM36" s="297">
        <v>70.7</v>
      </c>
      <c r="AN36" s="293" cm="1">
        <f t="array" aca="1" ref="AN36" ca="1">INDIRECT("'"&amp;$C36&amp;"'!"&amp;"$"&amp;$D36&amp;$AL$1&amp;"")</f>
        <v>3.5</v>
      </c>
      <c r="AO36" s="296">
        <v>0.98</v>
      </c>
      <c r="AP36" s="294">
        <v>0.7</v>
      </c>
      <c r="AQ36" s="295" t="str" cm="1">
        <f t="array" aca="1" ref="AQ36" ca="1">INDIRECT("'"&amp;$C36&amp;"'!"&amp;"$"&amp;$D36&amp;$AQ$1&amp;"")</f>
        <v>CMS</v>
      </c>
      <c r="AR36" s="296" t="s">
        <v>1</v>
      </c>
      <c r="AS36" s="294" t="s">
        <v>1</v>
      </c>
      <c r="AT36" s="296" cm="1">
        <f t="array" aca="1" ref="AT36" ca="1">INDIRECT("'"&amp;$C36&amp;"'!"&amp;"$"&amp;$D36&amp;$AT$1&amp;"")</f>
        <v>0</v>
      </c>
      <c r="AU36" s="295" t="s">
        <v>1</v>
      </c>
      <c r="AV36" s="296" t="s">
        <v>1</v>
      </c>
      <c r="AW36" s="294" t="s">
        <v>1</v>
      </c>
      <c r="AX36" s="298">
        <v>14.2</v>
      </c>
      <c r="AY36" s="297">
        <v>72</v>
      </c>
      <c r="AZ36" s="298" cm="1">
        <f t="array" aca="1" ref="AZ36" ca="1">INDIRECT("'"&amp;$C36&amp;"'!"&amp;"$"&amp;$D36&amp;$AZ$1&amp;"")</f>
        <v>14.3</v>
      </c>
      <c r="BA36" s="296">
        <v>0.99</v>
      </c>
      <c r="BB36" s="294">
        <v>2.4</v>
      </c>
      <c r="BC36" s="299">
        <v>69.099999999999994</v>
      </c>
      <c r="BD36" s="293" cm="1">
        <f t="array" aca="1" ref="BD36" ca="1">INDIRECT("'"&amp;$C36&amp;"'!"&amp;"$"&amp;$D36&amp;$BC$1&amp;"")</f>
        <v>0</v>
      </c>
      <c r="BE36" s="295" t="s">
        <v>1</v>
      </c>
      <c r="BF36" s="294" t="s">
        <v>1</v>
      </c>
      <c r="BG36" s="298" cm="1">
        <f t="array" aca="1" ref="BG36" ca="1">INDIRECT("'"&amp;$C36&amp;"'!"&amp;"$"&amp;$D36&amp;$BG$1&amp;"")</f>
        <v>1.07</v>
      </c>
      <c r="BH36" s="296"/>
      <c r="BI36" s="296">
        <v>0.99</v>
      </c>
      <c r="BJ36" s="294">
        <v>0.11</v>
      </c>
      <c r="BK36" s="298" cm="1">
        <f t="array" aca="1" ref="BK36" ca="1">INDIRECT("'"&amp;$C36&amp;"'!"&amp;"$"&amp;$D36&amp;$BK$1&amp;"")</f>
        <v>0.83</v>
      </c>
      <c r="BL36" s="296"/>
      <c r="BM36" s="296">
        <v>0.97</v>
      </c>
      <c r="BN36" s="294">
        <v>0.2</v>
      </c>
      <c r="BO36" s="299" cm="1">
        <f t="array" aca="1" ref="BO36" ca="1">INDIRECT("'"&amp;$C36&amp;"'!"&amp;"$"&amp;$D36&amp;74&amp;"")</f>
        <v>0</v>
      </c>
      <c r="BP36" s="296"/>
      <c r="BQ36" s="296" t="s">
        <v>1</v>
      </c>
      <c r="BR36" s="294" t="s">
        <v>1</v>
      </c>
    </row>
    <row r="37" spans="1:70">
      <c r="A37" s="361">
        <v>45749</v>
      </c>
      <c r="B37" s="358">
        <v>0.29166666666666702</v>
      </c>
      <c r="C37" s="313">
        <f t="shared" si="0"/>
        <v>2</v>
      </c>
      <c r="D37" s="314" t="s">
        <v>134</v>
      </c>
      <c r="E37" s="286">
        <v>14.1</v>
      </c>
      <c r="F37" s="287">
        <v>69.69</v>
      </c>
      <c r="G37" s="288" cm="1">
        <f t="array" aca="1" ref="G37" ca="1">INDIRECT("'"&amp;$C37&amp;"'!"&amp;"$"&amp;$D37&amp;$E$1&amp;"")</f>
        <v>6</v>
      </c>
      <c r="H37" s="289">
        <v>0.98</v>
      </c>
      <c r="I37" s="287">
        <v>1.34</v>
      </c>
      <c r="J37" s="288" cm="1">
        <f t="array" aca="1" ref="J37" ca="1">INDIRECT("'"&amp;$C37&amp;"'!"&amp;"$"&amp;$D37&amp;$J$1&amp;"")</f>
        <v>0</v>
      </c>
      <c r="K37" s="289"/>
      <c r="L37" s="289" t="s">
        <v>1</v>
      </c>
      <c r="M37" s="287" t="s">
        <v>1</v>
      </c>
      <c r="N37" s="288" cm="1">
        <f t="array" aca="1" ref="N37" ca="1">INDIRECT("'"&amp;$C37&amp;"'!"&amp;"$"&amp;$D37&amp;$N$1&amp;"")</f>
        <v>6</v>
      </c>
      <c r="O37" s="289"/>
      <c r="P37" s="289">
        <v>0.98</v>
      </c>
      <c r="Q37" s="287">
        <v>1.34</v>
      </c>
      <c r="R37" s="288" cm="1">
        <f t="array" aca="1" ref="R37" ca="1">INDIRECT("'"&amp;$C37&amp;"'!"&amp;"$"&amp;$D37&amp;$R$1&amp;"")</f>
        <v>6</v>
      </c>
      <c r="S37" s="289"/>
      <c r="T37" s="289">
        <v>0.98</v>
      </c>
      <c r="U37" s="287">
        <v>1.34</v>
      </c>
      <c r="V37" s="288" cm="1">
        <f t="array" aca="1" ref="V37" ca="1">INDIRECT("'"&amp;$C37&amp;"'!"&amp;"$"&amp;$D37&amp;$V$1&amp;"")</f>
        <v>0</v>
      </c>
      <c r="W37" s="289" t="s">
        <v>1</v>
      </c>
      <c r="X37" s="289" t="s">
        <v>1</v>
      </c>
      <c r="Y37" s="290" t="s">
        <v>1</v>
      </c>
      <c r="Z37" s="286" cm="1">
        <f t="array" aca="1" ref="Z37" ca="1">INDIRECT("'"&amp;$C37&amp;"'!"&amp;"$"&amp;$D37&amp;$Z$1&amp;"")</f>
        <v>0</v>
      </c>
      <c r="AA37" s="289" t="s">
        <v>1</v>
      </c>
      <c r="AB37" s="289" t="s">
        <v>1</v>
      </c>
      <c r="AC37" s="287" t="s">
        <v>1</v>
      </c>
      <c r="AD37" s="288" cm="1">
        <f t="array" aca="1" ref="AD37" ca="1">INDIRECT("'"&amp;$C37&amp;"'!"&amp;"$"&amp;$D37&amp;$AD$1&amp;"")</f>
        <v>0</v>
      </c>
      <c r="AE37" s="289" t="s">
        <v>1</v>
      </c>
      <c r="AF37" s="289" t="s">
        <v>1</v>
      </c>
      <c r="AG37" s="290" t="s">
        <v>1</v>
      </c>
      <c r="AH37" s="286" cm="1">
        <f t="array" aca="1" ref="AH37" ca="1">INDIRECT("'"&amp;$C37&amp;"'!"&amp;"$"&amp;$D37&amp;$AH$1&amp;"")</f>
        <v>3</v>
      </c>
      <c r="AI37" s="289">
        <v>14</v>
      </c>
      <c r="AJ37" s="289">
        <v>0.99</v>
      </c>
      <c r="AK37" s="287">
        <v>0.28399999999999997</v>
      </c>
      <c r="AL37" s="286">
        <v>11.8</v>
      </c>
      <c r="AM37" s="290">
        <v>70.400000000000006</v>
      </c>
      <c r="AN37" s="286" cm="1">
        <f t="array" aca="1" ref="AN37" ca="1">INDIRECT("'"&amp;$C37&amp;"'!"&amp;"$"&amp;$D37&amp;$AL$1&amp;"")</f>
        <v>2.8</v>
      </c>
      <c r="AO37" s="289">
        <v>0.94</v>
      </c>
      <c r="AP37" s="287">
        <v>1.1000000000000001</v>
      </c>
      <c r="AQ37" s="288" t="str" cm="1">
        <f t="array" aca="1" ref="AQ37" ca="1">INDIRECT("'"&amp;$C37&amp;"'!"&amp;"$"&amp;$D37&amp;$AQ$1&amp;"")</f>
        <v>CMS</v>
      </c>
      <c r="AR37" s="289" t="s">
        <v>1</v>
      </c>
      <c r="AS37" s="287" t="s">
        <v>1</v>
      </c>
      <c r="AT37" s="289" cm="1">
        <f t="array" aca="1" ref="AT37" ca="1">INDIRECT("'"&amp;$C37&amp;"'!"&amp;"$"&amp;$D37&amp;$AT$1&amp;"")</f>
        <v>0</v>
      </c>
      <c r="AU37" s="288" t="s">
        <v>1</v>
      </c>
      <c r="AV37" s="289" t="s">
        <v>1</v>
      </c>
      <c r="AW37" s="287" t="s">
        <v>1</v>
      </c>
      <c r="AX37" s="291">
        <v>14.16</v>
      </c>
      <c r="AY37" s="290">
        <v>71.739999999999995</v>
      </c>
      <c r="AZ37" s="291" cm="1">
        <f t="array" aca="1" ref="AZ37" ca="1">INDIRECT("'"&amp;$C37&amp;"'!"&amp;"$"&amp;$D37&amp;$AZ$1&amp;"")</f>
        <v>12.77</v>
      </c>
      <c r="BA37" s="289">
        <v>0.99</v>
      </c>
      <c r="BB37" s="287">
        <v>2.2000000000000002</v>
      </c>
      <c r="BC37" s="292">
        <v>68.7</v>
      </c>
      <c r="BD37" s="286" cm="1">
        <f t="array" aca="1" ref="BD37" ca="1">INDIRECT("'"&amp;$C37&amp;"'!"&amp;"$"&amp;$D37&amp;$BC$1&amp;"")</f>
        <v>0</v>
      </c>
      <c r="BE37" s="288" t="s">
        <v>1</v>
      </c>
      <c r="BF37" s="287" t="s">
        <v>1</v>
      </c>
      <c r="BG37" s="291" cm="1">
        <f t="array" aca="1" ref="BG37" ca="1">INDIRECT("'"&amp;$C37&amp;"'!"&amp;"$"&amp;$D37&amp;$BG$1&amp;"")</f>
        <v>1.07</v>
      </c>
      <c r="BH37" s="289"/>
      <c r="BI37" s="289">
        <v>0.99</v>
      </c>
      <c r="BJ37" s="287">
        <v>0.14000000000000001</v>
      </c>
      <c r="BK37" s="292" cm="1">
        <f t="array" aca="1" ref="BK37" ca="1">INDIRECT("'"&amp;$C37&amp;"'!"&amp;"$"&amp;$D37&amp;$BK$1&amp;"")</f>
        <v>0.77</v>
      </c>
      <c r="BL37" s="289"/>
      <c r="BM37" s="289">
        <v>0.96</v>
      </c>
      <c r="BN37" s="287">
        <v>0.21</v>
      </c>
      <c r="BO37" s="292" cm="1">
        <f t="array" aca="1" ref="BO37" ca="1">INDIRECT("'"&amp;$C37&amp;"'!"&amp;"$"&amp;$D37&amp;74&amp;"")</f>
        <v>0</v>
      </c>
      <c r="BP37" s="289"/>
      <c r="BQ37" s="289" t="s">
        <v>1</v>
      </c>
      <c r="BR37" s="287" t="s">
        <v>1</v>
      </c>
    </row>
    <row r="38" spans="1:70">
      <c r="A38" s="361">
        <v>45749</v>
      </c>
      <c r="B38" s="358">
        <v>0.33333333333333398</v>
      </c>
      <c r="C38" s="313">
        <f t="shared" si="0"/>
        <v>2</v>
      </c>
      <c r="D38" s="314" t="s">
        <v>135</v>
      </c>
      <c r="E38" s="293">
        <v>14.2</v>
      </c>
      <c r="F38" s="294">
        <v>68.930000000000007</v>
      </c>
      <c r="G38" s="295" cm="1">
        <f t="array" aca="1" ref="G38" ca="1">INDIRECT("'"&amp;$C38&amp;"'!"&amp;"$"&amp;$D38&amp;$E$1&amp;"")</f>
        <v>6.9</v>
      </c>
      <c r="H38" s="296">
        <v>0.94</v>
      </c>
      <c r="I38" s="294">
        <v>2.4700000000000002</v>
      </c>
      <c r="J38" s="295" cm="1">
        <f t="array" aca="1" ref="J38" ca="1">INDIRECT("'"&amp;$C38&amp;"'!"&amp;"$"&amp;$D38&amp;$J$1&amp;"")</f>
        <v>0</v>
      </c>
      <c r="K38" s="296"/>
      <c r="L38" s="296" t="s">
        <v>1</v>
      </c>
      <c r="M38" s="294" t="s">
        <v>1</v>
      </c>
      <c r="N38" s="295" cm="1">
        <f t="array" aca="1" ref="N38" ca="1">INDIRECT("'"&amp;$C38&amp;"'!"&amp;"$"&amp;$D38&amp;$N$1&amp;"")</f>
        <v>6.9</v>
      </c>
      <c r="O38" s="296"/>
      <c r="P38" s="296">
        <v>0.94</v>
      </c>
      <c r="Q38" s="294">
        <v>2.52</v>
      </c>
      <c r="R38" s="295" cm="1">
        <f t="array" aca="1" ref="R38" ca="1">INDIRECT("'"&amp;$C38&amp;"'!"&amp;"$"&amp;$D38&amp;$R$1&amp;"")</f>
        <v>6.9</v>
      </c>
      <c r="S38" s="296"/>
      <c r="T38" s="296">
        <v>0.94</v>
      </c>
      <c r="U38" s="294">
        <v>2.4900000000000002</v>
      </c>
      <c r="V38" s="295" cm="1">
        <f t="array" aca="1" ref="V38" ca="1">INDIRECT("'"&amp;$C38&amp;"'!"&amp;"$"&amp;$D38&amp;$V$1&amp;"")</f>
        <v>0</v>
      </c>
      <c r="W38" s="296" t="s">
        <v>1</v>
      </c>
      <c r="X38" s="296" t="s">
        <v>1</v>
      </c>
      <c r="Y38" s="297" t="s">
        <v>1</v>
      </c>
      <c r="Z38" s="293" cm="1">
        <f t="array" aca="1" ref="Z38" ca="1">INDIRECT("'"&amp;$C38&amp;"'!"&amp;"$"&amp;$D38&amp;$Z$1&amp;"")</f>
        <v>0</v>
      </c>
      <c r="AA38" s="296" t="s">
        <v>1</v>
      </c>
      <c r="AB38" s="296" t="s">
        <v>1</v>
      </c>
      <c r="AC38" s="294" t="s">
        <v>1</v>
      </c>
      <c r="AD38" s="295" cm="1">
        <f t="array" aca="1" ref="AD38" ca="1">INDIRECT("'"&amp;$C38&amp;"'!"&amp;"$"&amp;$D38&amp;$AD$1&amp;"")</f>
        <v>0</v>
      </c>
      <c r="AE38" s="296" t="s">
        <v>1</v>
      </c>
      <c r="AF38" s="296" t="s">
        <v>1</v>
      </c>
      <c r="AG38" s="297" t="s">
        <v>1</v>
      </c>
      <c r="AH38" s="293" cm="1">
        <f t="array" aca="1" ref="AH38" ca="1">INDIRECT("'"&amp;$C38&amp;"'!"&amp;"$"&amp;$D38&amp;$AH$1&amp;"")</f>
        <v>3</v>
      </c>
      <c r="AI38" s="296">
        <v>13.96</v>
      </c>
      <c r="AJ38" s="296">
        <v>0.98</v>
      </c>
      <c r="AK38" s="294">
        <v>0.81699999999999995</v>
      </c>
      <c r="AL38" s="293">
        <v>11.8</v>
      </c>
      <c r="AM38" s="297">
        <v>69.7</v>
      </c>
      <c r="AN38" s="293" cm="1">
        <f t="array" aca="1" ref="AN38" ca="1">INDIRECT("'"&amp;$C38&amp;"'!"&amp;"$"&amp;$D38&amp;$AL$1&amp;"")</f>
        <v>4</v>
      </c>
      <c r="AO38" s="296">
        <v>0.94</v>
      </c>
      <c r="AP38" s="294">
        <v>1.4</v>
      </c>
      <c r="AQ38" s="295" t="str" cm="1">
        <f t="array" aca="1" ref="AQ38" ca="1">INDIRECT("'"&amp;$C38&amp;"'!"&amp;"$"&amp;$D38&amp;$AQ$1&amp;"")</f>
        <v>CMS</v>
      </c>
      <c r="AR38" s="296" t="s">
        <v>1</v>
      </c>
      <c r="AS38" s="294" t="s">
        <v>1</v>
      </c>
      <c r="AT38" s="296" cm="1">
        <f t="array" aca="1" ref="AT38" ca="1">INDIRECT("'"&amp;$C38&amp;"'!"&amp;"$"&amp;$D38&amp;$AT$1&amp;"")</f>
        <v>0</v>
      </c>
      <c r="AU38" s="295" t="s">
        <v>1</v>
      </c>
      <c r="AV38" s="296" t="s">
        <v>1</v>
      </c>
      <c r="AW38" s="294" t="s">
        <v>1</v>
      </c>
      <c r="AX38" s="298">
        <v>14.07</v>
      </c>
      <c r="AY38" s="297">
        <v>71.12</v>
      </c>
      <c r="AZ38" s="298" cm="1">
        <f t="array" aca="1" ref="AZ38" ca="1">INDIRECT("'"&amp;$C38&amp;"'!"&amp;"$"&amp;$D38&amp;$AZ$1&amp;"")</f>
        <v>12.76</v>
      </c>
      <c r="BA38" s="296">
        <v>0.99</v>
      </c>
      <c r="BB38" s="294">
        <v>2.2000000000000002</v>
      </c>
      <c r="BC38" s="299">
        <v>68.2</v>
      </c>
      <c r="BD38" s="293" cm="1">
        <f t="array" aca="1" ref="BD38" ca="1">INDIRECT("'"&amp;$C38&amp;"'!"&amp;"$"&amp;$D38&amp;$BC$1&amp;"")</f>
        <v>0</v>
      </c>
      <c r="BE38" s="295" t="s">
        <v>1</v>
      </c>
      <c r="BF38" s="294" t="s">
        <v>1</v>
      </c>
      <c r="BG38" s="298" cm="1">
        <f t="array" aca="1" ref="BG38" ca="1">INDIRECT("'"&amp;$C38&amp;"'!"&amp;"$"&amp;$D38&amp;$BG$1&amp;"")</f>
        <v>1.05</v>
      </c>
      <c r="BH38" s="296"/>
      <c r="BI38" s="296">
        <v>0.99</v>
      </c>
      <c r="BJ38" s="294">
        <v>0.17</v>
      </c>
      <c r="BK38" s="299" cm="1">
        <f t="array" aca="1" ref="BK38" ca="1">INDIRECT("'"&amp;$C38&amp;"'!"&amp;"$"&amp;$D38&amp;$BK$1&amp;"")</f>
        <v>0.72</v>
      </c>
      <c r="BL38" s="296"/>
      <c r="BM38" s="296">
        <v>0.95</v>
      </c>
      <c r="BN38" s="294">
        <v>0.22</v>
      </c>
      <c r="BO38" s="299" cm="1">
        <f t="array" aca="1" ref="BO38" ca="1">INDIRECT("'"&amp;$C38&amp;"'!"&amp;"$"&amp;$D38&amp;74&amp;"")</f>
        <v>0</v>
      </c>
      <c r="BP38" s="296"/>
      <c r="BQ38" s="296" t="s">
        <v>1</v>
      </c>
      <c r="BR38" s="294" t="s">
        <v>1</v>
      </c>
    </row>
    <row r="39" spans="1:70">
      <c r="A39" s="361">
        <v>45749</v>
      </c>
      <c r="B39" s="358">
        <v>0.375</v>
      </c>
      <c r="C39" s="313">
        <f t="shared" si="0"/>
        <v>2</v>
      </c>
      <c r="D39" s="314" t="s">
        <v>136</v>
      </c>
      <c r="E39" s="286">
        <v>14.2</v>
      </c>
      <c r="F39" s="287">
        <v>69.52</v>
      </c>
      <c r="G39" s="288" cm="1">
        <f t="array" aca="1" ref="G39" ca="1">INDIRECT("'"&amp;$C39&amp;"'!"&amp;"$"&amp;$D39&amp;$E$1&amp;"")</f>
        <v>7</v>
      </c>
      <c r="H39" s="289">
        <v>0.96</v>
      </c>
      <c r="I39" s="287">
        <v>1.97</v>
      </c>
      <c r="J39" s="288" cm="1">
        <f t="array" aca="1" ref="J39" ca="1">INDIRECT("'"&amp;$C39&amp;"'!"&amp;"$"&amp;$D39&amp;$J$1&amp;"")</f>
        <v>0</v>
      </c>
      <c r="K39" s="289"/>
      <c r="L39" s="289" t="s">
        <v>1</v>
      </c>
      <c r="M39" s="287" t="s">
        <v>1</v>
      </c>
      <c r="N39" s="288" cm="1">
        <f t="array" aca="1" ref="N39" ca="1">INDIRECT("'"&amp;$C39&amp;"'!"&amp;"$"&amp;$D39&amp;$N$1&amp;"")</f>
        <v>7</v>
      </c>
      <c r="O39" s="289"/>
      <c r="P39" s="289">
        <v>0.96</v>
      </c>
      <c r="Q39" s="287">
        <v>1.98</v>
      </c>
      <c r="R39" s="288" cm="1">
        <f t="array" aca="1" ref="R39" ca="1">INDIRECT("'"&amp;$C39&amp;"'!"&amp;"$"&amp;$D39&amp;$R$1&amp;"")</f>
        <v>7</v>
      </c>
      <c r="S39" s="289"/>
      <c r="T39" s="289">
        <v>0.96</v>
      </c>
      <c r="U39" s="287">
        <v>1.95</v>
      </c>
      <c r="V39" s="288" cm="1">
        <f t="array" aca="1" ref="V39" ca="1">INDIRECT("'"&amp;$C39&amp;"'!"&amp;"$"&amp;$D39&amp;$V$1&amp;"")</f>
        <v>2.8</v>
      </c>
      <c r="W39" s="289">
        <f>3.8*3.56</f>
        <v>13.527999999999999</v>
      </c>
      <c r="X39" s="289">
        <v>0.91</v>
      </c>
      <c r="Y39" s="290">
        <v>1.25</v>
      </c>
      <c r="Z39" s="286" cm="1">
        <f t="array" aca="1" ref="Z39" ca="1">INDIRECT("'"&amp;$C39&amp;"'!"&amp;"$"&amp;$D39&amp;$Z$1&amp;"")</f>
        <v>0</v>
      </c>
      <c r="AA39" s="289" t="s">
        <v>1</v>
      </c>
      <c r="AB39" s="289" t="s">
        <v>1</v>
      </c>
      <c r="AC39" s="287" t="s">
        <v>1</v>
      </c>
      <c r="AD39" s="288" cm="1">
        <f t="array" aca="1" ref="AD39" ca="1">INDIRECT("'"&amp;$C39&amp;"'!"&amp;"$"&amp;$D39&amp;$AD$1&amp;"")</f>
        <v>3.8</v>
      </c>
      <c r="AE39" s="289">
        <v>13.53</v>
      </c>
      <c r="AF39" s="289">
        <v>0.92</v>
      </c>
      <c r="AG39" s="290">
        <v>1.59</v>
      </c>
      <c r="AH39" s="286" cm="1">
        <f t="array" aca="1" ref="AH39" ca="1">INDIRECT("'"&amp;$C39&amp;"'!"&amp;"$"&amp;$D39&amp;$AH$1&amp;"")</f>
        <v>3.8</v>
      </c>
      <c r="AI39" s="289">
        <v>14</v>
      </c>
      <c r="AJ39" s="289">
        <v>0.99</v>
      </c>
      <c r="AK39" s="287">
        <v>0.624</v>
      </c>
      <c r="AL39" s="286">
        <v>11.8</v>
      </c>
      <c r="AM39" s="290">
        <v>70.099999999999994</v>
      </c>
      <c r="AN39" s="286" cm="1">
        <f t="array" aca="1" ref="AN39" ca="1">INDIRECT("'"&amp;$C39&amp;"'!"&amp;"$"&amp;$D39&amp;$AL$1&amp;"")</f>
        <v>4.0999999999999996</v>
      </c>
      <c r="AO39" s="289">
        <v>0.96</v>
      </c>
      <c r="AP39" s="287">
        <v>1</v>
      </c>
      <c r="AQ39" s="288" t="str" cm="1">
        <f t="array" aca="1" ref="AQ39" ca="1">INDIRECT("'"&amp;$C39&amp;"'!"&amp;"$"&amp;$D39&amp;$AQ$1&amp;"")</f>
        <v>CMS</v>
      </c>
      <c r="AR39" s="289" t="s">
        <v>1</v>
      </c>
      <c r="AS39" s="287" t="s">
        <v>1</v>
      </c>
      <c r="AT39" s="289" cm="1">
        <f t="array" aca="1" ref="AT39" ca="1">INDIRECT("'"&amp;$C39&amp;"'!"&amp;"$"&amp;$D39&amp;$AT$1&amp;"")</f>
        <v>0</v>
      </c>
      <c r="AU39" s="288" t="s">
        <v>1</v>
      </c>
      <c r="AV39" s="289" t="s">
        <v>1</v>
      </c>
      <c r="AW39" s="287" t="s">
        <v>1</v>
      </c>
      <c r="AX39" s="291">
        <v>14.2</v>
      </c>
      <c r="AY39" s="290">
        <v>71.5</v>
      </c>
      <c r="AZ39" s="291" cm="1">
        <f t="array" aca="1" ref="AZ39" ca="1">INDIRECT("'"&amp;$C39&amp;"'!"&amp;"$"&amp;$D39&amp;$AZ$1&amp;"")</f>
        <v>14.28</v>
      </c>
      <c r="BA39" s="289">
        <v>0.98</v>
      </c>
      <c r="BB39" s="287">
        <v>3.4</v>
      </c>
      <c r="BC39" s="292">
        <v>68.2</v>
      </c>
      <c r="BD39" s="286" cm="1">
        <f t="array" aca="1" ref="BD39" ca="1">INDIRECT("'"&amp;$C39&amp;"'!"&amp;"$"&amp;$D39&amp;$BC$1&amp;"")</f>
        <v>0.7</v>
      </c>
      <c r="BE39" s="288">
        <v>0.97</v>
      </c>
      <c r="BF39" s="287">
        <v>0.17</v>
      </c>
      <c r="BG39" s="291" cm="1">
        <f t="array" aca="1" ref="BG39" ca="1">INDIRECT("'"&amp;$C39&amp;"'!"&amp;"$"&amp;$D39&amp;$BG$1&amp;"")</f>
        <v>1.3</v>
      </c>
      <c r="BH39" s="289"/>
      <c r="BI39" s="289">
        <v>0.99</v>
      </c>
      <c r="BJ39" s="287">
        <v>0.19</v>
      </c>
      <c r="BK39" s="292" cm="1">
        <f t="array" aca="1" ref="BK39" ca="1">INDIRECT("'"&amp;$C39&amp;"'!"&amp;"$"&amp;$D39&amp;$BK$1&amp;"")</f>
        <v>0.82</v>
      </c>
      <c r="BL39" s="289"/>
      <c r="BM39" s="289">
        <v>0.95</v>
      </c>
      <c r="BN39" s="287">
        <v>0.23</v>
      </c>
      <c r="BO39" s="292" cm="1">
        <f t="array" aca="1" ref="BO39" ca="1">INDIRECT("'"&amp;$C39&amp;"'!"&amp;"$"&amp;$D39&amp;74&amp;"")</f>
        <v>0</v>
      </c>
      <c r="BP39" s="289"/>
      <c r="BQ39" s="289" t="s">
        <v>1</v>
      </c>
      <c r="BR39" s="287" t="s">
        <v>1</v>
      </c>
    </row>
    <row r="40" spans="1:70">
      <c r="A40" s="361">
        <v>45749</v>
      </c>
      <c r="B40" s="358">
        <v>0.41666666666666702</v>
      </c>
      <c r="C40" s="313">
        <f t="shared" si="0"/>
        <v>2</v>
      </c>
      <c r="D40" s="314" t="s">
        <v>137</v>
      </c>
      <c r="E40" s="293">
        <v>14.2</v>
      </c>
      <c r="F40" s="294">
        <v>69.010000000000005</v>
      </c>
      <c r="G40" s="295" cm="1">
        <f t="array" aca="1" ref="G40" ca="1">INDIRECT("'"&amp;$C40&amp;"'!"&amp;"$"&amp;$D40&amp;$E$1&amp;"")</f>
        <v>6.9</v>
      </c>
      <c r="H40" s="296">
        <v>0.96</v>
      </c>
      <c r="I40" s="294">
        <v>1.81</v>
      </c>
      <c r="J40" s="295" cm="1">
        <f t="array" aca="1" ref="J40" ca="1">INDIRECT("'"&amp;$C40&amp;"'!"&amp;"$"&amp;$D40&amp;$J$1&amp;"")</f>
        <v>6.9</v>
      </c>
      <c r="K40" s="296"/>
      <c r="L40" s="296">
        <v>0.96</v>
      </c>
      <c r="M40" s="294">
        <v>1.79</v>
      </c>
      <c r="N40" s="295" cm="1">
        <f t="array" aca="1" ref="N40" ca="1">INDIRECT("'"&amp;$C40&amp;"'!"&amp;"$"&amp;$D40&amp;$N$1&amp;"")</f>
        <v>6.9</v>
      </c>
      <c r="O40" s="296"/>
      <c r="P40" s="296">
        <v>0.96</v>
      </c>
      <c r="Q40" s="294">
        <v>1.83</v>
      </c>
      <c r="R40" s="295" cm="1">
        <f t="array" aca="1" ref="R40" ca="1">INDIRECT("'"&amp;$C40&amp;"'!"&amp;"$"&amp;$D40&amp;$R$1&amp;"")</f>
        <v>6.9</v>
      </c>
      <c r="S40" s="296"/>
      <c r="T40" s="296">
        <v>0.96</v>
      </c>
      <c r="U40" s="294">
        <v>2.2999999999999998</v>
      </c>
      <c r="V40" s="295" cm="1">
        <f t="array" aca="1" ref="V40" ca="1">INDIRECT("'"&amp;$C40&amp;"'!"&amp;"$"&amp;$D40&amp;$V$1&amp;"")</f>
        <v>2.6</v>
      </c>
      <c r="W40" s="296">
        <f>3.8*3.5</f>
        <v>13.299999999999999</v>
      </c>
      <c r="X40" s="296">
        <v>0.96</v>
      </c>
      <c r="Y40" s="297">
        <v>1.22</v>
      </c>
      <c r="Z40" s="293" cm="1">
        <f t="array" aca="1" ref="Z40" ca="1">INDIRECT("'"&amp;$C40&amp;"'!"&amp;"$"&amp;$D40&amp;$Z$1&amp;"")</f>
        <v>0</v>
      </c>
      <c r="AA40" s="296" t="s">
        <v>1</v>
      </c>
      <c r="AB40" s="296" t="s">
        <v>1</v>
      </c>
      <c r="AC40" s="294" t="s">
        <v>1</v>
      </c>
      <c r="AD40" s="295" cm="1">
        <f t="array" aca="1" ref="AD40" ca="1">INDIRECT("'"&amp;$C40&amp;"'!"&amp;"$"&amp;$D40&amp;$AD$1&amp;"")</f>
        <v>3.6</v>
      </c>
      <c r="AE40" s="296">
        <v>13.3</v>
      </c>
      <c r="AF40" s="296">
        <v>0.92</v>
      </c>
      <c r="AG40" s="297">
        <v>1.55</v>
      </c>
      <c r="AH40" s="293" cm="1">
        <f t="array" aca="1" ref="AH40" ca="1">INDIRECT("'"&amp;$C40&amp;"'!"&amp;"$"&amp;$D40&amp;$AH$1&amp;"")</f>
        <v>3</v>
      </c>
      <c r="AI40" s="296">
        <v>13.92</v>
      </c>
      <c r="AJ40" s="296">
        <v>0.96</v>
      </c>
      <c r="AK40" s="294">
        <v>1.1100000000000001</v>
      </c>
      <c r="AL40" s="293">
        <v>11.7</v>
      </c>
      <c r="AM40" s="297">
        <v>69.5</v>
      </c>
      <c r="AN40" s="293" cm="1">
        <f t="array" aca="1" ref="AN40" ca="1">INDIRECT("'"&amp;$C40&amp;"'!"&amp;"$"&amp;$D40&amp;$AL$1&amp;"")</f>
        <v>3</v>
      </c>
      <c r="AO40" s="296">
        <v>0.89</v>
      </c>
      <c r="AP40" s="294">
        <v>1.7</v>
      </c>
      <c r="AQ40" s="295" t="str" cm="1">
        <f t="array" aca="1" ref="AQ40" ca="1">INDIRECT("'"&amp;$C40&amp;"'!"&amp;"$"&amp;$D40&amp;$AQ$1&amp;"")</f>
        <v>CMS</v>
      </c>
      <c r="AR40" s="296" t="s">
        <v>1</v>
      </c>
      <c r="AS40" s="294" t="s">
        <v>1</v>
      </c>
      <c r="AT40" s="296" cm="1">
        <f t="array" aca="1" ref="AT40" ca="1">INDIRECT("'"&amp;$C40&amp;"'!"&amp;"$"&amp;$D40&amp;$AT$1&amp;"")</f>
        <v>0</v>
      </c>
      <c r="AU40" s="295" t="s">
        <v>1</v>
      </c>
      <c r="AV40" s="296" t="s">
        <v>1</v>
      </c>
      <c r="AW40" s="294" t="s">
        <v>1</v>
      </c>
      <c r="AX40" s="298">
        <v>14.06</v>
      </c>
      <c r="AY40" s="297">
        <v>70.77</v>
      </c>
      <c r="AZ40" s="298" cm="1">
        <f t="array" aca="1" ref="AZ40" ca="1">INDIRECT("'"&amp;$C40&amp;"'!"&amp;"$"&amp;$D40&amp;$AZ$1&amp;"")</f>
        <v>14.3</v>
      </c>
      <c r="BA40" s="296">
        <v>0.98</v>
      </c>
      <c r="BB40" s="294">
        <v>3.4</v>
      </c>
      <c r="BC40" s="299">
        <v>67.599999999999994</v>
      </c>
      <c r="BD40" s="293" cm="1">
        <f t="array" aca="1" ref="BD40" ca="1">INDIRECT("'"&amp;$C40&amp;"'!"&amp;"$"&amp;$D40&amp;$BC$1&amp;"")</f>
        <v>0</v>
      </c>
      <c r="BE40" s="295" t="s">
        <v>1</v>
      </c>
      <c r="BF40" s="294" t="s">
        <v>1</v>
      </c>
      <c r="BG40" s="298" cm="1">
        <f t="array" aca="1" ref="BG40" ca="1">INDIRECT("'"&amp;$C40&amp;"'!"&amp;"$"&amp;$D40&amp;$BG$1&amp;"")</f>
        <v>1.39</v>
      </c>
      <c r="BH40" s="296"/>
      <c r="BI40" s="296">
        <v>0.99</v>
      </c>
      <c r="BJ40" s="294">
        <v>0.2</v>
      </c>
      <c r="BK40" s="299" cm="1">
        <f t="array" aca="1" ref="BK40" ca="1">INDIRECT("'"&amp;$C40&amp;"'!"&amp;"$"&amp;$D40&amp;$BK$1&amp;"")</f>
        <v>0.86</v>
      </c>
      <c r="BL40" s="296"/>
      <c r="BM40" s="296">
        <v>0.95</v>
      </c>
      <c r="BN40" s="294">
        <v>0.25</v>
      </c>
      <c r="BO40" s="299" cm="1">
        <f t="array" aca="1" ref="BO40" ca="1">INDIRECT("'"&amp;$C40&amp;"'!"&amp;"$"&amp;$D40&amp;74&amp;"")</f>
        <v>0</v>
      </c>
      <c r="BP40" s="296"/>
      <c r="BQ40" s="296" t="s">
        <v>1</v>
      </c>
      <c r="BR40" s="294" t="s">
        <v>1</v>
      </c>
    </row>
    <row r="41" spans="1:70">
      <c r="A41" s="361">
        <v>45749</v>
      </c>
      <c r="B41" s="358">
        <v>0.45833333333333398</v>
      </c>
      <c r="C41" s="313">
        <f t="shared" si="0"/>
        <v>2</v>
      </c>
      <c r="D41" s="314" t="s">
        <v>138</v>
      </c>
      <c r="E41" s="286">
        <v>14</v>
      </c>
      <c r="F41" s="287">
        <v>69.7</v>
      </c>
      <c r="G41" s="288" cm="1">
        <f t="array" aca="1" ref="G41" ca="1">INDIRECT("'"&amp;$C41&amp;"'!"&amp;"$"&amp;$D41&amp;$E$1&amp;"")</f>
        <v>6.7</v>
      </c>
      <c r="H41" s="289">
        <v>0.95</v>
      </c>
      <c r="I41" s="287">
        <v>2.21</v>
      </c>
      <c r="J41" s="288" cm="1">
        <f t="array" aca="1" ref="J41" ca="1">INDIRECT("'"&amp;$C41&amp;"'!"&amp;"$"&amp;$D41&amp;$J$1&amp;"")</f>
        <v>6.7</v>
      </c>
      <c r="K41" s="289"/>
      <c r="L41" s="289">
        <v>0.95</v>
      </c>
      <c r="M41" s="287">
        <v>2.2400000000000002</v>
      </c>
      <c r="N41" s="288" cm="1">
        <f t="array" aca="1" ref="N41" ca="1">INDIRECT("'"&amp;$C41&amp;"'!"&amp;"$"&amp;$D41&amp;$N$1&amp;"")</f>
        <v>6.7</v>
      </c>
      <c r="O41" s="289"/>
      <c r="P41" s="289">
        <v>0.95</v>
      </c>
      <c r="Q41" s="287">
        <v>2.2200000000000002</v>
      </c>
      <c r="R41" s="288" cm="1">
        <f t="array" aca="1" ref="R41" ca="1">INDIRECT("'"&amp;$C41&amp;"'!"&amp;"$"&amp;$D41&amp;$R$1&amp;"")</f>
        <v>6.7</v>
      </c>
      <c r="S41" s="289"/>
      <c r="T41" s="289">
        <v>0.95</v>
      </c>
      <c r="U41" s="287">
        <v>2.21</v>
      </c>
      <c r="V41" s="288" cm="1">
        <f t="array" aca="1" ref="V41" ca="1">INDIRECT("'"&amp;$C41&amp;"'!"&amp;"$"&amp;$D41&amp;$V$1&amp;"")</f>
        <v>2.8</v>
      </c>
      <c r="W41" s="289">
        <f>3.8*3.52</f>
        <v>13.375999999999999</v>
      </c>
      <c r="X41" s="289">
        <v>0.92</v>
      </c>
      <c r="Y41" s="290">
        <v>1.24</v>
      </c>
      <c r="Z41" s="286" cm="1">
        <f t="array" aca="1" ref="Z41" ca="1">INDIRECT("'"&amp;$C41&amp;"'!"&amp;"$"&amp;$D41&amp;$Z$1&amp;"")</f>
        <v>0</v>
      </c>
      <c r="AA41" s="289" t="s">
        <v>1</v>
      </c>
      <c r="AB41" s="289" t="s">
        <v>1</v>
      </c>
      <c r="AC41" s="287" t="s">
        <v>1</v>
      </c>
      <c r="AD41" s="288" cm="1">
        <f t="array" aca="1" ref="AD41" ca="1">INDIRECT("'"&amp;$C41&amp;"'!"&amp;"$"&amp;$D41&amp;$AD$1&amp;"")</f>
        <v>3.8</v>
      </c>
      <c r="AE41" s="289">
        <f>3.8*3.52</f>
        <v>13.375999999999999</v>
      </c>
      <c r="AF41" s="289">
        <v>0.92</v>
      </c>
      <c r="AG41" s="290">
        <v>1.6</v>
      </c>
      <c r="AH41" s="286" cm="1">
        <f t="array" aca="1" ref="AH41" ca="1">INDIRECT("'"&amp;$C41&amp;"'!"&amp;"$"&amp;$D41&amp;$AH$1&amp;"")</f>
        <v>3</v>
      </c>
      <c r="AI41" s="289">
        <v>13.96</v>
      </c>
      <c r="AJ41" s="289">
        <v>0.96</v>
      </c>
      <c r="AK41" s="287">
        <v>1.1499999999999999</v>
      </c>
      <c r="AL41" s="286">
        <v>11.8</v>
      </c>
      <c r="AM41" s="290">
        <v>69.599999999999994</v>
      </c>
      <c r="AN41" s="286" cm="1">
        <f t="array" aca="1" ref="AN41" ca="1">INDIRECT("'"&amp;$C41&amp;"'!"&amp;"$"&amp;$D41&amp;$AL$1&amp;"")</f>
        <v>4</v>
      </c>
      <c r="AO41" s="289">
        <v>0.91</v>
      </c>
      <c r="AP41" s="287">
        <v>1.7</v>
      </c>
      <c r="AQ41" s="288" t="str" cm="1">
        <f t="array" aca="1" ref="AQ41" ca="1">INDIRECT("'"&amp;$C41&amp;"'!"&amp;"$"&amp;$D41&amp;$AQ$1&amp;"")</f>
        <v>CMS</v>
      </c>
      <c r="AR41" s="289" t="s">
        <v>1</v>
      </c>
      <c r="AS41" s="287" t="s">
        <v>1</v>
      </c>
      <c r="AT41" s="289" cm="1">
        <f t="array" aca="1" ref="AT41" ca="1">INDIRECT("'"&amp;$C41&amp;"'!"&amp;"$"&amp;$D41&amp;$AT$1&amp;"")</f>
        <v>0</v>
      </c>
      <c r="AU41" s="288" t="s">
        <v>1</v>
      </c>
      <c r="AV41" s="289" t="s">
        <v>1</v>
      </c>
      <c r="AW41" s="287" t="s">
        <v>1</v>
      </c>
      <c r="AX41" s="291">
        <v>14.08</v>
      </c>
      <c r="AY41" s="290">
        <v>70.86</v>
      </c>
      <c r="AZ41" s="291" cm="1">
        <f t="array" aca="1" ref="AZ41" ca="1">INDIRECT("'"&amp;$C41&amp;"'!"&amp;"$"&amp;$D41&amp;$AZ$1&amp;"")</f>
        <v>14.28</v>
      </c>
      <c r="BA41" s="289">
        <v>0.98</v>
      </c>
      <c r="BB41" s="287">
        <v>3.4</v>
      </c>
      <c r="BC41" s="292">
        <v>67.8</v>
      </c>
      <c r="BD41" s="286" cm="1">
        <f t="array" aca="1" ref="BD41" ca="1">INDIRECT("'"&amp;$C41&amp;"'!"&amp;"$"&amp;$D41&amp;$BC$1&amp;"")</f>
        <v>1.4</v>
      </c>
      <c r="BE41" s="288">
        <v>0.97</v>
      </c>
      <c r="BF41" s="287">
        <v>0.32</v>
      </c>
      <c r="BG41" s="291" cm="1">
        <f t="array" aca="1" ref="BG41" ca="1">INDIRECT("'"&amp;$C41&amp;"'!"&amp;"$"&amp;$D41&amp;$BG$1&amp;"")</f>
        <v>1.47</v>
      </c>
      <c r="BH41" s="289"/>
      <c r="BI41" s="289">
        <v>0.99</v>
      </c>
      <c r="BJ41" s="287">
        <v>0.22</v>
      </c>
      <c r="BK41" s="292" cm="1">
        <f t="array" aca="1" ref="BK41" ca="1">INDIRECT("'"&amp;$C41&amp;"'!"&amp;"$"&amp;$D41&amp;$BK$1&amp;"")</f>
        <v>0.88</v>
      </c>
      <c r="BL41" s="289"/>
      <c r="BM41" s="289">
        <v>0.95</v>
      </c>
      <c r="BN41" s="287">
        <v>0.25</v>
      </c>
      <c r="BO41" s="292" cm="1">
        <f t="array" aca="1" ref="BO41" ca="1">INDIRECT("'"&amp;$C41&amp;"'!"&amp;"$"&amp;$D41&amp;74&amp;"")</f>
        <v>0</v>
      </c>
      <c r="BP41" s="289"/>
      <c r="BQ41" s="289" t="s">
        <v>1</v>
      </c>
      <c r="BR41" s="287" t="s">
        <v>1</v>
      </c>
    </row>
    <row r="42" spans="1:70">
      <c r="A42" s="361">
        <v>45749</v>
      </c>
      <c r="B42" s="358">
        <v>0.5</v>
      </c>
      <c r="C42" s="313">
        <f t="shared" si="0"/>
        <v>2</v>
      </c>
      <c r="D42" s="314" t="s">
        <v>139</v>
      </c>
      <c r="E42" s="293">
        <v>14</v>
      </c>
      <c r="F42" s="294">
        <v>69.27</v>
      </c>
      <c r="G42" s="295" cm="1">
        <f t="array" aca="1" ref="G42" ca="1">INDIRECT("'"&amp;$C42&amp;"'!"&amp;"$"&amp;$D42&amp;$E$1&amp;"")</f>
        <v>6.8</v>
      </c>
      <c r="H42" s="296">
        <v>0.95</v>
      </c>
      <c r="I42" s="294">
        <v>2.23</v>
      </c>
      <c r="J42" s="295" cm="1">
        <f t="array" aca="1" ref="J42" ca="1">INDIRECT("'"&amp;$C42&amp;"'!"&amp;"$"&amp;$D42&amp;$J$1&amp;"")</f>
        <v>6.8</v>
      </c>
      <c r="K42" s="296"/>
      <c r="L42" s="296">
        <v>0.95</v>
      </c>
      <c r="M42" s="294">
        <v>2.25</v>
      </c>
      <c r="N42" s="295" cm="1">
        <f t="array" aca="1" ref="N42" ca="1">INDIRECT("'"&amp;$C42&amp;"'!"&amp;"$"&amp;$D42&amp;$N$1&amp;"")</f>
        <v>6.8</v>
      </c>
      <c r="O42" s="296"/>
      <c r="P42" s="296">
        <v>0.95</v>
      </c>
      <c r="Q42" s="294">
        <v>2.2200000000000002</v>
      </c>
      <c r="R42" s="295" cm="1">
        <f t="array" aca="1" ref="R42" ca="1">INDIRECT("'"&amp;$C42&amp;"'!"&amp;"$"&amp;$D42&amp;$R$1&amp;"")</f>
        <v>6.8</v>
      </c>
      <c r="S42" s="296"/>
      <c r="T42" s="296">
        <v>0.95</v>
      </c>
      <c r="U42" s="294">
        <v>2.2400000000000002</v>
      </c>
      <c r="V42" s="295" cm="1">
        <f t="array" aca="1" ref="V42" ca="1">INDIRECT("'"&amp;$C42&amp;"'!"&amp;"$"&amp;$D42&amp;$V$1&amp;"")</f>
        <v>2.8</v>
      </c>
      <c r="W42" s="296">
        <f>3.8*3.53</f>
        <v>13.413999999999998</v>
      </c>
      <c r="X42" s="296">
        <v>0.91</v>
      </c>
      <c r="Y42" s="297">
        <v>1.25</v>
      </c>
      <c r="Z42" s="293" cm="1">
        <f t="array" aca="1" ref="Z42" ca="1">INDIRECT("'"&amp;$C42&amp;"'!"&amp;"$"&amp;$D42&amp;$Z$1&amp;"")</f>
        <v>0</v>
      </c>
      <c r="AA42" s="296" t="s">
        <v>1</v>
      </c>
      <c r="AB42" s="296" t="s">
        <v>1</v>
      </c>
      <c r="AC42" s="294" t="s">
        <v>1</v>
      </c>
      <c r="AD42" s="295" cm="1">
        <f t="array" aca="1" ref="AD42" ca="1">INDIRECT("'"&amp;$C42&amp;"'!"&amp;"$"&amp;$D42&amp;$AD$1&amp;"")</f>
        <v>3.8</v>
      </c>
      <c r="AE42" s="296">
        <f>3.8*3.53</f>
        <v>13.413999999999998</v>
      </c>
      <c r="AF42" s="296">
        <v>0.91</v>
      </c>
      <c r="AG42" s="297">
        <v>1.75</v>
      </c>
      <c r="AH42" s="293" cm="1">
        <f t="array" aca="1" ref="AH42" ca="1">INDIRECT("'"&amp;$C42&amp;"'!"&amp;"$"&amp;$D42&amp;$AH$1&amp;"")</f>
        <v>3.8</v>
      </c>
      <c r="AI42" s="296">
        <v>13.96</v>
      </c>
      <c r="AJ42" s="296">
        <v>0.97</v>
      </c>
      <c r="AK42" s="294">
        <v>0.96</v>
      </c>
      <c r="AL42" s="293">
        <v>11.8</v>
      </c>
      <c r="AM42" s="297">
        <v>69.900000000000006</v>
      </c>
      <c r="AN42" s="293" cm="1">
        <f t="array" aca="1" ref="AN42" ca="1">INDIRECT("'"&amp;$C42&amp;"'!"&amp;"$"&amp;$D42&amp;$AL$1&amp;"")</f>
        <v>4.0999999999999996</v>
      </c>
      <c r="AO42" s="296">
        <v>0.92</v>
      </c>
      <c r="AP42" s="294">
        <v>1.6</v>
      </c>
      <c r="AQ42" s="295" t="str" cm="1">
        <f t="array" aca="1" ref="AQ42" ca="1">INDIRECT("'"&amp;$C42&amp;"'!"&amp;"$"&amp;$D42&amp;$AQ$1&amp;"")</f>
        <v>CMS</v>
      </c>
      <c r="AR42" s="296" t="s">
        <v>1</v>
      </c>
      <c r="AS42" s="294" t="s">
        <v>1</v>
      </c>
      <c r="AT42" s="296" cm="1">
        <f t="array" aca="1" ref="AT42" ca="1">INDIRECT("'"&amp;$C42&amp;"'!"&amp;"$"&amp;$D42&amp;$AT$1&amp;"")</f>
        <v>0</v>
      </c>
      <c r="AU42" s="295" t="s">
        <v>1</v>
      </c>
      <c r="AV42" s="296" t="s">
        <v>1</v>
      </c>
      <c r="AW42" s="294" t="s">
        <v>1</v>
      </c>
      <c r="AX42" s="298">
        <v>14.09</v>
      </c>
      <c r="AY42" s="297">
        <v>70.95</v>
      </c>
      <c r="AZ42" s="298" cm="1">
        <f t="array" aca="1" ref="AZ42" ca="1">INDIRECT("'"&amp;$C42&amp;"'!"&amp;"$"&amp;$D42&amp;$AZ$1&amp;"")</f>
        <v>14.29</v>
      </c>
      <c r="BA42" s="296">
        <v>0.98</v>
      </c>
      <c r="BB42" s="294">
        <v>3.4</v>
      </c>
      <c r="BC42" s="299">
        <v>67.900000000000006</v>
      </c>
      <c r="BD42" s="293" cm="1">
        <f t="array" aca="1" ref="BD42" ca="1">INDIRECT("'"&amp;$C42&amp;"'!"&amp;"$"&amp;$D42&amp;$BC$1&amp;"")</f>
        <v>0.7</v>
      </c>
      <c r="BE42" s="295">
        <v>0.96</v>
      </c>
      <c r="BF42" s="294">
        <v>0.2</v>
      </c>
      <c r="BG42" s="298" cm="1">
        <f t="array" aca="1" ref="BG42" ca="1">INDIRECT("'"&amp;$C42&amp;"'!"&amp;"$"&amp;$D42&amp;$BG$1&amp;"")</f>
        <v>1.48</v>
      </c>
      <c r="BH42" s="296"/>
      <c r="BI42" s="296">
        <v>0.99</v>
      </c>
      <c r="BJ42" s="294">
        <v>0.2</v>
      </c>
      <c r="BK42" s="299" cm="1">
        <f t="array" aca="1" ref="BK42" ca="1">INDIRECT("'"&amp;$C42&amp;"'!"&amp;"$"&amp;$D42&amp;$BK$1&amp;"")</f>
        <v>0.92</v>
      </c>
      <c r="BL42" s="296"/>
      <c r="BM42" s="296">
        <v>0.96</v>
      </c>
      <c r="BN42" s="294">
        <v>0.25</v>
      </c>
      <c r="BO42" s="299" cm="1">
        <f t="array" aca="1" ref="BO42" ca="1">INDIRECT("'"&amp;$C42&amp;"'!"&amp;"$"&amp;$D42&amp;74&amp;"")</f>
        <v>0</v>
      </c>
      <c r="BP42" s="296"/>
      <c r="BQ42" s="296" t="s">
        <v>1</v>
      </c>
      <c r="BR42" s="294" t="s">
        <v>1</v>
      </c>
    </row>
    <row r="43" spans="1:70">
      <c r="A43" s="361">
        <v>45749</v>
      </c>
      <c r="B43" s="358">
        <v>0.54166666666666696</v>
      </c>
      <c r="C43" s="313">
        <f t="shared" si="0"/>
        <v>2</v>
      </c>
      <c r="D43" s="314" t="s">
        <v>140</v>
      </c>
      <c r="E43" s="286">
        <v>14</v>
      </c>
      <c r="F43" s="287">
        <v>69.37</v>
      </c>
      <c r="G43" s="288" cm="1">
        <f t="array" aca="1" ref="G43" ca="1">INDIRECT("'"&amp;$C43&amp;"'!"&amp;"$"&amp;$D43&amp;$E$1&amp;"")</f>
        <v>6.8</v>
      </c>
      <c r="H43" s="289">
        <v>0.95</v>
      </c>
      <c r="I43" s="287">
        <v>2.2400000000000002</v>
      </c>
      <c r="J43" s="288" cm="1">
        <f t="array" aca="1" ref="J43" ca="1">INDIRECT("'"&amp;$C43&amp;"'!"&amp;"$"&amp;$D43&amp;$J$1&amp;"")</f>
        <v>6.8</v>
      </c>
      <c r="K43" s="289"/>
      <c r="L43" s="289">
        <v>0.95</v>
      </c>
      <c r="M43" s="287">
        <v>2.25</v>
      </c>
      <c r="N43" s="288" cm="1">
        <f t="array" aca="1" ref="N43" ca="1">INDIRECT("'"&amp;$C43&amp;"'!"&amp;"$"&amp;$D43&amp;$N$1&amp;"")</f>
        <v>6.8</v>
      </c>
      <c r="O43" s="289"/>
      <c r="P43" s="289">
        <v>0.95</v>
      </c>
      <c r="Q43" s="287">
        <v>2.23</v>
      </c>
      <c r="R43" s="288" cm="1">
        <f t="array" aca="1" ref="R43" ca="1">INDIRECT("'"&amp;$C43&amp;"'!"&amp;"$"&amp;$D43&amp;$R$1&amp;"")</f>
        <v>6.8</v>
      </c>
      <c r="S43" s="289"/>
      <c r="T43" s="289">
        <v>0.95</v>
      </c>
      <c r="U43" s="287">
        <v>2.25</v>
      </c>
      <c r="V43" s="288" cm="1">
        <f t="array" aca="1" ref="V43" ca="1">INDIRECT("'"&amp;$C43&amp;"'!"&amp;"$"&amp;$D43&amp;$V$1&amp;"")</f>
        <v>2.8</v>
      </c>
      <c r="W43" s="289">
        <f>3.8*3.53</f>
        <v>13.413999999999998</v>
      </c>
      <c r="X43" s="289">
        <v>0.91</v>
      </c>
      <c r="Y43" s="290">
        <v>1.25</v>
      </c>
      <c r="Z43" s="286" cm="1">
        <f t="array" aca="1" ref="Z43" ca="1">INDIRECT("'"&amp;$C43&amp;"'!"&amp;"$"&amp;$D43&amp;$Z$1&amp;"")</f>
        <v>0</v>
      </c>
      <c r="AA43" s="289" t="s">
        <v>1</v>
      </c>
      <c r="AB43" s="289" t="s">
        <v>1</v>
      </c>
      <c r="AC43" s="287" t="s">
        <v>1</v>
      </c>
      <c r="AD43" s="288" cm="1">
        <f t="array" aca="1" ref="AD43" ca="1">INDIRECT("'"&amp;$C43&amp;"'!"&amp;"$"&amp;$D43&amp;$AD$1&amp;"")</f>
        <v>3.8</v>
      </c>
      <c r="AE43" s="289">
        <f>3.8*3.53</f>
        <v>13.413999999999998</v>
      </c>
      <c r="AF43" s="289">
        <v>0.91</v>
      </c>
      <c r="AG43" s="290">
        <v>1.77</v>
      </c>
      <c r="AH43" s="286" cm="1">
        <f t="array" aca="1" ref="AH43" ca="1">INDIRECT("'"&amp;$C43&amp;"'!"&amp;"$"&amp;$D43&amp;$AH$1&amp;"")</f>
        <v>3.8</v>
      </c>
      <c r="AI43" s="289">
        <v>13.96</v>
      </c>
      <c r="AJ43" s="289">
        <v>0.97</v>
      </c>
      <c r="AK43" s="287">
        <v>0.96</v>
      </c>
      <c r="AL43" s="286">
        <v>11.8</v>
      </c>
      <c r="AM43" s="290">
        <v>69.900000000000006</v>
      </c>
      <c r="AN43" s="286" cm="1">
        <f t="array" aca="1" ref="AN43" ca="1">INDIRECT("'"&amp;$C43&amp;"'!"&amp;"$"&amp;$D43&amp;$AL$1&amp;"")</f>
        <v>4</v>
      </c>
      <c r="AO43" s="289">
        <v>0.93</v>
      </c>
      <c r="AP43" s="287">
        <v>1.6</v>
      </c>
      <c r="AQ43" s="288" t="str" cm="1">
        <f t="array" aca="1" ref="AQ43" ca="1">INDIRECT("'"&amp;$C43&amp;"'!"&amp;"$"&amp;$D43&amp;$AQ$1&amp;"")</f>
        <v>CMS</v>
      </c>
      <c r="AR43" s="289" t="s">
        <v>1</v>
      </c>
      <c r="AS43" s="287" t="s">
        <v>1</v>
      </c>
      <c r="AT43" s="289" cm="1">
        <f t="array" aca="1" ref="AT43" ca="1">INDIRECT("'"&amp;$C43&amp;"'!"&amp;"$"&amp;$D43&amp;$AT$1&amp;"")</f>
        <v>0</v>
      </c>
      <c r="AU43" s="288" t="s">
        <v>1</v>
      </c>
      <c r="AV43" s="289" t="s">
        <v>1</v>
      </c>
      <c r="AW43" s="287" t="s">
        <v>1</v>
      </c>
      <c r="AX43" s="291">
        <v>14.09</v>
      </c>
      <c r="AY43" s="290">
        <v>71.010000000000005</v>
      </c>
      <c r="AZ43" s="291" cm="1">
        <f t="array" aca="1" ref="AZ43" ca="1">INDIRECT("'"&amp;$C43&amp;"'!"&amp;"$"&amp;$D43&amp;$AZ$1&amp;"")</f>
        <v>14.27</v>
      </c>
      <c r="BA43" s="289">
        <v>0.98</v>
      </c>
      <c r="BB43" s="287">
        <v>3.4</v>
      </c>
      <c r="BC43" s="292">
        <v>68</v>
      </c>
      <c r="BD43" s="286" cm="1">
        <f t="array" aca="1" ref="BD43" ca="1">INDIRECT("'"&amp;$C43&amp;"'!"&amp;"$"&amp;$D43&amp;$BC$1&amp;"")</f>
        <v>2.8</v>
      </c>
      <c r="BE43" s="288">
        <v>0.96</v>
      </c>
      <c r="BF43" s="287">
        <v>0.79</v>
      </c>
      <c r="BG43" s="291" cm="1">
        <f t="array" aca="1" ref="BG43" ca="1">INDIRECT("'"&amp;$C43&amp;"'!"&amp;"$"&amp;$D43&amp;$BG$1&amp;"")</f>
        <v>1.45</v>
      </c>
      <c r="BH43" s="289"/>
      <c r="BI43" s="289">
        <v>0.99</v>
      </c>
      <c r="BJ43" s="287">
        <v>0.2</v>
      </c>
      <c r="BK43" s="292" cm="1">
        <f t="array" aca="1" ref="BK43" ca="1">INDIRECT("'"&amp;$C43&amp;"'!"&amp;"$"&amp;$D43&amp;$BK$1&amp;"")</f>
        <v>0.94</v>
      </c>
      <c r="BL43" s="289"/>
      <c r="BM43" s="289">
        <v>0.96</v>
      </c>
      <c r="BN43" s="287">
        <v>0.26</v>
      </c>
      <c r="BO43" s="292" cm="1">
        <f t="array" aca="1" ref="BO43" ca="1">INDIRECT("'"&amp;$C43&amp;"'!"&amp;"$"&amp;$D43&amp;74&amp;"")</f>
        <v>0</v>
      </c>
      <c r="BP43" s="289"/>
      <c r="BQ43" s="289" t="s">
        <v>1</v>
      </c>
      <c r="BR43" s="287" t="s">
        <v>1</v>
      </c>
    </row>
    <row r="44" spans="1:70">
      <c r="A44" s="361">
        <v>45749</v>
      </c>
      <c r="B44" s="358">
        <v>0.58333333333333404</v>
      </c>
      <c r="C44" s="313">
        <f t="shared" si="0"/>
        <v>2</v>
      </c>
      <c r="D44" s="314" t="s">
        <v>141</v>
      </c>
      <c r="E44" s="293">
        <v>14</v>
      </c>
      <c r="F44" s="294">
        <v>68.69</v>
      </c>
      <c r="G44" s="295" cm="1">
        <f t="array" aca="1" ref="G44" ca="1">INDIRECT("'"&amp;$C44&amp;"'!"&amp;"$"&amp;$D44&amp;$E$1&amp;"")</f>
        <v>6.8</v>
      </c>
      <c r="H44" s="296">
        <v>0.91</v>
      </c>
      <c r="I44" s="294">
        <v>3.02</v>
      </c>
      <c r="J44" s="295" cm="1">
        <f t="array" aca="1" ref="J44" ca="1">INDIRECT("'"&amp;$C44&amp;"'!"&amp;"$"&amp;$D44&amp;$J$1&amp;"")</f>
        <v>6.8</v>
      </c>
      <c r="K44" s="296"/>
      <c r="L44" s="296">
        <v>0.91</v>
      </c>
      <c r="M44" s="294">
        <v>3</v>
      </c>
      <c r="N44" s="295" cm="1">
        <f t="array" aca="1" ref="N44" ca="1">INDIRECT("'"&amp;$C44&amp;"'!"&amp;"$"&amp;$D44&amp;$N$1&amp;"")</f>
        <v>6.8</v>
      </c>
      <c r="O44" s="296"/>
      <c r="P44" s="296">
        <v>0.91</v>
      </c>
      <c r="Q44" s="294">
        <v>3.01</v>
      </c>
      <c r="R44" s="295" cm="1">
        <f t="array" aca="1" ref="R44" ca="1">INDIRECT("'"&amp;$C44&amp;"'!"&amp;"$"&amp;$D44&amp;$R$1&amp;"")</f>
        <v>6.8</v>
      </c>
      <c r="S44" s="296"/>
      <c r="T44" s="296">
        <v>0.91</v>
      </c>
      <c r="U44" s="294">
        <v>3.04</v>
      </c>
      <c r="V44" s="295" cm="1">
        <f t="array" aca="1" ref="V44" ca="1">INDIRECT("'"&amp;$C44&amp;"'!"&amp;"$"&amp;$D44&amp;$V$1&amp;"")</f>
        <v>2.8</v>
      </c>
      <c r="W44" s="296">
        <f>3.8*3.48</f>
        <v>13.224</v>
      </c>
      <c r="X44" s="296">
        <v>0.91</v>
      </c>
      <c r="Y44" s="297">
        <v>1.29</v>
      </c>
      <c r="Z44" s="293" cm="1">
        <f t="array" aca="1" ref="Z44" ca="1">INDIRECT("'"&amp;$C44&amp;"'!"&amp;"$"&amp;$D44&amp;$Z$1&amp;"")</f>
        <v>0</v>
      </c>
      <c r="AA44" s="296" t="s">
        <v>1</v>
      </c>
      <c r="AB44" s="296" t="s">
        <v>1</v>
      </c>
      <c r="AC44" s="294" t="s">
        <v>1</v>
      </c>
      <c r="AD44" s="295" cm="1">
        <f t="array" aca="1" ref="AD44" ca="1">INDIRECT("'"&amp;$C44&amp;"'!"&amp;"$"&amp;$D44&amp;$AD$1&amp;"")</f>
        <v>3.8</v>
      </c>
      <c r="AE44" s="296">
        <f>3.8*3.48</f>
        <v>13.224</v>
      </c>
      <c r="AF44" s="296">
        <v>0.91</v>
      </c>
      <c r="AG44" s="297">
        <v>1.74</v>
      </c>
      <c r="AH44" s="293" cm="1">
        <f t="array" aca="1" ref="AH44" ca="1">INDIRECT("'"&amp;$C44&amp;"'!"&amp;"$"&amp;$D44&amp;$AH$1&amp;"")</f>
        <v>3.8</v>
      </c>
      <c r="AI44" s="296">
        <v>13.96</v>
      </c>
      <c r="AJ44" s="296">
        <v>0.97</v>
      </c>
      <c r="AK44" s="294">
        <v>0.97</v>
      </c>
      <c r="AL44" s="293">
        <v>11.8</v>
      </c>
      <c r="AM44" s="297">
        <v>69.900000000000006</v>
      </c>
      <c r="AN44" s="293" cm="1">
        <f t="array" aca="1" ref="AN44" ca="1">INDIRECT("'"&amp;$C44&amp;"'!"&amp;"$"&amp;$D44&amp;$AL$1&amp;"")</f>
        <v>4</v>
      </c>
      <c r="AO44" s="296">
        <v>0.93</v>
      </c>
      <c r="AP44" s="294">
        <v>1.4</v>
      </c>
      <c r="AQ44" s="295" t="str" cm="1">
        <f t="array" aca="1" ref="AQ44" ca="1">INDIRECT("'"&amp;$C44&amp;"'!"&amp;"$"&amp;$D44&amp;$AQ$1&amp;"")</f>
        <v>CMS</v>
      </c>
      <c r="AR44" s="296" t="s">
        <v>1</v>
      </c>
      <c r="AS44" s="294" t="s">
        <v>1</v>
      </c>
      <c r="AT44" s="296" cm="1">
        <f t="array" aca="1" ref="AT44" ca="1">INDIRECT("'"&amp;$C44&amp;"'!"&amp;"$"&amp;$D44&amp;$AT$1&amp;"")</f>
        <v>5</v>
      </c>
      <c r="AU44" s="295">
        <v>13.7</v>
      </c>
      <c r="AV44" s="296">
        <v>0.96</v>
      </c>
      <c r="AW44" s="294">
        <v>1.3</v>
      </c>
      <c r="AX44" s="298">
        <v>14.11</v>
      </c>
      <c r="AY44" s="297">
        <v>71.040000000000006</v>
      </c>
      <c r="AZ44" s="298" cm="1">
        <f t="array" aca="1" ref="AZ44" ca="1">INDIRECT("'"&amp;$C44&amp;"'!"&amp;"$"&amp;$D44&amp;$AZ$1&amp;"")</f>
        <v>14.28</v>
      </c>
      <c r="BA44" s="296">
        <v>0.98</v>
      </c>
      <c r="BB44" s="294">
        <v>3.4</v>
      </c>
      <c r="BC44" s="299">
        <v>67.3</v>
      </c>
      <c r="BD44" s="293" cm="1">
        <f t="array" aca="1" ref="BD44" ca="1">INDIRECT("'"&amp;$C44&amp;"'!"&amp;"$"&amp;$D44&amp;$BC$1&amp;"")</f>
        <v>0</v>
      </c>
      <c r="BE44" s="295" t="s">
        <v>1</v>
      </c>
      <c r="BF44" s="294" t="s">
        <v>1</v>
      </c>
      <c r="BG44" s="298" cm="1">
        <f t="array" aca="1" ref="BG44" ca="1">INDIRECT("'"&amp;$C44&amp;"'!"&amp;"$"&amp;$D44&amp;$BG$1&amp;"")</f>
        <v>1.45</v>
      </c>
      <c r="BH44" s="296"/>
      <c r="BI44" s="296">
        <v>0.99</v>
      </c>
      <c r="BJ44" s="294">
        <v>0.21</v>
      </c>
      <c r="BK44" s="299" cm="1">
        <f t="array" aca="1" ref="BK44" ca="1">INDIRECT("'"&amp;$C44&amp;"'!"&amp;"$"&amp;$D44&amp;$BK$1&amp;"")</f>
        <v>0.95</v>
      </c>
      <c r="BL44" s="296"/>
      <c r="BM44" s="296">
        <v>0.96</v>
      </c>
      <c r="BN44" s="294">
        <v>0.27</v>
      </c>
      <c r="BO44" s="299" cm="1">
        <f t="array" aca="1" ref="BO44" ca="1">INDIRECT("'"&amp;$C44&amp;"'!"&amp;"$"&amp;$D44&amp;74&amp;"")</f>
        <v>0</v>
      </c>
      <c r="BP44" s="296"/>
      <c r="BQ44" s="296" t="s">
        <v>1</v>
      </c>
      <c r="BR44" s="294" t="s">
        <v>1</v>
      </c>
    </row>
    <row r="45" spans="1:70">
      <c r="A45" s="361">
        <v>45749</v>
      </c>
      <c r="B45" s="358">
        <v>0.625</v>
      </c>
      <c r="C45" s="313">
        <f t="shared" si="0"/>
        <v>2</v>
      </c>
      <c r="D45" s="314" t="s">
        <v>142</v>
      </c>
      <c r="E45" s="286">
        <v>14.2</v>
      </c>
      <c r="F45" s="287">
        <v>69.28</v>
      </c>
      <c r="G45" s="288" cm="1">
        <f t="array" aca="1" ref="G45" ca="1">INDIRECT("'"&amp;$C45&amp;"'!"&amp;"$"&amp;$D45&amp;$E$1&amp;"")</f>
        <v>6.7</v>
      </c>
      <c r="H45" s="289">
        <v>0.92</v>
      </c>
      <c r="I45" s="287">
        <v>2.97</v>
      </c>
      <c r="J45" s="288" cm="1">
        <f t="array" aca="1" ref="J45" ca="1">INDIRECT("'"&amp;$C45&amp;"'!"&amp;"$"&amp;$D45&amp;$J$1&amp;"")</f>
        <v>6.7</v>
      </c>
      <c r="K45" s="289"/>
      <c r="L45" s="289">
        <v>0.92</v>
      </c>
      <c r="M45" s="287">
        <v>2.99</v>
      </c>
      <c r="N45" s="288" cm="1">
        <f t="array" aca="1" ref="N45" ca="1">INDIRECT("'"&amp;$C45&amp;"'!"&amp;"$"&amp;$D45&amp;$N$1&amp;"")</f>
        <v>6.7</v>
      </c>
      <c r="O45" s="289"/>
      <c r="P45" s="289">
        <v>0.92</v>
      </c>
      <c r="Q45" s="287">
        <v>2.96</v>
      </c>
      <c r="R45" s="288" cm="1">
        <f t="array" aca="1" ref="R45" ca="1">INDIRECT("'"&amp;$C45&amp;"'!"&amp;"$"&amp;$D45&amp;$R$1&amp;"")</f>
        <v>6.7</v>
      </c>
      <c r="S45" s="289"/>
      <c r="T45" s="289">
        <v>0.92</v>
      </c>
      <c r="U45" s="287">
        <v>2.97</v>
      </c>
      <c r="V45" s="288" cm="1">
        <f t="array" aca="1" ref="V45" ca="1">INDIRECT("'"&amp;$C45&amp;"'!"&amp;"$"&amp;$D45&amp;$V$1&amp;"")</f>
        <v>2.8</v>
      </c>
      <c r="W45" s="289">
        <f>3.8*3.52</f>
        <v>13.375999999999999</v>
      </c>
      <c r="X45" s="289">
        <v>0.91</v>
      </c>
      <c r="Y45" s="290">
        <v>0.34</v>
      </c>
      <c r="Z45" s="286" cm="1">
        <f t="array" aca="1" ref="Z45" ca="1">INDIRECT("'"&amp;$C45&amp;"'!"&amp;"$"&amp;$D45&amp;$Z$1&amp;"")</f>
        <v>0</v>
      </c>
      <c r="AA45" s="289" t="s">
        <v>1</v>
      </c>
      <c r="AB45" s="289" t="s">
        <v>1</v>
      </c>
      <c r="AC45" s="287" t="s">
        <v>1</v>
      </c>
      <c r="AD45" s="288" cm="1">
        <f t="array" aca="1" ref="AD45" ca="1">INDIRECT("'"&amp;$C45&amp;"'!"&amp;"$"&amp;$D45&amp;$AD$1&amp;"")</f>
        <v>3.8</v>
      </c>
      <c r="AE45" s="289">
        <f>3.8*3.52</f>
        <v>13.375999999999999</v>
      </c>
      <c r="AF45" s="289">
        <v>0.9</v>
      </c>
      <c r="AG45" s="290">
        <v>1.89</v>
      </c>
      <c r="AH45" s="286" cm="1">
        <f t="array" aca="1" ref="AH45" ca="1">INDIRECT("'"&amp;$C45&amp;"'!"&amp;"$"&amp;$D45&amp;$AH$1&amp;"")</f>
        <v>3.8</v>
      </c>
      <c r="AI45" s="289">
        <v>14.08</v>
      </c>
      <c r="AJ45" s="289">
        <v>0.95</v>
      </c>
      <c r="AK45" s="287">
        <v>1.25</v>
      </c>
      <c r="AL45" s="286">
        <v>11.9</v>
      </c>
      <c r="AM45" s="290">
        <v>70.3</v>
      </c>
      <c r="AN45" s="286" cm="1">
        <f t="array" aca="1" ref="AN45" ca="1">INDIRECT("'"&amp;$C45&amp;"'!"&amp;"$"&amp;$D45&amp;$AL$1&amp;"")</f>
        <v>3.9</v>
      </c>
      <c r="AO45" s="289">
        <v>0.91</v>
      </c>
      <c r="AP45" s="287">
        <v>1.5</v>
      </c>
      <c r="AQ45" s="288" t="str" cm="1">
        <f t="array" aca="1" ref="AQ45" ca="1">INDIRECT("'"&amp;$C45&amp;"'!"&amp;"$"&amp;$D45&amp;$AQ$1&amp;"")</f>
        <v>CMS</v>
      </c>
      <c r="AR45" s="289" t="s">
        <v>1</v>
      </c>
      <c r="AS45" s="287" t="s">
        <v>1</v>
      </c>
      <c r="AT45" s="289" cm="1">
        <f t="array" aca="1" ref="AT45" ca="1">INDIRECT("'"&amp;$C45&amp;"'!"&amp;"$"&amp;$D45&amp;$AT$1&amp;"")</f>
        <v>5.2</v>
      </c>
      <c r="AU45" s="288">
        <v>13.7</v>
      </c>
      <c r="AV45" s="289">
        <v>0.99</v>
      </c>
      <c r="AW45" s="287">
        <v>0.55000000000000004</v>
      </c>
      <c r="AX45" s="291">
        <v>14.18</v>
      </c>
      <c r="AY45" s="290">
        <v>71.52</v>
      </c>
      <c r="AZ45" s="291" cm="1">
        <f t="array" aca="1" ref="AZ45" ca="1">INDIRECT("'"&amp;$C45&amp;"'!"&amp;"$"&amp;$D45&amp;$AZ$1&amp;"")</f>
        <v>14.28</v>
      </c>
      <c r="BA45" s="289">
        <v>0.98</v>
      </c>
      <c r="BB45" s="287">
        <v>3.5</v>
      </c>
      <c r="BC45" s="292">
        <v>67.599999999999994</v>
      </c>
      <c r="BD45" s="286" cm="1">
        <f t="array" aca="1" ref="BD45" ca="1">INDIRECT("'"&amp;$C45&amp;"'!"&amp;"$"&amp;$D45&amp;$BC$1&amp;"")</f>
        <v>0</v>
      </c>
      <c r="BE45" s="288" t="s">
        <v>1</v>
      </c>
      <c r="BF45" s="287" t="s">
        <v>1</v>
      </c>
      <c r="BG45" s="291" cm="1">
        <f t="array" aca="1" ref="BG45" ca="1">INDIRECT("'"&amp;$C45&amp;"'!"&amp;"$"&amp;$D45&amp;$BG$1&amp;"")</f>
        <v>1.44</v>
      </c>
      <c r="BH45" s="289"/>
      <c r="BI45" s="289">
        <v>0.99</v>
      </c>
      <c r="BJ45" s="287">
        <v>0.2</v>
      </c>
      <c r="BK45" s="292" cm="1">
        <f t="array" aca="1" ref="BK45" ca="1">INDIRECT("'"&amp;$C45&amp;"'!"&amp;"$"&amp;$D45&amp;$BK$1&amp;"")</f>
        <v>0.97</v>
      </c>
      <c r="BL45" s="289"/>
      <c r="BM45" s="289">
        <v>0.96</v>
      </c>
      <c r="BN45" s="287">
        <v>0.27</v>
      </c>
      <c r="BO45" s="292" cm="1">
        <f t="array" aca="1" ref="BO45" ca="1">INDIRECT("'"&amp;$C45&amp;"'!"&amp;"$"&amp;$D45&amp;74&amp;"")</f>
        <v>0</v>
      </c>
      <c r="BP45" s="289"/>
      <c r="BQ45" s="289" t="s">
        <v>1</v>
      </c>
      <c r="BR45" s="287" t="s">
        <v>1</v>
      </c>
    </row>
    <row r="46" spans="1:70">
      <c r="A46" s="361">
        <v>45749</v>
      </c>
      <c r="B46" s="358">
        <v>0.66666666666666696</v>
      </c>
      <c r="C46" s="313">
        <f t="shared" si="0"/>
        <v>2</v>
      </c>
      <c r="D46" s="314" t="s">
        <v>143</v>
      </c>
      <c r="E46" s="293">
        <v>14.1</v>
      </c>
      <c r="F46" s="294">
        <v>69.17</v>
      </c>
      <c r="G46" s="295" cm="1">
        <f t="array" aca="1" ref="G46" ca="1">INDIRECT("'"&amp;$C46&amp;"'!"&amp;"$"&amp;$D46&amp;$E$1&amp;"")</f>
        <v>6.7</v>
      </c>
      <c r="H46" s="296">
        <v>0.92</v>
      </c>
      <c r="I46" s="294">
        <v>2.98</v>
      </c>
      <c r="J46" s="295" cm="1">
        <f t="array" aca="1" ref="J46" ca="1">INDIRECT("'"&amp;$C46&amp;"'!"&amp;"$"&amp;$D46&amp;$J$1&amp;"")</f>
        <v>6.7</v>
      </c>
      <c r="K46" s="296"/>
      <c r="L46" s="296">
        <v>0.92</v>
      </c>
      <c r="M46" s="294">
        <v>2.2999999999999998</v>
      </c>
      <c r="N46" s="295" cm="1">
        <f t="array" aca="1" ref="N46" ca="1">INDIRECT("'"&amp;$C46&amp;"'!"&amp;"$"&amp;$D46&amp;$N$1&amp;"")</f>
        <v>6.7</v>
      </c>
      <c r="O46" s="296"/>
      <c r="P46" s="296">
        <v>0.92</v>
      </c>
      <c r="Q46" s="294">
        <v>2.97</v>
      </c>
      <c r="R46" s="295" cm="1">
        <f t="array" aca="1" ref="R46" ca="1">INDIRECT("'"&amp;$C46&amp;"'!"&amp;"$"&amp;$D46&amp;$R$1&amp;"")</f>
        <v>6.7</v>
      </c>
      <c r="S46" s="296"/>
      <c r="T46" s="296">
        <v>0.92</v>
      </c>
      <c r="U46" s="294">
        <v>2.99</v>
      </c>
      <c r="V46" s="295" cm="1">
        <f t="array" aca="1" ref="V46" ca="1">INDIRECT("'"&amp;$C46&amp;"'!"&amp;"$"&amp;$D46&amp;$V$1&amp;"")</f>
        <v>2.8</v>
      </c>
      <c r="W46" s="296">
        <f>3.8*3.51</f>
        <v>13.337999999999999</v>
      </c>
      <c r="X46" s="296">
        <v>0.9</v>
      </c>
      <c r="Y46" s="297">
        <v>1.33</v>
      </c>
      <c r="Z46" s="293" cm="1">
        <f t="array" aca="1" ref="Z46" ca="1">INDIRECT("'"&amp;$C46&amp;"'!"&amp;"$"&amp;$D46&amp;$Z$1&amp;"")</f>
        <v>0</v>
      </c>
      <c r="AA46" s="296" t="s">
        <v>1</v>
      </c>
      <c r="AB46" s="296" t="s">
        <v>1</v>
      </c>
      <c r="AC46" s="294" t="s">
        <v>1</v>
      </c>
      <c r="AD46" s="295" cm="1">
        <f t="array" aca="1" ref="AD46" ca="1">INDIRECT("'"&amp;$C46&amp;"'!"&amp;"$"&amp;$D46&amp;$AD$1&amp;"")</f>
        <v>3.8</v>
      </c>
      <c r="AE46" s="296">
        <f>3.8*3.51</f>
        <v>13.337999999999999</v>
      </c>
      <c r="AF46" s="296">
        <v>0.9</v>
      </c>
      <c r="AG46" s="297">
        <v>1.85</v>
      </c>
      <c r="AH46" s="293" cm="1">
        <f t="array" aca="1" ref="AH46" ca="1">INDIRECT("'"&amp;$C46&amp;"'!"&amp;"$"&amp;$D46&amp;$AH$1&amp;"")</f>
        <v>3.8</v>
      </c>
      <c r="AI46" s="296">
        <v>14</v>
      </c>
      <c r="AJ46" s="296">
        <v>0.94</v>
      </c>
      <c r="AK46" s="294">
        <v>1.36</v>
      </c>
      <c r="AL46" s="293">
        <v>11.9</v>
      </c>
      <c r="AM46" s="297">
        <v>70.400000000000006</v>
      </c>
      <c r="AN46" s="293" cm="1">
        <f t="array" aca="1" ref="AN46" ca="1">INDIRECT("'"&amp;$C46&amp;"'!"&amp;"$"&amp;$D46&amp;$AL$1&amp;"")</f>
        <v>3.8</v>
      </c>
      <c r="AO46" s="296">
        <v>0.94</v>
      </c>
      <c r="AP46" s="294">
        <v>1.5</v>
      </c>
      <c r="AQ46" s="295" t="str" cm="1">
        <f t="array" aca="1" ref="AQ46" ca="1">INDIRECT("'"&amp;$C46&amp;"'!"&amp;"$"&amp;$D46&amp;$AQ$1&amp;"")</f>
        <v>CMS</v>
      </c>
      <c r="AR46" s="296" t="s">
        <v>1</v>
      </c>
      <c r="AS46" s="294" t="s">
        <v>1</v>
      </c>
      <c r="AT46" s="296" cm="1">
        <f t="array" aca="1" ref="AT46" ca="1">INDIRECT("'"&amp;$C46&amp;"'!"&amp;"$"&amp;$D46&amp;$AT$1&amp;"")</f>
        <v>5.2</v>
      </c>
      <c r="AU46" s="295">
        <v>13.8</v>
      </c>
      <c r="AV46" s="296">
        <v>0.99</v>
      </c>
      <c r="AW46" s="294">
        <v>0.59</v>
      </c>
      <c r="AX46" s="298">
        <v>14.23</v>
      </c>
      <c r="AY46" s="297">
        <v>71.680000000000007</v>
      </c>
      <c r="AZ46" s="298" cm="1">
        <f t="array" aca="1" ref="AZ46" ca="1">INDIRECT("'"&amp;$C46&amp;"'!"&amp;"$"&amp;$D46&amp;$AZ$1&amp;"")</f>
        <v>14.3</v>
      </c>
      <c r="BA46" s="296">
        <v>0.98</v>
      </c>
      <c r="BB46" s="294">
        <v>3.4</v>
      </c>
      <c r="BC46" s="299">
        <v>67.7</v>
      </c>
      <c r="BD46" s="293" cm="1">
        <f t="array" aca="1" ref="BD46" ca="1">INDIRECT("'"&amp;$C46&amp;"'!"&amp;"$"&amp;$D46&amp;$BC$1&amp;"")</f>
        <v>0</v>
      </c>
      <c r="BE46" s="295" t="s">
        <v>1</v>
      </c>
      <c r="BF46" s="294" t="s">
        <v>1</v>
      </c>
      <c r="BG46" s="298" cm="1">
        <f t="array" aca="1" ref="BG46" ca="1">INDIRECT("'"&amp;$C46&amp;"'!"&amp;"$"&amp;$D46&amp;$BG$1&amp;"")</f>
        <v>1.41</v>
      </c>
      <c r="BH46" s="296"/>
      <c r="BI46" s="296">
        <v>0.99</v>
      </c>
      <c r="BJ46" s="294">
        <v>0.19</v>
      </c>
      <c r="BK46" s="299" cm="1">
        <f t="array" aca="1" ref="BK46" ca="1">INDIRECT("'"&amp;$C46&amp;"'!"&amp;"$"&amp;$D46&amp;$BK$1&amp;"")</f>
        <v>0.96</v>
      </c>
      <c r="BL46" s="296"/>
      <c r="BM46" s="296">
        <v>0.96</v>
      </c>
      <c r="BN46" s="294">
        <v>0.26</v>
      </c>
      <c r="BO46" s="299" cm="1">
        <f t="array" aca="1" ref="BO46" ca="1">INDIRECT("'"&amp;$C46&amp;"'!"&amp;"$"&amp;$D46&amp;74&amp;"")</f>
        <v>0</v>
      </c>
      <c r="BP46" s="296"/>
      <c r="BQ46" s="296" t="s">
        <v>1</v>
      </c>
      <c r="BR46" s="294" t="s">
        <v>1</v>
      </c>
    </row>
    <row r="47" spans="1:70">
      <c r="A47" s="361">
        <v>45749</v>
      </c>
      <c r="B47" s="358">
        <v>0.70833333333333404</v>
      </c>
      <c r="C47" s="313">
        <f t="shared" si="0"/>
        <v>2</v>
      </c>
      <c r="D47" s="314" t="s">
        <v>144</v>
      </c>
      <c r="E47" s="286">
        <v>14.1</v>
      </c>
      <c r="F47" s="287">
        <v>69.319999999999993</v>
      </c>
      <c r="G47" s="288" cm="1">
        <f t="array" aca="1" ref="G47" ca="1">INDIRECT("'"&amp;$C47&amp;"'!"&amp;"$"&amp;$D47&amp;$E$1&amp;"")</f>
        <v>6.3</v>
      </c>
      <c r="H47" s="289">
        <v>0.94</v>
      </c>
      <c r="I47" s="287">
        <v>2.25</v>
      </c>
      <c r="J47" s="288" cm="1">
        <f t="array" aca="1" ref="J47" ca="1">INDIRECT("'"&amp;$C47&amp;"'!"&amp;"$"&amp;$D47&amp;$J$1&amp;"")</f>
        <v>6.3</v>
      </c>
      <c r="K47" s="289"/>
      <c r="L47" s="289">
        <v>0.94</v>
      </c>
      <c r="M47" s="287">
        <v>2.2799999999999998</v>
      </c>
      <c r="N47" s="288" cm="1">
        <f t="array" aca="1" ref="N47" ca="1">INDIRECT("'"&amp;$C47&amp;"'!"&amp;"$"&amp;$D47&amp;$N$1&amp;"")</f>
        <v>6.4</v>
      </c>
      <c r="O47" s="289"/>
      <c r="P47" s="289">
        <v>0.94</v>
      </c>
      <c r="Q47" s="287">
        <v>2.34</v>
      </c>
      <c r="R47" s="288" cm="1">
        <f t="array" aca="1" ref="R47" ca="1">INDIRECT("'"&amp;$C47&amp;"'!"&amp;"$"&amp;$D47&amp;$R$1&amp;"")</f>
        <v>6.5</v>
      </c>
      <c r="S47" s="289"/>
      <c r="T47" s="289">
        <v>0.94</v>
      </c>
      <c r="U47" s="287">
        <v>2.4500000000000002</v>
      </c>
      <c r="V47" s="288" cm="1">
        <f t="array" aca="1" ref="V47" ca="1">INDIRECT("'"&amp;$C47&amp;"'!"&amp;"$"&amp;$D47&amp;$V$1&amp;"")</f>
        <v>2.6</v>
      </c>
      <c r="W47" s="289">
        <f>3.8*3.53</f>
        <v>13.413999999999998</v>
      </c>
      <c r="X47" s="289">
        <v>0.9</v>
      </c>
      <c r="Y47" s="290">
        <v>1.3</v>
      </c>
      <c r="Z47" s="286" cm="1">
        <f t="array" aca="1" ref="Z47" ca="1">INDIRECT("'"&amp;$C47&amp;"'!"&amp;"$"&amp;$D47&amp;$Z$1&amp;"")</f>
        <v>0</v>
      </c>
      <c r="AA47" s="289" t="s">
        <v>1</v>
      </c>
      <c r="AB47" s="289" t="s">
        <v>1</v>
      </c>
      <c r="AC47" s="287" t="s">
        <v>1</v>
      </c>
      <c r="AD47" s="288" cm="1">
        <f t="array" aca="1" ref="AD47" ca="1">INDIRECT("'"&amp;$C47&amp;"'!"&amp;"$"&amp;$D47&amp;$AD$1&amp;"")</f>
        <v>3.5</v>
      </c>
      <c r="AE47" s="289">
        <f>3.8*3.53</f>
        <v>13.413999999999998</v>
      </c>
      <c r="AF47" s="289">
        <v>0.9</v>
      </c>
      <c r="AG47" s="290">
        <v>1.78</v>
      </c>
      <c r="AH47" s="286" cm="1">
        <f t="array" aca="1" ref="AH47" ca="1">INDIRECT("'"&amp;$C47&amp;"'!"&amp;"$"&amp;$D47&amp;$AH$1&amp;"")</f>
        <v>3.8</v>
      </c>
      <c r="AI47" s="289">
        <v>14.12</v>
      </c>
      <c r="AJ47" s="289">
        <v>0.95</v>
      </c>
      <c r="AK47" s="287">
        <v>1.22</v>
      </c>
      <c r="AL47" s="286">
        <v>11.9</v>
      </c>
      <c r="AM47" s="290">
        <v>70.599999999999994</v>
      </c>
      <c r="AN47" s="286" cm="1">
        <f t="array" aca="1" ref="AN47" ca="1">INDIRECT("'"&amp;$C47&amp;"'!"&amp;"$"&amp;$D47&amp;$AL$1&amp;"")</f>
        <v>3.5</v>
      </c>
      <c r="AO47" s="289">
        <v>0.94</v>
      </c>
      <c r="AP47" s="287">
        <v>1.2</v>
      </c>
      <c r="AQ47" s="288" t="str" cm="1">
        <f t="array" aca="1" ref="AQ47" ca="1">INDIRECT("'"&amp;$C47&amp;"'!"&amp;"$"&amp;$D47&amp;$AQ$1&amp;"")</f>
        <v>CMS</v>
      </c>
      <c r="AR47" s="289" t="s">
        <v>1</v>
      </c>
      <c r="AS47" s="287" t="s">
        <v>1</v>
      </c>
      <c r="AT47" s="289" cm="1">
        <f t="array" aca="1" ref="AT47" ca="1">INDIRECT("'"&amp;$C47&amp;"'!"&amp;"$"&amp;$D47&amp;$AT$1&amp;"")</f>
        <v>4.7</v>
      </c>
      <c r="AU47" s="288">
        <v>13.8</v>
      </c>
      <c r="AV47" s="289">
        <v>0.98</v>
      </c>
      <c r="AW47" s="287">
        <v>0.84</v>
      </c>
      <c r="AX47" s="291">
        <v>14.27</v>
      </c>
      <c r="AY47" s="290">
        <v>71.89</v>
      </c>
      <c r="AZ47" s="291" cm="1">
        <f t="array" aca="1" ref="AZ47" ca="1">INDIRECT("'"&amp;$C47&amp;"'!"&amp;"$"&amp;$D47&amp;$AZ$1&amp;"")</f>
        <v>14.28</v>
      </c>
      <c r="BA47" s="289">
        <v>0.98</v>
      </c>
      <c r="BB47" s="287">
        <v>3.4</v>
      </c>
      <c r="BC47" s="292">
        <v>67.900000000000006</v>
      </c>
      <c r="BD47" s="286" cm="1">
        <f t="array" aca="1" ref="BD47" ca="1">INDIRECT("'"&amp;$C47&amp;"'!"&amp;"$"&amp;$D47&amp;$BC$1&amp;"")</f>
        <v>0</v>
      </c>
      <c r="BE47" s="288" t="s">
        <v>1</v>
      </c>
      <c r="BF47" s="287" t="s">
        <v>1</v>
      </c>
      <c r="BG47" s="291" cm="1">
        <f t="array" aca="1" ref="BG47" ca="1">INDIRECT("'"&amp;$C47&amp;"'!"&amp;"$"&amp;$D47&amp;$BG$1&amp;"")</f>
        <v>1.42</v>
      </c>
      <c r="BH47" s="289"/>
      <c r="BI47" s="289">
        <v>0.99</v>
      </c>
      <c r="BJ47" s="287">
        <v>0.19</v>
      </c>
      <c r="BK47" s="292" cm="1">
        <f t="array" aca="1" ref="BK47" ca="1">INDIRECT("'"&amp;$C47&amp;"'!"&amp;"$"&amp;$D47&amp;$BK$1&amp;"")</f>
        <v>0.93</v>
      </c>
      <c r="BL47" s="289"/>
      <c r="BM47" s="289">
        <v>0.96</v>
      </c>
      <c r="BN47" s="287">
        <v>0.26</v>
      </c>
      <c r="BO47" s="292" cm="1">
        <f t="array" aca="1" ref="BO47" ca="1">INDIRECT("'"&amp;$C47&amp;"'!"&amp;"$"&amp;$D47&amp;74&amp;"")</f>
        <v>0</v>
      </c>
      <c r="BP47" s="289"/>
      <c r="BQ47" s="289" t="s">
        <v>1</v>
      </c>
      <c r="BR47" s="287" t="s">
        <v>1</v>
      </c>
    </row>
    <row r="48" spans="1:70">
      <c r="A48" s="361">
        <v>45749</v>
      </c>
      <c r="B48" s="358">
        <v>0.750000000000001</v>
      </c>
      <c r="C48" s="313">
        <f t="shared" si="0"/>
        <v>2</v>
      </c>
      <c r="D48" s="314" t="s">
        <v>145</v>
      </c>
      <c r="E48" s="293">
        <v>14.1</v>
      </c>
      <c r="F48" s="294">
        <v>69.5</v>
      </c>
      <c r="G48" s="295" cm="1">
        <f t="array" aca="1" ref="G48" ca="1">INDIRECT("'"&amp;$C48&amp;"'!"&amp;"$"&amp;$D48&amp;$E$1&amp;"")</f>
        <v>6.3</v>
      </c>
      <c r="H48" s="296">
        <v>0.95</v>
      </c>
      <c r="I48" s="294">
        <v>2.0499999999999998</v>
      </c>
      <c r="J48" s="295" cm="1">
        <f t="array" aca="1" ref="J48" ca="1">INDIRECT("'"&amp;$C48&amp;"'!"&amp;"$"&amp;$D48&amp;$J$1&amp;"")</f>
        <v>6.4</v>
      </c>
      <c r="K48" s="296"/>
      <c r="L48" s="296">
        <v>0.95</v>
      </c>
      <c r="M48" s="294">
        <v>2.0299999999999998</v>
      </c>
      <c r="N48" s="295" cm="1">
        <f t="array" aca="1" ref="N48" ca="1">INDIRECT("'"&amp;$C48&amp;"'!"&amp;"$"&amp;$D48&amp;$N$1&amp;"")</f>
        <v>6.4</v>
      </c>
      <c r="O48" s="296"/>
      <c r="P48" s="296">
        <v>0.95</v>
      </c>
      <c r="Q48" s="294">
        <v>2.04</v>
      </c>
      <c r="R48" s="295" cm="1">
        <f t="array" aca="1" ref="R48" ca="1">INDIRECT("'"&amp;$C48&amp;"'!"&amp;"$"&amp;$D48&amp;$R$1&amp;"")</f>
        <v>6.5</v>
      </c>
      <c r="S48" s="296"/>
      <c r="T48" s="296">
        <v>0.95</v>
      </c>
      <c r="U48" s="294">
        <v>2.16</v>
      </c>
      <c r="V48" s="295" cm="1">
        <f t="array" aca="1" ref="V48" ca="1">INDIRECT("'"&amp;$C48&amp;"'!"&amp;"$"&amp;$D48&amp;$V$1&amp;"")</f>
        <v>2.1</v>
      </c>
      <c r="W48" s="296">
        <f>3.8*3.54</f>
        <v>13.452</v>
      </c>
      <c r="X48" s="296">
        <v>0.94</v>
      </c>
      <c r="Y48" s="297">
        <v>0.79</v>
      </c>
      <c r="Z48" s="293" cm="1">
        <f t="array" aca="1" ref="Z48" ca="1">INDIRECT("'"&amp;$C48&amp;"'!"&amp;"$"&amp;$D48&amp;$Z$1&amp;"")</f>
        <v>0</v>
      </c>
      <c r="AA48" s="296" t="s">
        <v>1</v>
      </c>
      <c r="AB48" s="296" t="s">
        <v>1</v>
      </c>
      <c r="AC48" s="294" t="s">
        <v>1</v>
      </c>
      <c r="AD48" s="295" cm="1">
        <f t="array" aca="1" ref="AD48" ca="1">INDIRECT("'"&amp;$C48&amp;"'!"&amp;"$"&amp;$D48&amp;$AD$1&amp;"")</f>
        <v>3</v>
      </c>
      <c r="AE48" s="296">
        <f>3.8*3.54</f>
        <v>13.452</v>
      </c>
      <c r="AF48" s="296">
        <v>0.94</v>
      </c>
      <c r="AG48" s="297">
        <v>1.0900000000000001</v>
      </c>
      <c r="AH48" s="293" cm="1">
        <f t="array" aca="1" ref="AH48" ca="1">INDIRECT("'"&amp;$C48&amp;"'!"&amp;"$"&amp;$D48&amp;$AH$1&amp;"")</f>
        <v>2.5</v>
      </c>
      <c r="AI48" s="296">
        <v>14.12</v>
      </c>
      <c r="AJ48" s="296">
        <v>0.95</v>
      </c>
      <c r="AK48" s="294">
        <v>1.22</v>
      </c>
      <c r="AL48" s="293">
        <v>11.8</v>
      </c>
      <c r="AM48" s="297">
        <v>70.400000000000006</v>
      </c>
      <c r="AN48" s="293" cm="1">
        <f t="array" aca="1" ref="AN48" ca="1">INDIRECT("'"&amp;$C48&amp;"'!"&amp;"$"&amp;$D48&amp;$AL$1&amp;"")</f>
        <v>3.5</v>
      </c>
      <c r="AO48" s="296">
        <v>0.93</v>
      </c>
      <c r="AP48" s="294">
        <v>1.4</v>
      </c>
      <c r="AQ48" s="295" t="str" cm="1">
        <f t="array" aca="1" ref="AQ48" ca="1">INDIRECT("'"&amp;$C48&amp;"'!"&amp;"$"&amp;$D48&amp;$AQ$1&amp;"")</f>
        <v>CMS</v>
      </c>
      <c r="AR48" s="296" t="s">
        <v>1</v>
      </c>
      <c r="AS48" s="294" t="s">
        <v>1</v>
      </c>
      <c r="AT48" s="296" cm="1">
        <f t="array" aca="1" ref="AT48" ca="1">INDIRECT("'"&amp;$C48&amp;"'!"&amp;"$"&amp;$D48&amp;$AT$1&amp;"")</f>
        <v>2.8</v>
      </c>
      <c r="AU48" s="295">
        <v>13.7</v>
      </c>
      <c r="AV48" s="296">
        <v>0.99</v>
      </c>
      <c r="AW48" s="294">
        <v>0.42</v>
      </c>
      <c r="AX48" s="298">
        <v>14.1</v>
      </c>
      <c r="AY48" s="297">
        <v>71.38</v>
      </c>
      <c r="AZ48" s="298" cm="1">
        <f t="array" aca="1" ref="AZ48" ca="1">INDIRECT("'"&amp;$C48&amp;"'!"&amp;"$"&amp;$D48&amp;$AZ$1&amp;"")</f>
        <v>13.29</v>
      </c>
      <c r="BA48" s="296">
        <v>0.99</v>
      </c>
      <c r="BB48" s="294">
        <v>2.2999999999999998</v>
      </c>
      <c r="BC48" s="299">
        <v>68.099999999999994</v>
      </c>
      <c r="BD48" s="293" cm="1">
        <f t="array" aca="1" ref="BD48" ca="1">INDIRECT("'"&amp;$C48&amp;"'!"&amp;"$"&amp;$D48&amp;$BC$1&amp;"")</f>
        <v>0</v>
      </c>
      <c r="BE48" s="295" t="s">
        <v>1</v>
      </c>
      <c r="BF48" s="294" t="s">
        <v>1</v>
      </c>
      <c r="BG48" s="298" cm="1">
        <f t="array" aca="1" ref="BG48" ca="1">INDIRECT("'"&amp;$C48&amp;"'!"&amp;"$"&amp;$D48&amp;$BG$1&amp;"")</f>
        <v>1.32</v>
      </c>
      <c r="BH48" s="296"/>
      <c r="BI48" s="296">
        <v>0.99</v>
      </c>
      <c r="BJ48" s="294">
        <v>0.21</v>
      </c>
      <c r="BK48" s="299" cm="1">
        <f t="array" aca="1" ref="BK48" ca="1">INDIRECT("'"&amp;$C48&amp;"'!"&amp;"$"&amp;$D48&amp;$BK$1&amp;"")</f>
        <v>0.92</v>
      </c>
      <c r="BL48" s="296"/>
      <c r="BM48" s="296">
        <v>0.96</v>
      </c>
      <c r="BN48" s="294">
        <v>0.26</v>
      </c>
      <c r="BO48" s="299" cm="1">
        <f t="array" aca="1" ref="BO48" ca="1">INDIRECT("'"&amp;$C48&amp;"'!"&amp;"$"&amp;$D48&amp;74&amp;"")</f>
        <v>0</v>
      </c>
      <c r="BP48" s="296"/>
      <c r="BQ48" s="296" t="s">
        <v>1</v>
      </c>
      <c r="BR48" s="294" t="s">
        <v>1</v>
      </c>
    </row>
    <row r="49" spans="1:70">
      <c r="A49" s="361">
        <v>45749</v>
      </c>
      <c r="B49" s="358">
        <v>0.79166666666666696</v>
      </c>
      <c r="C49" s="313">
        <f t="shared" si="0"/>
        <v>2</v>
      </c>
      <c r="D49" s="314" t="s">
        <v>146</v>
      </c>
      <c r="E49" s="286">
        <v>14.1</v>
      </c>
      <c r="F49" s="287">
        <v>69.53</v>
      </c>
      <c r="G49" s="288" cm="1">
        <f t="array" aca="1" ref="G49" ca="1">INDIRECT("'"&amp;$C49&amp;"'!"&amp;"$"&amp;$D49&amp;$E$1&amp;"")</f>
        <v>6.6</v>
      </c>
      <c r="H49" s="289">
        <v>0.96</v>
      </c>
      <c r="I49" s="287">
        <v>1.91</v>
      </c>
      <c r="J49" s="288" cm="1">
        <f t="array" aca="1" ref="J49" ca="1">INDIRECT("'"&amp;$C49&amp;"'!"&amp;"$"&amp;$D49&amp;$J$1&amp;"")</f>
        <v>6.6</v>
      </c>
      <c r="K49" s="300"/>
      <c r="L49" s="289">
        <v>0.96</v>
      </c>
      <c r="M49" s="287">
        <v>1.89</v>
      </c>
      <c r="N49" s="288" cm="1">
        <f t="array" aca="1" ref="N49" ca="1">INDIRECT("'"&amp;$C49&amp;"'!"&amp;"$"&amp;$D49&amp;$N$1&amp;"")</f>
        <v>6.6</v>
      </c>
      <c r="O49" s="289"/>
      <c r="P49" s="289">
        <v>0.96</v>
      </c>
      <c r="Q49" s="287">
        <v>1.94</v>
      </c>
      <c r="R49" s="288" cm="1">
        <f t="array" aca="1" ref="R49" ca="1">INDIRECT("'"&amp;$C49&amp;"'!"&amp;"$"&amp;$D49&amp;$R$1&amp;"")</f>
        <v>6.7</v>
      </c>
      <c r="S49" s="289"/>
      <c r="T49" s="289">
        <v>0.97</v>
      </c>
      <c r="U49" s="287">
        <v>2.29</v>
      </c>
      <c r="V49" s="288" cm="1">
        <f t="array" aca="1" ref="V49" ca="1">INDIRECT("'"&amp;$C49&amp;"'!"&amp;"$"&amp;$D49&amp;$V$1&amp;"")</f>
        <v>2.8</v>
      </c>
      <c r="W49" s="289">
        <f>3.55*3.8</f>
        <v>13.489999999999998</v>
      </c>
      <c r="X49" s="289">
        <v>0.92</v>
      </c>
      <c r="Y49" s="290">
        <v>1.18</v>
      </c>
      <c r="Z49" s="286" cm="1">
        <f t="array" aca="1" ref="Z49" ca="1">INDIRECT("'"&amp;$C49&amp;"'!"&amp;"$"&amp;$D49&amp;$Z$1&amp;"")</f>
        <v>0</v>
      </c>
      <c r="AA49" s="289" t="s">
        <v>1</v>
      </c>
      <c r="AB49" s="289" t="s">
        <v>1</v>
      </c>
      <c r="AC49" s="287" t="s">
        <v>1</v>
      </c>
      <c r="AD49" s="288" cm="1">
        <f t="array" aca="1" ref="AD49" ca="1">INDIRECT("'"&amp;$C49&amp;"'!"&amp;"$"&amp;$D49&amp;$AD$1&amp;"")</f>
        <v>3.8</v>
      </c>
      <c r="AE49" s="289">
        <v>13.489999999999998</v>
      </c>
      <c r="AF49" s="289">
        <v>0.92</v>
      </c>
      <c r="AG49" s="290">
        <v>1.67</v>
      </c>
      <c r="AH49" s="286" cm="1">
        <f t="array" aca="1" ref="AH49" ca="1">INDIRECT("'"&amp;$C49&amp;"'!"&amp;"$"&amp;$D49&amp;$AH$1&amp;"")</f>
        <v>3.8</v>
      </c>
      <c r="AI49" s="289">
        <v>14.04</v>
      </c>
      <c r="AJ49" s="289">
        <v>0.99</v>
      </c>
      <c r="AK49" s="287">
        <v>0.95299999999999996</v>
      </c>
      <c r="AL49" s="286">
        <v>11.8</v>
      </c>
      <c r="AM49" s="290">
        <v>70.5</v>
      </c>
      <c r="AN49" s="286" cm="1">
        <f t="array" aca="1" ref="AN49" ca="1">INDIRECT("'"&amp;$C49&amp;"'!"&amp;"$"&amp;$D49&amp;$AL$1&amp;"")</f>
        <v>3.6</v>
      </c>
      <c r="AO49" s="289">
        <v>0.96</v>
      </c>
      <c r="AP49" s="287">
        <v>0.9</v>
      </c>
      <c r="AQ49" s="288" t="str" cm="1">
        <f t="array" aca="1" ref="AQ49" ca="1">INDIRECT("'"&amp;$C49&amp;"'!"&amp;"$"&amp;$D49&amp;$AQ$1&amp;"")</f>
        <v>CMS</v>
      </c>
      <c r="AR49" s="289" t="s">
        <v>1</v>
      </c>
      <c r="AS49" s="287" t="s">
        <v>1</v>
      </c>
      <c r="AT49" s="289" cm="1">
        <f t="array" aca="1" ref="AT49" ca="1">INDIRECT("'"&amp;$C49&amp;"'!"&amp;"$"&amp;$D49&amp;$AT$1&amp;"")</f>
        <v>5.6</v>
      </c>
      <c r="AU49" s="288">
        <v>13.8</v>
      </c>
      <c r="AV49" s="289">
        <v>0.98</v>
      </c>
      <c r="AW49" s="287">
        <v>1</v>
      </c>
      <c r="AX49" s="291">
        <v>14.21</v>
      </c>
      <c r="AY49" s="290">
        <v>71.66</v>
      </c>
      <c r="AZ49" s="291" cm="1">
        <f t="array" aca="1" ref="AZ49" ca="1">INDIRECT("'"&amp;$C49&amp;"'!"&amp;"$"&amp;$D49&amp;$AZ$1&amp;"")</f>
        <v>13.29</v>
      </c>
      <c r="BA49" s="289">
        <v>0.98</v>
      </c>
      <c r="BB49" s="287">
        <v>3.5</v>
      </c>
      <c r="BC49" s="292">
        <v>68.2</v>
      </c>
      <c r="BD49" s="286" cm="1">
        <f t="array" aca="1" ref="BD49" ca="1">INDIRECT("'"&amp;$C49&amp;"'!"&amp;"$"&amp;$D49&amp;$BC$1&amp;"")</f>
        <v>0</v>
      </c>
      <c r="BE49" s="288" t="s">
        <v>1</v>
      </c>
      <c r="BF49" s="287" t="s">
        <v>1</v>
      </c>
      <c r="BG49" s="291" cm="1">
        <f t="array" aca="1" ref="BG49" ca="1">INDIRECT("'"&amp;$C49&amp;"'!"&amp;"$"&amp;$D49&amp;$BG$1&amp;"")</f>
        <v>1.7</v>
      </c>
      <c r="BH49" s="289"/>
      <c r="BI49" s="289">
        <v>0.99</v>
      </c>
      <c r="BJ49" s="287">
        <v>0.22</v>
      </c>
      <c r="BK49" s="292" cm="1">
        <f t="array" aca="1" ref="BK49" ca="1">INDIRECT("'"&amp;$C49&amp;"'!"&amp;"$"&amp;$D49&amp;$BK$1&amp;"")</f>
        <v>1</v>
      </c>
      <c r="BL49" s="289"/>
      <c r="BM49" s="289">
        <v>0.97</v>
      </c>
      <c r="BN49" s="287">
        <v>0.28000000000000003</v>
      </c>
      <c r="BO49" s="292" cm="1">
        <f t="array" aca="1" ref="BO49" ca="1">INDIRECT("'"&amp;$C49&amp;"'!"&amp;"$"&amp;$D49&amp;74&amp;"")</f>
        <v>0</v>
      </c>
      <c r="BP49" s="289"/>
      <c r="BQ49" s="289" t="s">
        <v>1</v>
      </c>
      <c r="BR49" s="287" t="s">
        <v>1</v>
      </c>
    </row>
    <row r="50" spans="1:70">
      <c r="A50" s="361">
        <v>45749</v>
      </c>
      <c r="B50" s="358">
        <v>0.83333333333333337</v>
      </c>
      <c r="C50" s="313">
        <f t="shared" si="0"/>
        <v>2</v>
      </c>
      <c r="D50" s="314" t="s">
        <v>147</v>
      </c>
      <c r="E50" s="293">
        <v>14.1</v>
      </c>
      <c r="F50" s="294">
        <v>70.06</v>
      </c>
      <c r="G50" s="295" cm="1">
        <f t="array" aca="1" ref="G50" ca="1">INDIRECT("'"&amp;$C50&amp;"'!"&amp;"$"&amp;$D50&amp;$E$1&amp;"")</f>
        <v>6.7</v>
      </c>
      <c r="H50" s="296">
        <v>0.97</v>
      </c>
      <c r="I50" s="294">
        <v>1.8</v>
      </c>
      <c r="J50" s="295" cm="1">
        <f t="array" aca="1" ref="J50" ca="1">INDIRECT("'"&amp;$C50&amp;"'!"&amp;"$"&amp;$D50&amp;$J$1&amp;"")</f>
        <v>6.7</v>
      </c>
      <c r="K50" s="296"/>
      <c r="L50" s="296">
        <v>0.97</v>
      </c>
      <c r="M50" s="294">
        <v>1.8</v>
      </c>
      <c r="N50" s="295" cm="1">
        <f t="array" aca="1" ref="N50" ca="1">INDIRECT("'"&amp;$C50&amp;"'!"&amp;"$"&amp;$D50&amp;$N$1&amp;"")</f>
        <v>6.7</v>
      </c>
      <c r="O50" s="296"/>
      <c r="P50" s="296">
        <v>0.97</v>
      </c>
      <c r="Q50" s="294">
        <v>1.8</v>
      </c>
      <c r="R50" s="295" cm="1">
        <f t="array" aca="1" ref="R50" ca="1">INDIRECT("'"&amp;$C50&amp;"'!"&amp;"$"&amp;$D50&amp;$R$1&amp;"")</f>
        <v>6.7</v>
      </c>
      <c r="S50" s="296"/>
      <c r="T50" s="296">
        <v>0.97</v>
      </c>
      <c r="U50" s="294">
        <v>1.8</v>
      </c>
      <c r="V50" s="295" cm="1">
        <f t="array" aca="1" ref="V50" ca="1">INDIRECT("'"&amp;$C50&amp;"'!"&amp;"$"&amp;$D50&amp;$V$1&amp;"")</f>
        <v>2</v>
      </c>
      <c r="W50" s="296">
        <f>3.59*3.8</f>
        <v>13.641999999999999</v>
      </c>
      <c r="X50" s="296">
        <v>0.95</v>
      </c>
      <c r="Y50" s="297">
        <v>0.41</v>
      </c>
      <c r="Z50" s="293" cm="1">
        <f t="array" aca="1" ref="Z50" ca="1">INDIRECT("'"&amp;$C50&amp;"'!"&amp;"$"&amp;$D50&amp;$Z$1&amp;"")</f>
        <v>0</v>
      </c>
      <c r="AA50" s="296" t="s">
        <v>1</v>
      </c>
      <c r="AB50" s="296" t="s">
        <v>1</v>
      </c>
      <c r="AC50" s="294" t="s">
        <v>1</v>
      </c>
      <c r="AD50" s="295" cm="1">
        <f t="array" aca="1" ref="AD50" ca="1">INDIRECT("'"&amp;$C50&amp;"'!"&amp;"$"&amp;$D50&amp;$AD$1&amp;"")</f>
        <v>3</v>
      </c>
      <c r="AE50" s="296">
        <v>13.641999999999999</v>
      </c>
      <c r="AF50" s="296">
        <v>0.95</v>
      </c>
      <c r="AG50" s="297">
        <v>0.92</v>
      </c>
      <c r="AH50" s="293" cm="1">
        <f t="array" aca="1" ref="AH50" ca="1">INDIRECT("'"&amp;$C50&amp;"'!"&amp;"$"&amp;$D50&amp;$AH$1&amp;"")</f>
        <v>3</v>
      </c>
      <c r="AI50" s="296">
        <v>14.08</v>
      </c>
      <c r="AJ50" s="296">
        <v>0.96</v>
      </c>
      <c r="AK50" s="294">
        <v>0.97</v>
      </c>
      <c r="AL50" s="293">
        <v>11.8</v>
      </c>
      <c r="AM50" s="297">
        <v>70.8</v>
      </c>
      <c r="AN50" s="293" cm="1">
        <f t="array" aca="1" ref="AN50" ca="1">INDIRECT("'"&amp;$C50&amp;"'!"&amp;"$"&amp;$D50&amp;$AL$1&amp;"")</f>
        <v>3</v>
      </c>
      <c r="AO50" s="296">
        <v>0.97</v>
      </c>
      <c r="AP50" s="294">
        <v>0.6</v>
      </c>
      <c r="AQ50" s="295" t="str" cm="1">
        <f t="array" aca="1" ref="AQ50" ca="1">INDIRECT("'"&amp;$C50&amp;"'!"&amp;"$"&amp;$D50&amp;$AQ$1&amp;"")</f>
        <v>CMS</v>
      </c>
      <c r="AR50" s="296" t="s">
        <v>1</v>
      </c>
      <c r="AS50" s="294" t="s">
        <v>1</v>
      </c>
      <c r="AT50" s="296" cm="1">
        <f t="array" aca="1" ref="AT50" ca="1">INDIRECT("'"&amp;$C50&amp;"'!"&amp;"$"&amp;$D50&amp;$AT$1&amp;"")</f>
        <v>3</v>
      </c>
      <c r="AU50" s="295">
        <v>13.8</v>
      </c>
      <c r="AV50" s="296">
        <v>0.98</v>
      </c>
      <c r="AW50" s="294">
        <v>0.68899999999999995</v>
      </c>
      <c r="AX50" s="298">
        <v>14.27</v>
      </c>
      <c r="AY50" s="297">
        <v>71.849999999999994</v>
      </c>
      <c r="AZ50" s="298" cm="1">
        <f t="array" aca="1" ref="AZ50" ca="1">INDIRECT("'"&amp;$C50&amp;"'!"&amp;"$"&amp;$D50&amp;$AZ$1&amp;"")</f>
        <v>13.28</v>
      </c>
      <c r="BA50" s="296">
        <v>0.98</v>
      </c>
      <c r="BB50" s="294">
        <v>3.3</v>
      </c>
      <c r="BC50" s="299">
        <v>68.900000000000006</v>
      </c>
      <c r="BD50" s="293" cm="1">
        <f t="array" aca="1" ref="BD50" ca="1">INDIRECT("'"&amp;$C50&amp;"'!"&amp;"$"&amp;$D50&amp;$BC$1&amp;"")</f>
        <v>0</v>
      </c>
      <c r="BE50" s="295" t="s">
        <v>1</v>
      </c>
      <c r="BF50" s="294" t="s">
        <v>1</v>
      </c>
      <c r="BG50" s="298" cm="1">
        <f t="array" aca="1" ref="BG50" ca="1">INDIRECT("'"&amp;$C50&amp;"'!"&amp;"$"&amp;$D50&amp;$BG$1&amp;"")</f>
        <v>1.6100000000000003</v>
      </c>
      <c r="BH50" s="296"/>
      <c r="BI50" s="296">
        <v>0.99</v>
      </c>
      <c r="BJ50" s="294">
        <v>0.23</v>
      </c>
      <c r="BK50" s="299" cm="1">
        <f t="array" aca="1" ref="BK50" ca="1">INDIRECT("'"&amp;$C50&amp;"'!"&amp;"$"&amp;$D50&amp;$BK$1&amp;"")</f>
        <v>0</v>
      </c>
      <c r="BL50" s="296"/>
      <c r="BM50" s="296" t="s">
        <v>1</v>
      </c>
      <c r="BN50" s="294" t="s">
        <v>1</v>
      </c>
      <c r="BO50" s="299" cm="1">
        <f t="array" aca="1" ref="BO50" ca="1">INDIRECT("'"&amp;$C50&amp;"'!"&amp;"$"&amp;$D50&amp;74&amp;"")</f>
        <v>0</v>
      </c>
      <c r="BP50" s="296"/>
      <c r="BQ50" s="296" t="s">
        <v>1</v>
      </c>
      <c r="BR50" s="294" t="s">
        <v>1</v>
      </c>
    </row>
    <row r="51" spans="1:70">
      <c r="A51" s="361">
        <v>45749</v>
      </c>
      <c r="B51" s="358">
        <v>0.875000000000001</v>
      </c>
      <c r="C51" s="313">
        <f t="shared" si="0"/>
        <v>2</v>
      </c>
      <c r="D51" s="314" t="s">
        <v>148</v>
      </c>
      <c r="E51" s="286">
        <v>14.1</v>
      </c>
      <c r="F51" s="287">
        <v>69.17</v>
      </c>
      <c r="G51" s="288" cm="1">
        <f t="array" aca="1" ref="G51" ca="1">INDIRECT("'"&amp;$C51&amp;"'!"&amp;"$"&amp;$D51&amp;$E$1&amp;"")</f>
        <v>6.6</v>
      </c>
      <c r="H51" s="289">
        <v>0.97</v>
      </c>
      <c r="I51" s="287">
        <v>1.5</v>
      </c>
      <c r="J51" s="288" cm="1">
        <f t="array" aca="1" ref="J51" ca="1">INDIRECT("'"&amp;$C51&amp;"'!"&amp;"$"&amp;$D51&amp;$J$1&amp;"")</f>
        <v>6.6</v>
      </c>
      <c r="K51" s="289"/>
      <c r="L51" s="289">
        <v>0.97</v>
      </c>
      <c r="M51" s="287">
        <v>1.5</v>
      </c>
      <c r="N51" s="288" cm="1">
        <f t="array" aca="1" ref="N51" ca="1">INDIRECT("'"&amp;$C51&amp;"'!"&amp;"$"&amp;$D51&amp;$N$1&amp;"")</f>
        <v>6.6</v>
      </c>
      <c r="O51" s="289"/>
      <c r="P51" s="289">
        <v>0.97</v>
      </c>
      <c r="Q51" s="287">
        <v>1.5</v>
      </c>
      <c r="R51" s="288" cm="1">
        <f t="array" aca="1" ref="R51" ca="1">INDIRECT("'"&amp;$C51&amp;"'!"&amp;"$"&amp;$D51&amp;$R$1&amp;"")</f>
        <v>6.6</v>
      </c>
      <c r="S51" s="289"/>
      <c r="T51" s="289">
        <v>0.97</v>
      </c>
      <c r="U51" s="287">
        <v>1.5</v>
      </c>
      <c r="V51" s="288" cm="1">
        <f t="array" aca="1" ref="V51" ca="1">INDIRECT("'"&amp;$C51&amp;"'!"&amp;"$"&amp;$D51&amp;$V$1&amp;"")</f>
        <v>0</v>
      </c>
      <c r="W51" s="289" t="s">
        <v>1</v>
      </c>
      <c r="X51" s="289" t="s">
        <v>1</v>
      </c>
      <c r="Y51" s="290" t="s">
        <v>1</v>
      </c>
      <c r="Z51" s="286" cm="1">
        <f t="array" aca="1" ref="Z51" ca="1">INDIRECT("'"&amp;$C51&amp;"'!"&amp;"$"&amp;$D51&amp;$Z$1&amp;"")</f>
        <v>0</v>
      </c>
      <c r="AA51" s="289" t="s">
        <v>1</v>
      </c>
      <c r="AB51" s="289" t="s">
        <v>1</v>
      </c>
      <c r="AC51" s="287" t="s">
        <v>1</v>
      </c>
      <c r="AD51" s="288" cm="1">
        <f t="array" aca="1" ref="AD51" ca="1">INDIRECT("'"&amp;$C51&amp;"'!"&amp;"$"&amp;$D51&amp;$AD$1&amp;"")</f>
        <v>3.4</v>
      </c>
      <c r="AE51" s="289">
        <f>3.56*3.8</f>
        <v>13.527999999999999</v>
      </c>
      <c r="AF51" s="289">
        <v>0.96</v>
      </c>
      <c r="AG51" s="290">
        <v>0.95</v>
      </c>
      <c r="AH51" s="286" cm="1">
        <f t="array" aca="1" ref="AH51" ca="1">INDIRECT("'"&amp;$C51&amp;"'!"&amp;"$"&amp;$D51&amp;$AH$1&amp;"")</f>
        <v>3</v>
      </c>
      <c r="AI51" s="289">
        <v>14.08</v>
      </c>
      <c r="AJ51" s="289">
        <v>0.97</v>
      </c>
      <c r="AK51" s="287">
        <v>0.879</v>
      </c>
      <c r="AL51" s="286">
        <v>11.8</v>
      </c>
      <c r="AM51" s="290">
        <v>70.8</v>
      </c>
      <c r="AN51" s="286" cm="1">
        <f t="array" aca="1" ref="AN51" ca="1">INDIRECT("'"&amp;$C51&amp;"'!"&amp;"$"&amp;$D51&amp;$AL$1&amp;"")</f>
        <v>3</v>
      </c>
      <c r="AO51" s="289">
        <v>0.97</v>
      </c>
      <c r="AP51" s="287">
        <v>0.89</v>
      </c>
      <c r="AQ51" s="288" t="str" cm="1">
        <f t="array" aca="1" ref="AQ51" ca="1">INDIRECT("'"&amp;$C51&amp;"'!"&amp;"$"&amp;$D51&amp;$AQ$1&amp;"")</f>
        <v>CMS</v>
      </c>
      <c r="AR51" s="289" t="s">
        <v>1</v>
      </c>
      <c r="AS51" s="287" t="s">
        <v>1</v>
      </c>
      <c r="AT51" s="289" cm="1">
        <f t="array" aca="1" ref="AT51" ca="1">INDIRECT("'"&amp;$C51&amp;"'!"&amp;"$"&amp;$D51&amp;$AT$1&amp;"")</f>
        <v>3</v>
      </c>
      <c r="AU51" s="288">
        <v>13.8</v>
      </c>
      <c r="AV51" s="289">
        <v>0.98</v>
      </c>
      <c r="AW51" s="287">
        <v>0.63</v>
      </c>
      <c r="AX51" s="291">
        <v>14.25</v>
      </c>
      <c r="AY51" s="290">
        <v>71.77</v>
      </c>
      <c r="AZ51" s="291" cm="1">
        <f t="array" aca="1" ref="AZ51" ca="1">INDIRECT("'"&amp;$C51&amp;"'!"&amp;"$"&amp;$D51&amp;$AZ$1&amp;"")</f>
        <v>13.27</v>
      </c>
      <c r="BA51" s="289">
        <v>0.98</v>
      </c>
      <c r="BB51" s="287">
        <v>3.2</v>
      </c>
      <c r="BC51" s="292">
        <v>68.599999999999994</v>
      </c>
      <c r="BD51" s="286" cm="1">
        <f t="array" aca="1" ref="BD51" ca="1">INDIRECT("'"&amp;$C51&amp;"'!"&amp;"$"&amp;$D51&amp;$BC$1&amp;"")</f>
        <v>0</v>
      </c>
      <c r="BE51" s="288" t="s">
        <v>1</v>
      </c>
      <c r="BF51" s="287" t="s">
        <v>1</v>
      </c>
      <c r="BG51" s="291" cm="1">
        <f t="array" aca="1" ref="BG51" ca="1">INDIRECT("'"&amp;$C51&amp;"'!"&amp;"$"&amp;$D51&amp;$BG$1&amp;"")</f>
        <v>1.49</v>
      </c>
      <c r="BH51" s="289"/>
      <c r="BI51" s="289">
        <v>0.99</v>
      </c>
      <c r="BJ51" s="287">
        <v>0.22</v>
      </c>
      <c r="BK51" s="292" cm="1">
        <f t="array" aca="1" ref="BK51" ca="1">INDIRECT("'"&amp;$C51&amp;"'!"&amp;"$"&amp;$D51&amp;$BK$1&amp;"")</f>
        <v>0.97</v>
      </c>
      <c r="BL51" s="289"/>
      <c r="BM51" s="289">
        <v>0.96</v>
      </c>
      <c r="BN51" s="287">
        <v>0.25</v>
      </c>
      <c r="BO51" s="292" cm="1">
        <f t="array" aca="1" ref="BO51" ca="1">INDIRECT("'"&amp;$C51&amp;"'!"&amp;"$"&amp;$D51&amp;74&amp;"")</f>
        <v>0</v>
      </c>
      <c r="BP51" s="289"/>
      <c r="BQ51" s="289" t="s">
        <v>1</v>
      </c>
      <c r="BR51" s="287" t="s">
        <v>1</v>
      </c>
    </row>
    <row r="52" spans="1:70">
      <c r="A52" s="361">
        <v>45749</v>
      </c>
      <c r="B52" s="358">
        <v>0.91666666666666696</v>
      </c>
      <c r="C52" s="313">
        <f t="shared" si="0"/>
        <v>2</v>
      </c>
      <c r="D52" s="314" t="s">
        <v>149</v>
      </c>
      <c r="E52" s="293">
        <v>14.1</v>
      </c>
      <c r="F52" s="294">
        <v>70.239999999999995</v>
      </c>
      <c r="G52" s="295" t="str" cm="1">
        <f t="array" aca="1" ref="G52" ca="1">INDIRECT("'"&amp;$C52&amp;"'!"&amp;"$"&amp;$D52&amp;$E$1&amp;"")</f>
        <v>CMS</v>
      </c>
      <c r="H52" s="296" t="s">
        <v>1</v>
      </c>
      <c r="I52" s="294" t="s">
        <v>1</v>
      </c>
      <c r="J52" s="295" cm="1">
        <f t="array" aca="1" ref="J52" ca="1">INDIRECT("'"&amp;$C52&amp;"'!"&amp;"$"&amp;$D52&amp;$J$1&amp;"")</f>
        <v>6.6</v>
      </c>
      <c r="K52" s="296"/>
      <c r="L52" s="296">
        <v>0.98</v>
      </c>
      <c r="M52" s="294">
        <v>1.35</v>
      </c>
      <c r="N52" s="295" cm="1">
        <f t="array" aca="1" ref="N52" ca="1">INDIRECT("'"&amp;$C52&amp;"'!"&amp;"$"&amp;$D52&amp;$N$1&amp;"")</f>
        <v>6.6</v>
      </c>
      <c r="O52" s="296"/>
      <c r="P52" s="296">
        <v>0.98</v>
      </c>
      <c r="Q52" s="294">
        <v>1.35</v>
      </c>
      <c r="R52" s="295" cm="1">
        <f t="array" aca="1" ref="R52" ca="1">INDIRECT("'"&amp;$C52&amp;"'!"&amp;"$"&amp;$D52&amp;$R$1&amp;"")</f>
        <v>6.6</v>
      </c>
      <c r="S52" s="296"/>
      <c r="T52" s="296">
        <v>0.98</v>
      </c>
      <c r="U52" s="294">
        <v>1.35</v>
      </c>
      <c r="V52" s="295" cm="1">
        <f t="array" aca="1" ref="V52" ca="1">INDIRECT("'"&amp;$C52&amp;"'!"&amp;"$"&amp;$D52&amp;$V$1&amp;"")</f>
        <v>0</v>
      </c>
      <c r="W52" s="296" t="s">
        <v>1</v>
      </c>
      <c r="X52" s="296" t="s">
        <v>1</v>
      </c>
      <c r="Y52" s="297" t="s">
        <v>1</v>
      </c>
      <c r="Z52" s="293" cm="1">
        <f t="array" aca="1" ref="Z52" ca="1">INDIRECT("'"&amp;$C52&amp;"'!"&amp;"$"&amp;$D52&amp;$Z$1&amp;"")</f>
        <v>0</v>
      </c>
      <c r="AA52" s="296" t="s">
        <v>1</v>
      </c>
      <c r="AB52" s="296" t="s">
        <v>1</v>
      </c>
      <c r="AC52" s="294" t="s">
        <v>1</v>
      </c>
      <c r="AD52" s="295" cm="1">
        <f t="array" aca="1" ref="AD52" ca="1">INDIRECT("'"&amp;$C52&amp;"'!"&amp;"$"&amp;$D52&amp;$AD$1&amp;"")</f>
        <v>3.4</v>
      </c>
      <c r="AE52" s="296">
        <f>3.8*3.61</f>
        <v>13.717999999999998</v>
      </c>
      <c r="AF52" s="296">
        <v>0.96</v>
      </c>
      <c r="AG52" s="297">
        <v>0.94</v>
      </c>
      <c r="AH52" s="293" cm="1">
        <f t="array" aca="1" ref="AH52" ca="1">INDIRECT("'"&amp;$C52&amp;"'!"&amp;"$"&amp;$D52&amp;$AH$1&amp;"")</f>
        <v>3.8</v>
      </c>
      <c r="AI52" s="296">
        <v>14.04</v>
      </c>
      <c r="AJ52" s="296">
        <v>0.97</v>
      </c>
      <c r="AK52" s="294">
        <v>0.79400000000000004</v>
      </c>
      <c r="AL52" s="293">
        <v>11.8</v>
      </c>
      <c r="AM52" s="297">
        <v>70.7</v>
      </c>
      <c r="AN52" s="293" cm="1">
        <f t="array" aca="1" ref="AN52" ca="1">INDIRECT("'"&amp;$C52&amp;"'!"&amp;"$"&amp;$D52&amp;$AL$1&amp;"")</f>
        <v>3</v>
      </c>
      <c r="AO52" s="296">
        <v>0.99</v>
      </c>
      <c r="AP52" s="294">
        <v>0.52</v>
      </c>
      <c r="AQ52" s="295" t="str" cm="1">
        <f t="array" aca="1" ref="AQ52" ca="1">INDIRECT("'"&amp;$C52&amp;"'!"&amp;"$"&amp;$D52&amp;$AQ$1&amp;"")</f>
        <v>CMS</v>
      </c>
      <c r="AR52" s="296" t="s">
        <v>1</v>
      </c>
      <c r="AS52" s="294" t="s">
        <v>1</v>
      </c>
      <c r="AT52" s="296" cm="1">
        <f t="array" aca="1" ref="AT52" ca="1">INDIRECT("'"&amp;$C52&amp;"'!"&amp;"$"&amp;$D52&amp;$AT$1&amp;"")</f>
        <v>0</v>
      </c>
      <c r="AU52" s="295" t="s">
        <v>1</v>
      </c>
      <c r="AV52" s="296" t="s">
        <v>1</v>
      </c>
      <c r="AW52" s="294" t="s">
        <v>1</v>
      </c>
      <c r="AX52" s="298">
        <v>14.16</v>
      </c>
      <c r="AY52" s="297">
        <v>71.75</v>
      </c>
      <c r="AZ52" s="298" cm="1">
        <f t="array" aca="1" ref="AZ52" ca="1">INDIRECT("'"&amp;$C52&amp;"'!"&amp;"$"&amp;$D52&amp;$AZ$1&amp;"")</f>
        <v>14.27</v>
      </c>
      <c r="BA52" s="296">
        <v>0.99</v>
      </c>
      <c r="BB52" s="294">
        <v>2.4</v>
      </c>
      <c r="BC52" s="299">
        <v>69.2</v>
      </c>
      <c r="BD52" s="293" cm="1">
        <f t="array" aca="1" ref="BD52" ca="1">INDIRECT("'"&amp;$C52&amp;"'!"&amp;"$"&amp;$D52&amp;$BC$1&amp;"")</f>
        <v>2.8</v>
      </c>
      <c r="BE52" s="295">
        <v>0.97</v>
      </c>
      <c r="BF52" s="294">
        <v>0.7</v>
      </c>
      <c r="BG52" s="298" cm="1">
        <f t="array" aca="1" ref="BG52" ca="1">INDIRECT("'"&amp;$C52&amp;"'!"&amp;"$"&amp;$D52&amp;$BG$1&amp;"")</f>
        <v>1.34</v>
      </c>
      <c r="BH52" s="296"/>
      <c r="BI52" s="296">
        <v>0.99</v>
      </c>
      <c r="BJ52" s="294">
        <v>0.21</v>
      </c>
      <c r="BK52" s="299" cm="1">
        <f t="array" aca="1" ref="BK52" ca="1">INDIRECT("'"&amp;$C52&amp;"'!"&amp;"$"&amp;$D52&amp;$BK$1&amp;"")</f>
        <v>0.9</v>
      </c>
      <c r="BL52" s="296"/>
      <c r="BM52" s="296">
        <v>0.96</v>
      </c>
      <c r="BN52" s="294">
        <v>0.24</v>
      </c>
      <c r="BO52" s="299" cm="1">
        <f t="array" aca="1" ref="BO52" ca="1">INDIRECT("'"&amp;$C52&amp;"'!"&amp;"$"&amp;$D52&amp;74&amp;"")</f>
        <v>0</v>
      </c>
      <c r="BP52" s="296"/>
      <c r="BQ52" s="296" t="s">
        <v>1</v>
      </c>
      <c r="BR52" s="294" t="s">
        <v>1</v>
      </c>
    </row>
    <row r="53" spans="1:70" ht="14.45" thickBot="1">
      <c r="A53" s="361">
        <v>45749</v>
      </c>
      <c r="B53" s="359">
        <v>0.95833333333333404</v>
      </c>
      <c r="C53" s="315">
        <f t="shared" si="0"/>
        <v>2</v>
      </c>
      <c r="D53" s="316" t="s">
        <v>150</v>
      </c>
      <c r="E53" s="301">
        <v>14</v>
      </c>
      <c r="F53" s="302">
        <v>69.7</v>
      </c>
      <c r="G53" s="303" t="str" cm="1">
        <f t="array" aca="1" ref="G53" ca="1">INDIRECT("'"&amp;$C53&amp;"'!"&amp;"$"&amp;$D53&amp;$E$1&amp;"")</f>
        <v>CMS</v>
      </c>
      <c r="H53" s="304" t="s">
        <v>1</v>
      </c>
      <c r="I53" s="302" t="s">
        <v>1</v>
      </c>
      <c r="J53" s="303" cm="1">
        <f t="array" aca="1" ref="J53" ca="1">INDIRECT("'"&amp;$C53&amp;"'!"&amp;"$"&amp;$D53&amp;$J$1&amp;"")</f>
        <v>6.7</v>
      </c>
      <c r="K53" s="304"/>
      <c r="L53" s="304">
        <v>0.98</v>
      </c>
      <c r="M53" s="302">
        <v>1.34</v>
      </c>
      <c r="N53" s="303" cm="1">
        <f t="array" aca="1" ref="N53" ca="1">INDIRECT("'"&amp;$C53&amp;"'!"&amp;"$"&amp;$D53&amp;$N$1&amp;"")</f>
        <v>6.7</v>
      </c>
      <c r="O53" s="304"/>
      <c r="P53" s="304">
        <v>0.98</v>
      </c>
      <c r="Q53" s="302">
        <v>1.34</v>
      </c>
      <c r="R53" s="303" cm="1">
        <f t="array" aca="1" ref="R53" ca="1">INDIRECT("'"&amp;$C53&amp;"'!"&amp;"$"&amp;$D53&amp;$R$1&amp;"")</f>
        <v>6.7</v>
      </c>
      <c r="S53" s="304"/>
      <c r="T53" s="304">
        <v>0.98</v>
      </c>
      <c r="U53" s="302">
        <v>1.34</v>
      </c>
      <c r="V53" s="303" cm="1">
        <f t="array" aca="1" ref="V53" ca="1">INDIRECT("'"&amp;$C53&amp;"'!"&amp;"$"&amp;$D53&amp;$V$1&amp;"")</f>
        <v>0</v>
      </c>
      <c r="W53" s="304" t="s">
        <v>1</v>
      </c>
      <c r="X53" s="304" t="s">
        <v>1</v>
      </c>
      <c r="Y53" s="305" t="s">
        <v>1</v>
      </c>
      <c r="Z53" s="301" cm="1">
        <f t="array" aca="1" ref="Z53" ca="1">INDIRECT("'"&amp;$C53&amp;"'!"&amp;"$"&amp;$D53&amp;$Z$1&amp;"")</f>
        <v>0</v>
      </c>
      <c r="AA53" s="304" t="s">
        <v>1</v>
      </c>
      <c r="AB53" s="304" t="s">
        <v>1</v>
      </c>
      <c r="AC53" s="302" t="s">
        <v>1</v>
      </c>
      <c r="AD53" s="303" cm="1">
        <f t="array" aca="1" ref="AD53" ca="1">INDIRECT("'"&amp;$C53&amp;"'!"&amp;"$"&amp;$D53&amp;$AD$1&amp;"")</f>
        <v>3.8</v>
      </c>
      <c r="AE53" s="304">
        <f>3.8*3.59</f>
        <v>13.641999999999999</v>
      </c>
      <c r="AF53" s="304">
        <v>0.97</v>
      </c>
      <c r="AG53" s="305">
        <v>0.81</v>
      </c>
      <c r="AH53" s="301" cm="1">
        <f t="array" aca="1" ref="AH53" ca="1">INDIRECT("'"&amp;$C53&amp;"'!"&amp;"$"&amp;$D53&amp;$AH$1&amp;"")</f>
        <v>3.8</v>
      </c>
      <c r="AI53" s="304">
        <v>14.08</v>
      </c>
      <c r="AJ53" s="304">
        <v>0.98</v>
      </c>
      <c r="AK53" s="302">
        <v>0.77400000000000002</v>
      </c>
      <c r="AL53" s="301">
        <v>11.8</v>
      </c>
      <c r="AM53" s="305">
        <v>70.5</v>
      </c>
      <c r="AN53" s="301" cm="1">
        <f t="array" aca="1" ref="AN53" ca="1">INDIRECT("'"&amp;$C53&amp;"'!"&amp;"$"&amp;$D53&amp;$AL$1&amp;"")</f>
        <v>4.2</v>
      </c>
      <c r="AO53" s="304">
        <v>0.98</v>
      </c>
      <c r="AP53" s="302">
        <v>0.71</v>
      </c>
      <c r="AQ53" s="303" t="str" cm="1">
        <f t="array" aca="1" ref="AQ53" ca="1">INDIRECT("'"&amp;$C53&amp;"'!"&amp;"$"&amp;$D53&amp;$AQ$1&amp;"")</f>
        <v>CMS</v>
      </c>
      <c r="AR53" s="304" t="s">
        <v>1</v>
      </c>
      <c r="AS53" s="302" t="s">
        <v>1</v>
      </c>
      <c r="AT53" s="304" cm="1">
        <f t="array" aca="1" ref="AT53" ca="1">INDIRECT("'"&amp;$C53&amp;"'!"&amp;"$"&amp;$D53&amp;$AT$1&amp;"")</f>
        <v>0</v>
      </c>
      <c r="AU53" s="303" t="s">
        <v>1</v>
      </c>
      <c r="AV53" s="304" t="s">
        <v>1</v>
      </c>
      <c r="AW53" s="302" t="s">
        <v>1</v>
      </c>
      <c r="AX53" s="306">
        <v>14.16</v>
      </c>
      <c r="AY53" s="305">
        <v>71.75</v>
      </c>
      <c r="AZ53" s="306" cm="1">
        <f t="array" aca="1" ref="AZ53" ca="1">INDIRECT("'"&amp;$C53&amp;"'!"&amp;"$"&amp;$D53&amp;$AZ$1&amp;"")</f>
        <v>14.28</v>
      </c>
      <c r="BA53" s="304">
        <v>0.99</v>
      </c>
      <c r="BB53" s="302">
        <v>2.4</v>
      </c>
      <c r="BC53" s="307">
        <v>68.900000000000006</v>
      </c>
      <c r="BD53" s="301" cm="1">
        <f t="array" aca="1" ref="BD53" ca="1">INDIRECT("'"&amp;$C53&amp;"'!"&amp;"$"&amp;$D53&amp;$BC$1&amp;"")</f>
        <v>0</v>
      </c>
      <c r="BE53" s="303" t="s">
        <v>1</v>
      </c>
      <c r="BF53" s="302" t="s">
        <v>1</v>
      </c>
      <c r="BG53" s="306" cm="1">
        <f t="array" aca="1" ref="BG53" ca="1">INDIRECT("'"&amp;$C53&amp;"'!"&amp;"$"&amp;$D53&amp;$BG$1&amp;"")</f>
        <v>1.1599999999999999</v>
      </c>
      <c r="BH53" s="304"/>
      <c r="BI53" s="304">
        <v>0.99</v>
      </c>
      <c r="BJ53" s="302">
        <v>0.2</v>
      </c>
      <c r="BK53" s="307" cm="1">
        <f t="array" aca="1" ref="BK53" ca="1">INDIRECT("'"&amp;$C53&amp;"'!"&amp;"$"&amp;$D53&amp;$BK$1&amp;"")</f>
        <v>0.83</v>
      </c>
      <c r="BL53" s="304"/>
      <c r="BM53" s="304">
        <v>0.96</v>
      </c>
      <c r="BN53" s="302">
        <v>0.23</v>
      </c>
      <c r="BO53" s="307" cm="1">
        <f t="array" aca="1" ref="BO53" ca="1">INDIRECT("'"&amp;$C53&amp;"'!"&amp;"$"&amp;$D53&amp;74&amp;"")</f>
        <v>0</v>
      </c>
      <c r="BP53" s="304"/>
      <c r="BQ53" s="304" t="s">
        <v>1</v>
      </c>
      <c r="BR53" s="302" t="s">
        <v>1</v>
      </c>
    </row>
    <row r="54" spans="1:70" ht="8.1" customHeight="1" thickBot="1">
      <c r="BC54" s="441"/>
      <c r="BD54" s="441"/>
    </row>
    <row r="55" spans="1:70">
      <c r="A55" s="361">
        <v>45750</v>
      </c>
      <c r="B55" s="357">
        <v>0</v>
      </c>
      <c r="C55" s="310">
        <f>C30+1</f>
        <v>3</v>
      </c>
      <c r="D55" s="311" t="s">
        <v>127</v>
      </c>
      <c r="E55" s="280">
        <v>14</v>
      </c>
      <c r="F55" s="281">
        <v>70.150000000000006</v>
      </c>
      <c r="G55" s="282" t="str" cm="1">
        <f t="array" aca="1" ref="G55" ca="1">INDIRECT("'"&amp;$C55&amp;"'!"&amp;"$"&amp;$D55&amp;$E$1&amp;"")</f>
        <v>CMS</v>
      </c>
      <c r="H55" s="283" t="s">
        <v>1</v>
      </c>
      <c r="I55" s="281" t="s">
        <v>1</v>
      </c>
      <c r="J55" s="282" cm="1">
        <f t="array" aca="1" ref="J55" ca="1">INDIRECT("'"&amp;$C55&amp;"'!"&amp;"$"&amp;$D55&amp;$J$1&amp;"")</f>
        <v>6.7</v>
      </c>
      <c r="K55" s="283"/>
      <c r="L55" s="283">
        <v>0.98</v>
      </c>
      <c r="M55" s="281">
        <v>1.2</v>
      </c>
      <c r="N55" s="282" cm="1">
        <f t="array" aca="1" ref="N55" ca="1">INDIRECT("'"&amp;$C55&amp;"'!"&amp;"$"&amp;$D55&amp;$N$1&amp;"")</f>
        <v>6.7</v>
      </c>
      <c r="O55" s="283"/>
      <c r="P55" s="283">
        <v>0.98</v>
      </c>
      <c r="Q55" s="281">
        <v>1.2</v>
      </c>
      <c r="R55" s="282" cm="1">
        <f t="array" aca="1" ref="R55" ca="1">INDIRECT("'"&amp;$C55&amp;"'!"&amp;"$"&amp;$D55&amp;$R$1&amp;"")</f>
        <v>6.7</v>
      </c>
      <c r="S55" s="283"/>
      <c r="T55" s="283">
        <v>0.98</v>
      </c>
      <c r="U55" s="281">
        <v>1.2</v>
      </c>
      <c r="V55" s="282" cm="1">
        <f t="array" aca="1" ref="V55" ca="1">INDIRECT("'"&amp;$C55&amp;"'!"&amp;"$"&amp;$D55&amp;$V$1&amp;"")</f>
        <v>0</v>
      </c>
      <c r="W55" s="283" t="s">
        <v>1</v>
      </c>
      <c r="X55" s="283" t="s">
        <v>1</v>
      </c>
      <c r="Y55" s="284" t="s">
        <v>1</v>
      </c>
      <c r="Z55" s="280" cm="1">
        <f t="array" aca="1" ref="Z55" ca="1">INDIRECT("'"&amp;$C55&amp;"'!"&amp;"$"&amp;$D55&amp;$Z$1&amp;"")</f>
        <v>0</v>
      </c>
      <c r="AA55" s="283" t="s">
        <v>1</v>
      </c>
      <c r="AB55" s="283" t="s">
        <v>1</v>
      </c>
      <c r="AC55" s="281" t="s">
        <v>1</v>
      </c>
      <c r="AD55" s="282" cm="1">
        <f t="array" aca="1" ref="AD55" ca="1">INDIRECT("'"&amp;$C55&amp;"'!"&amp;"$"&amp;$D55&amp;$AD$1&amp;"")</f>
        <v>3.8</v>
      </c>
      <c r="AE55" s="283">
        <f>3.8</f>
        <v>3.8</v>
      </c>
      <c r="AF55" s="283">
        <v>0.99</v>
      </c>
      <c r="AG55" s="281">
        <v>0.46</v>
      </c>
      <c r="AH55" s="280" cm="1">
        <f t="array" aca="1" ref="AH55" ca="1">INDIRECT("'"&amp;$C55&amp;"'!"&amp;"$"&amp;$D55&amp;$AH$1&amp;"")</f>
        <v>3</v>
      </c>
      <c r="AI55" s="283">
        <v>14</v>
      </c>
      <c r="AJ55" s="283">
        <v>0.99</v>
      </c>
      <c r="AK55" s="281">
        <v>0.38</v>
      </c>
      <c r="AL55" s="280">
        <v>11.8</v>
      </c>
      <c r="AM55" s="284">
        <v>70.5</v>
      </c>
      <c r="AN55" s="280" cm="1">
        <f t="array" aca="1" ref="AN55" ca="1">INDIRECT("'"&amp;$C55&amp;"'!"&amp;"$"&amp;$D55&amp;$AL$1&amp;"")</f>
        <v>3</v>
      </c>
      <c r="AO55" s="283">
        <v>0.98</v>
      </c>
      <c r="AP55" s="281">
        <v>0.62</v>
      </c>
      <c r="AQ55" s="282" t="str" cm="1">
        <f t="array" aca="1" ref="AQ55" ca="1">INDIRECT("'"&amp;$C55&amp;"'!"&amp;"$"&amp;$D55&amp;$AQ$1&amp;"")</f>
        <v>CMS</v>
      </c>
      <c r="AR55" s="283" t="s">
        <v>1</v>
      </c>
      <c r="AS55" s="281" t="s">
        <v>1</v>
      </c>
      <c r="AT55" s="283" cm="1">
        <f t="array" aca="1" ref="AT55" ca="1">INDIRECT("'"&amp;$C55&amp;"'!"&amp;"$"&amp;$D55&amp;$AT$1&amp;"")</f>
        <v>0</v>
      </c>
      <c r="AU55" s="282" t="s">
        <v>1</v>
      </c>
      <c r="AV55" s="283" t="s">
        <v>1</v>
      </c>
      <c r="AW55" s="281" t="s">
        <v>1</v>
      </c>
      <c r="AX55" s="285">
        <v>14.14</v>
      </c>
      <c r="AY55" s="284">
        <v>71.75</v>
      </c>
      <c r="AZ55" s="285" cm="1">
        <f t="array" aca="1" ref="AZ55" ca="1">INDIRECT("'"&amp;$C55&amp;"'!"&amp;"$"&amp;$D55&amp;$AZ$1&amp;"")</f>
        <v>12.79</v>
      </c>
      <c r="BA55" s="283">
        <v>0.99</v>
      </c>
      <c r="BB55" s="281">
        <v>2.1</v>
      </c>
      <c r="BC55" s="281">
        <v>69.099999999999994</v>
      </c>
      <c r="BD55" s="280" cm="1">
        <f t="array" aca="1" ref="BD55" ca="1">INDIRECT("'"&amp;$C55&amp;"'!"&amp;"$"&amp;$D55&amp;$BC$1&amp;"")</f>
        <v>0</v>
      </c>
      <c r="BE55" s="282" t="s">
        <v>1</v>
      </c>
      <c r="BF55" s="281" t="s">
        <v>1</v>
      </c>
      <c r="BG55" s="285" cm="1">
        <f t="array" aca="1" ref="BG55" ca="1">INDIRECT("'"&amp;$C55&amp;"'!"&amp;"$"&amp;$D55&amp;$BG$1&amp;"")</f>
        <v>1.03</v>
      </c>
      <c r="BH55" s="283"/>
      <c r="BI55" s="283">
        <v>0.99</v>
      </c>
      <c r="BJ55" s="281">
        <v>0.17</v>
      </c>
      <c r="BK55" s="285" cm="1">
        <f t="array" aca="1" ref="BK55" ca="1">INDIRECT("'"&amp;$C55&amp;"'!"&amp;"$"&amp;$D55&amp;$BK$1&amp;"")</f>
        <v>0.79</v>
      </c>
      <c r="BL55" s="283"/>
      <c r="BM55" s="283">
        <v>0.96</v>
      </c>
      <c r="BN55" s="281">
        <v>0.22</v>
      </c>
      <c r="BO55" s="373" cm="1">
        <f t="array" aca="1" ref="BO55" ca="1">INDIRECT("'"&amp;$C55&amp;"'!"&amp;"$"&amp;$D55&amp;74&amp;"")</f>
        <v>0</v>
      </c>
      <c r="BP55" s="283"/>
      <c r="BQ55" s="283" t="s">
        <v>1</v>
      </c>
      <c r="BR55" s="281" t="s">
        <v>1</v>
      </c>
    </row>
    <row r="56" spans="1:70">
      <c r="A56" s="361">
        <v>45750</v>
      </c>
      <c r="B56" s="358">
        <v>4.1666666666666699E-2</v>
      </c>
      <c r="C56" s="313">
        <f t="shared" ref="C56:C78" si="1">C31+1</f>
        <v>3</v>
      </c>
      <c r="D56" s="314" t="s">
        <v>128</v>
      </c>
      <c r="E56" s="286">
        <v>14.1</v>
      </c>
      <c r="F56" s="287">
        <v>70.5</v>
      </c>
      <c r="G56" s="288" t="str" cm="1">
        <f t="array" aca="1" ref="G56" ca="1">INDIRECT("'"&amp;$C56&amp;"'!"&amp;"$"&amp;$D56&amp;$E$1&amp;"")</f>
        <v>CMS</v>
      </c>
      <c r="H56" s="289" t="s">
        <v>1</v>
      </c>
      <c r="I56" s="287" t="s">
        <v>1</v>
      </c>
      <c r="J56" s="288" cm="1">
        <f t="array" aca="1" ref="J56" ca="1">INDIRECT("'"&amp;$C56&amp;"'!"&amp;"$"&amp;$D56&amp;$J$1&amp;"")</f>
        <v>6.5</v>
      </c>
      <c r="K56" s="289"/>
      <c r="L56" s="289">
        <v>0.99</v>
      </c>
      <c r="M56" s="287">
        <v>1</v>
      </c>
      <c r="N56" s="288" cm="1">
        <f t="array" aca="1" ref="N56" ca="1">INDIRECT("'"&amp;$C56&amp;"'!"&amp;"$"&amp;$D56&amp;$N$1&amp;"")</f>
        <v>6.5</v>
      </c>
      <c r="O56" s="289"/>
      <c r="P56" s="289">
        <v>0.99</v>
      </c>
      <c r="Q56" s="287">
        <v>1</v>
      </c>
      <c r="R56" s="288" cm="1">
        <f t="array" aca="1" ref="R56" ca="1">INDIRECT("'"&amp;$C56&amp;"'!"&amp;"$"&amp;$D56&amp;$R$1&amp;"")</f>
        <v>6.5</v>
      </c>
      <c r="S56" s="289"/>
      <c r="T56" s="289">
        <v>0.99</v>
      </c>
      <c r="U56" s="287">
        <v>1</v>
      </c>
      <c r="V56" s="288" cm="1">
        <f t="array" aca="1" ref="V56" ca="1">INDIRECT("'"&amp;$C56&amp;"'!"&amp;"$"&amp;$D56&amp;$V$1&amp;"")</f>
        <v>0</v>
      </c>
      <c r="W56" s="289" t="s">
        <v>1</v>
      </c>
      <c r="X56" s="289" t="s">
        <v>1</v>
      </c>
      <c r="Y56" s="290" t="s">
        <v>1</v>
      </c>
      <c r="Z56" s="286" cm="1">
        <f t="array" aca="1" ref="Z56" ca="1">INDIRECT("'"&amp;$C56&amp;"'!"&amp;"$"&amp;$D56&amp;$Z$1&amp;"")</f>
        <v>0</v>
      </c>
      <c r="AA56" s="289" t="s">
        <v>1</v>
      </c>
      <c r="AB56" s="289" t="s">
        <v>1</v>
      </c>
      <c r="AC56" s="287" t="s">
        <v>1</v>
      </c>
      <c r="AD56" s="288" cm="1">
        <f t="array" aca="1" ref="AD56" ca="1">INDIRECT("'"&amp;$C56&amp;"'!"&amp;"$"&amp;$D56&amp;$AD$1&amp;"")</f>
        <v>3</v>
      </c>
      <c r="AE56" s="289">
        <f>3.8*3.62</f>
        <v>13.756</v>
      </c>
      <c r="AF56" s="289">
        <v>0.99</v>
      </c>
      <c r="AG56" s="290">
        <v>0.31</v>
      </c>
      <c r="AH56" s="286" cm="1">
        <f t="array" aca="1" ref="AH56" ca="1">INDIRECT("'"&amp;$C56&amp;"'!"&amp;"$"&amp;$D56&amp;$AH$1&amp;"")</f>
        <v>0</v>
      </c>
      <c r="AI56" s="289" t="s">
        <v>1</v>
      </c>
      <c r="AJ56" s="289" t="s">
        <v>1</v>
      </c>
      <c r="AK56" s="287" t="s">
        <v>1</v>
      </c>
      <c r="AL56" s="286">
        <v>11.8</v>
      </c>
      <c r="AM56" s="290">
        <v>70.5</v>
      </c>
      <c r="AN56" s="286" cm="1">
        <f t="array" aca="1" ref="AN56" ca="1">INDIRECT("'"&amp;$C56&amp;"'!"&amp;"$"&amp;$D56&amp;$AL$1&amp;"")</f>
        <v>3</v>
      </c>
      <c r="AO56" s="289">
        <v>0.99</v>
      </c>
      <c r="AP56" s="287">
        <v>0.45</v>
      </c>
      <c r="AQ56" s="288" t="str" cm="1">
        <f t="array" aca="1" ref="AQ56" ca="1">INDIRECT("'"&amp;$C56&amp;"'!"&amp;"$"&amp;$D56&amp;$AQ$1&amp;"")</f>
        <v>CMS</v>
      </c>
      <c r="AR56" s="289" t="s">
        <v>1</v>
      </c>
      <c r="AS56" s="287" t="s">
        <v>1</v>
      </c>
      <c r="AT56" s="289" cm="1">
        <f t="array" aca="1" ref="AT56" ca="1">INDIRECT("'"&amp;$C56&amp;"'!"&amp;"$"&amp;$D56&amp;$AT$1&amp;"")</f>
        <v>0</v>
      </c>
      <c r="AU56" s="288" t="s">
        <v>1</v>
      </c>
      <c r="AV56" s="289" t="s">
        <v>1</v>
      </c>
      <c r="AW56" s="287" t="s">
        <v>1</v>
      </c>
      <c r="AX56" s="291">
        <v>14.13</v>
      </c>
      <c r="AY56" s="290">
        <v>71.59</v>
      </c>
      <c r="AZ56" s="291" cm="1">
        <f t="array" aca="1" ref="AZ56" ca="1">INDIRECT("'"&amp;$C56&amp;"'!"&amp;"$"&amp;$D56&amp;$AZ$1&amp;"")</f>
        <v>12.76</v>
      </c>
      <c r="BA56" s="289">
        <v>0.99</v>
      </c>
      <c r="BB56" s="287">
        <v>2.2000000000000002</v>
      </c>
      <c r="BC56" s="292">
        <v>69.5</v>
      </c>
      <c r="BD56" s="286" cm="1">
        <f t="array" aca="1" ref="BD56" ca="1">INDIRECT("'"&amp;$C56&amp;"'!"&amp;"$"&amp;$D56&amp;$BC$1&amp;"")</f>
        <v>0</v>
      </c>
      <c r="BE56" s="288" t="s">
        <v>1</v>
      </c>
      <c r="BF56" s="287" t="s">
        <v>1</v>
      </c>
      <c r="BG56" s="291" cm="1">
        <f t="array" aca="1" ref="BG56" ca="1">INDIRECT("'"&amp;$C56&amp;"'!"&amp;"$"&amp;$D56&amp;$BG$1&amp;"")</f>
        <v>0.96</v>
      </c>
      <c r="BH56" s="289"/>
      <c r="BI56" s="289">
        <v>0.99</v>
      </c>
      <c r="BJ56" s="287">
        <v>0.16</v>
      </c>
      <c r="BK56" s="291" cm="1">
        <f t="array" aca="1" ref="BK56" ca="1">INDIRECT("'"&amp;$C56&amp;"'!"&amp;"$"&amp;$D56&amp;$BK$1&amp;"")</f>
        <v>0.75</v>
      </c>
      <c r="BL56" s="289"/>
      <c r="BM56" s="289">
        <v>0.96</v>
      </c>
      <c r="BN56" s="287">
        <v>0.21</v>
      </c>
      <c r="BO56" s="292" cm="1">
        <f t="array" aca="1" ref="BO56" ca="1">INDIRECT("'"&amp;$C56&amp;"'!"&amp;"$"&amp;$D56&amp;74&amp;"")</f>
        <v>0</v>
      </c>
      <c r="BP56" s="289"/>
      <c r="BQ56" s="289" t="s">
        <v>1</v>
      </c>
      <c r="BR56" s="287" t="s">
        <v>1</v>
      </c>
    </row>
    <row r="57" spans="1:70">
      <c r="A57" s="361">
        <v>45750</v>
      </c>
      <c r="B57" s="358">
        <v>8.3333333333333301E-2</v>
      </c>
      <c r="C57" s="313">
        <f t="shared" si="1"/>
        <v>3</v>
      </c>
      <c r="D57" s="314" t="s">
        <v>129</v>
      </c>
      <c r="E57" s="293">
        <v>14</v>
      </c>
      <c r="F57" s="294">
        <v>70.099999999999994</v>
      </c>
      <c r="G57" s="295" t="str" cm="1">
        <f t="array" aca="1" ref="G57" ca="1">INDIRECT("'"&amp;$C57&amp;"'!"&amp;"$"&amp;$D57&amp;$E$1&amp;"")</f>
        <v>CMS</v>
      </c>
      <c r="H57" s="296" t="s">
        <v>1</v>
      </c>
      <c r="I57" s="294" t="s">
        <v>1</v>
      </c>
      <c r="J57" s="295" cm="1">
        <f t="array" aca="1" ref="J57" ca="1">INDIRECT("'"&amp;$C57&amp;"'!"&amp;"$"&amp;$D57&amp;$J$1&amp;"")</f>
        <v>6.5</v>
      </c>
      <c r="K57" s="296"/>
      <c r="L57" s="296">
        <v>0.99</v>
      </c>
      <c r="M57" s="294">
        <v>1</v>
      </c>
      <c r="N57" s="295" cm="1">
        <f t="array" aca="1" ref="N57" ca="1">INDIRECT("'"&amp;$C57&amp;"'!"&amp;"$"&amp;$D57&amp;$N$1&amp;"")</f>
        <v>6.5</v>
      </c>
      <c r="O57" s="296"/>
      <c r="P57" s="296">
        <v>0.99</v>
      </c>
      <c r="Q57" s="294">
        <v>1</v>
      </c>
      <c r="R57" s="295" cm="1">
        <f t="array" aca="1" ref="R57" ca="1">INDIRECT("'"&amp;$C57&amp;"'!"&amp;"$"&amp;$D57&amp;$R$1&amp;"")</f>
        <v>6.5</v>
      </c>
      <c r="S57" s="296"/>
      <c r="T57" s="296">
        <v>0.99</v>
      </c>
      <c r="U57" s="294">
        <v>1</v>
      </c>
      <c r="V57" s="295" cm="1">
        <f t="array" aca="1" ref="V57" ca="1">INDIRECT("'"&amp;$C57&amp;"'!"&amp;"$"&amp;$D57&amp;$V$1&amp;"")</f>
        <v>0</v>
      </c>
      <c r="W57" s="296" t="s">
        <v>1</v>
      </c>
      <c r="X57" s="296" t="s">
        <v>1</v>
      </c>
      <c r="Y57" s="297" t="s">
        <v>1</v>
      </c>
      <c r="Z57" s="293">
        <v>0</v>
      </c>
      <c r="AA57" s="296" t="s">
        <v>1</v>
      </c>
      <c r="AB57" s="296" t="s">
        <v>1</v>
      </c>
      <c r="AC57" s="294" t="s">
        <v>1</v>
      </c>
      <c r="AD57" s="295" cm="1">
        <f t="array" aca="1" ref="AD57" ca="1">INDIRECT("'"&amp;$C57&amp;"'!"&amp;"$"&amp;$D57&amp;$AD$1&amp;"")</f>
        <v>0</v>
      </c>
      <c r="AE57" s="296" t="s">
        <v>1</v>
      </c>
      <c r="AF57" s="296" t="s">
        <v>1</v>
      </c>
      <c r="AG57" s="297" t="s">
        <v>1</v>
      </c>
      <c r="AH57" s="293" cm="1">
        <f t="array" aca="1" ref="AH57" ca="1">INDIRECT("'"&amp;$C57&amp;"'!"&amp;"$"&amp;$D57&amp;$AH$1&amp;"")</f>
        <v>0</v>
      </c>
      <c r="AI57" s="296" t="s">
        <v>1</v>
      </c>
      <c r="AJ57" s="296" t="s">
        <v>1</v>
      </c>
      <c r="AK57" s="297" t="s">
        <v>1</v>
      </c>
      <c r="AL57" s="293">
        <v>11.8</v>
      </c>
      <c r="AM57" s="297">
        <v>70.5</v>
      </c>
      <c r="AN57" s="293" cm="1">
        <f t="array" aca="1" ref="AN57" ca="1">INDIRECT("'"&amp;$C57&amp;"'!"&amp;"$"&amp;$D57&amp;$AL$1&amp;"")</f>
        <v>3</v>
      </c>
      <c r="AO57" s="296">
        <v>0.99</v>
      </c>
      <c r="AP57" s="294">
        <v>0.62</v>
      </c>
      <c r="AQ57" s="295" t="str" cm="1">
        <f t="array" aca="1" ref="AQ57" ca="1">INDIRECT("'"&amp;$C57&amp;"'!"&amp;"$"&amp;$D57&amp;$AQ$1&amp;"")</f>
        <v>CMS</v>
      </c>
      <c r="AR57" s="296" t="s">
        <v>1</v>
      </c>
      <c r="AS57" s="294" t="s">
        <v>1</v>
      </c>
      <c r="AT57" s="296" cm="1">
        <f t="array" aca="1" ref="AT57" ca="1">INDIRECT("'"&amp;$C57&amp;"'!"&amp;"$"&amp;$D57&amp;$AT$1&amp;"")</f>
        <v>0</v>
      </c>
      <c r="AU57" s="295" t="s">
        <v>1</v>
      </c>
      <c r="AV57" s="296" t="s">
        <v>1</v>
      </c>
      <c r="AW57" s="294" t="s">
        <v>1</v>
      </c>
      <c r="AX57" s="298">
        <v>14.12</v>
      </c>
      <c r="AY57" s="297">
        <v>71.56</v>
      </c>
      <c r="AZ57" s="298" cm="1">
        <f t="array" aca="1" ref="AZ57" ca="1">INDIRECT("'"&amp;$C57&amp;"'!"&amp;"$"&amp;$D57&amp;$AZ$1&amp;"")</f>
        <v>14.3</v>
      </c>
      <c r="BA57" s="296">
        <v>0.99</v>
      </c>
      <c r="BB57" s="294">
        <v>2.4</v>
      </c>
      <c r="BC57" s="299">
        <v>69.400000000000006</v>
      </c>
      <c r="BD57" s="293" cm="1">
        <f t="array" aca="1" ref="BD57" ca="1">INDIRECT("'"&amp;$C57&amp;"'!"&amp;"$"&amp;$D57&amp;$BC$1&amp;"")</f>
        <v>0</v>
      </c>
      <c r="BE57" s="295" t="s">
        <v>1</v>
      </c>
      <c r="BF57" s="294" t="s">
        <v>1</v>
      </c>
      <c r="BG57" s="298" cm="1">
        <f t="array" aca="1" ref="BG57" ca="1">INDIRECT("'"&amp;$C57&amp;"'!"&amp;"$"&amp;$D57&amp;$BG$1&amp;"")</f>
        <v>0.93</v>
      </c>
      <c r="BH57" s="296"/>
      <c r="BI57" s="296">
        <v>0.99</v>
      </c>
      <c r="BJ57" s="294">
        <v>0.15</v>
      </c>
      <c r="BK57" s="298" cm="1">
        <f t="array" aca="1" ref="BK57" ca="1">INDIRECT("'"&amp;$C57&amp;"'!"&amp;"$"&amp;$D57&amp;$BK$1&amp;"")</f>
        <v>0.73</v>
      </c>
      <c r="BL57" s="296"/>
      <c r="BM57" s="296">
        <v>0.96</v>
      </c>
      <c r="BN57" s="294">
        <v>0.12</v>
      </c>
      <c r="BO57" s="299" cm="1">
        <f t="array" aca="1" ref="BO57" ca="1">INDIRECT("'"&amp;$C57&amp;"'!"&amp;"$"&amp;$D57&amp;74&amp;"")</f>
        <v>0</v>
      </c>
      <c r="BP57" s="296"/>
      <c r="BQ57" s="296" t="s">
        <v>1</v>
      </c>
      <c r="BR57" s="294" t="s">
        <v>1</v>
      </c>
    </row>
    <row r="58" spans="1:70">
      <c r="A58" s="361">
        <v>45750</v>
      </c>
      <c r="B58" s="358">
        <v>0.125</v>
      </c>
      <c r="C58" s="313">
        <f t="shared" si="1"/>
        <v>3</v>
      </c>
      <c r="D58" s="314" t="s">
        <v>130</v>
      </c>
      <c r="E58" s="286">
        <v>14.1</v>
      </c>
      <c r="F58" s="287">
        <v>70.05</v>
      </c>
      <c r="G58" s="288" t="str" cm="1">
        <f t="array" aca="1" ref="G58" ca="1">INDIRECT("'"&amp;$C58&amp;"'!"&amp;"$"&amp;$D58&amp;$E$1&amp;"")</f>
        <v>CMS</v>
      </c>
      <c r="H58" s="289" t="s">
        <v>1</v>
      </c>
      <c r="I58" s="287" t="s">
        <v>1</v>
      </c>
      <c r="J58" s="288" cm="1">
        <f t="array" aca="1" ref="J58" ca="1">INDIRECT("'"&amp;$C58&amp;"'!"&amp;"$"&amp;$D58&amp;$J$1&amp;"")</f>
        <v>6.6</v>
      </c>
      <c r="K58" s="289"/>
      <c r="L58" s="289">
        <v>0.99</v>
      </c>
      <c r="M58" s="287">
        <v>1.02</v>
      </c>
      <c r="N58" s="288" cm="1">
        <f t="array" aca="1" ref="N58" ca="1">INDIRECT("'"&amp;$C58&amp;"'!"&amp;"$"&amp;$D58&amp;$N$1&amp;"")</f>
        <v>6.6</v>
      </c>
      <c r="O58" s="289"/>
      <c r="P58" s="289">
        <v>0.99</v>
      </c>
      <c r="Q58" s="287">
        <v>1.02</v>
      </c>
      <c r="R58" s="288" cm="1">
        <f t="array" aca="1" ref="R58" ca="1">INDIRECT("'"&amp;$C58&amp;"'!"&amp;"$"&amp;$D58&amp;$R$1&amp;"")</f>
        <v>6.6</v>
      </c>
      <c r="S58" s="289"/>
      <c r="T58" s="289">
        <v>0.99</v>
      </c>
      <c r="U58" s="287">
        <v>1.02</v>
      </c>
      <c r="V58" s="288" cm="1">
        <f t="array" aca="1" ref="V58" ca="1">INDIRECT("'"&amp;$C58&amp;"'!"&amp;"$"&amp;$D58&amp;$V$1&amp;"")</f>
        <v>0</v>
      </c>
      <c r="W58" s="289" t="s">
        <v>1</v>
      </c>
      <c r="X58" s="289" t="s">
        <v>1</v>
      </c>
      <c r="Y58" s="290" t="s">
        <v>1</v>
      </c>
      <c r="Z58" s="286" cm="1">
        <f t="array" aca="1" ref="Z58" ca="1">INDIRECT("'"&amp;$C58&amp;"'!"&amp;"$"&amp;$D58&amp;$Z$1&amp;"")</f>
        <v>0</v>
      </c>
      <c r="AA58" s="289" t="s">
        <v>1</v>
      </c>
      <c r="AB58" s="289" t="s">
        <v>1</v>
      </c>
      <c r="AC58" s="287" t="s">
        <v>1</v>
      </c>
      <c r="AD58" s="288" cm="1">
        <f t="array" aca="1" ref="AD58" ca="1">INDIRECT("'"&amp;$C58&amp;"'!"&amp;"$"&amp;$D58&amp;$AD$1&amp;"")</f>
        <v>0</v>
      </c>
      <c r="AE58" s="289" t="s">
        <v>1</v>
      </c>
      <c r="AF58" s="289" t="s">
        <v>1</v>
      </c>
      <c r="AG58" s="290" t="s">
        <v>1</v>
      </c>
      <c r="AH58" s="286" cm="1">
        <f t="array" aca="1" ref="AH58" ca="1">INDIRECT("'"&amp;$C58&amp;"'!"&amp;"$"&amp;$D58&amp;$AH$1&amp;"")</f>
        <v>0</v>
      </c>
      <c r="AI58" s="289" t="s">
        <v>1</v>
      </c>
      <c r="AJ58" s="289" t="s">
        <v>1</v>
      </c>
      <c r="AK58" s="287" t="s">
        <v>1</v>
      </c>
      <c r="AL58" s="286">
        <v>11.8</v>
      </c>
      <c r="AM58" s="290">
        <v>70.5</v>
      </c>
      <c r="AN58" s="286" cm="1">
        <f t="array" aca="1" ref="AN58" ca="1">INDIRECT("'"&amp;$C58&amp;"'!"&amp;"$"&amp;$D58&amp;$AL$1&amp;"")</f>
        <v>3</v>
      </c>
      <c r="AO58" s="289">
        <v>0.99</v>
      </c>
      <c r="AP58" s="287">
        <v>0.62</v>
      </c>
      <c r="AQ58" s="288" t="str" cm="1">
        <f t="array" aca="1" ref="AQ58" ca="1">INDIRECT("'"&amp;$C58&amp;"'!"&amp;"$"&amp;$D58&amp;$AQ$1&amp;"")</f>
        <v>CMS</v>
      </c>
      <c r="AR58" s="289" t="s">
        <v>1</v>
      </c>
      <c r="AS58" s="287" t="s">
        <v>1</v>
      </c>
      <c r="AT58" s="289" cm="1">
        <f t="array" aca="1" ref="AT58" ca="1">INDIRECT("'"&amp;$C58&amp;"'!"&amp;"$"&amp;$D58&amp;$AT$1&amp;"")</f>
        <v>0</v>
      </c>
      <c r="AU58" s="288" t="s">
        <v>1</v>
      </c>
      <c r="AV58" s="289" t="s">
        <v>1</v>
      </c>
      <c r="AW58" s="287" t="s">
        <v>1</v>
      </c>
      <c r="AX58" s="291">
        <v>14.12</v>
      </c>
      <c r="AY58" s="290">
        <v>71.53</v>
      </c>
      <c r="AZ58" s="291" cm="1">
        <f t="array" aca="1" ref="AZ58" ca="1">INDIRECT("'"&amp;$C58&amp;"'!"&amp;"$"&amp;$D58&amp;$AZ$1&amp;"")</f>
        <v>12.81</v>
      </c>
      <c r="BA58" s="289">
        <v>0.99</v>
      </c>
      <c r="BB58" s="287">
        <v>2.2000000000000002</v>
      </c>
      <c r="BC58" s="292">
        <v>69.099999999999994</v>
      </c>
      <c r="BD58" s="286" cm="1">
        <f t="array" aca="1" ref="BD58" ca="1">INDIRECT("'"&amp;$C58&amp;"'!"&amp;"$"&amp;$D58&amp;$BC$1&amp;"")</f>
        <v>0</v>
      </c>
      <c r="BE58" s="288" t="s">
        <v>1</v>
      </c>
      <c r="BF58" s="287" t="s">
        <v>1</v>
      </c>
      <c r="BG58" s="291" cm="1">
        <f t="array" aca="1" ref="BG58" ca="1">INDIRECT("'"&amp;$C58&amp;"'!"&amp;"$"&amp;$D58&amp;$BG$1&amp;"")</f>
        <v>0.88</v>
      </c>
      <c r="BH58" s="289"/>
      <c r="BI58" s="289">
        <v>0.99</v>
      </c>
      <c r="BJ58" s="287">
        <v>0.14000000000000001</v>
      </c>
      <c r="BK58" s="291" cm="1">
        <f t="array" aca="1" ref="BK58" ca="1">INDIRECT("'"&amp;$C58&amp;"'!"&amp;"$"&amp;$D58&amp;$BK$1&amp;"")</f>
        <v>0.7</v>
      </c>
      <c r="BL58" s="289"/>
      <c r="BM58" s="289">
        <v>0.96</v>
      </c>
      <c r="BN58" s="287">
        <v>0.2</v>
      </c>
      <c r="BO58" s="292" cm="1">
        <f t="array" aca="1" ref="BO58" ca="1">INDIRECT("'"&amp;$C58&amp;"'!"&amp;"$"&amp;$D58&amp;74&amp;"")</f>
        <v>0</v>
      </c>
      <c r="BP58" s="289"/>
      <c r="BQ58" s="289" t="s">
        <v>1</v>
      </c>
      <c r="BR58" s="287" t="s">
        <v>1</v>
      </c>
    </row>
    <row r="59" spans="1:70">
      <c r="A59" s="361">
        <v>45750</v>
      </c>
      <c r="B59" s="358">
        <v>0.16666666666666699</v>
      </c>
      <c r="C59" s="313">
        <f t="shared" si="1"/>
        <v>3</v>
      </c>
      <c r="D59" s="314" t="s">
        <v>131</v>
      </c>
      <c r="E59" s="293">
        <v>14</v>
      </c>
      <c r="F59" s="294">
        <v>69.8</v>
      </c>
      <c r="G59" s="295" cm="1">
        <f t="array" aca="1" ref="G59" ca="1">INDIRECT("'"&amp;$C59&amp;"'!"&amp;"$"&amp;$D59&amp;$E$1&amp;"")</f>
        <v>6</v>
      </c>
      <c r="H59" s="296">
        <v>0.97</v>
      </c>
      <c r="I59" s="294">
        <v>1.4</v>
      </c>
      <c r="J59" s="295" cm="1">
        <f t="array" aca="1" ref="J59" ca="1">INDIRECT("'"&amp;$C59&amp;"'!"&amp;"$"&amp;$D59&amp;$J$1&amp;"")</f>
        <v>4.4000000000000004</v>
      </c>
      <c r="K59" s="296"/>
      <c r="L59" s="296">
        <v>0.99</v>
      </c>
      <c r="M59" s="294">
        <v>0.68</v>
      </c>
      <c r="N59" s="295" cm="1">
        <f t="array" aca="1" ref="N59" ca="1">INDIRECT("'"&amp;$C59&amp;"'!"&amp;"$"&amp;$D59&amp;$N$1&amp;"")</f>
        <v>4.4000000000000004</v>
      </c>
      <c r="O59" s="296"/>
      <c r="P59" s="296">
        <v>0.99</v>
      </c>
      <c r="Q59" s="294">
        <v>0.68</v>
      </c>
      <c r="R59" s="295" cm="1">
        <f t="array" aca="1" ref="R59" ca="1">INDIRECT("'"&amp;$C59&amp;"'!"&amp;"$"&amp;$D59&amp;$R$1&amp;"")</f>
        <v>4.4000000000000004</v>
      </c>
      <c r="S59" s="296"/>
      <c r="T59" s="296">
        <v>0.99</v>
      </c>
      <c r="U59" s="294">
        <v>0.68</v>
      </c>
      <c r="V59" s="295" cm="1">
        <f t="array" aca="1" ref="V59" ca="1">INDIRECT("'"&amp;$C59&amp;"'!"&amp;"$"&amp;$D59&amp;$V$1&amp;"")</f>
        <v>0</v>
      </c>
      <c r="W59" s="296" t="s">
        <v>1</v>
      </c>
      <c r="X59" s="296" t="s">
        <v>1</v>
      </c>
      <c r="Y59" s="297" t="s">
        <v>1</v>
      </c>
      <c r="Z59" s="293" cm="1">
        <f t="array" aca="1" ref="Z59" ca="1">INDIRECT("'"&amp;$C59&amp;"'!"&amp;"$"&amp;$D59&amp;$Z$1&amp;"")</f>
        <v>0</v>
      </c>
      <c r="AA59" s="296" t="s">
        <v>1</v>
      </c>
      <c r="AB59" s="296" t="s">
        <v>1</v>
      </c>
      <c r="AC59" s="294" t="s">
        <v>1</v>
      </c>
      <c r="AD59" s="295" cm="1">
        <f t="array" aca="1" ref="AD59" ca="1">INDIRECT("'"&amp;$C59&amp;"'!"&amp;"$"&amp;$D59&amp;$AD$1&amp;"")</f>
        <v>0</v>
      </c>
      <c r="AE59" s="296" t="s">
        <v>1</v>
      </c>
      <c r="AF59" s="296" t="s">
        <v>1</v>
      </c>
      <c r="AG59" s="297" t="s">
        <v>1</v>
      </c>
      <c r="AH59" s="293" cm="1">
        <f t="array" aca="1" ref="AH59" ca="1">INDIRECT("'"&amp;$C59&amp;"'!"&amp;"$"&amp;$D59&amp;$AH$1&amp;"")</f>
        <v>0</v>
      </c>
      <c r="AI59" s="296" t="s">
        <v>1</v>
      </c>
      <c r="AJ59" s="296" t="s">
        <v>1</v>
      </c>
      <c r="AK59" s="294" t="s">
        <v>1</v>
      </c>
      <c r="AL59" s="293">
        <v>11.8</v>
      </c>
      <c r="AM59" s="297">
        <v>70.5</v>
      </c>
      <c r="AN59" s="293" cm="1">
        <f t="array" aca="1" ref="AN59" ca="1">INDIRECT("'"&amp;$C59&amp;"'!"&amp;"$"&amp;$D59&amp;$AL$1&amp;"")</f>
        <v>3</v>
      </c>
      <c r="AO59" s="296">
        <v>0.98</v>
      </c>
      <c r="AP59" s="294">
        <v>0.77</v>
      </c>
      <c r="AQ59" s="295" t="str" cm="1">
        <f t="array" aca="1" ref="AQ59" ca="1">INDIRECT("'"&amp;$C59&amp;"'!"&amp;"$"&amp;$D59&amp;$AQ$1&amp;"")</f>
        <v>CMS</v>
      </c>
      <c r="AR59" s="296" t="s">
        <v>1</v>
      </c>
      <c r="AS59" s="294" t="s">
        <v>1</v>
      </c>
      <c r="AT59" s="296" cm="1">
        <f t="array" aca="1" ref="AT59" ca="1">INDIRECT("'"&amp;$C59&amp;"'!"&amp;"$"&amp;$D59&amp;$AT$1&amp;"")</f>
        <v>0</v>
      </c>
      <c r="AU59" s="295" t="s">
        <v>1</v>
      </c>
      <c r="AV59" s="296" t="s">
        <v>1</v>
      </c>
      <c r="AW59" s="294" t="s">
        <v>1</v>
      </c>
      <c r="AX59" s="298">
        <v>14.07</v>
      </c>
      <c r="AY59" s="297">
        <v>71.41</v>
      </c>
      <c r="AZ59" s="298" cm="1">
        <f t="array" aca="1" ref="AZ59" ca="1">INDIRECT("'"&amp;$C59&amp;"'!"&amp;"$"&amp;$D59&amp;$AZ$1&amp;"")</f>
        <v>12.78</v>
      </c>
      <c r="BA59" s="296">
        <v>0.99</v>
      </c>
      <c r="BB59" s="294">
        <v>2.2000000000000002</v>
      </c>
      <c r="BC59" s="299">
        <v>68.900000000000006</v>
      </c>
      <c r="BD59" s="293" cm="1">
        <f t="array" aca="1" ref="BD59" ca="1">INDIRECT("'"&amp;$C59&amp;"'!"&amp;"$"&amp;$D59&amp;$BC$1&amp;"")</f>
        <v>0</v>
      </c>
      <c r="BE59" s="295" t="s">
        <v>1</v>
      </c>
      <c r="BF59" s="294" t="s">
        <v>1</v>
      </c>
      <c r="BG59" s="298" cm="1">
        <f t="array" aca="1" ref="BG59" ca="1">INDIRECT("'"&amp;$C59&amp;"'!"&amp;"$"&amp;$D59&amp;$BG$1&amp;"")</f>
        <v>0.88</v>
      </c>
      <c r="BH59" s="296"/>
      <c r="BI59" s="296">
        <v>0.99</v>
      </c>
      <c r="BJ59" s="294">
        <v>0.14000000000000001</v>
      </c>
      <c r="BK59" s="298" cm="1">
        <f t="array" aca="1" ref="BK59" ca="1">INDIRECT("'"&amp;$C59&amp;"'!"&amp;"$"&amp;$D59&amp;$BK$1&amp;"")</f>
        <v>0.7</v>
      </c>
      <c r="BL59" s="296"/>
      <c r="BM59" s="296">
        <v>0.96</v>
      </c>
      <c r="BN59" s="294">
        <v>0.2</v>
      </c>
      <c r="BO59" s="299" cm="1">
        <f t="array" aca="1" ref="BO59" ca="1">INDIRECT("'"&amp;$C59&amp;"'!"&amp;"$"&amp;$D59&amp;74&amp;"")</f>
        <v>0</v>
      </c>
      <c r="BP59" s="296"/>
      <c r="BQ59" s="296" t="s">
        <v>1</v>
      </c>
      <c r="BR59" s="294" t="s">
        <v>1</v>
      </c>
    </row>
    <row r="60" spans="1:70">
      <c r="A60" s="361">
        <v>45750</v>
      </c>
      <c r="B60" s="358">
        <v>0.20833333333333301</v>
      </c>
      <c r="C60" s="313">
        <f t="shared" si="1"/>
        <v>3</v>
      </c>
      <c r="D60" s="314" t="s">
        <v>132</v>
      </c>
      <c r="E60" s="286">
        <v>14</v>
      </c>
      <c r="F60" s="287">
        <v>70.11</v>
      </c>
      <c r="G60" s="288" cm="1">
        <f t="array" aca="1" ref="G60" ca="1">INDIRECT("'"&amp;$C60&amp;"'!"&amp;"$"&amp;$D60&amp;$E$1&amp;"")</f>
        <v>0</v>
      </c>
      <c r="H60" s="289" t="s">
        <v>1</v>
      </c>
      <c r="I60" s="287" t="s">
        <v>1</v>
      </c>
      <c r="J60" s="288" cm="1">
        <f t="array" aca="1" ref="J60" ca="1">INDIRECT("'"&amp;$C60&amp;"'!"&amp;"$"&amp;$D60&amp;$J$1&amp;"")</f>
        <v>6.6</v>
      </c>
      <c r="K60" s="289"/>
      <c r="L60" s="289">
        <v>0.99</v>
      </c>
      <c r="M60" s="287">
        <v>1</v>
      </c>
      <c r="N60" s="288" cm="1">
        <f t="array" aca="1" ref="N60" ca="1">INDIRECT("'"&amp;$C60&amp;"'!"&amp;"$"&amp;$D60&amp;$N$1&amp;"")</f>
        <v>6.6</v>
      </c>
      <c r="O60" s="289"/>
      <c r="P60" s="289">
        <v>0.99</v>
      </c>
      <c r="Q60" s="287">
        <v>1</v>
      </c>
      <c r="R60" s="288" cm="1">
        <f t="array" aca="1" ref="R60" ca="1">INDIRECT("'"&amp;$C60&amp;"'!"&amp;"$"&amp;$D60&amp;$R$1&amp;"")</f>
        <v>6.6</v>
      </c>
      <c r="S60" s="289"/>
      <c r="T60" s="289">
        <v>0.99</v>
      </c>
      <c r="U60" s="287">
        <v>1</v>
      </c>
      <c r="V60" s="288" cm="1">
        <f t="array" aca="1" ref="V60" ca="1">INDIRECT("'"&amp;$C60&amp;"'!"&amp;"$"&amp;$D60&amp;$V$1&amp;"")</f>
        <v>0</v>
      </c>
      <c r="W60" s="289" t="s">
        <v>1</v>
      </c>
      <c r="X60" s="289" t="s">
        <v>1</v>
      </c>
      <c r="Y60" s="290" t="s">
        <v>1</v>
      </c>
      <c r="Z60" s="286" cm="1">
        <f t="array" aca="1" ref="Z60" ca="1">INDIRECT("'"&amp;$C60&amp;"'!"&amp;"$"&amp;$D60&amp;$Z$1&amp;"")</f>
        <v>0</v>
      </c>
      <c r="AA60" s="289" t="s">
        <v>1</v>
      </c>
      <c r="AB60" s="289" t="s">
        <v>1</v>
      </c>
      <c r="AC60" s="287" t="s">
        <v>1</v>
      </c>
      <c r="AD60" s="288" cm="1">
        <f t="array" aca="1" ref="AD60" ca="1">INDIRECT("'"&amp;$C60&amp;"'!"&amp;"$"&amp;$D60&amp;$AD$1&amp;"")</f>
        <v>0</v>
      </c>
      <c r="AE60" s="289" t="s">
        <v>1</v>
      </c>
      <c r="AF60" s="289" t="s">
        <v>1</v>
      </c>
      <c r="AG60" s="290" t="s">
        <v>1</v>
      </c>
      <c r="AH60" s="286" cm="1">
        <f t="array" aca="1" ref="AH60" ca="1">INDIRECT("'"&amp;$C60&amp;"'!"&amp;"$"&amp;$D60&amp;$AH$1&amp;"")</f>
        <v>0</v>
      </c>
      <c r="AI60" s="289" t="s">
        <v>1</v>
      </c>
      <c r="AJ60" s="289" t="s">
        <v>1</v>
      </c>
      <c r="AK60" s="287" t="s">
        <v>1</v>
      </c>
      <c r="AL60" s="286">
        <v>11.8</v>
      </c>
      <c r="AM60" s="290">
        <v>70.400000000000006</v>
      </c>
      <c r="AN60" s="286" cm="1">
        <f t="array" aca="1" ref="AN60" ca="1">INDIRECT("'"&amp;$C60&amp;"'!"&amp;"$"&amp;$D60&amp;$AL$1&amp;"")</f>
        <v>3</v>
      </c>
      <c r="AO60" s="289">
        <v>0.98</v>
      </c>
      <c r="AP60" s="287">
        <v>0.68</v>
      </c>
      <c r="AQ60" s="288" t="str" cm="1">
        <f t="array" aca="1" ref="AQ60" ca="1">INDIRECT("'"&amp;$C60&amp;"'!"&amp;"$"&amp;$D60&amp;$AQ$1&amp;"")</f>
        <v>CMS</v>
      </c>
      <c r="AR60" s="289" t="s">
        <v>1</v>
      </c>
      <c r="AS60" s="287" t="s">
        <v>1</v>
      </c>
      <c r="AT60" s="289" cm="1">
        <f t="array" aca="1" ref="AT60" ca="1">INDIRECT("'"&amp;$C60&amp;"'!"&amp;"$"&amp;$D60&amp;$AT$1&amp;"")</f>
        <v>0</v>
      </c>
      <c r="AU60" s="288" t="s">
        <v>1</v>
      </c>
      <c r="AV60" s="289" t="s">
        <v>1</v>
      </c>
      <c r="AW60" s="287" t="s">
        <v>1</v>
      </c>
      <c r="AX60" s="291">
        <v>14.13</v>
      </c>
      <c r="AY60" s="290">
        <v>71.59</v>
      </c>
      <c r="AZ60" s="291" cm="1">
        <f t="array" aca="1" ref="AZ60" ca="1">INDIRECT("'"&amp;$C60&amp;"'!"&amp;"$"&amp;$D60&amp;$AZ$1&amp;"")</f>
        <v>13.17</v>
      </c>
      <c r="BA60" s="289">
        <v>0.99</v>
      </c>
      <c r="BB60" s="287">
        <v>2.2000000000000002</v>
      </c>
      <c r="BC60" s="292">
        <v>69.099999999999994</v>
      </c>
      <c r="BD60" s="286" cm="1">
        <f t="array" aca="1" ref="BD60" ca="1">INDIRECT("'"&amp;$C60&amp;"'!"&amp;"$"&amp;$D60&amp;$BC$1&amp;"")</f>
        <v>0</v>
      </c>
      <c r="BE60" s="288" t="s">
        <v>1</v>
      </c>
      <c r="BF60" s="287" t="s">
        <v>1</v>
      </c>
      <c r="BG60" s="291" cm="1">
        <f t="array" aca="1" ref="BG60" ca="1">INDIRECT("'"&amp;$C60&amp;"'!"&amp;"$"&amp;$D60&amp;$BG$1&amp;"")</f>
        <v>0.92</v>
      </c>
      <c r="BH60" s="289"/>
      <c r="BI60" s="289">
        <v>0.99</v>
      </c>
      <c r="BJ60" s="287">
        <v>0.13</v>
      </c>
      <c r="BK60" s="291" cm="1">
        <f t="array" aca="1" ref="BK60" ca="1">INDIRECT("'"&amp;$C60&amp;"'!"&amp;"$"&amp;$D60&amp;$BK$1&amp;"")</f>
        <v>0.73</v>
      </c>
      <c r="BL60" s="289"/>
      <c r="BM60" s="289">
        <v>0.96</v>
      </c>
      <c r="BN60" s="287">
        <v>0.21</v>
      </c>
      <c r="BO60" s="292" cm="1">
        <f t="array" aca="1" ref="BO60" ca="1">INDIRECT("'"&amp;$C60&amp;"'!"&amp;"$"&amp;$D60&amp;74&amp;"")</f>
        <v>0</v>
      </c>
      <c r="BP60" s="289"/>
      <c r="BQ60" s="289" t="s">
        <v>1</v>
      </c>
      <c r="BR60" s="287" t="s">
        <v>1</v>
      </c>
    </row>
    <row r="61" spans="1:70">
      <c r="A61" s="361">
        <v>45750</v>
      </c>
      <c r="B61" s="358">
        <v>0.25</v>
      </c>
      <c r="C61" s="313">
        <f t="shared" si="1"/>
        <v>3</v>
      </c>
      <c r="D61" s="314" t="s">
        <v>133</v>
      </c>
      <c r="E61" s="293">
        <v>14</v>
      </c>
      <c r="F61" s="294">
        <v>69.62</v>
      </c>
      <c r="G61" s="295" cm="1">
        <f t="array" aca="1" ref="G61" ca="1">INDIRECT("'"&amp;$C61&amp;"'!"&amp;"$"&amp;$D61&amp;$E$1&amp;"")</f>
        <v>0</v>
      </c>
      <c r="H61" s="296" t="s">
        <v>1</v>
      </c>
      <c r="I61" s="294" t="s">
        <v>1</v>
      </c>
      <c r="J61" s="295" cm="1">
        <f t="array" aca="1" ref="J61" ca="1">INDIRECT("'"&amp;$C61&amp;"'!"&amp;"$"&amp;$D61&amp;$J$1&amp;"")</f>
        <v>6.5</v>
      </c>
      <c r="K61" s="296"/>
      <c r="L61" s="296">
        <v>0.98</v>
      </c>
      <c r="M61" s="294">
        <v>1.1000000000000001</v>
      </c>
      <c r="N61" s="295" cm="1">
        <f t="array" aca="1" ref="N61" ca="1">INDIRECT("'"&amp;$C61&amp;"'!"&amp;"$"&amp;$D61&amp;$N$1&amp;"")</f>
        <v>6.5</v>
      </c>
      <c r="O61" s="296"/>
      <c r="P61" s="296">
        <v>0.98</v>
      </c>
      <c r="Q61" s="294">
        <v>1.1000000000000001</v>
      </c>
      <c r="R61" s="295" cm="1">
        <f t="array" aca="1" ref="R61" ca="1">INDIRECT("'"&amp;$C61&amp;"'!"&amp;"$"&amp;$D61&amp;$R$1&amp;"")</f>
        <v>6.5</v>
      </c>
      <c r="S61" s="296"/>
      <c r="T61" s="296">
        <v>0.98</v>
      </c>
      <c r="U61" s="294">
        <v>1.1000000000000001</v>
      </c>
      <c r="V61" s="295" cm="1">
        <f t="array" aca="1" ref="V61" ca="1">INDIRECT("'"&amp;$C61&amp;"'!"&amp;"$"&amp;$D61&amp;$V$1&amp;"")</f>
        <v>0</v>
      </c>
      <c r="W61" s="296" t="s">
        <v>1</v>
      </c>
      <c r="X61" s="296" t="s">
        <v>1</v>
      </c>
      <c r="Y61" s="297" t="s">
        <v>1</v>
      </c>
      <c r="Z61" s="293" cm="1">
        <f t="array" aca="1" ref="Z61" ca="1">INDIRECT("'"&amp;$C61&amp;"'!"&amp;"$"&amp;$D61&amp;$Z$1&amp;"")</f>
        <v>0</v>
      </c>
      <c r="AA61" s="296" t="s">
        <v>1</v>
      </c>
      <c r="AB61" s="296" t="s">
        <v>1</v>
      </c>
      <c r="AC61" s="294" t="s">
        <v>1</v>
      </c>
      <c r="AD61" s="295" cm="1">
        <f t="array" aca="1" ref="AD61" ca="1">INDIRECT("'"&amp;$C61&amp;"'!"&amp;"$"&amp;$D61&amp;$AD$1&amp;"")</f>
        <v>0</v>
      </c>
      <c r="AE61" s="296" t="s">
        <v>1</v>
      </c>
      <c r="AF61" s="296" t="s">
        <v>1</v>
      </c>
      <c r="AG61" s="297" t="s">
        <v>1</v>
      </c>
      <c r="AH61" s="293" cm="1">
        <f t="array" aca="1" ref="AH61" ca="1">INDIRECT("'"&amp;$C61&amp;"'!"&amp;"$"&amp;$D61&amp;$AH$1&amp;"")</f>
        <v>2</v>
      </c>
      <c r="AI61" s="296">
        <v>13.92</v>
      </c>
      <c r="AJ61" s="296">
        <v>0.99</v>
      </c>
      <c r="AK61" s="294">
        <v>0.114</v>
      </c>
      <c r="AL61" s="293">
        <v>11.8</v>
      </c>
      <c r="AM61" s="297">
        <v>70.400000000000006</v>
      </c>
      <c r="AN61" s="293" cm="1">
        <f t="array" aca="1" ref="AN61" ca="1">INDIRECT("'"&amp;$C61&amp;"'!"&amp;"$"&amp;$D61&amp;$AL$1&amp;"")</f>
        <v>4.2</v>
      </c>
      <c r="AO61" s="296">
        <v>0.97</v>
      </c>
      <c r="AP61" s="294">
        <v>0.86</v>
      </c>
      <c r="AQ61" s="295" t="str" cm="1">
        <f t="array" aca="1" ref="AQ61" ca="1">INDIRECT("'"&amp;$C61&amp;"'!"&amp;"$"&amp;$D61&amp;$AQ$1&amp;"")</f>
        <v>CMS</v>
      </c>
      <c r="AR61" s="296" t="s">
        <v>1</v>
      </c>
      <c r="AS61" s="294" t="s">
        <v>1</v>
      </c>
      <c r="AT61" s="296" cm="1">
        <f t="array" aca="1" ref="AT61" ca="1">INDIRECT("'"&amp;$C61&amp;"'!"&amp;"$"&amp;$D61&amp;$AT$1&amp;"")</f>
        <v>0</v>
      </c>
      <c r="AU61" s="295" t="s">
        <v>1</v>
      </c>
      <c r="AV61" s="296" t="s">
        <v>1</v>
      </c>
      <c r="AW61" s="294" t="s">
        <v>1</v>
      </c>
      <c r="AX61" s="298">
        <v>14.07</v>
      </c>
      <c r="AY61" s="297">
        <v>71.34</v>
      </c>
      <c r="AZ61" s="298" cm="1">
        <f t="array" aca="1" ref="AZ61" ca="1">INDIRECT("'"&amp;$C61&amp;"'!"&amp;"$"&amp;$D61&amp;$AZ$1&amp;"")</f>
        <v>14.26</v>
      </c>
      <c r="BA61" s="296">
        <v>0.99</v>
      </c>
      <c r="BB61" s="294">
        <v>2.4</v>
      </c>
      <c r="BC61" s="299">
        <v>68.599999999999994</v>
      </c>
      <c r="BD61" s="293" cm="1">
        <f t="array" aca="1" ref="BD61" ca="1">INDIRECT("'"&amp;$C61&amp;"'!"&amp;"$"&amp;$D61&amp;$BC$1&amp;"")</f>
        <v>0</v>
      </c>
      <c r="BE61" s="295" t="s">
        <v>1</v>
      </c>
      <c r="BF61" s="294" t="s">
        <v>1</v>
      </c>
      <c r="BG61" s="298" cm="1">
        <f t="array" aca="1" ref="BG61" ca="1">INDIRECT("'"&amp;$C61&amp;"'!"&amp;"$"&amp;$D61&amp;$BG$1&amp;"")</f>
        <v>1.1000000000000001</v>
      </c>
      <c r="BH61" s="296"/>
      <c r="BI61" s="296">
        <v>0.99</v>
      </c>
      <c r="BJ61" s="294">
        <v>0.14000000000000001</v>
      </c>
      <c r="BK61" s="298" cm="1">
        <f t="array" aca="1" ref="BK61" ca="1">INDIRECT("'"&amp;$C61&amp;"'!"&amp;"$"&amp;$D61&amp;$BK$1&amp;"")</f>
        <v>0.77</v>
      </c>
      <c r="BL61" s="296"/>
      <c r="BM61" s="296">
        <v>0.96</v>
      </c>
      <c r="BN61" s="294">
        <v>0.21</v>
      </c>
      <c r="BO61" s="299" cm="1">
        <f t="array" aca="1" ref="BO61" ca="1">INDIRECT("'"&amp;$C61&amp;"'!"&amp;"$"&amp;$D61&amp;74&amp;"")</f>
        <v>0</v>
      </c>
      <c r="BP61" s="296"/>
      <c r="BQ61" s="296" t="s">
        <v>1</v>
      </c>
      <c r="BR61" s="294" t="s">
        <v>1</v>
      </c>
    </row>
    <row r="62" spans="1:70">
      <c r="A62" s="361">
        <v>45750</v>
      </c>
      <c r="B62" s="358">
        <v>0.29166666666666702</v>
      </c>
      <c r="C62" s="313">
        <f t="shared" si="1"/>
        <v>3</v>
      </c>
      <c r="D62" s="314" t="s">
        <v>134</v>
      </c>
      <c r="E62" s="286">
        <v>14</v>
      </c>
      <c r="F62" s="287">
        <v>69.48</v>
      </c>
      <c r="G62" s="288" cm="1">
        <f t="array" aca="1" ref="G62" ca="1">INDIRECT("'"&amp;$C62&amp;"'!"&amp;"$"&amp;$D62&amp;$E$1&amp;"")</f>
        <v>0</v>
      </c>
      <c r="H62" s="289" t="s">
        <v>1</v>
      </c>
      <c r="I62" s="287" t="s">
        <v>1</v>
      </c>
      <c r="J62" s="288" cm="1">
        <f t="array" aca="1" ref="J62" ca="1">INDIRECT("'"&amp;$C62&amp;"'!"&amp;"$"&amp;$D62&amp;$J$1&amp;"")</f>
        <v>6.4</v>
      </c>
      <c r="K62" s="289"/>
      <c r="L62" s="289">
        <v>0.97</v>
      </c>
      <c r="M62" s="287">
        <v>1.6</v>
      </c>
      <c r="N62" s="288" cm="1">
        <f t="array" aca="1" ref="N62" ca="1">INDIRECT("'"&amp;$C62&amp;"'!"&amp;"$"&amp;$D62&amp;$N$1&amp;"")</f>
        <v>6.4</v>
      </c>
      <c r="O62" s="289"/>
      <c r="P62" s="289">
        <v>0.97</v>
      </c>
      <c r="Q62" s="287">
        <v>1.6</v>
      </c>
      <c r="R62" s="288" cm="1">
        <f t="array" aca="1" ref="R62" ca="1">INDIRECT("'"&amp;$C62&amp;"'!"&amp;"$"&amp;$D62&amp;$R$1&amp;"")</f>
        <v>6.4</v>
      </c>
      <c r="S62" s="289"/>
      <c r="T62" s="289">
        <v>0.97</v>
      </c>
      <c r="U62" s="287">
        <v>1.6</v>
      </c>
      <c r="V62" s="288" cm="1">
        <f t="array" aca="1" ref="V62" ca="1">INDIRECT("'"&amp;$C62&amp;"'!"&amp;"$"&amp;$D62&amp;$V$1&amp;"")</f>
        <v>0</v>
      </c>
      <c r="W62" s="289" t="s">
        <v>1</v>
      </c>
      <c r="X62" s="289" t="s">
        <v>1</v>
      </c>
      <c r="Y62" s="290" t="s">
        <v>1</v>
      </c>
      <c r="Z62" s="286" cm="1">
        <f t="array" aca="1" ref="Z62" ca="1">INDIRECT("'"&amp;$C62&amp;"'!"&amp;"$"&amp;$D62&amp;$Z$1&amp;"")</f>
        <v>0</v>
      </c>
      <c r="AA62" s="289" t="s">
        <v>1</v>
      </c>
      <c r="AB62" s="289" t="s">
        <v>1</v>
      </c>
      <c r="AC62" s="287" t="s">
        <v>1</v>
      </c>
      <c r="AD62" s="288" cm="1">
        <f t="array" aca="1" ref="AD62" ca="1">INDIRECT("'"&amp;$C62&amp;"'!"&amp;"$"&amp;$D62&amp;$AD$1&amp;"")</f>
        <v>0</v>
      </c>
      <c r="AE62" s="289" t="s">
        <v>1</v>
      </c>
      <c r="AF62" s="289" t="s">
        <v>1</v>
      </c>
      <c r="AG62" s="290" t="s">
        <v>1</v>
      </c>
      <c r="AH62" s="286" cm="1">
        <f t="array" aca="1" ref="AH62" ca="1">INDIRECT("'"&amp;$C62&amp;"'!"&amp;"$"&amp;$D62&amp;$AH$1&amp;"")</f>
        <v>3</v>
      </c>
      <c r="AI62" s="289">
        <v>13.92</v>
      </c>
      <c r="AJ62" s="289">
        <v>0.99</v>
      </c>
      <c r="AK62" s="287">
        <v>0.11799999999999999</v>
      </c>
      <c r="AL62" s="286">
        <v>11.8</v>
      </c>
      <c r="AM62" s="290">
        <v>69.900000000000006</v>
      </c>
      <c r="AN62" s="286" cm="1">
        <f t="array" aca="1" ref="AN62" ca="1">INDIRECT("'"&amp;$C62&amp;"'!"&amp;"$"&amp;$D62&amp;$AL$1&amp;"")</f>
        <v>3</v>
      </c>
      <c r="AO62" s="289">
        <v>0.9</v>
      </c>
      <c r="AP62" s="287">
        <v>1.4</v>
      </c>
      <c r="AQ62" s="288" t="str" cm="1">
        <f t="array" aca="1" ref="AQ62" ca="1">INDIRECT("'"&amp;$C62&amp;"'!"&amp;"$"&amp;$D62&amp;$AQ$1&amp;"")</f>
        <v>CMS</v>
      </c>
      <c r="AR62" s="289" t="s">
        <v>1</v>
      </c>
      <c r="AS62" s="287" t="s">
        <v>1</v>
      </c>
      <c r="AT62" s="289" cm="1">
        <f t="array" aca="1" ref="AT62" ca="1">INDIRECT("'"&amp;$C62&amp;"'!"&amp;"$"&amp;$D62&amp;$AT$1&amp;"")</f>
        <v>0</v>
      </c>
      <c r="AU62" s="288" t="s">
        <v>1</v>
      </c>
      <c r="AV62" s="289" t="s">
        <v>1</v>
      </c>
      <c r="AW62" s="287" t="s">
        <v>1</v>
      </c>
      <c r="AX62" s="291">
        <v>14.09</v>
      </c>
      <c r="AY62" s="290">
        <v>71.3</v>
      </c>
      <c r="AZ62" s="291" cm="1">
        <f t="array" aca="1" ref="AZ62" ca="1">INDIRECT("'"&amp;$C62&amp;"'!"&amp;"$"&amp;$D62&amp;$AZ$1&amp;"")</f>
        <v>12.78</v>
      </c>
      <c r="BA62" s="289">
        <v>0.99</v>
      </c>
      <c r="BB62" s="287">
        <v>2.2000000000000002</v>
      </c>
      <c r="BC62" s="292">
        <v>68.3</v>
      </c>
      <c r="BD62" s="286" cm="1">
        <f t="array" aca="1" ref="BD62" ca="1">INDIRECT("'"&amp;$C62&amp;"'!"&amp;"$"&amp;$D62&amp;$BC$1&amp;"")</f>
        <v>0</v>
      </c>
      <c r="BE62" s="288" t="s">
        <v>1</v>
      </c>
      <c r="BF62" s="287" t="s">
        <v>1</v>
      </c>
      <c r="BG62" s="291" cm="1">
        <f t="array" aca="1" ref="BG62" ca="1">INDIRECT("'"&amp;$C62&amp;"'!"&amp;"$"&amp;$D62&amp;$BG$1&amp;"")</f>
        <v>1.1000000000000001</v>
      </c>
      <c r="BH62" s="289"/>
      <c r="BI62" s="289">
        <v>0.99</v>
      </c>
      <c r="BJ62" s="287">
        <v>0.16</v>
      </c>
      <c r="BK62" s="292" cm="1">
        <f t="array" aca="1" ref="BK62" ca="1">INDIRECT("'"&amp;$C62&amp;"'!"&amp;"$"&amp;$D62&amp;$BK$1&amp;"")</f>
        <v>0.73</v>
      </c>
      <c r="BL62" s="289"/>
      <c r="BM62" s="289">
        <v>0.95</v>
      </c>
      <c r="BN62" s="287">
        <v>0.22</v>
      </c>
      <c r="BO62" s="292" cm="1">
        <f t="array" aca="1" ref="BO62" ca="1">INDIRECT("'"&amp;$C62&amp;"'!"&amp;"$"&amp;$D62&amp;74&amp;"")</f>
        <v>0</v>
      </c>
      <c r="BP62" s="289"/>
      <c r="BQ62" s="289" t="s">
        <v>1</v>
      </c>
      <c r="BR62" s="287" t="s">
        <v>1</v>
      </c>
    </row>
    <row r="63" spans="1:70">
      <c r="A63" s="361">
        <v>45750</v>
      </c>
      <c r="B63" s="358">
        <v>0.33333333333333398</v>
      </c>
      <c r="C63" s="313">
        <f t="shared" si="1"/>
        <v>3</v>
      </c>
      <c r="D63" s="314" t="s">
        <v>135</v>
      </c>
      <c r="E63" s="293">
        <v>14.1</v>
      </c>
      <c r="F63" s="294">
        <v>69.88</v>
      </c>
      <c r="G63" s="295" cm="1">
        <f t="array" aca="1" ref="G63" ca="1">INDIRECT("'"&amp;$C63&amp;"'!"&amp;"$"&amp;$D63&amp;$E$1&amp;"")</f>
        <v>0</v>
      </c>
      <c r="H63" s="296" t="s">
        <v>1</v>
      </c>
      <c r="I63" s="294" t="s">
        <v>1</v>
      </c>
      <c r="J63" s="295" cm="1">
        <f t="array" aca="1" ref="J63" ca="1">INDIRECT("'"&amp;$C63&amp;"'!"&amp;"$"&amp;$D63&amp;$J$1&amp;"")</f>
        <v>6.9</v>
      </c>
      <c r="K63" s="296"/>
      <c r="L63" s="296">
        <v>0.95</v>
      </c>
      <c r="M63" s="294">
        <v>2.2000000000000002</v>
      </c>
      <c r="N63" s="295" cm="1">
        <f t="array" aca="1" ref="N63" ca="1">INDIRECT("'"&amp;$C63&amp;"'!"&amp;"$"&amp;$D63&amp;$N$1&amp;"")</f>
        <v>6.9</v>
      </c>
      <c r="O63" s="296"/>
      <c r="P63" s="296">
        <v>0.95</v>
      </c>
      <c r="Q63" s="294">
        <v>2.2400000000000002</v>
      </c>
      <c r="R63" s="295" cm="1">
        <f t="array" aca="1" ref="R63" ca="1">INDIRECT("'"&amp;$C63&amp;"'!"&amp;"$"&amp;$D63&amp;$R$1&amp;"")</f>
        <v>6.9</v>
      </c>
      <c r="S63" s="296"/>
      <c r="T63" s="296">
        <v>0.95</v>
      </c>
      <c r="U63" s="294">
        <v>2.21</v>
      </c>
      <c r="V63" s="295" cm="1">
        <f t="array" aca="1" ref="V63" ca="1">INDIRECT("'"&amp;$C63&amp;"'!"&amp;"$"&amp;$D63&amp;$V$1&amp;"")</f>
        <v>0</v>
      </c>
      <c r="W63" s="296" t="s">
        <v>1</v>
      </c>
      <c r="X63" s="296" t="s">
        <v>1</v>
      </c>
      <c r="Y63" s="297" t="s">
        <v>1</v>
      </c>
      <c r="Z63" s="293" cm="1">
        <f t="array" aca="1" ref="Z63" ca="1">INDIRECT("'"&amp;$C63&amp;"'!"&amp;"$"&amp;$D63&amp;$Z$1&amp;"")</f>
        <v>0</v>
      </c>
      <c r="AA63" s="296" t="s">
        <v>1</v>
      </c>
      <c r="AB63" s="296" t="s">
        <v>1</v>
      </c>
      <c r="AC63" s="294" t="s">
        <v>1</v>
      </c>
      <c r="AD63" s="295" cm="1">
        <f t="array" aca="1" ref="AD63" ca="1">INDIRECT("'"&amp;$C63&amp;"'!"&amp;"$"&amp;$D63&amp;$AD$1&amp;"")</f>
        <v>2</v>
      </c>
      <c r="AE63" s="296">
        <f>3.8*3.52</f>
        <v>13.375999999999999</v>
      </c>
      <c r="AF63" s="296">
        <v>0.93</v>
      </c>
      <c r="AG63" s="297">
        <v>0.91</v>
      </c>
      <c r="AH63" s="293" cm="1">
        <f t="array" aca="1" ref="AH63" ca="1">INDIRECT("'"&amp;$C63&amp;"'!"&amp;"$"&amp;$D63&amp;$AH$1&amp;"")</f>
        <v>3.8</v>
      </c>
      <c r="AI63" s="296">
        <v>14.04</v>
      </c>
      <c r="AJ63" s="296">
        <v>0.96</v>
      </c>
      <c r="AK63" s="294">
        <v>1.1100000000000001</v>
      </c>
      <c r="AL63" s="293">
        <v>11.8</v>
      </c>
      <c r="AM63" s="297">
        <v>69.900000000000006</v>
      </c>
      <c r="AN63" s="293" cm="1">
        <f t="array" aca="1" ref="AN63" ca="1">INDIRECT("'"&amp;$C63&amp;"'!"&amp;"$"&amp;$D63&amp;$AL$1&amp;"")</f>
        <v>4.2</v>
      </c>
      <c r="AO63" s="296">
        <v>0.93</v>
      </c>
      <c r="AP63" s="294">
        <v>1.5</v>
      </c>
      <c r="AQ63" s="295" t="str" cm="1">
        <f t="array" aca="1" ref="AQ63" ca="1">INDIRECT("'"&amp;$C63&amp;"'!"&amp;"$"&amp;$D63&amp;$AQ$1&amp;"")</f>
        <v>CMS</v>
      </c>
      <c r="AR63" s="296" t="s">
        <v>1</v>
      </c>
      <c r="AS63" s="294" t="s">
        <v>1</v>
      </c>
      <c r="AT63" s="296" cm="1">
        <f t="array" aca="1" ref="AT63" ca="1">INDIRECT("'"&amp;$C63&amp;"'!"&amp;"$"&amp;$D63&amp;$AT$1&amp;"")</f>
        <v>0</v>
      </c>
      <c r="AU63" s="295" t="s">
        <v>1</v>
      </c>
      <c r="AV63" s="296" t="s">
        <v>1</v>
      </c>
      <c r="AW63" s="294" t="s">
        <v>1</v>
      </c>
      <c r="AX63" s="298">
        <v>14.11</v>
      </c>
      <c r="AY63" s="297">
        <v>71.28</v>
      </c>
      <c r="AZ63" s="298" cm="1">
        <f t="array" aca="1" ref="AZ63" ca="1">INDIRECT("'"&amp;$C63&amp;"'!"&amp;"$"&amp;$D63&amp;$AZ$1&amp;"")</f>
        <v>14.3</v>
      </c>
      <c r="BA63" s="296">
        <v>0.99</v>
      </c>
      <c r="BB63" s="294">
        <v>0.23</v>
      </c>
      <c r="BC63" s="299">
        <v>68</v>
      </c>
      <c r="BD63" s="293" cm="1">
        <f t="array" aca="1" ref="BD63" ca="1">INDIRECT("'"&amp;$C63&amp;"'!"&amp;"$"&amp;$D63&amp;$BC$1&amp;"")</f>
        <v>0</v>
      </c>
      <c r="BE63" s="295" t="s">
        <v>1</v>
      </c>
      <c r="BF63" s="294" t="s">
        <v>1</v>
      </c>
      <c r="BG63" s="298" cm="1">
        <f t="array" aca="1" ref="BG63" ca="1">INDIRECT("'"&amp;$C63&amp;"'!"&amp;"$"&amp;$D63&amp;$BG$1&amp;"")</f>
        <v>1.18</v>
      </c>
      <c r="BH63" s="296"/>
      <c r="BI63" s="296">
        <v>0.99</v>
      </c>
      <c r="BJ63" s="294">
        <v>0.2</v>
      </c>
      <c r="BK63" s="299" cm="1">
        <f t="array" aca="1" ref="BK63" ca="1">INDIRECT("'"&amp;$C63&amp;"'!"&amp;"$"&amp;$D63&amp;$BK$1&amp;"")</f>
        <v>0.71</v>
      </c>
      <c r="BL63" s="296"/>
      <c r="BM63" s="296">
        <v>0.95</v>
      </c>
      <c r="BN63" s="294">
        <v>0.23</v>
      </c>
      <c r="BO63" s="299" cm="1">
        <f t="array" aca="1" ref="BO63" ca="1">INDIRECT("'"&amp;$C63&amp;"'!"&amp;"$"&amp;$D63&amp;74&amp;"")</f>
        <v>0</v>
      </c>
      <c r="BP63" s="296"/>
      <c r="BQ63" s="296" t="s">
        <v>1</v>
      </c>
      <c r="BR63" s="294" t="s">
        <v>1</v>
      </c>
    </row>
    <row r="64" spans="1:70">
      <c r="A64" s="361">
        <v>45750</v>
      </c>
      <c r="B64" s="358">
        <v>0.375</v>
      </c>
      <c r="C64" s="313">
        <f t="shared" si="1"/>
        <v>3</v>
      </c>
      <c r="D64" s="314" t="s">
        <v>136</v>
      </c>
      <c r="E64" s="286">
        <v>14</v>
      </c>
      <c r="F64" s="287">
        <v>69.599999999999994</v>
      </c>
      <c r="G64" s="288" cm="1">
        <f t="array" aca="1" ref="G64" ca="1">INDIRECT("'"&amp;$C64&amp;"'!"&amp;"$"&amp;$D64&amp;$E$1&amp;"")</f>
        <v>0</v>
      </c>
      <c r="H64" s="289" t="s">
        <v>1</v>
      </c>
      <c r="I64" s="287" t="s">
        <v>1</v>
      </c>
      <c r="J64" s="288" cm="1">
        <f t="array" aca="1" ref="J64" ca="1">INDIRECT("'"&amp;$C64&amp;"'!"&amp;"$"&amp;$D64&amp;$J$1&amp;"")</f>
        <v>6.8</v>
      </c>
      <c r="K64" s="289"/>
      <c r="L64" s="289">
        <v>0.97</v>
      </c>
      <c r="M64" s="287">
        <v>1.62</v>
      </c>
      <c r="N64" s="288" cm="1">
        <f t="array" aca="1" ref="N64" ca="1">INDIRECT("'"&amp;$C64&amp;"'!"&amp;"$"&amp;$D64&amp;$N$1&amp;"")</f>
        <v>6.9</v>
      </c>
      <c r="O64" s="289"/>
      <c r="P64" s="289">
        <v>0.97</v>
      </c>
      <c r="Q64" s="287">
        <v>1.82</v>
      </c>
      <c r="R64" s="288" cm="1">
        <f t="array" aca="1" ref="R64" ca="1">INDIRECT("'"&amp;$C64&amp;"'!"&amp;"$"&amp;$D64&amp;$R$1&amp;"")</f>
        <v>6.9</v>
      </c>
      <c r="S64" s="289"/>
      <c r="T64" s="289">
        <v>0.97</v>
      </c>
      <c r="U64" s="287">
        <v>1.86</v>
      </c>
      <c r="V64" s="288" cm="1">
        <f t="array" aca="1" ref="V64" ca="1">INDIRECT("'"&amp;$C64&amp;"'!"&amp;"$"&amp;$D64&amp;$V$1&amp;"")</f>
        <v>2.8</v>
      </c>
      <c r="W64" s="289">
        <f>3.8*3.56</f>
        <v>13.527999999999999</v>
      </c>
      <c r="X64" s="289">
        <v>0.92</v>
      </c>
      <c r="Y64" s="290">
        <v>1.1399999999999999</v>
      </c>
      <c r="Z64" s="286" cm="1">
        <f t="array" aca="1" ref="Z64" ca="1">INDIRECT("'"&amp;$C64&amp;"'!"&amp;"$"&amp;$D64&amp;$Z$1&amp;"")</f>
        <v>0</v>
      </c>
      <c r="AA64" s="289" t="s">
        <v>1</v>
      </c>
      <c r="AB64" s="289" t="s">
        <v>1</v>
      </c>
      <c r="AC64" s="287" t="s">
        <v>1</v>
      </c>
      <c r="AD64" s="288" cm="1">
        <f t="array" aca="1" ref="AD64" ca="1">INDIRECT("'"&amp;$C64&amp;"'!"&amp;"$"&amp;$D64&amp;$AD$1&amp;"")</f>
        <v>3.8</v>
      </c>
      <c r="AE64" s="289">
        <f>3.8*3.56</f>
        <v>13.527999999999999</v>
      </c>
      <c r="AF64" s="289">
        <v>0.92</v>
      </c>
      <c r="AG64" s="290">
        <v>1.59</v>
      </c>
      <c r="AH64" s="286" cm="1">
        <f t="array" aca="1" ref="AH64" ca="1">INDIRECT("'"&amp;$C64&amp;"'!"&amp;"$"&amp;$D64&amp;$AH$1&amp;"")</f>
        <v>3.8</v>
      </c>
      <c r="AI64" s="289">
        <v>14.04</v>
      </c>
      <c r="AJ64" s="289">
        <v>0.96</v>
      </c>
      <c r="AK64" s="287">
        <v>1.1000000000000001</v>
      </c>
      <c r="AL64" s="286">
        <v>11.8</v>
      </c>
      <c r="AM64" s="290">
        <v>70.2</v>
      </c>
      <c r="AN64" s="286" cm="1">
        <f t="array" aca="1" ref="AN64" ca="1">INDIRECT("'"&amp;$C64&amp;"'!"&amp;"$"&amp;$D64&amp;$AL$1&amp;"")</f>
        <v>3.9</v>
      </c>
      <c r="AO64" s="289">
        <v>0.94</v>
      </c>
      <c r="AP64" s="287">
        <v>1.3</v>
      </c>
      <c r="AQ64" s="288" t="str" cm="1">
        <f t="array" aca="1" ref="AQ64" ca="1">INDIRECT("'"&amp;$C64&amp;"'!"&amp;"$"&amp;$D64&amp;$AQ$1&amp;"")</f>
        <v>CMS</v>
      </c>
      <c r="AR64" s="289" t="s">
        <v>1</v>
      </c>
      <c r="AS64" s="287" t="s">
        <v>1</v>
      </c>
      <c r="AT64" s="289" cm="1">
        <f t="array" aca="1" ref="AT64" ca="1">INDIRECT("'"&amp;$C64&amp;"'!"&amp;"$"&amp;$D64&amp;$AT$1&amp;"")</f>
        <v>0</v>
      </c>
      <c r="AU64" s="288" t="s">
        <v>1</v>
      </c>
      <c r="AV64" s="289" t="s">
        <v>1</v>
      </c>
      <c r="AW64" s="287" t="s">
        <v>1</v>
      </c>
      <c r="AX64" s="291">
        <v>14.09</v>
      </c>
      <c r="AY64" s="290">
        <v>71.06</v>
      </c>
      <c r="AZ64" s="291" cm="1">
        <f t="array" aca="1" ref="AZ64" ca="1">INDIRECT("'"&amp;$C64&amp;"'!"&amp;"$"&amp;$D64&amp;$AZ$1&amp;"")</f>
        <v>14.23</v>
      </c>
      <c r="BA64" s="289">
        <v>0.99</v>
      </c>
      <c r="BB64" s="287">
        <v>2.4</v>
      </c>
      <c r="BC64" s="292">
        <v>68.400000000000006</v>
      </c>
      <c r="BD64" s="286" cm="1">
        <f t="array" aca="1" ref="BD64" ca="1">INDIRECT("'"&amp;$C64&amp;"'!"&amp;"$"&amp;$D64&amp;$BC$1&amp;"")</f>
        <v>3.3999999999999995</v>
      </c>
      <c r="BE64" s="288">
        <v>0.96</v>
      </c>
      <c r="BF64" s="287">
        <v>0.97</v>
      </c>
      <c r="BG64" s="291" cm="1">
        <f t="array" aca="1" ref="BG64" ca="1">INDIRECT("'"&amp;$C64&amp;"'!"&amp;"$"&amp;$D64&amp;$BG$1&amp;"")</f>
        <v>1.34</v>
      </c>
      <c r="BH64" s="289"/>
      <c r="BI64" s="289">
        <v>0.99</v>
      </c>
      <c r="BJ64" s="287">
        <v>0.2</v>
      </c>
      <c r="BK64" s="292" cm="1">
        <f t="array" aca="1" ref="BK64" ca="1">INDIRECT("'"&amp;$C64&amp;"'!"&amp;"$"&amp;$D64&amp;$BK$1&amp;"")</f>
        <v>0.81</v>
      </c>
      <c r="BL64" s="289"/>
      <c r="BM64" s="289">
        <v>0.95</v>
      </c>
      <c r="BN64" s="287">
        <v>0.25</v>
      </c>
      <c r="BO64" s="292" cm="1">
        <f t="array" aca="1" ref="BO64" ca="1">INDIRECT("'"&amp;$C64&amp;"'!"&amp;"$"&amp;$D64&amp;74&amp;"")</f>
        <v>0</v>
      </c>
      <c r="BP64" s="289"/>
      <c r="BQ64" s="289" t="s">
        <v>1</v>
      </c>
      <c r="BR64" s="287" t="s">
        <v>1</v>
      </c>
    </row>
    <row r="65" spans="1:70">
      <c r="A65" s="361">
        <v>45750</v>
      </c>
      <c r="B65" s="358">
        <v>0.41666666666666702</v>
      </c>
      <c r="C65" s="313">
        <f t="shared" si="1"/>
        <v>3</v>
      </c>
      <c r="D65" s="314" t="s">
        <v>137</v>
      </c>
      <c r="E65" s="293">
        <v>14.2</v>
      </c>
      <c r="F65" s="294">
        <v>69.66</v>
      </c>
      <c r="G65" s="295" cm="1">
        <f t="array" aca="1" ref="G65" ca="1">INDIRECT("'"&amp;$C65&amp;"'!"&amp;"$"&amp;$D65&amp;$E$1&amp;"")</f>
        <v>6.5</v>
      </c>
      <c r="H65" s="296">
        <v>0.96</v>
      </c>
      <c r="I65" s="294">
        <v>2.02</v>
      </c>
      <c r="J65" s="295" cm="1">
        <f t="array" aca="1" ref="J65" ca="1">INDIRECT("'"&amp;$C65&amp;"'!"&amp;"$"&amp;$D65&amp;$J$1&amp;"")</f>
        <v>6.5</v>
      </c>
      <c r="K65" s="296"/>
      <c r="L65" s="296">
        <v>0.96</v>
      </c>
      <c r="M65" s="294">
        <v>2</v>
      </c>
      <c r="N65" s="295" cm="1">
        <f t="array" aca="1" ref="N65" ca="1">INDIRECT("'"&amp;$C65&amp;"'!"&amp;"$"&amp;$D65&amp;$N$1&amp;"")</f>
        <v>6.5</v>
      </c>
      <c r="O65" s="296"/>
      <c r="P65" s="296">
        <v>0.96</v>
      </c>
      <c r="Q65" s="294">
        <v>2.04</v>
      </c>
      <c r="R65" s="295" cm="1">
        <f t="array" aca="1" ref="R65" ca="1">INDIRECT("'"&amp;$C65&amp;"'!"&amp;"$"&amp;$D65&amp;$R$1&amp;"")</f>
        <v>6.5</v>
      </c>
      <c r="S65" s="296"/>
      <c r="T65" s="296">
        <v>0.96</v>
      </c>
      <c r="U65" s="294">
        <v>2.02</v>
      </c>
      <c r="V65" s="295" cm="1">
        <f t="array" aca="1" ref="V65" ca="1">INDIRECT("'"&amp;$C65&amp;"'!"&amp;"$"&amp;$D65&amp;$V$1&amp;"")</f>
        <v>2.8</v>
      </c>
      <c r="W65" s="296">
        <f>3.8*3.54</f>
        <v>13.452</v>
      </c>
      <c r="X65" s="296">
        <v>0.92</v>
      </c>
      <c r="Y65" s="297">
        <v>1.21</v>
      </c>
      <c r="Z65" s="293" cm="1">
        <f t="array" aca="1" ref="Z65" ca="1">INDIRECT("'"&amp;$C65&amp;"'!"&amp;"$"&amp;$D65&amp;$Z$1&amp;"")</f>
        <v>0</v>
      </c>
      <c r="AA65" s="296" t="s">
        <v>1</v>
      </c>
      <c r="AB65" s="296" t="s">
        <v>1</v>
      </c>
      <c r="AC65" s="294" t="s">
        <v>1</v>
      </c>
      <c r="AD65" s="295" cm="1">
        <f t="array" aca="1" ref="AD65" ca="1">INDIRECT("'"&amp;$C65&amp;"'!"&amp;"$"&amp;$D65&amp;$AD$1&amp;"")</f>
        <v>3.8</v>
      </c>
      <c r="AE65" s="296">
        <v>13.45</v>
      </c>
      <c r="AF65" s="296">
        <v>0.92</v>
      </c>
      <c r="AG65" s="297">
        <v>1.62</v>
      </c>
      <c r="AH65" s="293" cm="1">
        <f t="array" aca="1" ref="AH65" ca="1">INDIRECT("'"&amp;$C65&amp;"'!"&amp;"$"&amp;$D65&amp;$AH$1&amp;"")</f>
        <v>3.8</v>
      </c>
      <c r="AI65" s="296">
        <v>14.04</v>
      </c>
      <c r="AJ65" s="296">
        <v>0.95</v>
      </c>
      <c r="AK65" s="294">
        <v>1.1200000000000001</v>
      </c>
      <c r="AL65" s="293">
        <v>11.8</v>
      </c>
      <c r="AM65" s="297">
        <v>70.099999999999994</v>
      </c>
      <c r="AN65" s="293" cm="1">
        <f t="array" aca="1" ref="AN65" ca="1">INDIRECT("'"&amp;$C65&amp;"'!"&amp;"$"&amp;$D65&amp;$AL$1&amp;"")</f>
        <v>3.9</v>
      </c>
      <c r="AO65" s="296">
        <v>0.94</v>
      </c>
      <c r="AP65" s="294">
        <v>1.3</v>
      </c>
      <c r="AQ65" s="295" t="str" cm="1">
        <f t="array" aca="1" ref="AQ65" ca="1">INDIRECT("'"&amp;$C65&amp;"'!"&amp;"$"&amp;$D65&amp;$AQ$1&amp;"")</f>
        <v>CMS</v>
      </c>
      <c r="AR65" s="296" t="s">
        <v>1</v>
      </c>
      <c r="AS65" s="294" t="s">
        <v>1</v>
      </c>
      <c r="AT65" s="296" cm="1">
        <f t="array" aca="1" ref="AT65" ca="1">INDIRECT("'"&amp;$C65&amp;"'!"&amp;"$"&amp;$D65&amp;$AT$1&amp;"")</f>
        <v>0</v>
      </c>
      <c r="AU65" s="295" t="s">
        <v>1</v>
      </c>
      <c r="AV65" s="296" t="s">
        <v>1</v>
      </c>
      <c r="AW65" s="294" t="s">
        <v>1</v>
      </c>
      <c r="AX65" s="298">
        <v>14.18</v>
      </c>
      <c r="AY65" s="297">
        <v>71.31</v>
      </c>
      <c r="AZ65" s="298" cm="1">
        <f t="array" aca="1" ref="AZ65" ca="1">INDIRECT("'"&amp;$C65&amp;"'!"&amp;"$"&amp;$D65&amp;$AZ$1&amp;"")</f>
        <v>14.21</v>
      </c>
      <c r="BA65" s="296">
        <v>0.98</v>
      </c>
      <c r="BB65" s="294">
        <v>3.4</v>
      </c>
      <c r="BC65" s="299">
        <v>68.3</v>
      </c>
      <c r="BD65" s="293" cm="1">
        <f t="array" aca="1" ref="BD65" ca="1">INDIRECT("'"&amp;$C65&amp;"'!"&amp;"$"&amp;$D65&amp;$BC$1&amp;"")</f>
        <v>2.8</v>
      </c>
      <c r="BE65" s="295">
        <v>0.96</v>
      </c>
      <c r="BF65" s="294">
        <v>0.89</v>
      </c>
      <c r="BG65" s="298" cm="1">
        <f t="array" aca="1" ref="BG65" ca="1">INDIRECT("'"&amp;$C65&amp;"'!"&amp;"$"&amp;$D65&amp;$BG$1&amp;"")</f>
        <v>1.38</v>
      </c>
      <c r="BH65" s="296"/>
      <c r="BI65" s="296">
        <v>0.99</v>
      </c>
      <c r="BJ65" s="294">
        <v>0.21</v>
      </c>
      <c r="BK65" s="299" cm="1">
        <f t="array" aca="1" ref="BK65" ca="1">INDIRECT("'"&amp;$C65&amp;"'!"&amp;"$"&amp;$D65&amp;$BK$1&amp;"")</f>
        <v>0.82</v>
      </c>
      <c r="BL65" s="296"/>
      <c r="BM65" s="296">
        <v>0.96</v>
      </c>
      <c r="BN65" s="294">
        <v>0.25</v>
      </c>
      <c r="BO65" s="299" cm="1">
        <f t="array" aca="1" ref="BO65" ca="1">INDIRECT("'"&amp;$C65&amp;"'!"&amp;"$"&amp;$D65&amp;74&amp;"")</f>
        <v>0</v>
      </c>
      <c r="BP65" s="296"/>
      <c r="BQ65" s="296" t="s">
        <v>1</v>
      </c>
      <c r="BR65" s="294" t="s">
        <v>1</v>
      </c>
    </row>
    <row r="66" spans="1:70">
      <c r="A66" s="361">
        <v>45750</v>
      </c>
      <c r="B66" s="358">
        <v>0.45833333333333398</v>
      </c>
      <c r="C66" s="313">
        <f t="shared" si="1"/>
        <v>3</v>
      </c>
      <c r="D66" s="314" t="s">
        <v>138</v>
      </c>
      <c r="E66" s="286">
        <v>14.2</v>
      </c>
      <c r="F66" s="287">
        <v>69.87</v>
      </c>
      <c r="G66" s="288" cm="1">
        <f t="array" aca="1" ref="G66" ca="1">INDIRECT("'"&amp;$C66&amp;"'!"&amp;"$"&amp;$D66&amp;$E$1&amp;"")</f>
        <v>6.6</v>
      </c>
      <c r="H66" s="289">
        <v>0.96</v>
      </c>
      <c r="I66" s="287">
        <v>2</v>
      </c>
      <c r="J66" s="288" cm="1">
        <f t="array" aca="1" ref="J66" ca="1">INDIRECT("'"&amp;$C66&amp;"'!"&amp;"$"&amp;$D66&amp;$J$1&amp;"")</f>
        <v>6.6</v>
      </c>
      <c r="K66" s="289"/>
      <c r="L66" s="289">
        <v>0.96</v>
      </c>
      <c r="M66" s="287">
        <v>1.98</v>
      </c>
      <c r="N66" s="288" cm="1">
        <f t="array" aca="1" ref="N66" ca="1">INDIRECT("'"&amp;$C66&amp;"'!"&amp;"$"&amp;$D66&amp;$N$1&amp;"")</f>
        <v>6.6</v>
      </c>
      <c r="O66" s="289"/>
      <c r="P66" s="289">
        <v>0.96</v>
      </c>
      <c r="Q66" s="287">
        <v>1.96</v>
      </c>
      <c r="R66" s="288" cm="1">
        <f t="array" aca="1" ref="R66" ca="1">INDIRECT("'"&amp;$C66&amp;"'!"&amp;"$"&amp;$D66&amp;$R$1&amp;"")</f>
        <v>6.6</v>
      </c>
      <c r="S66" s="289"/>
      <c r="T66" s="289">
        <v>0.96</v>
      </c>
      <c r="U66" s="287">
        <v>1.99</v>
      </c>
      <c r="V66" s="288" cm="1">
        <f t="array" aca="1" ref="V66" ca="1">INDIRECT("'"&amp;$C66&amp;"'!"&amp;"$"&amp;$D66&amp;$V$1&amp;"")</f>
        <v>2.8</v>
      </c>
      <c r="W66" s="289">
        <f>3.8*3.55</f>
        <v>13.489999999999998</v>
      </c>
      <c r="X66" s="289">
        <v>0.92</v>
      </c>
      <c r="Y66" s="290">
        <v>1.22</v>
      </c>
      <c r="Z66" s="286" cm="1">
        <f t="array" aca="1" ref="Z66" ca="1">INDIRECT("'"&amp;$C66&amp;"'!"&amp;"$"&amp;$D66&amp;$Z$1&amp;"")</f>
        <v>0</v>
      </c>
      <c r="AA66" s="289" t="s">
        <v>1</v>
      </c>
      <c r="AB66" s="289" t="s">
        <v>1</v>
      </c>
      <c r="AC66" s="287" t="s">
        <v>1</v>
      </c>
      <c r="AD66" s="288" cm="1">
        <f t="array" aca="1" ref="AD66" ca="1">INDIRECT("'"&amp;$C66&amp;"'!"&amp;"$"&amp;$D66&amp;$AD$1&amp;"")</f>
        <v>3.8</v>
      </c>
      <c r="AE66" s="289">
        <v>13.49</v>
      </c>
      <c r="AF66" s="289">
        <v>0.92</v>
      </c>
      <c r="AG66" s="290">
        <v>1.54</v>
      </c>
      <c r="AH66" s="286" cm="1">
        <f t="array" aca="1" ref="AH66" ca="1">INDIRECT("'"&amp;$C66&amp;"'!"&amp;"$"&amp;$D66&amp;$AH$1&amp;"")</f>
        <v>3.8</v>
      </c>
      <c r="AI66" s="289">
        <v>14.04</v>
      </c>
      <c r="AJ66" s="289">
        <v>0.95</v>
      </c>
      <c r="AK66" s="287">
        <v>1.1599999999999999</v>
      </c>
      <c r="AL66" s="286">
        <v>11.8</v>
      </c>
      <c r="AM66" s="290">
        <v>70.099999999999994</v>
      </c>
      <c r="AN66" s="286" cm="1">
        <f t="array" aca="1" ref="AN66" ca="1">INDIRECT("'"&amp;$C66&amp;"'!"&amp;"$"&amp;$D66&amp;$AL$1&amp;"")</f>
        <v>3.8</v>
      </c>
      <c r="AO66" s="289">
        <v>0.95</v>
      </c>
      <c r="AP66" s="287">
        <v>1.3</v>
      </c>
      <c r="AQ66" s="288" t="str" cm="1">
        <f t="array" aca="1" ref="AQ66" ca="1">INDIRECT("'"&amp;$C66&amp;"'!"&amp;"$"&amp;$D66&amp;$AQ$1&amp;"")</f>
        <v>CMS</v>
      </c>
      <c r="AR66" s="289" t="s">
        <v>1</v>
      </c>
      <c r="AS66" s="287" t="s">
        <v>1</v>
      </c>
      <c r="AT66" s="289" t="str" cm="1">
        <f t="array" aca="1" ref="AT66" ca="1">INDIRECT("'"&amp;$C66&amp;"'!"&amp;"$"&amp;$D66&amp;$AT$1&amp;"")</f>
        <v>CMS</v>
      </c>
      <c r="AU66" s="288" t="s">
        <v>1</v>
      </c>
      <c r="AV66" s="289" t="s">
        <v>1</v>
      </c>
      <c r="AW66" s="287" t="s">
        <v>1</v>
      </c>
      <c r="AX66" s="291">
        <v>14.14</v>
      </c>
      <c r="AY66" s="290">
        <v>71.14</v>
      </c>
      <c r="AZ66" s="291" cm="1">
        <f t="array" aca="1" ref="AZ66" ca="1">INDIRECT("'"&amp;$C66&amp;"'!"&amp;"$"&amp;$D66&amp;$AZ$1&amp;"")</f>
        <v>14.19</v>
      </c>
      <c r="BA66" s="289">
        <v>0.98</v>
      </c>
      <c r="BB66" s="287">
        <v>3.4</v>
      </c>
      <c r="BC66" s="292">
        <v>68.599999999999994</v>
      </c>
      <c r="BD66" s="286" cm="1">
        <f t="array" aca="1" ref="BD66" ca="1">INDIRECT("'"&amp;$C66&amp;"'!"&amp;"$"&amp;$D66&amp;$BC$1&amp;"")</f>
        <v>4.2</v>
      </c>
      <c r="BE66" s="288">
        <v>0.95</v>
      </c>
      <c r="BF66" s="287">
        <v>1.3</v>
      </c>
      <c r="BG66" s="291" cm="1">
        <f t="array" aca="1" ref="BG66" ca="1">INDIRECT("'"&amp;$C66&amp;"'!"&amp;"$"&amp;$D66&amp;$BG$1&amp;"")</f>
        <v>1.34</v>
      </c>
      <c r="BH66" s="289"/>
      <c r="BI66" s="289">
        <v>0.99</v>
      </c>
      <c r="BJ66" s="287">
        <v>0.22</v>
      </c>
      <c r="BK66" s="292" cm="1">
        <f t="array" aca="1" ref="BK66" ca="1">INDIRECT("'"&amp;$C66&amp;"'!"&amp;"$"&amp;$D66&amp;$BK$1&amp;"")</f>
        <v>0.83</v>
      </c>
      <c r="BL66" s="289"/>
      <c r="BM66" s="289">
        <v>0.96</v>
      </c>
      <c r="BN66" s="287">
        <v>0.24</v>
      </c>
      <c r="BO66" s="292" cm="1">
        <f t="array" aca="1" ref="BO66" ca="1">INDIRECT("'"&amp;$C66&amp;"'!"&amp;"$"&amp;$D66&amp;74&amp;"")</f>
        <v>0</v>
      </c>
      <c r="BP66" s="289"/>
      <c r="BQ66" s="289" t="s">
        <v>1</v>
      </c>
      <c r="BR66" s="287" t="s">
        <v>1</v>
      </c>
    </row>
    <row r="67" spans="1:70">
      <c r="A67" s="361">
        <v>45750</v>
      </c>
      <c r="B67" s="358">
        <v>0.5</v>
      </c>
      <c r="C67" s="313">
        <f t="shared" si="1"/>
        <v>3</v>
      </c>
      <c r="D67" s="314" t="s">
        <v>139</v>
      </c>
      <c r="E67" s="293">
        <v>14.3</v>
      </c>
      <c r="F67" s="294">
        <v>69.959999999999994</v>
      </c>
      <c r="G67" s="295" cm="1">
        <f t="array" aca="1" ref="G67" ca="1">INDIRECT("'"&amp;$C67&amp;"'!"&amp;"$"&amp;$D67&amp;$E$1&amp;"")</f>
        <v>6.6</v>
      </c>
      <c r="H67" s="296">
        <v>0.96</v>
      </c>
      <c r="I67" s="294">
        <v>1.97</v>
      </c>
      <c r="J67" s="295" cm="1">
        <f t="array" aca="1" ref="J67" ca="1">INDIRECT("'"&amp;$C67&amp;"'!"&amp;"$"&amp;$D67&amp;$J$1&amp;"")</f>
        <v>6.6</v>
      </c>
      <c r="K67" s="296"/>
      <c r="L67" s="296">
        <v>0.96</v>
      </c>
      <c r="M67" s="294">
        <v>1.94</v>
      </c>
      <c r="N67" s="295" cm="1">
        <f t="array" aca="1" ref="N67" ca="1">INDIRECT("'"&amp;$C67&amp;"'!"&amp;"$"&amp;$D67&amp;$N$1&amp;"")</f>
        <v>6.6</v>
      </c>
      <c r="O67" s="296"/>
      <c r="P67" s="296">
        <v>0.96</v>
      </c>
      <c r="Q67" s="294">
        <v>1.93</v>
      </c>
      <c r="R67" s="295" cm="1">
        <f t="array" aca="1" ref="R67" ca="1">INDIRECT("'"&amp;$C67&amp;"'!"&amp;"$"&amp;$D67&amp;$R$1&amp;"")</f>
        <v>6.6</v>
      </c>
      <c r="S67" s="296"/>
      <c r="T67" s="296">
        <v>0.96</v>
      </c>
      <c r="U67" s="294">
        <v>1.95</v>
      </c>
      <c r="V67" s="295" cm="1">
        <f t="array" aca="1" ref="V67" ca="1">INDIRECT("'"&amp;$C67&amp;"'!"&amp;"$"&amp;$D67&amp;$V$1&amp;"")</f>
        <v>2.8</v>
      </c>
      <c r="W67" s="296">
        <f>3.8*3.55</f>
        <v>13.489999999999998</v>
      </c>
      <c r="X67" s="296">
        <v>0.92</v>
      </c>
      <c r="Y67" s="297">
        <v>1.2</v>
      </c>
      <c r="Z67" s="293" cm="1">
        <f t="array" aca="1" ref="Z67" ca="1">INDIRECT("'"&amp;$C67&amp;"'!"&amp;"$"&amp;$D67&amp;$Z$1&amp;"")</f>
        <v>0</v>
      </c>
      <c r="AA67" s="296" t="s">
        <v>1</v>
      </c>
      <c r="AB67" s="296" t="s">
        <v>1</v>
      </c>
      <c r="AC67" s="294" t="s">
        <v>1</v>
      </c>
      <c r="AD67" s="295" cm="1">
        <f t="array" aca="1" ref="AD67" ca="1">INDIRECT("'"&amp;$C67&amp;"'!"&amp;"$"&amp;$D67&amp;$AD$1&amp;"")</f>
        <v>3.8</v>
      </c>
      <c r="AE67" s="296">
        <v>13.49</v>
      </c>
      <c r="AF67" s="296">
        <v>0.92</v>
      </c>
      <c r="AG67" s="297">
        <v>0.98</v>
      </c>
      <c r="AH67" s="293" cm="1">
        <f t="array" aca="1" ref="AH67" ca="1">INDIRECT("'"&amp;$C67&amp;"'!"&amp;"$"&amp;$D67&amp;$AH$1&amp;"")</f>
        <v>3.8</v>
      </c>
      <c r="AI67" s="296">
        <v>14.08</v>
      </c>
      <c r="AJ67" s="296">
        <v>0.97</v>
      </c>
      <c r="AK67" s="294">
        <v>0.98</v>
      </c>
      <c r="AL67" s="293">
        <v>11.8</v>
      </c>
      <c r="AM67" s="297">
        <v>70.3</v>
      </c>
      <c r="AN67" s="293" cm="1">
        <f t="array" aca="1" ref="AN67" ca="1">INDIRECT("'"&amp;$C67&amp;"'!"&amp;"$"&amp;$D67&amp;$AL$1&amp;"")</f>
        <v>4</v>
      </c>
      <c r="AO67" s="296">
        <v>0.97</v>
      </c>
      <c r="AP67" s="294">
        <v>1.1000000000000001</v>
      </c>
      <c r="AQ67" s="295" t="str" cm="1">
        <f t="array" aca="1" ref="AQ67" ca="1">INDIRECT("'"&amp;$C67&amp;"'!"&amp;"$"&amp;$D67&amp;$AQ$1&amp;"")</f>
        <v>CMS</v>
      </c>
      <c r="AR67" s="296" t="s">
        <v>1</v>
      </c>
      <c r="AS67" s="294" t="s">
        <v>1</v>
      </c>
      <c r="AT67" s="296" t="str" cm="1">
        <f t="array" aca="1" ref="AT67" ca="1">INDIRECT("'"&amp;$C67&amp;"'!"&amp;"$"&amp;$D67&amp;$AT$1&amp;"")</f>
        <v>CMS</v>
      </c>
      <c r="AU67" s="295" t="s">
        <v>1</v>
      </c>
      <c r="AV67" s="296" t="s">
        <v>1</v>
      </c>
      <c r="AW67" s="294" t="s">
        <v>1</v>
      </c>
      <c r="AX67" s="298">
        <v>14.27</v>
      </c>
      <c r="AY67" s="297">
        <v>71.62</v>
      </c>
      <c r="AZ67" s="298" cm="1">
        <f t="array" aca="1" ref="AZ67" ca="1">INDIRECT("'"&amp;$C67&amp;"'!"&amp;"$"&amp;$D67&amp;$AZ$1&amp;"")</f>
        <v>14.25</v>
      </c>
      <c r="BA67" s="296">
        <v>0.98</v>
      </c>
      <c r="BB67" s="294">
        <v>3.4</v>
      </c>
      <c r="BC67" s="299">
        <v>68.5</v>
      </c>
      <c r="BD67" s="293" cm="1">
        <f t="array" aca="1" ref="BD67" ca="1">INDIRECT("'"&amp;$C67&amp;"'!"&amp;"$"&amp;$D67&amp;$BC$1&amp;"")</f>
        <v>3.5</v>
      </c>
      <c r="BE67" s="295">
        <v>0.96</v>
      </c>
      <c r="BF67" s="294">
        <v>1</v>
      </c>
      <c r="BG67" s="298" cm="1">
        <f t="array" aca="1" ref="BG67" ca="1">INDIRECT("'"&amp;$C67&amp;"'!"&amp;"$"&amp;$D67&amp;$BG$1&amp;"")</f>
        <v>1.5</v>
      </c>
      <c r="BH67" s="296"/>
      <c r="BI67" s="296">
        <v>0.99</v>
      </c>
      <c r="BJ67" s="294">
        <v>0.24</v>
      </c>
      <c r="BK67" s="299" cm="1">
        <f t="array" aca="1" ref="BK67" ca="1">INDIRECT("'"&amp;$C67&amp;"'!"&amp;"$"&amp;$D67&amp;$BK$1&amp;"")</f>
        <v>0.84</v>
      </c>
      <c r="BL67" s="296"/>
      <c r="BM67" s="296">
        <v>0.96</v>
      </c>
      <c r="BN67" s="294">
        <v>0.25</v>
      </c>
      <c r="BO67" s="299" cm="1">
        <f t="array" aca="1" ref="BO67" ca="1">INDIRECT("'"&amp;$C67&amp;"'!"&amp;"$"&amp;$D67&amp;74&amp;"")</f>
        <v>0</v>
      </c>
      <c r="BP67" s="296"/>
      <c r="BQ67" s="296" t="s">
        <v>1</v>
      </c>
      <c r="BR67" s="294" t="s">
        <v>1</v>
      </c>
    </row>
    <row r="68" spans="1:70">
      <c r="A68" s="361">
        <v>45750</v>
      </c>
      <c r="B68" s="358">
        <v>0.54166666666666696</v>
      </c>
      <c r="C68" s="313">
        <f t="shared" si="1"/>
        <v>3</v>
      </c>
      <c r="D68" s="314" t="s">
        <v>140</v>
      </c>
      <c r="E68" s="286">
        <v>14.3</v>
      </c>
      <c r="F68" s="287">
        <v>69.77</v>
      </c>
      <c r="G68" s="288" cm="1">
        <f t="array" aca="1" ref="G68" ca="1">INDIRECT("'"&amp;$C68&amp;"'!"&amp;"$"&amp;$D68&amp;$E$1&amp;"")</f>
        <v>6.8</v>
      </c>
      <c r="H68" s="289">
        <v>0.96</v>
      </c>
      <c r="I68" s="287">
        <v>2.63</v>
      </c>
      <c r="J68" s="288" cm="1">
        <f t="array" aca="1" ref="J68" ca="1">INDIRECT("'"&amp;$C68&amp;"'!"&amp;"$"&amp;$D68&amp;$J$1&amp;"")</f>
        <v>6.8</v>
      </c>
      <c r="K68" s="289"/>
      <c r="L68" s="289">
        <v>0.96</v>
      </c>
      <c r="M68" s="287">
        <v>2.61</v>
      </c>
      <c r="N68" s="288" cm="1">
        <f t="array" aca="1" ref="N68" ca="1">INDIRECT("'"&amp;$C68&amp;"'!"&amp;"$"&amp;$D68&amp;$N$1&amp;"")</f>
        <v>6.8</v>
      </c>
      <c r="O68" s="289"/>
      <c r="P68" s="289">
        <v>0.96</v>
      </c>
      <c r="Q68" s="287">
        <v>2.65</v>
      </c>
      <c r="R68" s="288" cm="1">
        <f t="array" aca="1" ref="R68" ca="1">INDIRECT("'"&amp;$C68&amp;"'!"&amp;"$"&amp;$D68&amp;$R$1&amp;"")</f>
        <v>6.8</v>
      </c>
      <c r="S68" s="289"/>
      <c r="T68" s="289">
        <v>0.96</v>
      </c>
      <c r="U68" s="287">
        <v>2.64</v>
      </c>
      <c r="V68" s="288" cm="1">
        <f t="array" aca="1" ref="V68" ca="1">INDIRECT("'"&amp;$C68&amp;"'!"&amp;"$"&amp;$D68&amp;$V$1&amp;"")</f>
        <v>2.8</v>
      </c>
      <c r="W68" s="289">
        <f>3.8*3.53</f>
        <v>13.413999999999998</v>
      </c>
      <c r="X68" s="289">
        <v>0.92</v>
      </c>
      <c r="Y68" s="290">
        <v>1.21</v>
      </c>
      <c r="Z68" s="286" cm="1">
        <f t="array" aca="1" ref="Z68" ca="1">INDIRECT("'"&amp;$C68&amp;"'!"&amp;"$"&amp;$D68&amp;$Z$1&amp;"")</f>
        <v>0</v>
      </c>
      <c r="AA68" s="289" t="s">
        <v>1</v>
      </c>
      <c r="AB68" s="289" t="s">
        <v>1</v>
      </c>
      <c r="AC68" s="287" t="s">
        <v>1</v>
      </c>
      <c r="AD68" s="288" cm="1">
        <f t="array" aca="1" ref="AD68" ca="1">INDIRECT("'"&amp;$C68&amp;"'!"&amp;"$"&amp;$D68&amp;$AD$1&amp;"")</f>
        <v>3.8</v>
      </c>
      <c r="AE68" s="289">
        <v>13.41</v>
      </c>
      <c r="AF68" s="289">
        <v>0.92</v>
      </c>
      <c r="AG68" s="290">
        <v>1.65</v>
      </c>
      <c r="AH68" s="286" cm="1">
        <f t="array" aca="1" ref="AH68" ca="1">INDIRECT("'"&amp;$C68&amp;"'!"&amp;"$"&amp;$D68&amp;$AH$1&amp;"")</f>
        <v>3.8</v>
      </c>
      <c r="AI68" s="289">
        <v>14.08</v>
      </c>
      <c r="AJ68" s="289">
        <v>0.95</v>
      </c>
      <c r="AK68" s="287">
        <v>1.08</v>
      </c>
      <c r="AL68" s="286">
        <v>11.8</v>
      </c>
      <c r="AM68" s="290">
        <v>70.3</v>
      </c>
      <c r="AN68" s="286" cm="1">
        <f t="array" aca="1" ref="AN68" ca="1">INDIRECT("'"&amp;$C68&amp;"'!"&amp;"$"&amp;$D68&amp;$AL$1&amp;"")</f>
        <v>3.9</v>
      </c>
      <c r="AO68" s="289">
        <v>0.93</v>
      </c>
      <c r="AP68" s="287">
        <v>1.4</v>
      </c>
      <c r="AQ68" s="288" t="str" cm="1">
        <f t="array" aca="1" ref="AQ68" ca="1">INDIRECT("'"&amp;$C68&amp;"'!"&amp;"$"&amp;$D68&amp;$AQ$1&amp;"")</f>
        <v>CMS</v>
      </c>
      <c r="AR68" s="289" t="s">
        <v>1</v>
      </c>
      <c r="AS68" s="287" t="s">
        <v>1</v>
      </c>
      <c r="AT68" s="289" t="str" cm="1">
        <f t="array" aca="1" ref="AT68" ca="1">INDIRECT("'"&amp;$C68&amp;"'!"&amp;"$"&amp;$D68&amp;$AT$1&amp;"")</f>
        <v>CMS</v>
      </c>
      <c r="AU68" s="288" t="s">
        <v>1</v>
      </c>
      <c r="AV68" s="289" t="s">
        <v>1</v>
      </c>
      <c r="AW68" s="287" t="s">
        <v>1</v>
      </c>
      <c r="AX68" s="291">
        <v>14.2</v>
      </c>
      <c r="AY68" s="290">
        <v>71.39</v>
      </c>
      <c r="AZ68" s="291" cm="1">
        <f t="array" aca="1" ref="AZ68" ca="1">INDIRECT("'"&amp;$C68&amp;"'!"&amp;"$"&amp;$D68&amp;$AZ$1&amp;"")</f>
        <v>14.39</v>
      </c>
      <c r="BA68" s="289">
        <v>0.98</v>
      </c>
      <c r="BB68" s="287">
        <v>3.4</v>
      </c>
      <c r="BC68" s="292">
        <v>68.400000000000006</v>
      </c>
      <c r="BD68" s="286" cm="1">
        <f t="array" aca="1" ref="BD68" ca="1">INDIRECT("'"&amp;$C68&amp;"'!"&amp;"$"&amp;$D68&amp;$BC$1&amp;"")</f>
        <v>4.2</v>
      </c>
      <c r="BE68" s="288">
        <v>0.95</v>
      </c>
      <c r="BF68" s="287">
        <v>1.2</v>
      </c>
      <c r="BG68" s="291" cm="1">
        <f t="array" aca="1" ref="BG68" ca="1">INDIRECT("'"&amp;$C68&amp;"'!"&amp;"$"&amp;$D68&amp;$BG$1&amp;"")</f>
        <v>1.51</v>
      </c>
      <c r="BH68" s="289"/>
      <c r="BI68" s="289">
        <v>0.99</v>
      </c>
      <c r="BJ68" s="287">
        <v>0.23</v>
      </c>
      <c r="BK68" s="292" cm="1">
        <f t="array" aca="1" ref="BK68" ca="1">INDIRECT("'"&amp;$C68&amp;"'!"&amp;"$"&amp;$D68&amp;$BK$1&amp;"")</f>
        <v>0.88</v>
      </c>
      <c r="BL68" s="289"/>
      <c r="BM68" s="289">
        <v>0.96</v>
      </c>
      <c r="BN68" s="287">
        <v>0.26</v>
      </c>
      <c r="BO68" s="292" cm="1">
        <f t="array" aca="1" ref="BO68" ca="1">INDIRECT("'"&amp;$C68&amp;"'!"&amp;"$"&amp;$D68&amp;74&amp;"")</f>
        <v>0</v>
      </c>
      <c r="BP68" s="289"/>
      <c r="BQ68" s="289" t="s">
        <v>1</v>
      </c>
      <c r="BR68" s="287" t="s">
        <v>1</v>
      </c>
    </row>
    <row r="69" spans="1:70">
      <c r="A69" s="361">
        <v>45750</v>
      </c>
      <c r="B69" s="358">
        <v>0.58333333333333404</v>
      </c>
      <c r="C69" s="313">
        <f t="shared" si="1"/>
        <v>3</v>
      </c>
      <c r="D69" s="314" t="s">
        <v>141</v>
      </c>
      <c r="E69" s="293">
        <v>14.3</v>
      </c>
      <c r="F69" s="294">
        <v>69.64</v>
      </c>
      <c r="G69" s="295" cm="1">
        <f t="array" aca="1" ref="G69" ca="1">INDIRECT("'"&amp;$C69&amp;"'!"&amp;"$"&amp;$D69&amp;$E$1&amp;"")</f>
        <v>6.9</v>
      </c>
      <c r="H69" s="296">
        <v>0.97</v>
      </c>
      <c r="I69" s="294">
        <v>1.82</v>
      </c>
      <c r="J69" s="295" cm="1">
        <f t="array" aca="1" ref="J69" ca="1">INDIRECT("'"&amp;$C69&amp;"'!"&amp;"$"&amp;$D69&amp;$J$1&amp;"")</f>
        <v>6.7</v>
      </c>
      <c r="K69" s="296"/>
      <c r="L69" s="296">
        <v>0.92</v>
      </c>
      <c r="M69" s="294">
        <v>2.79</v>
      </c>
      <c r="N69" s="295" cm="1">
        <f t="array" aca="1" ref="N69" ca="1">INDIRECT("'"&amp;$C69&amp;"'!"&amp;"$"&amp;$D69&amp;$N$1&amp;"")</f>
        <v>6.7</v>
      </c>
      <c r="O69" s="296"/>
      <c r="P69" s="296">
        <v>0.92</v>
      </c>
      <c r="Q69" s="294">
        <v>2.82</v>
      </c>
      <c r="R69" s="295" cm="1">
        <f t="array" aca="1" ref="R69" ca="1">INDIRECT("'"&amp;$C69&amp;"'!"&amp;"$"&amp;$D69&amp;$R$1&amp;"")</f>
        <v>6.7</v>
      </c>
      <c r="S69" s="296"/>
      <c r="T69" s="296">
        <v>0.92</v>
      </c>
      <c r="U69" s="294">
        <v>2.81</v>
      </c>
      <c r="V69" s="295" t="str" cm="1">
        <f t="array" aca="1" ref="V69" ca="1">INDIRECT("'"&amp;$C69&amp;"'!"&amp;"$"&amp;$D69&amp;$V$1&amp;"")</f>
        <v>CMS</v>
      </c>
      <c r="W69" s="296" t="s">
        <v>1</v>
      </c>
      <c r="X69" s="296" t="s">
        <v>1</v>
      </c>
      <c r="Y69" s="297" t="s">
        <v>1</v>
      </c>
      <c r="Z69" s="293" cm="1">
        <f t="array" aca="1" ref="Z69" ca="1">INDIRECT("'"&amp;$C69&amp;"'!"&amp;"$"&amp;$D69&amp;$Z$1&amp;"")</f>
        <v>0</v>
      </c>
      <c r="AA69" s="296" t="s">
        <v>1</v>
      </c>
      <c r="AB69" s="296" t="s">
        <v>1</v>
      </c>
      <c r="AC69" s="294" t="s">
        <v>1</v>
      </c>
      <c r="AD69" s="295" cm="1">
        <f t="array" aca="1" ref="AD69" ca="1">INDIRECT("'"&amp;$C69&amp;"'!"&amp;"$"&amp;$D69&amp;$AD$1&amp;"")</f>
        <v>3.9</v>
      </c>
      <c r="AE69" s="296">
        <f>3.5*3.8</f>
        <v>13.299999999999999</v>
      </c>
      <c r="AF69" s="296">
        <v>0.92</v>
      </c>
      <c r="AG69" s="297">
        <v>1.66</v>
      </c>
      <c r="AH69" s="293" cm="1">
        <f t="array" aca="1" ref="AH69" ca="1">INDIRECT("'"&amp;$C69&amp;"'!"&amp;"$"&amp;$D69&amp;$AH$1&amp;"")</f>
        <v>3.8</v>
      </c>
      <c r="AI69" s="296">
        <v>14.04</v>
      </c>
      <c r="AJ69" s="296">
        <v>0.95</v>
      </c>
      <c r="AK69" s="294">
        <v>1.19</v>
      </c>
      <c r="AL69" s="293">
        <v>11.8</v>
      </c>
      <c r="AM69" s="297">
        <v>70.3</v>
      </c>
      <c r="AN69" s="293" cm="1">
        <f t="array" aca="1" ref="AN69" ca="1">INDIRECT("'"&amp;$C69&amp;"'!"&amp;"$"&amp;$D69&amp;$AL$1&amp;"")</f>
        <v>3.8</v>
      </c>
      <c r="AO69" s="296">
        <v>0.93</v>
      </c>
      <c r="AP69" s="294">
        <v>1.4</v>
      </c>
      <c r="AQ69" s="295" t="str" cm="1">
        <f t="array" aca="1" ref="AQ69" ca="1">INDIRECT("'"&amp;$C69&amp;"'!"&amp;"$"&amp;$D69&amp;$AQ$1&amp;"")</f>
        <v>CMS</v>
      </c>
      <c r="AR69" s="296" t="s">
        <v>1</v>
      </c>
      <c r="AS69" s="294" t="s">
        <v>1</v>
      </c>
      <c r="AT69" s="296" t="str" cm="1">
        <f t="array" aca="1" ref="AT69" ca="1">INDIRECT("'"&amp;$C69&amp;"'!"&amp;"$"&amp;$D69&amp;$AT$1&amp;"")</f>
        <v>CMS</v>
      </c>
      <c r="AU69" s="295" t="s">
        <v>1</v>
      </c>
      <c r="AV69" s="296" t="s">
        <v>1</v>
      </c>
      <c r="AW69" s="294" t="s">
        <v>1</v>
      </c>
      <c r="AX69" s="298">
        <v>14.16</v>
      </c>
      <c r="AY69" s="297">
        <v>71.16</v>
      </c>
      <c r="AZ69" s="298" cm="1">
        <f t="array" aca="1" ref="AZ69" ca="1">INDIRECT("'"&amp;$C69&amp;"'!"&amp;"$"&amp;$D69&amp;$AZ$1&amp;"")</f>
        <v>14.32</v>
      </c>
      <c r="BA69" s="296">
        <v>0.98</v>
      </c>
      <c r="BB69" s="294">
        <v>3.5</v>
      </c>
      <c r="BC69" s="299">
        <v>68.3</v>
      </c>
      <c r="BD69" s="293" cm="1">
        <f t="array" aca="1" ref="BD69" ca="1">INDIRECT("'"&amp;$C69&amp;"'!"&amp;"$"&amp;$D69&amp;$BC$1&amp;"")</f>
        <v>10.1</v>
      </c>
      <c r="BE69" s="295">
        <v>0.95</v>
      </c>
      <c r="BF69" s="294">
        <v>3.2</v>
      </c>
      <c r="BG69" s="298" cm="1">
        <f t="array" aca="1" ref="BG69" ca="1">INDIRECT("'"&amp;$C69&amp;"'!"&amp;"$"&amp;$D69&amp;$BG$1&amp;"")</f>
        <v>1.54</v>
      </c>
      <c r="BH69" s="296"/>
      <c r="BI69" s="296">
        <v>0.99</v>
      </c>
      <c r="BJ69" s="294">
        <v>0.25</v>
      </c>
      <c r="BK69" s="299" cm="1">
        <f t="array" aca="1" ref="BK69" ca="1">INDIRECT("'"&amp;$C69&amp;"'!"&amp;"$"&amp;$D69&amp;$BK$1&amp;"")</f>
        <v>0.9</v>
      </c>
      <c r="BL69" s="296"/>
      <c r="BM69" s="296">
        <v>0.96</v>
      </c>
      <c r="BN69" s="294">
        <v>0.26</v>
      </c>
      <c r="BO69" s="299" cm="1">
        <f t="array" aca="1" ref="BO69" ca="1">INDIRECT("'"&amp;$C69&amp;"'!"&amp;"$"&amp;$D69&amp;74&amp;"")</f>
        <v>0</v>
      </c>
      <c r="BP69" s="296"/>
      <c r="BQ69" s="296" t="s">
        <v>1</v>
      </c>
      <c r="BR69" s="294" t="s">
        <v>1</v>
      </c>
    </row>
    <row r="70" spans="1:70">
      <c r="A70" s="361">
        <v>45750</v>
      </c>
      <c r="B70" s="358">
        <v>0.625</v>
      </c>
      <c r="C70" s="313">
        <f t="shared" si="1"/>
        <v>3</v>
      </c>
      <c r="D70" s="314" t="s">
        <v>142</v>
      </c>
      <c r="E70" s="286">
        <v>14.1</v>
      </c>
      <c r="F70" s="287">
        <v>69.72</v>
      </c>
      <c r="G70" s="288" cm="1">
        <f t="array" aca="1" ref="G70" ca="1">INDIRECT("'"&amp;$C70&amp;"'!"&amp;"$"&amp;$D70&amp;$E$1&amp;"")</f>
        <v>6.9</v>
      </c>
      <c r="H70" s="289">
        <v>0.93</v>
      </c>
      <c r="I70" s="287">
        <v>2.71</v>
      </c>
      <c r="J70" s="288" cm="1">
        <f t="array" aca="1" ref="J70" ca="1">INDIRECT("'"&amp;$C70&amp;"'!"&amp;"$"&amp;$D70&amp;$J$1&amp;"")</f>
        <v>6.9</v>
      </c>
      <c r="K70" s="289"/>
      <c r="L70" s="289">
        <v>0.93</v>
      </c>
      <c r="M70" s="287">
        <v>2.71</v>
      </c>
      <c r="N70" s="288" cm="1">
        <f t="array" aca="1" ref="N70" ca="1">INDIRECT("'"&amp;$C70&amp;"'!"&amp;"$"&amp;$D70&amp;$N$1&amp;"")</f>
        <v>6.9</v>
      </c>
      <c r="O70" s="289"/>
      <c r="P70" s="289">
        <v>0.93</v>
      </c>
      <c r="Q70" s="287">
        <v>2.71</v>
      </c>
      <c r="R70" s="288" cm="1">
        <f t="array" aca="1" ref="R70" ca="1">INDIRECT("'"&amp;$C70&amp;"'!"&amp;"$"&amp;$D70&amp;$R$1&amp;"")</f>
        <v>6.9</v>
      </c>
      <c r="S70" s="289"/>
      <c r="T70" s="289">
        <v>0.93</v>
      </c>
      <c r="U70" s="287">
        <v>2.71</v>
      </c>
      <c r="V70" s="288" t="str" cm="1">
        <f t="array" aca="1" ref="V70" ca="1">INDIRECT("'"&amp;$C70&amp;"'!"&amp;"$"&amp;$D70&amp;$V$1&amp;"")</f>
        <v>CMS</v>
      </c>
      <c r="W70" s="289" t="s">
        <v>1</v>
      </c>
      <c r="X70" s="289" t="s">
        <v>1</v>
      </c>
      <c r="Y70" s="290" t="s">
        <v>1</v>
      </c>
      <c r="Z70" s="286" cm="1">
        <f t="array" aca="1" ref="Z70" ca="1">INDIRECT("'"&amp;$C70&amp;"'!"&amp;"$"&amp;$D70&amp;$Z$1&amp;"")</f>
        <v>0</v>
      </c>
      <c r="AA70" s="289" t="s">
        <v>1</v>
      </c>
      <c r="AB70" s="289" t="s">
        <v>1</v>
      </c>
      <c r="AC70" s="287" t="s">
        <v>1</v>
      </c>
      <c r="AD70" s="288" cm="1">
        <f t="array" aca="1" ref="AD70" ca="1">INDIRECT("'"&amp;$C70&amp;"'!"&amp;"$"&amp;$D70&amp;$AD$1&amp;"")</f>
        <v>3.9</v>
      </c>
      <c r="AE70" s="289">
        <v>13.299999999999999</v>
      </c>
      <c r="AF70" s="289">
        <v>0.92</v>
      </c>
      <c r="AG70" s="290">
        <v>1.65</v>
      </c>
      <c r="AH70" s="286" cm="1">
        <f t="array" aca="1" ref="AH70" ca="1">INDIRECT("'"&amp;$C70&amp;"'!"&amp;"$"&amp;$D70&amp;$AH$1&amp;"")</f>
        <v>3.8</v>
      </c>
      <c r="AI70" s="289">
        <v>14.04</v>
      </c>
      <c r="AJ70" s="289">
        <v>0.95</v>
      </c>
      <c r="AK70" s="287">
        <v>1.1599999999999999</v>
      </c>
      <c r="AL70" s="286">
        <v>11.8</v>
      </c>
      <c r="AM70" s="290">
        <v>70.2</v>
      </c>
      <c r="AN70" s="286" cm="1">
        <f t="array" aca="1" ref="AN70" ca="1">INDIRECT("'"&amp;$C70&amp;"'!"&amp;"$"&amp;$D70&amp;$AL$1&amp;"")</f>
        <v>4</v>
      </c>
      <c r="AO70" s="289">
        <v>0.93</v>
      </c>
      <c r="AP70" s="287">
        <v>1.6</v>
      </c>
      <c r="AQ70" s="288" t="str" cm="1">
        <f t="array" aca="1" ref="AQ70" ca="1">INDIRECT("'"&amp;$C70&amp;"'!"&amp;"$"&amp;$D70&amp;$AQ$1&amp;"")</f>
        <v>CMS</v>
      </c>
      <c r="AR70" s="289" t="s">
        <v>1</v>
      </c>
      <c r="AS70" s="287" t="s">
        <v>1</v>
      </c>
      <c r="AT70" s="289" t="str" cm="1">
        <f t="array" aca="1" ref="AT70" ca="1">INDIRECT("'"&amp;$C70&amp;"'!"&amp;"$"&amp;$D70&amp;$AT$1&amp;"")</f>
        <v>CMS</v>
      </c>
      <c r="AU70" s="288" t="s">
        <v>1</v>
      </c>
      <c r="AV70" s="289" t="s">
        <v>1</v>
      </c>
      <c r="AW70" s="287" t="s">
        <v>1</v>
      </c>
      <c r="AX70" s="291">
        <v>14.19</v>
      </c>
      <c r="AY70" s="290">
        <v>71.319999999999993</v>
      </c>
      <c r="AZ70" s="291" cm="1">
        <f t="array" aca="1" ref="AZ70" ca="1">INDIRECT("'"&amp;$C70&amp;"'!"&amp;"$"&amp;$D70&amp;$AZ$1&amp;"")</f>
        <v>14.31</v>
      </c>
      <c r="BA70" s="289">
        <v>0.98</v>
      </c>
      <c r="BB70" s="287">
        <v>3.4</v>
      </c>
      <c r="BC70" s="292">
        <v>68.3</v>
      </c>
      <c r="BD70" s="286" cm="1">
        <f t="array" aca="1" ref="BD70" ca="1">INDIRECT("'"&amp;$C70&amp;"'!"&amp;"$"&amp;$D70&amp;$BC$1&amp;"")</f>
        <v>10.099999999999998</v>
      </c>
      <c r="BE70" s="288">
        <v>0.94</v>
      </c>
      <c r="BF70" s="287">
        <v>3.3</v>
      </c>
      <c r="BG70" s="291" cm="1">
        <f t="array" aca="1" ref="BG70" ca="1">INDIRECT("'"&amp;$C70&amp;"'!"&amp;"$"&amp;$D70&amp;$BG$1&amp;"")</f>
        <v>1.53</v>
      </c>
      <c r="BH70" s="289"/>
      <c r="BI70" s="289">
        <v>0.99</v>
      </c>
      <c r="BJ70" s="287">
        <v>0.24</v>
      </c>
      <c r="BK70" s="292" cm="1">
        <f t="array" aca="1" ref="BK70" ca="1">INDIRECT("'"&amp;$C70&amp;"'!"&amp;"$"&amp;$D70&amp;$BK$1&amp;"")</f>
        <v>0.88</v>
      </c>
      <c r="BL70" s="289"/>
      <c r="BM70" s="289">
        <v>0.96</v>
      </c>
      <c r="BN70" s="287">
        <v>0.26</v>
      </c>
      <c r="BO70" s="292" cm="1">
        <f t="array" aca="1" ref="BO70" ca="1">INDIRECT("'"&amp;$C70&amp;"'!"&amp;"$"&amp;$D70&amp;74&amp;"")</f>
        <v>0</v>
      </c>
      <c r="BP70" s="289"/>
      <c r="BQ70" s="289" t="s">
        <v>1</v>
      </c>
      <c r="BR70" s="287" t="s">
        <v>1</v>
      </c>
    </row>
    <row r="71" spans="1:70">
      <c r="A71" s="361">
        <v>45750</v>
      </c>
      <c r="B71" s="358">
        <v>0.66666666666666696</v>
      </c>
      <c r="C71" s="313">
        <f t="shared" si="1"/>
        <v>3</v>
      </c>
      <c r="D71" s="314" t="s">
        <v>143</v>
      </c>
      <c r="E71" s="293">
        <v>14.2</v>
      </c>
      <c r="F71" s="294">
        <v>69.73</v>
      </c>
      <c r="G71" s="295" cm="1">
        <f t="array" aca="1" ref="G71" ca="1">INDIRECT("'"&amp;$C71&amp;"'!"&amp;"$"&amp;$D71&amp;$E$1&amp;"")</f>
        <v>6.6</v>
      </c>
      <c r="H71" s="296">
        <v>0.93</v>
      </c>
      <c r="I71" s="294">
        <v>2.59</v>
      </c>
      <c r="J71" s="295" cm="1">
        <f t="array" aca="1" ref="J71" ca="1">INDIRECT("'"&amp;$C71&amp;"'!"&amp;"$"&amp;$D71&amp;$J$1&amp;"")</f>
        <v>6.6</v>
      </c>
      <c r="K71" s="296"/>
      <c r="L71" s="296">
        <v>0.93</v>
      </c>
      <c r="M71" s="294">
        <v>2.61</v>
      </c>
      <c r="N71" s="295" cm="1">
        <f t="array" aca="1" ref="N71" ca="1">INDIRECT("'"&amp;$C71&amp;"'!"&amp;"$"&amp;$D71&amp;$N$1&amp;"")</f>
        <v>6.6</v>
      </c>
      <c r="O71" s="296"/>
      <c r="P71" s="296">
        <v>0.93</v>
      </c>
      <c r="Q71" s="294">
        <v>2.64</v>
      </c>
      <c r="R71" s="295" cm="1">
        <f t="array" aca="1" ref="R71" ca="1">INDIRECT("'"&amp;$C71&amp;"'!"&amp;"$"&amp;$D71&amp;$R$1&amp;"")</f>
        <v>6.6</v>
      </c>
      <c r="S71" s="296"/>
      <c r="T71" s="296">
        <v>0.93</v>
      </c>
      <c r="U71" s="294">
        <v>2.6</v>
      </c>
      <c r="V71" s="295" t="str" cm="1">
        <f t="array" aca="1" ref="V71" ca="1">INDIRECT("'"&amp;$C71&amp;"'!"&amp;"$"&amp;$D71&amp;$V$1&amp;"")</f>
        <v>CMS</v>
      </c>
      <c r="W71" s="296" t="s">
        <v>1</v>
      </c>
      <c r="X71" s="296" t="s">
        <v>1</v>
      </c>
      <c r="Y71" s="297" t="s">
        <v>1</v>
      </c>
      <c r="Z71" s="293" cm="1">
        <f t="array" aca="1" ref="Z71" ca="1">INDIRECT("'"&amp;$C71&amp;"'!"&amp;"$"&amp;$D71&amp;$Z$1&amp;"")</f>
        <v>0</v>
      </c>
      <c r="AA71" s="296" t="s">
        <v>1</v>
      </c>
      <c r="AB71" s="296" t="s">
        <v>1</v>
      </c>
      <c r="AC71" s="294" t="s">
        <v>1</v>
      </c>
      <c r="AD71" s="295" cm="1">
        <f t="array" aca="1" ref="AD71" ca="1">INDIRECT("'"&amp;$C71&amp;"'!"&amp;"$"&amp;$D71&amp;$AD$1&amp;"")</f>
        <v>3.8</v>
      </c>
      <c r="AE71" s="296">
        <f>3.5*3.8</f>
        <v>13.299999999999999</v>
      </c>
      <c r="AF71" s="296">
        <v>0.92</v>
      </c>
      <c r="AG71" s="297">
        <v>1.64</v>
      </c>
      <c r="AH71" s="293" cm="1">
        <f t="array" aca="1" ref="AH71" ca="1">INDIRECT("'"&amp;$C71&amp;"'!"&amp;"$"&amp;$D71&amp;$AH$1&amp;"")</f>
        <v>3.8</v>
      </c>
      <c r="AI71" s="296">
        <v>14.04</v>
      </c>
      <c r="AJ71" s="296">
        <v>0.95</v>
      </c>
      <c r="AK71" s="294">
        <v>1.1599999999999999</v>
      </c>
      <c r="AL71" s="293">
        <v>11.8</v>
      </c>
      <c r="AM71" s="297">
        <v>70.3</v>
      </c>
      <c r="AN71" s="293" cm="1">
        <f t="array" aca="1" ref="AN71" ca="1">INDIRECT("'"&amp;$C71&amp;"'!"&amp;"$"&amp;$D71&amp;$AL$1&amp;"")</f>
        <v>3.9</v>
      </c>
      <c r="AO71" s="296">
        <v>0.93</v>
      </c>
      <c r="AP71" s="294">
        <v>1.6</v>
      </c>
      <c r="AQ71" s="295" t="str" cm="1">
        <f t="array" aca="1" ref="AQ71" ca="1">INDIRECT("'"&amp;$C71&amp;"'!"&amp;"$"&amp;$D71&amp;$AQ$1&amp;"")</f>
        <v>CMS</v>
      </c>
      <c r="AR71" s="296" t="s">
        <v>1</v>
      </c>
      <c r="AS71" s="294" t="s">
        <v>1</v>
      </c>
      <c r="AT71" s="296" t="str" cm="1">
        <f t="array" aca="1" ref="AT71" ca="1">INDIRECT("'"&amp;$C71&amp;"'!"&amp;"$"&amp;$D71&amp;$AT$1&amp;"")</f>
        <v>CMS</v>
      </c>
      <c r="AU71" s="295" t="s">
        <v>1</v>
      </c>
      <c r="AV71" s="296" t="s">
        <v>1</v>
      </c>
      <c r="AW71" s="294" t="s">
        <v>1</v>
      </c>
      <c r="AX71" s="298">
        <v>14.23</v>
      </c>
      <c r="AY71" s="297">
        <v>71.53</v>
      </c>
      <c r="AZ71" s="298" cm="1">
        <f t="array" aca="1" ref="AZ71" ca="1">INDIRECT("'"&amp;$C71&amp;"'!"&amp;"$"&amp;$D71&amp;$AZ$1&amp;"")</f>
        <v>14.27</v>
      </c>
      <c r="BA71" s="296">
        <v>0.98</v>
      </c>
      <c r="BB71" s="294">
        <v>3.5</v>
      </c>
      <c r="BC71" s="299">
        <v>68.400000000000006</v>
      </c>
      <c r="BD71" s="293" cm="1">
        <f t="array" aca="1" ref="BD71" ca="1">INDIRECT("'"&amp;$C71&amp;"'!"&amp;"$"&amp;$D71&amp;$BC$1&amp;"")</f>
        <v>10.099999999999998</v>
      </c>
      <c r="BE71" s="295">
        <v>0.94</v>
      </c>
      <c r="BF71" s="294">
        <v>3.1</v>
      </c>
      <c r="BG71" s="298" cm="1">
        <f t="array" aca="1" ref="BG71" ca="1">INDIRECT("'"&amp;$C71&amp;"'!"&amp;"$"&amp;$D71&amp;$BG$1&amp;"")</f>
        <v>1.47</v>
      </c>
      <c r="BH71" s="296"/>
      <c r="BI71" s="296">
        <v>0.99</v>
      </c>
      <c r="BJ71" s="294">
        <v>0.22</v>
      </c>
      <c r="BK71" s="299" cm="1">
        <f t="array" aca="1" ref="BK71" ca="1">INDIRECT("'"&amp;$C71&amp;"'!"&amp;"$"&amp;$D71&amp;$BK$1&amp;"")</f>
        <v>0.88</v>
      </c>
      <c r="BL71" s="296"/>
      <c r="BM71" s="296">
        <v>0.96</v>
      </c>
      <c r="BN71" s="294">
        <v>0.26</v>
      </c>
      <c r="BO71" s="299" cm="1">
        <f t="array" aca="1" ref="BO71" ca="1">INDIRECT("'"&amp;$C71&amp;"'!"&amp;"$"&amp;$D71&amp;74&amp;"")</f>
        <v>0</v>
      </c>
      <c r="BP71" s="296"/>
      <c r="BQ71" s="296" t="s">
        <v>1</v>
      </c>
      <c r="BR71" s="294" t="s">
        <v>1</v>
      </c>
    </row>
    <row r="72" spans="1:70">
      <c r="A72" s="361">
        <v>45750</v>
      </c>
      <c r="B72" s="358">
        <v>0.70833333333333404</v>
      </c>
      <c r="C72" s="313">
        <f t="shared" si="1"/>
        <v>3</v>
      </c>
      <c r="D72" s="314" t="s">
        <v>144</v>
      </c>
      <c r="E72" s="286">
        <v>14.1</v>
      </c>
      <c r="F72" s="287">
        <v>69.34</v>
      </c>
      <c r="G72" s="288" cm="1">
        <f t="array" aca="1" ref="G72" ca="1">INDIRECT("'"&amp;$C72&amp;"'!"&amp;"$"&amp;$D72&amp;$E$1&amp;"")</f>
        <v>6.7</v>
      </c>
      <c r="H72" s="289">
        <v>0.97</v>
      </c>
      <c r="I72" s="287">
        <v>1.77</v>
      </c>
      <c r="J72" s="288" cm="1">
        <f t="array" aca="1" ref="J72" ca="1">INDIRECT("'"&amp;$C72&amp;"'!"&amp;"$"&amp;$D72&amp;$J$1&amp;"")</f>
        <v>6.5</v>
      </c>
      <c r="K72" s="289"/>
      <c r="L72" s="289">
        <v>0.9</v>
      </c>
      <c r="M72" s="287">
        <v>3.4</v>
      </c>
      <c r="N72" s="288" cm="1">
        <f t="array" aca="1" ref="N72" ca="1">INDIRECT("'"&amp;$C72&amp;"'!"&amp;"$"&amp;$D72&amp;$N$1&amp;"")</f>
        <v>6.5</v>
      </c>
      <c r="O72" s="289"/>
      <c r="P72" s="289">
        <v>0.9</v>
      </c>
      <c r="Q72" s="287">
        <v>3.12</v>
      </c>
      <c r="R72" s="288" cm="1">
        <f t="array" aca="1" ref="R72" ca="1">INDIRECT("'"&amp;$C72&amp;"'!"&amp;"$"&amp;$D72&amp;$R$1&amp;"")</f>
        <v>6.5</v>
      </c>
      <c r="S72" s="289"/>
      <c r="T72" s="289">
        <v>0.9</v>
      </c>
      <c r="U72" s="287">
        <v>3.5</v>
      </c>
      <c r="V72" s="288" t="str" cm="1">
        <f t="array" aca="1" ref="V72" ca="1">INDIRECT("'"&amp;$C72&amp;"'!"&amp;"$"&amp;$D72&amp;$V$1&amp;"")</f>
        <v>CMS</v>
      </c>
      <c r="W72" s="289" t="s">
        <v>1</v>
      </c>
      <c r="X72" s="289" t="s">
        <v>1</v>
      </c>
      <c r="Y72" s="290" t="s">
        <v>1</v>
      </c>
      <c r="Z72" s="286" cm="1">
        <f t="array" aca="1" ref="Z72" ca="1">INDIRECT("'"&amp;$C72&amp;"'!"&amp;"$"&amp;$D72&amp;$Z$1&amp;"")</f>
        <v>0</v>
      </c>
      <c r="AA72" s="289" t="s">
        <v>1</v>
      </c>
      <c r="AB72" s="289" t="s">
        <v>1</v>
      </c>
      <c r="AC72" s="287" t="s">
        <v>1</v>
      </c>
      <c r="AD72" s="288" cm="1">
        <f t="array" aca="1" ref="AD72" ca="1">INDIRECT("'"&amp;$C72&amp;"'!"&amp;"$"&amp;$D72&amp;$AD$1&amp;"")</f>
        <v>3.8</v>
      </c>
      <c r="AE72" s="289">
        <f>3.45*3.8</f>
        <v>13.11</v>
      </c>
      <c r="AF72" s="289">
        <v>0.92</v>
      </c>
      <c r="AG72" s="290">
        <v>1.62</v>
      </c>
      <c r="AH72" s="286" cm="1">
        <f t="array" aca="1" ref="AH72" ca="1">INDIRECT("'"&amp;$C72&amp;"'!"&amp;"$"&amp;$D72&amp;$AH$1&amp;"")</f>
        <v>3.8</v>
      </c>
      <c r="AI72" s="289">
        <v>14.08</v>
      </c>
      <c r="AJ72" s="289">
        <v>0.96</v>
      </c>
      <c r="AK72" s="287">
        <v>1.04</v>
      </c>
      <c r="AL72" s="286">
        <v>11.8</v>
      </c>
      <c r="AM72" s="290">
        <v>702</v>
      </c>
      <c r="AN72" s="286" cm="1">
        <f t="array" aca="1" ref="AN72" ca="1">INDIRECT("'"&amp;$C72&amp;"'!"&amp;"$"&amp;$D72&amp;$AL$1&amp;"")</f>
        <v>3.7</v>
      </c>
      <c r="AO72" s="289">
        <v>0.92</v>
      </c>
      <c r="AP72" s="287">
        <v>1.7</v>
      </c>
      <c r="AQ72" s="288" t="str" cm="1">
        <f t="array" aca="1" ref="AQ72" ca="1">INDIRECT("'"&amp;$C72&amp;"'!"&amp;"$"&amp;$D72&amp;$AQ$1&amp;"")</f>
        <v>CMS</v>
      </c>
      <c r="AR72" s="289" t="s">
        <v>1</v>
      </c>
      <c r="AS72" s="287" t="s">
        <v>1</v>
      </c>
      <c r="AT72" s="289" t="str" cm="1">
        <f t="array" aca="1" ref="AT72" ca="1">INDIRECT("'"&amp;$C72&amp;"'!"&amp;"$"&amp;$D72&amp;$AT$1&amp;"")</f>
        <v>CMS</v>
      </c>
      <c r="AU72" s="288" t="s">
        <v>1</v>
      </c>
      <c r="AV72" s="289" t="s">
        <v>1</v>
      </c>
      <c r="AW72" s="287" t="s">
        <v>1</v>
      </c>
      <c r="AX72" s="291">
        <v>14.24</v>
      </c>
      <c r="AY72" s="290">
        <v>71.59</v>
      </c>
      <c r="AZ72" s="291" cm="1">
        <f t="array" aca="1" ref="AZ72" ca="1">INDIRECT("'"&amp;$C72&amp;"'!"&amp;"$"&amp;$D72&amp;$AZ$1&amp;"")</f>
        <v>14.32</v>
      </c>
      <c r="BA72" s="289">
        <v>0.98</v>
      </c>
      <c r="BB72" s="287">
        <v>3.5</v>
      </c>
      <c r="BC72" s="292">
        <v>68.3</v>
      </c>
      <c r="BD72" s="286" cm="1">
        <f t="array" aca="1" ref="BD72" ca="1">INDIRECT("'"&amp;$C72&amp;"'!"&amp;"$"&amp;$D72&amp;$BC$1&amp;"")</f>
        <v>7.9000000000000012</v>
      </c>
      <c r="BE72" s="288">
        <v>0.95</v>
      </c>
      <c r="BF72" s="287">
        <v>2.4</v>
      </c>
      <c r="BG72" s="291" cm="1">
        <f t="array" aca="1" ref="BG72" ca="1">INDIRECT("'"&amp;$C72&amp;"'!"&amp;"$"&amp;$D72&amp;$BG$1&amp;"")</f>
        <v>1.44</v>
      </c>
      <c r="BH72" s="289"/>
      <c r="BI72" s="289">
        <v>0.99</v>
      </c>
      <c r="BJ72" s="287">
        <v>0.21</v>
      </c>
      <c r="BK72" s="292" cm="1">
        <f t="array" aca="1" ref="BK72" ca="1">INDIRECT("'"&amp;$C72&amp;"'!"&amp;"$"&amp;$D72&amp;$BK$1&amp;"")</f>
        <v>0.85</v>
      </c>
      <c r="BL72" s="289"/>
      <c r="BM72" s="289">
        <v>0.96</v>
      </c>
      <c r="BN72" s="287">
        <v>0.26</v>
      </c>
      <c r="BO72" s="292" cm="1">
        <f t="array" aca="1" ref="BO72" ca="1">INDIRECT("'"&amp;$C72&amp;"'!"&amp;"$"&amp;$D72&amp;74&amp;"")</f>
        <v>0</v>
      </c>
      <c r="BP72" s="289"/>
      <c r="BQ72" s="289" t="s">
        <v>1</v>
      </c>
      <c r="BR72" s="287" t="s">
        <v>1</v>
      </c>
    </row>
    <row r="73" spans="1:70">
      <c r="A73" s="361">
        <v>45750</v>
      </c>
      <c r="B73" s="358">
        <v>0.750000000000001</v>
      </c>
      <c r="C73" s="313">
        <f t="shared" si="1"/>
        <v>3</v>
      </c>
      <c r="D73" s="314" t="s">
        <v>145</v>
      </c>
      <c r="E73" s="293">
        <v>14.1</v>
      </c>
      <c r="F73" s="294">
        <v>69.36</v>
      </c>
      <c r="G73" s="295" cm="1">
        <f t="array" aca="1" ref="G73" ca="1">INDIRECT("'"&amp;$C73&amp;"'!"&amp;"$"&amp;$D73&amp;$E$1&amp;"")</f>
        <v>6.7</v>
      </c>
      <c r="H73" s="296">
        <v>0.92</v>
      </c>
      <c r="I73" s="294">
        <v>2.74</v>
      </c>
      <c r="J73" s="295" cm="1">
        <f t="array" aca="1" ref="J73" ca="1">INDIRECT("'"&amp;$C73&amp;"'!"&amp;"$"&amp;$D73&amp;$J$1&amp;"")</f>
        <v>6.5</v>
      </c>
      <c r="K73" s="296"/>
      <c r="L73" s="296">
        <v>0.92</v>
      </c>
      <c r="M73" s="294">
        <v>2.71</v>
      </c>
      <c r="N73" s="295" cm="1">
        <f t="array" aca="1" ref="N73" ca="1">INDIRECT("'"&amp;$C73&amp;"'!"&amp;"$"&amp;$D73&amp;$N$1&amp;"")</f>
        <v>6.5</v>
      </c>
      <c r="O73" s="296"/>
      <c r="P73" s="296">
        <v>0.92</v>
      </c>
      <c r="Q73" s="294">
        <v>2.7</v>
      </c>
      <c r="R73" s="295" cm="1">
        <f t="array" aca="1" ref="R73" ca="1">INDIRECT("'"&amp;$C73&amp;"'!"&amp;"$"&amp;$D73&amp;$R$1&amp;"")</f>
        <v>6.5</v>
      </c>
      <c r="S73" s="296"/>
      <c r="T73" s="296">
        <v>0.92</v>
      </c>
      <c r="U73" s="294">
        <v>2.73</v>
      </c>
      <c r="V73" s="295" t="str" cm="1">
        <f t="array" aca="1" ref="V73" ca="1">INDIRECT("'"&amp;$C73&amp;"'!"&amp;"$"&amp;$D73&amp;$V$1&amp;"")</f>
        <v>CMS</v>
      </c>
      <c r="W73" s="296" t="s">
        <v>1</v>
      </c>
      <c r="X73" s="296" t="s">
        <v>1</v>
      </c>
      <c r="Y73" s="297" t="s">
        <v>1</v>
      </c>
      <c r="Z73" s="293" cm="1">
        <f t="array" aca="1" ref="Z73" ca="1">INDIRECT("'"&amp;$C73&amp;"'!"&amp;"$"&amp;$D73&amp;$Z$1&amp;"")</f>
        <v>0</v>
      </c>
      <c r="AA73" s="296" t="s">
        <v>1</v>
      </c>
      <c r="AB73" s="296" t="s">
        <v>1</v>
      </c>
      <c r="AC73" s="294" t="s">
        <v>1</v>
      </c>
      <c r="AD73" s="295" cm="1">
        <f t="array" aca="1" ref="AD73" ca="1">INDIRECT("'"&amp;$C73&amp;"'!"&amp;"$"&amp;$D73&amp;$AD$1&amp;"")</f>
        <v>3.8</v>
      </c>
      <c r="AE73" s="296">
        <f>3.49*3.8</f>
        <v>13.262</v>
      </c>
      <c r="AF73" s="296">
        <v>0.92</v>
      </c>
      <c r="AG73" s="297">
        <v>1.64</v>
      </c>
      <c r="AH73" s="293" cm="1">
        <f t="array" aca="1" ref="AH73" ca="1">INDIRECT("'"&amp;$C73&amp;"'!"&amp;"$"&amp;$D73&amp;$AH$1&amp;"")</f>
        <v>3.8</v>
      </c>
      <c r="AI73" s="296">
        <v>14.04</v>
      </c>
      <c r="AJ73" s="296">
        <v>0.93</v>
      </c>
      <c r="AK73" s="294">
        <v>1.38</v>
      </c>
      <c r="AL73" s="293">
        <v>11.8</v>
      </c>
      <c r="AM73" s="297">
        <v>70.099999999999994</v>
      </c>
      <c r="AN73" s="293" cm="1">
        <f t="array" aca="1" ref="AN73" ca="1">INDIRECT("'"&amp;$C73&amp;"'!"&amp;"$"&amp;$D73&amp;$AL$1&amp;"")</f>
        <v>3.8</v>
      </c>
      <c r="AO73" s="296">
        <v>0.89</v>
      </c>
      <c r="AP73" s="294">
        <v>1.8</v>
      </c>
      <c r="AQ73" s="295" t="str" cm="1">
        <f t="array" aca="1" ref="AQ73" ca="1">INDIRECT("'"&amp;$C73&amp;"'!"&amp;"$"&amp;$D73&amp;$AQ$1&amp;"")</f>
        <v>CMS</v>
      </c>
      <c r="AR73" s="296" t="s">
        <v>1</v>
      </c>
      <c r="AS73" s="294" t="s">
        <v>1</v>
      </c>
      <c r="AT73" s="296" cm="1">
        <f t="array" aca="1" ref="AT73" ca="1">INDIRECT("'"&amp;$C73&amp;"'!"&amp;"$"&amp;$D73&amp;$AT$1&amp;"")</f>
        <v>2</v>
      </c>
      <c r="AU73" s="295">
        <v>13.7</v>
      </c>
      <c r="AV73" s="296">
        <v>0.95</v>
      </c>
      <c r="AW73" s="294">
        <v>0.33</v>
      </c>
      <c r="AX73" s="298">
        <v>14.06</v>
      </c>
      <c r="AY73" s="297">
        <v>71.239999999999995</v>
      </c>
      <c r="AZ73" s="298" cm="1">
        <f t="array" aca="1" ref="AZ73" ca="1">INDIRECT("'"&amp;$C73&amp;"'!"&amp;"$"&amp;$D73&amp;$AZ$1&amp;"")</f>
        <v>14.19</v>
      </c>
      <c r="BA73" s="296">
        <v>0.99</v>
      </c>
      <c r="BB73" s="294">
        <v>2.5</v>
      </c>
      <c r="BC73" s="299">
        <v>67.7</v>
      </c>
      <c r="BD73" s="293" cm="1">
        <f t="array" aca="1" ref="BD73" ca="1">INDIRECT("'"&amp;$C73&amp;"'!"&amp;"$"&amp;$D73&amp;$BC$1&amp;"")</f>
        <v>2.8</v>
      </c>
      <c r="BE73" s="295">
        <v>0.95</v>
      </c>
      <c r="BF73" s="294">
        <v>0.91</v>
      </c>
      <c r="BG73" s="298" cm="1">
        <f t="array" aca="1" ref="BG73" ca="1">INDIRECT("'"&amp;$C73&amp;"'!"&amp;"$"&amp;$D73&amp;$BG$1&amp;"")</f>
        <v>1.39</v>
      </c>
      <c r="BH73" s="296"/>
      <c r="BI73" s="296">
        <v>0.99</v>
      </c>
      <c r="BJ73" s="294">
        <v>0.2</v>
      </c>
      <c r="BK73" s="299" cm="1">
        <f t="array" aca="1" ref="BK73" ca="1">INDIRECT("'"&amp;$C73&amp;"'!"&amp;"$"&amp;$D73&amp;$BK$1&amp;"")</f>
        <v>0.86</v>
      </c>
      <c r="BL73" s="296"/>
      <c r="BM73" s="296">
        <v>0.96</v>
      </c>
      <c r="BN73" s="294">
        <v>0.26</v>
      </c>
      <c r="BO73" s="299" cm="1">
        <f t="array" aca="1" ref="BO73" ca="1">INDIRECT("'"&amp;$C73&amp;"'!"&amp;"$"&amp;$D73&amp;74&amp;"")</f>
        <v>0</v>
      </c>
      <c r="BP73" s="296"/>
      <c r="BQ73" s="296" t="s">
        <v>1</v>
      </c>
      <c r="BR73" s="294" t="s">
        <v>1</v>
      </c>
    </row>
    <row r="74" spans="1:70">
      <c r="A74" s="361">
        <v>45750</v>
      </c>
      <c r="B74" s="358">
        <v>0.79166666666666696</v>
      </c>
      <c r="C74" s="313">
        <f t="shared" si="1"/>
        <v>3</v>
      </c>
      <c r="D74" s="314" t="s">
        <v>146</v>
      </c>
      <c r="E74" s="286">
        <v>14.2</v>
      </c>
      <c r="F74" s="287">
        <v>69.23</v>
      </c>
      <c r="G74" s="288" cm="1">
        <f t="array" aca="1" ref="G74" ca="1">INDIRECT("'"&amp;$C74&amp;"'!"&amp;"$"&amp;$D74&amp;$E$1&amp;"")</f>
        <v>6.7</v>
      </c>
      <c r="H74" s="289">
        <v>0.98</v>
      </c>
      <c r="I74" s="287">
        <v>1.34</v>
      </c>
      <c r="J74" s="288" cm="1">
        <f t="array" aca="1" ref="J74" ca="1">INDIRECT("'"&amp;$C74&amp;"'!"&amp;"$"&amp;$D74&amp;$J$1&amp;"")</f>
        <v>2.7</v>
      </c>
      <c r="K74" s="300"/>
      <c r="L74" s="289">
        <v>0.98</v>
      </c>
      <c r="M74" s="287">
        <v>0.56000000000000005</v>
      </c>
      <c r="N74" s="288" cm="1">
        <f t="array" aca="1" ref="N74" ca="1">INDIRECT("'"&amp;$C74&amp;"'!"&amp;"$"&amp;$D74&amp;$N$1&amp;"")</f>
        <v>6.6</v>
      </c>
      <c r="O74" s="289"/>
      <c r="P74" s="289">
        <v>0.96</v>
      </c>
      <c r="Q74" s="287">
        <v>1.89</v>
      </c>
      <c r="R74" s="288" cm="1">
        <f t="array" aca="1" ref="R74" ca="1">INDIRECT("'"&amp;$C74&amp;"'!"&amp;"$"&amp;$D74&amp;$R$1&amp;"")</f>
        <v>6.6</v>
      </c>
      <c r="S74" s="289"/>
      <c r="T74" s="289">
        <v>0.96</v>
      </c>
      <c r="U74" s="287">
        <v>2</v>
      </c>
      <c r="V74" s="288" cm="1">
        <f t="array" aca="1" ref="V74" ca="1">INDIRECT("'"&amp;$C74&amp;"'!"&amp;"$"&amp;$D74&amp;$V$1&amp;"")</f>
        <v>2.8</v>
      </c>
      <c r="W74" s="289">
        <f>3.5*3.8</f>
        <v>13.299999999999999</v>
      </c>
      <c r="X74" s="289">
        <v>0.95</v>
      </c>
      <c r="Y74" s="290">
        <v>0.83</v>
      </c>
      <c r="Z74" s="286" cm="1">
        <f t="array" aca="1" ref="Z74" ca="1">INDIRECT("'"&amp;$C74&amp;"'!"&amp;"$"&amp;$D74&amp;$Z$1&amp;"")</f>
        <v>0</v>
      </c>
      <c r="AA74" s="289" t="s">
        <v>1</v>
      </c>
      <c r="AB74" s="289" t="s">
        <v>1</v>
      </c>
      <c r="AC74" s="287" t="s">
        <v>1</v>
      </c>
      <c r="AD74" s="288" cm="1">
        <f t="array" aca="1" ref="AD74" ca="1">INDIRECT("'"&amp;$C74&amp;"'!"&amp;"$"&amp;$D74&amp;$AD$1&amp;"")</f>
        <v>3.6</v>
      </c>
      <c r="AE74" s="289">
        <f>3.5*3.8</f>
        <v>13.299999999999999</v>
      </c>
      <c r="AF74" s="289">
        <v>0.95</v>
      </c>
      <c r="AG74" s="290">
        <v>1.1399999999999999</v>
      </c>
      <c r="AH74" s="286" cm="1">
        <f t="array" aca="1" ref="AH74" ca="1">INDIRECT("'"&amp;$C74&amp;"'!"&amp;"$"&amp;$D74&amp;$AH$1&amp;"")</f>
        <v>3.8</v>
      </c>
      <c r="AI74" s="289">
        <v>14.04</v>
      </c>
      <c r="AJ74" s="289">
        <v>0.94</v>
      </c>
      <c r="AK74" s="287">
        <v>1.31</v>
      </c>
      <c r="AL74" s="286">
        <v>11.9</v>
      </c>
      <c r="AM74" s="290">
        <v>70.7</v>
      </c>
      <c r="AN74" s="286" cm="1">
        <f t="array" aca="1" ref="AN74" ca="1">INDIRECT("'"&amp;$C74&amp;"'!"&amp;"$"&amp;$D74&amp;$AL$1&amp;"")</f>
        <v>3.9</v>
      </c>
      <c r="AO74" s="289">
        <v>0.94</v>
      </c>
      <c r="AP74" s="287">
        <v>1.1000000000000001</v>
      </c>
      <c r="AQ74" s="288" t="str" cm="1">
        <f t="array" aca="1" ref="AQ74" ca="1">INDIRECT("'"&amp;$C74&amp;"'!"&amp;"$"&amp;$D74&amp;$AQ$1&amp;"")</f>
        <v>CMS</v>
      </c>
      <c r="AR74" s="289" t="s">
        <v>1</v>
      </c>
      <c r="AS74" s="287" t="s">
        <v>1</v>
      </c>
      <c r="AT74" s="289" cm="1">
        <f t="array" aca="1" ref="AT74" ca="1">INDIRECT("'"&amp;$C74&amp;"'!"&amp;"$"&amp;$D74&amp;$AT$1&amp;"")</f>
        <v>2</v>
      </c>
      <c r="AU74" s="288">
        <v>13.8</v>
      </c>
      <c r="AV74" s="289">
        <v>0.98</v>
      </c>
      <c r="AW74" s="287">
        <v>0.46</v>
      </c>
      <c r="AX74" s="291">
        <v>14.07</v>
      </c>
      <c r="AY74" s="290">
        <v>71.14</v>
      </c>
      <c r="AZ74" s="291" cm="1">
        <f t="array" aca="1" ref="AZ74" ca="1">INDIRECT("'"&amp;$C74&amp;"'!"&amp;"$"&amp;$D74&amp;$AZ$1&amp;"")</f>
        <v>14.19</v>
      </c>
      <c r="BA74" s="289">
        <v>0.99</v>
      </c>
      <c r="BB74" s="287">
        <v>2.4</v>
      </c>
      <c r="BC74" s="292">
        <v>68.8</v>
      </c>
      <c r="BD74" s="286" cm="1">
        <f t="array" aca="1" ref="BD74" ca="1">INDIRECT("'"&amp;$C74&amp;"'!"&amp;"$"&amp;$D74&amp;$BC$1&amp;"")</f>
        <v>8.7000000000000011</v>
      </c>
      <c r="BE74" s="288">
        <v>0.96</v>
      </c>
      <c r="BF74" s="287">
        <v>2.2999999999999998</v>
      </c>
      <c r="BG74" s="291" cm="1">
        <f t="array" aca="1" ref="BG74" ca="1">INDIRECT("'"&amp;$C74&amp;"'!"&amp;"$"&amp;$D74&amp;$BG$1&amp;"")</f>
        <v>1.67</v>
      </c>
      <c r="BH74" s="289"/>
      <c r="BI74" s="289">
        <v>0.99</v>
      </c>
      <c r="BJ74" s="287">
        <v>0.22</v>
      </c>
      <c r="BK74" s="292" cm="1">
        <f t="array" aca="1" ref="BK74" ca="1">INDIRECT("'"&amp;$C74&amp;"'!"&amp;"$"&amp;$D74&amp;$BK$1&amp;"")</f>
        <v>0.97</v>
      </c>
      <c r="BL74" s="289"/>
      <c r="BM74" s="289">
        <v>0.96</v>
      </c>
      <c r="BN74" s="287">
        <v>0.24</v>
      </c>
      <c r="BO74" s="292" cm="1">
        <f t="array" aca="1" ref="BO74" ca="1">INDIRECT("'"&amp;$C74&amp;"'!"&amp;"$"&amp;$D74&amp;74&amp;"")</f>
        <v>0</v>
      </c>
      <c r="BP74" s="289"/>
      <c r="BQ74" s="289" t="s">
        <v>1</v>
      </c>
      <c r="BR74" s="287" t="s">
        <v>1</v>
      </c>
    </row>
    <row r="75" spans="1:70">
      <c r="A75" s="361">
        <v>45750</v>
      </c>
      <c r="B75" s="358">
        <v>0.83333333333333337</v>
      </c>
      <c r="C75" s="313">
        <f t="shared" si="1"/>
        <v>3</v>
      </c>
      <c r="D75" s="314" t="s">
        <v>147</v>
      </c>
      <c r="E75" s="293">
        <v>14.1</v>
      </c>
      <c r="F75" s="294">
        <v>70.14</v>
      </c>
      <c r="G75" s="295" cm="1">
        <f t="array" aca="1" ref="G75" ca="1">INDIRECT("'"&amp;$C75&amp;"'!"&amp;"$"&amp;$D75&amp;$E$1&amp;"")</f>
        <v>6.5</v>
      </c>
      <c r="H75" s="296">
        <v>0.96</v>
      </c>
      <c r="I75" s="294">
        <v>1.9</v>
      </c>
      <c r="J75" s="295" t="str" cm="1">
        <f t="array" aca="1" ref="J75" ca="1">INDIRECT("'"&amp;$C75&amp;"'!"&amp;"$"&amp;$D75&amp;$J$1&amp;"")</f>
        <v>CMS</v>
      </c>
      <c r="K75" s="296"/>
      <c r="L75" s="296" t="s">
        <v>1</v>
      </c>
      <c r="M75" s="294" t="s">
        <v>1</v>
      </c>
      <c r="N75" s="295" cm="1">
        <f t="array" aca="1" ref="N75" ca="1">INDIRECT("'"&amp;$C75&amp;"'!"&amp;"$"&amp;$D75&amp;$N$1&amp;"")</f>
        <v>6.5</v>
      </c>
      <c r="O75" s="296"/>
      <c r="P75" s="296">
        <v>0.96</v>
      </c>
      <c r="Q75" s="294">
        <v>1.9</v>
      </c>
      <c r="R75" s="295" cm="1">
        <f t="array" aca="1" ref="R75" ca="1">INDIRECT("'"&amp;$C75&amp;"'!"&amp;"$"&amp;$D75&amp;$R$1&amp;"")</f>
        <v>6.5</v>
      </c>
      <c r="S75" s="296"/>
      <c r="T75" s="296">
        <v>0.96</v>
      </c>
      <c r="U75" s="294">
        <v>1.9</v>
      </c>
      <c r="V75" s="295" cm="1">
        <f t="array" aca="1" ref="V75" ca="1">INDIRECT("'"&amp;$C75&amp;"'!"&amp;"$"&amp;$D75&amp;$V$1&amp;"")</f>
        <v>2.8</v>
      </c>
      <c r="W75" s="296">
        <f>3.8*3.54</f>
        <v>13.452</v>
      </c>
      <c r="X75" s="296">
        <v>0.97</v>
      </c>
      <c r="Y75" s="297">
        <v>0.55000000000000004</v>
      </c>
      <c r="Z75" s="293" cm="1">
        <f t="array" aca="1" ref="Z75" ca="1">INDIRECT("'"&amp;$C75&amp;"'!"&amp;"$"&amp;$D75&amp;$Z$1&amp;"")</f>
        <v>0</v>
      </c>
      <c r="AA75" s="296" t="s">
        <v>1</v>
      </c>
      <c r="AB75" s="296" t="s">
        <v>1</v>
      </c>
      <c r="AC75" s="294" t="s">
        <v>1</v>
      </c>
      <c r="AD75" s="295" cm="1">
        <f t="array" aca="1" ref="AD75" ca="1">INDIRECT("'"&amp;$C75&amp;"'!"&amp;"$"&amp;$D75&amp;$AD$1&amp;"")</f>
        <v>3.8</v>
      </c>
      <c r="AE75" s="296">
        <f>3.8*3.54</f>
        <v>13.452</v>
      </c>
      <c r="AF75" s="296">
        <v>0.96</v>
      </c>
      <c r="AG75" s="297">
        <v>1.05</v>
      </c>
      <c r="AH75" s="293" cm="1">
        <f t="array" aca="1" ref="AH75" ca="1">INDIRECT("'"&amp;$C75&amp;"'!"&amp;"$"&amp;$D75&amp;$AH$1&amp;"")</f>
        <v>3.8</v>
      </c>
      <c r="AI75" s="296">
        <v>14.08</v>
      </c>
      <c r="AJ75" s="296">
        <v>0.97</v>
      </c>
      <c r="AK75" s="294">
        <v>0.93</v>
      </c>
      <c r="AL75" s="293">
        <v>11.9</v>
      </c>
      <c r="AM75" s="297">
        <v>70.8</v>
      </c>
      <c r="AN75" s="293" cm="1">
        <f t="array" aca="1" ref="AN75" ca="1">INDIRECT("'"&amp;$C75&amp;"'!"&amp;"$"&amp;$D75&amp;$AL$1&amp;"")</f>
        <v>3.9</v>
      </c>
      <c r="AO75" s="296">
        <v>0.97</v>
      </c>
      <c r="AP75" s="294">
        <v>0.8</v>
      </c>
      <c r="AQ75" s="295" t="str" cm="1">
        <f t="array" aca="1" ref="AQ75" ca="1">INDIRECT("'"&amp;$C75&amp;"'!"&amp;"$"&amp;$D75&amp;$AQ$1&amp;"")</f>
        <v>CMS</v>
      </c>
      <c r="AR75" s="296" t="s">
        <v>1</v>
      </c>
      <c r="AS75" s="294" t="s">
        <v>1</v>
      </c>
      <c r="AT75" s="296" cm="1">
        <f t="array" aca="1" ref="AT75" ca="1">INDIRECT("'"&amp;$C75&amp;"'!"&amp;"$"&amp;$D75&amp;$AT$1&amp;"")</f>
        <v>2.8</v>
      </c>
      <c r="AU75" s="295">
        <v>13.8</v>
      </c>
      <c r="AV75" s="296">
        <v>0.98</v>
      </c>
      <c r="AW75" s="294">
        <v>0.55000000000000004</v>
      </c>
      <c r="AX75" s="298">
        <v>14.18</v>
      </c>
      <c r="AY75" s="297">
        <v>71.72</v>
      </c>
      <c r="AZ75" s="298" cm="1">
        <f t="array" aca="1" ref="AZ75" ca="1">INDIRECT("'"&amp;$C75&amp;"'!"&amp;"$"&amp;$D75&amp;$AZ$1&amp;"")</f>
        <v>14.25</v>
      </c>
      <c r="BA75" s="296">
        <v>0.99</v>
      </c>
      <c r="BB75" s="294">
        <v>2.4</v>
      </c>
      <c r="BC75" s="299">
        <v>69.099999999999994</v>
      </c>
      <c r="BD75" s="293" cm="1">
        <f t="array" aca="1" ref="BD75" ca="1">INDIRECT("'"&amp;$C75&amp;"'!"&amp;"$"&amp;$D75&amp;$BC$1&amp;"")</f>
        <v>7.1999999999999984</v>
      </c>
      <c r="BE75" s="295">
        <v>0.97</v>
      </c>
      <c r="BF75" s="294">
        <v>1.6</v>
      </c>
      <c r="BG75" s="298" cm="1">
        <f t="array" aca="1" ref="BG75" ca="1">INDIRECT("'"&amp;$C75&amp;"'!"&amp;"$"&amp;$D75&amp;$BG$1&amp;"")</f>
        <v>1.05</v>
      </c>
      <c r="BH75" s="296"/>
      <c r="BI75" s="296">
        <v>0.99</v>
      </c>
      <c r="BJ75" s="294">
        <v>0.12</v>
      </c>
      <c r="BK75" s="299" cm="1">
        <f t="array" aca="1" ref="BK75" ca="1">INDIRECT("'"&amp;$C75&amp;"'!"&amp;"$"&amp;$D75&amp;$BK$1&amp;"")</f>
        <v>0.83</v>
      </c>
      <c r="BL75" s="296"/>
      <c r="BM75" s="296">
        <v>0.96</v>
      </c>
      <c r="BN75" s="294">
        <v>0.21</v>
      </c>
      <c r="BO75" s="299" cm="1">
        <f t="array" aca="1" ref="BO75" ca="1">INDIRECT("'"&amp;$C75&amp;"'!"&amp;"$"&amp;$D75&amp;74&amp;"")</f>
        <v>0</v>
      </c>
      <c r="BP75" s="296"/>
      <c r="BQ75" s="296" t="s">
        <v>1</v>
      </c>
      <c r="BR75" s="294" t="s">
        <v>1</v>
      </c>
    </row>
    <row r="76" spans="1:70">
      <c r="A76" s="361">
        <v>45750</v>
      </c>
      <c r="B76" s="358">
        <v>0.875000000000001</v>
      </c>
      <c r="C76" s="313">
        <f t="shared" si="1"/>
        <v>3</v>
      </c>
      <c r="D76" s="314" t="s">
        <v>148</v>
      </c>
      <c r="E76" s="286">
        <v>14.1</v>
      </c>
      <c r="F76" s="287">
        <v>70.5</v>
      </c>
      <c r="G76" s="288" cm="1">
        <f t="array" aca="1" ref="G76" ca="1">INDIRECT("'"&amp;$C76&amp;"'!"&amp;"$"&amp;$D76&amp;$E$1&amp;"")</f>
        <v>6.7</v>
      </c>
      <c r="H76" s="289">
        <v>0.98</v>
      </c>
      <c r="I76" s="287">
        <v>1.3</v>
      </c>
      <c r="J76" s="288" t="str" cm="1">
        <f t="array" aca="1" ref="J76" ca="1">INDIRECT("'"&amp;$C76&amp;"'!"&amp;"$"&amp;$D76&amp;$J$1&amp;"")</f>
        <v>CMS</v>
      </c>
      <c r="K76" s="289"/>
      <c r="L76" s="289" t="s">
        <v>1</v>
      </c>
      <c r="M76" s="287" t="s">
        <v>1</v>
      </c>
      <c r="N76" s="288" cm="1">
        <f t="array" aca="1" ref="N76" ca="1">INDIRECT("'"&amp;$C76&amp;"'!"&amp;"$"&amp;$D76&amp;$N$1&amp;"")</f>
        <v>6.7</v>
      </c>
      <c r="O76" s="289"/>
      <c r="P76" s="289">
        <v>0.98</v>
      </c>
      <c r="Q76" s="287">
        <v>1.3</v>
      </c>
      <c r="R76" s="288" cm="1">
        <f t="array" aca="1" ref="R76" ca="1">INDIRECT("'"&amp;$C76&amp;"'!"&amp;"$"&amp;$D76&amp;$R$1&amp;"")</f>
        <v>6.7</v>
      </c>
      <c r="S76" s="289"/>
      <c r="T76" s="289">
        <v>0.98</v>
      </c>
      <c r="U76" s="287">
        <v>1.3</v>
      </c>
      <c r="V76" s="288" cm="1">
        <f t="array" aca="1" ref="V76" ca="1">INDIRECT("'"&amp;$C76&amp;"'!"&amp;"$"&amp;$D76&amp;$V$1&amp;"")</f>
        <v>2.8</v>
      </c>
      <c r="W76" s="289">
        <f>3.8*3.57</f>
        <v>13.565999999999999</v>
      </c>
      <c r="X76" s="289">
        <v>0.98</v>
      </c>
      <c r="Y76" s="290">
        <v>0.45</v>
      </c>
      <c r="Z76" s="286" cm="1">
        <f t="array" aca="1" ref="Z76" ca="1">INDIRECT("'"&amp;$C76&amp;"'!"&amp;"$"&amp;$D76&amp;$Z$1&amp;"")</f>
        <v>0</v>
      </c>
      <c r="AA76" s="289" t="s">
        <v>1</v>
      </c>
      <c r="AB76" s="289" t="s">
        <v>1</v>
      </c>
      <c r="AC76" s="287" t="s">
        <v>1</v>
      </c>
      <c r="AD76" s="288" cm="1">
        <f t="array" aca="1" ref="AD76" ca="1">INDIRECT("'"&amp;$C76&amp;"'!"&amp;"$"&amp;$D76&amp;$AD$1&amp;"")</f>
        <v>3.8</v>
      </c>
      <c r="AE76" s="289">
        <f>3.8*3.57</f>
        <v>13.565999999999999</v>
      </c>
      <c r="AF76" s="289">
        <v>0.97</v>
      </c>
      <c r="AG76" s="290">
        <v>0.89</v>
      </c>
      <c r="AH76" s="286" cm="1">
        <f t="array" aca="1" ref="AH76" ca="1">INDIRECT("'"&amp;$C76&amp;"'!"&amp;"$"&amp;$D76&amp;$AH$1&amp;"")</f>
        <v>3.8</v>
      </c>
      <c r="AI76" s="289">
        <v>14.08</v>
      </c>
      <c r="AJ76" s="289">
        <v>0.97</v>
      </c>
      <c r="AK76" s="287">
        <v>0.91100000000000003</v>
      </c>
      <c r="AL76" s="286">
        <v>11.8</v>
      </c>
      <c r="AM76" s="290">
        <v>70.8</v>
      </c>
      <c r="AN76" s="286" cm="1">
        <f t="array" aca="1" ref="AN76" ca="1">INDIRECT("'"&amp;$C76&amp;"'!"&amp;"$"&amp;$D76&amp;$AL$1&amp;"")</f>
        <v>4.2</v>
      </c>
      <c r="AO76" s="289">
        <v>0.97</v>
      </c>
      <c r="AP76" s="287">
        <v>0.93</v>
      </c>
      <c r="AQ76" s="288" t="str" cm="1">
        <f t="array" aca="1" ref="AQ76" ca="1">INDIRECT("'"&amp;$C76&amp;"'!"&amp;"$"&amp;$D76&amp;$AQ$1&amp;"")</f>
        <v>CMS</v>
      </c>
      <c r="AR76" s="289" t="s">
        <v>1</v>
      </c>
      <c r="AS76" s="287" t="s">
        <v>1</v>
      </c>
      <c r="AT76" s="289" cm="1">
        <f t="array" aca="1" ref="AT76" ca="1">INDIRECT("'"&amp;$C76&amp;"'!"&amp;"$"&amp;$D76&amp;$AT$1&amp;"")</f>
        <v>0</v>
      </c>
      <c r="AU76" s="288" t="s">
        <v>1</v>
      </c>
      <c r="AV76" s="289" t="s">
        <v>1</v>
      </c>
      <c r="AW76" s="287" t="s">
        <v>1</v>
      </c>
      <c r="AX76" s="291">
        <v>14.16</v>
      </c>
      <c r="AY76" s="290">
        <v>71.7</v>
      </c>
      <c r="AZ76" s="291" cm="1">
        <f t="array" aca="1" ref="AZ76" ca="1">INDIRECT("'"&amp;$C76&amp;"'!"&amp;"$"&amp;$D76&amp;$AZ$1&amp;"")</f>
        <v>14.29</v>
      </c>
      <c r="BA76" s="289">
        <v>0.99</v>
      </c>
      <c r="BB76" s="287">
        <v>2.4</v>
      </c>
      <c r="BC76" s="292">
        <v>69.400000000000006</v>
      </c>
      <c r="BD76" s="286" cm="1">
        <f t="array" aca="1" ref="BD76" ca="1">INDIRECT("'"&amp;$C76&amp;"'!"&amp;"$"&amp;$D76&amp;$BC$1&amp;"")</f>
        <v>5.6000000000000005</v>
      </c>
      <c r="BE76" s="288">
        <v>0.97</v>
      </c>
      <c r="BF76" s="287">
        <v>1.4</v>
      </c>
      <c r="BG76" s="291" cm="1">
        <f t="array" aca="1" ref="BG76" ca="1">INDIRECT("'"&amp;$C76&amp;"'!"&amp;"$"&amp;$D76&amp;$BG$1&amp;"")</f>
        <v>1.37</v>
      </c>
      <c r="BH76" s="289"/>
      <c r="BI76" s="289">
        <v>0.99</v>
      </c>
      <c r="BJ76" s="287">
        <v>0.18</v>
      </c>
      <c r="BK76" s="292" cm="1">
        <f t="array" aca="1" ref="BK76" ca="1">INDIRECT("'"&amp;$C76&amp;"'!"&amp;"$"&amp;$D76&amp;$BK$1&amp;"")</f>
        <v>0.93</v>
      </c>
      <c r="BL76" s="289"/>
      <c r="BM76" s="289">
        <v>0.97</v>
      </c>
      <c r="BN76" s="287">
        <v>0.24</v>
      </c>
      <c r="BO76" s="292" cm="1">
        <f t="array" aca="1" ref="BO76" ca="1">INDIRECT("'"&amp;$C76&amp;"'!"&amp;"$"&amp;$D76&amp;74&amp;"")</f>
        <v>0</v>
      </c>
      <c r="BP76" s="289"/>
      <c r="BQ76" s="289" t="s">
        <v>1</v>
      </c>
      <c r="BR76" s="287" t="s">
        <v>1</v>
      </c>
    </row>
    <row r="77" spans="1:70">
      <c r="A77" s="361">
        <v>45750</v>
      </c>
      <c r="B77" s="358">
        <v>0.91666666666666696</v>
      </c>
      <c r="C77" s="313">
        <f t="shared" si="1"/>
        <v>3</v>
      </c>
      <c r="D77" s="314" t="s">
        <v>149</v>
      </c>
      <c r="E77" s="293">
        <v>14.1</v>
      </c>
      <c r="F77" s="294">
        <v>70.349999999999994</v>
      </c>
      <c r="G77" s="295" cm="1">
        <f t="array" aca="1" ref="G77" ca="1">INDIRECT("'"&amp;$C77&amp;"'!"&amp;"$"&amp;$D77&amp;$E$1&amp;"")</f>
        <v>6.5</v>
      </c>
      <c r="H77" s="296">
        <v>0.98</v>
      </c>
      <c r="I77" s="294">
        <v>1.35</v>
      </c>
      <c r="J77" s="295" t="str" cm="1">
        <f t="array" aca="1" ref="J77" ca="1">INDIRECT("'"&amp;$C77&amp;"'!"&amp;"$"&amp;$D77&amp;$J$1&amp;"")</f>
        <v>CMS</v>
      </c>
      <c r="K77" s="296"/>
      <c r="L77" s="296" t="s">
        <v>1</v>
      </c>
      <c r="M77" s="294" t="s">
        <v>1</v>
      </c>
      <c r="N77" s="295" cm="1">
        <f t="array" aca="1" ref="N77" ca="1">INDIRECT("'"&amp;$C77&amp;"'!"&amp;"$"&amp;$D77&amp;$N$1&amp;"")</f>
        <v>6.5</v>
      </c>
      <c r="O77" s="296"/>
      <c r="P77" s="296">
        <v>0.98</v>
      </c>
      <c r="Q77" s="294">
        <v>1.35</v>
      </c>
      <c r="R77" s="295" cm="1">
        <f t="array" aca="1" ref="R77" ca="1">INDIRECT("'"&amp;$C77&amp;"'!"&amp;"$"&amp;$D77&amp;$R$1&amp;"")</f>
        <v>6.5</v>
      </c>
      <c r="S77" s="296"/>
      <c r="T77" s="296">
        <v>0.98</v>
      </c>
      <c r="U77" s="294">
        <v>1.35</v>
      </c>
      <c r="V77" s="295" cm="1">
        <f t="array" aca="1" ref="V77" ca="1">INDIRECT("'"&amp;$C77&amp;"'!"&amp;"$"&amp;$D77&amp;$V$1&amp;"")</f>
        <v>2.8</v>
      </c>
      <c r="W77" s="296">
        <f>3.8*3.58</f>
        <v>13.603999999999999</v>
      </c>
      <c r="X77" s="296">
        <v>0.98</v>
      </c>
      <c r="Y77" s="297">
        <v>0.47</v>
      </c>
      <c r="Z77" s="293" cm="1">
        <f t="array" aca="1" ref="Z77" ca="1">INDIRECT("'"&amp;$C77&amp;"'!"&amp;"$"&amp;$D77&amp;$Z$1&amp;"")</f>
        <v>0</v>
      </c>
      <c r="AA77" s="296" t="s">
        <v>1</v>
      </c>
      <c r="AB77" s="296" t="s">
        <v>1</v>
      </c>
      <c r="AC77" s="294" t="s">
        <v>1</v>
      </c>
      <c r="AD77" s="295" cm="1">
        <f t="array" aca="1" ref="AD77" ca="1">INDIRECT("'"&amp;$C77&amp;"'!"&amp;"$"&amp;$D77&amp;$AD$1&amp;"")</f>
        <v>3.8</v>
      </c>
      <c r="AE77" s="296">
        <f>3.8*3.58</f>
        <v>13.603999999999999</v>
      </c>
      <c r="AF77" s="296">
        <v>0.98</v>
      </c>
      <c r="AG77" s="297">
        <v>0.97</v>
      </c>
      <c r="AH77" s="293" cm="1">
        <f t="array" aca="1" ref="AH77" ca="1">INDIRECT("'"&amp;$C77&amp;"'!"&amp;"$"&amp;$D77&amp;$AH$1&amp;"")</f>
        <v>3.8</v>
      </c>
      <c r="AI77" s="296">
        <v>14.08</v>
      </c>
      <c r="AJ77" s="296">
        <v>0.98</v>
      </c>
      <c r="AK77" s="294">
        <v>0.80300000000000005</v>
      </c>
      <c r="AL77" s="293">
        <v>11.8</v>
      </c>
      <c r="AM77" s="297">
        <v>70.900000000000006</v>
      </c>
      <c r="AN77" s="293" cm="1">
        <f t="array" aca="1" ref="AN77" ca="1">INDIRECT("'"&amp;$C77&amp;"'!"&amp;"$"&amp;$D77&amp;$AL$1&amp;"")</f>
        <v>2.2000000000000002</v>
      </c>
      <c r="AO77" s="296">
        <v>0.98</v>
      </c>
      <c r="AP77" s="294">
        <v>0.48</v>
      </c>
      <c r="AQ77" s="295" cm="1">
        <f t="array" aca="1" ref="AQ77" ca="1">INDIRECT("'"&amp;$C77&amp;"'!"&amp;"$"&amp;$D77&amp;$AQ$1&amp;"")</f>
        <v>2</v>
      </c>
      <c r="AR77" s="296">
        <v>0.98</v>
      </c>
      <c r="AS77" s="294">
        <v>0.38</v>
      </c>
      <c r="AT77" s="296" cm="1">
        <f t="array" aca="1" ref="AT77" ca="1">INDIRECT("'"&amp;$C77&amp;"'!"&amp;"$"&amp;$D77&amp;$AT$1&amp;"")</f>
        <v>0</v>
      </c>
      <c r="AU77" s="295" t="s">
        <v>1</v>
      </c>
      <c r="AV77" s="296" t="s">
        <v>1</v>
      </c>
      <c r="AW77" s="294" t="s">
        <v>1</v>
      </c>
      <c r="AX77" s="298">
        <v>14.19</v>
      </c>
      <c r="AY77" s="297">
        <v>71.88</v>
      </c>
      <c r="AZ77" s="298" cm="1">
        <f t="array" aca="1" ref="AZ77" ca="1">INDIRECT("'"&amp;$C77&amp;"'!"&amp;"$"&amp;$D77&amp;$AZ$1&amp;"")</f>
        <v>14.31</v>
      </c>
      <c r="BA77" s="296">
        <v>0.99</v>
      </c>
      <c r="BB77" s="294">
        <v>2.4</v>
      </c>
      <c r="BC77" s="299">
        <v>69.3</v>
      </c>
      <c r="BD77" s="293" cm="1">
        <f t="array" aca="1" ref="BD77" ca="1">INDIRECT("'"&amp;$C77&amp;"'!"&amp;"$"&amp;$D77&amp;$BC$1&amp;"")</f>
        <v>2.0999999999999996</v>
      </c>
      <c r="BE77" s="295">
        <v>0.97</v>
      </c>
      <c r="BF77" s="294">
        <v>0.52</v>
      </c>
      <c r="BG77" s="298" cm="1">
        <f t="array" aca="1" ref="BG77" ca="1">INDIRECT("'"&amp;$C77&amp;"'!"&amp;"$"&amp;$D77&amp;$BG$1&amp;"")</f>
        <v>1.33</v>
      </c>
      <c r="BH77" s="296"/>
      <c r="BI77" s="296">
        <v>0.99</v>
      </c>
      <c r="BJ77" s="294">
        <v>0.19</v>
      </c>
      <c r="BK77" s="299" cm="1">
        <f t="array" aca="1" ref="BK77" ca="1">INDIRECT("'"&amp;$C77&amp;"'!"&amp;"$"&amp;$D77&amp;$BK$1&amp;"")</f>
        <v>0.92</v>
      </c>
      <c r="BL77" s="296"/>
      <c r="BM77" s="296">
        <v>0.97</v>
      </c>
      <c r="BN77" s="294">
        <v>0.25</v>
      </c>
      <c r="BO77" s="299" cm="1">
        <f t="array" aca="1" ref="BO77" ca="1">INDIRECT("'"&amp;$C77&amp;"'!"&amp;"$"&amp;$D77&amp;74&amp;"")</f>
        <v>0</v>
      </c>
      <c r="BP77" s="296"/>
      <c r="BQ77" s="296" t="s">
        <v>1</v>
      </c>
      <c r="BR77" s="294" t="s">
        <v>1</v>
      </c>
    </row>
    <row r="78" spans="1:70" ht="14.45" thickBot="1">
      <c r="A78" s="361">
        <v>45750</v>
      </c>
      <c r="B78" s="359">
        <v>0.95833333333333404</v>
      </c>
      <c r="C78" s="315">
        <f t="shared" si="1"/>
        <v>3</v>
      </c>
      <c r="D78" s="316" t="s">
        <v>150</v>
      </c>
      <c r="E78" s="301">
        <v>14</v>
      </c>
      <c r="F78" s="302">
        <v>70.09</v>
      </c>
      <c r="G78" s="303" cm="1">
        <f t="array" aca="1" ref="G78" ca="1">INDIRECT("'"&amp;$C78&amp;"'!"&amp;"$"&amp;$D78&amp;$E$1&amp;"")</f>
        <v>6.4</v>
      </c>
      <c r="H78" s="304">
        <v>0.97</v>
      </c>
      <c r="I78" s="302">
        <v>1.7</v>
      </c>
      <c r="J78" s="303" t="str" cm="1">
        <f t="array" aca="1" ref="J78" ca="1">INDIRECT("'"&amp;$C78&amp;"'!"&amp;"$"&amp;$D78&amp;$J$1&amp;"")</f>
        <v>CMS</v>
      </c>
      <c r="K78" s="304"/>
      <c r="L78" s="304" t="s">
        <v>1</v>
      </c>
      <c r="M78" s="302" t="s">
        <v>1</v>
      </c>
      <c r="N78" s="303" cm="1">
        <f t="array" aca="1" ref="N78" ca="1">INDIRECT("'"&amp;$C78&amp;"'!"&amp;"$"&amp;$D78&amp;$N$1&amp;"")</f>
        <v>6.4</v>
      </c>
      <c r="O78" s="304"/>
      <c r="P78" s="304">
        <v>0.98</v>
      </c>
      <c r="Q78" s="302">
        <v>1.7</v>
      </c>
      <c r="R78" s="303" cm="1">
        <f t="array" aca="1" ref="R78" ca="1">INDIRECT("'"&amp;$C78&amp;"'!"&amp;"$"&amp;$D78&amp;$R$1&amp;"")</f>
        <v>6.4</v>
      </c>
      <c r="S78" s="304"/>
      <c r="T78" s="304">
        <v>0.98</v>
      </c>
      <c r="U78" s="302">
        <v>1.7</v>
      </c>
      <c r="V78" s="303" cm="1">
        <f t="array" aca="1" ref="V78" ca="1">INDIRECT("'"&amp;$C78&amp;"'!"&amp;"$"&amp;$D78&amp;$V$1&amp;"")</f>
        <v>2.8</v>
      </c>
      <c r="W78" s="304">
        <v>13.641999999999999</v>
      </c>
      <c r="X78" s="304">
        <v>0.98</v>
      </c>
      <c r="Y78" s="305">
        <v>0.43</v>
      </c>
      <c r="Z78" s="301" cm="1">
        <f t="array" aca="1" ref="Z78" ca="1">INDIRECT("'"&amp;$C78&amp;"'!"&amp;"$"&amp;$D78&amp;$Z$1&amp;"")</f>
        <v>0</v>
      </c>
      <c r="AA78" s="304" t="s">
        <v>1</v>
      </c>
      <c r="AB78" s="304" t="s">
        <v>1</v>
      </c>
      <c r="AC78" s="302" t="s">
        <v>1</v>
      </c>
      <c r="AD78" s="303" cm="1">
        <f t="array" aca="1" ref="AD78" ca="1">INDIRECT("'"&amp;$C78&amp;"'!"&amp;"$"&amp;$D78&amp;$AD$1&amp;"")</f>
        <v>3.8</v>
      </c>
      <c r="AE78" s="304">
        <v>13.641999999999999</v>
      </c>
      <c r="AF78" s="304">
        <v>0.97</v>
      </c>
      <c r="AG78" s="305">
        <v>0.88</v>
      </c>
      <c r="AH78" s="301" cm="1">
        <f t="array" aca="1" ref="AH78" ca="1">INDIRECT("'"&amp;$C78&amp;"'!"&amp;"$"&amp;$D78&amp;$AH$1&amp;"")</f>
        <v>0</v>
      </c>
      <c r="AI78" s="304" t="s">
        <v>1</v>
      </c>
      <c r="AJ78" s="304" t="s">
        <v>1</v>
      </c>
      <c r="AK78" s="302" t="s">
        <v>1</v>
      </c>
      <c r="AL78" s="301">
        <v>11.8</v>
      </c>
      <c r="AM78" s="305">
        <v>70.900000000000006</v>
      </c>
      <c r="AN78" s="301" cm="1">
        <f t="array" aca="1" ref="AN78" ca="1">INDIRECT("'"&amp;$C78&amp;"'!"&amp;"$"&amp;$D78&amp;$AL$1&amp;"")</f>
        <v>3.5</v>
      </c>
      <c r="AO78" s="304">
        <v>0.98</v>
      </c>
      <c r="AP78" s="302">
        <v>0.4</v>
      </c>
      <c r="AQ78" s="303" cm="1">
        <f t="array" aca="1" ref="AQ78" ca="1">INDIRECT("'"&amp;$C78&amp;"'!"&amp;"$"&amp;$D78&amp;$AQ$1&amp;"")</f>
        <v>3.8</v>
      </c>
      <c r="AR78" s="304">
        <v>0.98</v>
      </c>
      <c r="AS78" s="302">
        <v>0.4</v>
      </c>
      <c r="AT78" s="304" cm="1">
        <f t="array" aca="1" ref="AT78" ca="1">INDIRECT("'"&amp;$C78&amp;"'!"&amp;"$"&amp;$D78&amp;$AT$1&amp;"")</f>
        <v>0</v>
      </c>
      <c r="AU78" s="303" t="s">
        <v>1</v>
      </c>
      <c r="AV78" s="304" t="s">
        <v>1</v>
      </c>
      <c r="AW78" s="302" t="s">
        <v>1</v>
      </c>
      <c r="AX78" s="306">
        <v>14.07</v>
      </c>
      <c r="AY78" s="305">
        <v>71.27</v>
      </c>
      <c r="AZ78" s="306" cm="1">
        <f t="array" aca="1" ref="AZ78" ca="1">INDIRECT("'"&amp;$C78&amp;"'!"&amp;"$"&amp;$D78&amp;$AZ$1&amp;"")</f>
        <v>13.33</v>
      </c>
      <c r="BA78" s="304">
        <v>0.99</v>
      </c>
      <c r="BB78" s="302">
        <v>2.2000000000000002</v>
      </c>
      <c r="BC78" s="307">
        <v>68.8</v>
      </c>
      <c r="BD78" s="301" cm="1">
        <f t="array" aca="1" ref="BD78" ca="1">INDIRECT("'"&amp;$C78&amp;"'!"&amp;"$"&amp;$D78&amp;$BC$1&amp;"")</f>
        <v>0</v>
      </c>
      <c r="BE78" s="303" t="s">
        <v>1</v>
      </c>
      <c r="BF78" s="302" t="s">
        <v>1</v>
      </c>
      <c r="BG78" s="306" cm="1">
        <f t="array" aca="1" ref="BG78" ca="1">INDIRECT("'"&amp;$C78&amp;"'!"&amp;"$"&amp;$D78&amp;$BG$1&amp;"")</f>
        <v>1.18</v>
      </c>
      <c r="BH78" s="304"/>
      <c r="BI78" s="304">
        <v>0.99</v>
      </c>
      <c r="BJ78" s="302">
        <v>0.18</v>
      </c>
      <c r="BK78" s="307" cm="1">
        <f t="array" aca="1" ref="BK78" ca="1">INDIRECT("'"&amp;$C78&amp;"'!"&amp;"$"&amp;$D78&amp;$BK$1&amp;"")</f>
        <v>0.87</v>
      </c>
      <c r="BL78" s="304"/>
      <c r="BM78" s="304">
        <v>0.96</v>
      </c>
      <c r="BN78" s="302">
        <v>0.25</v>
      </c>
      <c r="BO78" s="307" cm="1">
        <f t="array" aca="1" ref="BO78" ca="1">INDIRECT("'"&amp;$C78&amp;"'!"&amp;"$"&amp;$D78&amp;74&amp;"")</f>
        <v>0</v>
      </c>
      <c r="BP78" s="304"/>
      <c r="BQ78" s="304" t="s">
        <v>1</v>
      </c>
      <c r="BR78" s="302" t="s">
        <v>1</v>
      </c>
    </row>
    <row r="79" spans="1:70" ht="14.45" thickBot="1"/>
    <row r="80" spans="1:70" ht="14.45" thickBot="1">
      <c r="A80" s="360">
        <v>45751</v>
      </c>
      <c r="B80" s="357">
        <v>0</v>
      </c>
      <c r="C80" s="310">
        <f>C55+1</f>
        <v>4</v>
      </c>
      <c r="D80" s="311" t="s">
        <v>127</v>
      </c>
      <c r="E80" s="280">
        <v>14.1</v>
      </c>
      <c r="F80" s="281">
        <v>70.25</v>
      </c>
      <c r="G80" s="282" cm="1">
        <f t="array" aca="1" ref="G80" ca="1">INDIRECT("'"&amp;$C80&amp;"'!"&amp;"$"&amp;$D80&amp;$E$1&amp;"")</f>
        <v>6.6</v>
      </c>
      <c r="H80" s="283">
        <v>0.98</v>
      </c>
      <c r="I80" s="281">
        <v>1.37</v>
      </c>
      <c r="J80" s="282" t="str" cm="1">
        <f t="array" aca="1" ref="J80" ca="1">INDIRECT("'"&amp;$C80&amp;"'!"&amp;"$"&amp;$D80&amp;$J$1&amp;"")</f>
        <v>CMS</v>
      </c>
      <c r="K80" s="283"/>
      <c r="L80" s="283" t="s">
        <v>1</v>
      </c>
      <c r="M80" s="281" t="s">
        <v>1</v>
      </c>
      <c r="N80" s="282" cm="1">
        <f t="array" aca="1" ref="N80" ca="1">INDIRECT("'"&amp;$C80&amp;"'!"&amp;"$"&amp;$D80&amp;$N$1&amp;"")</f>
        <v>6.6</v>
      </c>
      <c r="O80" s="283"/>
      <c r="P80" s="283">
        <v>0.98</v>
      </c>
      <c r="Q80" s="281">
        <v>1.37</v>
      </c>
      <c r="R80" s="282" cm="1">
        <f t="array" aca="1" ref="R80" ca="1">INDIRECT("'"&amp;$C80&amp;"'!"&amp;"$"&amp;$D80&amp;$R$1&amp;"")</f>
        <v>6.6</v>
      </c>
      <c r="S80" s="283"/>
      <c r="T80" s="283">
        <v>0.98</v>
      </c>
      <c r="U80" s="281">
        <v>1.37</v>
      </c>
      <c r="V80" s="282" cm="1">
        <f t="array" aca="1" ref="V80" ca="1">INDIRECT("'"&amp;$C80&amp;"'!"&amp;"$"&amp;$D80&amp;$V$1&amp;"")</f>
        <v>0</v>
      </c>
      <c r="W80" s="283" t="s">
        <v>1</v>
      </c>
      <c r="X80" s="283" t="s">
        <v>1</v>
      </c>
      <c r="Y80" s="284" t="s">
        <v>1</v>
      </c>
      <c r="Z80" s="280" cm="1">
        <f t="array" aca="1" ref="Z80" ca="1">INDIRECT("'"&amp;$C80&amp;"'!"&amp;"$"&amp;$D80&amp;$Z$1&amp;"")</f>
        <v>0</v>
      </c>
      <c r="AA80" s="283" t="s">
        <v>1</v>
      </c>
      <c r="AB80" s="283" t="s">
        <v>1</v>
      </c>
      <c r="AC80" s="281" t="s">
        <v>1</v>
      </c>
      <c r="AD80" s="282" cm="1">
        <f t="array" aca="1" ref="AD80" ca="1">INDIRECT("'"&amp;$C80&amp;"'!"&amp;"$"&amp;$D80&amp;$AD$1&amp;"")</f>
        <v>3</v>
      </c>
      <c r="AE80" s="283">
        <f>3.61</f>
        <v>3.61</v>
      </c>
      <c r="AF80" s="283">
        <v>0.98</v>
      </c>
      <c r="AG80" s="281">
        <v>0.51</v>
      </c>
      <c r="AH80" s="280" cm="1">
        <f t="array" aca="1" ref="AH80" ca="1">INDIRECT("'"&amp;$C80&amp;"'!"&amp;"$"&amp;$D80&amp;$AH$1&amp;"")</f>
        <v>0</v>
      </c>
      <c r="AI80" s="283" t="s">
        <v>1</v>
      </c>
      <c r="AJ80" s="283" t="s">
        <v>1</v>
      </c>
      <c r="AK80" s="281" t="s">
        <v>1</v>
      </c>
      <c r="AL80" s="280">
        <v>11.8</v>
      </c>
      <c r="AM80" s="284">
        <v>70.7</v>
      </c>
      <c r="AN80" s="280" cm="1">
        <f t="array" aca="1" ref="AN80" ca="1">INDIRECT("'"&amp;$C80&amp;"'!"&amp;"$"&amp;$D80&amp;$AL$1&amp;"")</f>
        <v>3.5</v>
      </c>
      <c r="AO80" s="283">
        <v>0.98</v>
      </c>
      <c r="AP80" s="281">
        <v>0.38</v>
      </c>
      <c r="AQ80" s="282" cm="1">
        <f t="array" aca="1" ref="AQ80" ca="1">INDIRECT("'"&amp;$C80&amp;"'!"&amp;"$"&amp;$D80&amp;$AQ$1&amp;"")</f>
        <v>3.5</v>
      </c>
      <c r="AR80" s="283">
        <v>0.98</v>
      </c>
      <c r="AS80" s="281">
        <v>0.38</v>
      </c>
      <c r="AT80" s="283" cm="1">
        <f t="array" aca="1" ref="AT80" ca="1">INDIRECT("'"&amp;$C80&amp;"'!"&amp;"$"&amp;$D80&amp;$AT$1&amp;"")</f>
        <v>0</v>
      </c>
      <c r="AU80" s="282" t="s">
        <v>1</v>
      </c>
      <c r="AV80" s="283" t="s">
        <v>1</v>
      </c>
      <c r="AW80" s="281" t="s">
        <v>1</v>
      </c>
      <c r="AX80" s="285">
        <v>14.11</v>
      </c>
      <c r="AY80" s="284">
        <v>71.52</v>
      </c>
      <c r="AZ80" s="285" cm="1">
        <f t="array" aca="1" ref="AZ80" ca="1">INDIRECT("'"&amp;$C80&amp;"'!"&amp;"$"&amp;$D80&amp;$AZ$1&amp;"")</f>
        <v>13.32</v>
      </c>
      <c r="BA80" s="283">
        <v>0.99</v>
      </c>
      <c r="BB80" s="281">
        <v>2.2000000000000002</v>
      </c>
      <c r="BC80" s="281">
        <v>69.099999999999994</v>
      </c>
      <c r="BD80" s="280" cm="1">
        <f t="array" aca="1" ref="BD80" ca="1">INDIRECT("'"&amp;$C80&amp;"'!"&amp;"$"&amp;$D80&amp;$BC$1&amp;"")</f>
        <v>0</v>
      </c>
      <c r="BE80" s="282" t="s">
        <v>1</v>
      </c>
      <c r="BF80" s="281" t="s">
        <v>1</v>
      </c>
      <c r="BG80" s="285" cm="1">
        <f t="array" aca="1" ref="BG80" ca="1">INDIRECT("'"&amp;$C80&amp;"'!"&amp;"$"&amp;$D80&amp;$BG$1&amp;"")</f>
        <v>1.06</v>
      </c>
      <c r="BH80" s="283"/>
      <c r="BI80" s="283">
        <v>0.99</v>
      </c>
      <c r="BJ80" s="281">
        <v>0.16</v>
      </c>
      <c r="BK80" s="285" cm="1">
        <f t="array" aca="1" ref="BK80" ca="1">INDIRECT("'"&amp;$C80&amp;"'!"&amp;"$"&amp;$D80&amp;$BK$1&amp;"")</f>
        <v>0.81</v>
      </c>
      <c r="BL80" s="283"/>
      <c r="BM80" s="283">
        <v>0.96</v>
      </c>
      <c r="BN80" s="281">
        <v>0.23</v>
      </c>
      <c r="BO80" s="373" cm="1">
        <f t="array" aca="1" ref="BO80" ca="1">INDIRECT("'"&amp;$C80&amp;"'!"&amp;"$"&amp;$D80&amp;74&amp;"")</f>
        <v>0</v>
      </c>
      <c r="BP80" s="283"/>
      <c r="BQ80" s="283" t="s">
        <v>1</v>
      </c>
      <c r="BR80" s="281" t="s">
        <v>1</v>
      </c>
    </row>
    <row r="81" spans="1:70" ht="14.45" thickBot="1">
      <c r="A81" s="360">
        <v>45751</v>
      </c>
      <c r="B81" s="358">
        <v>4.1666666666666699E-2</v>
      </c>
      <c r="C81" s="313">
        <f t="shared" ref="C81:C103" si="2">C56+1</f>
        <v>4</v>
      </c>
      <c r="D81" s="314" t="s">
        <v>128</v>
      </c>
      <c r="E81" s="286">
        <v>14.1</v>
      </c>
      <c r="F81" s="287">
        <v>69.98</v>
      </c>
      <c r="G81" s="288" cm="1">
        <f t="array" aca="1" ref="G81" ca="1">INDIRECT("'"&amp;$C81&amp;"'!"&amp;"$"&amp;$D81&amp;$E$1&amp;"")</f>
        <v>6.7</v>
      </c>
      <c r="H81" s="289">
        <v>0.98</v>
      </c>
      <c r="I81" s="287">
        <v>1.31</v>
      </c>
      <c r="J81" s="288" t="str" cm="1">
        <f t="array" aca="1" ref="J81" ca="1">INDIRECT("'"&amp;$C81&amp;"'!"&amp;"$"&amp;$D81&amp;$J$1&amp;"")</f>
        <v>CMS</v>
      </c>
      <c r="K81" s="289"/>
      <c r="L81" s="289" t="s">
        <v>1</v>
      </c>
      <c r="M81" s="287" t="s">
        <v>1</v>
      </c>
      <c r="N81" s="288" cm="1">
        <f t="array" aca="1" ref="N81" ca="1">INDIRECT("'"&amp;$C81&amp;"'!"&amp;"$"&amp;$D81&amp;$N$1&amp;"")</f>
        <v>6.7</v>
      </c>
      <c r="O81" s="289"/>
      <c r="P81" s="289">
        <v>0.98</v>
      </c>
      <c r="Q81" s="287">
        <v>1.31</v>
      </c>
      <c r="R81" s="288" cm="1">
        <f t="array" aca="1" ref="R81" ca="1">INDIRECT("'"&amp;$C81&amp;"'!"&amp;"$"&amp;$D81&amp;$R$1&amp;"")</f>
        <v>6.7</v>
      </c>
      <c r="S81" s="289"/>
      <c r="T81" s="289">
        <v>0.98</v>
      </c>
      <c r="U81" s="287">
        <v>1.31</v>
      </c>
      <c r="V81" s="288" cm="1">
        <f t="array" aca="1" ref="V81" ca="1">INDIRECT("'"&amp;$C81&amp;"'!"&amp;"$"&amp;$D81&amp;$V$1&amp;"")</f>
        <v>0</v>
      </c>
      <c r="W81" s="289" t="s">
        <v>1</v>
      </c>
      <c r="X81" s="289" t="s">
        <v>1</v>
      </c>
      <c r="Y81" s="290" t="s">
        <v>1</v>
      </c>
      <c r="Z81" s="286" cm="1">
        <f t="array" aca="1" ref="Z81" ca="1">INDIRECT("'"&amp;$C81&amp;"'!"&amp;"$"&amp;$D81&amp;$Z$1&amp;"")</f>
        <v>0</v>
      </c>
      <c r="AA81" s="289" t="s">
        <v>1</v>
      </c>
      <c r="AB81" s="289" t="s">
        <v>1</v>
      </c>
      <c r="AC81" s="287" t="s">
        <v>1</v>
      </c>
      <c r="AD81" s="288" cm="1">
        <f t="array" aca="1" ref="AD81" ca="1">INDIRECT("'"&amp;$C81&amp;"'!"&amp;"$"&amp;$D81&amp;$AD$1&amp;"")</f>
        <v>0</v>
      </c>
      <c r="AE81" s="289" t="s">
        <v>1</v>
      </c>
      <c r="AF81" s="289" t="s">
        <v>1</v>
      </c>
      <c r="AG81" s="290" t="s">
        <v>1</v>
      </c>
      <c r="AH81" s="286" cm="1">
        <f t="array" aca="1" ref="AH81" ca="1">INDIRECT("'"&amp;$C81&amp;"'!"&amp;"$"&amp;$D81&amp;$AH$1&amp;"")</f>
        <v>0</v>
      </c>
      <c r="AI81" s="289" t="s">
        <v>1</v>
      </c>
      <c r="AJ81" s="289" t="s">
        <v>1</v>
      </c>
      <c r="AK81" s="287" t="s">
        <v>1</v>
      </c>
      <c r="AL81" s="286">
        <v>11.8</v>
      </c>
      <c r="AM81" s="290">
        <v>70.7</v>
      </c>
      <c r="AN81" s="286" cm="1">
        <f t="array" aca="1" ref="AN81" ca="1">INDIRECT("'"&amp;$C81&amp;"'!"&amp;"$"&amp;$D81&amp;$AL$1&amp;"")</f>
        <v>4.2</v>
      </c>
      <c r="AO81" s="289">
        <v>0.99</v>
      </c>
      <c r="AP81" s="287">
        <v>0.48</v>
      </c>
      <c r="AQ81" s="288" cm="1">
        <f t="array" aca="1" ref="AQ81" ca="1">INDIRECT("'"&amp;$C81&amp;"'!"&amp;"$"&amp;$D81&amp;$AQ$1&amp;"")</f>
        <v>4.2</v>
      </c>
      <c r="AR81" s="289">
        <v>0.99</v>
      </c>
      <c r="AS81" s="287">
        <v>0.48</v>
      </c>
      <c r="AT81" s="289" cm="1">
        <f t="array" aca="1" ref="AT81" ca="1">INDIRECT("'"&amp;$C81&amp;"'!"&amp;"$"&amp;$D81&amp;$AT$1&amp;"")</f>
        <v>0</v>
      </c>
      <c r="AU81" s="288" t="s">
        <v>1</v>
      </c>
      <c r="AV81" s="289" t="s">
        <v>1</v>
      </c>
      <c r="AW81" s="287" t="s">
        <v>1</v>
      </c>
      <c r="AX81" s="291">
        <v>14.05</v>
      </c>
      <c r="AY81" s="290">
        <v>71.180000000000007</v>
      </c>
      <c r="AZ81" s="291" cm="1">
        <f t="array" aca="1" ref="AZ81" ca="1">INDIRECT("'"&amp;$C81&amp;"'!"&amp;"$"&amp;$D81&amp;$AZ$1&amp;"")</f>
        <v>12.85</v>
      </c>
      <c r="BA81" s="289">
        <v>0.99</v>
      </c>
      <c r="BB81" s="287">
        <v>2.1</v>
      </c>
      <c r="BC81" s="292">
        <v>68.900000000000006</v>
      </c>
      <c r="BD81" s="286" cm="1">
        <f t="array" aca="1" ref="BD81" ca="1">INDIRECT("'"&amp;$C81&amp;"'!"&amp;"$"&amp;$D81&amp;$BC$1&amp;"")</f>
        <v>0</v>
      </c>
      <c r="BE81" s="288" t="s">
        <v>1</v>
      </c>
      <c r="BF81" s="287" t="s">
        <v>1</v>
      </c>
      <c r="BG81" s="291" cm="1">
        <f t="array" aca="1" ref="BG81" ca="1">INDIRECT("'"&amp;$C81&amp;"'!"&amp;"$"&amp;$D81&amp;$BG$1&amp;"")</f>
        <v>0.98</v>
      </c>
      <c r="BH81" s="289"/>
      <c r="BI81" s="289">
        <v>0.99</v>
      </c>
      <c r="BJ81" s="287">
        <v>0.15</v>
      </c>
      <c r="BK81" s="291" cm="1">
        <f t="array" aca="1" ref="BK81" ca="1">INDIRECT("'"&amp;$C81&amp;"'!"&amp;"$"&amp;$D81&amp;$BK$1&amp;"")</f>
        <v>0.78</v>
      </c>
      <c r="BL81" s="289"/>
      <c r="BM81" s="289">
        <v>0.96</v>
      </c>
      <c r="BN81" s="287">
        <v>0.23</v>
      </c>
      <c r="BO81" s="292" cm="1">
        <f t="array" aca="1" ref="BO81" ca="1">INDIRECT("'"&amp;$C81&amp;"'!"&amp;"$"&amp;$D81&amp;74&amp;"")</f>
        <v>0</v>
      </c>
      <c r="BP81" s="289"/>
      <c r="BQ81" s="289" t="s">
        <v>1</v>
      </c>
      <c r="BR81" s="287" t="s">
        <v>1</v>
      </c>
    </row>
    <row r="82" spans="1:70" ht="14.45" thickBot="1">
      <c r="A82" s="360">
        <v>45751</v>
      </c>
      <c r="B82" s="358">
        <v>8.3333333333333301E-2</v>
      </c>
      <c r="C82" s="313">
        <f t="shared" si="2"/>
        <v>4</v>
      </c>
      <c r="D82" s="314" t="s">
        <v>129</v>
      </c>
      <c r="E82" s="293">
        <v>14.1</v>
      </c>
      <c r="F82" s="294">
        <v>70.28</v>
      </c>
      <c r="G82" s="295" cm="1">
        <f t="array" aca="1" ref="G82" ca="1">INDIRECT("'"&amp;$C82&amp;"'!"&amp;"$"&amp;$D82&amp;$E$1&amp;"")</f>
        <v>6.6</v>
      </c>
      <c r="H82" s="296">
        <v>0.98</v>
      </c>
      <c r="I82" s="294">
        <v>0.28999999999999998</v>
      </c>
      <c r="J82" s="295" t="str" cm="1">
        <f t="array" aca="1" ref="J82" ca="1">INDIRECT("'"&amp;$C82&amp;"'!"&amp;"$"&amp;$D82&amp;$J$1&amp;"")</f>
        <v>CMS</v>
      </c>
      <c r="K82" s="296"/>
      <c r="L82" s="296" t="s">
        <v>1</v>
      </c>
      <c r="M82" s="294" t="s">
        <v>1</v>
      </c>
      <c r="N82" s="295" cm="1">
        <f t="array" aca="1" ref="N82" ca="1">INDIRECT("'"&amp;$C82&amp;"'!"&amp;"$"&amp;$D82&amp;$N$1&amp;"")</f>
        <v>6.6</v>
      </c>
      <c r="O82" s="296"/>
      <c r="P82" s="296">
        <v>0.98</v>
      </c>
      <c r="Q82" s="294">
        <v>0.28999999999999998</v>
      </c>
      <c r="R82" s="295" cm="1">
        <f t="array" aca="1" ref="R82" ca="1">INDIRECT("'"&amp;$C82&amp;"'!"&amp;"$"&amp;$D82&amp;$R$1&amp;"")</f>
        <v>6.6</v>
      </c>
      <c r="S82" s="296"/>
      <c r="T82" s="296">
        <v>0.98</v>
      </c>
      <c r="U82" s="294">
        <v>0.28999999999999998</v>
      </c>
      <c r="V82" s="295" cm="1">
        <f t="array" aca="1" ref="V82" ca="1">INDIRECT("'"&amp;$C82&amp;"'!"&amp;"$"&amp;$D82&amp;$V$1&amp;"")</f>
        <v>0</v>
      </c>
      <c r="W82" s="296" t="s">
        <v>1</v>
      </c>
      <c r="X82" s="296" t="s">
        <v>1</v>
      </c>
      <c r="Y82" s="297" t="s">
        <v>1</v>
      </c>
      <c r="Z82" s="293">
        <v>0</v>
      </c>
      <c r="AA82" s="296" t="s">
        <v>1</v>
      </c>
      <c r="AB82" s="296" t="s">
        <v>1</v>
      </c>
      <c r="AC82" s="294" t="s">
        <v>1</v>
      </c>
      <c r="AD82" s="295" cm="1">
        <f t="array" aca="1" ref="AD82" ca="1">INDIRECT("'"&amp;$C82&amp;"'!"&amp;"$"&amp;$D82&amp;$AD$1&amp;"")</f>
        <v>0</v>
      </c>
      <c r="AE82" s="296" t="s">
        <v>1</v>
      </c>
      <c r="AF82" s="296" t="s">
        <v>1</v>
      </c>
      <c r="AG82" s="297" t="s">
        <v>1</v>
      </c>
      <c r="AH82" s="293" cm="1">
        <f t="array" aca="1" ref="AH82" ca="1">INDIRECT("'"&amp;$C82&amp;"'!"&amp;"$"&amp;$D82&amp;$AH$1&amp;"")</f>
        <v>0</v>
      </c>
      <c r="AI82" s="296" t="s">
        <v>1</v>
      </c>
      <c r="AJ82" s="296" t="s">
        <v>1</v>
      </c>
      <c r="AK82" s="297" t="s">
        <v>1</v>
      </c>
      <c r="AL82" s="293">
        <v>11.8</v>
      </c>
      <c r="AM82" s="297">
        <v>71.66</v>
      </c>
      <c r="AN82" s="293" cm="1">
        <f t="array" aca="1" ref="AN82" ca="1">INDIRECT("'"&amp;$C82&amp;"'!"&amp;"$"&amp;$D82&amp;$AL$1&amp;"")</f>
        <v>3</v>
      </c>
      <c r="AO82" s="296">
        <v>0.99</v>
      </c>
      <c r="AP82" s="294">
        <v>0.35</v>
      </c>
      <c r="AQ82" s="295" cm="1">
        <f t="array" aca="1" ref="AQ82" ca="1">INDIRECT("'"&amp;$C82&amp;"'!"&amp;"$"&amp;$D82&amp;$AQ$1&amp;"")</f>
        <v>3</v>
      </c>
      <c r="AR82" s="296">
        <v>0.99</v>
      </c>
      <c r="AS82" s="294">
        <v>0.35</v>
      </c>
      <c r="AT82" s="296" cm="1">
        <f t="array" aca="1" ref="AT82" ca="1">INDIRECT("'"&amp;$C82&amp;"'!"&amp;"$"&amp;$D82&amp;$AT$1&amp;"")</f>
        <v>0</v>
      </c>
      <c r="AU82" s="295" t="s">
        <v>1</v>
      </c>
      <c r="AV82" s="296" t="s">
        <v>1</v>
      </c>
      <c r="AW82" s="294" t="s">
        <v>1</v>
      </c>
      <c r="AX82" s="298">
        <v>14.13</v>
      </c>
      <c r="AY82" s="297">
        <v>71.66</v>
      </c>
      <c r="AZ82" s="298" cm="1">
        <f t="array" aca="1" ref="AZ82" ca="1">INDIRECT("'"&amp;$C82&amp;"'!"&amp;"$"&amp;$D82&amp;$AZ$1&amp;"")</f>
        <v>12.82</v>
      </c>
      <c r="BA82" s="296">
        <v>0.99</v>
      </c>
      <c r="BB82" s="294">
        <v>2.2000000000000002</v>
      </c>
      <c r="BC82" s="299">
        <v>69.2</v>
      </c>
      <c r="BD82" s="293" cm="1">
        <f t="array" aca="1" ref="BD82" ca="1">INDIRECT("'"&amp;$C82&amp;"'!"&amp;"$"&amp;$D82&amp;$BC$1&amp;"")</f>
        <v>0</v>
      </c>
      <c r="BE82" s="295" t="s">
        <v>1</v>
      </c>
      <c r="BF82" s="294" t="s">
        <v>1</v>
      </c>
      <c r="BG82" s="298" cm="1">
        <f t="array" aca="1" ref="BG82" ca="1">INDIRECT("'"&amp;$C82&amp;"'!"&amp;"$"&amp;$D82&amp;$BG$1&amp;"")</f>
        <v>0.96</v>
      </c>
      <c r="BH82" s="296"/>
      <c r="BI82" s="296">
        <v>0.99</v>
      </c>
      <c r="BJ82" s="294">
        <v>0.14000000000000001</v>
      </c>
      <c r="BK82" s="298" cm="1">
        <f t="array" aca="1" ref="BK82" ca="1">INDIRECT("'"&amp;$C82&amp;"'!"&amp;"$"&amp;$D82&amp;$BK$1&amp;"")</f>
        <v>0.77</v>
      </c>
      <c r="BL82" s="296"/>
      <c r="BM82" s="296">
        <v>0.96</v>
      </c>
      <c r="BN82" s="294">
        <v>0.23</v>
      </c>
      <c r="BO82" s="299" cm="1">
        <f t="array" aca="1" ref="BO82" ca="1">INDIRECT("'"&amp;$C82&amp;"'!"&amp;"$"&amp;$D82&amp;74&amp;"")</f>
        <v>0</v>
      </c>
      <c r="BP82" s="296"/>
      <c r="BQ82" s="296" t="s">
        <v>1</v>
      </c>
      <c r="BR82" s="294" t="s">
        <v>1</v>
      </c>
    </row>
    <row r="83" spans="1:70" ht="14.45" thickBot="1">
      <c r="A83" s="360">
        <v>45751</v>
      </c>
      <c r="B83" s="358">
        <v>0.125</v>
      </c>
      <c r="C83" s="313">
        <f t="shared" si="2"/>
        <v>4</v>
      </c>
      <c r="D83" s="314" t="s">
        <v>130</v>
      </c>
      <c r="E83" s="286">
        <v>14.1</v>
      </c>
      <c r="F83" s="287">
        <v>70.2</v>
      </c>
      <c r="G83" s="288" cm="1">
        <f t="array" aca="1" ref="G83" ca="1">INDIRECT("'"&amp;$C83&amp;"'!"&amp;"$"&amp;$D83&amp;$E$1&amp;"")</f>
        <v>6.7</v>
      </c>
      <c r="H83" s="289">
        <v>0.98</v>
      </c>
      <c r="I83" s="287">
        <v>1.3</v>
      </c>
      <c r="J83" s="288" t="str" cm="1">
        <f t="array" aca="1" ref="J83" ca="1">INDIRECT("'"&amp;$C83&amp;"'!"&amp;"$"&amp;$D83&amp;$J$1&amp;"")</f>
        <v>CMS</v>
      </c>
      <c r="K83" s="289"/>
      <c r="L83" s="289" t="s">
        <v>1</v>
      </c>
      <c r="M83" s="287" t="s">
        <v>1</v>
      </c>
      <c r="N83" s="288" cm="1">
        <f t="array" aca="1" ref="N83" ca="1">INDIRECT("'"&amp;$C83&amp;"'!"&amp;"$"&amp;$D83&amp;$N$1&amp;"")</f>
        <v>0</v>
      </c>
      <c r="O83" s="289"/>
      <c r="P83" s="289" t="s">
        <v>1</v>
      </c>
      <c r="Q83" s="287" t="s">
        <v>1</v>
      </c>
      <c r="R83" s="288" cm="1">
        <f t="array" aca="1" ref="R83" ca="1">INDIRECT("'"&amp;$C83&amp;"'!"&amp;"$"&amp;$D83&amp;$R$1&amp;"")</f>
        <v>6.7</v>
      </c>
      <c r="S83" s="289"/>
      <c r="T83" s="289">
        <v>0.98</v>
      </c>
      <c r="U83" s="287">
        <v>1.3</v>
      </c>
      <c r="V83" s="288" cm="1">
        <f t="array" aca="1" ref="V83" ca="1">INDIRECT("'"&amp;$C83&amp;"'!"&amp;"$"&amp;$D83&amp;$V$1&amp;"")</f>
        <v>0</v>
      </c>
      <c r="W83" s="289" t="s">
        <v>1</v>
      </c>
      <c r="X83" s="289" t="s">
        <v>1</v>
      </c>
      <c r="Y83" s="290" t="s">
        <v>1</v>
      </c>
      <c r="Z83" s="286" cm="1">
        <f t="array" aca="1" ref="Z83" ca="1">INDIRECT("'"&amp;$C83&amp;"'!"&amp;"$"&amp;$D83&amp;$Z$1&amp;"")</f>
        <v>0</v>
      </c>
      <c r="AA83" s="289" t="s">
        <v>1</v>
      </c>
      <c r="AB83" s="289" t="s">
        <v>1</v>
      </c>
      <c r="AC83" s="287" t="s">
        <v>1</v>
      </c>
      <c r="AD83" s="288" cm="1">
        <f t="array" aca="1" ref="AD83" ca="1">INDIRECT("'"&amp;$C83&amp;"'!"&amp;"$"&amp;$D83&amp;$AD$1&amp;"")</f>
        <v>0</v>
      </c>
      <c r="AE83" s="289" t="s">
        <v>1</v>
      </c>
      <c r="AF83" s="289" t="s">
        <v>1</v>
      </c>
      <c r="AG83" s="290" t="s">
        <v>1</v>
      </c>
      <c r="AH83" s="286" cm="1">
        <f t="array" aca="1" ref="AH83" ca="1">INDIRECT("'"&amp;$C83&amp;"'!"&amp;"$"&amp;$D83&amp;$AH$1&amp;"")</f>
        <v>0</v>
      </c>
      <c r="AI83" s="289" t="s">
        <v>1</v>
      </c>
      <c r="AJ83" s="289" t="s">
        <v>1</v>
      </c>
      <c r="AK83" s="287" t="s">
        <v>1</v>
      </c>
      <c r="AL83" s="286">
        <v>11.9</v>
      </c>
      <c r="AM83" s="290">
        <v>71.099999999999994</v>
      </c>
      <c r="AN83" s="286" cm="1">
        <f t="array" aca="1" ref="AN83" ca="1">INDIRECT("'"&amp;$C83&amp;"'!"&amp;"$"&amp;$D83&amp;$AL$1&amp;"")</f>
        <v>4.5</v>
      </c>
      <c r="AO83" s="289">
        <v>0.99</v>
      </c>
      <c r="AP83" s="287">
        <v>0.23</v>
      </c>
      <c r="AQ83" s="288" cm="1">
        <f t="array" aca="1" ref="AQ83" ca="1">INDIRECT("'"&amp;$C83&amp;"'!"&amp;"$"&amp;$D83&amp;$AQ$1&amp;"")</f>
        <v>4.5</v>
      </c>
      <c r="AR83" s="289">
        <v>0.99</v>
      </c>
      <c r="AS83" s="287">
        <v>0.23</v>
      </c>
      <c r="AT83" s="289" cm="1">
        <f t="array" aca="1" ref="AT83" ca="1">INDIRECT("'"&amp;$C83&amp;"'!"&amp;"$"&amp;$D83&amp;$AT$1&amp;"")</f>
        <v>0</v>
      </c>
      <c r="AU83" s="288" t="s">
        <v>1</v>
      </c>
      <c r="AV83" s="289" t="s">
        <v>1</v>
      </c>
      <c r="AW83" s="287" t="s">
        <v>1</v>
      </c>
      <c r="AX83" s="291">
        <v>14.24</v>
      </c>
      <c r="AY83" s="290">
        <v>72.06</v>
      </c>
      <c r="AZ83" s="291" cm="1">
        <f t="array" aca="1" ref="AZ83" ca="1">INDIRECT("'"&amp;$C83&amp;"'!"&amp;"$"&amp;$D83&amp;$AZ$1&amp;"")</f>
        <v>14.3</v>
      </c>
      <c r="BA83" s="289">
        <v>0.99</v>
      </c>
      <c r="BB83" s="287">
        <v>2.4</v>
      </c>
      <c r="BC83" s="292">
        <v>69.5</v>
      </c>
      <c r="BD83" s="286" cm="1">
        <f t="array" aca="1" ref="BD83" ca="1">INDIRECT("'"&amp;$C83&amp;"'!"&amp;"$"&amp;$D83&amp;$BC$1&amp;"")</f>
        <v>2.0999999999999996</v>
      </c>
      <c r="BE83" s="288">
        <v>0.97</v>
      </c>
      <c r="BF83" s="287">
        <v>0.52</v>
      </c>
      <c r="BG83" s="291" cm="1">
        <f t="array" aca="1" ref="BG83" ca="1">INDIRECT("'"&amp;$C83&amp;"'!"&amp;"$"&amp;$D83&amp;$BG$1&amp;"")</f>
        <v>0.94</v>
      </c>
      <c r="BH83" s="289"/>
      <c r="BI83" s="289">
        <v>0.99</v>
      </c>
      <c r="BJ83" s="287">
        <v>0.14000000000000001</v>
      </c>
      <c r="BK83" s="291" cm="1">
        <f t="array" aca="1" ref="BK83" ca="1">INDIRECT("'"&amp;$C83&amp;"'!"&amp;"$"&amp;$D83&amp;$BK$1&amp;"")</f>
        <v>0.73</v>
      </c>
      <c r="BL83" s="289"/>
      <c r="BM83" s="289">
        <v>0.95</v>
      </c>
      <c r="BN83" s="287">
        <v>0.22</v>
      </c>
      <c r="BO83" s="292" cm="1">
        <f t="array" aca="1" ref="BO83" ca="1">INDIRECT("'"&amp;$C83&amp;"'!"&amp;"$"&amp;$D83&amp;74&amp;"")</f>
        <v>0</v>
      </c>
      <c r="BP83" s="289"/>
      <c r="BQ83" s="289" t="s">
        <v>1</v>
      </c>
      <c r="BR83" s="287" t="s">
        <v>1</v>
      </c>
    </row>
    <row r="84" spans="1:70" ht="14.45" thickBot="1">
      <c r="A84" s="360">
        <v>45751</v>
      </c>
      <c r="B84" s="358">
        <v>0.16666666666666699</v>
      </c>
      <c r="C84" s="313">
        <f t="shared" si="2"/>
        <v>4</v>
      </c>
      <c r="D84" s="314" t="s">
        <v>131</v>
      </c>
      <c r="E84" s="293">
        <v>14.1</v>
      </c>
      <c r="F84" s="294">
        <v>70.36</v>
      </c>
      <c r="G84" s="295" cm="1">
        <f t="array" aca="1" ref="G84" ca="1">INDIRECT("'"&amp;$C84&amp;"'!"&amp;"$"&amp;$D84&amp;$E$1&amp;"")</f>
        <v>6.6</v>
      </c>
      <c r="H84" s="296">
        <v>0.98</v>
      </c>
      <c r="I84" s="294">
        <v>1.28</v>
      </c>
      <c r="J84" s="295" t="str" cm="1">
        <f t="array" aca="1" ref="J84" ca="1">INDIRECT("'"&amp;$C84&amp;"'!"&amp;"$"&amp;$D84&amp;$J$1&amp;"")</f>
        <v>CMS</v>
      </c>
      <c r="K84" s="296"/>
      <c r="L84" s="296" t="s">
        <v>1</v>
      </c>
      <c r="M84" s="294" t="s">
        <v>1</v>
      </c>
      <c r="N84" s="295" cm="1">
        <f t="array" aca="1" ref="N84" ca="1">INDIRECT("'"&amp;$C84&amp;"'!"&amp;"$"&amp;$D84&amp;$N$1&amp;"")</f>
        <v>0</v>
      </c>
      <c r="O84" s="296"/>
      <c r="P84" s="296" t="s">
        <v>1</v>
      </c>
      <c r="Q84" s="294" t="s">
        <v>1</v>
      </c>
      <c r="R84" s="295" cm="1">
        <f t="array" aca="1" ref="R84" ca="1">INDIRECT("'"&amp;$C84&amp;"'!"&amp;"$"&amp;$D84&amp;$R$1&amp;"")</f>
        <v>6.6</v>
      </c>
      <c r="S84" s="296"/>
      <c r="T84" s="296">
        <v>0.98</v>
      </c>
      <c r="U84" s="294">
        <v>1.28</v>
      </c>
      <c r="V84" s="295" cm="1">
        <f t="array" aca="1" ref="V84" ca="1">INDIRECT("'"&amp;$C84&amp;"'!"&amp;"$"&amp;$D84&amp;$V$1&amp;"")</f>
        <v>0</v>
      </c>
      <c r="W84" s="296" t="s">
        <v>1</v>
      </c>
      <c r="X84" s="296" t="s">
        <v>1</v>
      </c>
      <c r="Y84" s="297" t="s">
        <v>1</v>
      </c>
      <c r="Z84" s="293" cm="1">
        <f t="array" aca="1" ref="Z84" ca="1">INDIRECT("'"&amp;$C84&amp;"'!"&amp;"$"&amp;$D84&amp;$Z$1&amp;"")</f>
        <v>0</v>
      </c>
      <c r="AA84" s="296" t="s">
        <v>1</v>
      </c>
      <c r="AB84" s="296" t="s">
        <v>1</v>
      </c>
      <c r="AC84" s="294" t="s">
        <v>1</v>
      </c>
      <c r="AD84" s="295" cm="1">
        <f t="array" aca="1" ref="AD84" ca="1">INDIRECT("'"&amp;$C84&amp;"'!"&amp;"$"&amp;$D84&amp;$AD$1&amp;"")</f>
        <v>0</v>
      </c>
      <c r="AE84" s="296" t="s">
        <v>1</v>
      </c>
      <c r="AF84" s="296" t="s">
        <v>1</v>
      </c>
      <c r="AG84" s="297" t="s">
        <v>1</v>
      </c>
      <c r="AH84" s="293" cm="1">
        <f t="array" aca="1" ref="AH84" ca="1">INDIRECT("'"&amp;$C84&amp;"'!"&amp;"$"&amp;$D84&amp;$AH$1&amp;"")</f>
        <v>0</v>
      </c>
      <c r="AI84" s="296" t="s">
        <v>1</v>
      </c>
      <c r="AJ84" s="296" t="s">
        <v>1</v>
      </c>
      <c r="AK84" s="294" t="s">
        <v>1</v>
      </c>
      <c r="AL84" s="293">
        <v>11.9</v>
      </c>
      <c r="AM84" s="297">
        <v>71.099999999999994</v>
      </c>
      <c r="AN84" s="293" cm="1">
        <f t="array" aca="1" ref="AN84" ca="1">INDIRECT("'"&amp;$C84&amp;"'!"&amp;"$"&amp;$D84&amp;$AL$1&amp;"")</f>
        <v>3.8</v>
      </c>
      <c r="AO84" s="296">
        <v>0.99</v>
      </c>
      <c r="AP84" s="294">
        <v>0.18</v>
      </c>
      <c r="AQ84" s="295" cm="1">
        <f t="array" aca="1" ref="AQ84" ca="1">INDIRECT("'"&amp;$C84&amp;"'!"&amp;"$"&amp;$D84&amp;$AQ$1&amp;"")</f>
        <v>3.8</v>
      </c>
      <c r="AR84" s="296">
        <v>0.99</v>
      </c>
      <c r="AS84" s="294">
        <v>0.18</v>
      </c>
      <c r="AT84" s="296" cm="1">
        <f t="array" aca="1" ref="AT84" ca="1">INDIRECT("'"&amp;$C84&amp;"'!"&amp;"$"&amp;$D84&amp;$AT$1&amp;"")</f>
        <v>0</v>
      </c>
      <c r="AU84" s="295" t="s">
        <v>1</v>
      </c>
      <c r="AV84" s="296" t="s">
        <v>1</v>
      </c>
      <c r="AW84" s="294" t="s">
        <v>1</v>
      </c>
      <c r="AX84" s="298">
        <v>14.25</v>
      </c>
      <c r="AY84" s="297">
        <v>72.11</v>
      </c>
      <c r="AZ84" s="298" cm="1">
        <f t="array" aca="1" ref="AZ84" ca="1">INDIRECT("'"&amp;$C84&amp;"'!"&amp;"$"&amp;$D84&amp;$AZ$1&amp;"")</f>
        <v>14.3</v>
      </c>
      <c r="BA84" s="296">
        <v>0.99</v>
      </c>
      <c r="BB84" s="294">
        <v>2.4</v>
      </c>
      <c r="BC84" s="299">
        <v>69.099999999999994</v>
      </c>
      <c r="BD84" s="293" cm="1">
        <f t="array" aca="1" ref="BD84" ca="1">INDIRECT("'"&amp;$C84&amp;"'!"&amp;"$"&amp;$D84&amp;$BC$1&amp;"")</f>
        <v>2.0999999999999996</v>
      </c>
      <c r="BE84" s="295">
        <v>0.91</v>
      </c>
      <c r="BF84" s="294">
        <v>0.52</v>
      </c>
      <c r="BG84" s="298" cm="1">
        <f t="array" aca="1" ref="BG84" ca="1">INDIRECT("'"&amp;$C84&amp;"'!"&amp;"$"&amp;$D84&amp;$BG$1&amp;"")</f>
        <v>0.91</v>
      </c>
      <c r="BH84" s="296"/>
      <c r="BI84" s="296">
        <v>0.99</v>
      </c>
      <c r="BJ84" s="294">
        <v>0.13</v>
      </c>
      <c r="BK84" s="298" cm="1">
        <f t="array" aca="1" ref="BK84" ca="1">INDIRECT("'"&amp;$C84&amp;"'!"&amp;"$"&amp;$D84&amp;$BK$1&amp;"")</f>
        <v>0.72</v>
      </c>
      <c r="BL84" s="296"/>
      <c r="BM84" s="296">
        <v>0.96</v>
      </c>
      <c r="BN84" s="294">
        <v>0.22</v>
      </c>
      <c r="BO84" s="299" cm="1">
        <f t="array" aca="1" ref="BO84" ca="1">INDIRECT("'"&amp;$C84&amp;"'!"&amp;"$"&amp;$D84&amp;74&amp;"")</f>
        <v>0</v>
      </c>
      <c r="BP84" s="296"/>
      <c r="BQ84" s="296" t="s">
        <v>1</v>
      </c>
      <c r="BR84" s="294" t="s">
        <v>1</v>
      </c>
    </row>
    <row r="85" spans="1:70" ht="14.45" thickBot="1">
      <c r="A85" s="360">
        <v>45751</v>
      </c>
      <c r="B85" s="358">
        <v>0.20833333333333301</v>
      </c>
      <c r="C85" s="313">
        <f t="shared" si="2"/>
        <v>4</v>
      </c>
      <c r="D85" s="314" t="s">
        <v>132</v>
      </c>
      <c r="E85" s="286">
        <v>14.2</v>
      </c>
      <c r="F85" s="287">
        <v>70.53</v>
      </c>
      <c r="G85" s="288" cm="1">
        <f t="array" aca="1" ref="G85" ca="1">INDIRECT("'"&amp;$C85&amp;"'!"&amp;"$"&amp;$D85&amp;$E$1&amp;"")</f>
        <v>6.5</v>
      </c>
      <c r="H85" s="289">
        <v>0.99</v>
      </c>
      <c r="I85" s="287">
        <v>0.8</v>
      </c>
      <c r="J85" s="288" t="str" cm="1">
        <f t="array" aca="1" ref="J85" ca="1">INDIRECT("'"&amp;$C85&amp;"'!"&amp;"$"&amp;$D85&amp;$J$1&amp;"")</f>
        <v>CMS</v>
      </c>
      <c r="K85" s="289"/>
      <c r="L85" s="289" t="s">
        <v>1</v>
      </c>
      <c r="M85" s="287" t="s">
        <v>1</v>
      </c>
      <c r="N85" s="288" cm="1">
        <f t="array" aca="1" ref="N85" ca="1">INDIRECT("'"&amp;$C85&amp;"'!"&amp;"$"&amp;$D85&amp;$N$1&amp;"")</f>
        <v>1.5</v>
      </c>
      <c r="O85" s="289"/>
      <c r="P85" s="289">
        <v>0.99</v>
      </c>
      <c r="Q85" s="287">
        <v>0.2</v>
      </c>
      <c r="R85" s="288" cm="1">
        <f t="array" aca="1" ref="R85" ca="1">INDIRECT("'"&amp;$C85&amp;"'!"&amp;"$"&amp;$D85&amp;$R$1&amp;"")</f>
        <v>6.5</v>
      </c>
      <c r="S85" s="289"/>
      <c r="T85" s="289">
        <v>0.99</v>
      </c>
      <c r="U85" s="287">
        <v>0.8</v>
      </c>
      <c r="V85" s="288" cm="1">
        <f t="array" aca="1" ref="V85" ca="1">INDIRECT("'"&amp;$C85&amp;"'!"&amp;"$"&amp;$D85&amp;$V$1&amp;"")</f>
        <v>0</v>
      </c>
      <c r="W85" s="289" t="s">
        <v>1</v>
      </c>
      <c r="X85" s="289" t="s">
        <v>1</v>
      </c>
      <c r="Y85" s="290" t="s">
        <v>1</v>
      </c>
      <c r="Z85" s="286" cm="1">
        <f t="array" aca="1" ref="Z85" ca="1">INDIRECT("'"&amp;$C85&amp;"'!"&amp;"$"&amp;$D85&amp;$Z$1&amp;"")</f>
        <v>0</v>
      </c>
      <c r="AA85" s="289" t="s">
        <v>1</v>
      </c>
      <c r="AB85" s="289" t="s">
        <v>1</v>
      </c>
      <c r="AC85" s="287" t="s">
        <v>1</v>
      </c>
      <c r="AD85" s="288" cm="1">
        <f t="array" aca="1" ref="AD85" ca="1">INDIRECT("'"&amp;$C85&amp;"'!"&amp;"$"&amp;$D85&amp;$AD$1&amp;"")</f>
        <v>0</v>
      </c>
      <c r="AE85" s="289" t="s">
        <v>1</v>
      </c>
      <c r="AF85" s="289" t="s">
        <v>1</v>
      </c>
      <c r="AG85" s="290" t="s">
        <v>1</v>
      </c>
      <c r="AH85" s="286" cm="1">
        <f t="array" aca="1" ref="AH85" ca="1">INDIRECT("'"&amp;$C85&amp;"'!"&amp;"$"&amp;$D85&amp;$AH$1&amp;"")</f>
        <v>0</v>
      </c>
      <c r="AI85" s="289" t="s">
        <v>1</v>
      </c>
      <c r="AJ85" s="289" t="s">
        <v>1</v>
      </c>
      <c r="AK85" s="287" t="s">
        <v>1</v>
      </c>
      <c r="AL85" s="286">
        <v>11.8</v>
      </c>
      <c r="AM85" s="290">
        <v>71</v>
      </c>
      <c r="AN85" s="286" t="str" cm="1">
        <f t="array" aca="1" ref="AN85" ca="1">INDIRECT("'"&amp;$C85&amp;"'!"&amp;"$"&amp;$D85&amp;$AL$1&amp;"")</f>
        <v>CMS</v>
      </c>
      <c r="AO85" s="289" t="s">
        <v>1</v>
      </c>
      <c r="AP85" s="287" t="s">
        <v>1</v>
      </c>
      <c r="AQ85" s="288" cm="1">
        <f t="array" aca="1" ref="AQ85" ca="1">INDIRECT("'"&amp;$C85&amp;"'!"&amp;"$"&amp;$D85&amp;$AQ$1&amp;"")</f>
        <v>4</v>
      </c>
      <c r="AR85" s="289">
        <v>0.99</v>
      </c>
      <c r="AS85" s="287">
        <v>0.44</v>
      </c>
      <c r="AT85" s="289" cm="1">
        <f t="array" aca="1" ref="AT85" ca="1">INDIRECT("'"&amp;$C85&amp;"'!"&amp;"$"&amp;$D85&amp;$AT$1&amp;"")</f>
        <v>0</v>
      </c>
      <c r="AU85" s="288" t="s">
        <v>1</v>
      </c>
      <c r="AV85" s="289" t="s">
        <v>1</v>
      </c>
      <c r="AW85" s="287" t="s">
        <v>1</v>
      </c>
      <c r="AX85" s="291">
        <v>14.23</v>
      </c>
      <c r="AY85" s="290">
        <v>71.98</v>
      </c>
      <c r="AZ85" s="291" cm="1">
        <f t="array" aca="1" ref="AZ85" ca="1">INDIRECT("'"&amp;$C85&amp;"'!"&amp;"$"&amp;$D85&amp;$AZ$1&amp;"")</f>
        <v>14.31</v>
      </c>
      <c r="BA85" s="289">
        <v>0.99</v>
      </c>
      <c r="BB85" s="287">
        <v>2.4</v>
      </c>
      <c r="BC85" s="292">
        <v>69.599999999999994</v>
      </c>
      <c r="BD85" s="286" cm="1">
        <f t="array" aca="1" ref="BD85" ca="1">INDIRECT("'"&amp;$C85&amp;"'!"&amp;"$"&amp;$D85&amp;$BC$1&amp;"")</f>
        <v>4.8000000000000007</v>
      </c>
      <c r="BE85" s="288">
        <v>0.97</v>
      </c>
      <c r="BF85" s="287">
        <v>1.2</v>
      </c>
      <c r="BG85" s="291" cm="1">
        <f t="array" aca="1" ref="BG85" ca="1">INDIRECT("'"&amp;$C85&amp;"'!"&amp;"$"&amp;$D85&amp;$BG$1&amp;"")</f>
        <v>0.96</v>
      </c>
      <c r="BH85" s="289"/>
      <c r="BI85" s="289">
        <v>0.99</v>
      </c>
      <c r="BJ85" s="287">
        <v>0.13</v>
      </c>
      <c r="BK85" s="291" cm="1">
        <f t="array" aca="1" ref="BK85" ca="1">INDIRECT("'"&amp;$C85&amp;"'!"&amp;"$"&amp;$D85&amp;$BK$1&amp;"")</f>
        <v>0.75</v>
      </c>
      <c r="BL85" s="289"/>
      <c r="BM85" s="289">
        <v>0.96</v>
      </c>
      <c r="BN85" s="287">
        <v>0.22</v>
      </c>
      <c r="BO85" s="292" cm="1">
        <f t="array" aca="1" ref="BO85" ca="1">INDIRECT("'"&amp;$C85&amp;"'!"&amp;"$"&amp;$D85&amp;74&amp;"")</f>
        <v>0</v>
      </c>
      <c r="BP85" s="289"/>
      <c r="BQ85" s="289" t="s">
        <v>1</v>
      </c>
      <c r="BR85" s="287" t="s">
        <v>1</v>
      </c>
    </row>
    <row r="86" spans="1:70" ht="14.45" thickBot="1">
      <c r="A86" s="360">
        <v>45751</v>
      </c>
      <c r="B86" s="358">
        <v>0.25</v>
      </c>
      <c r="C86" s="313">
        <f t="shared" si="2"/>
        <v>4</v>
      </c>
      <c r="D86" s="314" t="s">
        <v>133</v>
      </c>
      <c r="E86" s="293">
        <v>14</v>
      </c>
      <c r="F86" s="294">
        <v>70.05</v>
      </c>
      <c r="G86" s="295" cm="1">
        <f t="array" aca="1" ref="G86" ca="1">INDIRECT("'"&amp;$C86&amp;"'!"&amp;"$"&amp;$D86&amp;$E$1&amp;"")</f>
        <v>6.7</v>
      </c>
      <c r="H86" s="296">
        <v>0.98</v>
      </c>
      <c r="I86" s="294">
        <v>1.34</v>
      </c>
      <c r="J86" s="295" t="str" cm="1">
        <f t="array" aca="1" ref="J86" ca="1">INDIRECT("'"&amp;$C86&amp;"'!"&amp;"$"&amp;$D86&amp;$J$1&amp;"")</f>
        <v>CMS</v>
      </c>
      <c r="K86" s="296"/>
      <c r="L86" s="296" t="s">
        <v>1</v>
      </c>
      <c r="M86" s="294" t="s">
        <v>1</v>
      </c>
      <c r="N86" s="295" cm="1">
        <f t="array" aca="1" ref="N86" ca="1">INDIRECT("'"&amp;$C86&amp;"'!"&amp;"$"&amp;$D86&amp;$N$1&amp;"")</f>
        <v>6.7</v>
      </c>
      <c r="O86" s="296"/>
      <c r="P86" s="296">
        <v>0.98</v>
      </c>
      <c r="Q86" s="294">
        <v>1.34</v>
      </c>
      <c r="R86" s="295" cm="1">
        <f t="array" aca="1" ref="R86" ca="1">INDIRECT("'"&amp;$C86&amp;"'!"&amp;"$"&amp;$D86&amp;$R$1&amp;"")</f>
        <v>6.7</v>
      </c>
      <c r="S86" s="296"/>
      <c r="T86" s="296">
        <v>0.98</v>
      </c>
      <c r="U86" s="294">
        <v>1.34</v>
      </c>
      <c r="V86" s="295" cm="1">
        <f t="array" aca="1" ref="V86" ca="1">INDIRECT("'"&amp;$C86&amp;"'!"&amp;"$"&amp;$D86&amp;$V$1&amp;"")</f>
        <v>0</v>
      </c>
      <c r="W86" s="296" t="s">
        <v>1</v>
      </c>
      <c r="X86" s="296" t="s">
        <v>1</v>
      </c>
      <c r="Y86" s="297" t="s">
        <v>1</v>
      </c>
      <c r="Z86" s="293" cm="1">
        <f t="array" aca="1" ref="Z86" ca="1">INDIRECT("'"&amp;$C86&amp;"'!"&amp;"$"&amp;$D86&amp;$Z$1&amp;"")</f>
        <v>0</v>
      </c>
      <c r="AA86" s="296" t="s">
        <v>1</v>
      </c>
      <c r="AB86" s="296" t="s">
        <v>1</v>
      </c>
      <c r="AC86" s="294" t="s">
        <v>1</v>
      </c>
      <c r="AD86" s="295" cm="1">
        <f t="array" aca="1" ref="AD86" ca="1">INDIRECT("'"&amp;$C86&amp;"'!"&amp;"$"&amp;$D86&amp;$AD$1&amp;"")</f>
        <v>0</v>
      </c>
      <c r="AE86" s="296" t="s">
        <v>1</v>
      </c>
      <c r="AF86" s="296" t="s">
        <v>1</v>
      </c>
      <c r="AG86" s="297" t="s">
        <v>1</v>
      </c>
      <c r="AH86" s="293" cm="1">
        <f t="array" aca="1" ref="AH86" ca="1">INDIRECT("'"&amp;$C86&amp;"'!"&amp;"$"&amp;$D86&amp;$AH$1&amp;"")</f>
        <v>0</v>
      </c>
      <c r="AI86" s="296" t="s">
        <v>1</v>
      </c>
      <c r="AJ86" s="296" t="s">
        <v>1</v>
      </c>
      <c r="AK86" s="294" t="s">
        <v>1</v>
      </c>
      <c r="AL86" s="293">
        <v>11.8</v>
      </c>
      <c r="AM86" s="297">
        <v>70.3</v>
      </c>
      <c r="AN86" s="293" t="str" cm="1">
        <f t="array" aca="1" ref="AN86" ca="1">INDIRECT("'"&amp;$C86&amp;"'!"&amp;"$"&amp;$D86&amp;$AL$1&amp;"")</f>
        <v>CMS</v>
      </c>
      <c r="AO86" s="296" t="s">
        <v>1</v>
      </c>
      <c r="AP86" s="294" t="s">
        <v>1</v>
      </c>
      <c r="AQ86" s="295" cm="1">
        <f t="array" aca="1" ref="AQ86" ca="1">INDIRECT("'"&amp;$C86&amp;"'!"&amp;"$"&amp;$D86&amp;$AQ$1&amp;"")</f>
        <v>4.2</v>
      </c>
      <c r="AR86" s="296">
        <v>0.96</v>
      </c>
      <c r="AS86" s="294">
        <v>1.1000000000000001</v>
      </c>
      <c r="AT86" s="296" cm="1">
        <f t="array" aca="1" ref="AT86" ca="1">INDIRECT("'"&amp;$C86&amp;"'!"&amp;"$"&amp;$D86&amp;$AT$1&amp;"")</f>
        <v>0</v>
      </c>
      <c r="AU86" s="295" t="s">
        <v>1</v>
      </c>
      <c r="AV86" s="296" t="s">
        <v>1</v>
      </c>
      <c r="AW86" s="294" t="s">
        <v>1</v>
      </c>
      <c r="AX86" s="298">
        <v>14.08</v>
      </c>
      <c r="AY86" s="297">
        <v>71.25</v>
      </c>
      <c r="AZ86" s="298" cm="1">
        <f t="array" aca="1" ref="AZ86" ca="1">INDIRECT("'"&amp;$C86&amp;"'!"&amp;"$"&amp;$D86&amp;$AZ$1&amp;"")</f>
        <v>14.29</v>
      </c>
      <c r="BA86" s="296">
        <v>0.99</v>
      </c>
      <c r="BB86" s="294">
        <v>2.4</v>
      </c>
      <c r="BC86" s="299">
        <v>69.099999999999994</v>
      </c>
      <c r="BD86" s="293" cm="1">
        <f t="array" aca="1" ref="BD86" ca="1">INDIRECT("'"&amp;$C86&amp;"'!"&amp;"$"&amp;$D86&amp;$BC$1&amp;"")</f>
        <v>2</v>
      </c>
      <c r="BE86" s="295">
        <v>0.97</v>
      </c>
      <c r="BF86" s="294">
        <v>0.5</v>
      </c>
      <c r="BG86" s="298" cm="1">
        <f t="array" aca="1" ref="BG86" ca="1">INDIRECT("'"&amp;$C86&amp;"'!"&amp;"$"&amp;$D86&amp;$BG$1&amp;"")</f>
        <v>1.0900000000000001</v>
      </c>
      <c r="BH86" s="296"/>
      <c r="BI86" s="296">
        <v>0.99</v>
      </c>
      <c r="BJ86" s="294">
        <v>0.13</v>
      </c>
      <c r="BK86" s="298" cm="1">
        <f t="array" aca="1" ref="BK86" ca="1">INDIRECT("'"&amp;$C86&amp;"'!"&amp;"$"&amp;$D86&amp;$BK$1&amp;"")</f>
        <v>0.74</v>
      </c>
      <c r="BL86" s="296"/>
      <c r="BM86" s="296">
        <v>0.96</v>
      </c>
      <c r="BN86" s="294">
        <v>0.21</v>
      </c>
      <c r="BO86" s="299" cm="1">
        <f t="array" aca="1" ref="BO86" ca="1">INDIRECT("'"&amp;$C86&amp;"'!"&amp;"$"&amp;$D86&amp;74&amp;"")</f>
        <v>0</v>
      </c>
      <c r="BP86" s="296"/>
      <c r="BQ86" s="296" t="s">
        <v>1</v>
      </c>
      <c r="BR86" s="294" t="s">
        <v>1</v>
      </c>
    </row>
    <row r="87" spans="1:70" ht="14.45" thickBot="1">
      <c r="A87" s="360">
        <v>45751</v>
      </c>
      <c r="B87" s="358">
        <v>0.29166666666666702</v>
      </c>
      <c r="C87" s="313">
        <f t="shared" si="2"/>
        <v>4</v>
      </c>
      <c r="D87" s="314" t="s">
        <v>134</v>
      </c>
      <c r="E87" s="286">
        <v>13.9</v>
      </c>
      <c r="F87" s="287">
        <v>69.2</v>
      </c>
      <c r="G87" s="288" cm="1">
        <f t="array" aca="1" ref="G87" ca="1">INDIRECT("'"&amp;$C87&amp;"'!"&amp;"$"&amp;$D87&amp;$E$1&amp;"")</f>
        <v>6.3</v>
      </c>
      <c r="H87" s="289">
        <v>0.96</v>
      </c>
      <c r="I87" s="287">
        <v>1.7</v>
      </c>
      <c r="J87" s="288" t="str" cm="1">
        <f t="array" aca="1" ref="J87" ca="1">INDIRECT("'"&amp;$C87&amp;"'!"&amp;"$"&amp;$D87&amp;$J$1&amp;"")</f>
        <v>CMS</v>
      </c>
      <c r="K87" s="289"/>
      <c r="L87" s="289" t="s">
        <v>1</v>
      </c>
      <c r="M87" s="287" t="s">
        <v>1</v>
      </c>
      <c r="N87" s="288" cm="1">
        <f t="array" aca="1" ref="N87" ca="1">INDIRECT("'"&amp;$C87&amp;"'!"&amp;"$"&amp;$D87&amp;$N$1&amp;"")</f>
        <v>6.3</v>
      </c>
      <c r="O87" s="289"/>
      <c r="P87" s="289">
        <v>0.96</v>
      </c>
      <c r="Q87" s="287">
        <v>1.7</v>
      </c>
      <c r="R87" s="288" cm="1">
        <f t="array" aca="1" ref="R87" ca="1">INDIRECT("'"&amp;$C87&amp;"'!"&amp;"$"&amp;$D87&amp;$R$1&amp;"")</f>
        <v>6.3</v>
      </c>
      <c r="S87" s="289"/>
      <c r="T87" s="289">
        <v>0.96</v>
      </c>
      <c r="U87" s="287">
        <v>1.7</v>
      </c>
      <c r="V87" s="288" cm="1">
        <f t="array" aca="1" ref="V87" ca="1">INDIRECT("'"&amp;$C87&amp;"'!"&amp;"$"&amp;$D87&amp;$V$1&amp;"")</f>
        <v>0</v>
      </c>
      <c r="W87" s="289" t="s">
        <v>1</v>
      </c>
      <c r="X87" s="289" t="s">
        <v>1</v>
      </c>
      <c r="Y87" s="290" t="s">
        <v>1</v>
      </c>
      <c r="Z87" s="286" cm="1">
        <f t="array" aca="1" ref="Z87" ca="1">INDIRECT("'"&amp;$C87&amp;"'!"&amp;"$"&amp;$D87&amp;$Z$1&amp;"")</f>
        <v>0</v>
      </c>
      <c r="AA87" s="289" t="s">
        <v>1</v>
      </c>
      <c r="AB87" s="289" t="s">
        <v>1</v>
      </c>
      <c r="AC87" s="287" t="s">
        <v>1</v>
      </c>
      <c r="AD87" s="288" cm="1">
        <f t="array" aca="1" ref="AD87" ca="1">INDIRECT("'"&amp;$C87&amp;"'!"&amp;"$"&amp;$D87&amp;$AD$1&amp;"")</f>
        <v>0</v>
      </c>
      <c r="AE87" s="289" t="s">
        <v>1</v>
      </c>
      <c r="AF87" s="289" t="s">
        <v>1</v>
      </c>
      <c r="AG87" s="290" t="s">
        <v>1</v>
      </c>
      <c r="AH87" s="286" cm="1">
        <f t="array" aca="1" ref="AH87" ca="1">INDIRECT("'"&amp;$C87&amp;"'!"&amp;"$"&amp;$D87&amp;$AH$1&amp;"")</f>
        <v>3</v>
      </c>
      <c r="AI87" s="289">
        <v>14.04</v>
      </c>
      <c r="AJ87" s="289">
        <v>0.99</v>
      </c>
      <c r="AK87" s="287">
        <v>0.27400000000000002</v>
      </c>
      <c r="AL87" s="286">
        <v>11.7</v>
      </c>
      <c r="AM87" s="290">
        <v>69.7</v>
      </c>
      <c r="AN87" s="286" t="str" cm="1">
        <f t="array" aca="1" ref="AN87" ca="1">INDIRECT("'"&amp;$C87&amp;"'!"&amp;"$"&amp;$D87&amp;$AL$1&amp;"")</f>
        <v>CMS</v>
      </c>
      <c r="AO87" s="289" t="s">
        <v>1</v>
      </c>
      <c r="AP87" s="287" t="s">
        <v>1</v>
      </c>
      <c r="AQ87" s="288" cm="1">
        <f t="array" aca="1" ref="AQ87" ca="1">INDIRECT("'"&amp;$C87&amp;"'!"&amp;"$"&amp;$D87&amp;$AQ$1&amp;"")</f>
        <v>3</v>
      </c>
      <c r="AR87" s="289">
        <v>0.89</v>
      </c>
      <c r="AS87" s="287">
        <v>1.4</v>
      </c>
      <c r="AT87" s="289" cm="1">
        <f t="array" aca="1" ref="AT87" ca="1">INDIRECT("'"&amp;$C87&amp;"'!"&amp;"$"&amp;$D87&amp;$AT$1&amp;"")</f>
        <v>0</v>
      </c>
      <c r="AU87" s="288" t="s">
        <v>1</v>
      </c>
      <c r="AV87" s="289" t="s">
        <v>1</v>
      </c>
      <c r="AW87" s="287" t="s">
        <v>1</v>
      </c>
      <c r="AX87" s="291">
        <v>14.05</v>
      </c>
      <c r="AY87" s="290">
        <v>70.94</v>
      </c>
      <c r="AZ87" s="291" cm="1">
        <f t="array" aca="1" ref="AZ87" ca="1">INDIRECT("'"&amp;$C87&amp;"'!"&amp;"$"&amp;$D87&amp;$AZ$1&amp;"")</f>
        <v>14.32</v>
      </c>
      <c r="BA87" s="289">
        <v>0.99</v>
      </c>
      <c r="BB87" s="287">
        <v>2.4</v>
      </c>
      <c r="BC87" s="292">
        <v>67.900000000000006</v>
      </c>
      <c r="BD87" s="286" cm="1">
        <f t="array" aca="1" ref="BD87" ca="1">INDIRECT("'"&amp;$C87&amp;"'!"&amp;"$"&amp;$D87&amp;$BC$1&amp;"")</f>
        <v>0</v>
      </c>
      <c r="BE87" s="288" t="s">
        <v>1</v>
      </c>
      <c r="BF87" s="287" t="s">
        <v>1</v>
      </c>
      <c r="BG87" s="291" cm="1">
        <f t="array" aca="1" ref="BG87" ca="1">INDIRECT("'"&amp;$C87&amp;"'!"&amp;"$"&amp;$D87&amp;$BG$1&amp;"")</f>
        <v>1.1399999999999999</v>
      </c>
      <c r="BH87" s="289"/>
      <c r="BI87" s="289">
        <v>0.99</v>
      </c>
      <c r="BJ87" s="287">
        <v>0.17</v>
      </c>
      <c r="BK87" s="292" cm="1">
        <f t="array" aca="1" ref="BK87" ca="1">INDIRECT("'"&amp;$C87&amp;"'!"&amp;"$"&amp;$D87&amp;$BK$1&amp;"")</f>
        <v>0.74</v>
      </c>
      <c r="BL87" s="289"/>
      <c r="BM87" s="289">
        <v>0.95</v>
      </c>
      <c r="BN87" s="287">
        <v>0.23</v>
      </c>
      <c r="BO87" s="292" cm="1">
        <f t="array" aca="1" ref="BO87" ca="1">INDIRECT("'"&amp;$C87&amp;"'!"&amp;"$"&amp;$D87&amp;74&amp;"")</f>
        <v>0</v>
      </c>
      <c r="BP87" s="289"/>
      <c r="BQ87" s="289" t="s">
        <v>1</v>
      </c>
      <c r="BR87" s="287" t="s">
        <v>1</v>
      </c>
    </row>
    <row r="88" spans="1:70" ht="14.45" thickBot="1">
      <c r="A88" s="360">
        <v>45751</v>
      </c>
      <c r="B88" s="358">
        <v>0.33333333333333398</v>
      </c>
      <c r="C88" s="313">
        <f t="shared" si="2"/>
        <v>4</v>
      </c>
      <c r="D88" s="314" t="s">
        <v>135</v>
      </c>
      <c r="E88" s="293">
        <v>14.2</v>
      </c>
      <c r="F88" s="294">
        <v>69.67</v>
      </c>
      <c r="G88" s="295" cm="1">
        <f t="array" aca="1" ref="G88" ca="1">INDIRECT("'"&amp;$C88&amp;"'!"&amp;"$"&amp;$D88&amp;$E$1&amp;"")</f>
        <v>6.8</v>
      </c>
      <c r="H88" s="296">
        <v>0.97</v>
      </c>
      <c r="I88" s="294">
        <v>1.58</v>
      </c>
      <c r="J88" s="295" t="str" cm="1">
        <f t="array" aca="1" ref="J88" ca="1">INDIRECT("'"&amp;$C88&amp;"'!"&amp;"$"&amp;$D88&amp;$J$1&amp;"")</f>
        <v>CMS</v>
      </c>
      <c r="K88" s="296"/>
      <c r="L88" s="296" t="s">
        <v>1</v>
      </c>
      <c r="M88" s="294" t="s">
        <v>1</v>
      </c>
      <c r="N88" s="295" cm="1">
        <f t="array" aca="1" ref="N88" ca="1">INDIRECT("'"&amp;$C88&amp;"'!"&amp;"$"&amp;$D88&amp;$N$1&amp;"")</f>
        <v>6.8</v>
      </c>
      <c r="O88" s="296"/>
      <c r="P88" s="296">
        <v>0.97</v>
      </c>
      <c r="Q88" s="294">
        <v>1.59</v>
      </c>
      <c r="R88" s="295" cm="1">
        <f t="array" aca="1" ref="R88" ca="1">INDIRECT("'"&amp;$C88&amp;"'!"&amp;"$"&amp;$D88&amp;$R$1&amp;"")</f>
        <v>6.8</v>
      </c>
      <c r="S88" s="296"/>
      <c r="T88" s="296">
        <v>0.97</v>
      </c>
      <c r="U88" s="294">
        <v>1.59</v>
      </c>
      <c r="V88" s="295" cm="1">
        <f t="array" aca="1" ref="V88" ca="1">INDIRECT("'"&amp;$C88&amp;"'!"&amp;"$"&amp;$D88&amp;$V$1&amp;"")</f>
        <v>0</v>
      </c>
      <c r="W88" s="296" t="s">
        <v>1</v>
      </c>
      <c r="X88" s="296" t="s">
        <v>1</v>
      </c>
      <c r="Y88" s="297" t="s">
        <v>1</v>
      </c>
      <c r="Z88" s="293" cm="1">
        <f t="array" aca="1" ref="Z88" ca="1">INDIRECT("'"&amp;$C88&amp;"'!"&amp;"$"&amp;$D88&amp;$Z$1&amp;"")</f>
        <v>0</v>
      </c>
      <c r="AA88" s="296" t="s">
        <v>1</v>
      </c>
      <c r="AB88" s="296" t="s">
        <v>1</v>
      </c>
      <c r="AC88" s="294" t="s">
        <v>1</v>
      </c>
      <c r="AD88" s="295" cm="1">
        <f t="array" aca="1" ref="AD88" ca="1">INDIRECT("'"&amp;$C88&amp;"'!"&amp;"$"&amp;$D88&amp;$AD$1&amp;"")</f>
        <v>1.3</v>
      </c>
      <c r="AE88" s="296">
        <f>3.8*3.54</f>
        <v>13.452</v>
      </c>
      <c r="AF88" s="296">
        <v>0.99</v>
      </c>
      <c r="AG88" s="297">
        <v>0.12</v>
      </c>
      <c r="AH88" s="293" cm="1">
        <f t="array" aca="1" ref="AH88" ca="1">INDIRECT("'"&amp;$C88&amp;"'!"&amp;"$"&amp;$D88&amp;$AH$1&amp;"")</f>
        <v>3.8</v>
      </c>
      <c r="AI88" s="296">
        <v>14.02</v>
      </c>
      <c r="AJ88" s="296">
        <v>0.98</v>
      </c>
      <c r="AK88" s="294">
        <v>0.55200000000000005</v>
      </c>
      <c r="AL88" s="293">
        <v>11.7</v>
      </c>
      <c r="AM88" s="297">
        <v>69.900000000000006</v>
      </c>
      <c r="AN88" s="293" t="str" cm="1">
        <f t="array" aca="1" ref="AN88" ca="1">INDIRECT("'"&amp;$C88&amp;"'!"&amp;"$"&amp;$D88&amp;$AL$1&amp;"")</f>
        <v>CMS</v>
      </c>
      <c r="AO88" s="296" t="s">
        <v>1</v>
      </c>
      <c r="AP88" s="294" t="s">
        <v>1</v>
      </c>
      <c r="AQ88" s="295" cm="1">
        <f t="array" aca="1" ref="AQ88" ca="1">INDIRECT("'"&amp;$C88&amp;"'!"&amp;"$"&amp;$D88&amp;$AQ$1&amp;"")</f>
        <v>4.2</v>
      </c>
      <c r="AR88" s="296">
        <v>0.94</v>
      </c>
      <c r="AS88" s="294">
        <v>1.5</v>
      </c>
      <c r="AT88" s="296" cm="1">
        <f t="array" aca="1" ref="AT88" ca="1">INDIRECT("'"&amp;$C88&amp;"'!"&amp;"$"&amp;$D88&amp;$AT$1&amp;"")</f>
        <v>0</v>
      </c>
      <c r="AU88" s="295" t="s">
        <v>1</v>
      </c>
      <c r="AV88" s="296" t="s">
        <v>1</v>
      </c>
      <c r="AW88" s="294" t="s">
        <v>1</v>
      </c>
      <c r="AX88" s="298">
        <v>14.27</v>
      </c>
      <c r="AY88" s="297">
        <v>71.69</v>
      </c>
      <c r="AZ88" s="298" cm="1">
        <f t="array" aca="1" ref="AZ88" ca="1">INDIRECT("'"&amp;$C88&amp;"'!"&amp;"$"&amp;$D88&amp;$AZ$1&amp;"")</f>
        <v>14.29</v>
      </c>
      <c r="BA88" s="296">
        <v>0.99</v>
      </c>
      <c r="BB88" s="294">
        <v>2.4</v>
      </c>
      <c r="BC88" s="299">
        <v>68.3</v>
      </c>
      <c r="BD88" s="293" cm="1">
        <f t="array" aca="1" ref="BD88" ca="1">INDIRECT("'"&amp;$C88&amp;"'!"&amp;"$"&amp;$D88&amp;$BC$1&amp;"")</f>
        <v>0.7</v>
      </c>
      <c r="BE88" s="295">
        <v>0.95</v>
      </c>
      <c r="BF88" s="294">
        <v>0.23</v>
      </c>
      <c r="BG88" s="298" cm="1">
        <f t="array" aca="1" ref="BG88" ca="1">INDIRECT("'"&amp;$C88&amp;"'!"&amp;"$"&amp;$D88&amp;$BG$1&amp;"")</f>
        <v>1.05</v>
      </c>
      <c r="BH88" s="296"/>
      <c r="BI88" s="296">
        <v>0.99</v>
      </c>
      <c r="BJ88" s="294">
        <v>0.1</v>
      </c>
      <c r="BK88" s="299" cm="1">
        <f t="array" aca="1" ref="BK88" ca="1">INDIRECT("'"&amp;$C88&amp;"'!"&amp;"$"&amp;$D88&amp;$BK$1&amp;"")</f>
        <v>0.72</v>
      </c>
      <c r="BL88" s="296"/>
      <c r="BM88" s="296">
        <v>0.95</v>
      </c>
      <c r="BN88" s="294">
        <v>0.22</v>
      </c>
      <c r="BO88" s="299" cm="1">
        <f t="array" aca="1" ref="BO88" ca="1">INDIRECT("'"&amp;$C88&amp;"'!"&amp;"$"&amp;$D88&amp;74&amp;"")</f>
        <v>0</v>
      </c>
      <c r="BP88" s="296"/>
      <c r="BQ88" s="296" t="s">
        <v>1</v>
      </c>
      <c r="BR88" s="294" t="s">
        <v>1</v>
      </c>
    </row>
    <row r="89" spans="1:70" ht="14.45" thickBot="1">
      <c r="A89" s="360">
        <v>45751</v>
      </c>
      <c r="B89" s="358">
        <v>0.375</v>
      </c>
      <c r="C89" s="313">
        <f t="shared" si="2"/>
        <v>4</v>
      </c>
      <c r="D89" s="314" t="s">
        <v>136</v>
      </c>
      <c r="E89" s="286">
        <v>14.2</v>
      </c>
      <c r="F89" s="287">
        <v>70.02</v>
      </c>
      <c r="G89" s="288" cm="1">
        <f t="array" aca="1" ref="G89" ca="1">INDIRECT("'"&amp;$C89&amp;"'!"&amp;"$"&amp;$D89&amp;$E$1&amp;"")</f>
        <v>6.8</v>
      </c>
      <c r="H89" s="289">
        <v>0.96</v>
      </c>
      <c r="I89" s="287">
        <v>1.88</v>
      </c>
      <c r="J89" s="288" t="str" cm="1">
        <f t="array" aca="1" ref="J89" ca="1">INDIRECT("'"&amp;$C89&amp;"'!"&amp;"$"&amp;$D89&amp;$J$1&amp;"")</f>
        <v>CMS</v>
      </c>
      <c r="K89" s="289"/>
      <c r="L89" s="289" t="s">
        <v>1</v>
      </c>
      <c r="M89" s="287" t="s">
        <v>1</v>
      </c>
      <c r="N89" s="288" cm="1">
        <f t="array" aca="1" ref="N89" ca="1">INDIRECT("'"&amp;$C89&amp;"'!"&amp;"$"&amp;$D89&amp;$N$1&amp;"")</f>
        <v>6.8</v>
      </c>
      <c r="O89" s="289"/>
      <c r="P89" s="289">
        <v>0.96</v>
      </c>
      <c r="Q89" s="287">
        <v>1.91</v>
      </c>
      <c r="R89" s="288" cm="1">
        <f t="array" aca="1" ref="R89" ca="1">INDIRECT("'"&amp;$C89&amp;"'!"&amp;"$"&amp;$D89&amp;$R$1&amp;"")</f>
        <v>6.8</v>
      </c>
      <c r="S89" s="289"/>
      <c r="T89" s="289">
        <v>0.96</v>
      </c>
      <c r="U89" s="287">
        <v>1.92</v>
      </c>
      <c r="V89" s="288" cm="1">
        <f t="array" aca="1" ref="V89" ca="1">INDIRECT("'"&amp;$C89&amp;"'!"&amp;"$"&amp;$D89&amp;$V$1&amp;"")</f>
        <v>2.8</v>
      </c>
      <c r="W89" s="289">
        <f>3.8*3.57</f>
        <v>13.565999999999999</v>
      </c>
      <c r="X89" s="289">
        <v>0.92</v>
      </c>
      <c r="Y89" s="290">
        <v>1.1499999999999999</v>
      </c>
      <c r="Z89" s="286" cm="1">
        <f t="array" aca="1" ref="Z89" ca="1">INDIRECT("'"&amp;$C89&amp;"'!"&amp;"$"&amp;$D89&amp;$Z$1&amp;"")</f>
        <v>0</v>
      </c>
      <c r="AA89" s="289" t="s">
        <v>1</v>
      </c>
      <c r="AB89" s="289" t="s">
        <v>1</v>
      </c>
      <c r="AC89" s="287" t="s">
        <v>1</v>
      </c>
      <c r="AD89" s="288" cm="1">
        <f t="array" aca="1" ref="AD89" ca="1">INDIRECT("'"&amp;$C89&amp;"'!"&amp;"$"&amp;$D89&amp;$AD$1&amp;"")</f>
        <v>3.8</v>
      </c>
      <c r="AE89" s="289">
        <f>3.8*3.57</f>
        <v>13.565999999999999</v>
      </c>
      <c r="AF89" s="289">
        <v>0.92</v>
      </c>
      <c r="AG89" s="290">
        <v>1.6</v>
      </c>
      <c r="AH89" s="286" cm="1">
        <f t="array" aca="1" ref="AH89" ca="1">INDIRECT("'"&amp;$C89&amp;"'!"&amp;"$"&amp;$D89&amp;$AH$1&amp;"")</f>
        <v>3.8</v>
      </c>
      <c r="AI89" s="289">
        <v>14.04</v>
      </c>
      <c r="AJ89" s="289">
        <v>0.98</v>
      </c>
      <c r="AK89" s="287">
        <v>0.71899999999999997</v>
      </c>
      <c r="AL89" s="286">
        <v>11.9</v>
      </c>
      <c r="AM89" s="290">
        <v>70.5</v>
      </c>
      <c r="AN89" s="286" t="str" cm="1">
        <f t="array" aca="1" ref="AN89" ca="1">INDIRECT("'"&amp;$C89&amp;"'!"&amp;"$"&amp;$D89&amp;$AL$1&amp;"")</f>
        <v>CMS</v>
      </c>
      <c r="AO89" s="289" t="s">
        <v>1</v>
      </c>
      <c r="AP89" s="287" t="s">
        <v>1</v>
      </c>
      <c r="AQ89" s="288" cm="1">
        <f t="array" aca="1" ref="AQ89" ca="1">INDIRECT("'"&amp;$C89&amp;"'!"&amp;"$"&amp;$D89&amp;$AQ$1&amp;"")</f>
        <v>4.2</v>
      </c>
      <c r="AR89" s="289">
        <v>0.96</v>
      </c>
      <c r="AS89" s="287">
        <v>1.2</v>
      </c>
      <c r="AT89" s="289" t="str" cm="1">
        <f t="array" aca="1" ref="AT89" ca="1">INDIRECT("'"&amp;$C89&amp;"'!"&amp;"$"&amp;$D89&amp;$AT$1&amp;"")</f>
        <v>CMS</v>
      </c>
      <c r="AU89" s="288" t="s">
        <v>1</v>
      </c>
      <c r="AV89" s="289" t="s">
        <v>1</v>
      </c>
      <c r="AW89" s="287" t="s">
        <v>1</v>
      </c>
      <c r="AX89" s="291">
        <v>14.21</v>
      </c>
      <c r="AY89" s="290">
        <v>71.400000000000006</v>
      </c>
      <c r="AZ89" s="291" cm="1">
        <f t="array" aca="1" ref="AZ89" ca="1">INDIRECT("'"&amp;$C89&amp;"'!"&amp;"$"&amp;$D89&amp;$AZ$1&amp;"")</f>
        <v>14.35</v>
      </c>
      <c r="BA89" s="289">
        <v>0.98</v>
      </c>
      <c r="BB89" s="287">
        <v>3.4</v>
      </c>
      <c r="BC89" s="292">
        <v>68.8</v>
      </c>
      <c r="BD89" s="286" cm="1">
        <f t="array" aca="1" ref="BD89" ca="1">INDIRECT("'"&amp;$C89&amp;"'!"&amp;"$"&amp;$D89&amp;$BC$1&amp;"")</f>
        <v>5</v>
      </c>
      <c r="BE89" s="288">
        <v>0.97</v>
      </c>
      <c r="BF89" s="287">
        <v>1.2</v>
      </c>
      <c r="BG89" s="291" cm="1">
        <f t="array" aca="1" ref="BG89" ca="1">INDIRECT("'"&amp;$C89&amp;"'!"&amp;"$"&amp;$D89&amp;$BG$1&amp;"")</f>
        <v>1.39</v>
      </c>
      <c r="BH89" s="289"/>
      <c r="BI89" s="289">
        <v>0.99</v>
      </c>
      <c r="BJ89" s="287">
        <v>0.19</v>
      </c>
      <c r="BK89" s="292" cm="1">
        <f t="array" aca="1" ref="BK89" ca="1">INDIRECT("'"&amp;$C89&amp;"'!"&amp;"$"&amp;$D89&amp;$BK$1&amp;"")</f>
        <v>0.8</v>
      </c>
      <c r="BL89" s="289"/>
      <c r="BM89" s="289">
        <v>0.96</v>
      </c>
      <c r="BN89" s="287">
        <v>0.24</v>
      </c>
      <c r="BO89" s="292" cm="1">
        <f t="array" aca="1" ref="BO89" ca="1">INDIRECT("'"&amp;$C89&amp;"'!"&amp;"$"&amp;$D89&amp;74&amp;"")</f>
        <v>0</v>
      </c>
      <c r="BP89" s="289"/>
      <c r="BQ89" s="289" t="s">
        <v>1</v>
      </c>
      <c r="BR89" s="287" t="s">
        <v>1</v>
      </c>
    </row>
    <row r="90" spans="1:70" ht="14.45" thickBot="1">
      <c r="A90" s="360">
        <v>45751</v>
      </c>
      <c r="B90" s="358">
        <v>0.41666666666666702</v>
      </c>
      <c r="C90" s="313">
        <f t="shared" si="2"/>
        <v>4</v>
      </c>
      <c r="D90" s="314" t="s">
        <v>137</v>
      </c>
      <c r="E90" s="293">
        <v>14.2</v>
      </c>
      <c r="F90" s="294">
        <v>70.069999999999993</v>
      </c>
      <c r="G90" s="295" cm="1">
        <f t="array" aca="1" ref="G90" ca="1">INDIRECT("'"&amp;$C90&amp;"'!"&amp;"$"&amp;$D90&amp;$E$1&amp;"")</f>
        <v>6.8</v>
      </c>
      <c r="H90" s="296">
        <v>0.97</v>
      </c>
      <c r="I90" s="294">
        <v>1.65</v>
      </c>
      <c r="J90" s="295" t="str" cm="1">
        <f t="array" aca="1" ref="J90" ca="1">INDIRECT("'"&amp;$C90&amp;"'!"&amp;"$"&amp;$D90&amp;$J$1&amp;"")</f>
        <v>CMS</v>
      </c>
      <c r="K90" s="296"/>
      <c r="L90" s="296" t="s">
        <v>1</v>
      </c>
      <c r="M90" s="294" t="s">
        <v>1</v>
      </c>
      <c r="N90" s="295" cm="1">
        <f t="array" aca="1" ref="N90" ca="1">INDIRECT("'"&amp;$C90&amp;"'!"&amp;"$"&amp;$D90&amp;$N$1&amp;"")</f>
        <v>6.8</v>
      </c>
      <c r="O90" s="296"/>
      <c r="P90" s="296">
        <v>0.97</v>
      </c>
      <c r="Q90" s="294">
        <v>1.65</v>
      </c>
      <c r="R90" s="295" cm="1">
        <f t="array" aca="1" ref="R90" ca="1">INDIRECT("'"&amp;$C90&amp;"'!"&amp;"$"&amp;$D90&amp;$R$1&amp;"")</f>
        <v>6.8</v>
      </c>
      <c r="S90" s="296"/>
      <c r="T90" s="296">
        <v>0.97</v>
      </c>
      <c r="U90" s="294">
        <v>1.67</v>
      </c>
      <c r="V90" s="295" cm="1">
        <f t="array" aca="1" ref="V90" ca="1">INDIRECT("'"&amp;$C90&amp;"'!"&amp;"$"&amp;$D90&amp;$V$1&amp;"")</f>
        <v>2.8</v>
      </c>
      <c r="W90" s="296">
        <f>3.8*3.56</f>
        <v>13.527999999999999</v>
      </c>
      <c r="X90" s="296">
        <v>0.92</v>
      </c>
      <c r="Y90" s="297">
        <v>1.1399999999999999</v>
      </c>
      <c r="Z90" s="293" cm="1">
        <f t="array" aca="1" ref="Z90" ca="1">INDIRECT("'"&amp;$C90&amp;"'!"&amp;"$"&amp;$D90&amp;$Z$1&amp;"")</f>
        <v>0</v>
      </c>
      <c r="AA90" s="296" t="s">
        <v>1</v>
      </c>
      <c r="AB90" s="296" t="s">
        <v>1</v>
      </c>
      <c r="AC90" s="294" t="s">
        <v>1</v>
      </c>
      <c r="AD90" s="295" cm="1">
        <f t="array" aca="1" ref="AD90" ca="1">INDIRECT("'"&amp;$C90&amp;"'!"&amp;"$"&amp;$D90&amp;$AD$1&amp;"")</f>
        <v>3.9</v>
      </c>
      <c r="AE90" s="296">
        <f>3.8*3.56</f>
        <v>13.527999999999999</v>
      </c>
      <c r="AF90" s="296">
        <v>0.92</v>
      </c>
      <c r="AG90" s="297">
        <v>1.64</v>
      </c>
      <c r="AH90" s="293" cm="1">
        <f t="array" aca="1" ref="AH90" ca="1">INDIRECT("'"&amp;$C90&amp;"'!"&amp;"$"&amp;$D90&amp;$AH$1&amp;"")</f>
        <v>3.8</v>
      </c>
      <c r="AI90" s="296">
        <v>14</v>
      </c>
      <c r="AJ90" s="296">
        <v>0.96</v>
      </c>
      <c r="AK90" s="294">
        <v>0.85599999999999998</v>
      </c>
      <c r="AL90" s="293">
        <v>11.9</v>
      </c>
      <c r="AM90" s="297">
        <v>70.400000000000006</v>
      </c>
      <c r="AN90" s="293" t="str" cm="1">
        <f t="array" aca="1" ref="AN90" ca="1">INDIRECT("'"&amp;$C90&amp;"'!"&amp;"$"&amp;$D90&amp;$AL$1&amp;"")</f>
        <v>CMS</v>
      </c>
      <c r="AO90" s="296" t="s">
        <v>1</v>
      </c>
      <c r="AP90" s="294" t="s">
        <v>1</v>
      </c>
      <c r="AQ90" s="295" cm="1">
        <f t="array" aca="1" ref="AQ90" ca="1">INDIRECT("'"&amp;$C90&amp;"'!"&amp;"$"&amp;$D90&amp;$AQ$1&amp;"")</f>
        <v>4.2</v>
      </c>
      <c r="AR90" s="296">
        <v>0.95</v>
      </c>
      <c r="AS90" s="294">
        <v>1.2</v>
      </c>
      <c r="AT90" s="296" t="str" cm="1">
        <f t="array" aca="1" ref="AT90" ca="1">INDIRECT("'"&amp;$C90&amp;"'!"&amp;"$"&amp;$D90&amp;$AT$1&amp;"")</f>
        <v>CMS</v>
      </c>
      <c r="AU90" s="295" t="s">
        <v>1</v>
      </c>
      <c r="AV90" s="296" t="s">
        <v>1</v>
      </c>
      <c r="AW90" s="294" t="s">
        <v>1</v>
      </c>
      <c r="AX90" s="298">
        <v>14.2</v>
      </c>
      <c r="AY90" s="297">
        <v>71.430000000000007</v>
      </c>
      <c r="AZ90" s="298" cm="1">
        <f t="array" aca="1" ref="AZ90" ca="1">INDIRECT("'"&amp;$C90&amp;"'!"&amp;"$"&amp;$D90&amp;$AZ$1&amp;"")</f>
        <v>14.29</v>
      </c>
      <c r="BA90" s="296">
        <v>0.98</v>
      </c>
      <c r="BB90" s="294">
        <v>3.5</v>
      </c>
      <c r="BC90" s="299">
        <v>69</v>
      </c>
      <c r="BD90" s="293" cm="1">
        <f t="array" aca="1" ref="BD90" ca="1">INDIRECT("'"&amp;$C90&amp;"'!"&amp;"$"&amp;$D90&amp;$BC$1&amp;"")</f>
        <v>9.3999999999999986</v>
      </c>
      <c r="BE90" s="295">
        <v>0.97</v>
      </c>
      <c r="BF90" s="294">
        <v>2.2999999999999998</v>
      </c>
      <c r="BG90" s="298" cm="1">
        <f t="array" aca="1" ref="BG90" ca="1">INDIRECT("'"&amp;$C90&amp;"'!"&amp;"$"&amp;$D90&amp;$BG$1&amp;"")</f>
        <v>1.38</v>
      </c>
      <c r="BH90" s="296"/>
      <c r="BI90" s="296">
        <v>0.99</v>
      </c>
      <c r="BJ90" s="294">
        <v>0.2</v>
      </c>
      <c r="BK90" s="299" cm="1">
        <f t="array" aca="1" ref="BK90" ca="1">INDIRECT("'"&amp;$C90&amp;"'!"&amp;"$"&amp;$D90&amp;$BK$1&amp;"")</f>
        <v>0.8</v>
      </c>
      <c r="BL90" s="296"/>
      <c r="BM90" s="296">
        <v>0.95</v>
      </c>
      <c r="BN90" s="294">
        <v>0.25</v>
      </c>
      <c r="BO90" s="299" cm="1">
        <f t="array" aca="1" ref="BO90" ca="1">INDIRECT("'"&amp;$C90&amp;"'!"&amp;"$"&amp;$D90&amp;74&amp;"")</f>
        <v>0</v>
      </c>
      <c r="BP90" s="296"/>
      <c r="BQ90" s="296" t="s">
        <v>1</v>
      </c>
      <c r="BR90" s="294" t="s">
        <v>1</v>
      </c>
    </row>
    <row r="91" spans="1:70" ht="14.45" thickBot="1">
      <c r="A91" s="360">
        <v>45751</v>
      </c>
      <c r="B91" s="358">
        <v>0.45833333333333398</v>
      </c>
      <c r="C91" s="313">
        <f t="shared" si="2"/>
        <v>4</v>
      </c>
      <c r="D91" s="314" t="s">
        <v>138</v>
      </c>
      <c r="E91" s="286">
        <v>14.1</v>
      </c>
      <c r="F91" s="287">
        <v>69.680000000000007</v>
      </c>
      <c r="G91" s="288" cm="1">
        <f t="array" aca="1" ref="G91" ca="1">INDIRECT("'"&amp;$C91&amp;"'!"&amp;"$"&amp;$D91&amp;$E$1&amp;"")</f>
        <v>6.4</v>
      </c>
      <c r="H91" s="289">
        <v>0.96</v>
      </c>
      <c r="I91" s="287">
        <v>1.84</v>
      </c>
      <c r="J91" s="288" t="str" cm="1">
        <f t="array" aca="1" ref="J91" ca="1">INDIRECT("'"&amp;$C91&amp;"'!"&amp;"$"&amp;$D91&amp;$J$1&amp;"")</f>
        <v>CMS</v>
      </c>
      <c r="K91" s="289"/>
      <c r="L91" s="289" t="s">
        <v>1</v>
      </c>
      <c r="M91" s="287" t="s">
        <v>1</v>
      </c>
      <c r="N91" s="288" cm="1">
        <f t="array" aca="1" ref="N91" ca="1">INDIRECT("'"&amp;$C91&amp;"'!"&amp;"$"&amp;$D91&amp;$N$1&amp;"")</f>
        <v>6.4</v>
      </c>
      <c r="O91" s="289"/>
      <c r="P91" s="289">
        <v>0.96</v>
      </c>
      <c r="Q91" s="287">
        <v>1.82</v>
      </c>
      <c r="R91" s="288" cm="1">
        <f t="array" aca="1" ref="R91" ca="1">INDIRECT("'"&amp;$C91&amp;"'!"&amp;"$"&amp;$D91&amp;$R$1&amp;"")</f>
        <v>6.4</v>
      </c>
      <c r="S91" s="289"/>
      <c r="T91" s="289">
        <v>0.96</v>
      </c>
      <c r="U91" s="287">
        <v>1.84</v>
      </c>
      <c r="V91" s="288" cm="1">
        <f t="array" aca="1" ref="V91" ca="1">INDIRECT("'"&amp;$C91&amp;"'!"&amp;"$"&amp;$D91&amp;$V$1&amp;"")</f>
        <v>2.6</v>
      </c>
      <c r="W91" s="289">
        <f>3.8*3.64</f>
        <v>13.831999999999999</v>
      </c>
      <c r="X91" s="289">
        <v>0.92</v>
      </c>
      <c r="Y91" s="290">
        <v>1.1200000000000001</v>
      </c>
      <c r="Z91" s="286" cm="1">
        <f t="array" aca="1" ref="Z91" ca="1">INDIRECT("'"&amp;$C91&amp;"'!"&amp;"$"&amp;$D91&amp;$Z$1&amp;"")</f>
        <v>0</v>
      </c>
      <c r="AA91" s="289" t="s">
        <v>1</v>
      </c>
      <c r="AB91" s="289" t="s">
        <v>1</v>
      </c>
      <c r="AC91" s="287" t="s">
        <v>1</v>
      </c>
      <c r="AD91" s="288" cm="1">
        <f t="array" aca="1" ref="AD91" ca="1">INDIRECT("'"&amp;$C91&amp;"'!"&amp;"$"&amp;$D91&amp;$AD$1&amp;"")</f>
        <v>3.6</v>
      </c>
      <c r="AE91" s="289">
        <f>3.8*3.64</f>
        <v>13.831999999999999</v>
      </c>
      <c r="AF91" s="289">
        <v>0.92</v>
      </c>
      <c r="AG91" s="290">
        <v>1.58</v>
      </c>
      <c r="AH91" s="286" cm="1">
        <f t="array" aca="1" ref="AH91" ca="1">INDIRECT("'"&amp;$C91&amp;"'!"&amp;"$"&amp;$D91&amp;$AH$1&amp;"")</f>
        <v>3.5</v>
      </c>
      <c r="AI91" s="289">
        <v>13.92</v>
      </c>
      <c r="AJ91" s="289">
        <v>0.95</v>
      </c>
      <c r="AK91" s="287">
        <v>1.29</v>
      </c>
      <c r="AL91" s="286">
        <v>11.6</v>
      </c>
      <c r="AM91" s="290">
        <v>69.5</v>
      </c>
      <c r="AN91" s="286" t="str" cm="1">
        <f t="array" aca="1" ref="AN91" ca="1">INDIRECT("'"&amp;$C91&amp;"'!"&amp;"$"&amp;$D91&amp;$AL$1&amp;"")</f>
        <v>CMS</v>
      </c>
      <c r="AO91" s="289" t="s">
        <v>1</v>
      </c>
      <c r="AP91" s="287" t="s">
        <v>1</v>
      </c>
      <c r="AQ91" s="288" cm="1">
        <f t="array" aca="1" ref="AQ91" ca="1">INDIRECT("'"&amp;$C91&amp;"'!"&amp;"$"&amp;$D91&amp;$AQ$1&amp;"")</f>
        <v>1.1000000000000001</v>
      </c>
      <c r="AR91" s="289">
        <v>0.96</v>
      </c>
      <c r="AS91" s="287">
        <v>0.33</v>
      </c>
      <c r="AT91" s="289" t="str" cm="1">
        <f t="array" aca="1" ref="AT91" ca="1">INDIRECT("'"&amp;$C91&amp;"'!"&amp;"$"&amp;$D91&amp;$AT$1&amp;"")</f>
        <v>CMS</v>
      </c>
      <c r="AU91" s="288" t="s">
        <v>1</v>
      </c>
      <c r="AV91" s="289" t="s">
        <v>1</v>
      </c>
      <c r="AW91" s="287" t="s">
        <v>1</v>
      </c>
      <c r="AX91" s="291">
        <v>14.16</v>
      </c>
      <c r="AY91" s="290">
        <v>70.69</v>
      </c>
      <c r="AZ91" s="291" cm="1">
        <f t="array" aca="1" ref="AZ91" ca="1">INDIRECT("'"&amp;$C91&amp;"'!"&amp;"$"&amp;$D91&amp;$AZ$1&amp;"")</f>
        <v>14.25</v>
      </c>
      <c r="BA91" s="289">
        <v>0.96</v>
      </c>
      <c r="BB91" s="287">
        <v>4.5</v>
      </c>
      <c r="BC91" s="292">
        <v>68.400000000000006</v>
      </c>
      <c r="BD91" s="286" cm="1">
        <f t="array" aca="1" ref="BD91" ca="1">INDIRECT("'"&amp;$C91&amp;"'!"&amp;"$"&amp;$D91&amp;$BC$1&amp;"")</f>
        <v>12.15</v>
      </c>
      <c r="BE91" s="288">
        <v>0.98</v>
      </c>
      <c r="BF91" s="287">
        <v>2.4</v>
      </c>
      <c r="BG91" s="291" cm="1">
        <f t="array" aca="1" ref="BG91" ca="1">INDIRECT("'"&amp;$C91&amp;"'!"&amp;"$"&amp;$D91&amp;$BG$1&amp;"")</f>
        <v>1.44</v>
      </c>
      <c r="BH91" s="289"/>
      <c r="BI91" s="289">
        <v>0.99</v>
      </c>
      <c r="BJ91" s="287">
        <v>0.21</v>
      </c>
      <c r="BK91" s="292" cm="1">
        <f t="array" aca="1" ref="BK91" ca="1">INDIRECT("'"&amp;$C91&amp;"'!"&amp;"$"&amp;$D91&amp;$BK$1&amp;"")</f>
        <v>0.86</v>
      </c>
      <c r="BL91" s="289"/>
      <c r="BM91" s="289">
        <v>0.95</v>
      </c>
      <c r="BN91" s="287">
        <v>0.26</v>
      </c>
      <c r="BO91" s="292" cm="1">
        <f t="array" aca="1" ref="BO91" ca="1">INDIRECT("'"&amp;$C91&amp;"'!"&amp;"$"&amp;$D91&amp;74&amp;"")</f>
        <v>0</v>
      </c>
      <c r="BP91" s="289"/>
      <c r="BQ91" s="289" t="s">
        <v>1</v>
      </c>
      <c r="BR91" s="287" t="s">
        <v>1</v>
      </c>
    </row>
    <row r="92" spans="1:70" ht="14.45" thickBot="1">
      <c r="A92" s="360">
        <v>45751</v>
      </c>
      <c r="B92" s="358">
        <v>0.5</v>
      </c>
      <c r="C92" s="313">
        <f t="shared" si="2"/>
        <v>4</v>
      </c>
      <c r="D92" s="314" t="s">
        <v>139</v>
      </c>
      <c r="E92" s="293">
        <v>14.1</v>
      </c>
      <c r="F92" s="294">
        <v>69.260000000000005</v>
      </c>
      <c r="G92" s="295" cm="1">
        <f t="array" aca="1" ref="G92" ca="1">INDIRECT("'"&amp;$C92&amp;"'!"&amp;"$"&amp;$D92&amp;$E$1&amp;"")</f>
        <v>6.6</v>
      </c>
      <c r="H92" s="296">
        <v>0.94</v>
      </c>
      <c r="I92" s="294">
        <v>2.42</v>
      </c>
      <c r="J92" s="295" t="str" cm="1">
        <f t="array" aca="1" ref="J92" ca="1">INDIRECT("'"&amp;$C92&amp;"'!"&amp;"$"&amp;$D92&amp;$J$1&amp;"")</f>
        <v>CMS</v>
      </c>
      <c r="K92" s="296"/>
      <c r="L92" s="296" t="s">
        <v>1</v>
      </c>
      <c r="M92" s="294" t="s">
        <v>1</v>
      </c>
      <c r="N92" s="295" cm="1">
        <f t="array" aca="1" ref="N92" ca="1">INDIRECT("'"&amp;$C92&amp;"'!"&amp;"$"&amp;$D92&amp;$N$1&amp;"")</f>
        <v>6.6</v>
      </c>
      <c r="O92" s="296"/>
      <c r="P92" s="296">
        <v>0.94</v>
      </c>
      <c r="Q92" s="294">
        <v>2.42</v>
      </c>
      <c r="R92" s="295" cm="1">
        <f t="array" aca="1" ref="R92" ca="1">INDIRECT("'"&amp;$C92&amp;"'!"&amp;"$"&amp;$D92&amp;$R$1&amp;"")</f>
        <v>6.6</v>
      </c>
      <c r="S92" s="296"/>
      <c r="T92" s="296">
        <v>0.94</v>
      </c>
      <c r="U92" s="294">
        <v>2.41</v>
      </c>
      <c r="V92" s="295" cm="1">
        <f t="array" aca="1" ref="V92" ca="1">INDIRECT("'"&amp;$C92&amp;"'!"&amp;"$"&amp;$D92&amp;$V$1&amp;"")</f>
        <v>2.8</v>
      </c>
      <c r="W92" s="296">
        <f>3.8*3.52</f>
        <v>13.375999999999999</v>
      </c>
      <c r="X92" s="296">
        <v>0.92</v>
      </c>
      <c r="Y92" s="297">
        <v>1.1499999999999999</v>
      </c>
      <c r="Z92" s="293" cm="1">
        <f t="array" aca="1" ref="Z92" ca="1">INDIRECT("'"&amp;$C92&amp;"'!"&amp;"$"&amp;$D92&amp;$Z$1&amp;"")</f>
        <v>0</v>
      </c>
      <c r="AA92" s="296" t="s">
        <v>1</v>
      </c>
      <c r="AB92" s="296" t="s">
        <v>1</v>
      </c>
      <c r="AC92" s="294" t="s">
        <v>1</v>
      </c>
      <c r="AD92" s="295" cm="1">
        <f t="array" aca="1" ref="AD92" ca="1">INDIRECT("'"&amp;$C92&amp;"'!"&amp;"$"&amp;$D92&amp;$AD$1&amp;"")</f>
        <v>3.8</v>
      </c>
      <c r="AE92" s="296">
        <f>3.8*3.52</f>
        <v>13.375999999999999</v>
      </c>
      <c r="AF92" s="296">
        <v>0.96</v>
      </c>
      <c r="AG92" s="297">
        <v>1.65</v>
      </c>
      <c r="AH92" s="293" cm="1">
        <f t="array" aca="1" ref="AH92" ca="1">INDIRECT("'"&amp;$C92&amp;"'!"&amp;"$"&amp;$D92&amp;$AH$1&amp;"")</f>
        <v>3.8</v>
      </c>
      <c r="AI92" s="296">
        <v>13.96</v>
      </c>
      <c r="AJ92" s="296">
        <v>0.96</v>
      </c>
      <c r="AK92" s="294">
        <v>1.05</v>
      </c>
      <c r="AL92" s="293">
        <v>11.8</v>
      </c>
      <c r="AM92" s="297">
        <v>70.099999999999994</v>
      </c>
      <c r="AN92" s="293" t="str" cm="1">
        <f t="array" aca="1" ref="AN92" ca="1">INDIRECT("'"&amp;$C92&amp;"'!"&amp;"$"&amp;$D92&amp;$AL$1&amp;"")</f>
        <v>CMS</v>
      </c>
      <c r="AO92" s="296" t="s">
        <v>1</v>
      </c>
      <c r="AP92" s="294" t="s">
        <v>1</v>
      </c>
      <c r="AQ92" s="295" cm="1">
        <f t="array" aca="1" ref="AQ92" ca="1">INDIRECT("'"&amp;$C92&amp;"'!"&amp;"$"&amp;$D92&amp;$AQ$1&amp;"")</f>
        <v>4.2</v>
      </c>
      <c r="AR92" s="296">
        <v>0.97</v>
      </c>
      <c r="AS92" s="294">
        <v>0.99</v>
      </c>
      <c r="AT92" s="296" cm="1">
        <f t="array" aca="1" ref="AT92" ca="1">INDIRECT("'"&amp;$C92&amp;"'!"&amp;"$"&amp;$D92&amp;$AT$1&amp;"")</f>
        <v>2.1</v>
      </c>
      <c r="AU92" s="295">
        <v>13.7</v>
      </c>
      <c r="AV92" s="296">
        <v>0.9</v>
      </c>
      <c r="AW92" s="294">
        <v>1</v>
      </c>
      <c r="AX92" s="298">
        <v>14.12</v>
      </c>
      <c r="AY92" s="297">
        <v>70.92</v>
      </c>
      <c r="AZ92" s="298" cm="1">
        <f t="array" aca="1" ref="AZ92" ca="1">INDIRECT("'"&amp;$C92&amp;"'!"&amp;"$"&amp;$D92&amp;$AZ$1&amp;"")</f>
        <v>14.34</v>
      </c>
      <c r="BA92" s="296">
        <v>0.98</v>
      </c>
      <c r="BB92" s="294">
        <v>3.4</v>
      </c>
      <c r="BC92" s="299">
        <v>68.2</v>
      </c>
      <c r="BD92" s="293" cm="1">
        <f t="array" aca="1" ref="BD92" ca="1">INDIRECT("'"&amp;$C92&amp;"'!"&amp;"$"&amp;$D92&amp;$BC$1&amp;"")</f>
        <v>9.3999999999999986</v>
      </c>
      <c r="BE92" s="295">
        <v>0.96</v>
      </c>
      <c r="BF92" s="294">
        <v>2.7</v>
      </c>
      <c r="BG92" s="298" cm="1">
        <f t="array" aca="1" ref="BG92" ca="1">INDIRECT("'"&amp;$C92&amp;"'!"&amp;"$"&amp;$D92&amp;$BG$1&amp;"")</f>
        <v>1.49</v>
      </c>
      <c r="BH92" s="296"/>
      <c r="BI92" s="296">
        <v>0.99</v>
      </c>
      <c r="BJ92" s="294">
        <v>0.22</v>
      </c>
      <c r="BK92" s="299" cm="1">
        <f t="array" aca="1" ref="BK92" ca="1">INDIRECT("'"&amp;$C92&amp;"'!"&amp;"$"&amp;$D92&amp;$BK$1&amp;"")</f>
        <v>0.87</v>
      </c>
      <c r="BL92" s="296"/>
      <c r="BM92" s="296">
        <v>0.95</v>
      </c>
      <c r="BN92" s="294">
        <v>0.26</v>
      </c>
      <c r="BO92" s="299" cm="1">
        <f t="array" aca="1" ref="BO92" ca="1">INDIRECT("'"&amp;$C92&amp;"'!"&amp;"$"&amp;$D92&amp;74&amp;"")</f>
        <v>0</v>
      </c>
      <c r="BP92" s="296"/>
      <c r="BQ92" s="296" t="s">
        <v>1</v>
      </c>
      <c r="BR92" s="294" t="s">
        <v>1</v>
      </c>
    </row>
    <row r="93" spans="1:70" ht="14.45" thickBot="1">
      <c r="A93" s="360">
        <v>45751</v>
      </c>
      <c r="B93" s="358">
        <v>0.54166666666666696</v>
      </c>
      <c r="C93" s="313">
        <f t="shared" si="2"/>
        <v>4</v>
      </c>
      <c r="D93" s="314" t="s">
        <v>140</v>
      </c>
      <c r="E93" s="286">
        <v>14.1</v>
      </c>
      <c r="F93" s="287">
        <v>69.260000000000005</v>
      </c>
      <c r="G93" s="288" cm="1">
        <f t="array" aca="1" ref="G93" ca="1">INDIRECT("'"&amp;$C93&amp;"'!"&amp;"$"&amp;$D93&amp;$E$1&amp;"")</f>
        <v>6.7</v>
      </c>
      <c r="H93" s="289">
        <v>0.94</v>
      </c>
      <c r="I93" s="287">
        <v>2.35</v>
      </c>
      <c r="J93" s="288" t="str" cm="1">
        <f t="array" aca="1" ref="J93" ca="1">INDIRECT("'"&amp;$C93&amp;"'!"&amp;"$"&amp;$D93&amp;$J$1&amp;"")</f>
        <v>CMS</v>
      </c>
      <c r="K93" s="289"/>
      <c r="L93" s="289" t="s">
        <v>1</v>
      </c>
      <c r="M93" s="287" t="s">
        <v>1</v>
      </c>
      <c r="N93" s="288" cm="1">
        <f t="array" aca="1" ref="N93" ca="1">INDIRECT("'"&amp;$C93&amp;"'!"&amp;"$"&amp;$D93&amp;$N$1&amp;"")</f>
        <v>6.7</v>
      </c>
      <c r="O93" s="289"/>
      <c r="P93" s="289">
        <v>0.94</v>
      </c>
      <c r="Q93" s="287">
        <v>2.36</v>
      </c>
      <c r="R93" s="288" cm="1">
        <f t="array" aca="1" ref="R93" ca="1">INDIRECT("'"&amp;$C93&amp;"'!"&amp;"$"&amp;$D93&amp;$R$1&amp;"")</f>
        <v>6.7</v>
      </c>
      <c r="S93" s="289"/>
      <c r="T93" s="289">
        <v>0.94</v>
      </c>
      <c r="U93" s="287">
        <v>2.35</v>
      </c>
      <c r="V93" s="288" cm="1">
        <f t="array" aca="1" ref="V93" ca="1">INDIRECT("'"&amp;$C93&amp;"'!"&amp;"$"&amp;$D93&amp;$V$1&amp;"")</f>
        <v>2.8</v>
      </c>
      <c r="W93" s="289">
        <f>3.8*3.5</f>
        <v>13.299999999999999</v>
      </c>
      <c r="X93" s="289">
        <v>0.92</v>
      </c>
      <c r="Y93" s="290">
        <v>1.22</v>
      </c>
      <c r="Z93" s="286" cm="1">
        <f t="array" aca="1" ref="Z93" ca="1">INDIRECT("'"&amp;$C93&amp;"'!"&amp;"$"&amp;$D93&amp;$Z$1&amp;"")</f>
        <v>0</v>
      </c>
      <c r="AA93" s="289" t="s">
        <v>1</v>
      </c>
      <c r="AB93" s="289" t="s">
        <v>1</v>
      </c>
      <c r="AC93" s="287" t="s">
        <v>1</v>
      </c>
      <c r="AD93" s="288" cm="1">
        <f t="array" aca="1" ref="AD93" ca="1">INDIRECT("'"&amp;$C93&amp;"'!"&amp;"$"&amp;$D93&amp;$AD$1&amp;"")</f>
        <v>3.7</v>
      </c>
      <c r="AE93" s="289">
        <f>3.8*3.5</f>
        <v>13.299999999999999</v>
      </c>
      <c r="AF93" s="289">
        <v>0.92</v>
      </c>
      <c r="AG93" s="290">
        <v>1.61</v>
      </c>
      <c r="AH93" s="286" cm="1">
        <f t="array" aca="1" ref="AH93" ca="1">INDIRECT("'"&amp;$C93&amp;"'!"&amp;"$"&amp;$D93&amp;$AH$1&amp;"")</f>
        <v>3.8</v>
      </c>
      <c r="AI93" s="289">
        <v>14</v>
      </c>
      <c r="AJ93" s="289">
        <v>0.96</v>
      </c>
      <c r="AK93" s="287">
        <v>1.03</v>
      </c>
      <c r="AL93" s="286">
        <v>11.8</v>
      </c>
      <c r="AM93" s="290">
        <v>70.099999999999994</v>
      </c>
      <c r="AN93" s="286" t="str" cm="1">
        <f t="array" aca="1" ref="AN93" ca="1">INDIRECT("'"&amp;$C93&amp;"'!"&amp;"$"&amp;$D93&amp;$AL$1&amp;"")</f>
        <v>CMS</v>
      </c>
      <c r="AO93" s="289" t="s">
        <v>1</v>
      </c>
      <c r="AP93" s="287" t="s">
        <v>1</v>
      </c>
      <c r="AQ93" s="288" cm="1">
        <f t="array" aca="1" ref="AQ93" ca="1">INDIRECT("'"&amp;$C93&amp;"'!"&amp;"$"&amp;$D93&amp;$AQ$1&amp;"")</f>
        <v>4.0999999999999996</v>
      </c>
      <c r="AR93" s="289">
        <v>0.97</v>
      </c>
      <c r="AS93" s="287">
        <v>0.9</v>
      </c>
      <c r="AT93" s="289" cm="1">
        <f t="array" aca="1" ref="AT93" ca="1">INDIRECT("'"&amp;$C93&amp;"'!"&amp;"$"&amp;$D93&amp;$AT$1&amp;"")</f>
        <v>5</v>
      </c>
      <c r="AU93" s="288">
        <v>13.7</v>
      </c>
      <c r="AV93" s="289">
        <v>0.98</v>
      </c>
      <c r="AW93" s="287">
        <v>1</v>
      </c>
      <c r="AX93" s="291">
        <v>14.16</v>
      </c>
      <c r="AY93" s="290">
        <v>71.05</v>
      </c>
      <c r="AZ93" s="291" cm="1">
        <f t="array" aca="1" ref="AZ93" ca="1">INDIRECT("'"&amp;$C93&amp;"'!"&amp;"$"&amp;$D93&amp;$AZ$1&amp;"")</f>
        <v>14.31</v>
      </c>
      <c r="BA93" s="289">
        <v>0.98</v>
      </c>
      <c r="BB93" s="287">
        <v>3.5</v>
      </c>
      <c r="BC93" s="292">
        <v>68</v>
      </c>
      <c r="BD93" s="286" cm="1">
        <f t="array" aca="1" ref="BD93" ca="1">INDIRECT("'"&amp;$C93&amp;"'!"&amp;"$"&amp;$D93&amp;$BC$1&amp;"")</f>
        <v>7.1999999999999984</v>
      </c>
      <c r="BE93" s="288">
        <v>0.96</v>
      </c>
      <c r="BF93" s="287">
        <v>2.1</v>
      </c>
      <c r="BG93" s="291" cm="1">
        <f t="array" aca="1" ref="BG93" ca="1">INDIRECT("'"&amp;$C93&amp;"'!"&amp;"$"&amp;$D93&amp;$BG$1&amp;"")</f>
        <v>1.49</v>
      </c>
      <c r="BH93" s="289"/>
      <c r="BI93" s="289">
        <v>0.99</v>
      </c>
      <c r="BJ93" s="287">
        <v>0.22</v>
      </c>
      <c r="BK93" s="292" cm="1">
        <f t="array" aca="1" ref="BK93" ca="1">INDIRECT("'"&amp;$C93&amp;"'!"&amp;"$"&amp;$D93&amp;$BK$1&amp;"")</f>
        <v>0.87</v>
      </c>
      <c r="BL93" s="289"/>
      <c r="BM93" s="289">
        <v>0.96</v>
      </c>
      <c r="BN93" s="287">
        <v>0.26</v>
      </c>
      <c r="BO93" s="292" cm="1">
        <f t="array" aca="1" ref="BO93" ca="1">INDIRECT("'"&amp;$C93&amp;"'!"&amp;"$"&amp;$D93&amp;74&amp;"")</f>
        <v>0</v>
      </c>
      <c r="BP93" s="289"/>
      <c r="BQ93" s="289" t="s">
        <v>1</v>
      </c>
      <c r="BR93" s="287" t="s">
        <v>1</v>
      </c>
    </row>
    <row r="94" spans="1:70" ht="14.45" thickBot="1">
      <c r="A94" s="360">
        <v>45751</v>
      </c>
      <c r="B94" s="358">
        <v>0.58333333333333404</v>
      </c>
      <c r="C94" s="313">
        <f t="shared" si="2"/>
        <v>4</v>
      </c>
      <c r="D94" s="314" t="s">
        <v>141</v>
      </c>
      <c r="E94" s="293">
        <v>14.2</v>
      </c>
      <c r="F94" s="294">
        <v>69.59</v>
      </c>
      <c r="G94" s="295" cm="1">
        <f t="array" aca="1" ref="G94" ca="1">INDIRECT("'"&amp;$C94&amp;"'!"&amp;"$"&amp;$D94&amp;$E$1&amp;"")</f>
        <v>5.2</v>
      </c>
      <c r="H94" s="296">
        <v>0.94</v>
      </c>
      <c r="I94" s="294">
        <v>1.96</v>
      </c>
      <c r="J94" s="295" cm="1">
        <f t="array" aca="1" ref="J94" ca="1">INDIRECT("'"&amp;$C94&amp;"'!"&amp;"$"&amp;$D94&amp;$J$1&amp;"")</f>
        <v>3.4</v>
      </c>
      <c r="K94" s="296"/>
      <c r="L94" s="296">
        <v>0.95</v>
      </c>
      <c r="M94" s="294">
        <v>1.0900000000000001</v>
      </c>
      <c r="N94" s="295" cm="1">
        <f t="array" aca="1" ref="N94" ca="1">INDIRECT("'"&amp;$C94&amp;"'!"&amp;"$"&amp;$D94&amp;$N$1&amp;"")</f>
        <v>5.6</v>
      </c>
      <c r="O94" s="296"/>
      <c r="P94" s="296">
        <v>0.94</v>
      </c>
      <c r="Q94" s="294">
        <v>2.0099999999999998</v>
      </c>
      <c r="R94" s="295" cm="1">
        <f t="array" aca="1" ref="R94" ca="1">INDIRECT("'"&amp;$C94&amp;"'!"&amp;"$"&amp;$D94&amp;$R$1&amp;"")</f>
        <v>5.6</v>
      </c>
      <c r="S94" s="296"/>
      <c r="T94" s="296">
        <v>0.96</v>
      </c>
      <c r="U94" s="294">
        <v>1.63</v>
      </c>
      <c r="V94" s="295" cm="1">
        <f t="array" aca="1" ref="V94" ca="1">INDIRECT("'"&amp;$C94&amp;"'!"&amp;"$"&amp;$D94&amp;$V$1&amp;"")</f>
        <v>2.8</v>
      </c>
      <c r="W94" s="296">
        <f>3.8*3.52</f>
        <v>13.375999999999999</v>
      </c>
      <c r="X94" s="296">
        <v>0.92</v>
      </c>
      <c r="Y94" s="297">
        <v>1.18</v>
      </c>
      <c r="Z94" s="293" cm="1">
        <f t="array" aca="1" ref="Z94" ca="1">INDIRECT("'"&amp;$C94&amp;"'!"&amp;"$"&amp;$D94&amp;$Z$1&amp;"")</f>
        <v>0</v>
      </c>
      <c r="AA94" s="296" t="s">
        <v>1</v>
      </c>
      <c r="AB94" s="296" t="s">
        <v>1</v>
      </c>
      <c r="AC94" s="294" t="s">
        <v>1</v>
      </c>
      <c r="AD94" s="295" cm="1">
        <f t="array" aca="1" ref="AD94" ca="1">INDIRECT("'"&amp;$C94&amp;"'!"&amp;"$"&amp;$D94&amp;$AD$1&amp;"")</f>
        <v>3.8</v>
      </c>
      <c r="AE94" s="296">
        <f>3.8*3.52</f>
        <v>13.375999999999999</v>
      </c>
      <c r="AF94" s="296">
        <v>0.92</v>
      </c>
      <c r="AG94" s="297">
        <v>1.18</v>
      </c>
      <c r="AH94" s="293" cm="1">
        <f t="array" aca="1" ref="AH94" ca="1">INDIRECT("'"&amp;$C94&amp;"'!"&amp;"$"&amp;$D94&amp;$AH$1&amp;"")</f>
        <v>3.8</v>
      </c>
      <c r="AI94" s="296">
        <v>13.96</v>
      </c>
      <c r="AJ94" s="296">
        <v>0.96</v>
      </c>
      <c r="AK94" s="294">
        <v>1.06</v>
      </c>
      <c r="AL94" s="293">
        <v>11.8</v>
      </c>
      <c r="AM94" s="297">
        <v>70</v>
      </c>
      <c r="AN94" s="293" t="str" cm="1">
        <f t="array" aca="1" ref="AN94" ca="1">INDIRECT("'"&amp;$C94&amp;"'!"&amp;"$"&amp;$D94&amp;$AL$1&amp;"")</f>
        <v>CMS</v>
      </c>
      <c r="AO94" s="296" t="s">
        <v>1</v>
      </c>
      <c r="AP94" s="294" t="s">
        <v>1</v>
      </c>
      <c r="AQ94" s="295" cm="1">
        <f t="array" aca="1" ref="AQ94" ca="1">INDIRECT("'"&amp;$C94&amp;"'!"&amp;"$"&amp;$D94&amp;$AQ$1&amp;"")</f>
        <v>4.0999999999999996</v>
      </c>
      <c r="AR94" s="296">
        <v>0.96</v>
      </c>
      <c r="AS94" s="294">
        <v>1.1000000000000001</v>
      </c>
      <c r="AT94" s="296" cm="1">
        <f t="array" aca="1" ref="AT94" ca="1">INDIRECT("'"&amp;$C94&amp;"'!"&amp;"$"&amp;$D94&amp;$AT$1&amp;"")</f>
        <v>1</v>
      </c>
      <c r="AU94" s="295">
        <v>13.7</v>
      </c>
      <c r="AV94" s="296">
        <v>0.94</v>
      </c>
      <c r="AW94" s="294">
        <v>0.54</v>
      </c>
      <c r="AX94" s="298">
        <v>14.13</v>
      </c>
      <c r="AY94" s="297">
        <v>70.94</v>
      </c>
      <c r="AZ94" s="298" cm="1">
        <f t="array" aca="1" ref="AZ94" ca="1">INDIRECT("'"&amp;$C94&amp;"'!"&amp;"$"&amp;$D94&amp;$AZ$1&amp;"")</f>
        <v>14.24</v>
      </c>
      <c r="BA94" s="296">
        <v>0.98</v>
      </c>
      <c r="BB94" s="294">
        <v>3.5</v>
      </c>
      <c r="BC94" s="299">
        <v>68.3</v>
      </c>
      <c r="BD94" s="293" cm="1">
        <f t="array" aca="1" ref="BD94" ca="1">INDIRECT("'"&amp;$C94&amp;"'!"&amp;"$"&amp;$D94&amp;$BC$1&amp;"")</f>
        <v>13.9</v>
      </c>
      <c r="BE94" s="295">
        <v>0.96</v>
      </c>
      <c r="BF94" s="294">
        <v>4</v>
      </c>
      <c r="BG94" s="298" cm="1">
        <f t="array" aca="1" ref="BG94" ca="1">INDIRECT("'"&amp;$C94&amp;"'!"&amp;"$"&amp;$D94&amp;$BG$1&amp;"")</f>
        <v>1.5</v>
      </c>
      <c r="BH94" s="296"/>
      <c r="BI94" s="296">
        <v>0.99</v>
      </c>
      <c r="BJ94" s="294">
        <v>0.23</v>
      </c>
      <c r="BK94" s="299" cm="1">
        <f t="array" aca="1" ref="BK94" ca="1">INDIRECT("'"&amp;$C94&amp;"'!"&amp;"$"&amp;$D94&amp;$BK$1&amp;"")</f>
        <v>0.91</v>
      </c>
      <c r="BL94" s="296"/>
      <c r="BM94" s="296">
        <v>0.96</v>
      </c>
      <c r="BN94" s="294">
        <v>0.27</v>
      </c>
      <c r="BO94" s="299" cm="1">
        <f t="array" aca="1" ref="BO94" ca="1">INDIRECT("'"&amp;$C94&amp;"'!"&amp;"$"&amp;$D94&amp;74&amp;"")</f>
        <v>0</v>
      </c>
      <c r="BP94" s="296"/>
      <c r="BQ94" s="296" t="s">
        <v>1</v>
      </c>
      <c r="BR94" s="294" t="s">
        <v>1</v>
      </c>
    </row>
    <row r="95" spans="1:70" ht="14.45" thickBot="1">
      <c r="A95" s="360">
        <v>45751</v>
      </c>
      <c r="B95" s="358">
        <v>0.625</v>
      </c>
      <c r="C95" s="313">
        <f t="shared" si="2"/>
        <v>4</v>
      </c>
      <c r="D95" s="314" t="s">
        <v>142</v>
      </c>
      <c r="E95" s="286">
        <v>14.3</v>
      </c>
      <c r="F95" s="287">
        <v>69.47</v>
      </c>
      <c r="G95" s="288" cm="1">
        <f t="array" aca="1" ref="G95" ca="1">INDIRECT("'"&amp;$C95&amp;"'!"&amp;"$"&amp;$D95&amp;$E$1&amp;"")</f>
        <v>4.0999999999999996</v>
      </c>
      <c r="H95" s="289">
        <v>0.93</v>
      </c>
      <c r="I95" s="287">
        <v>1.59</v>
      </c>
      <c r="J95" s="288" cm="1">
        <f t="array" aca="1" ref="J95" ca="1">INDIRECT("'"&amp;$C95&amp;"'!"&amp;"$"&amp;$D95&amp;$J$1&amp;"")</f>
        <v>6.7</v>
      </c>
      <c r="K95" s="289"/>
      <c r="L95" s="289">
        <v>0.93</v>
      </c>
      <c r="M95" s="287">
        <v>2.63</v>
      </c>
      <c r="N95" s="288" cm="1">
        <f t="array" aca="1" ref="N95" ca="1">INDIRECT("'"&amp;$C95&amp;"'!"&amp;"$"&amp;$D95&amp;$N$1&amp;"")</f>
        <v>4.7</v>
      </c>
      <c r="O95" s="289"/>
      <c r="P95" s="289">
        <v>0.94</v>
      </c>
      <c r="Q95" s="287">
        <v>1.85</v>
      </c>
      <c r="R95" s="288" cm="1">
        <f t="array" aca="1" ref="R95" ca="1">INDIRECT("'"&amp;$C95&amp;"'!"&amp;"$"&amp;$D95&amp;$R$1&amp;"")</f>
        <v>4.8</v>
      </c>
      <c r="S95" s="289"/>
      <c r="T95" s="289">
        <v>0.94</v>
      </c>
      <c r="U95" s="287">
        <v>1.7</v>
      </c>
      <c r="V95" s="288" cm="1">
        <f t="array" aca="1" ref="V95" ca="1">INDIRECT("'"&amp;$C95&amp;"'!"&amp;"$"&amp;$D95&amp;$V$1&amp;"")</f>
        <v>2.8</v>
      </c>
      <c r="W95" s="289">
        <f>3.5*3.8</f>
        <v>13.299999999999999</v>
      </c>
      <c r="X95" s="289">
        <v>0.92</v>
      </c>
      <c r="Y95" s="290">
        <v>1.17</v>
      </c>
      <c r="Z95" s="286" cm="1">
        <f t="array" aca="1" ref="Z95" ca="1">INDIRECT("'"&amp;$C95&amp;"'!"&amp;"$"&amp;$D95&amp;$Z$1&amp;"")</f>
        <v>0</v>
      </c>
      <c r="AA95" s="289" t="s">
        <v>1</v>
      </c>
      <c r="AB95" s="289" t="s">
        <v>1</v>
      </c>
      <c r="AC95" s="287" t="s">
        <v>1</v>
      </c>
      <c r="AD95" s="288" cm="1">
        <f t="array" aca="1" ref="AD95" ca="1">INDIRECT("'"&amp;$C95&amp;"'!"&amp;"$"&amp;$D95&amp;$AD$1&amp;"")</f>
        <v>3.8</v>
      </c>
      <c r="AE95" s="289">
        <v>13.299999999999999</v>
      </c>
      <c r="AF95" s="289">
        <v>0.92</v>
      </c>
      <c r="AG95" s="290">
        <v>1.54</v>
      </c>
      <c r="AH95" s="286" cm="1">
        <f t="array" aca="1" ref="AH95" ca="1">INDIRECT("'"&amp;$C95&amp;"'!"&amp;"$"&amp;$D95&amp;$AH$1&amp;"")</f>
        <v>3.8</v>
      </c>
      <c r="AI95" s="289">
        <v>13.96</v>
      </c>
      <c r="AJ95" s="289">
        <v>0.96</v>
      </c>
      <c r="AK95" s="287">
        <v>1.1499999999999999</v>
      </c>
      <c r="AL95" s="286">
        <v>11.8</v>
      </c>
      <c r="AM95" s="290">
        <v>69.900000000000006</v>
      </c>
      <c r="AN95" s="286" t="str" cm="1">
        <f t="array" aca="1" ref="AN95" ca="1">INDIRECT("'"&amp;$C95&amp;"'!"&amp;"$"&amp;$D95&amp;$AL$1&amp;"")</f>
        <v>CMS</v>
      </c>
      <c r="AO95" s="289" t="s">
        <v>1</v>
      </c>
      <c r="AP95" s="287" t="s">
        <v>1</v>
      </c>
      <c r="AQ95" s="288" cm="1">
        <f t="array" aca="1" ref="AQ95" ca="1">INDIRECT("'"&amp;$C95&amp;"'!"&amp;"$"&amp;$D95&amp;$AQ$1&amp;"")</f>
        <v>4.2</v>
      </c>
      <c r="AR95" s="289">
        <v>0.96</v>
      </c>
      <c r="AS95" s="287">
        <v>1.1000000000000001</v>
      </c>
      <c r="AT95" s="289" cm="1">
        <f t="array" aca="1" ref="AT95" ca="1">INDIRECT("'"&amp;$C95&amp;"'!"&amp;"$"&amp;$D95&amp;$AT$1&amp;"")</f>
        <v>3.5</v>
      </c>
      <c r="AU95" s="288">
        <v>13.7</v>
      </c>
      <c r="AV95" s="289">
        <v>0.99</v>
      </c>
      <c r="AW95" s="287">
        <v>0.49</v>
      </c>
      <c r="AX95" s="291">
        <v>14.09</v>
      </c>
      <c r="AY95" s="290">
        <v>70.8</v>
      </c>
      <c r="AZ95" s="291" cm="1">
        <f t="array" aca="1" ref="AZ95" ca="1">INDIRECT("'"&amp;$C95&amp;"'!"&amp;"$"&amp;$D95&amp;$AZ$1&amp;"")</f>
        <v>14.28</v>
      </c>
      <c r="BA95" s="289">
        <v>0.98</v>
      </c>
      <c r="BB95" s="287">
        <v>3.5</v>
      </c>
      <c r="BC95" s="292">
        <v>68.2</v>
      </c>
      <c r="BD95" s="286" cm="1">
        <f t="array" aca="1" ref="BD95" ca="1">INDIRECT("'"&amp;$C95&amp;"'!"&amp;"$"&amp;$D95&amp;$BC$1&amp;"")</f>
        <v>11.2</v>
      </c>
      <c r="BE95" s="288">
        <v>0.96</v>
      </c>
      <c r="BF95" s="287">
        <v>3.2</v>
      </c>
      <c r="BG95" s="291" cm="1">
        <f t="array" aca="1" ref="BG95" ca="1">INDIRECT("'"&amp;$C95&amp;"'!"&amp;"$"&amp;$D95&amp;$BG$1&amp;"")</f>
        <v>1.53</v>
      </c>
      <c r="BH95" s="289"/>
      <c r="BI95" s="289">
        <v>0.99</v>
      </c>
      <c r="BJ95" s="287">
        <v>0.23</v>
      </c>
      <c r="BK95" s="292" cm="1">
        <f t="array" aca="1" ref="BK95" ca="1">INDIRECT("'"&amp;$C95&amp;"'!"&amp;"$"&amp;$D95&amp;$BK$1&amp;"")</f>
        <v>0.9</v>
      </c>
      <c r="BL95" s="289"/>
      <c r="BM95" s="289">
        <v>0.96</v>
      </c>
      <c r="BN95" s="287">
        <v>0.27</v>
      </c>
      <c r="BO95" s="292" cm="1">
        <f t="array" aca="1" ref="BO95" ca="1">INDIRECT("'"&amp;$C95&amp;"'!"&amp;"$"&amp;$D95&amp;74&amp;"")</f>
        <v>0</v>
      </c>
      <c r="BP95" s="289"/>
      <c r="BQ95" s="289" t="s">
        <v>1</v>
      </c>
      <c r="BR95" s="287" t="s">
        <v>1</v>
      </c>
    </row>
    <row r="96" spans="1:70" ht="14.45" thickBot="1">
      <c r="A96" s="360">
        <v>45751</v>
      </c>
      <c r="B96" s="358">
        <v>0.66666666666666696</v>
      </c>
      <c r="C96" s="313">
        <f t="shared" si="2"/>
        <v>4</v>
      </c>
      <c r="D96" s="314" t="s">
        <v>143</v>
      </c>
      <c r="E96" s="293">
        <v>14.4</v>
      </c>
      <c r="F96" s="294">
        <v>69.81</v>
      </c>
      <c r="G96" s="295" cm="1">
        <f t="array" aca="1" ref="G96" ca="1">INDIRECT("'"&amp;$C96&amp;"'!"&amp;"$"&amp;$D96&amp;$E$1&amp;"")</f>
        <v>6.5</v>
      </c>
      <c r="H96" s="296">
        <v>0.93</v>
      </c>
      <c r="I96" s="294">
        <v>2.48</v>
      </c>
      <c r="J96" s="295" cm="1">
        <f t="array" aca="1" ref="J96" ca="1">INDIRECT("'"&amp;$C96&amp;"'!"&amp;"$"&amp;$D96&amp;$J$1&amp;"")</f>
        <v>6.6</v>
      </c>
      <c r="K96" s="296"/>
      <c r="L96" s="296">
        <v>0.94</v>
      </c>
      <c r="M96" s="294">
        <v>2.39</v>
      </c>
      <c r="N96" s="295" cm="1">
        <f t="array" aca="1" ref="N96" ca="1">INDIRECT("'"&amp;$C96&amp;"'!"&amp;"$"&amp;$D96&amp;$N$1&amp;"")</f>
        <v>6.5</v>
      </c>
      <c r="O96" s="296"/>
      <c r="P96" s="296">
        <v>0.94</v>
      </c>
      <c r="Q96" s="294">
        <v>2.41</v>
      </c>
      <c r="R96" s="295" cm="1">
        <f t="array" aca="1" ref="R96" ca="1">INDIRECT("'"&amp;$C96&amp;"'!"&amp;"$"&amp;$D96&amp;$R$1&amp;"")</f>
        <v>6.6</v>
      </c>
      <c r="S96" s="296"/>
      <c r="T96" s="296">
        <v>0.94</v>
      </c>
      <c r="U96" s="294">
        <v>2.31</v>
      </c>
      <c r="V96" s="295" cm="1">
        <f t="array" aca="1" ref="V96" ca="1">INDIRECT("'"&amp;$C96&amp;"'!"&amp;"$"&amp;$D96&amp;$V$1&amp;"")</f>
        <v>2.8</v>
      </c>
      <c r="W96" s="296">
        <f>3.52*3.8</f>
        <v>13.375999999999999</v>
      </c>
      <c r="X96" s="296">
        <v>0.92</v>
      </c>
      <c r="Y96" s="297">
        <v>1.2</v>
      </c>
      <c r="Z96" s="293" cm="1">
        <f t="array" aca="1" ref="Z96" ca="1">INDIRECT("'"&amp;$C96&amp;"'!"&amp;"$"&amp;$D96&amp;$Z$1&amp;"")</f>
        <v>0</v>
      </c>
      <c r="AA96" s="296" t="s">
        <v>1</v>
      </c>
      <c r="AB96" s="296" t="s">
        <v>1</v>
      </c>
      <c r="AC96" s="294" t="s">
        <v>1</v>
      </c>
      <c r="AD96" s="295" cm="1">
        <f t="array" aca="1" ref="AD96" ca="1">INDIRECT("'"&amp;$C96&amp;"'!"&amp;"$"&amp;$D96&amp;$AD$1&amp;"")</f>
        <v>3.8</v>
      </c>
      <c r="AE96" s="296">
        <f>3.52*3.8</f>
        <v>13.375999999999999</v>
      </c>
      <c r="AF96" s="296">
        <v>0.92</v>
      </c>
      <c r="AG96" s="297">
        <v>1.64</v>
      </c>
      <c r="AH96" s="293" cm="1">
        <f t="array" aca="1" ref="AH96" ca="1">INDIRECT("'"&amp;$C96&amp;"'!"&amp;"$"&amp;$D96&amp;$AH$1&amp;"")</f>
        <v>3.8</v>
      </c>
      <c r="AI96" s="296">
        <v>13.96</v>
      </c>
      <c r="AJ96" s="296">
        <v>0.97</v>
      </c>
      <c r="AK96" s="294">
        <v>0.97899999999999998</v>
      </c>
      <c r="AL96" s="293">
        <v>11.8</v>
      </c>
      <c r="AM96" s="297">
        <v>69.900000000000006</v>
      </c>
      <c r="AN96" s="293" t="str" cm="1">
        <f t="array" aca="1" ref="AN96" ca="1">INDIRECT("'"&amp;$C96&amp;"'!"&amp;"$"&amp;$D96&amp;$AL$1&amp;"")</f>
        <v>CMS</v>
      </c>
      <c r="AO96" s="296" t="s">
        <v>1</v>
      </c>
      <c r="AP96" s="294" t="s">
        <v>1</v>
      </c>
      <c r="AQ96" s="295" cm="1">
        <f t="array" aca="1" ref="AQ96" ca="1">INDIRECT("'"&amp;$C96&amp;"'!"&amp;"$"&amp;$D96&amp;$AQ$1&amp;"")</f>
        <v>4.2</v>
      </c>
      <c r="AR96" s="296">
        <v>0.96</v>
      </c>
      <c r="AS96" s="294">
        <v>1.1000000000000001</v>
      </c>
      <c r="AT96" s="296" t="str" cm="1">
        <f t="array" aca="1" ref="AT96" ca="1">INDIRECT("'"&amp;$C96&amp;"'!"&amp;"$"&amp;$D96&amp;$AT$1&amp;"")</f>
        <v>CMS</v>
      </c>
      <c r="AU96" s="295" t="s">
        <v>1</v>
      </c>
      <c r="AV96" s="296" t="s">
        <v>1</v>
      </c>
      <c r="AW96" s="294" t="s">
        <v>1</v>
      </c>
      <c r="AX96" s="298">
        <v>14.13</v>
      </c>
      <c r="AY96" s="297">
        <v>70.98</v>
      </c>
      <c r="AZ96" s="298" cm="1">
        <f t="array" aca="1" ref="AZ96" ca="1">INDIRECT("'"&amp;$C96&amp;"'!"&amp;"$"&amp;$D96&amp;$AZ$1&amp;"")</f>
        <v>14.24</v>
      </c>
      <c r="BA96" s="296">
        <v>0.98</v>
      </c>
      <c r="BB96" s="294">
        <v>3.4</v>
      </c>
      <c r="BC96" s="299">
        <v>68.3</v>
      </c>
      <c r="BD96" s="293" cm="1">
        <f t="array" aca="1" ref="BD96" ca="1">INDIRECT("'"&amp;$C96&amp;"'!"&amp;"$"&amp;$D96&amp;$BC$1&amp;"")</f>
        <v>7.2957142857142863</v>
      </c>
      <c r="BE96" s="295">
        <v>0.96</v>
      </c>
      <c r="BF96" s="294">
        <v>2.1</v>
      </c>
      <c r="BG96" s="298" cm="1">
        <f t="array" aca="1" ref="BG96" ca="1">INDIRECT("'"&amp;$C96&amp;"'!"&amp;"$"&amp;$D96&amp;$BG$1&amp;"")</f>
        <v>1.48</v>
      </c>
      <c r="BH96" s="296"/>
      <c r="BI96" s="296">
        <v>0.99</v>
      </c>
      <c r="BJ96" s="294">
        <v>0.22</v>
      </c>
      <c r="BK96" s="299" cm="1">
        <f t="array" aca="1" ref="BK96" ca="1">INDIRECT("'"&amp;$C96&amp;"'!"&amp;"$"&amp;$D96&amp;$BK$1&amp;"")</f>
        <v>0.9</v>
      </c>
      <c r="BL96" s="296"/>
      <c r="BM96" s="296">
        <v>0.96</v>
      </c>
      <c r="BN96" s="294">
        <v>0.27</v>
      </c>
      <c r="BO96" s="299" cm="1">
        <f t="array" aca="1" ref="BO96" ca="1">INDIRECT("'"&amp;$C96&amp;"'!"&amp;"$"&amp;$D96&amp;74&amp;"")</f>
        <v>0</v>
      </c>
      <c r="BP96" s="296"/>
      <c r="BQ96" s="296" t="s">
        <v>1</v>
      </c>
      <c r="BR96" s="294" t="s">
        <v>1</v>
      </c>
    </row>
    <row r="97" spans="1:70" ht="14.45" thickBot="1">
      <c r="A97" s="360">
        <v>45751</v>
      </c>
      <c r="B97" s="358">
        <v>0.70833333333333404</v>
      </c>
      <c r="C97" s="313">
        <f t="shared" si="2"/>
        <v>4</v>
      </c>
      <c r="D97" s="314" t="s">
        <v>144</v>
      </c>
      <c r="E97" s="286">
        <v>14.3</v>
      </c>
      <c r="F97" s="287">
        <v>69.62</v>
      </c>
      <c r="G97" s="288" cm="1">
        <f t="array" aca="1" ref="G97" ca="1">INDIRECT("'"&amp;$C97&amp;"'!"&amp;"$"&amp;$D97&amp;$E$1&amp;"")</f>
        <v>6.4</v>
      </c>
      <c r="H97" s="289">
        <v>0.95</v>
      </c>
      <c r="I97" s="287">
        <v>2.17</v>
      </c>
      <c r="J97" s="288" cm="1">
        <f t="array" aca="1" ref="J97" ca="1">INDIRECT("'"&amp;$C97&amp;"'!"&amp;"$"&amp;$D97&amp;$J$1&amp;"")</f>
        <v>6.6</v>
      </c>
      <c r="K97" s="289"/>
      <c r="L97" s="289">
        <v>0.95</v>
      </c>
      <c r="M97" s="287">
        <v>2.25</v>
      </c>
      <c r="N97" s="288" cm="1">
        <f t="array" aca="1" ref="N97" ca="1">INDIRECT("'"&amp;$C97&amp;"'!"&amp;"$"&amp;$D97&amp;$N$1&amp;"")</f>
        <v>6.4</v>
      </c>
      <c r="O97" s="289"/>
      <c r="P97" s="289">
        <v>0.94</v>
      </c>
      <c r="Q97" s="287">
        <v>2.36</v>
      </c>
      <c r="R97" s="288" cm="1">
        <f t="array" aca="1" ref="R97" ca="1">INDIRECT("'"&amp;$C97&amp;"'!"&amp;"$"&amp;$D97&amp;$R$1&amp;"")</f>
        <v>6.5</v>
      </c>
      <c r="S97" s="289"/>
      <c r="T97" s="289">
        <v>0.94</v>
      </c>
      <c r="U97" s="287">
        <v>2.41</v>
      </c>
      <c r="V97" s="288" cm="1">
        <f t="array" aca="1" ref="V97" ca="1">INDIRECT("'"&amp;$C97&amp;"'!"&amp;"$"&amp;$D97&amp;$V$1&amp;"")</f>
        <v>2.8</v>
      </c>
      <c r="W97" s="289">
        <f>3.52*3.8</f>
        <v>13.375999999999999</v>
      </c>
      <c r="X97" s="289">
        <v>0.92</v>
      </c>
      <c r="Y97" s="290">
        <v>1.18</v>
      </c>
      <c r="Z97" s="286" cm="1">
        <f t="array" aca="1" ref="Z97" ca="1">INDIRECT("'"&amp;$C97&amp;"'!"&amp;"$"&amp;$D97&amp;$Z$1&amp;"")</f>
        <v>0</v>
      </c>
      <c r="AA97" s="289" t="s">
        <v>1</v>
      </c>
      <c r="AB97" s="289" t="s">
        <v>1</v>
      </c>
      <c r="AC97" s="287" t="s">
        <v>1</v>
      </c>
      <c r="AD97" s="288" cm="1">
        <f t="array" aca="1" ref="AD97" ca="1">INDIRECT("'"&amp;$C97&amp;"'!"&amp;"$"&amp;$D97&amp;$AD$1&amp;"")</f>
        <v>3.8</v>
      </c>
      <c r="AE97" s="289">
        <v>13.375999999999999</v>
      </c>
      <c r="AF97" s="289">
        <v>0.92</v>
      </c>
      <c r="AG97" s="290">
        <v>1.63</v>
      </c>
      <c r="AH97" s="286" cm="1">
        <f t="array" aca="1" ref="AH97" ca="1">INDIRECT("'"&amp;$C97&amp;"'!"&amp;"$"&amp;$D97&amp;$AH$1&amp;"")</f>
        <v>3.8</v>
      </c>
      <c r="AI97" s="289">
        <v>14</v>
      </c>
      <c r="AJ97" s="289">
        <v>0.97</v>
      </c>
      <c r="AK97" s="287">
        <v>0.872</v>
      </c>
      <c r="AL97" s="286">
        <v>11.8</v>
      </c>
      <c r="AM97" s="290">
        <v>69.900000000000006</v>
      </c>
      <c r="AN97" s="286" t="str" cm="1">
        <f t="array" aca="1" ref="AN97" ca="1">INDIRECT("'"&amp;$C97&amp;"'!"&amp;"$"&amp;$D97&amp;$AL$1&amp;"")</f>
        <v>CMS</v>
      </c>
      <c r="AO97" s="289" t="s">
        <v>1</v>
      </c>
      <c r="AP97" s="287" t="s">
        <v>1</v>
      </c>
      <c r="AQ97" s="288" cm="1">
        <f t="array" aca="1" ref="AQ97" ca="1">INDIRECT("'"&amp;$C97&amp;"'!"&amp;"$"&amp;$D97&amp;$AQ$1&amp;"")</f>
        <v>4</v>
      </c>
      <c r="AR97" s="289">
        <v>0.96</v>
      </c>
      <c r="AS97" s="287">
        <v>1.2</v>
      </c>
      <c r="AT97" s="289" t="str" cm="1">
        <f t="array" aca="1" ref="AT97" ca="1">INDIRECT("'"&amp;$C97&amp;"'!"&amp;"$"&amp;$D97&amp;$AT$1&amp;"")</f>
        <v>CMS</v>
      </c>
      <c r="AU97" s="288" t="s">
        <v>1</v>
      </c>
      <c r="AV97" s="289" t="s">
        <v>1</v>
      </c>
      <c r="AW97" s="287" t="s">
        <v>1</v>
      </c>
      <c r="AX97" s="291">
        <v>14.17</v>
      </c>
      <c r="AY97" s="290">
        <v>71.150000000000006</v>
      </c>
      <c r="AZ97" s="291" cm="1">
        <f t="array" aca="1" ref="AZ97" ca="1">INDIRECT("'"&amp;$C97&amp;"'!"&amp;"$"&amp;$D97&amp;$AZ$1&amp;"")</f>
        <v>14.31</v>
      </c>
      <c r="BA97" s="289">
        <v>0.98</v>
      </c>
      <c r="BB97" s="287">
        <v>3.4</v>
      </c>
      <c r="BC97" s="292">
        <v>68.2</v>
      </c>
      <c r="BD97" s="286" cm="1">
        <f t="array" aca="1" ref="BD97" ca="1">INDIRECT("'"&amp;$C97&amp;"'!"&amp;"$"&amp;$D97&amp;$BC$1&amp;"")</f>
        <v>5</v>
      </c>
      <c r="BE97" s="288">
        <v>0.96</v>
      </c>
      <c r="BF97" s="287">
        <v>1.4</v>
      </c>
      <c r="BG97" s="291" cm="1">
        <f t="array" aca="1" ref="BG97" ca="1">INDIRECT("'"&amp;$C97&amp;"'!"&amp;"$"&amp;$D97&amp;$BG$1&amp;"")</f>
        <v>1.39</v>
      </c>
      <c r="BH97" s="289"/>
      <c r="BI97" s="289">
        <v>0.99</v>
      </c>
      <c r="BJ97" s="287">
        <v>0.21</v>
      </c>
      <c r="BK97" s="292" cm="1">
        <f t="array" aca="1" ref="BK97" ca="1">INDIRECT("'"&amp;$C97&amp;"'!"&amp;"$"&amp;$D97&amp;$BK$1&amp;"")</f>
        <v>0.87</v>
      </c>
      <c r="BL97" s="289"/>
      <c r="BM97" s="289">
        <v>0.96</v>
      </c>
      <c r="BN97" s="287">
        <v>0.26</v>
      </c>
      <c r="BO97" s="292" cm="1">
        <f t="array" aca="1" ref="BO97" ca="1">INDIRECT("'"&amp;$C97&amp;"'!"&amp;"$"&amp;$D97&amp;74&amp;"")</f>
        <v>0</v>
      </c>
      <c r="BP97" s="289"/>
      <c r="BQ97" s="289" t="s">
        <v>1</v>
      </c>
      <c r="BR97" s="287" t="s">
        <v>1</v>
      </c>
    </row>
    <row r="98" spans="1:70" ht="14.45" thickBot="1">
      <c r="A98" s="360">
        <v>45751</v>
      </c>
      <c r="B98" s="358">
        <v>0.750000000000001</v>
      </c>
      <c r="C98" s="313">
        <f t="shared" si="2"/>
        <v>4</v>
      </c>
      <c r="D98" s="314" t="s">
        <v>145</v>
      </c>
      <c r="E98" s="293">
        <v>14.4</v>
      </c>
      <c r="F98" s="294">
        <v>70.08</v>
      </c>
      <c r="G98" s="295" cm="1">
        <f t="array" aca="1" ref="G98" ca="1">INDIRECT("'"&amp;$C98&amp;"'!"&amp;"$"&amp;$D98&amp;$E$1&amp;"")</f>
        <v>6.4</v>
      </c>
      <c r="H98" s="296">
        <v>0.95</v>
      </c>
      <c r="I98" s="294">
        <v>2.08</v>
      </c>
      <c r="J98" s="295" cm="1">
        <f t="array" aca="1" ref="J98" ca="1">INDIRECT("'"&amp;$C98&amp;"'!"&amp;"$"&amp;$D98&amp;$J$1&amp;"")</f>
        <v>6.6</v>
      </c>
      <c r="K98" s="296"/>
      <c r="L98" s="296">
        <v>0.95</v>
      </c>
      <c r="M98" s="294">
        <v>2.13</v>
      </c>
      <c r="N98" s="295" cm="1">
        <f t="array" aca="1" ref="N98" ca="1">INDIRECT("'"&amp;$C98&amp;"'!"&amp;"$"&amp;$D98&amp;$N$1&amp;"")</f>
        <v>6.4</v>
      </c>
      <c r="O98" s="296"/>
      <c r="P98" s="296">
        <v>0.95</v>
      </c>
      <c r="Q98" s="294">
        <v>2.17</v>
      </c>
      <c r="R98" s="295" cm="1">
        <f t="array" aca="1" ref="R98" ca="1">INDIRECT("'"&amp;$C98&amp;"'!"&amp;"$"&amp;$D98&amp;$R$1&amp;"")</f>
        <v>6.3</v>
      </c>
      <c r="S98" s="296"/>
      <c r="T98" s="296">
        <v>0.96</v>
      </c>
      <c r="U98" s="294">
        <v>1.88</v>
      </c>
      <c r="V98" s="295" cm="1">
        <f t="array" aca="1" ref="V98" ca="1">INDIRECT("'"&amp;$C98&amp;"'!"&amp;"$"&amp;$D98&amp;$V$1&amp;"")</f>
        <v>2.8</v>
      </c>
      <c r="W98" s="296">
        <f>3.56*3.8</f>
        <v>13.527999999999999</v>
      </c>
      <c r="X98" s="296">
        <v>0.93</v>
      </c>
      <c r="Y98" s="297">
        <v>1.1299999999999999</v>
      </c>
      <c r="Z98" s="293" cm="1">
        <f t="array" aca="1" ref="Z98" ca="1">INDIRECT("'"&amp;$C98&amp;"'!"&amp;"$"&amp;$D98&amp;$Z$1&amp;"")</f>
        <v>0</v>
      </c>
      <c r="AA98" s="296" t="s">
        <v>1</v>
      </c>
      <c r="AB98" s="296" t="s">
        <v>1</v>
      </c>
      <c r="AC98" s="294" t="s">
        <v>1</v>
      </c>
      <c r="AD98" s="295" cm="1">
        <f t="array" aca="1" ref="AD98" ca="1">INDIRECT("'"&amp;$C98&amp;"'!"&amp;"$"&amp;$D98&amp;$AD$1&amp;"")</f>
        <v>3.8</v>
      </c>
      <c r="AE98" s="296">
        <v>13.527999999999999</v>
      </c>
      <c r="AF98" s="296">
        <v>0.93</v>
      </c>
      <c r="AG98" s="297">
        <v>1.49</v>
      </c>
      <c r="AH98" s="293" cm="1">
        <f t="array" aca="1" ref="AH98" ca="1">INDIRECT("'"&amp;$C98&amp;"'!"&amp;"$"&amp;$D98&amp;$AH$1&amp;"")</f>
        <v>3.8</v>
      </c>
      <c r="AI98" s="296">
        <v>14</v>
      </c>
      <c r="AJ98" s="296">
        <v>0.98</v>
      </c>
      <c r="AK98" s="294">
        <v>0.79</v>
      </c>
      <c r="AL98" s="293">
        <v>11.8</v>
      </c>
      <c r="AM98" s="297">
        <v>70.099999999999994</v>
      </c>
      <c r="AN98" s="293" t="str" cm="1">
        <f t="array" aca="1" ref="AN98" ca="1">INDIRECT("'"&amp;$C98&amp;"'!"&amp;"$"&amp;$D98&amp;$AL$1&amp;"")</f>
        <v>CMS</v>
      </c>
      <c r="AO98" s="296" t="s">
        <v>1</v>
      </c>
      <c r="AP98" s="294" t="s">
        <v>1</v>
      </c>
      <c r="AQ98" s="295" cm="1">
        <f t="array" aca="1" ref="AQ98" ca="1">INDIRECT("'"&amp;$C98&amp;"'!"&amp;"$"&amp;$D98&amp;$AQ$1&amp;"")</f>
        <v>4</v>
      </c>
      <c r="AR98" s="296">
        <v>0.96</v>
      </c>
      <c r="AS98" s="294">
        <v>0.98</v>
      </c>
      <c r="AT98" s="296" t="str" cm="1">
        <f t="array" aca="1" ref="AT98" ca="1">INDIRECT("'"&amp;$C98&amp;"'!"&amp;"$"&amp;$D98&amp;$AT$1&amp;"")</f>
        <v>CMS</v>
      </c>
      <c r="AU98" s="295" t="s">
        <v>1</v>
      </c>
      <c r="AV98" s="296" t="s">
        <v>1</v>
      </c>
      <c r="AW98" s="294" t="s">
        <v>1</v>
      </c>
      <c r="AX98" s="298">
        <v>14.14</v>
      </c>
      <c r="AY98" s="297">
        <v>71.2</v>
      </c>
      <c r="AZ98" s="298" cm="1">
        <f t="array" aca="1" ref="AZ98" ca="1">INDIRECT("'"&amp;$C98&amp;"'!"&amp;"$"&amp;$D98&amp;$AZ$1&amp;"")</f>
        <v>14.29</v>
      </c>
      <c r="BA98" s="296">
        <v>0.98</v>
      </c>
      <c r="BB98" s="294">
        <v>3.5</v>
      </c>
      <c r="BC98" s="299">
        <v>68.5</v>
      </c>
      <c r="BD98" s="293" cm="1">
        <f t="array" aca="1" ref="BD98" ca="1">INDIRECT("'"&amp;$C98&amp;"'!"&amp;"$"&amp;$D98&amp;$BC$1&amp;"")</f>
        <v>2.6999999999999997</v>
      </c>
      <c r="BE98" s="295">
        <v>0.97</v>
      </c>
      <c r="BF98" s="294">
        <v>0.65</v>
      </c>
      <c r="BG98" s="298" cm="1">
        <f t="array" aca="1" ref="BG98" ca="1">INDIRECT("'"&amp;$C98&amp;"'!"&amp;"$"&amp;$D98&amp;$BG$1&amp;"")</f>
        <v>1.34</v>
      </c>
      <c r="BH98" s="296"/>
      <c r="BI98" s="296">
        <v>0.99</v>
      </c>
      <c r="BJ98" s="294">
        <v>0.2</v>
      </c>
      <c r="BK98" s="299" cm="1">
        <f t="array" aca="1" ref="BK98" ca="1">INDIRECT("'"&amp;$C98&amp;"'!"&amp;"$"&amp;$D98&amp;$BK$1&amp;"")</f>
        <v>0.9</v>
      </c>
      <c r="BL98" s="296"/>
      <c r="BM98" s="296">
        <v>0.96</v>
      </c>
      <c r="BN98" s="294">
        <v>0.26</v>
      </c>
      <c r="BO98" s="299" cm="1">
        <f t="array" aca="1" ref="BO98" ca="1">INDIRECT("'"&amp;$C98&amp;"'!"&amp;"$"&amp;$D98&amp;74&amp;"")</f>
        <v>0</v>
      </c>
      <c r="BP98" s="296"/>
      <c r="BQ98" s="296" t="s">
        <v>1</v>
      </c>
      <c r="BR98" s="294" t="s">
        <v>1</v>
      </c>
    </row>
    <row r="99" spans="1:70" ht="14.45" thickBot="1">
      <c r="A99" s="360">
        <v>45751</v>
      </c>
      <c r="B99" s="358">
        <v>0.79166666666666696</v>
      </c>
      <c r="C99" s="313">
        <f t="shared" si="2"/>
        <v>4</v>
      </c>
      <c r="D99" s="314" t="s">
        <v>146</v>
      </c>
      <c r="E99" s="286">
        <v>14.3</v>
      </c>
      <c r="F99" s="287">
        <v>69.78</v>
      </c>
      <c r="G99" s="288" cm="1">
        <f t="array" aca="1" ref="G99" ca="1">INDIRECT("'"&amp;$C99&amp;"'!"&amp;"$"&amp;$D99&amp;$E$1&amp;"")</f>
        <v>6.7</v>
      </c>
      <c r="H99" s="289">
        <v>0.97</v>
      </c>
      <c r="I99" s="287">
        <v>1.84</v>
      </c>
      <c r="J99" s="288" cm="1">
        <f t="array" aca="1" ref="J99" ca="1">INDIRECT("'"&amp;$C99&amp;"'!"&amp;"$"&amp;$D99&amp;$J$1&amp;"")</f>
        <v>6.5</v>
      </c>
      <c r="K99" s="300"/>
      <c r="L99" s="289">
        <v>0.97</v>
      </c>
      <c r="M99" s="287">
        <v>1.72</v>
      </c>
      <c r="N99" s="288" cm="1">
        <f t="array" aca="1" ref="N99" ca="1">INDIRECT("'"&amp;$C99&amp;"'!"&amp;"$"&amp;$D99&amp;$N$1&amp;"")</f>
        <v>6.6</v>
      </c>
      <c r="O99" s="289"/>
      <c r="P99" s="289">
        <v>0.96</v>
      </c>
      <c r="Q99" s="287">
        <v>1.96</v>
      </c>
      <c r="R99" s="288" cm="1">
        <f t="array" aca="1" ref="R99" ca="1">INDIRECT("'"&amp;$C99&amp;"'!"&amp;"$"&amp;$D99&amp;$R$1&amp;"")</f>
        <v>6.5</v>
      </c>
      <c r="S99" s="289"/>
      <c r="T99" s="289">
        <v>0.94</v>
      </c>
      <c r="U99" s="287">
        <v>2.44</v>
      </c>
      <c r="V99" s="288" cm="1">
        <f t="array" aca="1" ref="V99" ca="1">INDIRECT("'"&amp;$C99&amp;"'!"&amp;"$"&amp;$D99&amp;$V$1&amp;"")</f>
        <v>2.8</v>
      </c>
      <c r="W99" s="289">
        <f>3.52*3.8</f>
        <v>13.375999999999999</v>
      </c>
      <c r="X99" s="289">
        <v>0.94</v>
      </c>
      <c r="Y99" s="290">
        <v>0.96</v>
      </c>
      <c r="Z99" s="286" cm="1">
        <f t="array" aca="1" ref="Z99" ca="1">INDIRECT("'"&amp;$C99&amp;"'!"&amp;"$"&amp;$D99&amp;$Z$1&amp;"")</f>
        <v>0</v>
      </c>
      <c r="AA99" s="289" t="s">
        <v>1</v>
      </c>
      <c r="AB99" s="289" t="s">
        <v>1</v>
      </c>
      <c r="AC99" s="287" t="s">
        <v>1</v>
      </c>
      <c r="AD99" s="288" cm="1">
        <f t="array" aca="1" ref="AD99" ca="1">INDIRECT("'"&amp;$C99&amp;"'!"&amp;"$"&amp;$D99&amp;$AD$1&amp;"")</f>
        <v>3.8</v>
      </c>
      <c r="AE99" s="289">
        <v>13.375999999999999</v>
      </c>
      <c r="AF99" s="289">
        <v>0.94</v>
      </c>
      <c r="AG99" s="290">
        <v>1.35</v>
      </c>
      <c r="AH99" s="286" cm="1">
        <f t="array" aca="1" ref="AH99" ca="1">INDIRECT("'"&amp;$C99&amp;"'!"&amp;"$"&amp;$D99&amp;$AH$1&amp;"")</f>
        <v>3.8</v>
      </c>
      <c r="AI99" s="289">
        <v>14.08</v>
      </c>
      <c r="AJ99" s="289">
        <v>0.98</v>
      </c>
      <c r="AK99" s="287">
        <v>0.751</v>
      </c>
      <c r="AL99" s="286">
        <v>11.8</v>
      </c>
      <c r="AM99" s="290">
        <v>70.8</v>
      </c>
      <c r="AN99" s="286" t="str" cm="1">
        <f t="array" aca="1" ref="AN99" ca="1">INDIRECT("'"&amp;$C99&amp;"'!"&amp;"$"&amp;$D99&amp;$AL$1&amp;"")</f>
        <v>CMS</v>
      </c>
      <c r="AO99" s="289" t="s">
        <v>1</v>
      </c>
      <c r="AP99" s="287" t="s">
        <v>1</v>
      </c>
      <c r="AQ99" s="288" cm="1">
        <f t="array" aca="1" ref="AQ99" ca="1">INDIRECT("'"&amp;$C99&amp;"'!"&amp;"$"&amp;$D99&amp;$AQ$1&amp;"")</f>
        <v>3</v>
      </c>
      <c r="AR99" s="289">
        <v>0.99</v>
      </c>
      <c r="AS99" s="287">
        <v>0.28999999999999998</v>
      </c>
      <c r="AT99" s="289" t="str" cm="1">
        <f t="array" aca="1" ref="AT99" ca="1">INDIRECT("'"&amp;$C99&amp;"'!"&amp;"$"&amp;$D99&amp;$AT$1&amp;"")</f>
        <v>CMS</v>
      </c>
      <c r="AU99" s="288" t="s">
        <v>1</v>
      </c>
      <c r="AV99" s="289" t="s">
        <v>1</v>
      </c>
      <c r="AW99" s="287" t="s">
        <v>1</v>
      </c>
      <c r="AX99" s="291">
        <v>14.24</v>
      </c>
      <c r="AY99" s="290">
        <v>71.7</v>
      </c>
      <c r="AZ99" s="291" cm="1">
        <f t="array" aca="1" ref="AZ99" ca="1">INDIRECT("'"&amp;$C99&amp;"'!"&amp;"$"&amp;$D99&amp;$AZ$1&amp;"")</f>
        <v>12.8</v>
      </c>
      <c r="BA99" s="289">
        <v>0.98</v>
      </c>
      <c r="BB99" s="287">
        <v>3.2</v>
      </c>
      <c r="BC99" s="292">
        <v>69.099999999999994</v>
      </c>
      <c r="BD99" s="286" cm="1">
        <f t="array" aca="1" ref="BD99" ca="1">INDIRECT("'"&amp;$C99&amp;"'!"&amp;"$"&amp;$D99&amp;$BC$1&amp;"")</f>
        <v>2.7</v>
      </c>
      <c r="BE99" s="288">
        <v>0.98</v>
      </c>
      <c r="BF99" s="287">
        <v>0.52</v>
      </c>
      <c r="BG99" s="291" cm="1">
        <f t="array" aca="1" ref="BG99" ca="1">INDIRECT("'"&amp;$C99&amp;"'!"&amp;"$"&amp;$D99&amp;$BG$1&amp;"")</f>
        <v>1.6799999999999997</v>
      </c>
      <c r="BH99" s="289"/>
      <c r="BI99" s="289">
        <v>0.99</v>
      </c>
      <c r="BJ99" s="287">
        <v>0.23</v>
      </c>
      <c r="BK99" s="292" cm="1">
        <f t="array" aca="1" ref="BK99" ca="1">INDIRECT("'"&amp;$C99&amp;"'!"&amp;"$"&amp;$D99&amp;$BK$1&amp;"")</f>
        <v>0.97</v>
      </c>
      <c r="BL99" s="289"/>
      <c r="BM99" s="289">
        <v>0.96</v>
      </c>
      <c r="BN99" s="287">
        <v>0.27</v>
      </c>
      <c r="BO99" s="292" cm="1">
        <f t="array" aca="1" ref="BO99" ca="1">INDIRECT("'"&amp;$C99&amp;"'!"&amp;"$"&amp;$D99&amp;74&amp;"")</f>
        <v>0</v>
      </c>
      <c r="BP99" s="289"/>
      <c r="BQ99" s="289" t="s">
        <v>1</v>
      </c>
      <c r="BR99" s="287" t="s">
        <v>1</v>
      </c>
    </row>
    <row r="100" spans="1:70" ht="14.45" thickBot="1">
      <c r="A100" s="360">
        <v>45751</v>
      </c>
      <c r="B100" s="358">
        <v>0.83333333333333337</v>
      </c>
      <c r="C100" s="313">
        <f t="shared" si="2"/>
        <v>4</v>
      </c>
      <c r="D100" s="314" t="s">
        <v>147</v>
      </c>
      <c r="E100" s="293">
        <v>14.1</v>
      </c>
      <c r="F100" s="294">
        <v>70.12</v>
      </c>
      <c r="G100" s="295" cm="1">
        <f t="array" aca="1" ref="G100" ca="1">INDIRECT("'"&amp;$C100&amp;"'!"&amp;"$"&amp;$D100&amp;$E$1&amp;"")</f>
        <v>6.8</v>
      </c>
      <c r="H100" s="296">
        <v>0.97</v>
      </c>
      <c r="I100" s="294">
        <v>1.77</v>
      </c>
      <c r="J100" s="295" cm="1">
        <f t="array" aca="1" ref="J100" ca="1">INDIRECT("'"&amp;$C100&amp;"'!"&amp;"$"&amp;$D100&amp;$J$1&amp;"")</f>
        <v>6.6</v>
      </c>
      <c r="K100" s="296"/>
      <c r="L100" s="296">
        <v>0.97</v>
      </c>
      <c r="M100" s="294">
        <v>1.54</v>
      </c>
      <c r="N100" s="295" cm="1">
        <f t="array" aca="1" ref="N100" ca="1">INDIRECT("'"&amp;$C100&amp;"'!"&amp;"$"&amp;$D100&amp;$N$1&amp;"")</f>
        <v>6.7</v>
      </c>
      <c r="O100" s="296"/>
      <c r="P100" s="296">
        <v>0.97</v>
      </c>
      <c r="Q100" s="294">
        <v>1.79</v>
      </c>
      <c r="R100" s="295" cm="1">
        <f t="array" aca="1" ref="R100" ca="1">INDIRECT("'"&amp;$C100&amp;"'!"&amp;"$"&amp;$D100&amp;$R$1&amp;"")</f>
        <v>6.6</v>
      </c>
      <c r="S100" s="296"/>
      <c r="T100" s="296">
        <v>0.96</v>
      </c>
      <c r="U100" s="294">
        <v>1.9</v>
      </c>
      <c r="V100" s="295" cm="1">
        <f t="array" aca="1" ref="V100" ca="1">INDIRECT("'"&amp;$C100&amp;"'!"&amp;"$"&amp;$D100&amp;$V$1&amp;"")</f>
        <v>2.8</v>
      </c>
      <c r="W100" s="296">
        <f>3.54*3.8</f>
        <v>13.452</v>
      </c>
      <c r="X100" s="296">
        <v>0.97</v>
      </c>
      <c r="Y100" s="297">
        <v>0.64</v>
      </c>
      <c r="Z100" s="293" cm="1">
        <f t="array" aca="1" ref="Z100" ca="1">INDIRECT("'"&amp;$C100&amp;"'!"&amp;"$"&amp;$D100&amp;$Z$1&amp;"")</f>
        <v>0</v>
      </c>
      <c r="AA100" s="296" t="s">
        <v>1</v>
      </c>
      <c r="AB100" s="296" t="s">
        <v>1</v>
      </c>
      <c r="AC100" s="294" t="s">
        <v>1</v>
      </c>
      <c r="AD100" s="295" cm="1">
        <f t="array" aca="1" ref="AD100" ca="1">INDIRECT("'"&amp;$C100&amp;"'!"&amp;"$"&amp;$D100&amp;$AD$1&amp;"")</f>
        <v>3.8</v>
      </c>
      <c r="AE100" s="296">
        <v>13.452</v>
      </c>
      <c r="AF100" s="296">
        <v>0.96</v>
      </c>
      <c r="AG100" s="297">
        <v>1.05</v>
      </c>
      <c r="AH100" s="293" cm="1">
        <f t="array" aca="1" ref="AH100" ca="1">INDIRECT("'"&amp;$C100&amp;"'!"&amp;"$"&amp;$D100&amp;$AH$1&amp;"")</f>
        <v>3.8</v>
      </c>
      <c r="AI100" s="296">
        <v>14.08</v>
      </c>
      <c r="AJ100" s="296">
        <v>0.97</v>
      </c>
      <c r="AK100" s="294">
        <v>0.93</v>
      </c>
      <c r="AL100" s="293">
        <v>11.8</v>
      </c>
      <c r="AM100" s="297">
        <v>70.400000000000006</v>
      </c>
      <c r="AN100" s="293" t="str" cm="1">
        <f t="array" aca="1" ref="AN100" ca="1">INDIRECT("'"&amp;$C100&amp;"'!"&amp;"$"&amp;$D100&amp;$AL$1&amp;"")</f>
        <v>CMS</v>
      </c>
      <c r="AO100" s="296" t="s">
        <v>1</v>
      </c>
      <c r="AP100" s="294" t="s">
        <v>1</v>
      </c>
      <c r="AQ100" s="295" cm="1">
        <f t="array" aca="1" ref="AQ100" ca="1">INDIRECT("'"&amp;$C100&amp;"'!"&amp;"$"&amp;$D100&amp;$AQ$1&amp;"")</f>
        <v>4.2</v>
      </c>
      <c r="AR100" s="296">
        <v>0.99</v>
      </c>
      <c r="AS100" s="294">
        <v>0.28999999999999998</v>
      </c>
      <c r="AT100" s="296" t="str" cm="1">
        <f t="array" aca="1" ref="AT100" ca="1">INDIRECT("'"&amp;$C100&amp;"'!"&amp;"$"&amp;$D100&amp;$AT$1&amp;"")</f>
        <v>CMS</v>
      </c>
      <c r="AU100" s="295" t="s">
        <v>1</v>
      </c>
      <c r="AV100" s="296" t="s">
        <v>1</v>
      </c>
      <c r="AW100" s="294" t="s">
        <v>1</v>
      </c>
      <c r="AX100" s="298">
        <v>14.25</v>
      </c>
      <c r="AY100" s="297">
        <v>71.66</v>
      </c>
      <c r="AZ100" s="298" cm="1">
        <f t="array" aca="1" ref="AZ100" ca="1">INDIRECT("'"&amp;$C100&amp;"'!"&amp;"$"&amp;$D100&amp;$AZ$1&amp;"")</f>
        <v>14.28</v>
      </c>
      <c r="BA100" s="296">
        <v>0.98</v>
      </c>
      <c r="BB100" s="294">
        <v>3.5</v>
      </c>
      <c r="BC100" s="299">
        <v>68.900000000000006</v>
      </c>
      <c r="BD100" s="293" cm="1">
        <f t="array" aca="1" ref="BD100" ca="1">INDIRECT("'"&amp;$C100&amp;"'!"&amp;"$"&amp;$D100&amp;$BC$1&amp;"")</f>
        <v>2</v>
      </c>
      <c r="BE100" s="295">
        <v>0.98</v>
      </c>
      <c r="BF100" s="294">
        <v>0.51</v>
      </c>
      <c r="BG100" s="298" cm="1">
        <f t="array" aca="1" ref="BG100" ca="1">INDIRECT("'"&amp;$C100&amp;"'!"&amp;"$"&amp;$D100&amp;$BG$1&amp;"")</f>
        <v>1.63</v>
      </c>
      <c r="BH100" s="296"/>
      <c r="BI100" s="296">
        <v>0.99</v>
      </c>
      <c r="BJ100" s="294">
        <v>0.23</v>
      </c>
      <c r="BK100" s="299" cm="1">
        <f t="array" aca="1" ref="BK100" ca="1">INDIRECT("'"&amp;$C100&amp;"'!"&amp;"$"&amp;$D100&amp;$BK$1&amp;"")</f>
        <v>0.98</v>
      </c>
      <c r="BL100" s="296"/>
      <c r="BM100" s="296">
        <v>0.96</v>
      </c>
      <c r="BN100" s="294">
        <v>0.28000000000000003</v>
      </c>
      <c r="BO100" s="299" cm="1">
        <f t="array" aca="1" ref="BO100" ca="1">INDIRECT("'"&amp;$C100&amp;"'!"&amp;"$"&amp;$D100&amp;74&amp;"")</f>
        <v>0</v>
      </c>
      <c r="BP100" s="296"/>
      <c r="BQ100" s="296" t="s">
        <v>1</v>
      </c>
      <c r="BR100" s="294" t="s">
        <v>1</v>
      </c>
    </row>
    <row r="101" spans="1:70" ht="14.45" thickBot="1">
      <c r="A101" s="360">
        <v>45751</v>
      </c>
      <c r="B101" s="358">
        <v>0.875000000000001</v>
      </c>
      <c r="C101" s="313">
        <f t="shared" si="2"/>
        <v>4</v>
      </c>
      <c r="D101" s="314" t="s">
        <v>148</v>
      </c>
      <c r="E101" s="286">
        <v>14.1</v>
      </c>
      <c r="F101" s="287">
        <v>69.849999999999994</v>
      </c>
      <c r="G101" s="288" cm="1">
        <f t="array" aca="1" ref="G101" ca="1">INDIRECT("'"&amp;$C101&amp;"'!"&amp;"$"&amp;$D101&amp;$E$1&amp;"")</f>
        <v>6.7</v>
      </c>
      <c r="H101" s="289">
        <v>0.97</v>
      </c>
      <c r="I101" s="287">
        <v>1.77</v>
      </c>
      <c r="J101" s="288" cm="1">
        <f t="array" aca="1" ref="J101" ca="1">INDIRECT("'"&amp;$C101&amp;"'!"&amp;"$"&amp;$D101&amp;$J$1&amp;"")</f>
        <v>6.5</v>
      </c>
      <c r="K101" s="289"/>
      <c r="L101" s="289">
        <v>0.97</v>
      </c>
      <c r="M101" s="287">
        <v>1.54</v>
      </c>
      <c r="N101" s="288" cm="1">
        <f t="array" aca="1" ref="N101" ca="1">INDIRECT("'"&amp;$C101&amp;"'!"&amp;"$"&amp;$D101&amp;$N$1&amp;"")</f>
        <v>6.6</v>
      </c>
      <c r="O101" s="289"/>
      <c r="P101" s="289">
        <v>0.97</v>
      </c>
      <c r="Q101" s="287">
        <v>1.71</v>
      </c>
      <c r="R101" s="288" cm="1">
        <f t="array" aca="1" ref="R101" ca="1">INDIRECT("'"&amp;$C101&amp;"'!"&amp;"$"&amp;$D101&amp;$R$1&amp;"")</f>
        <v>6.5</v>
      </c>
      <c r="S101" s="289"/>
      <c r="T101" s="289">
        <v>0.95</v>
      </c>
      <c r="U101" s="287">
        <v>2.06</v>
      </c>
      <c r="V101" s="288" cm="1">
        <f t="array" aca="1" ref="V101" ca="1">INDIRECT("'"&amp;$C101&amp;"'!"&amp;"$"&amp;$D101&amp;$V$1&amp;"")</f>
        <v>2.8</v>
      </c>
      <c r="W101" s="289">
        <f>3.54*3.8</f>
        <v>13.452</v>
      </c>
      <c r="X101" s="289">
        <v>0.97</v>
      </c>
      <c r="Y101" s="290">
        <v>0.61</v>
      </c>
      <c r="Z101" s="286" cm="1">
        <f t="array" aca="1" ref="Z101" ca="1">INDIRECT("'"&amp;$C101&amp;"'!"&amp;"$"&amp;$D101&amp;$Z$1&amp;"")</f>
        <v>0</v>
      </c>
      <c r="AA101" s="289" t="s">
        <v>1</v>
      </c>
      <c r="AB101" s="289" t="s">
        <v>1</v>
      </c>
      <c r="AC101" s="287" t="s">
        <v>1</v>
      </c>
      <c r="AD101" s="288" cm="1">
        <f t="array" aca="1" ref="AD101" ca="1">INDIRECT("'"&amp;$C101&amp;"'!"&amp;"$"&amp;$D101&amp;$AD$1&amp;"")</f>
        <v>3.8</v>
      </c>
      <c r="AE101" s="289">
        <v>13.452</v>
      </c>
      <c r="AF101" s="289">
        <v>0.96</v>
      </c>
      <c r="AG101" s="290">
        <v>1.03</v>
      </c>
      <c r="AH101" s="286" cm="1">
        <f t="array" aca="1" ref="AH101" ca="1">INDIRECT("'"&amp;$C101&amp;"'!"&amp;"$"&amp;$D101&amp;$AH$1&amp;"")</f>
        <v>3.8</v>
      </c>
      <c r="AI101" s="289">
        <v>14.08</v>
      </c>
      <c r="AJ101" s="289">
        <v>0.96</v>
      </c>
      <c r="AK101" s="287">
        <v>1.03</v>
      </c>
      <c r="AL101" s="286">
        <v>11.8</v>
      </c>
      <c r="AM101" s="290">
        <v>70.3</v>
      </c>
      <c r="AN101" s="286" t="str" cm="1">
        <f t="array" aca="1" ref="AN101" ca="1">INDIRECT("'"&amp;$C101&amp;"'!"&amp;"$"&amp;$D101&amp;$AL$1&amp;"")</f>
        <v>CMS</v>
      </c>
      <c r="AO101" s="289" t="s">
        <v>1</v>
      </c>
      <c r="AP101" s="287" t="s">
        <v>1</v>
      </c>
      <c r="AQ101" s="288" cm="1">
        <f t="array" aca="1" ref="AQ101" ca="1">INDIRECT("'"&amp;$C101&amp;"'!"&amp;"$"&amp;$D101&amp;$AQ$1&amp;"")</f>
        <v>4.2</v>
      </c>
      <c r="AR101" s="289">
        <v>0.98</v>
      </c>
      <c r="AS101" s="287">
        <v>0.81</v>
      </c>
      <c r="AT101" s="289" t="str" cm="1">
        <f t="array" aca="1" ref="AT101" ca="1">INDIRECT("'"&amp;$C101&amp;"'!"&amp;"$"&amp;$D101&amp;$AT$1&amp;"")</f>
        <v>CMS</v>
      </c>
      <c r="AU101" s="288" t="s">
        <v>1</v>
      </c>
      <c r="AV101" s="289" t="s">
        <v>1</v>
      </c>
      <c r="AW101" s="287" t="s">
        <v>1</v>
      </c>
      <c r="AX101" s="291">
        <v>14.26</v>
      </c>
      <c r="AY101" s="290">
        <v>71.55</v>
      </c>
      <c r="AZ101" s="291" cm="1">
        <f t="array" aca="1" ref="AZ101" ca="1">INDIRECT("'"&amp;$C101&amp;"'!"&amp;"$"&amp;$D101&amp;$AZ$1&amp;"")</f>
        <v>14.31</v>
      </c>
      <c r="BA101" s="289">
        <v>0.98</v>
      </c>
      <c r="BB101" s="287">
        <v>3.4</v>
      </c>
      <c r="BC101" s="292">
        <v>68.599999999999994</v>
      </c>
      <c r="BD101" s="286" cm="1">
        <f t="array" aca="1" ref="BD101" ca="1">INDIRECT("'"&amp;$C101&amp;"'!"&amp;"$"&amp;$D101&amp;$BC$1&amp;"")</f>
        <v>0</v>
      </c>
      <c r="BE101" s="288" t="s">
        <v>1</v>
      </c>
      <c r="BF101" s="287" t="s">
        <v>1</v>
      </c>
      <c r="BG101" s="291" cm="1">
        <f t="array" aca="1" ref="BG101" ca="1">INDIRECT("'"&amp;$C101&amp;"'!"&amp;"$"&amp;$D101&amp;$BG$1&amp;"")</f>
        <v>1.48</v>
      </c>
      <c r="BH101" s="289"/>
      <c r="BI101" s="289">
        <v>0.99</v>
      </c>
      <c r="BJ101" s="287">
        <v>0.23</v>
      </c>
      <c r="BK101" s="292" cm="1">
        <f t="array" aca="1" ref="BK101" ca="1">INDIRECT("'"&amp;$C101&amp;"'!"&amp;"$"&amp;$D101&amp;$BK$1&amp;"")</f>
        <v>0.96</v>
      </c>
      <c r="BL101" s="289"/>
      <c r="BM101" s="289">
        <v>0.96</v>
      </c>
      <c r="BN101" s="287">
        <v>0.26</v>
      </c>
      <c r="BO101" s="292" cm="1">
        <f t="array" aca="1" ref="BO101" ca="1">INDIRECT("'"&amp;$C101&amp;"'!"&amp;"$"&amp;$D101&amp;74&amp;"")</f>
        <v>0</v>
      </c>
      <c r="BP101" s="289"/>
      <c r="BQ101" s="289" t="s">
        <v>1</v>
      </c>
      <c r="BR101" s="287" t="s">
        <v>1</v>
      </c>
    </row>
    <row r="102" spans="1:70" ht="14.45" thickBot="1">
      <c r="A102" s="360">
        <v>45751</v>
      </c>
      <c r="B102" s="358">
        <v>0.91666666666666696</v>
      </c>
      <c r="C102" s="313">
        <f t="shared" si="2"/>
        <v>4</v>
      </c>
      <c r="D102" s="314" t="s">
        <v>149</v>
      </c>
      <c r="E102" s="293">
        <v>14.1</v>
      </c>
      <c r="F102" s="294">
        <v>68.78</v>
      </c>
      <c r="G102" s="295" cm="1">
        <f t="array" aca="1" ref="G102" ca="1">INDIRECT("'"&amp;$C102&amp;"'!"&amp;"$"&amp;$D102&amp;$E$1&amp;"")</f>
        <v>6.5</v>
      </c>
      <c r="H102" s="296">
        <v>0.97</v>
      </c>
      <c r="I102" s="294">
        <v>1.62</v>
      </c>
      <c r="J102" s="295" cm="1">
        <f t="array" aca="1" ref="J102" ca="1">INDIRECT("'"&amp;$C102&amp;"'!"&amp;"$"&amp;$D102&amp;$J$1&amp;"")</f>
        <v>6.5</v>
      </c>
      <c r="K102" s="296"/>
      <c r="L102" s="296">
        <v>0.97</v>
      </c>
      <c r="M102" s="294">
        <v>1.64</v>
      </c>
      <c r="N102" s="295" cm="1">
        <f t="array" aca="1" ref="N102" ca="1">INDIRECT("'"&amp;$C102&amp;"'!"&amp;"$"&amp;$D102&amp;$N$1&amp;"")</f>
        <v>6.5</v>
      </c>
      <c r="O102" s="296"/>
      <c r="P102" s="296">
        <v>0.97</v>
      </c>
      <c r="Q102" s="294">
        <v>1.61</v>
      </c>
      <c r="R102" s="295" cm="1">
        <f t="array" aca="1" ref="R102" ca="1">INDIRECT("'"&amp;$C102&amp;"'!"&amp;"$"&amp;$D102&amp;$R$1&amp;"")</f>
        <v>6.5</v>
      </c>
      <c r="S102" s="296"/>
      <c r="T102" s="296">
        <v>0.97</v>
      </c>
      <c r="U102" s="294">
        <v>2.04</v>
      </c>
      <c r="V102" s="295" cm="1">
        <f t="array" aca="1" ref="V102" ca="1">INDIRECT("'"&amp;$C102&amp;"'!"&amp;"$"&amp;$D102&amp;$V$1&amp;"")</f>
        <v>0</v>
      </c>
      <c r="W102" s="296" t="s">
        <v>1</v>
      </c>
      <c r="X102" s="296" t="s">
        <v>1</v>
      </c>
      <c r="Y102" s="294" t="s">
        <v>1</v>
      </c>
      <c r="Z102" s="293" cm="1">
        <f t="array" aca="1" ref="Z102" ca="1">INDIRECT("'"&amp;$C102&amp;"'!"&amp;"$"&amp;$D102&amp;$Z$1&amp;"")</f>
        <v>0</v>
      </c>
      <c r="AA102" s="296" t="s">
        <v>1</v>
      </c>
      <c r="AB102" s="296" t="s">
        <v>1</v>
      </c>
      <c r="AC102" s="294" t="s">
        <v>1</v>
      </c>
      <c r="AD102" s="295" cm="1">
        <f t="array" aca="1" ref="AD102" ca="1">INDIRECT("'"&amp;$C102&amp;"'!"&amp;"$"&amp;$D102&amp;$AD$1&amp;"")</f>
        <v>3</v>
      </c>
      <c r="AE102" s="296">
        <f>3.8*3.55</f>
        <v>13.489999999999998</v>
      </c>
      <c r="AF102" s="296">
        <v>0.95</v>
      </c>
      <c r="AG102" s="297">
        <v>1.1399999999999999</v>
      </c>
      <c r="AH102" s="293" cm="1">
        <f t="array" aca="1" ref="AH102" ca="1">INDIRECT("'"&amp;$C102&amp;"'!"&amp;"$"&amp;$D102&amp;$AH$1&amp;"")</f>
        <v>3</v>
      </c>
      <c r="AI102" s="296">
        <v>14.08</v>
      </c>
      <c r="AJ102" s="296">
        <v>0.98</v>
      </c>
      <c r="AK102" s="294">
        <v>0.69599999999999995</v>
      </c>
      <c r="AL102" s="293">
        <v>11.8</v>
      </c>
      <c r="AM102" s="297">
        <v>70.3</v>
      </c>
      <c r="AN102" s="293" t="str" cm="1">
        <f t="array" aca="1" ref="AN102" ca="1">INDIRECT("'"&amp;$C102&amp;"'!"&amp;"$"&amp;$D102&amp;$AL$1&amp;"")</f>
        <v>CMS</v>
      </c>
      <c r="AO102" s="296" t="s">
        <v>1</v>
      </c>
      <c r="AP102" s="294" t="s">
        <v>1</v>
      </c>
      <c r="AQ102" s="295" cm="1">
        <f t="array" aca="1" ref="AQ102" ca="1">INDIRECT("'"&amp;$C102&amp;"'!"&amp;"$"&amp;$D102&amp;$AQ$1&amp;"")</f>
        <v>3.8</v>
      </c>
      <c r="AR102" s="296">
        <v>0.96</v>
      </c>
      <c r="AS102" s="294">
        <v>0.89</v>
      </c>
      <c r="AT102" s="296" t="str" cm="1">
        <f t="array" aca="1" ref="AT102" ca="1">INDIRECT("'"&amp;$C102&amp;"'!"&amp;"$"&amp;$D102&amp;$AT$1&amp;"")</f>
        <v>CMS</v>
      </c>
      <c r="AU102" s="295" t="s">
        <v>1</v>
      </c>
      <c r="AV102" s="296" t="s">
        <v>1</v>
      </c>
      <c r="AW102" s="294" t="s">
        <v>1</v>
      </c>
      <c r="AX102" s="298">
        <v>14.1</v>
      </c>
      <c r="AY102" s="297">
        <v>71.459999999999994</v>
      </c>
      <c r="AZ102" s="298" cm="1">
        <f t="array" aca="1" ref="AZ102" ca="1">INDIRECT("'"&amp;$C102&amp;"'!"&amp;"$"&amp;$D102&amp;$AZ$1&amp;"")</f>
        <v>14.29</v>
      </c>
      <c r="BA102" s="296">
        <v>0.99</v>
      </c>
      <c r="BB102" s="294">
        <v>2.4</v>
      </c>
      <c r="BC102" s="299">
        <v>68.5</v>
      </c>
      <c r="BD102" s="293" cm="1">
        <f t="array" aca="1" ref="BD102" ca="1">INDIRECT("'"&amp;$C102&amp;"'!"&amp;"$"&amp;$D102&amp;$BC$1&amp;"")</f>
        <v>0</v>
      </c>
      <c r="BE102" s="295" t="s">
        <v>1</v>
      </c>
      <c r="BF102" s="294" t="s">
        <v>1</v>
      </c>
      <c r="BG102" s="298" cm="1">
        <f t="array" aca="1" ref="BG102" ca="1">INDIRECT("'"&amp;$C102&amp;"'!"&amp;"$"&amp;$D102&amp;$BG$1&amp;"")</f>
        <v>1.31</v>
      </c>
      <c r="BH102" s="296"/>
      <c r="BI102" s="296">
        <v>0.99</v>
      </c>
      <c r="BJ102" s="294">
        <v>0.2</v>
      </c>
      <c r="BK102" s="299" cm="1">
        <f t="array" aca="1" ref="BK102" ca="1">INDIRECT("'"&amp;$C102&amp;"'!"&amp;"$"&amp;$D102&amp;$BK$1&amp;"")</f>
        <v>0.9</v>
      </c>
      <c r="BL102" s="296"/>
      <c r="BM102" s="296">
        <v>0.96</v>
      </c>
      <c r="BN102" s="294">
        <v>0.26</v>
      </c>
      <c r="BO102" s="299" cm="1">
        <f t="array" aca="1" ref="BO102" ca="1">INDIRECT("'"&amp;$C102&amp;"'!"&amp;"$"&amp;$D102&amp;74&amp;"")</f>
        <v>0</v>
      </c>
      <c r="BP102" s="296"/>
      <c r="BQ102" s="296" t="s">
        <v>1</v>
      </c>
      <c r="BR102" s="294" t="s">
        <v>1</v>
      </c>
    </row>
    <row r="103" spans="1:70" ht="14.45" thickBot="1">
      <c r="A103" s="360">
        <v>45751</v>
      </c>
      <c r="B103" s="359">
        <v>0.95833333333333404</v>
      </c>
      <c r="C103" s="315">
        <f t="shared" si="2"/>
        <v>4</v>
      </c>
      <c r="D103" s="316" t="s">
        <v>150</v>
      </c>
      <c r="E103" s="301">
        <v>14.1</v>
      </c>
      <c r="F103" s="302">
        <v>69.989999999999995</v>
      </c>
      <c r="G103" s="303" cm="1">
        <f t="array" aca="1" ref="G103" ca="1">INDIRECT("'"&amp;$C103&amp;"'!"&amp;"$"&amp;$D103&amp;$E$1&amp;"")</f>
        <v>0</v>
      </c>
      <c r="H103" s="304" t="s">
        <v>1</v>
      </c>
      <c r="I103" s="302" t="s">
        <v>1</v>
      </c>
      <c r="J103" s="303" cm="1">
        <f t="array" aca="1" ref="J103" ca="1">INDIRECT("'"&amp;$C103&amp;"'!"&amp;"$"&amp;$D103&amp;$J$1&amp;"")</f>
        <v>6.7</v>
      </c>
      <c r="K103" s="304"/>
      <c r="L103" s="304">
        <v>0.98</v>
      </c>
      <c r="M103" s="302">
        <v>1.19</v>
      </c>
      <c r="N103" s="303" cm="1">
        <f t="array" aca="1" ref="N103" ca="1">INDIRECT("'"&amp;$C103&amp;"'!"&amp;"$"&amp;$D103&amp;$N$1&amp;"")</f>
        <v>6.7</v>
      </c>
      <c r="O103" s="304"/>
      <c r="P103" s="304">
        <v>0.98</v>
      </c>
      <c r="Q103" s="302">
        <v>1.18</v>
      </c>
      <c r="R103" s="303" cm="1">
        <f t="array" aca="1" ref="R103" ca="1">INDIRECT("'"&amp;$C103&amp;"'!"&amp;"$"&amp;$D103&amp;$R$1&amp;"")</f>
        <v>6.7</v>
      </c>
      <c r="S103" s="304"/>
      <c r="T103" s="304">
        <v>0.94</v>
      </c>
      <c r="U103" s="302">
        <v>2.41</v>
      </c>
      <c r="V103" s="303" cm="1">
        <f t="array" aca="1" ref="V103" ca="1">INDIRECT("'"&amp;$C103&amp;"'!"&amp;"$"&amp;$D103&amp;$V$1&amp;"")</f>
        <v>0</v>
      </c>
      <c r="W103" s="304" t="s">
        <v>1</v>
      </c>
      <c r="X103" s="304" t="s">
        <v>1</v>
      </c>
      <c r="Y103" s="302" t="s">
        <v>1</v>
      </c>
      <c r="Z103" s="301" cm="1">
        <f t="array" aca="1" ref="Z103" ca="1">INDIRECT("'"&amp;$C103&amp;"'!"&amp;"$"&amp;$D103&amp;$Z$1&amp;"")</f>
        <v>0</v>
      </c>
      <c r="AA103" s="304" t="s">
        <v>1</v>
      </c>
      <c r="AB103" s="304" t="s">
        <v>1</v>
      </c>
      <c r="AC103" s="302" t="s">
        <v>1</v>
      </c>
      <c r="AD103" s="303" cm="1">
        <f t="array" aca="1" ref="AD103" ca="1">INDIRECT("'"&amp;$C103&amp;"'!"&amp;"$"&amp;$D103&amp;$AD$1&amp;"")</f>
        <v>3.8</v>
      </c>
      <c r="AE103" s="304">
        <f>3.8*3.56</f>
        <v>13.527999999999999</v>
      </c>
      <c r="AF103" s="304">
        <v>0.97</v>
      </c>
      <c r="AG103" s="305">
        <v>0.89</v>
      </c>
      <c r="AH103" s="301" cm="1">
        <f t="array" aca="1" ref="AH103" ca="1">INDIRECT("'"&amp;$C103&amp;"'!"&amp;"$"&amp;$D103&amp;$AH$1&amp;"")</f>
        <v>3.8</v>
      </c>
      <c r="AI103" s="304">
        <v>14.04</v>
      </c>
      <c r="AJ103" s="304">
        <v>0.98</v>
      </c>
      <c r="AK103" s="302">
        <v>0.752</v>
      </c>
      <c r="AL103" s="301">
        <v>11.8</v>
      </c>
      <c r="AM103" s="305">
        <v>70.5</v>
      </c>
      <c r="AN103" s="301" t="str" cm="1">
        <f t="array" aca="1" ref="AN103" ca="1">INDIRECT("'"&amp;$C103&amp;"'!"&amp;"$"&amp;$D103&amp;$AL$1&amp;"")</f>
        <v>CMS</v>
      </c>
      <c r="AO103" s="304" t="s">
        <v>1</v>
      </c>
      <c r="AP103" s="302" t="s">
        <v>1</v>
      </c>
      <c r="AQ103" s="303" cm="1">
        <f t="array" aca="1" ref="AQ103" ca="1">INDIRECT("'"&amp;$C103&amp;"'!"&amp;"$"&amp;$D103&amp;$AQ$1&amp;"")</f>
        <v>4</v>
      </c>
      <c r="AR103" s="304">
        <v>0.99</v>
      </c>
      <c r="AS103" s="302">
        <v>0.63</v>
      </c>
      <c r="AT103" s="304" t="str" cm="1">
        <f t="array" aca="1" ref="AT103" ca="1">INDIRECT("'"&amp;$C103&amp;"'!"&amp;"$"&amp;$D103&amp;$AT$1&amp;"")</f>
        <v>CMS</v>
      </c>
      <c r="AU103" s="288" t="s">
        <v>1</v>
      </c>
      <c r="AV103" s="289" t="s">
        <v>1</v>
      </c>
      <c r="AW103" s="287" t="s">
        <v>1</v>
      </c>
      <c r="AX103" s="306">
        <v>14.17</v>
      </c>
      <c r="AY103" s="305">
        <v>71.66</v>
      </c>
      <c r="AZ103" s="306" cm="1">
        <f t="array" aca="1" ref="AZ103" ca="1">INDIRECT("'"&amp;$C103&amp;"'!"&amp;"$"&amp;$D103&amp;$AZ$1&amp;"")</f>
        <v>14.32</v>
      </c>
      <c r="BA103" s="304">
        <v>0.99</v>
      </c>
      <c r="BB103" s="302">
        <v>2.4</v>
      </c>
      <c r="BC103" s="307">
        <v>68.900000000000006</v>
      </c>
      <c r="BD103" s="301" cm="1">
        <f t="array" aca="1" ref="BD103" ca="1">INDIRECT("'"&amp;$C103&amp;"'!"&amp;"$"&amp;$D103&amp;$BC$1&amp;"")</f>
        <v>0.7</v>
      </c>
      <c r="BE103" s="303">
        <v>0.97</v>
      </c>
      <c r="BF103" s="302">
        <v>0.17</v>
      </c>
      <c r="BG103" s="306" cm="1">
        <f t="array" aca="1" ref="BG103" ca="1">INDIRECT("'"&amp;$C103&amp;"'!"&amp;"$"&amp;$D103&amp;$BG$1&amp;"")</f>
        <v>1.1499999999999999</v>
      </c>
      <c r="BH103" s="304"/>
      <c r="BI103" s="304">
        <v>0.99</v>
      </c>
      <c r="BJ103" s="302">
        <v>0.18</v>
      </c>
      <c r="BK103" s="307" cm="1">
        <f t="array" aca="1" ref="BK103" ca="1">INDIRECT("'"&amp;$C103&amp;"'!"&amp;"$"&amp;$D103&amp;$BK$1&amp;"")</f>
        <v>0.88</v>
      </c>
      <c r="BL103" s="304"/>
      <c r="BM103" s="304">
        <v>0.96</v>
      </c>
      <c r="BN103" s="302">
        <v>0.25</v>
      </c>
      <c r="BO103" s="307" cm="1">
        <f t="array" aca="1" ref="BO103" ca="1">INDIRECT("'"&amp;$C103&amp;"'!"&amp;"$"&amp;$D103&amp;74&amp;"")</f>
        <v>0</v>
      </c>
      <c r="BP103" s="304"/>
      <c r="BQ103" s="304" t="s">
        <v>1</v>
      </c>
      <c r="BR103" s="302" t="s">
        <v>1</v>
      </c>
    </row>
    <row r="104" spans="1:70" ht="14.45" thickBot="1"/>
    <row r="105" spans="1:70">
      <c r="A105" s="360">
        <v>45752</v>
      </c>
      <c r="B105" s="357">
        <v>0</v>
      </c>
      <c r="C105" s="310">
        <f>C80+1</f>
        <v>5</v>
      </c>
      <c r="D105" s="311" t="s">
        <v>127</v>
      </c>
      <c r="E105" s="280">
        <v>14.1</v>
      </c>
      <c r="F105" s="281">
        <v>70.44</v>
      </c>
      <c r="G105" s="282" cm="1">
        <f t="array" aca="1" ref="G105" ca="1">INDIRECT("'"&amp;$C105&amp;"'!"&amp;"$"&amp;$D105&amp;$E$1&amp;"")</f>
        <v>0</v>
      </c>
      <c r="H105" s="283" t="s">
        <v>1</v>
      </c>
      <c r="I105" s="281" t="s">
        <v>1</v>
      </c>
      <c r="J105" s="282" cm="1">
        <f t="array" aca="1" ref="J105" ca="1">INDIRECT("'"&amp;$C105&amp;"'!"&amp;"$"&amp;$D105&amp;$J$1&amp;"")</f>
        <v>6.7</v>
      </c>
      <c r="K105" s="283"/>
      <c r="L105" s="283">
        <v>0.97</v>
      </c>
      <c r="M105" s="281">
        <v>1.8</v>
      </c>
      <c r="N105" s="282" cm="1">
        <f t="array" aca="1" ref="N105" ca="1">INDIRECT("'"&amp;$C105&amp;"'!"&amp;"$"&amp;$D105&amp;$N$1&amp;"")</f>
        <v>6.7</v>
      </c>
      <c r="O105" s="283"/>
      <c r="P105" s="283">
        <v>0.97</v>
      </c>
      <c r="Q105" s="281">
        <v>1.82</v>
      </c>
      <c r="R105" s="282" cm="1">
        <f t="array" aca="1" ref="R105" ca="1">INDIRECT("'"&amp;$C105&amp;"'!"&amp;"$"&amp;$D105&amp;$R$1&amp;"")</f>
        <v>6.7</v>
      </c>
      <c r="S105" s="283"/>
      <c r="T105" s="283">
        <v>0.97</v>
      </c>
      <c r="U105" s="281">
        <v>1.8</v>
      </c>
      <c r="V105" s="282" cm="1">
        <f t="array" aca="1" ref="V105" ca="1">INDIRECT("'"&amp;$C105&amp;"'!"&amp;"$"&amp;$D105&amp;$V$1&amp;"")</f>
        <v>0</v>
      </c>
      <c r="W105" s="283" t="s">
        <v>1</v>
      </c>
      <c r="X105" s="283" t="s">
        <v>1</v>
      </c>
      <c r="Y105" s="284" t="s">
        <v>1</v>
      </c>
      <c r="Z105" s="280" cm="1">
        <f t="array" aca="1" ref="Z105" ca="1">INDIRECT("'"&amp;$C105&amp;"'!"&amp;"$"&amp;$D105&amp;$Z$1&amp;"")</f>
        <v>0</v>
      </c>
      <c r="AA105" s="283" t="s">
        <v>1</v>
      </c>
      <c r="AB105" s="283" t="s">
        <v>1</v>
      </c>
      <c r="AC105" s="281" t="s">
        <v>1</v>
      </c>
      <c r="AD105" s="282" cm="1">
        <f t="array" aca="1" ref="AD105" ca="1">INDIRECT("'"&amp;$C105&amp;"'!"&amp;"$"&amp;$D105&amp;$AD$1&amp;"")</f>
        <v>3</v>
      </c>
      <c r="AE105" s="283">
        <f>3.8*3.53</f>
        <v>13.413999999999998</v>
      </c>
      <c r="AF105" s="283">
        <v>0.98</v>
      </c>
      <c r="AG105" s="281">
        <v>0.69</v>
      </c>
      <c r="AH105" s="280" cm="1">
        <f t="array" aca="1" ref="AH105" ca="1">INDIRECT("'"&amp;$C105&amp;"'!"&amp;"$"&amp;$D105&amp;$AH$1&amp;"")</f>
        <v>3</v>
      </c>
      <c r="AI105" s="283">
        <v>14.04</v>
      </c>
      <c r="AJ105" s="283">
        <v>0.98</v>
      </c>
      <c r="AK105" s="281">
        <v>0.63700000000000001</v>
      </c>
      <c r="AL105" s="280">
        <v>11.8</v>
      </c>
      <c r="AM105" s="284">
        <v>70.8</v>
      </c>
      <c r="AN105" s="280" t="str" cm="1">
        <f t="array" aca="1" ref="AN105" ca="1">INDIRECT("'"&amp;$C105&amp;"'!"&amp;"$"&amp;$D105&amp;$AL$1&amp;"")</f>
        <v>CMS</v>
      </c>
      <c r="AO105" s="283" t="s">
        <v>1</v>
      </c>
      <c r="AP105" s="281" t="s">
        <v>1</v>
      </c>
      <c r="AQ105" s="282" cm="1">
        <f t="array" aca="1" ref="AQ105" ca="1">INDIRECT("'"&amp;$C105&amp;"'!"&amp;"$"&amp;$D105&amp;$AQ$1&amp;"")</f>
        <v>3</v>
      </c>
      <c r="AR105" s="283">
        <v>0.99</v>
      </c>
      <c r="AS105" s="281">
        <v>0.33</v>
      </c>
      <c r="AT105" s="283" t="str" cm="1">
        <f t="array" aca="1" ref="AT105" ca="1">INDIRECT("'"&amp;$C105&amp;"'!"&amp;"$"&amp;$D105&amp;$AT$1&amp;"")</f>
        <v>CMS</v>
      </c>
      <c r="AU105" s="282" t="s">
        <v>1</v>
      </c>
      <c r="AV105" s="283" t="s">
        <v>1</v>
      </c>
      <c r="AW105" s="281" t="s">
        <v>1</v>
      </c>
      <c r="AX105" s="285">
        <v>14.18</v>
      </c>
      <c r="AY105" s="284">
        <v>71.91</v>
      </c>
      <c r="AZ105" s="285" cm="1">
        <f t="array" aca="1" ref="AZ105" ca="1">INDIRECT("'"&amp;$C105&amp;"'!"&amp;"$"&amp;$D105&amp;$AZ$1&amp;"")</f>
        <v>12.81</v>
      </c>
      <c r="BA105" s="283">
        <v>0.99</v>
      </c>
      <c r="BB105" s="281">
        <v>2.1</v>
      </c>
      <c r="BC105" s="281">
        <v>69.400000000000006</v>
      </c>
      <c r="BD105" s="280" cm="1">
        <f t="array" aca="1" ref="BD105" ca="1">INDIRECT("'"&amp;$C105&amp;"'!"&amp;"$"&amp;$D105&amp;$BC$1&amp;"")</f>
        <v>0</v>
      </c>
      <c r="BE105" s="282" t="s">
        <v>1</v>
      </c>
      <c r="BF105" s="281" t="s">
        <v>1</v>
      </c>
      <c r="BG105" s="285" cm="1">
        <f t="array" aca="1" ref="BG105" ca="1">INDIRECT("'"&amp;$C105&amp;"'!"&amp;"$"&amp;$D105&amp;$BG$1&amp;"")</f>
        <v>1.05</v>
      </c>
      <c r="BH105" s="283"/>
      <c r="BI105" s="283">
        <v>0.99</v>
      </c>
      <c r="BJ105" s="281">
        <v>0.16</v>
      </c>
      <c r="BK105" s="285" cm="1">
        <f t="array" aca="1" ref="BK105" ca="1">INDIRECT("'"&amp;$C105&amp;"'!"&amp;"$"&amp;$D105&amp;$BK$1&amp;"")</f>
        <v>0.8</v>
      </c>
      <c r="BL105" s="283"/>
      <c r="BM105" s="283">
        <v>0.96</v>
      </c>
      <c r="BN105" s="281">
        <v>0.23</v>
      </c>
      <c r="BO105" s="373" cm="1">
        <f t="array" aca="1" ref="BO105" ca="1">INDIRECT("'"&amp;$C105&amp;"'!"&amp;"$"&amp;$D105&amp;74&amp;"")</f>
        <v>0</v>
      </c>
      <c r="BP105" s="283"/>
      <c r="BQ105" s="283" t="s">
        <v>1</v>
      </c>
      <c r="BR105" s="281" t="s">
        <v>1</v>
      </c>
    </row>
    <row r="106" spans="1:70">
      <c r="A106" s="361">
        <v>45752</v>
      </c>
      <c r="B106" s="358">
        <v>4.1666666666666699E-2</v>
      </c>
      <c r="C106" s="313">
        <f t="shared" ref="C106:C128" si="3">C81+1</f>
        <v>5</v>
      </c>
      <c r="D106" s="314" t="s">
        <v>128</v>
      </c>
      <c r="E106" s="286">
        <v>14.1</v>
      </c>
      <c r="F106" s="287">
        <v>70.8</v>
      </c>
      <c r="G106" s="288" cm="1">
        <f t="array" aca="1" ref="G106" ca="1">INDIRECT("'"&amp;$C106&amp;"'!"&amp;"$"&amp;$D106&amp;$E$1&amp;"")</f>
        <v>0</v>
      </c>
      <c r="H106" s="289" t="s">
        <v>1</v>
      </c>
      <c r="I106" s="287" t="s">
        <v>1</v>
      </c>
      <c r="J106" s="288" cm="1">
        <f t="array" aca="1" ref="J106" ca="1">INDIRECT("'"&amp;$C106&amp;"'!"&amp;"$"&amp;$D106&amp;$J$1&amp;"")</f>
        <v>6.6</v>
      </c>
      <c r="K106" s="289"/>
      <c r="L106" s="289">
        <v>0.98</v>
      </c>
      <c r="M106" s="287">
        <v>1.48</v>
      </c>
      <c r="N106" s="288" cm="1">
        <f t="array" aca="1" ref="N106" ca="1">INDIRECT("'"&amp;$C106&amp;"'!"&amp;"$"&amp;$D106&amp;$N$1&amp;"")</f>
        <v>6.6</v>
      </c>
      <c r="O106" s="289"/>
      <c r="P106" s="289">
        <v>0.98</v>
      </c>
      <c r="Q106" s="287">
        <v>1.44</v>
      </c>
      <c r="R106" s="288" cm="1">
        <f t="array" aca="1" ref="R106" ca="1">INDIRECT("'"&amp;$C106&amp;"'!"&amp;"$"&amp;$D106&amp;$R$1&amp;"")</f>
        <v>6.6</v>
      </c>
      <c r="S106" s="289"/>
      <c r="T106" s="289">
        <v>0.98</v>
      </c>
      <c r="U106" s="287">
        <v>1.42</v>
      </c>
      <c r="V106" s="288" cm="1">
        <f t="array" aca="1" ref="V106" ca="1">INDIRECT("'"&amp;$C106&amp;"'!"&amp;"$"&amp;$D106&amp;$V$1&amp;"")</f>
        <v>0</v>
      </c>
      <c r="W106" s="289" t="s">
        <v>1</v>
      </c>
      <c r="X106" s="289" t="s">
        <v>1</v>
      </c>
      <c r="Y106" s="290" t="s">
        <v>1</v>
      </c>
      <c r="Z106" s="286" cm="1">
        <f t="array" aca="1" ref="Z106" ca="1">INDIRECT("'"&amp;$C106&amp;"'!"&amp;"$"&amp;$D106&amp;$Z$1&amp;"")</f>
        <v>0</v>
      </c>
      <c r="AA106" s="289" t="s">
        <v>1</v>
      </c>
      <c r="AB106" s="289" t="s">
        <v>1</v>
      </c>
      <c r="AC106" s="287" t="s">
        <v>1</v>
      </c>
      <c r="AD106" s="288" cm="1">
        <f t="array" aca="1" ref="AD106" ca="1">INDIRECT("'"&amp;$C106&amp;"'!"&amp;"$"&amp;$D106&amp;$AD$1&amp;"")</f>
        <v>3</v>
      </c>
      <c r="AE106" s="289">
        <f>3.8*3.61</f>
        <v>13.717999999999998</v>
      </c>
      <c r="AF106" s="289">
        <v>0.98</v>
      </c>
      <c r="AG106" s="290">
        <v>0.67</v>
      </c>
      <c r="AH106" s="286" cm="1">
        <f t="array" aca="1" ref="AH106" ca="1">INDIRECT("'"&amp;$C106&amp;"'!"&amp;"$"&amp;$D106&amp;$AH$1&amp;"")</f>
        <v>0</v>
      </c>
      <c r="AI106" s="289" t="s">
        <v>1</v>
      </c>
      <c r="AJ106" s="289" t="s">
        <v>1</v>
      </c>
      <c r="AK106" s="287" t="s">
        <v>1</v>
      </c>
      <c r="AL106" s="286">
        <v>11.8</v>
      </c>
      <c r="AM106" s="290">
        <v>70.900000000000006</v>
      </c>
      <c r="AN106" s="286" t="str" cm="1">
        <f t="array" aca="1" ref="AN106" ca="1">INDIRECT("'"&amp;$C106&amp;"'!"&amp;"$"&amp;$D106&amp;$AL$1&amp;"")</f>
        <v>CMS</v>
      </c>
      <c r="AO106" s="289" t="s">
        <v>1</v>
      </c>
      <c r="AP106" s="287" t="s">
        <v>1</v>
      </c>
      <c r="AQ106" s="288" cm="1">
        <f t="array" aca="1" ref="AQ106" ca="1">INDIRECT("'"&amp;$C106&amp;"'!"&amp;"$"&amp;$D106&amp;$AQ$1&amp;"")</f>
        <v>3</v>
      </c>
      <c r="AR106" s="289">
        <v>0.99</v>
      </c>
      <c r="AS106" s="287">
        <v>0.27</v>
      </c>
      <c r="AT106" s="289" t="str" cm="1">
        <f t="array" aca="1" ref="AT106" ca="1">INDIRECT("'"&amp;$C106&amp;"'!"&amp;"$"&amp;$D106&amp;$AT$1&amp;"")</f>
        <v>CMS</v>
      </c>
      <c r="AU106" s="288" t="s">
        <v>1</v>
      </c>
      <c r="AV106" s="289" t="s">
        <v>1</v>
      </c>
      <c r="AW106" s="287" t="s">
        <v>1</v>
      </c>
      <c r="AX106" s="291">
        <v>14.18</v>
      </c>
      <c r="AY106" s="290">
        <v>70.900000000000006</v>
      </c>
      <c r="AZ106" s="291" cm="1">
        <f t="array" aca="1" ref="AZ106" ca="1">INDIRECT("'"&amp;$C106&amp;"'!"&amp;"$"&amp;$D106&amp;$AZ$1&amp;"")</f>
        <v>14.33</v>
      </c>
      <c r="BA106" s="289">
        <v>0.99</v>
      </c>
      <c r="BB106" s="287">
        <v>2.4</v>
      </c>
      <c r="BC106" s="292">
        <v>69.7</v>
      </c>
      <c r="BD106" s="286" cm="1">
        <f t="array" aca="1" ref="BD106" ca="1">INDIRECT("'"&amp;$C106&amp;"'!"&amp;"$"&amp;$D106&amp;$BC$1&amp;"")</f>
        <v>0</v>
      </c>
      <c r="BE106" s="288" t="s">
        <v>1</v>
      </c>
      <c r="BF106" s="287" t="s">
        <v>1</v>
      </c>
      <c r="BG106" s="291" cm="1">
        <f t="array" aca="1" ref="BG106" ca="1">INDIRECT("'"&amp;$C106&amp;"'!"&amp;"$"&amp;$D106&amp;$BG$1&amp;"")</f>
        <v>0.97</v>
      </c>
      <c r="BH106" s="289"/>
      <c r="BI106" s="289">
        <v>0.99</v>
      </c>
      <c r="BJ106" s="287">
        <v>0.14000000000000001</v>
      </c>
      <c r="BK106" s="291" cm="1">
        <f t="array" aca="1" ref="BK106" ca="1">INDIRECT("'"&amp;$C106&amp;"'!"&amp;"$"&amp;$D106&amp;$BK$1&amp;"")</f>
        <v>0.76</v>
      </c>
      <c r="BL106" s="289"/>
      <c r="BM106" s="289">
        <v>0.95</v>
      </c>
      <c r="BN106" s="287">
        <v>0.22</v>
      </c>
      <c r="BO106" s="292" cm="1">
        <f t="array" aca="1" ref="BO106" ca="1">INDIRECT("'"&amp;$C106&amp;"'!"&amp;"$"&amp;$D106&amp;74&amp;"")</f>
        <v>0</v>
      </c>
      <c r="BP106" s="289"/>
      <c r="BQ106" s="289" t="s">
        <v>1</v>
      </c>
      <c r="BR106" s="287" t="s">
        <v>1</v>
      </c>
    </row>
    <row r="107" spans="1:70">
      <c r="A107" s="361">
        <v>45752</v>
      </c>
      <c r="B107" s="358">
        <v>8.3333333333333301E-2</v>
      </c>
      <c r="C107" s="313">
        <f t="shared" si="3"/>
        <v>5</v>
      </c>
      <c r="D107" s="314" t="s">
        <v>129</v>
      </c>
      <c r="E107" s="293">
        <v>14.1</v>
      </c>
      <c r="F107" s="294">
        <v>70.22</v>
      </c>
      <c r="G107" s="295" cm="1">
        <f t="array" aca="1" ref="G107" ca="1">INDIRECT("'"&amp;$C107&amp;"'!"&amp;"$"&amp;$D107&amp;$E$1&amp;"")</f>
        <v>0</v>
      </c>
      <c r="H107" s="296" t="s">
        <v>1</v>
      </c>
      <c r="I107" s="294" t="s">
        <v>1</v>
      </c>
      <c r="J107" s="295" cm="1">
        <f t="array" aca="1" ref="J107" ca="1">INDIRECT("'"&amp;$C107&amp;"'!"&amp;"$"&amp;$D107&amp;$J$1&amp;"")</f>
        <v>6.6</v>
      </c>
      <c r="K107" s="296"/>
      <c r="L107" s="296">
        <v>0.99</v>
      </c>
      <c r="M107" s="294">
        <v>0.82</v>
      </c>
      <c r="N107" s="295" cm="1">
        <f t="array" aca="1" ref="N107" ca="1">INDIRECT("'"&amp;$C107&amp;"'!"&amp;"$"&amp;$D107&amp;$N$1&amp;"")</f>
        <v>6.6</v>
      </c>
      <c r="O107" s="296"/>
      <c r="P107" s="296">
        <v>0.99</v>
      </c>
      <c r="Q107" s="294">
        <v>0.81</v>
      </c>
      <c r="R107" s="295" cm="1">
        <f t="array" aca="1" ref="R107" ca="1">INDIRECT("'"&amp;$C107&amp;"'!"&amp;"$"&amp;$D107&amp;$R$1&amp;"")</f>
        <v>6.6</v>
      </c>
      <c r="S107" s="296"/>
      <c r="T107" s="296">
        <v>0.95</v>
      </c>
      <c r="U107" s="294">
        <v>0.28999999999999998</v>
      </c>
      <c r="V107" s="295" cm="1">
        <f t="array" aca="1" ref="V107" ca="1">INDIRECT("'"&amp;$C107&amp;"'!"&amp;"$"&amp;$D107&amp;$V$1&amp;"")</f>
        <v>0</v>
      </c>
      <c r="W107" s="296" t="s">
        <v>1</v>
      </c>
      <c r="X107" s="296" t="s">
        <v>1</v>
      </c>
      <c r="Y107" s="297" t="s">
        <v>1</v>
      </c>
      <c r="Z107" s="293">
        <v>0</v>
      </c>
      <c r="AA107" s="296" t="s">
        <v>1</v>
      </c>
      <c r="AB107" s="296" t="s">
        <v>1</v>
      </c>
      <c r="AC107" s="294" t="s">
        <v>1</v>
      </c>
      <c r="AD107" s="295" cm="1">
        <f t="array" aca="1" ref="AD107" ca="1">INDIRECT("'"&amp;$C107&amp;"'!"&amp;"$"&amp;$D107&amp;$AD$1&amp;"")</f>
        <v>0</v>
      </c>
      <c r="AE107" s="296" t="s">
        <v>1</v>
      </c>
      <c r="AF107" s="296" t="s">
        <v>1</v>
      </c>
      <c r="AG107" s="294" t="s">
        <v>1</v>
      </c>
      <c r="AH107" s="293" cm="1">
        <f t="array" aca="1" ref="AH107" ca="1">INDIRECT("'"&amp;$C107&amp;"'!"&amp;"$"&amp;$D107&amp;$AH$1&amp;"")</f>
        <v>0</v>
      </c>
      <c r="AI107" s="296" t="s">
        <v>1</v>
      </c>
      <c r="AJ107" s="296" t="s">
        <v>1</v>
      </c>
      <c r="AK107" s="297" t="s">
        <v>1</v>
      </c>
      <c r="AL107" s="293">
        <v>11.8</v>
      </c>
      <c r="AM107" s="297">
        <v>70.8</v>
      </c>
      <c r="AN107" s="293" t="str" cm="1">
        <f t="array" aca="1" ref="AN107" ca="1">INDIRECT("'"&amp;$C107&amp;"'!"&amp;"$"&amp;$D107&amp;$AL$1&amp;"")</f>
        <v>CMS</v>
      </c>
      <c r="AO107" s="296" t="s">
        <v>1</v>
      </c>
      <c r="AP107" s="294" t="s">
        <v>1</v>
      </c>
      <c r="AQ107" s="295" cm="1">
        <f t="array" aca="1" ref="AQ107" ca="1">INDIRECT("'"&amp;$C107&amp;"'!"&amp;"$"&amp;$D107&amp;$AQ$1&amp;"")</f>
        <v>4.2</v>
      </c>
      <c r="AR107" s="296">
        <v>0.99</v>
      </c>
      <c r="AS107" s="294">
        <v>0.33</v>
      </c>
      <c r="AT107" s="296" t="str" cm="1">
        <f t="array" aca="1" ref="AT107" ca="1">INDIRECT("'"&amp;$C107&amp;"'!"&amp;"$"&amp;$D107&amp;$AT$1&amp;"")</f>
        <v>CMS</v>
      </c>
      <c r="AU107" s="295" t="s">
        <v>1</v>
      </c>
      <c r="AV107" s="296" t="s">
        <v>1</v>
      </c>
      <c r="AW107" s="294" t="s">
        <v>1</v>
      </c>
      <c r="AX107" s="298">
        <v>14.17</v>
      </c>
      <c r="AY107" s="297">
        <v>71.760000000000005</v>
      </c>
      <c r="AZ107" s="298" cm="1">
        <f t="array" aca="1" ref="AZ107" ca="1">INDIRECT("'"&amp;$C107&amp;"'!"&amp;"$"&amp;$D107&amp;$AZ$1&amp;"")</f>
        <v>14.32</v>
      </c>
      <c r="BA107" s="296">
        <v>0.99</v>
      </c>
      <c r="BB107" s="294">
        <v>2.4</v>
      </c>
      <c r="BC107" s="299">
        <v>69.099999999999994</v>
      </c>
      <c r="BD107" s="293" cm="1">
        <f t="array" aca="1" ref="BD107" ca="1">INDIRECT("'"&amp;$C107&amp;"'!"&amp;"$"&amp;$D107&amp;$BC$1&amp;"")</f>
        <v>0</v>
      </c>
      <c r="BE107" s="295" t="s">
        <v>1</v>
      </c>
      <c r="BF107" s="294" t="s">
        <v>1</v>
      </c>
      <c r="BG107" s="298" cm="1">
        <f t="array" aca="1" ref="BG107" ca="1">INDIRECT("'"&amp;$C107&amp;"'!"&amp;"$"&amp;$D107&amp;$BG$1&amp;"")</f>
        <v>0.92</v>
      </c>
      <c r="BH107" s="296"/>
      <c r="BI107" s="296">
        <v>0.99</v>
      </c>
      <c r="BJ107" s="294">
        <v>0.12</v>
      </c>
      <c r="BK107" s="298" cm="1">
        <f t="array" aca="1" ref="BK107" ca="1">INDIRECT("'"&amp;$C107&amp;"'!"&amp;"$"&amp;$D107&amp;$BK$1&amp;"")</f>
        <v>0.75</v>
      </c>
      <c r="BL107" s="296"/>
      <c r="BM107" s="296">
        <v>0.95</v>
      </c>
      <c r="BN107" s="294">
        <v>0.22</v>
      </c>
      <c r="BO107" s="299" cm="1">
        <f t="array" aca="1" ref="BO107" ca="1">INDIRECT("'"&amp;$C107&amp;"'!"&amp;"$"&amp;$D107&amp;74&amp;"")</f>
        <v>0</v>
      </c>
      <c r="BP107" s="296"/>
      <c r="BQ107" s="296" t="s">
        <v>1</v>
      </c>
      <c r="BR107" s="294" t="s">
        <v>1</v>
      </c>
    </row>
    <row r="108" spans="1:70">
      <c r="A108" s="361">
        <v>45752</v>
      </c>
      <c r="B108" s="358">
        <v>0.125</v>
      </c>
      <c r="C108" s="313">
        <f t="shared" si="3"/>
        <v>5</v>
      </c>
      <c r="D108" s="314" t="s">
        <v>130</v>
      </c>
      <c r="E108" s="286">
        <v>14.2</v>
      </c>
      <c r="F108" s="287">
        <v>70.290000000000006</v>
      </c>
      <c r="G108" s="288" cm="1">
        <f t="array" aca="1" ref="G108" ca="1">INDIRECT("'"&amp;$C108&amp;"'!"&amp;"$"&amp;$D108&amp;$E$1&amp;"")</f>
        <v>0</v>
      </c>
      <c r="H108" s="289" t="s">
        <v>1</v>
      </c>
      <c r="I108" s="287" t="s">
        <v>1</v>
      </c>
      <c r="J108" s="288" cm="1">
        <f t="array" aca="1" ref="J108" ca="1">INDIRECT("'"&amp;$C108&amp;"'!"&amp;"$"&amp;$D108&amp;$J$1&amp;"")</f>
        <v>6.5</v>
      </c>
      <c r="K108" s="289"/>
      <c r="L108" s="289">
        <v>0.99</v>
      </c>
      <c r="M108" s="287">
        <v>0.71</v>
      </c>
      <c r="N108" s="288" cm="1">
        <f t="array" aca="1" ref="N108" ca="1">INDIRECT("'"&amp;$C108&amp;"'!"&amp;"$"&amp;$D108&amp;$N$1&amp;"")</f>
        <v>6.6</v>
      </c>
      <c r="O108" s="289"/>
      <c r="P108" s="289">
        <v>0.95</v>
      </c>
      <c r="Q108" s="287">
        <v>2.8</v>
      </c>
      <c r="R108" s="288" cm="1">
        <f t="array" aca="1" ref="R108" ca="1">INDIRECT("'"&amp;$C108&amp;"'!"&amp;"$"&amp;$D108&amp;$R$1&amp;"")</f>
        <v>6.6</v>
      </c>
      <c r="S108" s="289"/>
      <c r="T108" s="289">
        <v>0.95</v>
      </c>
      <c r="U108" s="287">
        <v>2.7</v>
      </c>
      <c r="V108" s="288" cm="1">
        <f t="array" aca="1" ref="V108" ca="1">INDIRECT("'"&amp;$C108&amp;"'!"&amp;"$"&amp;$D108&amp;$V$1&amp;"")</f>
        <v>0</v>
      </c>
      <c r="W108" s="289" t="s">
        <v>1</v>
      </c>
      <c r="X108" s="289" t="s">
        <v>1</v>
      </c>
      <c r="Y108" s="290" t="s">
        <v>1</v>
      </c>
      <c r="Z108" s="286" cm="1">
        <f t="array" aca="1" ref="Z108" ca="1">INDIRECT("'"&amp;$C108&amp;"'!"&amp;"$"&amp;$D108&amp;$Z$1&amp;"")</f>
        <v>0</v>
      </c>
      <c r="AA108" s="289" t="s">
        <v>1</v>
      </c>
      <c r="AB108" s="289" t="s">
        <v>1</v>
      </c>
      <c r="AC108" s="287" t="s">
        <v>1</v>
      </c>
      <c r="AD108" s="288" cm="1">
        <f t="array" aca="1" ref="AD108" ca="1">INDIRECT("'"&amp;$C108&amp;"'!"&amp;"$"&amp;$D108&amp;$AD$1&amp;"")</f>
        <v>0</v>
      </c>
      <c r="AE108" s="289" t="s">
        <v>1</v>
      </c>
      <c r="AF108" s="289" t="s">
        <v>1</v>
      </c>
      <c r="AG108" s="287" t="s">
        <v>1</v>
      </c>
      <c r="AH108" s="286" cm="1">
        <f t="array" aca="1" ref="AH108" ca="1">INDIRECT("'"&amp;$C108&amp;"'!"&amp;"$"&amp;$D108&amp;$AH$1&amp;"")</f>
        <v>0</v>
      </c>
      <c r="AI108" s="289" t="s">
        <v>1</v>
      </c>
      <c r="AJ108" s="289" t="s">
        <v>1</v>
      </c>
      <c r="AK108" s="287" t="s">
        <v>1</v>
      </c>
      <c r="AL108" s="286">
        <v>11.8</v>
      </c>
      <c r="AM108" s="290">
        <v>70.8</v>
      </c>
      <c r="AN108" s="286" t="str" cm="1">
        <f t="array" aca="1" ref="AN108" ca="1">INDIRECT("'"&amp;$C108&amp;"'!"&amp;"$"&amp;$D108&amp;$AL$1&amp;"")</f>
        <v>CMS</v>
      </c>
      <c r="AO108" s="289" t="s">
        <v>1</v>
      </c>
      <c r="AP108" s="287" t="s">
        <v>1</v>
      </c>
      <c r="AQ108" s="288" cm="1">
        <f t="array" aca="1" ref="AQ108" ca="1">INDIRECT("'"&amp;$C108&amp;"'!"&amp;"$"&amp;$D108&amp;$AQ$1&amp;"")</f>
        <v>4</v>
      </c>
      <c r="AR108" s="289">
        <v>0.99</v>
      </c>
      <c r="AS108" s="287">
        <v>0.32</v>
      </c>
      <c r="AT108" s="289" t="str" cm="1">
        <f t="array" aca="1" ref="AT108" ca="1">INDIRECT("'"&amp;$C108&amp;"'!"&amp;"$"&amp;$D108&amp;$AT$1&amp;"")</f>
        <v>CMS</v>
      </c>
      <c r="AU108" s="288" t="s">
        <v>1</v>
      </c>
      <c r="AV108" s="289" t="s">
        <v>1</v>
      </c>
      <c r="AW108" s="287" t="s">
        <v>1</v>
      </c>
      <c r="AX108" s="291">
        <v>14.16</v>
      </c>
      <c r="AY108" s="290">
        <v>71.75</v>
      </c>
      <c r="AZ108" s="291" cm="1">
        <f t="array" aca="1" ref="AZ108" ca="1">INDIRECT("'"&amp;$C108&amp;"'!"&amp;"$"&amp;$D108&amp;$AZ$1&amp;"")</f>
        <v>13.3</v>
      </c>
      <c r="BA108" s="289">
        <v>0.99</v>
      </c>
      <c r="BB108" s="287">
        <v>2.2000000000000002</v>
      </c>
      <c r="BC108" s="292">
        <v>69.2</v>
      </c>
      <c r="BD108" s="286" cm="1">
        <f t="array" aca="1" ref="BD108" ca="1">INDIRECT("'"&amp;$C108&amp;"'!"&amp;"$"&amp;$D108&amp;$BC$1&amp;"")</f>
        <v>0</v>
      </c>
      <c r="BE108" s="288" t="s">
        <v>1</v>
      </c>
      <c r="BF108" s="287" t="s">
        <v>1</v>
      </c>
      <c r="BG108" s="291" cm="1">
        <f t="array" aca="1" ref="BG108" ca="1">INDIRECT("'"&amp;$C108&amp;"'!"&amp;"$"&amp;$D108&amp;$BG$1&amp;"")</f>
        <v>0.89</v>
      </c>
      <c r="BH108" s="289"/>
      <c r="BI108" s="289">
        <v>0.99</v>
      </c>
      <c r="BJ108" s="287">
        <v>0.12</v>
      </c>
      <c r="BK108" s="291" cm="1">
        <f t="array" aca="1" ref="BK108" ca="1">INDIRECT("'"&amp;$C108&amp;"'!"&amp;"$"&amp;$D108&amp;$BK$1&amp;"")</f>
        <v>0.71</v>
      </c>
      <c r="BL108" s="289"/>
      <c r="BM108" s="289">
        <v>0.96</v>
      </c>
      <c r="BN108" s="287">
        <v>0.21</v>
      </c>
      <c r="BO108" s="292" cm="1">
        <f t="array" aca="1" ref="BO108" ca="1">INDIRECT("'"&amp;$C108&amp;"'!"&amp;"$"&amp;$D108&amp;74&amp;"")</f>
        <v>0</v>
      </c>
      <c r="BP108" s="289"/>
      <c r="BQ108" s="289" t="s">
        <v>1</v>
      </c>
      <c r="BR108" s="287" t="s">
        <v>1</v>
      </c>
    </row>
    <row r="109" spans="1:70">
      <c r="A109" s="361">
        <v>45752</v>
      </c>
      <c r="B109" s="358">
        <v>0.16666666666666699</v>
      </c>
      <c r="C109" s="313">
        <f t="shared" si="3"/>
        <v>5</v>
      </c>
      <c r="D109" s="314" t="s">
        <v>131</v>
      </c>
      <c r="E109" s="293">
        <v>14.2</v>
      </c>
      <c r="F109" s="294">
        <v>70.489999999999995</v>
      </c>
      <c r="G109" s="295" cm="1">
        <f t="array" aca="1" ref="G109" ca="1">INDIRECT("'"&amp;$C109&amp;"'!"&amp;"$"&amp;$D109&amp;$E$1&amp;"")</f>
        <v>0</v>
      </c>
      <c r="H109" s="296" t="s">
        <v>1</v>
      </c>
      <c r="I109" s="294" t="s">
        <v>1</v>
      </c>
      <c r="J109" s="295" cm="1">
        <f t="array" aca="1" ref="J109" ca="1">INDIRECT("'"&amp;$C109&amp;"'!"&amp;"$"&amp;$D109&amp;$J$1&amp;"")</f>
        <v>6.5</v>
      </c>
      <c r="K109" s="296"/>
      <c r="L109" s="296">
        <v>0.99</v>
      </c>
      <c r="M109" s="294">
        <v>0.7</v>
      </c>
      <c r="N109" s="295" cm="1">
        <f t="array" aca="1" ref="N109" ca="1">INDIRECT("'"&amp;$C109&amp;"'!"&amp;"$"&amp;$D109&amp;$N$1&amp;"")</f>
        <v>6.5</v>
      </c>
      <c r="O109" s="296"/>
      <c r="P109" s="296">
        <v>0.99</v>
      </c>
      <c r="Q109" s="294">
        <v>0.71</v>
      </c>
      <c r="R109" s="295" cm="1">
        <f t="array" aca="1" ref="R109" ca="1">INDIRECT("'"&amp;$C109&amp;"'!"&amp;"$"&amp;$D109&amp;$R$1&amp;"")</f>
        <v>6.5</v>
      </c>
      <c r="S109" s="296"/>
      <c r="T109" s="296">
        <v>0.99</v>
      </c>
      <c r="U109" s="294">
        <v>0.69</v>
      </c>
      <c r="V109" s="295" cm="1">
        <f t="array" aca="1" ref="V109" ca="1">INDIRECT("'"&amp;$C109&amp;"'!"&amp;"$"&amp;$D109&amp;$V$1&amp;"")</f>
        <v>0</v>
      </c>
      <c r="W109" s="296" t="s">
        <v>1</v>
      </c>
      <c r="X109" s="296" t="s">
        <v>1</v>
      </c>
      <c r="Y109" s="297" t="s">
        <v>1</v>
      </c>
      <c r="Z109" s="293" cm="1">
        <f t="array" aca="1" ref="Z109" ca="1">INDIRECT("'"&amp;$C109&amp;"'!"&amp;"$"&amp;$D109&amp;$Z$1&amp;"")</f>
        <v>0</v>
      </c>
      <c r="AA109" s="296" t="s">
        <v>1</v>
      </c>
      <c r="AB109" s="296" t="s">
        <v>1</v>
      </c>
      <c r="AC109" s="294" t="s">
        <v>1</v>
      </c>
      <c r="AD109" s="295" cm="1">
        <f t="array" aca="1" ref="AD109" ca="1">INDIRECT("'"&amp;$C109&amp;"'!"&amp;"$"&amp;$D109&amp;$AD$1&amp;"")</f>
        <v>0</v>
      </c>
      <c r="AE109" s="296" t="s">
        <v>1</v>
      </c>
      <c r="AF109" s="296" t="s">
        <v>1</v>
      </c>
      <c r="AG109" s="294" t="s">
        <v>1</v>
      </c>
      <c r="AH109" s="293" cm="1">
        <f t="array" aca="1" ref="AH109" ca="1">INDIRECT("'"&amp;$C109&amp;"'!"&amp;"$"&amp;$D109&amp;$AH$1&amp;"")</f>
        <v>0</v>
      </c>
      <c r="AI109" s="296" t="s">
        <v>1</v>
      </c>
      <c r="AJ109" s="296" t="s">
        <v>1</v>
      </c>
      <c r="AK109" s="297" t="s">
        <v>1</v>
      </c>
      <c r="AL109" s="293">
        <v>11.8</v>
      </c>
      <c r="AM109" s="297">
        <v>70.900000000000006</v>
      </c>
      <c r="AN109" s="293" t="str" cm="1">
        <f t="array" aca="1" ref="AN109" ca="1">INDIRECT("'"&amp;$C109&amp;"'!"&amp;"$"&amp;$D109&amp;$AL$1&amp;"")</f>
        <v>CMS</v>
      </c>
      <c r="AO109" s="296" t="s">
        <v>1</v>
      </c>
      <c r="AP109" s="294" t="s">
        <v>1</v>
      </c>
      <c r="AQ109" s="295" cm="1">
        <f t="array" aca="1" ref="AQ109" ca="1">INDIRECT("'"&amp;$C109&amp;"'!"&amp;"$"&amp;$D109&amp;$AQ$1&amp;"")</f>
        <v>3.5</v>
      </c>
      <c r="AR109" s="296">
        <v>0.99</v>
      </c>
      <c r="AS109" s="294">
        <v>0.54</v>
      </c>
      <c r="AT109" s="296" t="str" cm="1">
        <f t="array" aca="1" ref="AT109" ca="1">INDIRECT("'"&amp;$C109&amp;"'!"&amp;"$"&amp;$D109&amp;$AT$1&amp;"")</f>
        <v>CMS</v>
      </c>
      <c r="AU109" s="295" t="s">
        <v>1</v>
      </c>
      <c r="AV109" s="296" t="s">
        <v>1</v>
      </c>
      <c r="AW109" s="294" t="s">
        <v>1</v>
      </c>
      <c r="AX109" s="298">
        <v>14.21</v>
      </c>
      <c r="AY109" s="297">
        <v>71.98</v>
      </c>
      <c r="AZ109" s="298" cm="1">
        <f t="array" aca="1" ref="AZ109" ca="1">INDIRECT("'"&amp;$C109&amp;"'!"&amp;"$"&amp;$D109&amp;$AZ$1&amp;"")</f>
        <v>12.83</v>
      </c>
      <c r="BA109" s="296">
        <v>0.99</v>
      </c>
      <c r="BB109" s="294">
        <v>2.2000000000000002</v>
      </c>
      <c r="BC109" s="299">
        <v>69.400000000000006</v>
      </c>
      <c r="BD109" s="293" cm="1">
        <f t="array" aca="1" ref="BD109" ca="1">INDIRECT("'"&amp;$C109&amp;"'!"&amp;"$"&amp;$D109&amp;$BC$1&amp;"")</f>
        <v>0</v>
      </c>
      <c r="BE109" s="295" t="s">
        <v>1</v>
      </c>
      <c r="BF109" s="294" t="s">
        <v>1</v>
      </c>
      <c r="BG109" s="298" cm="1">
        <f t="array" aca="1" ref="BG109" ca="1">INDIRECT("'"&amp;$C109&amp;"'!"&amp;"$"&amp;$D109&amp;$BG$1&amp;"")</f>
        <v>0.86</v>
      </c>
      <c r="BH109" s="296"/>
      <c r="BI109" s="296">
        <v>0.99</v>
      </c>
      <c r="BJ109" s="294">
        <v>0.12</v>
      </c>
      <c r="BK109" s="298" cm="1">
        <f t="array" aca="1" ref="BK109" ca="1">INDIRECT("'"&amp;$C109&amp;"'!"&amp;"$"&amp;$D109&amp;$BK$1&amp;"")</f>
        <v>0.71</v>
      </c>
      <c r="BL109" s="296"/>
      <c r="BM109" s="296">
        <v>0.96</v>
      </c>
      <c r="BN109" s="294">
        <v>0.21</v>
      </c>
      <c r="BO109" s="299" cm="1">
        <f t="array" aca="1" ref="BO109" ca="1">INDIRECT("'"&amp;$C109&amp;"'!"&amp;"$"&amp;$D109&amp;74&amp;"")</f>
        <v>0</v>
      </c>
      <c r="BP109" s="296"/>
      <c r="BQ109" s="296" t="s">
        <v>1</v>
      </c>
      <c r="BR109" s="294" t="s">
        <v>1</v>
      </c>
    </row>
    <row r="110" spans="1:70">
      <c r="A110" s="361">
        <v>45752</v>
      </c>
      <c r="B110" s="358">
        <v>0.20833333333333301</v>
      </c>
      <c r="C110" s="313">
        <f t="shared" si="3"/>
        <v>5</v>
      </c>
      <c r="D110" s="314" t="s">
        <v>132</v>
      </c>
      <c r="E110" s="286">
        <v>14.3</v>
      </c>
      <c r="F110" s="287">
        <v>70.59</v>
      </c>
      <c r="G110" s="288" cm="1">
        <f t="array" aca="1" ref="G110" ca="1">INDIRECT("'"&amp;$C110&amp;"'!"&amp;"$"&amp;$D110&amp;$E$1&amp;"")</f>
        <v>3.6</v>
      </c>
      <c r="H110" s="289">
        <v>0.95</v>
      </c>
      <c r="I110" s="287">
        <v>1.21</v>
      </c>
      <c r="J110" s="288" cm="1">
        <f t="array" aca="1" ref="J110" ca="1">INDIRECT("'"&amp;$C110&amp;"'!"&amp;"$"&amp;$D110&amp;$J$1&amp;"")</f>
        <v>3.6</v>
      </c>
      <c r="K110" s="289"/>
      <c r="L110" s="289">
        <v>0.95</v>
      </c>
      <c r="M110" s="287">
        <v>1.22</v>
      </c>
      <c r="N110" s="288" cm="1">
        <f t="array" aca="1" ref="N110" ca="1">INDIRECT("'"&amp;$C110&amp;"'!"&amp;"$"&amp;$D110&amp;$N$1&amp;"")</f>
        <v>6.3</v>
      </c>
      <c r="O110" s="289"/>
      <c r="P110" s="289">
        <v>0.98</v>
      </c>
      <c r="Q110" s="287">
        <v>1.36</v>
      </c>
      <c r="R110" s="288" cm="1">
        <f t="array" aca="1" ref="R110" ca="1">INDIRECT("'"&amp;$C110&amp;"'!"&amp;"$"&amp;$D110&amp;$R$1&amp;"")</f>
        <v>6.3</v>
      </c>
      <c r="S110" s="289"/>
      <c r="T110" s="289">
        <v>0.98</v>
      </c>
      <c r="U110" s="287">
        <v>1.34</v>
      </c>
      <c r="V110" s="288" cm="1">
        <f t="array" aca="1" ref="V110" ca="1">INDIRECT("'"&amp;$C110&amp;"'!"&amp;"$"&amp;$D110&amp;$V$1&amp;"")</f>
        <v>0</v>
      </c>
      <c r="W110" s="289" t="s">
        <v>1</v>
      </c>
      <c r="X110" s="289" t="s">
        <v>1</v>
      </c>
      <c r="Y110" s="290" t="s">
        <v>1</v>
      </c>
      <c r="Z110" s="286" cm="1">
        <f t="array" aca="1" ref="Z110" ca="1">INDIRECT("'"&amp;$C110&amp;"'!"&amp;"$"&amp;$D110&amp;$Z$1&amp;"")</f>
        <v>0</v>
      </c>
      <c r="AA110" s="289" t="s">
        <v>1</v>
      </c>
      <c r="AB110" s="289" t="s">
        <v>1</v>
      </c>
      <c r="AC110" s="287" t="s">
        <v>1</v>
      </c>
      <c r="AD110" s="288" cm="1">
        <f t="array" aca="1" ref="AD110" ca="1">INDIRECT("'"&amp;$C110&amp;"'!"&amp;"$"&amp;$D110&amp;$AD$1&amp;"")</f>
        <v>0</v>
      </c>
      <c r="AE110" s="289" t="s">
        <v>1</v>
      </c>
      <c r="AF110" s="289" t="s">
        <v>1</v>
      </c>
      <c r="AG110" s="287" t="s">
        <v>1</v>
      </c>
      <c r="AH110" s="286" cm="1">
        <f t="array" aca="1" ref="AH110" ca="1">INDIRECT("'"&amp;$C110&amp;"'!"&amp;"$"&amp;$D110&amp;$AH$1&amp;"")</f>
        <v>0</v>
      </c>
      <c r="AI110" s="289" t="s">
        <v>1</v>
      </c>
      <c r="AJ110" s="289" t="s">
        <v>1</v>
      </c>
      <c r="AK110" s="287" t="s">
        <v>1</v>
      </c>
      <c r="AL110" s="286">
        <v>11.8</v>
      </c>
      <c r="AM110" s="290">
        <v>70.900000000000006</v>
      </c>
      <c r="AN110" s="286" t="str" cm="1">
        <f t="array" aca="1" ref="AN110" ca="1">INDIRECT("'"&amp;$C110&amp;"'!"&amp;"$"&amp;$D110&amp;$AL$1&amp;"")</f>
        <v>CMS</v>
      </c>
      <c r="AO110" s="289" t="s">
        <v>1</v>
      </c>
      <c r="AP110" s="287" t="s">
        <v>1</v>
      </c>
      <c r="AQ110" s="288" cm="1">
        <f t="array" aca="1" ref="AQ110" ca="1">INDIRECT("'"&amp;$C110&amp;"'!"&amp;"$"&amp;$D110&amp;$AQ$1&amp;"")</f>
        <v>3.5</v>
      </c>
      <c r="AR110" s="289">
        <v>0.99</v>
      </c>
      <c r="AS110" s="287">
        <v>0.3</v>
      </c>
      <c r="AT110" s="289" t="str" cm="1">
        <f t="array" aca="1" ref="AT110" ca="1">INDIRECT("'"&amp;$C110&amp;"'!"&amp;"$"&amp;$D110&amp;$AT$1&amp;"")</f>
        <v>CMS</v>
      </c>
      <c r="AU110" s="288" t="s">
        <v>1</v>
      </c>
      <c r="AV110" s="289" t="s">
        <v>1</v>
      </c>
      <c r="AW110" s="287" t="s">
        <v>1</v>
      </c>
      <c r="AX110" s="291">
        <v>14.22</v>
      </c>
      <c r="AY110" s="290">
        <v>71.98</v>
      </c>
      <c r="AZ110" s="291" cm="1">
        <f t="array" aca="1" ref="AZ110" ca="1">INDIRECT("'"&amp;$C110&amp;"'!"&amp;"$"&amp;$D110&amp;$AZ$1&amp;"")</f>
        <v>13.29</v>
      </c>
      <c r="BA110" s="289">
        <v>0.99</v>
      </c>
      <c r="BB110" s="287">
        <v>2.2999999999999998</v>
      </c>
      <c r="BC110" s="292">
        <v>69.400000000000006</v>
      </c>
      <c r="BD110" s="286" cm="1">
        <f t="array" aca="1" ref="BD110" ca="1">INDIRECT("'"&amp;$C110&amp;"'!"&amp;"$"&amp;$D110&amp;$BC$1&amp;"")</f>
        <v>0</v>
      </c>
      <c r="BE110" s="288" t="s">
        <v>1</v>
      </c>
      <c r="BF110" s="287" t="s">
        <v>1</v>
      </c>
      <c r="BG110" s="291" cm="1">
        <f t="array" aca="1" ref="BG110" ca="1">INDIRECT("'"&amp;$C110&amp;"'!"&amp;"$"&amp;$D110&amp;$BG$1&amp;"")</f>
        <v>0.85</v>
      </c>
      <c r="BH110" s="289"/>
      <c r="BI110" s="289">
        <v>0.99</v>
      </c>
      <c r="BJ110" s="287">
        <v>0.1</v>
      </c>
      <c r="BK110" s="291" cm="1">
        <f t="array" aca="1" ref="BK110" ca="1">INDIRECT("'"&amp;$C110&amp;"'!"&amp;"$"&amp;$D110&amp;$BK$1&amp;"")</f>
        <v>0.72</v>
      </c>
      <c r="BL110" s="289"/>
      <c r="BM110" s="289">
        <v>0.96</v>
      </c>
      <c r="BN110" s="287">
        <v>0.21</v>
      </c>
      <c r="BO110" s="292" cm="1">
        <f t="array" aca="1" ref="BO110" ca="1">INDIRECT("'"&amp;$C110&amp;"'!"&amp;"$"&amp;$D110&amp;74&amp;"")</f>
        <v>0</v>
      </c>
      <c r="BP110" s="289"/>
      <c r="BQ110" s="289" t="s">
        <v>1</v>
      </c>
      <c r="BR110" s="287" t="s">
        <v>1</v>
      </c>
    </row>
    <row r="111" spans="1:70">
      <c r="A111" s="361">
        <v>45752</v>
      </c>
      <c r="B111" s="358">
        <v>0.25</v>
      </c>
      <c r="C111" s="313">
        <f t="shared" si="3"/>
        <v>5</v>
      </c>
      <c r="D111" s="314" t="s">
        <v>133</v>
      </c>
      <c r="E111" s="293">
        <v>14.3</v>
      </c>
      <c r="F111" s="294">
        <v>70.2</v>
      </c>
      <c r="G111" s="295" cm="1">
        <f t="array" aca="1" ref="G111" ca="1">INDIRECT("'"&amp;$C111&amp;"'!"&amp;"$"&amp;$D111&amp;$E$1&amp;"")</f>
        <v>6.7</v>
      </c>
      <c r="H111" s="296">
        <v>0.96</v>
      </c>
      <c r="I111" s="294">
        <v>2</v>
      </c>
      <c r="J111" s="295" cm="1">
        <f t="array" aca="1" ref="J111" ca="1">INDIRECT("'"&amp;$C111&amp;"'!"&amp;"$"&amp;$D111&amp;$J$1&amp;"")</f>
        <v>0</v>
      </c>
      <c r="K111" s="296"/>
      <c r="L111" s="296" t="s">
        <v>1</v>
      </c>
      <c r="M111" s="294" t="s">
        <v>1</v>
      </c>
      <c r="N111" s="295" cm="1">
        <f t="array" aca="1" ref="N111" ca="1">INDIRECT("'"&amp;$C111&amp;"'!"&amp;"$"&amp;$D111&amp;$N$1&amp;"")</f>
        <v>6.7</v>
      </c>
      <c r="O111" s="296"/>
      <c r="P111" s="296">
        <v>0.96</v>
      </c>
      <c r="Q111" s="294">
        <v>2.08</v>
      </c>
      <c r="R111" s="295" cm="1">
        <f t="array" aca="1" ref="R111" ca="1">INDIRECT("'"&amp;$C111&amp;"'!"&amp;"$"&amp;$D111&amp;$R$1&amp;"")</f>
        <v>6.7</v>
      </c>
      <c r="S111" s="296"/>
      <c r="T111" s="296">
        <v>0.96</v>
      </c>
      <c r="U111" s="294">
        <v>2.09</v>
      </c>
      <c r="V111" s="295" cm="1">
        <f t="array" aca="1" ref="V111" ca="1">INDIRECT("'"&amp;$C111&amp;"'!"&amp;"$"&amp;$D111&amp;$V$1&amp;"")</f>
        <v>0</v>
      </c>
      <c r="W111" s="296" t="s">
        <v>1</v>
      </c>
      <c r="X111" s="296" t="s">
        <v>1</v>
      </c>
      <c r="Y111" s="297" t="s">
        <v>1</v>
      </c>
      <c r="Z111" s="293" cm="1">
        <f t="array" aca="1" ref="Z111" ca="1">INDIRECT("'"&amp;$C111&amp;"'!"&amp;"$"&amp;$D111&amp;$Z$1&amp;"")</f>
        <v>0</v>
      </c>
      <c r="AA111" s="296" t="s">
        <v>1</v>
      </c>
      <c r="AB111" s="296" t="s">
        <v>1</v>
      </c>
      <c r="AC111" s="294" t="s">
        <v>1</v>
      </c>
      <c r="AD111" s="295" cm="1">
        <f t="array" aca="1" ref="AD111" ca="1">INDIRECT("'"&amp;$C111&amp;"'!"&amp;"$"&amp;$D111&amp;$AD$1&amp;"")</f>
        <v>0</v>
      </c>
      <c r="AE111" s="296" t="s">
        <v>1</v>
      </c>
      <c r="AF111" s="296" t="s">
        <v>1</v>
      </c>
      <c r="AG111" s="297" t="s">
        <v>1</v>
      </c>
      <c r="AH111" s="293" cm="1">
        <f t="array" aca="1" ref="AH111" ca="1">INDIRECT("'"&amp;$C111&amp;"'!"&amp;"$"&amp;$D111&amp;$AH$1&amp;"")</f>
        <v>0</v>
      </c>
      <c r="AI111" s="296" t="s">
        <v>1</v>
      </c>
      <c r="AJ111" s="296" t="s">
        <v>1</v>
      </c>
      <c r="AK111" s="297" t="s">
        <v>1</v>
      </c>
      <c r="AL111" s="293">
        <v>11.8</v>
      </c>
      <c r="AM111" s="297">
        <v>70.599999999999994</v>
      </c>
      <c r="AN111" s="293" t="str" cm="1">
        <f t="array" aca="1" ref="AN111" ca="1">INDIRECT("'"&amp;$C111&amp;"'!"&amp;"$"&amp;$D111&amp;$AL$1&amp;"")</f>
        <v>CMS</v>
      </c>
      <c r="AO111" s="296" t="s">
        <v>1</v>
      </c>
      <c r="AP111" s="294" t="s">
        <v>1</v>
      </c>
      <c r="AQ111" s="295" cm="1">
        <f t="array" aca="1" ref="AQ111" ca="1">INDIRECT("'"&amp;$C111&amp;"'!"&amp;"$"&amp;$D111&amp;$AQ$1&amp;"")</f>
        <v>4.2</v>
      </c>
      <c r="AR111" s="296">
        <v>0.99</v>
      </c>
      <c r="AS111" s="294">
        <v>0.52</v>
      </c>
      <c r="AT111" s="296" t="str" cm="1">
        <f t="array" aca="1" ref="AT111" ca="1">INDIRECT("'"&amp;$C111&amp;"'!"&amp;"$"&amp;$D111&amp;$AT$1&amp;"")</f>
        <v>CMS</v>
      </c>
      <c r="AU111" s="295" t="s">
        <v>1</v>
      </c>
      <c r="AV111" s="296" t="s">
        <v>1</v>
      </c>
      <c r="AW111" s="294" t="s">
        <v>1</v>
      </c>
      <c r="AX111" s="298">
        <v>14.51</v>
      </c>
      <c r="AY111" s="297">
        <v>71.650000000000006</v>
      </c>
      <c r="AZ111" s="298" cm="1">
        <f t="array" aca="1" ref="AZ111" ca="1">INDIRECT("'"&amp;$C111&amp;"'!"&amp;"$"&amp;$D111&amp;$AZ$1&amp;"")</f>
        <v>14.31</v>
      </c>
      <c r="BA111" s="296">
        <v>0.99</v>
      </c>
      <c r="BB111" s="294">
        <v>2.4</v>
      </c>
      <c r="BC111" s="299">
        <v>69.2</v>
      </c>
      <c r="BD111" s="293" cm="1">
        <f t="array" aca="1" ref="BD111" ca="1">INDIRECT("'"&amp;$C111&amp;"'!"&amp;"$"&amp;$D111&amp;$BC$1&amp;"")</f>
        <v>0</v>
      </c>
      <c r="BE111" s="295" t="s">
        <v>1</v>
      </c>
      <c r="BF111" s="294" t="s">
        <v>1</v>
      </c>
      <c r="BG111" s="298" cm="1">
        <f t="array" aca="1" ref="BG111" ca="1">INDIRECT("'"&amp;$C111&amp;"'!"&amp;"$"&amp;$D111&amp;$BG$1&amp;"")</f>
        <v>0.91</v>
      </c>
      <c r="BH111" s="296"/>
      <c r="BI111" s="296">
        <v>0.99</v>
      </c>
      <c r="BJ111" s="294">
        <v>0.1</v>
      </c>
      <c r="BK111" s="298" cm="1">
        <f t="array" aca="1" ref="BK111" ca="1">INDIRECT("'"&amp;$C111&amp;"'!"&amp;"$"&amp;$D111&amp;$BK$1&amp;"")</f>
        <v>0.73</v>
      </c>
      <c r="BL111" s="296"/>
      <c r="BM111" s="296">
        <v>0.95</v>
      </c>
      <c r="BN111" s="294">
        <v>0.21</v>
      </c>
      <c r="BO111" s="299" cm="1">
        <f t="array" aca="1" ref="BO111" ca="1">INDIRECT("'"&amp;$C111&amp;"'!"&amp;"$"&amp;$D111&amp;74&amp;"")</f>
        <v>0</v>
      </c>
      <c r="BP111" s="296"/>
      <c r="BQ111" s="296" t="s">
        <v>1</v>
      </c>
      <c r="BR111" s="294" t="s">
        <v>1</v>
      </c>
    </row>
    <row r="112" spans="1:70">
      <c r="A112" s="361">
        <v>45752</v>
      </c>
      <c r="B112" s="358">
        <v>0.29166666666666702</v>
      </c>
      <c r="C112" s="313">
        <f t="shared" si="3"/>
        <v>5</v>
      </c>
      <c r="D112" s="314" t="s">
        <v>134</v>
      </c>
      <c r="E112" s="286">
        <v>14.1</v>
      </c>
      <c r="F112" s="287">
        <v>69.95</v>
      </c>
      <c r="G112" s="288" cm="1">
        <f t="array" aca="1" ref="G112" ca="1">INDIRECT("'"&amp;$C112&amp;"'!"&amp;"$"&amp;$D112&amp;$E$1&amp;"")</f>
        <v>6.7</v>
      </c>
      <c r="H112" s="289">
        <v>0.98</v>
      </c>
      <c r="I112" s="287">
        <v>1.3</v>
      </c>
      <c r="J112" s="288" cm="1">
        <f t="array" aca="1" ref="J112" ca="1">INDIRECT("'"&amp;$C112&amp;"'!"&amp;"$"&amp;$D112&amp;$J$1&amp;"")</f>
        <v>0</v>
      </c>
      <c r="K112" s="289"/>
      <c r="L112" s="289" t="s">
        <v>1</v>
      </c>
      <c r="M112" s="287" t="s">
        <v>1</v>
      </c>
      <c r="N112" s="288" cm="1">
        <f t="array" aca="1" ref="N112" ca="1">INDIRECT("'"&amp;$C112&amp;"'!"&amp;"$"&amp;$D112&amp;$N$1&amp;"")</f>
        <v>6.7</v>
      </c>
      <c r="O112" s="289"/>
      <c r="P112" s="289">
        <v>0.98</v>
      </c>
      <c r="Q112" s="287">
        <v>1.33</v>
      </c>
      <c r="R112" s="288" cm="1">
        <f t="array" aca="1" ref="R112" ca="1">INDIRECT("'"&amp;$C112&amp;"'!"&amp;"$"&amp;$D112&amp;$R$1&amp;"")</f>
        <v>6.8</v>
      </c>
      <c r="S112" s="289"/>
      <c r="T112" s="289">
        <v>0.94</v>
      </c>
      <c r="U112" s="287">
        <v>2.41</v>
      </c>
      <c r="V112" s="288" cm="1">
        <f t="array" aca="1" ref="V112" ca="1">INDIRECT("'"&amp;$C112&amp;"'!"&amp;"$"&amp;$D112&amp;$V$1&amp;"")</f>
        <v>0</v>
      </c>
      <c r="W112" s="289" t="s">
        <v>1</v>
      </c>
      <c r="X112" s="289" t="s">
        <v>1</v>
      </c>
      <c r="Y112" s="290" t="s">
        <v>1</v>
      </c>
      <c r="Z112" s="286" cm="1">
        <f t="array" aca="1" ref="Z112" ca="1">INDIRECT("'"&amp;$C112&amp;"'!"&amp;"$"&amp;$D112&amp;$Z$1&amp;"")</f>
        <v>0</v>
      </c>
      <c r="AA112" s="289" t="s">
        <v>1</v>
      </c>
      <c r="AB112" s="289" t="s">
        <v>1</v>
      </c>
      <c r="AC112" s="287" t="s">
        <v>1</v>
      </c>
      <c r="AD112" s="288" cm="1">
        <f t="array" aca="1" ref="AD112" ca="1">INDIRECT("'"&amp;$C112&amp;"'!"&amp;"$"&amp;$D112&amp;$AD$1&amp;"")</f>
        <v>0</v>
      </c>
      <c r="AE112" s="289" t="s">
        <v>1</v>
      </c>
      <c r="AF112" s="289" t="s">
        <v>1</v>
      </c>
      <c r="AG112" s="290" t="s">
        <v>1</v>
      </c>
      <c r="AH112" s="286" cm="1">
        <f t="array" aca="1" ref="AH112" ca="1">INDIRECT("'"&amp;$C112&amp;"'!"&amp;"$"&amp;$D112&amp;$AH$1&amp;"")</f>
        <v>0</v>
      </c>
      <c r="AI112" s="289" t="s">
        <v>1</v>
      </c>
      <c r="AJ112" s="289" t="s">
        <v>1</v>
      </c>
      <c r="AK112" s="287" t="s">
        <v>1</v>
      </c>
      <c r="AL112" s="286">
        <v>11.8</v>
      </c>
      <c r="AM112" s="290">
        <v>70.3</v>
      </c>
      <c r="AN112" s="286" t="str" cm="1">
        <f t="array" aca="1" ref="AN112" ca="1">INDIRECT("'"&amp;$C112&amp;"'!"&amp;"$"&amp;$D112&amp;$AL$1&amp;"")</f>
        <v>CMS</v>
      </c>
      <c r="AO112" s="289" t="s">
        <v>1</v>
      </c>
      <c r="AP112" s="287" t="s">
        <v>1</v>
      </c>
      <c r="AQ112" s="288" cm="1">
        <f t="array" aca="1" ref="AQ112" ca="1">INDIRECT("'"&amp;$C112&amp;"'!"&amp;"$"&amp;$D112&amp;$AQ$1&amp;"")</f>
        <v>3</v>
      </c>
      <c r="AR112" s="289">
        <v>0.96</v>
      </c>
      <c r="AS112" s="287">
        <v>0.95</v>
      </c>
      <c r="AT112" s="289" t="str" cm="1">
        <f t="array" aca="1" ref="AT112" ca="1">INDIRECT("'"&amp;$C112&amp;"'!"&amp;"$"&amp;$D112&amp;$AT$1&amp;"")</f>
        <v>CMS</v>
      </c>
      <c r="AU112" s="288" t="s">
        <v>1</v>
      </c>
      <c r="AV112" s="289" t="s">
        <v>1</v>
      </c>
      <c r="AW112" s="287" t="s">
        <v>1</v>
      </c>
      <c r="AX112" s="291">
        <v>14.15</v>
      </c>
      <c r="AY112" s="290">
        <v>71.510000000000005</v>
      </c>
      <c r="AZ112" s="291" cm="1">
        <f t="array" aca="1" ref="AZ112" ca="1">INDIRECT("'"&amp;$C112&amp;"'!"&amp;"$"&amp;$D112&amp;$AZ$1&amp;"")</f>
        <v>14.28</v>
      </c>
      <c r="BA112" s="289">
        <v>0.99</v>
      </c>
      <c r="BB112" s="287">
        <v>2.4</v>
      </c>
      <c r="BC112" s="292">
        <v>69</v>
      </c>
      <c r="BD112" s="286" cm="1">
        <f t="array" aca="1" ref="BD112" ca="1">INDIRECT("'"&amp;$C112&amp;"'!"&amp;"$"&amp;$D112&amp;$BC$1&amp;"")</f>
        <v>0</v>
      </c>
      <c r="BE112" s="288" t="s">
        <v>1</v>
      </c>
      <c r="BF112" s="287" t="s">
        <v>1</v>
      </c>
      <c r="BG112" s="291" cm="1">
        <f t="array" aca="1" ref="BG112" ca="1">INDIRECT("'"&amp;$C112&amp;"'!"&amp;"$"&amp;$D112&amp;$BG$1&amp;"")</f>
        <v>0.99</v>
      </c>
      <c r="BH112" s="289"/>
      <c r="BI112" s="289">
        <v>0.99</v>
      </c>
      <c r="BJ112" s="287">
        <v>0.13</v>
      </c>
      <c r="BK112" s="292" cm="1">
        <f t="array" aca="1" ref="BK112" ca="1">INDIRECT("'"&amp;$C112&amp;"'!"&amp;"$"&amp;$D112&amp;$BK$1&amp;"")</f>
        <v>0.71</v>
      </c>
      <c r="BL112" s="289"/>
      <c r="BM112" s="289">
        <v>0.95</v>
      </c>
      <c r="BN112" s="287">
        <v>0.22</v>
      </c>
      <c r="BO112" s="292" cm="1">
        <f t="array" aca="1" ref="BO112" ca="1">INDIRECT("'"&amp;$C112&amp;"'!"&amp;"$"&amp;$D112&amp;74&amp;"")</f>
        <v>0</v>
      </c>
      <c r="BP112" s="289"/>
      <c r="BQ112" s="289" t="s">
        <v>1</v>
      </c>
      <c r="BR112" s="287" t="s">
        <v>1</v>
      </c>
    </row>
    <row r="113" spans="1:70">
      <c r="A113" s="361">
        <v>45752</v>
      </c>
      <c r="B113" s="358">
        <v>0.33333333333333398</v>
      </c>
      <c r="C113" s="313">
        <f t="shared" si="3"/>
        <v>5</v>
      </c>
      <c r="D113" s="314" t="s">
        <v>135</v>
      </c>
      <c r="E113" s="293">
        <v>14.3</v>
      </c>
      <c r="F113" s="294">
        <v>70.06</v>
      </c>
      <c r="G113" s="295" cm="1">
        <f t="array" aca="1" ref="G113" ca="1">INDIRECT("'"&amp;$C113&amp;"'!"&amp;"$"&amp;$D113&amp;$E$1&amp;"")</f>
        <v>6.6</v>
      </c>
      <c r="H113" s="296">
        <v>0.97</v>
      </c>
      <c r="I113" s="294">
        <v>1.76</v>
      </c>
      <c r="J113" s="295" cm="1">
        <f t="array" aca="1" ref="J113" ca="1">INDIRECT("'"&amp;$C113&amp;"'!"&amp;"$"&amp;$D113&amp;$J$1&amp;"")</f>
        <v>0</v>
      </c>
      <c r="K113" s="296"/>
      <c r="L113" s="296" t="s">
        <v>1</v>
      </c>
      <c r="M113" s="294" t="s">
        <v>1</v>
      </c>
      <c r="N113" s="295" cm="1">
        <f t="array" aca="1" ref="N113" ca="1">INDIRECT("'"&amp;$C113&amp;"'!"&amp;"$"&amp;$D113&amp;$N$1&amp;"")</f>
        <v>6.6</v>
      </c>
      <c r="O113" s="296"/>
      <c r="P113" s="296">
        <v>0.97</v>
      </c>
      <c r="Q113" s="294">
        <v>1.76</v>
      </c>
      <c r="R113" s="295" cm="1">
        <f t="array" aca="1" ref="R113" ca="1">INDIRECT("'"&amp;$C113&amp;"'!"&amp;"$"&amp;$D113&amp;$R$1&amp;"")</f>
        <v>6.6</v>
      </c>
      <c r="S113" s="296"/>
      <c r="T113" s="296">
        <v>0.97</v>
      </c>
      <c r="U113" s="294">
        <v>1.76</v>
      </c>
      <c r="V113" s="295" cm="1">
        <f t="array" aca="1" ref="V113" ca="1">INDIRECT("'"&amp;$C113&amp;"'!"&amp;"$"&amp;$D113&amp;$V$1&amp;"")</f>
        <v>0</v>
      </c>
      <c r="W113" s="296" t="s">
        <v>1</v>
      </c>
      <c r="X113" s="296" t="s">
        <v>1</v>
      </c>
      <c r="Y113" s="297" t="s">
        <v>1</v>
      </c>
      <c r="Z113" s="293" cm="1">
        <f t="array" aca="1" ref="Z113" ca="1">INDIRECT("'"&amp;$C113&amp;"'!"&amp;"$"&amp;$D113&amp;$Z$1&amp;"")</f>
        <v>0</v>
      </c>
      <c r="AA113" s="296" t="s">
        <v>1</v>
      </c>
      <c r="AB113" s="296" t="s">
        <v>1</v>
      </c>
      <c r="AC113" s="294" t="s">
        <v>1</v>
      </c>
      <c r="AD113" s="295" cm="1">
        <f t="array" aca="1" ref="AD113" ca="1">INDIRECT("'"&amp;$C113&amp;"'!"&amp;"$"&amp;$D113&amp;$AD$1&amp;"")</f>
        <v>1.4</v>
      </c>
      <c r="AE113" s="296">
        <f>3.8*3.56</f>
        <v>13.527999999999999</v>
      </c>
      <c r="AF113" s="296">
        <v>0.99</v>
      </c>
      <c r="AG113" s="297">
        <v>0.08</v>
      </c>
      <c r="AH113" s="293" cm="1">
        <f t="array" aca="1" ref="AH113" ca="1">INDIRECT("'"&amp;$C113&amp;"'!"&amp;"$"&amp;$D113&amp;$AH$1&amp;"")</f>
        <v>0</v>
      </c>
      <c r="AI113" s="296" t="s">
        <v>1</v>
      </c>
      <c r="AJ113" s="296" t="s">
        <v>1</v>
      </c>
      <c r="AK113" s="294" t="s">
        <v>1</v>
      </c>
      <c r="AL113" s="293">
        <v>11.8</v>
      </c>
      <c r="AM113" s="297">
        <v>70.3</v>
      </c>
      <c r="AN113" s="293" t="str" cm="1">
        <f t="array" aca="1" ref="AN113" ca="1">INDIRECT("'"&amp;$C113&amp;"'!"&amp;"$"&amp;$D113&amp;$AL$1&amp;"")</f>
        <v>CMS</v>
      </c>
      <c r="AO113" s="296" t="s">
        <v>1</v>
      </c>
      <c r="AP113" s="294" t="s">
        <v>1</v>
      </c>
      <c r="AQ113" s="295" cm="1">
        <f t="array" aca="1" ref="AQ113" ca="1">INDIRECT("'"&amp;$C113&amp;"'!"&amp;"$"&amp;$D113&amp;$AQ$1&amp;"")</f>
        <v>4</v>
      </c>
      <c r="AR113" s="296">
        <v>0.96</v>
      </c>
      <c r="AS113" s="294">
        <v>0.95</v>
      </c>
      <c r="AT113" s="296" t="str" cm="1">
        <f t="array" aca="1" ref="AT113" ca="1">INDIRECT("'"&amp;$C113&amp;"'!"&amp;"$"&amp;$D113&amp;$AT$1&amp;"")</f>
        <v>CMS</v>
      </c>
      <c r="AU113" s="295" t="s">
        <v>1</v>
      </c>
      <c r="AV113" s="296" t="s">
        <v>1</v>
      </c>
      <c r="AW113" s="294" t="s">
        <v>1</v>
      </c>
      <c r="AX113" s="298">
        <v>14.106</v>
      </c>
      <c r="AY113" s="297">
        <v>71.12</v>
      </c>
      <c r="AZ113" s="298" cm="1">
        <f t="array" aca="1" ref="AZ113" ca="1">INDIRECT("'"&amp;$C113&amp;"'!"&amp;"$"&amp;$D113&amp;$AZ$1&amp;"")</f>
        <v>14.31</v>
      </c>
      <c r="BA113" s="296">
        <v>0.99</v>
      </c>
      <c r="BB113" s="294">
        <v>2.4</v>
      </c>
      <c r="BC113" s="299">
        <v>68.900000000000006</v>
      </c>
      <c r="BD113" s="293" cm="1">
        <f t="array" aca="1" ref="BD113" ca="1">INDIRECT("'"&amp;$C113&amp;"'!"&amp;"$"&amp;$D113&amp;$BC$1&amp;"")</f>
        <v>1.4</v>
      </c>
      <c r="BE113" s="295">
        <v>0.95</v>
      </c>
      <c r="BF113" s="294">
        <v>0.4</v>
      </c>
      <c r="BG113" s="298" cm="1">
        <f t="array" aca="1" ref="BG113" ca="1">INDIRECT("'"&amp;$C113&amp;"'!"&amp;"$"&amp;$D113&amp;$BG$1&amp;"")</f>
        <v>0.87</v>
      </c>
      <c r="BH113" s="296"/>
      <c r="BI113" s="296">
        <v>0.99</v>
      </c>
      <c r="BJ113" s="294">
        <v>0.12</v>
      </c>
      <c r="BK113" s="299" cm="1">
        <f t="array" aca="1" ref="BK113" ca="1">INDIRECT("'"&amp;$C113&amp;"'!"&amp;"$"&amp;$D113&amp;$BK$1&amp;"")</f>
        <v>0.73</v>
      </c>
      <c r="BL113" s="296"/>
      <c r="BM113" s="296">
        <v>0.95</v>
      </c>
      <c r="BN113" s="294">
        <v>0.23</v>
      </c>
      <c r="BO113" s="299" cm="1">
        <f t="array" aca="1" ref="BO113" ca="1">INDIRECT("'"&amp;$C113&amp;"'!"&amp;"$"&amp;$D113&amp;74&amp;"")</f>
        <v>0</v>
      </c>
      <c r="BP113" s="296"/>
      <c r="BQ113" s="296" t="s">
        <v>1</v>
      </c>
      <c r="BR113" s="294" t="s">
        <v>1</v>
      </c>
    </row>
    <row r="114" spans="1:70">
      <c r="A114" s="361">
        <v>45752</v>
      </c>
      <c r="B114" s="358">
        <v>0.375</v>
      </c>
      <c r="C114" s="313">
        <f t="shared" si="3"/>
        <v>5</v>
      </c>
      <c r="D114" s="314" t="s">
        <v>136</v>
      </c>
      <c r="E114" s="286">
        <v>14.2</v>
      </c>
      <c r="F114" s="287">
        <v>69.19</v>
      </c>
      <c r="G114" s="288" cm="1">
        <f t="array" aca="1" ref="G114" ca="1">INDIRECT("'"&amp;$C114&amp;"'!"&amp;"$"&amp;$D114&amp;$E$1&amp;"")</f>
        <v>6.8</v>
      </c>
      <c r="H114" s="289">
        <v>0.97</v>
      </c>
      <c r="I114" s="287">
        <v>1.85</v>
      </c>
      <c r="J114" s="288" cm="1">
        <f t="array" aca="1" ref="J114" ca="1">INDIRECT("'"&amp;$C114&amp;"'!"&amp;"$"&amp;$D114&amp;$J$1&amp;"")</f>
        <v>0</v>
      </c>
      <c r="K114" s="289"/>
      <c r="L114" s="289" t="s">
        <v>1</v>
      </c>
      <c r="M114" s="287" t="s">
        <v>1</v>
      </c>
      <c r="N114" s="288" cm="1">
        <f t="array" aca="1" ref="N114" ca="1">INDIRECT("'"&amp;$C114&amp;"'!"&amp;"$"&amp;$D114&amp;$N$1&amp;"")</f>
        <v>6.8</v>
      </c>
      <c r="O114" s="289"/>
      <c r="P114" s="289">
        <v>0.97</v>
      </c>
      <c r="Q114" s="287">
        <v>1.85</v>
      </c>
      <c r="R114" s="288" cm="1">
        <f t="array" aca="1" ref="R114" ca="1">INDIRECT("'"&amp;$C114&amp;"'!"&amp;"$"&amp;$D114&amp;$R$1&amp;"")</f>
        <v>6.8</v>
      </c>
      <c r="S114" s="289"/>
      <c r="T114" s="289">
        <v>0.97</v>
      </c>
      <c r="U114" s="287">
        <v>1.85</v>
      </c>
      <c r="V114" s="288" cm="1">
        <f t="array" aca="1" ref="V114" ca="1">INDIRECT("'"&amp;$C114&amp;"'!"&amp;"$"&amp;$D114&amp;$V$1&amp;"")</f>
        <v>1.6</v>
      </c>
      <c r="W114" s="289">
        <f>3.8*3.58</f>
        <v>13.603999999999999</v>
      </c>
      <c r="X114" s="289">
        <v>0.91</v>
      </c>
      <c r="Y114" s="290">
        <v>0.76</v>
      </c>
      <c r="Z114" s="286" cm="1">
        <f t="array" aca="1" ref="Z114" ca="1">INDIRECT("'"&amp;$C114&amp;"'!"&amp;"$"&amp;$D114&amp;$Z$1&amp;"")</f>
        <v>0</v>
      </c>
      <c r="AA114" s="289" t="s">
        <v>1</v>
      </c>
      <c r="AB114" s="289" t="s">
        <v>1</v>
      </c>
      <c r="AC114" s="287" t="s">
        <v>1</v>
      </c>
      <c r="AD114" s="288" cm="1">
        <f t="array" aca="1" ref="AD114" ca="1">INDIRECT("'"&amp;$C114&amp;"'!"&amp;"$"&amp;$D114&amp;$AD$1&amp;"")</f>
        <v>3.8</v>
      </c>
      <c r="AE114" s="289">
        <v>13.603999999999999</v>
      </c>
      <c r="AF114" s="289">
        <v>0.95</v>
      </c>
      <c r="AG114" s="290">
        <v>1.25</v>
      </c>
      <c r="AH114" s="286" cm="1">
        <f t="array" aca="1" ref="AH114" ca="1">INDIRECT("'"&amp;$C114&amp;"'!"&amp;"$"&amp;$D114&amp;$AH$1&amp;"")</f>
        <v>0</v>
      </c>
      <c r="AI114" s="289" t="s">
        <v>1</v>
      </c>
      <c r="AJ114" s="289" t="s">
        <v>1</v>
      </c>
      <c r="AK114" s="287" t="s">
        <v>1</v>
      </c>
      <c r="AL114" s="286">
        <v>11.8</v>
      </c>
      <c r="AM114" s="290">
        <v>70.2</v>
      </c>
      <c r="AN114" s="286" t="str" cm="1">
        <f t="array" aca="1" ref="AN114" ca="1">INDIRECT("'"&amp;$C114&amp;"'!"&amp;"$"&amp;$D114&amp;$AL$1&amp;"")</f>
        <v>CMS</v>
      </c>
      <c r="AO114" s="289" t="s">
        <v>1</v>
      </c>
      <c r="AP114" s="287" t="s">
        <v>1</v>
      </c>
      <c r="AQ114" s="288" cm="1">
        <f t="array" aca="1" ref="AQ114" ca="1">INDIRECT("'"&amp;$C114&amp;"'!"&amp;"$"&amp;$D114&amp;$AQ$1&amp;"")</f>
        <v>4.3</v>
      </c>
      <c r="AR114" s="289">
        <v>0.98</v>
      </c>
      <c r="AS114" s="287">
        <v>0.9</v>
      </c>
      <c r="AT114" s="289" t="str" cm="1">
        <f t="array" aca="1" ref="AT114" ca="1">INDIRECT("'"&amp;$C114&amp;"'!"&amp;"$"&amp;$D114&amp;$AT$1&amp;"")</f>
        <v>CMS</v>
      </c>
      <c r="AU114" s="288" t="s">
        <v>1</v>
      </c>
      <c r="AV114" s="289" t="s">
        <v>1</v>
      </c>
      <c r="AW114" s="287" t="s">
        <v>1</v>
      </c>
      <c r="AX114" s="291">
        <v>14.14</v>
      </c>
      <c r="AY114" s="290">
        <v>71.2</v>
      </c>
      <c r="AZ114" s="291" cm="1">
        <f t="array" aca="1" ref="AZ114" ca="1">INDIRECT("'"&amp;$C114&amp;"'!"&amp;"$"&amp;$D114&amp;$AZ$1&amp;"")</f>
        <v>14.15</v>
      </c>
      <c r="BA114" s="289">
        <v>0.98</v>
      </c>
      <c r="BB114" s="287">
        <v>3.5</v>
      </c>
      <c r="BC114" s="292">
        <v>68.7</v>
      </c>
      <c r="BD114" s="286" cm="1">
        <f t="array" aca="1" ref="BD114" ca="1">INDIRECT("'"&amp;$C114&amp;"'!"&amp;"$"&amp;$D114&amp;$BC$1&amp;"")</f>
        <v>4.2</v>
      </c>
      <c r="BE114" s="288">
        <v>0.97</v>
      </c>
      <c r="BF114" s="287">
        <v>1</v>
      </c>
      <c r="BG114" s="291" cm="1">
        <f t="array" aca="1" ref="BG114" ca="1">INDIRECT("'"&amp;$C114&amp;"'!"&amp;"$"&amp;$D114&amp;$BG$1&amp;"")</f>
        <v>1.19</v>
      </c>
      <c r="BH114" s="289"/>
      <c r="BI114" s="289">
        <v>0.99</v>
      </c>
      <c r="BJ114" s="287">
        <v>0.17</v>
      </c>
      <c r="BK114" s="292" cm="1">
        <f t="array" aca="1" ref="BK114" ca="1">INDIRECT("'"&amp;$C114&amp;"'!"&amp;"$"&amp;$D114&amp;$BK$1&amp;"")</f>
        <v>0.77</v>
      </c>
      <c r="BL114" s="289"/>
      <c r="BM114" s="289">
        <v>0.95</v>
      </c>
      <c r="BN114" s="287">
        <v>0.25</v>
      </c>
      <c r="BO114" s="292" cm="1">
        <f t="array" aca="1" ref="BO114" ca="1">INDIRECT("'"&amp;$C114&amp;"'!"&amp;"$"&amp;$D114&amp;74&amp;"")</f>
        <v>0</v>
      </c>
      <c r="BP114" s="289"/>
      <c r="BQ114" s="289" t="s">
        <v>1</v>
      </c>
      <c r="BR114" s="287" t="s">
        <v>1</v>
      </c>
    </row>
    <row r="115" spans="1:70">
      <c r="A115" s="361">
        <v>45752</v>
      </c>
      <c r="B115" s="358">
        <v>0.41666666666666702</v>
      </c>
      <c r="C115" s="313">
        <f t="shared" si="3"/>
        <v>5</v>
      </c>
      <c r="D115" s="314" t="s">
        <v>137</v>
      </c>
      <c r="E115" s="293">
        <v>14.2</v>
      </c>
      <c r="F115" s="294">
        <v>69.89</v>
      </c>
      <c r="G115" s="295" cm="1">
        <f t="array" aca="1" ref="G115" ca="1">INDIRECT("'"&amp;$C115&amp;"'!"&amp;"$"&amp;$D115&amp;$E$1&amp;"")</f>
        <v>6.6</v>
      </c>
      <c r="H115" s="296">
        <v>0.97</v>
      </c>
      <c r="I115" s="294">
        <v>1.7</v>
      </c>
      <c r="J115" s="295" cm="1">
        <f t="array" aca="1" ref="J115" ca="1">INDIRECT("'"&amp;$C115&amp;"'!"&amp;"$"&amp;$D115&amp;$J$1&amp;"")</f>
        <v>1.5</v>
      </c>
      <c r="K115" s="296"/>
      <c r="L115" s="296">
        <v>0.97</v>
      </c>
      <c r="M115" s="294">
        <v>0.36</v>
      </c>
      <c r="N115" s="295" cm="1">
        <f t="array" aca="1" ref="N115" ca="1">INDIRECT("'"&amp;$C115&amp;"'!"&amp;"$"&amp;$D115&amp;$N$1&amp;"")</f>
        <v>6.6</v>
      </c>
      <c r="O115" s="296"/>
      <c r="P115" s="296">
        <v>0.97</v>
      </c>
      <c r="Q115" s="294">
        <v>1.7</v>
      </c>
      <c r="R115" s="295" cm="1">
        <f t="array" aca="1" ref="R115" ca="1">INDIRECT("'"&amp;$C115&amp;"'!"&amp;"$"&amp;$D115&amp;$R$1&amp;"")</f>
        <v>6.6</v>
      </c>
      <c r="S115" s="296"/>
      <c r="T115" s="296">
        <v>0.97</v>
      </c>
      <c r="U115" s="294">
        <v>17</v>
      </c>
      <c r="V115" s="295" cm="1">
        <f t="array" aca="1" ref="V115" ca="1">INDIRECT("'"&amp;$C115&amp;"'!"&amp;"$"&amp;$D115&amp;$V$1&amp;"")</f>
        <v>2.8</v>
      </c>
      <c r="W115" s="296">
        <f>3.8*3.59</f>
        <v>13.641999999999999</v>
      </c>
      <c r="X115" s="296">
        <v>0.92</v>
      </c>
      <c r="Y115" s="297">
        <v>1.1499999999999999</v>
      </c>
      <c r="Z115" s="293" cm="1">
        <f t="array" aca="1" ref="Z115" ca="1">INDIRECT("'"&amp;$C115&amp;"'!"&amp;"$"&amp;$D115&amp;$Z$1&amp;"")</f>
        <v>0</v>
      </c>
      <c r="AA115" s="296" t="s">
        <v>1</v>
      </c>
      <c r="AB115" s="296" t="s">
        <v>1</v>
      </c>
      <c r="AC115" s="294" t="s">
        <v>1</v>
      </c>
      <c r="AD115" s="295" cm="1">
        <f t="array" aca="1" ref="AD115" ca="1">INDIRECT("'"&amp;$C115&amp;"'!"&amp;"$"&amp;$D115&amp;$AD$1&amp;"")</f>
        <v>3.8</v>
      </c>
      <c r="AE115" s="296">
        <v>13.64</v>
      </c>
      <c r="AF115" s="296">
        <v>0.92</v>
      </c>
      <c r="AG115" s="297">
        <v>1.2</v>
      </c>
      <c r="AH115" s="293" cm="1">
        <f t="array" aca="1" ref="AH115" ca="1">INDIRECT("'"&amp;$C115&amp;"'!"&amp;"$"&amp;$D115&amp;$AH$1&amp;"")</f>
        <v>3.8</v>
      </c>
      <c r="AI115" s="296">
        <v>14</v>
      </c>
      <c r="AJ115" s="296">
        <v>0.97</v>
      </c>
      <c r="AK115" s="294">
        <v>0.872</v>
      </c>
      <c r="AL115" s="293">
        <v>11.8</v>
      </c>
      <c r="AM115" s="297">
        <v>70</v>
      </c>
      <c r="AN115" s="293" t="str" cm="1">
        <f t="array" aca="1" ref="AN115" ca="1">INDIRECT("'"&amp;$C115&amp;"'!"&amp;"$"&amp;$D115&amp;$AL$1&amp;"")</f>
        <v>CMS</v>
      </c>
      <c r="AO115" s="296" t="s">
        <v>1</v>
      </c>
      <c r="AP115" s="294" t="s">
        <v>1</v>
      </c>
      <c r="AQ115" s="295" cm="1">
        <f t="array" aca="1" ref="AQ115" ca="1">INDIRECT("'"&amp;$C115&amp;"'!"&amp;"$"&amp;$D115&amp;$AQ$1&amp;"")</f>
        <v>3.8</v>
      </c>
      <c r="AR115" s="296">
        <v>0.98</v>
      </c>
      <c r="AS115" s="294">
        <v>3.5</v>
      </c>
      <c r="AT115" s="296" t="str" cm="1">
        <f t="array" aca="1" ref="AT115" ca="1">INDIRECT("'"&amp;$C115&amp;"'!"&amp;"$"&amp;$D115&amp;$AT$1&amp;"")</f>
        <v>CMS</v>
      </c>
      <c r="AU115" s="295" t="s">
        <v>1</v>
      </c>
      <c r="AV115" s="296" t="s">
        <v>1</v>
      </c>
      <c r="AW115" s="294" t="s">
        <v>1</v>
      </c>
      <c r="AX115" s="298">
        <v>14.18</v>
      </c>
      <c r="AY115" s="297">
        <v>71.31</v>
      </c>
      <c r="AZ115" s="298" cm="1">
        <f t="array" aca="1" ref="AZ115" ca="1">INDIRECT("'"&amp;$C115&amp;"'!"&amp;"$"&amp;$D115&amp;$AZ$1&amp;"")</f>
        <v>14.16</v>
      </c>
      <c r="BA115" s="296">
        <v>0.98</v>
      </c>
      <c r="BB115" s="294">
        <v>3.5</v>
      </c>
      <c r="BC115" s="299">
        <v>68.2</v>
      </c>
      <c r="BD115" s="293" cm="1">
        <f t="array" aca="1" ref="BD115" ca="1">INDIRECT("'"&amp;$C115&amp;"'!"&amp;"$"&amp;$D115&amp;$BC$1&amp;"")</f>
        <v>2.8</v>
      </c>
      <c r="BE115" s="295">
        <v>0.96</v>
      </c>
      <c r="BF115" s="294">
        <v>0.8</v>
      </c>
      <c r="BG115" s="298" cm="1">
        <f t="array" aca="1" ref="BG115" ca="1">INDIRECT("'"&amp;$C115&amp;"'!"&amp;"$"&amp;$D115&amp;$BG$1&amp;"")</f>
        <v>1.23</v>
      </c>
      <c r="BH115" s="296"/>
      <c r="BI115" s="296">
        <v>0.99</v>
      </c>
      <c r="BJ115" s="294">
        <v>0.2</v>
      </c>
      <c r="BK115" s="299" cm="1">
        <f t="array" aca="1" ref="BK115" ca="1">INDIRECT("'"&amp;$C115&amp;"'!"&amp;"$"&amp;$D115&amp;$BK$1&amp;"")</f>
        <v>0.81</v>
      </c>
      <c r="BL115" s="296"/>
      <c r="BM115" s="296">
        <v>0.95</v>
      </c>
      <c r="BN115" s="294">
        <v>0.25</v>
      </c>
      <c r="BO115" s="299" cm="1">
        <f t="array" aca="1" ref="BO115" ca="1">INDIRECT("'"&amp;$C115&amp;"'!"&amp;"$"&amp;$D115&amp;74&amp;"")</f>
        <v>0</v>
      </c>
      <c r="BP115" s="296"/>
      <c r="BQ115" s="296" t="s">
        <v>1</v>
      </c>
      <c r="BR115" s="294" t="s">
        <v>1</v>
      </c>
    </row>
    <row r="116" spans="1:70">
      <c r="A116" s="361">
        <v>45752</v>
      </c>
      <c r="B116" s="358">
        <v>0.45833333333333398</v>
      </c>
      <c r="C116" s="313">
        <f t="shared" si="3"/>
        <v>5</v>
      </c>
      <c r="D116" s="314" t="s">
        <v>138</v>
      </c>
      <c r="E116" s="286">
        <v>14.2</v>
      </c>
      <c r="F116" s="287">
        <v>69.11</v>
      </c>
      <c r="G116" s="288" cm="1">
        <f t="array" aca="1" ref="G116" ca="1">INDIRECT("'"&amp;$C116&amp;"'!"&amp;"$"&amp;$D116&amp;$E$1&amp;"")</f>
        <v>6.4</v>
      </c>
      <c r="H116" s="289">
        <v>0.94</v>
      </c>
      <c r="I116" s="287">
        <v>2.0499999999999998</v>
      </c>
      <c r="J116" s="288" cm="1">
        <f t="array" aca="1" ref="J116" ca="1">INDIRECT("'"&amp;$C116&amp;"'!"&amp;"$"&amp;$D116&amp;$J$1&amp;"")</f>
        <v>6.4</v>
      </c>
      <c r="K116" s="289"/>
      <c r="L116" s="289">
        <v>0.94</v>
      </c>
      <c r="M116" s="287">
        <v>2.0499999999999998</v>
      </c>
      <c r="N116" s="288" cm="1">
        <f t="array" aca="1" ref="N116" ca="1">INDIRECT("'"&amp;$C116&amp;"'!"&amp;"$"&amp;$D116&amp;$N$1&amp;"")</f>
        <v>6.4</v>
      </c>
      <c r="O116" s="289"/>
      <c r="P116" s="289">
        <v>0.94</v>
      </c>
      <c r="Q116" s="287">
        <v>2.0499999999999998</v>
      </c>
      <c r="R116" s="288" cm="1">
        <f t="array" aca="1" ref="R116" ca="1">INDIRECT("'"&amp;$C116&amp;"'!"&amp;"$"&amp;$D116&amp;$R$1&amp;"")</f>
        <v>6.4</v>
      </c>
      <c r="S116" s="289"/>
      <c r="T116" s="289">
        <v>0.94</v>
      </c>
      <c r="U116" s="287">
        <v>2.0499999999999998</v>
      </c>
      <c r="V116" s="288" cm="1">
        <f t="array" aca="1" ref="V116" ca="1">INDIRECT("'"&amp;$C116&amp;"'!"&amp;"$"&amp;$D116&amp;$V$1&amp;"")</f>
        <v>2.8</v>
      </c>
      <c r="W116" s="289">
        <f>3.8*3.51</f>
        <v>13.337999999999999</v>
      </c>
      <c r="X116" s="289">
        <v>0.92</v>
      </c>
      <c r="Y116" s="290">
        <v>1.29</v>
      </c>
      <c r="Z116" s="286" cm="1">
        <f t="array" aca="1" ref="Z116" ca="1">INDIRECT("'"&amp;$C116&amp;"'!"&amp;"$"&amp;$D116&amp;$Z$1&amp;"")</f>
        <v>0</v>
      </c>
      <c r="AA116" s="289" t="s">
        <v>1</v>
      </c>
      <c r="AB116" s="289" t="s">
        <v>1</v>
      </c>
      <c r="AC116" s="287" t="s">
        <v>1</v>
      </c>
      <c r="AD116" s="288" cm="1">
        <f t="array" aca="1" ref="AD116" ca="1">INDIRECT("'"&amp;$C116&amp;"'!"&amp;"$"&amp;$D116&amp;$AD$1&amp;"")</f>
        <v>3.2</v>
      </c>
      <c r="AE116" s="289">
        <v>13.34</v>
      </c>
      <c r="AF116" s="289">
        <v>0.92</v>
      </c>
      <c r="AG116" s="290">
        <v>1.35</v>
      </c>
      <c r="AH116" s="286" cm="1">
        <f t="array" aca="1" ref="AH116" ca="1">INDIRECT("'"&amp;$C116&amp;"'!"&amp;"$"&amp;$D116&amp;$AH$1&amp;"")</f>
        <v>3.8</v>
      </c>
      <c r="AI116" s="289">
        <v>13.96</v>
      </c>
      <c r="AJ116" s="289">
        <v>0.96</v>
      </c>
      <c r="AK116" s="287">
        <v>1.04</v>
      </c>
      <c r="AL116" s="286">
        <v>11.8</v>
      </c>
      <c r="AM116" s="290">
        <v>69.7</v>
      </c>
      <c r="AN116" s="286" t="str" cm="1">
        <f t="array" aca="1" ref="AN116" ca="1">INDIRECT("'"&amp;$C116&amp;"'!"&amp;"$"&amp;$D116&amp;$AL$1&amp;"")</f>
        <v>CMS</v>
      </c>
      <c r="AO116" s="289" t="s">
        <v>1</v>
      </c>
      <c r="AP116" s="287" t="s">
        <v>1</v>
      </c>
      <c r="AQ116" s="288" cm="1">
        <f t="array" aca="1" ref="AQ116" ca="1">INDIRECT("'"&amp;$C116&amp;"'!"&amp;"$"&amp;$D116&amp;$AQ$1&amp;"")</f>
        <v>4</v>
      </c>
      <c r="AR116" s="289">
        <v>0.93</v>
      </c>
      <c r="AS116" s="287">
        <v>1.3</v>
      </c>
      <c r="AT116" s="289" t="str" cm="1">
        <f t="array" aca="1" ref="AT116" ca="1">INDIRECT("'"&amp;$C116&amp;"'!"&amp;"$"&amp;$D116&amp;$AT$1&amp;"")</f>
        <v>CMS</v>
      </c>
      <c r="AU116" s="288" t="s">
        <v>1</v>
      </c>
      <c r="AV116" s="289" t="s">
        <v>1</v>
      </c>
      <c r="AW116" s="287" t="s">
        <v>1</v>
      </c>
      <c r="AX116" s="291">
        <v>14.1</v>
      </c>
      <c r="AY116" s="290">
        <v>71</v>
      </c>
      <c r="AZ116" s="291" cm="1">
        <f t="array" aca="1" ref="AZ116" ca="1">INDIRECT("'"&amp;$C116&amp;"'!"&amp;"$"&amp;$D116&amp;$AZ$1&amp;"")</f>
        <v>14.21</v>
      </c>
      <c r="BA116" s="289">
        <v>0.98</v>
      </c>
      <c r="BB116" s="287">
        <v>3.4</v>
      </c>
      <c r="BC116" s="292">
        <v>67.7</v>
      </c>
      <c r="BD116" s="286" cm="1">
        <f t="array" aca="1" ref="BD116" ca="1">INDIRECT("'"&amp;$C116&amp;"'!"&amp;"$"&amp;$D116&amp;$BC$1&amp;"")</f>
        <v>0</v>
      </c>
      <c r="BE116" s="288" t="s">
        <v>1</v>
      </c>
      <c r="BF116" s="287" t="s">
        <v>1</v>
      </c>
      <c r="BG116" s="291" cm="1">
        <f t="array" aca="1" ref="BG116" ca="1">INDIRECT("'"&amp;$C116&amp;"'!"&amp;"$"&amp;$D116&amp;$BG$1&amp;"")</f>
        <v>1.3</v>
      </c>
      <c r="BH116" s="289"/>
      <c r="BI116" s="289">
        <v>0.99</v>
      </c>
      <c r="BJ116" s="287">
        <v>0.21</v>
      </c>
      <c r="BK116" s="292" cm="1">
        <f t="array" aca="1" ref="BK116" ca="1">INDIRECT("'"&amp;$C116&amp;"'!"&amp;"$"&amp;$D116&amp;$BK$1&amp;"")</f>
        <v>0.84</v>
      </c>
      <c r="BL116" s="289"/>
      <c r="BM116" s="289">
        <v>0.95</v>
      </c>
      <c r="BN116" s="287">
        <v>0.27</v>
      </c>
      <c r="BO116" s="292" cm="1">
        <f t="array" aca="1" ref="BO116" ca="1">INDIRECT("'"&amp;$C116&amp;"'!"&amp;"$"&amp;$D116&amp;74&amp;"")</f>
        <v>0</v>
      </c>
      <c r="BP116" s="289"/>
      <c r="BQ116" s="289" t="s">
        <v>1</v>
      </c>
      <c r="BR116" s="287" t="s">
        <v>1</v>
      </c>
    </row>
    <row r="117" spans="1:70">
      <c r="A117" s="361">
        <v>45752</v>
      </c>
      <c r="B117" s="358">
        <v>0.5</v>
      </c>
      <c r="C117" s="313">
        <f t="shared" si="3"/>
        <v>5</v>
      </c>
      <c r="D117" s="314" t="s">
        <v>139</v>
      </c>
      <c r="E117" s="293">
        <v>14.2</v>
      </c>
      <c r="F117" s="294">
        <v>69.349999999999994</v>
      </c>
      <c r="G117" s="295" cm="1">
        <f t="array" aca="1" ref="G117" ca="1">INDIRECT("'"&amp;$C117&amp;"'!"&amp;"$"&amp;$D117&amp;$E$1&amp;"")</f>
        <v>6.4</v>
      </c>
      <c r="H117" s="296">
        <v>0.95</v>
      </c>
      <c r="I117" s="294">
        <v>2.02</v>
      </c>
      <c r="J117" s="295" cm="1">
        <f t="array" aca="1" ref="J117" ca="1">INDIRECT("'"&amp;$C117&amp;"'!"&amp;"$"&amp;$D117&amp;$J$1&amp;"")</f>
        <v>6.4</v>
      </c>
      <c r="K117" s="296"/>
      <c r="L117" s="296">
        <v>0.95</v>
      </c>
      <c r="M117" s="294">
        <v>2.02</v>
      </c>
      <c r="N117" s="295" cm="1">
        <f t="array" aca="1" ref="N117" ca="1">INDIRECT("'"&amp;$C117&amp;"'!"&amp;"$"&amp;$D117&amp;$N$1&amp;"")</f>
        <v>6.4</v>
      </c>
      <c r="O117" s="296"/>
      <c r="P117" s="296">
        <v>0.95</v>
      </c>
      <c r="Q117" s="294">
        <v>2.02</v>
      </c>
      <c r="R117" s="295" cm="1">
        <f t="array" aca="1" ref="R117" ca="1">INDIRECT("'"&amp;$C117&amp;"'!"&amp;"$"&amp;$D117&amp;$R$1&amp;"")</f>
        <v>6.4</v>
      </c>
      <c r="S117" s="296"/>
      <c r="T117" s="296">
        <v>0.95</v>
      </c>
      <c r="U117" s="294">
        <v>2.02</v>
      </c>
      <c r="V117" s="295" cm="1">
        <f t="array" aca="1" ref="V117" ca="1">INDIRECT("'"&amp;$C117&amp;"'!"&amp;"$"&amp;$D117&amp;$V$1&amp;"")</f>
        <v>2.1</v>
      </c>
      <c r="W117" s="296">
        <f>3.8*3.51</f>
        <v>13.337999999999999</v>
      </c>
      <c r="X117" s="296">
        <v>0.92</v>
      </c>
      <c r="Y117" s="297">
        <v>1.1000000000000001</v>
      </c>
      <c r="Z117" s="293" cm="1">
        <f t="array" aca="1" ref="Z117" ca="1">INDIRECT("'"&amp;$C117&amp;"'!"&amp;"$"&amp;$D117&amp;$Z$1&amp;"")</f>
        <v>0</v>
      </c>
      <c r="AA117" s="296" t="s">
        <v>1</v>
      </c>
      <c r="AB117" s="296" t="s">
        <v>1</v>
      </c>
      <c r="AC117" s="294" t="s">
        <v>1</v>
      </c>
      <c r="AD117" s="295" cm="1">
        <f t="array" aca="1" ref="AD117" ca="1">INDIRECT("'"&amp;$C117&amp;"'!"&amp;"$"&amp;$D117&amp;$AD$1&amp;"")</f>
        <v>3</v>
      </c>
      <c r="AE117" s="296">
        <v>13.34</v>
      </c>
      <c r="AF117" s="296">
        <v>0.92</v>
      </c>
      <c r="AG117" s="297">
        <v>1.1000000000000001</v>
      </c>
      <c r="AH117" s="293" cm="1">
        <f t="array" aca="1" ref="AH117" ca="1">INDIRECT("'"&amp;$C117&amp;"'!"&amp;"$"&amp;$D117&amp;$AH$1&amp;"")</f>
        <v>3.8</v>
      </c>
      <c r="AI117" s="296">
        <v>13.96</v>
      </c>
      <c r="AJ117" s="296">
        <v>0.97</v>
      </c>
      <c r="AK117" s="294">
        <v>0.90500000000000003</v>
      </c>
      <c r="AL117" s="293">
        <v>11.8</v>
      </c>
      <c r="AM117" s="297">
        <v>70</v>
      </c>
      <c r="AN117" s="293" t="str" cm="1">
        <f t="array" aca="1" ref="AN117" ca="1">INDIRECT("'"&amp;$C117&amp;"'!"&amp;"$"&amp;$D117&amp;$AL$1&amp;"")</f>
        <v>CMS</v>
      </c>
      <c r="AO117" s="296" t="s">
        <v>1</v>
      </c>
      <c r="AP117" s="294" t="s">
        <v>1</v>
      </c>
      <c r="AQ117" s="295" cm="1">
        <f t="array" aca="1" ref="AQ117" ca="1">INDIRECT("'"&amp;$C117&amp;"'!"&amp;"$"&amp;$D117&amp;$AQ$1&amp;"")</f>
        <v>3.8</v>
      </c>
      <c r="AR117" s="296">
        <v>0.95</v>
      </c>
      <c r="AS117" s="294">
        <v>1.1000000000000001</v>
      </c>
      <c r="AT117" s="296" t="str" cm="1">
        <f t="array" aca="1" ref="AT117" ca="1">INDIRECT("'"&amp;$C117&amp;"'!"&amp;"$"&amp;$D117&amp;$AT$1&amp;"")</f>
        <v>CMS</v>
      </c>
      <c r="AU117" s="295" t="s">
        <v>1</v>
      </c>
      <c r="AV117" s="296" t="s">
        <v>1</v>
      </c>
      <c r="AW117" s="294" t="s">
        <v>1</v>
      </c>
      <c r="AX117" s="298">
        <v>14.19</v>
      </c>
      <c r="AY117" s="297">
        <v>71.260000000000005</v>
      </c>
      <c r="AZ117" s="298" cm="1">
        <f t="array" aca="1" ref="AZ117" ca="1">INDIRECT("'"&amp;$C117&amp;"'!"&amp;"$"&amp;$D117&amp;$AZ$1&amp;"")</f>
        <v>14.27</v>
      </c>
      <c r="BA117" s="296">
        <v>0.98</v>
      </c>
      <c r="BB117" s="294">
        <v>3.5</v>
      </c>
      <c r="BC117" s="299">
        <v>68</v>
      </c>
      <c r="BD117" s="293" cm="1">
        <f t="array" aca="1" ref="BD117" ca="1">INDIRECT("'"&amp;$C117&amp;"'!"&amp;"$"&amp;$D117&amp;$BC$1&amp;"")</f>
        <v>0</v>
      </c>
      <c r="BE117" s="295" t="s">
        <v>1</v>
      </c>
      <c r="BF117" s="294" t="s">
        <v>1</v>
      </c>
      <c r="BG117" s="298" cm="1">
        <f t="array" aca="1" ref="BG117" ca="1">INDIRECT("'"&amp;$C117&amp;"'!"&amp;"$"&amp;$D117&amp;$BG$1&amp;"")</f>
        <v>1.32</v>
      </c>
      <c r="BH117" s="296"/>
      <c r="BI117" s="296">
        <v>0.99</v>
      </c>
      <c r="BJ117" s="294">
        <v>0.21</v>
      </c>
      <c r="BK117" s="299" cm="1">
        <f t="array" aca="1" ref="BK117" ca="1">INDIRECT("'"&amp;$C117&amp;"'!"&amp;"$"&amp;$D117&amp;$BK$1&amp;"")</f>
        <v>0.85</v>
      </c>
      <c r="BL117" s="296"/>
      <c r="BM117" s="296">
        <v>0.96</v>
      </c>
      <c r="BN117" s="294">
        <v>0.26</v>
      </c>
      <c r="BO117" s="299" cm="1">
        <f t="array" aca="1" ref="BO117" ca="1">INDIRECT("'"&amp;$C117&amp;"'!"&amp;"$"&amp;$D117&amp;74&amp;"")</f>
        <v>0</v>
      </c>
      <c r="BP117" s="296"/>
      <c r="BQ117" s="296" t="s">
        <v>1</v>
      </c>
      <c r="BR117" s="294" t="s">
        <v>1</v>
      </c>
    </row>
    <row r="118" spans="1:70">
      <c r="A118" s="361">
        <v>45752</v>
      </c>
      <c r="B118" s="358">
        <v>0.54166666666666696</v>
      </c>
      <c r="C118" s="313">
        <f t="shared" si="3"/>
        <v>5</v>
      </c>
      <c r="D118" s="314" t="s">
        <v>140</v>
      </c>
      <c r="E118" s="286">
        <v>14.2</v>
      </c>
      <c r="F118" s="287">
        <v>69.14</v>
      </c>
      <c r="G118" s="288" cm="1">
        <f t="array" aca="1" ref="G118" ca="1">INDIRECT("'"&amp;$C118&amp;"'!"&amp;"$"&amp;$D118&amp;$E$1&amp;"")</f>
        <v>6.6</v>
      </c>
      <c r="H118" s="289">
        <v>0.95</v>
      </c>
      <c r="I118" s="287">
        <v>2.2000000000000002</v>
      </c>
      <c r="J118" s="288" cm="1">
        <f t="array" aca="1" ref="J118" ca="1">INDIRECT("'"&amp;$C118&amp;"'!"&amp;"$"&amp;$D118&amp;$J$1&amp;"")</f>
        <v>6.6</v>
      </c>
      <c r="K118" s="289"/>
      <c r="L118" s="289">
        <v>0.95</v>
      </c>
      <c r="M118" s="287">
        <v>2.2000000000000002</v>
      </c>
      <c r="N118" s="288" cm="1">
        <f t="array" aca="1" ref="N118" ca="1">INDIRECT("'"&amp;$C118&amp;"'!"&amp;"$"&amp;$D118&amp;$N$1&amp;"")</f>
        <v>6.6</v>
      </c>
      <c r="O118" s="289"/>
      <c r="P118" s="289">
        <v>0.95</v>
      </c>
      <c r="Q118" s="287">
        <v>2.2000000000000002</v>
      </c>
      <c r="R118" s="288" cm="1">
        <f t="array" aca="1" ref="R118" ca="1">INDIRECT("'"&amp;$C118&amp;"'!"&amp;"$"&amp;$D118&amp;$R$1&amp;"")</f>
        <v>6.6</v>
      </c>
      <c r="S118" s="289"/>
      <c r="T118" s="289">
        <v>0.95</v>
      </c>
      <c r="U118" s="287">
        <v>2.2000000000000002</v>
      </c>
      <c r="V118" s="288" cm="1">
        <f t="array" aca="1" ref="V118" ca="1">INDIRECT("'"&amp;$C118&amp;"'!"&amp;"$"&amp;$D118&amp;$V$1&amp;"")</f>
        <v>2.1</v>
      </c>
      <c r="W118" s="289">
        <f>3.8*3.5</f>
        <v>13.299999999999999</v>
      </c>
      <c r="X118" s="289">
        <v>0.92</v>
      </c>
      <c r="Y118" s="290">
        <v>1.1200000000000001</v>
      </c>
      <c r="Z118" s="286" cm="1">
        <f t="array" aca="1" ref="Z118" ca="1">INDIRECT("'"&amp;$C118&amp;"'!"&amp;"$"&amp;$D118&amp;$Z$1&amp;"")</f>
        <v>0</v>
      </c>
      <c r="AA118" s="289" t="s">
        <v>1</v>
      </c>
      <c r="AB118" s="289" t="s">
        <v>1</v>
      </c>
      <c r="AC118" s="287" t="s">
        <v>1</v>
      </c>
      <c r="AD118" s="288" cm="1">
        <f t="array" aca="1" ref="AD118" ca="1">INDIRECT("'"&amp;$C118&amp;"'!"&amp;"$"&amp;$D118&amp;$AD$1&amp;"")</f>
        <v>3</v>
      </c>
      <c r="AE118" s="289">
        <v>13.3</v>
      </c>
      <c r="AF118" s="289">
        <v>0.92</v>
      </c>
      <c r="AG118" s="290">
        <v>1.32</v>
      </c>
      <c r="AH118" s="286" cm="1">
        <f t="array" aca="1" ref="AH118" ca="1">INDIRECT("'"&amp;$C118&amp;"'!"&amp;"$"&amp;$D118&amp;$AH$1&amp;"")</f>
        <v>3</v>
      </c>
      <c r="AI118" s="289">
        <v>13.96</v>
      </c>
      <c r="AJ118" s="289">
        <v>0.97</v>
      </c>
      <c r="AK118" s="287">
        <v>0.99</v>
      </c>
      <c r="AL118" s="286">
        <v>11.8</v>
      </c>
      <c r="AM118" s="290">
        <v>69.8</v>
      </c>
      <c r="AN118" s="286" t="str" cm="1">
        <f t="array" aca="1" ref="AN118" ca="1">INDIRECT("'"&amp;$C118&amp;"'!"&amp;"$"&amp;$D118&amp;$AL$1&amp;"")</f>
        <v>CMS</v>
      </c>
      <c r="AO118" s="289" t="s">
        <v>1</v>
      </c>
      <c r="AP118" s="287" t="s">
        <v>1</v>
      </c>
      <c r="AQ118" s="288" cm="1">
        <f t="array" aca="1" ref="AQ118" ca="1">INDIRECT("'"&amp;$C118&amp;"'!"&amp;"$"&amp;$D118&amp;$AQ$1&amp;"")</f>
        <v>4.2</v>
      </c>
      <c r="AR118" s="289">
        <v>0.95</v>
      </c>
      <c r="AS118" s="287">
        <v>1.3</v>
      </c>
      <c r="AT118" s="289" t="str" cm="1">
        <f t="array" aca="1" ref="AT118" ca="1">INDIRECT("'"&amp;$C118&amp;"'!"&amp;"$"&amp;$D118&amp;$AT$1&amp;"")</f>
        <v>CMS</v>
      </c>
      <c r="AU118" s="288" t="s">
        <v>1</v>
      </c>
      <c r="AV118" s="289" t="s">
        <v>1</v>
      </c>
      <c r="AW118" s="287" t="s">
        <v>1</v>
      </c>
      <c r="AX118" s="291">
        <v>14.13</v>
      </c>
      <c r="AY118" s="290">
        <v>71.069999999999993</v>
      </c>
      <c r="AZ118" s="291" cm="1">
        <f t="array" aca="1" ref="AZ118" ca="1">INDIRECT("'"&amp;$C118&amp;"'!"&amp;"$"&amp;$D118&amp;$AZ$1&amp;"")</f>
        <v>14.21</v>
      </c>
      <c r="BA118" s="289">
        <v>0.98</v>
      </c>
      <c r="BB118" s="287">
        <v>3.5</v>
      </c>
      <c r="BC118" s="292">
        <v>67.3</v>
      </c>
      <c r="BD118" s="286" cm="1">
        <f t="array" aca="1" ref="BD118" ca="1">INDIRECT("'"&amp;$C118&amp;"'!"&amp;"$"&amp;$D118&amp;$BC$1&amp;"")</f>
        <v>0</v>
      </c>
      <c r="BE118" s="288" t="s">
        <v>1</v>
      </c>
      <c r="BF118" s="287" t="s">
        <v>1</v>
      </c>
      <c r="BG118" s="291" cm="1">
        <f t="array" aca="1" ref="BG118" ca="1">INDIRECT("'"&amp;$C118&amp;"'!"&amp;"$"&amp;$D118&amp;$BG$1&amp;"")</f>
        <v>1.375</v>
      </c>
      <c r="BH118" s="289"/>
      <c r="BI118" s="289">
        <v>0.99</v>
      </c>
      <c r="BJ118" s="287">
        <v>0.22</v>
      </c>
      <c r="BK118" s="292" cm="1">
        <f t="array" aca="1" ref="BK118" ca="1">INDIRECT("'"&amp;$C118&amp;"'!"&amp;"$"&amp;$D118&amp;$BK$1&amp;"")</f>
        <v>0.89</v>
      </c>
      <c r="BL118" s="289"/>
      <c r="BM118" s="289">
        <v>0.96</v>
      </c>
      <c r="BN118" s="287">
        <v>0.28000000000000003</v>
      </c>
      <c r="BO118" s="292" cm="1">
        <f t="array" aca="1" ref="BO118" ca="1">INDIRECT("'"&amp;$C118&amp;"'!"&amp;"$"&amp;$D118&amp;74&amp;"")</f>
        <v>0</v>
      </c>
      <c r="BP118" s="289"/>
      <c r="BQ118" s="289" t="s">
        <v>1</v>
      </c>
      <c r="BR118" s="287" t="s">
        <v>1</v>
      </c>
    </row>
    <row r="119" spans="1:70">
      <c r="A119" s="361">
        <v>45752</v>
      </c>
      <c r="B119" s="358">
        <v>0.58333333333333404</v>
      </c>
      <c r="C119" s="313">
        <f t="shared" si="3"/>
        <v>5</v>
      </c>
      <c r="D119" s="314" t="s">
        <v>141</v>
      </c>
      <c r="E119" s="293">
        <v>14.2</v>
      </c>
      <c r="F119" s="294">
        <v>69.069999999999993</v>
      </c>
      <c r="G119" s="295" cm="1">
        <f t="array" aca="1" ref="G119" ca="1">INDIRECT("'"&amp;$C119&amp;"'!"&amp;"$"&amp;$D119&amp;$E$1&amp;"")</f>
        <v>6.8</v>
      </c>
      <c r="H119" s="296">
        <v>0.95</v>
      </c>
      <c r="I119" s="294">
        <v>2.33</v>
      </c>
      <c r="J119" s="295" cm="1">
        <f t="array" aca="1" ref="J119" ca="1">INDIRECT("'"&amp;$C119&amp;"'!"&amp;"$"&amp;$D119&amp;$J$1&amp;"")</f>
        <v>6.8</v>
      </c>
      <c r="K119" s="296"/>
      <c r="L119" s="296">
        <v>0.95</v>
      </c>
      <c r="M119" s="294">
        <v>2.33</v>
      </c>
      <c r="N119" s="295" cm="1">
        <f t="array" aca="1" ref="N119" ca="1">INDIRECT("'"&amp;$C119&amp;"'!"&amp;"$"&amp;$D119&amp;$N$1&amp;"")</f>
        <v>6.8</v>
      </c>
      <c r="O119" s="296"/>
      <c r="P119" s="296">
        <v>0.95</v>
      </c>
      <c r="Q119" s="294">
        <v>2.33</v>
      </c>
      <c r="R119" s="295" cm="1">
        <f t="array" aca="1" ref="R119" ca="1">INDIRECT("'"&amp;$C119&amp;"'!"&amp;"$"&amp;$D119&amp;$R$1&amp;"")</f>
        <v>6.8</v>
      </c>
      <c r="S119" s="296"/>
      <c r="T119" s="296">
        <v>0.95</v>
      </c>
      <c r="U119" s="294">
        <v>2.33</v>
      </c>
      <c r="V119" s="295" cm="1">
        <f t="array" aca="1" ref="V119" ca="1">INDIRECT("'"&amp;$C119&amp;"'!"&amp;"$"&amp;$D119&amp;$V$1&amp;"")</f>
        <v>2.8</v>
      </c>
      <c r="W119" s="296">
        <f>3.8*3.49</f>
        <v>13.262</v>
      </c>
      <c r="X119" s="296">
        <v>0.92</v>
      </c>
      <c r="Y119" s="297">
        <v>1.2</v>
      </c>
      <c r="Z119" s="293" cm="1">
        <f t="array" aca="1" ref="Z119" ca="1">INDIRECT("'"&amp;$C119&amp;"'!"&amp;"$"&amp;$D119&amp;$Z$1&amp;"")</f>
        <v>0</v>
      </c>
      <c r="AA119" s="296" t="s">
        <v>1</v>
      </c>
      <c r="AB119" s="296" t="s">
        <v>1</v>
      </c>
      <c r="AC119" s="294" t="s">
        <v>1</v>
      </c>
      <c r="AD119" s="295" cm="1">
        <f t="array" aca="1" ref="AD119" ca="1">INDIRECT("'"&amp;$C119&amp;"'!"&amp;"$"&amp;$D119&amp;$AD$1&amp;"")</f>
        <v>3.8</v>
      </c>
      <c r="AE119" s="296">
        <v>13.26</v>
      </c>
      <c r="AF119" s="296">
        <v>0.92</v>
      </c>
      <c r="AG119" s="297">
        <v>1.61</v>
      </c>
      <c r="AH119" s="293" cm="1">
        <f t="array" aca="1" ref="AH119" ca="1">INDIRECT("'"&amp;$C119&amp;"'!"&amp;"$"&amp;$D119&amp;$AH$1&amp;"")</f>
        <v>3.8</v>
      </c>
      <c r="AI119" s="296">
        <v>13.96</v>
      </c>
      <c r="AJ119" s="296">
        <v>0.95</v>
      </c>
      <c r="AK119" s="294">
        <v>1.1499999999999999</v>
      </c>
      <c r="AL119" s="293">
        <v>11.8</v>
      </c>
      <c r="AM119" s="297">
        <v>69.7</v>
      </c>
      <c r="AN119" s="293" t="str" cm="1">
        <f t="array" aca="1" ref="AN119" ca="1">INDIRECT("'"&amp;$C119&amp;"'!"&amp;"$"&amp;$D119&amp;$AL$1&amp;"")</f>
        <v>CMS</v>
      </c>
      <c r="AO119" s="296" t="s">
        <v>1</v>
      </c>
      <c r="AP119" s="294" t="s">
        <v>1</v>
      </c>
      <c r="AQ119" s="295" cm="1">
        <f t="array" aca="1" ref="AQ119" ca="1">INDIRECT("'"&amp;$C119&amp;"'!"&amp;"$"&amp;$D119&amp;$AQ$1&amp;"")</f>
        <v>4.2</v>
      </c>
      <c r="AR119" s="296">
        <v>0.92</v>
      </c>
      <c r="AS119" s="294">
        <v>1.5</v>
      </c>
      <c r="AT119" s="296" t="str" cm="1">
        <f t="array" aca="1" ref="AT119" ca="1">INDIRECT("'"&amp;$C119&amp;"'!"&amp;"$"&amp;$D119&amp;$AT$1&amp;"")</f>
        <v>CMS</v>
      </c>
      <c r="AU119" s="295" t="s">
        <v>1</v>
      </c>
      <c r="AV119" s="296" t="s">
        <v>1</v>
      </c>
      <c r="AW119" s="294" t="s">
        <v>1</v>
      </c>
      <c r="AX119" s="298">
        <v>14.1</v>
      </c>
      <c r="AY119" s="297">
        <v>71.88</v>
      </c>
      <c r="AZ119" s="298" cm="1">
        <f t="array" aca="1" ref="AZ119" ca="1">INDIRECT("'"&amp;$C119&amp;"'!"&amp;"$"&amp;$D119&amp;$AZ$1&amp;"")</f>
        <v>14.23</v>
      </c>
      <c r="BA119" s="296">
        <v>0.98</v>
      </c>
      <c r="BB119" s="294">
        <v>3.5</v>
      </c>
      <c r="BC119" s="299">
        <v>67.599999999999994</v>
      </c>
      <c r="BD119" s="293" cm="1">
        <f t="array" aca="1" ref="BD119" ca="1">INDIRECT("'"&amp;$C119&amp;"'!"&amp;"$"&amp;$D119&amp;$BC$1&amp;"")</f>
        <v>1.4</v>
      </c>
      <c r="BE119" s="295">
        <v>0.96</v>
      </c>
      <c r="BF119" s="294">
        <v>0.42</v>
      </c>
      <c r="BG119" s="298" cm="1">
        <f t="array" aca="1" ref="BG119" ca="1">INDIRECT("'"&amp;$C119&amp;"'!"&amp;"$"&amp;$D119&amp;$BG$1&amp;"")</f>
        <v>1.36</v>
      </c>
      <c r="BH119" s="296"/>
      <c r="BI119" s="296">
        <v>0.99</v>
      </c>
      <c r="BJ119" s="294">
        <v>0.22</v>
      </c>
      <c r="BK119" s="299" cm="1">
        <f t="array" aca="1" ref="BK119" ca="1">INDIRECT("'"&amp;$C119&amp;"'!"&amp;"$"&amp;$D119&amp;$BK$1&amp;"")</f>
        <v>0.88</v>
      </c>
      <c r="BL119" s="296"/>
      <c r="BM119" s="296">
        <v>0.95</v>
      </c>
      <c r="BN119" s="294">
        <v>0.27</v>
      </c>
      <c r="BO119" s="299" cm="1">
        <f t="array" aca="1" ref="BO119" ca="1">INDIRECT("'"&amp;$C119&amp;"'!"&amp;"$"&amp;$D119&amp;74&amp;"")</f>
        <v>0</v>
      </c>
      <c r="BP119" s="296"/>
      <c r="BQ119" s="296" t="s">
        <v>1</v>
      </c>
      <c r="BR119" s="294" t="s">
        <v>1</v>
      </c>
    </row>
    <row r="120" spans="1:70">
      <c r="A120" s="361">
        <v>45752</v>
      </c>
      <c r="B120" s="358">
        <v>0.625</v>
      </c>
      <c r="C120" s="313">
        <f t="shared" si="3"/>
        <v>5</v>
      </c>
      <c r="D120" s="314" t="s">
        <v>142</v>
      </c>
      <c r="E120" s="286">
        <v>14.3</v>
      </c>
      <c r="F120" s="287">
        <v>69.599999999999994</v>
      </c>
      <c r="G120" s="288" cm="1">
        <f t="array" aca="1" ref="G120" ca="1">INDIRECT("'"&amp;$C120&amp;"'!"&amp;"$"&amp;$D120&amp;$E$1&amp;"")</f>
        <v>6.4</v>
      </c>
      <c r="H120" s="289">
        <v>0.95</v>
      </c>
      <c r="I120" s="287">
        <v>2.11</v>
      </c>
      <c r="J120" s="288" cm="1">
        <f t="array" aca="1" ref="J120" ca="1">INDIRECT("'"&amp;$C120&amp;"'!"&amp;"$"&amp;$D120&amp;$J$1&amp;"")</f>
        <v>6.4</v>
      </c>
      <c r="K120" s="289"/>
      <c r="L120" s="289">
        <v>0.95</v>
      </c>
      <c r="M120" s="287">
        <v>2.11</v>
      </c>
      <c r="N120" s="288" cm="1">
        <f t="array" aca="1" ref="N120" ca="1">INDIRECT("'"&amp;$C120&amp;"'!"&amp;"$"&amp;$D120&amp;$N$1&amp;"")</f>
        <v>6.4</v>
      </c>
      <c r="O120" s="289"/>
      <c r="P120" s="289">
        <v>0.95</v>
      </c>
      <c r="Q120" s="287">
        <v>2.11</v>
      </c>
      <c r="R120" s="288" cm="1">
        <f t="array" aca="1" ref="R120" ca="1">INDIRECT("'"&amp;$C120&amp;"'!"&amp;"$"&amp;$D120&amp;$R$1&amp;"")</f>
        <v>6.4</v>
      </c>
      <c r="S120" s="289"/>
      <c r="T120" s="289">
        <v>0.95</v>
      </c>
      <c r="U120" s="287">
        <v>2.11</v>
      </c>
      <c r="V120" s="288" cm="1">
        <f t="array" aca="1" ref="V120" ca="1">INDIRECT("'"&amp;$C120&amp;"'!"&amp;"$"&amp;$D120&amp;$V$1&amp;"")</f>
        <v>2.8</v>
      </c>
      <c r="W120" s="289">
        <f>3.8*3.53</f>
        <v>13.413999999999998</v>
      </c>
      <c r="X120" s="289">
        <v>0.91</v>
      </c>
      <c r="Y120" s="290">
        <v>1.24</v>
      </c>
      <c r="Z120" s="286" cm="1">
        <f t="array" aca="1" ref="Z120" ca="1">INDIRECT("'"&amp;$C120&amp;"'!"&amp;"$"&amp;$D120&amp;$Z$1&amp;"")</f>
        <v>0</v>
      </c>
      <c r="AA120" s="289" t="s">
        <v>1</v>
      </c>
      <c r="AB120" s="289" t="s">
        <v>1</v>
      </c>
      <c r="AC120" s="287" t="s">
        <v>1</v>
      </c>
      <c r="AD120" s="288" cm="1">
        <f t="array" aca="1" ref="AD120" ca="1">INDIRECT("'"&amp;$C120&amp;"'!"&amp;"$"&amp;$D120&amp;$AD$1&amp;"")</f>
        <v>3.8</v>
      </c>
      <c r="AE120" s="289">
        <f>3.8*3.53</f>
        <v>13.413999999999998</v>
      </c>
      <c r="AF120" s="289">
        <v>0.91</v>
      </c>
      <c r="AG120" s="290">
        <v>1.84</v>
      </c>
      <c r="AH120" s="286" cm="1">
        <f t="array" aca="1" ref="AH120" ca="1">INDIRECT("'"&amp;$C120&amp;"'!"&amp;"$"&amp;$D120&amp;$AH$1&amp;"")</f>
        <v>3.8</v>
      </c>
      <c r="AI120" s="289">
        <v>13.96</v>
      </c>
      <c r="AJ120" s="289">
        <v>0.96</v>
      </c>
      <c r="AK120" s="287">
        <v>1.08</v>
      </c>
      <c r="AL120" s="286">
        <v>11.8</v>
      </c>
      <c r="AM120" s="290">
        <v>70</v>
      </c>
      <c r="AN120" s="286" t="str" cm="1">
        <f t="array" aca="1" ref="AN120" ca="1">INDIRECT("'"&amp;$C120&amp;"'!"&amp;"$"&amp;$D120&amp;$AL$1&amp;"")</f>
        <v>CMS</v>
      </c>
      <c r="AO120" s="289" t="s">
        <v>1</v>
      </c>
      <c r="AP120" s="287" t="s">
        <v>1</v>
      </c>
      <c r="AQ120" s="288" cm="1">
        <f t="array" aca="1" ref="AQ120" ca="1">INDIRECT("'"&amp;$C120&amp;"'!"&amp;"$"&amp;$D120&amp;$AQ$1&amp;"")</f>
        <v>4.0999999999999996</v>
      </c>
      <c r="AR120" s="289">
        <v>0.93</v>
      </c>
      <c r="AS120" s="287">
        <v>1.5</v>
      </c>
      <c r="AT120" s="289" t="str" cm="1">
        <f t="array" aca="1" ref="AT120" ca="1">INDIRECT("'"&amp;$C120&amp;"'!"&amp;"$"&amp;$D120&amp;$AT$1&amp;"")</f>
        <v>CMS</v>
      </c>
      <c r="AU120" s="288" t="s">
        <v>1</v>
      </c>
      <c r="AV120" s="289" t="s">
        <v>1</v>
      </c>
      <c r="AW120" s="287" t="s">
        <v>1</v>
      </c>
      <c r="AX120" s="291">
        <v>14.11</v>
      </c>
      <c r="AY120" s="290">
        <v>70.97</v>
      </c>
      <c r="AZ120" s="291" cm="1">
        <f t="array" aca="1" ref="AZ120" ca="1">INDIRECT("'"&amp;$C120&amp;"'!"&amp;"$"&amp;$D120&amp;$AZ$1&amp;"")</f>
        <v>14.27</v>
      </c>
      <c r="BA120" s="289">
        <v>0.98</v>
      </c>
      <c r="BB120" s="287">
        <v>3.5</v>
      </c>
      <c r="BC120" s="292">
        <v>67.8</v>
      </c>
      <c r="BD120" s="286" cm="1">
        <f t="array" aca="1" ref="BD120" ca="1">INDIRECT("'"&amp;$C120&amp;"'!"&amp;"$"&amp;$D120&amp;$BC$1&amp;"")</f>
        <v>3.5</v>
      </c>
      <c r="BE120" s="288">
        <v>0.96</v>
      </c>
      <c r="BF120" s="287">
        <v>1</v>
      </c>
      <c r="BG120" s="291" cm="1">
        <f t="array" aca="1" ref="BG120" ca="1">INDIRECT("'"&amp;$C120&amp;"'!"&amp;"$"&amp;$D120&amp;$BG$1&amp;"")</f>
        <v>1.32</v>
      </c>
      <c r="BH120" s="289"/>
      <c r="BI120" s="289">
        <v>0.99</v>
      </c>
      <c r="BJ120" s="287">
        <v>0.21</v>
      </c>
      <c r="BK120" s="292" cm="1">
        <f t="array" aca="1" ref="BK120" ca="1">INDIRECT("'"&amp;$C120&amp;"'!"&amp;"$"&amp;$D120&amp;$BK$1&amp;"")</f>
        <v>0.89</v>
      </c>
      <c r="BL120" s="289"/>
      <c r="BM120" s="289">
        <v>0.96</v>
      </c>
      <c r="BN120" s="287">
        <v>0.27</v>
      </c>
      <c r="BO120" s="292" cm="1">
        <f t="array" aca="1" ref="BO120" ca="1">INDIRECT("'"&amp;$C120&amp;"'!"&amp;"$"&amp;$D120&amp;74&amp;"")</f>
        <v>0</v>
      </c>
      <c r="BP120" s="289"/>
      <c r="BQ120" s="289" t="s">
        <v>1</v>
      </c>
      <c r="BR120" s="287" t="s">
        <v>1</v>
      </c>
    </row>
    <row r="121" spans="1:70">
      <c r="A121" s="361">
        <v>45752</v>
      </c>
      <c r="B121" s="358">
        <v>0.66666666666666696</v>
      </c>
      <c r="C121" s="313">
        <f t="shared" si="3"/>
        <v>5</v>
      </c>
      <c r="D121" s="314" t="s">
        <v>143</v>
      </c>
      <c r="E121" s="293">
        <v>14.2</v>
      </c>
      <c r="F121" s="294">
        <v>69.209999999999994</v>
      </c>
      <c r="G121" s="295" cm="1">
        <f t="array" aca="1" ref="G121" ca="1">INDIRECT("'"&amp;$C121&amp;"'!"&amp;"$"&amp;$D121&amp;$E$1&amp;"")</f>
        <v>6.7</v>
      </c>
      <c r="H121" s="296">
        <v>0.95</v>
      </c>
      <c r="I121" s="294">
        <v>2.2200000000000002</v>
      </c>
      <c r="J121" s="295" cm="1">
        <f t="array" aca="1" ref="J121" ca="1">INDIRECT("'"&amp;$C121&amp;"'!"&amp;"$"&amp;$D121&amp;$J$1&amp;"")</f>
        <v>6.7</v>
      </c>
      <c r="K121" s="296"/>
      <c r="L121" s="296">
        <v>0.95</v>
      </c>
      <c r="M121" s="294">
        <v>2.2200000000000002</v>
      </c>
      <c r="N121" s="295" cm="1">
        <f t="array" aca="1" ref="N121" ca="1">INDIRECT("'"&amp;$C121&amp;"'!"&amp;"$"&amp;$D121&amp;$N$1&amp;"")</f>
        <v>6.7</v>
      </c>
      <c r="O121" s="296"/>
      <c r="P121" s="296">
        <v>0.95</v>
      </c>
      <c r="Q121" s="294">
        <v>2.2200000000000002</v>
      </c>
      <c r="R121" s="295" cm="1">
        <f t="array" aca="1" ref="R121" ca="1">INDIRECT("'"&amp;$C121&amp;"'!"&amp;"$"&amp;$D121&amp;$R$1&amp;"")</f>
        <v>6.7</v>
      </c>
      <c r="S121" s="296"/>
      <c r="T121" s="296">
        <v>0.95</v>
      </c>
      <c r="U121" s="294">
        <v>2.2200000000000002</v>
      </c>
      <c r="V121" s="295" cm="1">
        <f t="array" aca="1" ref="V121" ca="1">INDIRECT("'"&amp;$C121&amp;"'!"&amp;"$"&amp;$D121&amp;$V$1&amp;"")</f>
        <v>2.8</v>
      </c>
      <c r="W121" s="296">
        <f>3.8*3.51</f>
        <v>13.337999999999999</v>
      </c>
      <c r="X121" s="296">
        <v>0.91</v>
      </c>
      <c r="Y121" s="297">
        <v>1.8</v>
      </c>
      <c r="Z121" s="293" cm="1">
        <f t="array" aca="1" ref="Z121" ca="1">INDIRECT("'"&amp;$C121&amp;"'!"&amp;"$"&amp;$D121&amp;$Z$1&amp;"")</f>
        <v>0</v>
      </c>
      <c r="AA121" s="296" t="s">
        <v>1</v>
      </c>
      <c r="AB121" s="296" t="s">
        <v>1</v>
      </c>
      <c r="AC121" s="294" t="s">
        <v>1</v>
      </c>
      <c r="AD121" s="295" cm="1">
        <f t="array" aca="1" ref="AD121" ca="1">INDIRECT("'"&amp;$C121&amp;"'!"&amp;"$"&amp;$D121&amp;$AD$1&amp;"")</f>
        <v>3.8</v>
      </c>
      <c r="AE121" s="296">
        <f>3.8*3.51</f>
        <v>13.337999999999999</v>
      </c>
      <c r="AF121" s="296">
        <v>0.91</v>
      </c>
      <c r="AG121" s="297">
        <v>1.8</v>
      </c>
      <c r="AH121" s="293" cm="1">
        <f t="array" aca="1" ref="AH121" ca="1">INDIRECT("'"&amp;$C121&amp;"'!"&amp;"$"&amp;$D121&amp;$AH$1&amp;"")</f>
        <v>3.8</v>
      </c>
      <c r="AI121" s="296">
        <v>13.96</v>
      </c>
      <c r="AJ121" s="296">
        <v>0.97</v>
      </c>
      <c r="AK121" s="294">
        <v>0.9</v>
      </c>
      <c r="AL121" s="293">
        <v>11.7</v>
      </c>
      <c r="AM121" s="297">
        <v>69.599999999999994</v>
      </c>
      <c r="AN121" s="293" t="str" cm="1">
        <f t="array" aca="1" ref="AN121" ca="1">INDIRECT("'"&amp;$C121&amp;"'!"&amp;"$"&amp;$D121&amp;$AL$1&amp;"")</f>
        <v>CMS</v>
      </c>
      <c r="AO121" s="296" t="s">
        <v>1</v>
      </c>
      <c r="AP121" s="294" t="s">
        <v>1</v>
      </c>
      <c r="AQ121" s="295" cm="1">
        <f t="array" aca="1" ref="AQ121" ca="1">INDIRECT("'"&amp;$C121&amp;"'!"&amp;"$"&amp;$D121&amp;$AQ$1&amp;"")</f>
        <v>4.0999999999999996</v>
      </c>
      <c r="AR121" s="296">
        <v>0.94</v>
      </c>
      <c r="AS121" s="294">
        <v>1.5</v>
      </c>
      <c r="AT121" s="296" cm="1">
        <f t="array" aca="1" ref="AT121" ca="1">INDIRECT("'"&amp;$C121&amp;"'!"&amp;"$"&amp;$D121&amp;$AT$1&amp;"")</f>
        <v>0</v>
      </c>
      <c r="AU121" s="295" t="s">
        <v>1</v>
      </c>
      <c r="AV121" s="296" t="s">
        <v>1</v>
      </c>
      <c r="AW121" s="294" t="s">
        <v>1</v>
      </c>
      <c r="AX121" s="298">
        <v>14.2</v>
      </c>
      <c r="AY121" s="297">
        <v>71.48</v>
      </c>
      <c r="AZ121" s="298" cm="1">
        <f t="array" aca="1" ref="AZ121" ca="1">INDIRECT("'"&amp;$C121&amp;"'!"&amp;"$"&amp;$D121&amp;$AZ$1&amp;"")</f>
        <v>14.25</v>
      </c>
      <c r="BA121" s="296">
        <v>0.98</v>
      </c>
      <c r="BB121" s="294">
        <v>3.5</v>
      </c>
      <c r="BC121" s="299">
        <v>67.900000000000006</v>
      </c>
      <c r="BD121" s="293" cm="1">
        <f t="array" aca="1" ref="BD121" ca="1">INDIRECT("'"&amp;$C121&amp;"'!"&amp;"$"&amp;$D121&amp;$BC$1&amp;"")</f>
        <v>1.4</v>
      </c>
      <c r="BE121" s="295">
        <v>0.96</v>
      </c>
      <c r="BF121" s="294">
        <v>0.4</v>
      </c>
      <c r="BG121" s="298" cm="1">
        <f t="array" aca="1" ref="BG121" ca="1">INDIRECT("'"&amp;$C121&amp;"'!"&amp;"$"&amp;$D121&amp;$BG$1&amp;"")</f>
        <v>1.3</v>
      </c>
      <c r="BH121" s="296"/>
      <c r="BI121" s="296">
        <v>0.99</v>
      </c>
      <c r="BJ121" s="294">
        <v>0.22</v>
      </c>
      <c r="BK121" s="299" cm="1">
        <f t="array" aca="1" ref="BK121" ca="1">INDIRECT("'"&amp;$C121&amp;"'!"&amp;"$"&amp;$D121&amp;$BK$1&amp;"")</f>
        <v>0.86</v>
      </c>
      <c r="BL121" s="296"/>
      <c r="BM121" s="296">
        <v>0.95</v>
      </c>
      <c r="BN121" s="294">
        <v>0.27</v>
      </c>
      <c r="BO121" s="299" cm="1">
        <f t="array" aca="1" ref="BO121" ca="1">INDIRECT("'"&amp;$C121&amp;"'!"&amp;"$"&amp;$D121&amp;74&amp;"")</f>
        <v>0</v>
      </c>
      <c r="BP121" s="296"/>
      <c r="BQ121" s="296" t="s">
        <v>1</v>
      </c>
      <c r="BR121" s="294" t="s">
        <v>1</v>
      </c>
    </row>
    <row r="122" spans="1:70">
      <c r="A122" s="361">
        <v>45752</v>
      </c>
      <c r="B122" s="358">
        <v>0.70833333333333404</v>
      </c>
      <c r="C122" s="313">
        <f t="shared" si="3"/>
        <v>5</v>
      </c>
      <c r="D122" s="314" t="s">
        <v>144</v>
      </c>
      <c r="E122" s="286">
        <v>14.2</v>
      </c>
      <c r="F122" s="287">
        <v>69.209999999999994</v>
      </c>
      <c r="G122" s="288" cm="1">
        <f t="array" aca="1" ref="G122" ca="1">INDIRECT("'"&amp;$C122&amp;"'!"&amp;"$"&amp;$D122&amp;$E$1&amp;"")</f>
        <v>6.4</v>
      </c>
      <c r="H122" s="289">
        <v>0.97</v>
      </c>
      <c r="I122" s="287">
        <v>1.53</v>
      </c>
      <c r="J122" s="288" cm="1">
        <f t="array" aca="1" ref="J122" ca="1">INDIRECT("'"&amp;$C122&amp;"'!"&amp;"$"&amp;$D122&amp;$J$1&amp;"")</f>
        <v>6.4</v>
      </c>
      <c r="K122" s="289"/>
      <c r="L122" s="289">
        <v>0.97</v>
      </c>
      <c r="M122" s="287">
        <v>1.53</v>
      </c>
      <c r="N122" s="288" cm="1">
        <f t="array" aca="1" ref="N122" ca="1">INDIRECT("'"&amp;$C122&amp;"'!"&amp;"$"&amp;$D122&amp;$N$1&amp;"")</f>
        <v>6.4</v>
      </c>
      <c r="O122" s="289"/>
      <c r="P122" s="289">
        <v>0.97</v>
      </c>
      <c r="Q122" s="287">
        <v>1.53</v>
      </c>
      <c r="R122" s="288" cm="1">
        <f t="array" aca="1" ref="R122" ca="1">INDIRECT("'"&amp;$C122&amp;"'!"&amp;"$"&amp;$D122&amp;$R$1&amp;"")</f>
        <v>6.4</v>
      </c>
      <c r="S122" s="289"/>
      <c r="T122" s="289">
        <v>0.97</v>
      </c>
      <c r="U122" s="287">
        <v>1.53</v>
      </c>
      <c r="V122" s="288" cm="1">
        <f t="array" aca="1" ref="V122" ca="1">INDIRECT("'"&amp;$C122&amp;"'!"&amp;"$"&amp;$D122&amp;$V$1&amp;"")</f>
        <v>2.1</v>
      </c>
      <c r="W122" s="289">
        <f>3.8*3.52</f>
        <v>13.375999999999999</v>
      </c>
      <c r="X122" s="289">
        <v>0.94</v>
      </c>
      <c r="Y122" s="290">
        <v>0.78</v>
      </c>
      <c r="Z122" s="286" cm="1">
        <f t="array" aca="1" ref="Z122" ca="1">INDIRECT("'"&amp;$C122&amp;"'!"&amp;"$"&amp;$D122&amp;$Z$1&amp;"")</f>
        <v>0</v>
      </c>
      <c r="AA122" s="289" t="s">
        <v>1</v>
      </c>
      <c r="AB122" s="289" t="s">
        <v>1</v>
      </c>
      <c r="AC122" s="287" t="s">
        <v>1</v>
      </c>
      <c r="AD122" s="288" cm="1">
        <f t="array" aca="1" ref="AD122" ca="1">INDIRECT("'"&amp;$C122&amp;"'!"&amp;"$"&amp;$D122&amp;$AD$1&amp;"")</f>
        <v>3</v>
      </c>
      <c r="AE122" s="289">
        <f>3.8*3.52</f>
        <v>13.375999999999999</v>
      </c>
      <c r="AF122" s="289">
        <v>0.94</v>
      </c>
      <c r="AG122" s="290">
        <v>1.1000000000000001</v>
      </c>
      <c r="AH122" s="286" cm="1">
        <f t="array" aca="1" ref="AH122" ca="1">INDIRECT("'"&amp;$C122&amp;"'!"&amp;"$"&amp;$D122&amp;$AH$1&amp;"")</f>
        <v>3</v>
      </c>
      <c r="AI122" s="289">
        <v>14</v>
      </c>
      <c r="AJ122" s="289">
        <v>0.97</v>
      </c>
      <c r="AK122" s="287">
        <v>0.81299999999999994</v>
      </c>
      <c r="AL122" s="286">
        <v>11.8</v>
      </c>
      <c r="AM122" s="290">
        <v>70</v>
      </c>
      <c r="AN122" s="286" t="str" cm="1">
        <f t="array" aca="1" ref="AN122" ca="1">INDIRECT("'"&amp;$C122&amp;"'!"&amp;"$"&amp;$D122&amp;$AL$1&amp;"")</f>
        <v>CMS</v>
      </c>
      <c r="AO122" s="289" t="s">
        <v>1</v>
      </c>
      <c r="AP122" s="287" t="s">
        <v>1</v>
      </c>
      <c r="AQ122" s="288" cm="1">
        <f t="array" aca="1" ref="AQ122" ca="1">INDIRECT("'"&amp;$C122&amp;"'!"&amp;"$"&amp;$D122&amp;$AQ$1&amp;"")</f>
        <v>2.5</v>
      </c>
      <c r="AR122" s="289">
        <v>0.9</v>
      </c>
      <c r="AS122" s="287">
        <v>1.2</v>
      </c>
      <c r="AT122" s="289" cm="1">
        <f t="array" aca="1" ref="AT122" ca="1">INDIRECT("'"&amp;$C122&amp;"'!"&amp;"$"&amp;$D122&amp;$AT$1&amp;"")</f>
        <v>0</v>
      </c>
      <c r="AU122" s="288" t="s">
        <v>1</v>
      </c>
      <c r="AV122" s="289" t="s">
        <v>1</v>
      </c>
      <c r="AW122" s="287" t="s">
        <v>1</v>
      </c>
      <c r="AX122" s="291">
        <v>14.17</v>
      </c>
      <c r="AY122" s="290">
        <v>71.39</v>
      </c>
      <c r="AZ122" s="291" cm="1">
        <f t="array" aca="1" ref="AZ122" ca="1">INDIRECT("'"&amp;$C122&amp;"'!"&amp;"$"&amp;$D122&amp;$AZ$1&amp;"")</f>
        <v>12.81</v>
      </c>
      <c r="BA122" s="289">
        <v>0.98</v>
      </c>
      <c r="BB122" s="287">
        <v>3.3</v>
      </c>
      <c r="BC122" s="292">
        <v>68.2</v>
      </c>
      <c r="BD122" s="286" cm="1">
        <f t="array" aca="1" ref="BD122" ca="1">INDIRECT("'"&amp;$C122&amp;"'!"&amp;"$"&amp;$D122&amp;$BC$1&amp;"")</f>
        <v>0</v>
      </c>
      <c r="BE122" s="288" t="s">
        <v>1</v>
      </c>
      <c r="BF122" s="287" t="s">
        <v>1</v>
      </c>
      <c r="BG122" s="291" cm="1">
        <f t="array" aca="1" ref="BG122" ca="1">INDIRECT("'"&amp;$C122&amp;"'!"&amp;"$"&amp;$D122&amp;$BG$1&amp;"")</f>
        <v>1.31</v>
      </c>
      <c r="BH122" s="289"/>
      <c r="BI122" s="289">
        <v>0.99</v>
      </c>
      <c r="BJ122" s="287">
        <v>0.21</v>
      </c>
      <c r="BK122" s="292" cm="1">
        <f t="array" aca="1" ref="BK122" ca="1">INDIRECT("'"&amp;$C122&amp;"'!"&amp;"$"&amp;$D122&amp;$BK$1&amp;"")</f>
        <v>0.85</v>
      </c>
      <c r="BL122" s="289"/>
      <c r="BM122" s="289">
        <v>0.95</v>
      </c>
      <c r="BN122" s="287">
        <v>0.27</v>
      </c>
      <c r="BO122" s="292" cm="1">
        <f t="array" aca="1" ref="BO122" ca="1">INDIRECT("'"&amp;$C122&amp;"'!"&amp;"$"&amp;$D122&amp;74&amp;"")</f>
        <v>0</v>
      </c>
      <c r="BP122" s="289"/>
      <c r="BQ122" s="289" t="s">
        <v>1</v>
      </c>
      <c r="BR122" s="287" t="s">
        <v>1</v>
      </c>
    </row>
    <row r="123" spans="1:70">
      <c r="A123" s="361">
        <v>45752</v>
      </c>
      <c r="B123" s="358">
        <v>0.750000000000001</v>
      </c>
      <c r="C123" s="313">
        <f t="shared" si="3"/>
        <v>5</v>
      </c>
      <c r="D123" s="314" t="s">
        <v>145</v>
      </c>
      <c r="E123" s="293">
        <v>14.2</v>
      </c>
      <c r="F123" s="294">
        <v>69.37</v>
      </c>
      <c r="G123" s="295" cm="1">
        <f t="array" aca="1" ref="G123" ca="1">INDIRECT("'"&amp;$C123&amp;"'!"&amp;"$"&amp;$D123&amp;$E$1&amp;"")</f>
        <v>6.7</v>
      </c>
      <c r="H123" s="296">
        <v>0.97</v>
      </c>
      <c r="I123" s="294">
        <v>2.35</v>
      </c>
      <c r="J123" s="295" cm="1">
        <f t="array" aca="1" ref="J123" ca="1">INDIRECT("'"&amp;$C123&amp;"'!"&amp;"$"&amp;$D123&amp;$J$1&amp;"")</f>
        <v>6.7</v>
      </c>
      <c r="K123" s="296"/>
      <c r="L123" s="296">
        <v>0.97</v>
      </c>
      <c r="M123" s="294">
        <v>2.35</v>
      </c>
      <c r="N123" s="295" cm="1">
        <f t="array" aca="1" ref="N123" ca="1">INDIRECT("'"&amp;$C123&amp;"'!"&amp;"$"&amp;$D123&amp;$N$1&amp;"")</f>
        <v>6.7</v>
      </c>
      <c r="O123" s="296"/>
      <c r="P123" s="296">
        <v>0.97</v>
      </c>
      <c r="Q123" s="294">
        <v>2.35</v>
      </c>
      <c r="R123" s="295" cm="1">
        <f t="array" aca="1" ref="R123" ca="1">INDIRECT("'"&amp;$C123&amp;"'!"&amp;"$"&amp;$D123&amp;$R$1&amp;"")</f>
        <v>6.7</v>
      </c>
      <c r="S123" s="296"/>
      <c r="T123" s="296">
        <v>0.97</v>
      </c>
      <c r="U123" s="294">
        <v>2.35</v>
      </c>
      <c r="V123" s="295" cm="1">
        <f t="array" aca="1" ref="V123" ca="1">INDIRECT("'"&amp;$C123&amp;"'!"&amp;"$"&amp;$D123&amp;$V$1&amp;"")</f>
        <v>2.8</v>
      </c>
      <c r="W123" s="296">
        <f>3.8*3.54</f>
        <v>13.452</v>
      </c>
      <c r="X123" s="296">
        <v>0.94</v>
      </c>
      <c r="Y123" s="297">
        <v>0.99</v>
      </c>
      <c r="Z123" s="293" cm="1">
        <f t="array" aca="1" ref="Z123" ca="1">INDIRECT("'"&amp;$C123&amp;"'!"&amp;"$"&amp;$D123&amp;$Z$1&amp;"")</f>
        <v>0</v>
      </c>
      <c r="AA123" s="296" t="s">
        <v>1</v>
      </c>
      <c r="AB123" s="296" t="s">
        <v>1</v>
      </c>
      <c r="AC123" s="294" t="s">
        <v>1</v>
      </c>
      <c r="AD123" s="295" cm="1">
        <f t="array" aca="1" ref="AD123" ca="1">INDIRECT("'"&amp;$C123&amp;"'!"&amp;"$"&amp;$D123&amp;$AD$1&amp;"")</f>
        <v>3.8</v>
      </c>
      <c r="AE123" s="296">
        <f>3.8*3.54</f>
        <v>13.452</v>
      </c>
      <c r="AF123" s="296">
        <v>0.94</v>
      </c>
      <c r="AG123" s="297">
        <v>1.35</v>
      </c>
      <c r="AH123" s="293" cm="1">
        <f t="array" aca="1" ref="AH123" ca="1">INDIRECT("'"&amp;$C123&amp;"'!"&amp;"$"&amp;$D123&amp;$AH$1&amp;"")</f>
        <v>3.8</v>
      </c>
      <c r="AI123" s="296">
        <v>14</v>
      </c>
      <c r="AJ123" s="296">
        <v>0.98</v>
      </c>
      <c r="AK123" s="294">
        <v>0.65300000000000002</v>
      </c>
      <c r="AL123" s="293">
        <v>11.8</v>
      </c>
      <c r="AM123" s="297">
        <v>70.099999999999994</v>
      </c>
      <c r="AN123" s="293" t="str" cm="1">
        <f t="array" aca="1" ref="AN123" ca="1">INDIRECT("'"&amp;$C123&amp;"'!"&amp;"$"&amp;$D123&amp;$AL$1&amp;"")</f>
        <v>CMS</v>
      </c>
      <c r="AO123" s="296" t="s">
        <v>1</v>
      </c>
      <c r="AP123" s="294" t="s">
        <v>1</v>
      </c>
      <c r="AQ123" s="295" cm="1">
        <f t="array" aca="1" ref="AQ123" ca="1">INDIRECT("'"&amp;$C123&amp;"'!"&amp;"$"&amp;$D123&amp;$AQ$1&amp;"")</f>
        <v>3.4</v>
      </c>
      <c r="AR123" s="296">
        <v>0.96</v>
      </c>
      <c r="AS123" s="294">
        <v>1</v>
      </c>
      <c r="AT123" s="296" cm="1">
        <f t="array" aca="1" ref="AT123" ca="1">INDIRECT("'"&amp;$C123&amp;"'!"&amp;"$"&amp;$D123&amp;$AT$1&amp;"")</f>
        <v>0</v>
      </c>
      <c r="AU123" s="295" t="s">
        <v>1</v>
      </c>
      <c r="AV123" s="296" t="s">
        <v>1</v>
      </c>
      <c r="AW123" s="294" t="s">
        <v>1</v>
      </c>
      <c r="AX123" s="298">
        <v>14.2</v>
      </c>
      <c r="AY123" s="297">
        <v>71.540000000000006</v>
      </c>
      <c r="AZ123" s="298" cm="1">
        <f t="array" aca="1" ref="AZ123" ca="1">INDIRECT("'"&amp;$C123&amp;"'!"&amp;"$"&amp;$D123&amp;$AZ$1&amp;"")</f>
        <v>13.52</v>
      </c>
      <c r="BA123" s="296">
        <v>0.98</v>
      </c>
      <c r="BB123" s="294">
        <v>3.3</v>
      </c>
      <c r="BC123" s="299">
        <v>68</v>
      </c>
      <c r="BD123" s="293" cm="1">
        <f t="array" aca="1" ref="BD123" ca="1">INDIRECT("'"&amp;$C123&amp;"'!"&amp;"$"&amp;$D123&amp;$BC$1&amp;"")</f>
        <v>0</v>
      </c>
      <c r="BE123" s="295" t="s">
        <v>1</v>
      </c>
      <c r="BF123" s="294" t="s">
        <v>1</v>
      </c>
      <c r="BG123" s="298" cm="1">
        <f t="array" aca="1" ref="BG123" ca="1">INDIRECT("'"&amp;$C123&amp;"'!"&amp;"$"&amp;$D123&amp;$BG$1&amp;"")</f>
        <v>1.3</v>
      </c>
      <c r="BH123" s="296"/>
      <c r="BI123" s="296">
        <v>0.99</v>
      </c>
      <c r="BJ123" s="294">
        <v>0.2</v>
      </c>
      <c r="BK123" s="299" cm="1">
        <f t="array" aca="1" ref="BK123" ca="1">INDIRECT("'"&amp;$C123&amp;"'!"&amp;"$"&amp;$D123&amp;$BK$1&amp;"")</f>
        <v>0.83</v>
      </c>
      <c r="BL123" s="296"/>
      <c r="BM123" s="296">
        <v>0.95</v>
      </c>
      <c r="BN123" s="294">
        <v>0.26</v>
      </c>
      <c r="BO123" s="299" cm="1">
        <f t="array" aca="1" ref="BO123" ca="1">INDIRECT("'"&amp;$C123&amp;"'!"&amp;"$"&amp;$D123&amp;74&amp;"")</f>
        <v>0</v>
      </c>
      <c r="BP123" s="296"/>
      <c r="BQ123" s="296" t="s">
        <v>1</v>
      </c>
      <c r="BR123" s="294" t="s">
        <v>1</v>
      </c>
    </row>
    <row r="124" spans="1:70">
      <c r="A124" s="361">
        <v>45752</v>
      </c>
      <c r="B124" s="358">
        <v>0.79166666666666696</v>
      </c>
      <c r="C124" s="313">
        <f t="shared" si="3"/>
        <v>5</v>
      </c>
      <c r="D124" s="314" t="s">
        <v>146</v>
      </c>
      <c r="E124" s="286">
        <v>14.2</v>
      </c>
      <c r="F124" s="287">
        <v>69.790000000000006</v>
      </c>
      <c r="G124" s="288" cm="1">
        <f t="array" aca="1" ref="G124" ca="1">INDIRECT("'"&amp;$C124&amp;"'!"&amp;"$"&amp;$D124&amp;$E$1&amp;"")</f>
        <v>6.8</v>
      </c>
      <c r="H124" s="289">
        <v>0.97</v>
      </c>
      <c r="I124" s="287">
        <v>1.99</v>
      </c>
      <c r="J124" s="288" cm="1">
        <f t="array" aca="1" ref="J124" ca="1">INDIRECT("'"&amp;$C124&amp;"'!"&amp;"$"&amp;$D124&amp;$J$1&amp;"")</f>
        <v>6.8</v>
      </c>
      <c r="K124" s="300"/>
      <c r="L124" s="289">
        <v>0.97</v>
      </c>
      <c r="M124" s="287">
        <v>1.99</v>
      </c>
      <c r="N124" s="288" cm="1">
        <f t="array" aca="1" ref="N124" ca="1">INDIRECT("'"&amp;$C124&amp;"'!"&amp;"$"&amp;$D124&amp;$N$1&amp;"")</f>
        <v>6.8</v>
      </c>
      <c r="O124" s="289"/>
      <c r="P124" s="289">
        <v>0.97</v>
      </c>
      <c r="Q124" s="287">
        <v>1.99</v>
      </c>
      <c r="R124" s="288" cm="1">
        <f t="array" aca="1" ref="R124" ca="1">INDIRECT("'"&amp;$C124&amp;"'!"&amp;"$"&amp;$D124&amp;$R$1&amp;"")</f>
        <v>6.8</v>
      </c>
      <c r="S124" s="289"/>
      <c r="T124" s="289">
        <v>0.97</v>
      </c>
      <c r="U124" s="287">
        <v>1.99</v>
      </c>
      <c r="V124" s="288" cm="1">
        <f t="array" aca="1" ref="V124" ca="1">INDIRECT("'"&amp;$C124&amp;"'!"&amp;"$"&amp;$D124&amp;$V$1&amp;"")</f>
        <v>2.8</v>
      </c>
      <c r="W124" s="289">
        <f>3.53*3.8</f>
        <v>13.413999999999998</v>
      </c>
      <c r="X124" s="289">
        <v>0.95</v>
      </c>
      <c r="Y124" s="290">
        <v>0.89</v>
      </c>
      <c r="Z124" s="286" cm="1">
        <f t="array" aca="1" ref="Z124" ca="1">INDIRECT("'"&amp;$C124&amp;"'!"&amp;"$"&amp;$D124&amp;$Z$1&amp;"")</f>
        <v>0</v>
      </c>
      <c r="AA124" s="289" t="s">
        <v>1</v>
      </c>
      <c r="AB124" s="289" t="s">
        <v>1</v>
      </c>
      <c r="AC124" s="287" t="s">
        <v>1</v>
      </c>
      <c r="AD124" s="288" cm="1">
        <f t="array" aca="1" ref="AD124" ca="1">INDIRECT("'"&amp;$C124&amp;"'!"&amp;"$"&amp;$D124&amp;$AD$1&amp;"")</f>
        <v>3.8</v>
      </c>
      <c r="AE124" s="289">
        <v>13.413999999999998</v>
      </c>
      <c r="AF124" s="289">
        <v>0.95</v>
      </c>
      <c r="AG124" s="290">
        <v>1.22</v>
      </c>
      <c r="AH124" s="286" cm="1">
        <f t="array" aca="1" ref="AH124" ca="1">INDIRECT("'"&amp;$C124&amp;"'!"&amp;"$"&amp;$D124&amp;$AH$1&amp;"")</f>
        <v>3.8</v>
      </c>
      <c r="AI124" s="289">
        <v>14.04</v>
      </c>
      <c r="AJ124" s="289">
        <v>0.98</v>
      </c>
      <c r="AK124" s="287">
        <v>0.58499999999999996</v>
      </c>
      <c r="AL124" s="286">
        <v>11.9</v>
      </c>
      <c r="AM124" s="290">
        <v>70.400000000000006</v>
      </c>
      <c r="AN124" s="286" t="str" cm="1">
        <f t="array" aca="1" ref="AN124" ca="1">INDIRECT("'"&amp;$C124&amp;"'!"&amp;"$"&amp;$D124&amp;$AL$1&amp;"")</f>
        <v>CMS</v>
      </c>
      <c r="AO124" s="289" t="s">
        <v>1</v>
      </c>
      <c r="AP124" s="287" t="s">
        <v>1</v>
      </c>
      <c r="AQ124" s="288" cm="1">
        <f t="array" aca="1" ref="AQ124" ca="1">INDIRECT("'"&amp;$C124&amp;"'!"&amp;"$"&amp;$D124&amp;$AQ$1&amp;"")</f>
        <v>4.3</v>
      </c>
      <c r="AR124" s="289">
        <v>0.94</v>
      </c>
      <c r="AS124" s="287">
        <v>1.4</v>
      </c>
      <c r="AT124" s="289" cm="1">
        <f t="array" aca="1" ref="AT124" ca="1">INDIRECT("'"&amp;$C124&amp;"'!"&amp;"$"&amp;$D124&amp;$AT$1&amp;"")</f>
        <v>0</v>
      </c>
      <c r="AU124" s="288" t="s">
        <v>1</v>
      </c>
      <c r="AV124" s="289" t="s">
        <v>1</v>
      </c>
      <c r="AW124" s="287" t="s">
        <v>1</v>
      </c>
      <c r="AX124" s="291">
        <v>14.26</v>
      </c>
      <c r="AY124" s="290">
        <v>71.739999999999995</v>
      </c>
      <c r="AZ124" s="291" cm="1">
        <f t="array" aca="1" ref="AZ124" ca="1">INDIRECT("'"&amp;$C124&amp;"'!"&amp;"$"&amp;$D124&amp;$AZ$1&amp;"")</f>
        <v>14.27</v>
      </c>
      <c r="BA124" s="289">
        <v>0.98</v>
      </c>
      <c r="BB124" s="287">
        <v>3.5</v>
      </c>
      <c r="BC124" s="292">
        <v>68.400000000000006</v>
      </c>
      <c r="BD124" s="286" cm="1">
        <f t="array" aca="1" ref="BD124" ca="1">INDIRECT("'"&amp;$C124&amp;"'!"&amp;"$"&amp;$D124&amp;$BC$1&amp;"")</f>
        <v>2.0999999999999996</v>
      </c>
      <c r="BE124" s="288">
        <v>0.96</v>
      </c>
      <c r="BF124" s="287">
        <v>0.53</v>
      </c>
      <c r="BG124" s="291" cm="1">
        <f t="array" aca="1" ref="BG124" ca="1">INDIRECT("'"&amp;$C124&amp;"'!"&amp;"$"&amp;$D124&amp;$BG$1&amp;"")</f>
        <v>1.56</v>
      </c>
      <c r="BH124" s="289"/>
      <c r="BI124" s="289">
        <v>0.99</v>
      </c>
      <c r="BJ124" s="287">
        <v>0.21</v>
      </c>
      <c r="BK124" s="292" cm="1">
        <f t="array" aca="1" ref="BK124" ca="1">INDIRECT("'"&amp;$C124&amp;"'!"&amp;"$"&amp;$D124&amp;$BK$1&amp;"")</f>
        <v>0.96</v>
      </c>
      <c r="BL124" s="289"/>
      <c r="BM124" s="289">
        <v>0.96</v>
      </c>
      <c r="BN124" s="287">
        <v>0.27</v>
      </c>
      <c r="BO124" s="292" cm="1">
        <f t="array" aca="1" ref="BO124" ca="1">INDIRECT("'"&amp;$C124&amp;"'!"&amp;"$"&amp;$D124&amp;74&amp;"")</f>
        <v>0</v>
      </c>
      <c r="BP124" s="289"/>
      <c r="BQ124" s="289" t="s">
        <v>1</v>
      </c>
      <c r="BR124" s="287" t="s">
        <v>1</v>
      </c>
    </row>
    <row r="125" spans="1:70">
      <c r="A125" s="361">
        <v>45752</v>
      </c>
      <c r="B125" s="358">
        <v>0.83333333333333337</v>
      </c>
      <c r="C125" s="313">
        <f t="shared" si="3"/>
        <v>5</v>
      </c>
      <c r="D125" s="314" t="s">
        <v>147</v>
      </c>
      <c r="E125" s="293">
        <v>14.1</v>
      </c>
      <c r="F125" s="294">
        <v>9.74</v>
      </c>
      <c r="G125" s="295" cm="1">
        <f t="array" aca="1" ref="G125" ca="1">INDIRECT("'"&amp;$C125&amp;"'!"&amp;"$"&amp;$D125&amp;$E$1&amp;"")</f>
        <v>6.7</v>
      </c>
      <c r="H125" s="296">
        <v>0.97</v>
      </c>
      <c r="I125" s="294">
        <v>1.77</v>
      </c>
      <c r="J125" s="295" cm="1">
        <f t="array" aca="1" ref="J125" ca="1">INDIRECT("'"&amp;$C125&amp;"'!"&amp;"$"&amp;$D125&amp;$J$1&amp;"")</f>
        <v>6.7</v>
      </c>
      <c r="K125" s="296"/>
      <c r="L125" s="296">
        <v>0.97</v>
      </c>
      <c r="M125" s="294">
        <v>1.75</v>
      </c>
      <c r="N125" s="295" cm="1">
        <f t="array" aca="1" ref="N125" ca="1">INDIRECT("'"&amp;$C125&amp;"'!"&amp;"$"&amp;$D125&amp;$N$1&amp;"")</f>
        <v>6.7</v>
      </c>
      <c r="O125" s="296"/>
      <c r="P125" s="296">
        <v>0.97</v>
      </c>
      <c r="Q125" s="294">
        <v>1.74</v>
      </c>
      <c r="R125" s="295" cm="1">
        <f t="array" aca="1" ref="R125" ca="1">INDIRECT("'"&amp;$C125&amp;"'!"&amp;"$"&amp;$D125&amp;$R$1&amp;"")</f>
        <v>6.7</v>
      </c>
      <c r="S125" s="296"/>
      <c r="T125" s="296">
        <v>0.97</v>
      </c>
      <c r="U125" s="294">
        <v>1.71</v>
      </c>
      <c r="V125" s="295" cm="1">
        <f t="array" aca="1" ref="V125" ca="1">INDIRECT("'"&amp;$C125&amp;"'!"&amp;"$"&amp;$D125&amp;$V$1&amp;"")</f>
        <v>2.8</v>
      </c>
      <c r="W125" s="296">
        <f>3.56*3.8</f>
        <v>13.527999999999999</v>
      </c>
      <c r="X125" s="296">
        <v>0.95</v>
      </c>
      <c r="Y125" s="297">
        <v>0.8</v>
      </c>
      <c r="Z125" s="293" cm="1">
        <f t="array" aca="1" ref="Z125" ca="1">INDIRECT("'"&amp;$C125&amp;"'!"&amp;"$"&amp;$D125&amp;$Z$1&amp;"")</f>
        <v>0</v>
      </c>
      <c r="AA125" s="296" t="s">
        <v>1</v>
      </c>
      <c r="AB125" s="296" t="s">
        <v>1</v>
      </c>
      <c r="AC125" s="294" t="s">
        <v>1</v>
      </c>
      <c r="AD125" s="295" cm="1">
        <f t="array" aca="1" ref="AD125" ca="1">INDIRECT("'"&amp;$C125&amp;"'!"&amp;"$"&amp;$D125&amp;$AD$1&amp;"")</f>
        <v>3.8</v>
      </c>
      <c r="AE125" s="296">
        <v>13.527999999999999</v>
      </c>
      <c r="AF125" s="296">
        <v>0.95</v>
      </c>
      <c r="AG125" s="297">
        <v>1.25</v>
      </c>
      <c r="AH125" s="293" cm="1">
        <f t="array" aca="1" ref="AH125" ca="1">INDIRECT("'"&amp;$C125&amp;"'!"&amp;"$"&amp;$D125&amp;$AH$1&amp;"")</f>
        <v>3.8</v>
      </c>
      <c r="AI125" s="296">
        <v>14.04</v>
      </c>
      <c r="AJ125" s="296">
        <v>0.98</v>
      </c>
      <c r="AK125" s="294">
        <v>0.51600000000000001</v>
      </c>
      <c r="AL125" s="293">
        <v>11.9</v>
      </c>
      <c r="AM125" s="297">
        <v>70.599999999999994</v>
      </c>
      <c r="AN125" s="293" t="str" cm="1">
        <f t="array" aca="1" ref="AN125" ca="1">INDIRECT("'"&amp;$C125&amp;"'!"&amp;"$"&amp;$D125&amp;$AL$1&amp;"")</f>
        <v>CMS</v>
      </c>
      <c r="AO125" s="296" t="s">
        <v>1</v>
      </c>
      <c r="AP125" s="294" t="s">
        <v>1</v>
      </c>
      <c r="AQ125" s="295" cm="1">
        <f t="array" aca="1" ref="AQ125" ca="1">INDIRECT("'"&amp;$C125&amp;"'!"&amp;"$"&amp;$D125&amp;$AQ$1&amp;"")</f>
        <v>4.2</v>
      </c>
      <c r="AR125" s="296">
        <v>0.95</v>
      </c>
      <c r="AS125" s="294">
        <v>1.2</v>
      </c>
      <c r="AT125" s="296" cm="1">
        <f t="array" aca="1" ref="AT125" ca="1">INDIRECT("'"&amp;$C125&amp;"'!"&amp;"$"&amp;$D125&amp;$AT$1&amp;"")</f>
        <v>0</v>
      </c>
      <c r="AU125" s="295" t="s">
        <v>1</v>
      </c>
      <c r="AV125" s="296" t="s">
        <v>1</v>
      </c>
      <c r="AW125" s="294" t="s">
        <v>1</v>
      </c>
      <c r="AX125" s="298">
        <v>14.31</v>
      </c>
      <c r="AY125" s="297">
        <v>71.92</v>
      </c>
      <c r="AZ125" s="298" cm="1">
        <f t="array" aca="1" ref="AZ125" ca="1">INDIRECT("'"&amp;$C125&amp;"'!"&amp;"$"&amp;$D125&amp;$AZ$1&amp;"")</f>
        <v>14.29</v>
      </c>
      <c r="BA125" s="296">
        <v>0.98</v>
      </c>
      <c r="BB125" s="294">
        <v>3.5</v>
      </c>
      <c r="BC125" s="299">
        <v>68.8</v>
      </c>
      <c r="BD125" s="293" cm="1">
        <f t="array" aca="1" ref="BD125" ca="1">INDIRECT("'"&amp;$C125&amp;"'!"&amp;"$"&amp;$D125&amp;$BC$1&amp;"")</f>
        <v>0.7</v>
      </c>
      <c r="BE125" s="295">
        <v>0.97</v>
      </c>
      <c r="BF125" s="294">
        <v>0.18</v>
      </c>
      <c r="BG125" s="298" cm="1">
        <f t="array" aca="1" ref="BG125" ca="1">INDIRECT("'"&amp;$C125&amp;"'!"&amp;"$"&amp;$D125&amp;$BG$1&amp;"")</f>
        <v>1.57</v>
      </c>
      <c r="BH125" s="296"/>
      <c r="BI125" s="296">
        <v>0.99</v>
      </c>
      <c r="BJ125" s="294">
        <v>0.22</v>
      </c>
      <c r="BK125" s="299" cm="1">
        <f t="array" aca="1" ref="BK125" ca="1">INDIRECT("'"&amp;$C125&amp;"'!"&amp;"$"&amp;$D125&amp;$BK$1&amp;"")</f>
        <v>0.94</v>
      </c>
      <c r="BL125" s="296"/>
      <c r="BM125" s="296">
        <v>0.96</v>
      </c>
      <c r="BN125" s="294">
        <v>0.27</v>
      </c>
      <c r="BO125" s="299" cm="1">
        <f t="array" aca="1" ref="BO125" ca="1">INDIRECT("'"&amp;$C125&amp;"'!"&amp;"$"&amp;$D125&amp;74&amp;"")</f>
        <v>0</v>
      </c>
      <c r="BP125" s="296"/>
      <c r="BQ125" s="296" t="s">
        <v>1</v>
      </c>
      <c r="BR125" s="294" t="s">
        <v>1</v>
      </c>
    </row>
    <row r="126" spans="1:70">
      <c r="A126" s="361">
        <v>45752</v>
      </c>
      <c r="B126" s="358">
        <v>0.875000000000001</v>
      </c>
      <c r="C126" s="313">
        <f t="shared" si="3"/>
        <v>5</v>
      </c>
      <c r="D126" s="314" t="s">
        <v>148</v>
      </c>
      <c r="E126" s="286">
        <v>14.1</v>
      </c>
      <c r="F126" s="287">
        <v>69.95</v>
      </c>
      <c r="G126" s="288" cm="1">
        <f t="array" aca="1" ref="G126" ca="1">INDIRECT("'"&amp;$C126&amp;"'!"&amp;"$"&amp;$D126&amp;$E$1&amp;"")</f>
        <v>6.7</v>
      </c>
      <c r="H126" s="289">
        <v>0.97</v>
      </c>
      <c r="I126" s="287">
        <v>1.72</v>
      </c>
      <c r="J126" s="288" cm="1">
        <f t="array" aca="1" ref="J126" ca="1">INDIRECT("'"&amp;$C126&amp;"'!"&amp;"$"&amp;$D126&amp;$J$1&amp;"")</f>
        <v>6.7</v>
      </c>
      <c r="K126" s="289"/>
      <c r="L126" s="289">
        <v>0.97</v>
      </c>
      <c r="M126" s="287">
        <v>1.7</v>
      </c>
      <c r="N126" s="288" cm="1">
        <f t="array" aca="1" ref="N126" ca="1">INDIRECT("'"&amp;$C126&amp;"'!"&amp;"$"&amp;$D126&amp;$N$1&amp;"")</f>
        <v>6.7</v>
      </c>
      <c r="O126" s="289"/>
      <c r="P126" s="289">
        <v>0.97</v>
      </c>
      <c r="Q126" s="287">
        <v>1.73</v>
      </c>
      <c r="R126" s="288" cm="1">
        <f t="array" aca="1" ref="R126" ca="1">INDIRECT("'"&amp;$C126&amp;"'!"&amp;"$"&amp;$D126&amp;$R$1&amp;"")</f>
        <v>6.7</v>
      </c>
      <c r="S126" s="289"/>
      <c r="T126" s="289">
        <v>0.97</v>
      </c>
      <c r="U126" s="287">
        <v>1.71</v>
      </c>
      <c r="V126" s="288" cm="1">
        <f t="array" aca="1" ref="V126" ca="1">INDIRECT("'"&amp;$C126&amp;"'!"&amp;"$"&amp;$D126&amp;$V$1&amp;"")</f>
        <v>2.8</v>
      </c>
      <c r="W126" s="289">
        <f>3.55*3.8</f>
        <v>13.489999999999998</v>
      </c>
      <c r="X126" s="289">
        <v>0.98</v>
      </c>
      <c r="Y126" s="290">
        <v>0.48</v>
      </c>
      <c r="Z126" s="286" cm="1">
        <f t="array" aca="1" ref="Z126" ca="1">INDIRECT("'"&amp;$C126&amp;"'!"&amp;"$"&amp;$D126&amp;$Z$1&amp;"")</f>
        <v>0</v>
      </c>
      <c r="AA126" s="289" t="s">
        <v>1</v>
      </c>
      <c r="AB126" s="289" t="s">
        <v>1</v>
      </c>
      <c r="AC126" s="287" t="s">
        <v>1</v>
      </c>
      <c r="AD126" s="288" cm="1">
        <f t="array" aca="1" ref="AD126" ca="1">INDIRECT("'"&amp;$C126&amp;"'!"&amp;"$"&amp;$D126&amp;$AD$1&amp;"")</f>
        <v>3</v>
      </c>
      <c r="AE126" s="289">
        <v>13.489999999999998</v>
      </c>
      <c r="AF126" s="289">
        <v>0.98</v>
      </c>
      <c r="AG126" s="290">
        <v>0.52</v>
      </c>
      <c r="AH126" s="286" cm="1">
        <f t="array" aca="1" ref="AH126" ca="1">INDIRECT("'"&amp;$C126&amp;"'!"&amp;"$"&amp;$D126&amp;$AH$1&amp;"")</f>
        <v>3.8</v>
      </c>
      <c r="AI126" s="289">
        <v>14.04</v>
      </c>
      <c r="AJ126" s="289">
        <v>0.99</v>
      </c>
      <c r="AK126" s="287">
        <v>0.28100000000000003</v>
      </c>
      <c r="AL126" s="286">
        <v>11.9</v>
      </c>
      <c r="AM126" s="290">
        <v>70.3</v>
      </c>
      <c r="AN126" s="286" t="str" cm="1">
        <f t="array" aca="1" ref="AN126" ca="1">INDIRECT("'"&amp;$C126&amp;"'!"&amp;"$"&amp;$D126&amp;$AL$1&amp;"")</f>
        <v>CMS</v>
      </c>
      <c r="AO126" s="289" t="s">
        <v>1</v>
      </c>
      <c r="AP126" s="287" t="s">
        <v>1</v>
      </c>
      <c r="AQ126" s="288" cm="1">
        <f t="array" aca="1" ref="AQ126" ca="1">INDIRECT("'"&amp;$C126&amp;"'!"&amp;"$"&amp;$D126&amp;$AQ$1&amp;"")</f>
        <v>3.5</v>
      </c>
      <c r="AR126" s="289">
        <v>0.92</v>
      </c>
      <c r="AS126" s="287">
        <v>1.54</v>
      </c>
      <c r="AT126" s="289" cm="1">
        <f t="array" aca="1" ref="AT126" ca="1">INDIRECT("'"&amp;$C126&amp;"'!"&amp;"$"&amp;$D126&amp;$AT$1&amp;"")</f>
        <v>0</v>
      </c>
      <c r="AU126" s="288" t="s">
        <v>1</v>
      </c>
      <c r="AV126" s="289" t="s">
        <v>1</v>
      </c>
      <c r="AW126" s="287" t="s">
        <v>1</v>
      </c>
      <c r="AX126" s="291">
        <v>14.1</v>
      </c>
      <c r="AY126" s="290">
        <v>71.36</v>
      </c>
      <c r="AZ126" s="291" cm="1">
        <f t="array" aca="1" ref="AZ126" ca="1">INDIRECT("'"&amp;$C126&amp;"'!"&amp;"$"&amp;$D126&amp;$AZ$1&amp;"")</f>
        <v>13.31</v>
      </c>
      <c r="BA126" s="289">
        <v>0.99</v>
      </c>
      <c r="BB126" s="287">
        <v>2.2000000000000002</v>
      </c>
      <c r="BC126" s="292">
        <v>68.7</v>
      </c>
      <c r="BD126" s="286" cm="1">
        <f t="array" aca="1" ref="BD126" ca="1">INDIRECT("'"&amp;$C126&amp;"'!"&amp;"$"&amp;$D126&amp;$BC$1&amp;"")</f>
        <v>0</v>
      </c>
      <c r="BE126" s="288" t="s">
        <v>1</v>
      </c>
      <c r="BF126" s="287" t="s">
        <v>1</v>
      </c>
      <c r="BG126" s="291" cm="1">
        <f t="array" aca="1" ref="BG126" ca="1">INDIRECT("'"&amp;$C126&amp;"'!"&amp;"$"&amp;$D126&amp;$BG$1&amp;"")</f>
        <v>1.49</v>
      </c>
      <c r="BH126" s="289"/>
      <c r="BI126" s="289">
        <v>0.99</v>
      </c>
      <c r="BJ126" s="287">
        <v>0.21</v>
      </c>
      <c r="BK126" s="292" cm="1">
        <f t="array" aca="1" ref="BK126" ca="1">INDIRECT("'"&amp;$C126&amp;"'!"&amp;"$"&amp;$D126&amp;$BK$1&amp;"")</f>
        <v>0.93</v>
      </c>
      <c r="BL126" s="289"/>
      <c r="BM126" s="289">
        <v>0.96</v>
      </c>
      <c r="BN126" s="287">
        <v>0.26</v>
      </c>
      <c r="BO126" s="292" cm="1">
        <f t="array" aca="1" ref="BO126" ca="1">INDIRECT("'"&amp;$C126&amp;"'!"&amp;"$"&amp;$D126&amp;74&amp;"")</f>
        <v>0</v>
      </c>
      <c r="BP126" s="289"/>
      <c r="BQ126" s="289" t="s">
        <v>1</v>
      </c>
      <c r="BR126" s="287" t="s">
        <v>1</v>
      </c>
    </row>
    <row r="127" spans="1:70">
      <c r="A127" s="361">
        <v>45752</v>
      </c>
      <c r="B127" s="358">
        <v>0.91666666666666696</v>
      </c>
      <c r="C127" s="313">
        <f t="shared" si="3"/>
        <v>5</v>
      </c>
      <c r="D127" s="314" t="s">
        <v>149</v>
      </c>
      <c r="E127" s="293">
        <v>14.1</v>
      </c>
      <c r="F127" s="294">
        <v>70.180000000000007</v>
      </c>
      <c r="G127" s="295" cm="1">
        <f t="array" aca="1" ref="G127" ca="1">INDIRECT("'"&amp;$C127&amp;"'!"&amp;"$"&amp;$D127&amp;$E$1&amp;"")</f>
        <v>6.6</v>
      </c>
      <c r="H127" s="296">
        <v>0.97</v>
      </c>
      <c r="I127" s="294">
        <v>1.68</v>
      </c>
      <c r="J127" s="295" cm="1">
        <f t="array" aca="1" ref="J127" ca="1">INDIRECT("'"&amp;$C127&amp;"'!"&amp;"$"&amp;$D127&amp;$J$1&amp;"")</f>
        <v>6.6</v>
      </c>
      <c r="K127" s="296"/>
      <c r="L127" s="296">
        <v>0.97</v>
      </c>
      <c r="M127" s="294">
        <v>1.68</v>
      </c>
      <c r="N127" s="295" cm="1">
        <f t="array" aca="1" ref="N127" ca="1">INDIRECT("'"&amp;$C127&amp;"'!"&amp;"$"&amp;$D127&amp;$N$1&amp;"")</f>
        <v>6.6</v>
      </c>
      <c r="O127" s="296"/>
      <c r="P127" s="296">
        <v>0.97</v>
      </c>
      <c r="Q127" s="294">
        <v>1.69</v>
      </c>
      <c r="R127" s="295" cm="1">
        <f t="array" aca="1" ref="R127" ca="1">INDIRECT("'"&amp;$C127&amp;"'!"&amp;"$"&amp;$D127&amp;$R$1&amp;"")</f>
        <v>0</v>
      </c>
      <c r="S127" s="296"/>
      <c r="T127" s="296" t="s">
        <v>1</v>
      </c>
      <c r="U127" s="294" t="s">
        <v>1</v>
      </c>
      <c r="V127" s="295" cm="1">
        <f t="array" aca="1" ref="V127" ca="1">INDIRECT("'"&amp;$C127&amp;"'!"&amp;"$"&amp;$D127&amp;$V$1&amp;"")</f>
        <v>2.8</v>
      </c>
      <c r="W127" s="296">
        <f>3.8*3.59</f>
        <v>13.641999999999999</v>
      </c>
      <c r="X127" s="296">
        <v>0.98</v>
      </c>
      <c r="Y127" s="297">
        <v>0.47</v>
      </c>
      <c r="Z127" s="293" cm="1">
        <f t="array" aca="1" ref="Z127" ca="1">INDIRECT("'"&amp;$C127&amp;"'!"&amp;"$"&amp;$D127&amp;$Z$1&amp;"")</f>
        <v>0</v>
      </c>
      <c r="AA127" s="296" t="s">
        <v>1</v>
      </c>
      <c r="AB127" s="296" t="s">
        <v>1</v>
      </c>
      <c r="AC127" s="294" t="s">
        <v>1</v>
      </c>
      <c r="AD127" s="295" cm="1">
        <f t="array" aca="1" ref="AD127" ca="1">INDIRECT("'"&amp;$C127&amp;"'!"&amp;"$"&amp;$D127&amp;$AD$1&amp;"")</f>
        <v>3.8</v>
      </c>
      <c r="AE127" s="296">
        <f>3.8*3.59</f>
        <v>13.641999999999999</v>
      </c>
      <c r="AF127" s="296">
        <v>0.98</v>
      </c>
      <c r="AG127" s="297">
        <v>0.71</v>
      </c>
      <c r="AH127" s="293" cm="1">
        <f t="array" aca="1" ref="AH127" ca="1">INDIRECT("'"&amp;$C127&amp;"'!"&amp;"$"&amp;$D127&amp;$AH$1&amp;"")</f>
        <v>3.8</v>
      </c>
      <c r="AI127" s="296">
        <v>14</v>
      </c>
      <c r="AJ127" s="296">
        <v>0.98</v>
      </c>
      <c r="AK127" s="294">
        <v>0.52600000000000002</v>
      </c>
      <c r="AL127" s="293">
        <v>11.9</v>
      </c>
      <c r="AM127" s="297">
        <v>70.900000000000006</v>
      </c>
      <c r="AN127" s="293" t="str" cm="1">
        <f t="array" aca="1" ref="AN127" ca="1">INDIRECT("'"&amp;$C127&amp;"'!"&amp;"$"&amp;$D127&amp;$AL$1&amp;"")</f>
        <v>CMS</v>
      </c>
      <c r="AO127" s="296" t="s">
        <v>1</v>
      </c>
      <c r="AP127" s="294" t="s">
        <v>1</v>
      </c>
      <c r="AQ127" s="295" cm="1">
        <f t="array" aca="1" ref="AQ127" ca="1">INDIRECT("'"&amp;$C127&amp;"'!"&amp;"$"&amp;$D127&amp;$AQ$1&amp;"")</f>
        <v>4</v>
      </c>
      <c r="AR127" s="296">
        <v>0.98</v>
      </c>
      <c r="AS127" s="294">
        <v>0.66</v>
      </c>
      <c r="AT127" s="296" cm="1">
        <f t="array" aca="1" ref="AT127" ca="1">INDIRECT("'"&amp;$C127&amp;"'!"&amp;"$"&amp;$D127&amp;$AT$1&amp;"")</f>
        <v>0</v>
      </c>
      <c r="AU127" s="295" t="s">
        <v>1</v>
      </c>
      <c r="AV127" s="296" t="s">
        <v>1</v>
      </c>
      <c r="AW127" s="294" t="s">
        <v>1</v>
      </c>
      <c r="AX127" s="298">
        <v>14.26</v>
      </c>
      <c r="AY127" s="297">
        <v>72.099999999999994</v>
      </c>
      <c r="AZ127" s="298" cm="1">
        <f t="array" aca="1" ref="AZ127" ca="1">INDIRECT("'"&amp;$C127&amp;"'!"&amp;"$"&amp;$D127&amp;$AZ$1&amp;"")</f>
        <v>14.32</v>
      </c>
      <c r="BA127" s="296">
        <v>0.99</v>
      </c>
      <c r="BB127" s="294">
        <v>2.2000000000000002</v>
      </c>
      <c r="BC127" s="299">
        <v>69.2</v>
      </c>
      <c r="BD127" s="293" cm="1">
        <f t="array" aca="1" ref="BD127" ca="1">INDIRECT("'"&amp;$C127&amp;"'!"&amp;"$"&amp;$D127&amp;$BC$1&amp;"")</f>
        <v>1.4</v>
      </c>
      <c r="BE127" s="295">
        <v>0.98</v>
      </c>
      <c r="BF127" s="294">
        <v>0.66</v>
      </c>
      <c r="BG127" s="298" cm="1">
        <f t="array" aca="1" ref="BG127" ca="1">INDIRECT("'"&amp;$C127&amp;"'!"&amp;"$"&amp;$D127&amp;$BG$1&amp;"")</f>
        <v>1.36</v>
      </c>
      <c r="BH127" s="296"/>
      <c r="BI127" s="296">
        <v>0.99</v>
      </c>
      <c r="BJ127" s="294">
        <v>0.21</v>
      </c>
      <c r="BK127" s="299" cm="1">
        <f t="array" aca="1" ref="BK127" ca="1">INDIRECT("'"&amp;$C127&amp;"'!"&amp;"$"&amp;$D127&amp;$BK$1&amp;"")</f>
        <v>0.9</v>
      </c>
      <c r="BL127" s="296"/>
      <c r="BM127" s="296">
        <v>0.96</v>
      </c>
      <c r="BN127" s="294">
        <v>0.25</v>
      </c>
      <c r="BO127" s="299" cm="1">
        <f t="array" aca="1" ref="BO127" ca="1">INDIRECT("'"&amp;$C127&amp;"'!"&amp;"$"&amp;$D127&amp;74&amp;"")</f>
        <v>0</v>
      </c>
      <c r="BP127" s="296"/>
      <c r="BQ127" s="296" t="s">
        <v>1</v>
      </c>
      <c r="BR127" s="294" t="s">
        <v>1</v>
      </c>
    </row>
    <row r="128" spans="1:70" ht="14.45" thickBot="1">
      <c r="A128" s="361">
        <v>45752</v>
      </c>
      <c r="B128" s="359">
        <v>0.95833333333333404</v>
      </c>
      <c r="C128" s="315">
        <f t="shared" si="3"/>
        <v>5</v>
      </c>
      <c r="D128" s="316" t="s">
        <v>150</v>
      </c>
      <c r="E128" s="301">
        <v>14.1</v>
      </c>
      <c r="F128" s="302">
        <v>70.400000000000006</v>
      </c>
      <c r="G128" s="303" cm="1">
        <f t="array" aca="1" ref="G128" ca="1">INDIRECT("'"&amp;$C128&amp;"'!"&amp;"$"&amp;$D128&amp;$E$1&amp;"")</f>
        <v>6.2</v>
      </c>
      <c r="H128" s="304">
        <v>0.97</v>
      </c>
      <c r="I128" s="302">
        <v>1.62</v>
      </c>
      <c r="J128" s="303" cm="1">
        <f t="array" aca="1" ref="J128" ca="1">INDIRECT("'"&amp;$C128&amp;"'!"&amp;"$"&amp;$D128&amp;$J$1&amp;"")</f>
        <v>6.6</v>
      </c>
      <c r="K128" s="304"/>
      <c r="L128" s="304">
        <v>0.97</v>
      </c>
      <c r="M128" s="302">
        <v>1.65</v>
      </c>
      <c r="N128" s="303" cm="1">
        <f t="array" aca="1" ref="N128" ca="1">INDIRECT("'"&amp;$C128&amp;"'!"&amp;"$"&amp;$D128&amp;$N$1&amp;"")</f>
        <v>5.8</v>
      </c>
      <c r="O128" s="304"/>
      <c r="P128" s="304">
        <v>0.99</v>
      </c>
      <c r="Q128" s="302">
        <v>0.71</v>
      </c>
      <c r="R128" s="303" cm="1">
        <f t="array" aca="1" ref="R128" ca="1">INDIRECT("'"&amp;$C128&amp;"'!"&amp;"$"&amp;$D128&amp;$R$1&amp;"")</f>
        <v>1.5</v>
      </c>
      <c r="S128" s="304"/>
      <c r="T128" s="304">
        <v>0.97</v>
      </c>
      <c r="U128" s="302">
        <v>0.39</v>
      </c>
      <c r="V128" s="303" cm="1">
        <f t="array" aca="1" ref="V128" ca="1">INDIRECT("'"&amp;$C128&amp;"'!"&amp;"$"&amp;$D128&amp;$V$1&amp;"")</f>
        <v>2</v>
      </c>
      <c r="W128" s="304">
        <f>3.8*3.59</f>
        <v>13.641999999999999</v>
      </c>
      <c r="X128" s="304">
        <v>0.98</v>
      </c>
      <c r="Y128" s="305">
        <v>0.31</v>
      </c>
      <c r="Z128" s="301" cm="1">
        <f t="array" aca="1" ref="Z128" ca="1">INDIRECT("'"&amp;$C128&amp;"'!"&amp;"$"&amp;$D128&amp;$Z$1&amp;"")</f>
        <v>0</v>
      </c>
      <c r="AA128" s="304" t="s">
        <v>1</v>
      </c>
      <c r="AB128" s="304" t="s">
        <v>1</v>
      </c>
      <c r="AC128" s="302" t="s">
        <v>1</v>
      </c>
      <c r="AD128" s="303" cm="1">
        <f t="array" aca="1" ref="AD128" ca="1">INDIRECT("'"&amp;$C128&amp;"'!"&amp;"$"&amp;$D128&amp;$AD$1&amp;"")</f>
        <v>3</v>
      </c>
      <c r="AE128" s="304">
        <f>3.8*3.59</f>
        <v>13.641999999999999</v>
      </c>
      <c r="AF128" s="304">
        <v>0.98</v>
      </c>
      <c r="AG128" s="305">
        <v>0.51</v>
      </c>
      <c r="AH128" s="301" cm="1">
        <f t="array" aca="1" ref="AH128" ca="1">INDIRECT("'"&amp;$C128&amp;"'!"&amp;"$"&amp;$D128&amp;$AH$1&amp;"")</f>
        <v>3</v>
      </c>
      <c r="AI128" s="304">
        <v>14.04</v>
      </c>
      <c r="AJ128" s="304">
        <v>0.99</v>
      </c>
      <c r="AK128" s="302">
        <v>0.26100000000000001</v>
      </c>
      <c r="AL128" s="301">
        <v>11.9</v>
      </c>
      <c r="AM128" s="305">
        <v>70.900000000000006</v>
      </c>
      <c r="AN128" s="301" t="str" cm="1">
        <f t="array" aca="1" ref="AN128" ca="1">INDIRECT("'"&amp;$C128&amp;"'!"&amp;"$"&amp;$D128&amp;$AL$1&amp;"")</f>
        <v>CMS</v>
      </c>
      <c r="AO128" s="304" t="s">
        <v>1</v>
      </c>
      <c r="AP128" s="302" t="s">
        <v>1</v>
      </c>
      <c r="AQ128" s="303" cm="1">
        <f t="array" aca="1" ref="AQ128" ca="1">INDIRECT("'"&amp;$C128&amp;"'!"&amp;"$"&amp;$D128&amp;$AQ$1&amp;"")</f>
        <v>3</v>
      </c>
      <c r="AR128" s="304">
        <v>0.97</v>
      </c>
      <c r="AS128" s="302">
        <v>0.73</v>
      </c>
      <c r="AT128" s="304" cm="1">
        <f t="array" aca="1" ref="AT128" ca="1">INDIRECT("'"&amp;$C128&amp;"'!"&amp;"$"&amp;$D128&amp;$AT$1&amp;"")</f>
        <v>0</v>
      </c>
      <c r="AU128" s="303" t="s">
        <v>1</v>
      </c>
      <c r="AV128" s="304" t="s">
        <v>1</v>
      </c>
      <c r="AW128" s="302" t="s">
        <v>1</v>
      </c>
      <c r="AX128" s="306">
        <v>14.22</v>
      </c>
      <c r="AY128" s="305">
        <v>72.03</v>
      </c>
      <c r="AZ128" s="306" cm="1">
        <f t="array" aca="1" ref="AZ128" ca="1">INDIRECT("'"&amp;$C128&amp;"'!"&amp;"$"&amp;$D128&amp;$AZ$1&amp;"")</f>
        <v>14.29</v>
      </c>
      <c r="BA128" s="304">
        <v>0.99</v>
      </c>
      <c r="BB128" s="302">
        <v>2.4</v>
      </c>
      <c r="BC128" s="307">
        <v>69.400000000000006</v>
      </c>
      <c r="BD128" s="301" cm="1">
        <f t="array" aca="1" ref="BD128" ca="1">INDIRECT("'"&amp;$C128&amp;"'!"&amp;"$"&amp;$D128&amp;$BC$1&amp;"")</f>
        <v>0</v>
      </c>
      <c r="BE128" s="303" t="s">
        <v>1</v>
      </c>
      <c r="BF128" s="302" t="s">
        <v>1</v>
      </c>
      <c r="BG128" s="306" cm="1">
        <f t="array" aca="1" ref="BG128" ca="1">INDIRECT("'"&amp;$C128&amp;"'!"&amp;"$"&amp;$D128&amp;$BG$1&amp;"")</f>
        <v>1.22</v>
      </c>
      <c r="BH128" s="304"/>
      <c r="BI128" s="304">
        <v>0.99</v>
      </c>
      <c r="BJ128" s="302">
        <v>0.2</v>
      </c>
      <c r="BK128" s="307" cm="1">
        <f t="array" aca="1" ref="BK128" ca="1">INDIRECT("'"&amp;$C128&amp;"'!"&amp;"$"&amp;$D128&amp;$BK$1&amp;"")</f>
        <v>0.88</v>
      </c>
      <c r="BL128" s="304"/>
      <c r="BM128" s="304">
        <v>0.96</v>
      </c>
      <c r="BN128" s="302">
        <v>0.24</v>
      </c>
      <c r="BO128" s="307" cm="1">
        <f t="array" aca="1" ref="BO128" ca="1">INDIRECT("'"&amp;$C128&amp;"'!"&amp;"$"&amp;$D128&amp;74&amp;"")</f>
        <v>0</v>
      </c>
      <c r="BP128" s="304"/>
      <c r="BQ128" s="304" t="s">
        <v>1</v>
      </c>
      <c r="BR128" s="302" t="s">
        <v>1</v>
      </c>
    </row>
    <row r="129" spans="1:70" ht="14.45" thickBot="1"/>
    <row r="130" spans="1:70">
      <c r="A130" s="360">
        <v>45753</v>
      </c>
      <c r="B130" s="357">
        <v>0</v>
      </c>
      <c r="C130" s="310">
        <f>C105+1</f>
        <v>6</v>
      </c>
      <c r="D130" s="311" t="s">
        <v>127</v>
      </c>
      <c r="E130" s="280">
        <v>14.1</v>
      </c>
      <c r="F130" s="281">
        <v>70.41</v>
      </c>
      <c r="G130" s="282" cm="1">
        <f t="array" aca="1" ref="G130" ca="1">INDIRECT("'"&amp;$C130&amp;"'!"&amp;"$"&amp;$D130&amp;$E$1&amp;"")</f>
        <v>0</v>
      </c>
      <c r="H130" s="283" t="s">
        <v>1</v>
      </c>
      <c r="I130" s="281" t="s">
        <v>1</v>
      </c>
      <c r="J130" s="282" cm="1">
        <f t="array" aca="1" ref="J130" ca="1">INDIRECT("'"&amp;$C130&amp;"'!"&amp;"$"&amp;$D130&amp;$J$1&amp;"")</f>
        <v>6.7</v>
      </c>
      <c r="K130" s="283"/>
      <c r="L130" s="283">
        <v>0.95</v>
      </c>
      <c r="M130" s="281">
        <v>2.5</v>
      </c>
      <c r="N130" s="282" cm="1">
        <f t="array" aca="1" ref="N130" ca="1">INDIRECT("'"&amp;$C130&amp;"'!"&amp;"$"&amp;$D130&amp;$N$1&amp;"")</f>
        <v>0</v>
      </c>
      <c r="O130" s="283"/>
      <c r="P130" s="283" t="s">
        <v>1</v>
      </c>
      <c r="Q130" s="281" t="s">
        <v>1</v>
      </c>
      <c r="R130" s="282" cm="1">
        <f t="array" aca="1" ref="R130" ca="1">INDIRECT("'"&amp;$C130&amp;"'!"&amp;"$"&amp;$D130&amp;$R$1&amp;"")</f>
        <v>6.7</v>
      </c>
      <c r="S130" s="283"/>
      <c r="T130" s="283">
        <v>0.95</v>
      </c>
      <c r="U130" s="281">
        <v>2.2999999999999998</v>
      </c>
      <c r="V130" s="282" cm="1">
        <f t="array" aca="1" ref="V130" ca="1">INDIRECT("'"&amp;$C130&amp;"'!"&amp;"$"&amp;$D130&amp;$V$1&amp;"")</f>
        <v>2.8</v>
      </c>
      <c r="W130" s="283">
        <f>3.8*3.6</f>
        <v>13.68</v>
      </c>
      <c r="X130" s="283">
        <v>0.98</v>
      </c>
      <c r="Y130" s="284">
        <v>0.48</v>
      </c>
      <c r="Z130" s="280" cm="1">
        <f t="array" aca="1" ref="Z130" ca="1">INDIRECT("'"&amp;$C130&amp;"'!"&amp;"$"&amp;$D130&amp;$Z$1&amp;"")</f>
        <v>0</v>
      </c>
      <c r="AA130" s="283" t="s">
        <v>1</v>
      </c>
      <c r="AB130" s="283" t="s">
        <v>1</v>
      </c>
      <c r="AC130" s="281" t="s">
        <v>1</v>
      </c>
      <c r="AD130" s="282" cm="1">
        <f t="array" aca="1" ref="AD130" ca="1">INDIRECT("'"&amp;$C130&amp;"'!"&amp;"$"&amp;$D130&amp;$AD$1&amp;"")</f>
        <v>3.8</v>
      </c>
      <c r="AE130" s="283">
        <f>3.8*3.6</f>
        <v>13.68</v>
      </c>
      <c r="AF130" s="283">
        <v>0.98</v>
      </c>
      <c r="AG130" s="281">
        <v>1.72</v>
      </c>
      <c r="AH130" s="280" cm="1">
        <f t="array" aca="1" ref="AH130" ca="1">INDIRECT("'"&amp;$C130&amp;"'!"&amp;"$"&amp;$D130&amp;$AH$1&amp;"")</f>
        <v>3.8</v>
      </c>
      <c r="AI130" s="283">
        <v>14.04</v>
      </c>
      <c r="AJ130" s="283">
        <v>1</v>
      </c>
      <c r="AK130" s="281">
        <v>3.0000000000000001E-3</v>
      </c>
      <c r="AL130" s="280">
        <v>11.9</v>
      </c>
      <c r="AM130" s="284">
        <v>71.099999999999994</v>
      </c>
      <c r="AN130" s="280" t="str" cm="1">
        <f t="array" aca="1" ref="AN130" ca="1">INDIRECT("'"&amp;$C130&amp;"'!"&amp;"$"&amp;$D130&amp;$AL$1&amp;"")</f>
        <v>CMS</v>
      </c>
      <c r="AO130" s="283" t="s">
        <v>1</v>
      </c>
      <c r="AP130" s="281" t="s">
        <v>1</v>
      </c>
      <c r="AQ130" s="282" cm="1">
        <f t="array" aca="1" ref="AQ130" ca="1">INDIRECT("'"&amp;$C130&amp;"'!"&amp;"$"&amp;$D130&amp;$AQ$1&amp;"")</f>
        <v>4</v>
      </c>
      <c r="AR130" s="283">
        <v>0.99</v>
      </c>
      <c r="AS130" s="281">
        <v>0.53</v>
      </c>
      <c r="AT130" s="283" cm="1">
        <f t="array" aca="1" ref="AT130" ca="1">INDIRECT("'"&amp;$C130&amp;"'!"&amp;"$"&amp;$D130&amp;$AT$1&amp;"")</f>
        <v>0</v>
      </c>
      <c r="AU130" s="282" t="s">
        <v>1</v>
      </c>
      <c r="AV130" s="283" t="s">
        <v>1</v>
      </c>
      <c r="AW130" s="281" t="s">
        <v>1</v>
      </c>
      <c r="AX130" s="285">
        <v>14.28</v>
      </c>
      <c r="AY130" s="284">
        <v>72.28</v>
      </c>
      <c r="AZ130" s="285" cm="1">
        <f t="array" aca="1" ref="AZ130" ca="1">INDIRECT("'"&amp;$C130&amp;"'!"&amp;"$"&amp;$D130&amp;$AZ$1&amp;"")</f>
        <v>14.33</v>
      </c>
      <c r="BA130" s="283">
        <v>0.99</v>
      </c>
      <c r="BB130" s="281">
        <v>2.4</v>
      </c>
      <c r="BC130" s="281">
        <v>69.599999999999994</v>
      </c>
      <c r="BD130" s="280" cm="1">
        <f t="array" aca="1" ref="BD130" ca="1">INDIRECT("'"&amp;$C130&amp;"'!"&amp;"$"&amp;$D130&amp;$BC$1&amp;"")</f>
        <v>1.4</v>
      </c>
      <c r="BE130" s="282">
        <v>0.99</v>
      </c>
      <c r="BF130" s="281">
        <v>0.19</v>
      </c>
      <c r="BG130" s="285" cm="1">
        <f t="array" aca="1" ref="BG130" ca="1">INDIRECT("'"&amp;$C130&amp;"'!"&amp;"$"&amp;$D130&amp;$BG$1&amp;"")</f>
        <v>1.1200000000000001</v>
      </c>
      <c r="BH130" s="283"/>
      <c r="BI130" s="283">
        <v>0.98</v>
      </c>
      <c r="BJ130" s="281">
        <v>0.19</v>
      </c>
      <c r="BK130" s="285" cm="1">
        <f t="array" aca="1" ref="BK130" ca="1">INDIRECT("'"&amp;$C130&amp;"'!"&amp;"$"&amp;$D130&amp;$BK$1&amp;"")</f>
        <v>0.8</v>
      </c>
      <c r="BL130" s="283"/>
      <c r="BM130" s="283">
        <v>0.96</v>
      </c>
      <c r="BN130" s="281">
        <v>0.23</v>
      </c>
      <c r="BO130" s="373" cm="1">
        <f t="array" aca="1" ref="BO130" ca="1">INDIRECT("'"&amp;$C130&amp;"'!"&amp;"$"&amp;$D130&amp;74&amp;"")</f>
        <v>0</v>
      </c>
      <c r="BP130" s="283"/>
      <c r="BQ130" s="283" t="s">
        <v>1</v>
      </c>
      <c r="BR130" s="281" t="s">
        <v>1</v>
      </c>
    </row>
    <row r="131" spans="1:70">
      <c r="A131" s="361">
        <v>45753</v>
      </c>
      <c r="B131" s="358">
        <v>4.1666666666666699E-2</v>
      </c>
      <c r="C131" s="313">
        <f t="shared" ref="C131:C153" si="4">C106+1</f>
        <v>6</v>
      </c>
      <c r="D131" s="314" t="s">
        <v>128</v>
      </c>
      <c r="E131" s="286">
        <v>14.1</v>
      </c>
      <c r="F131" s="287">
        <v>70.38</v>
      </c>
      <c r="G131" s="288" cm="1">
        <f t="array" aca="1" ref="G131" ca="1">INDIRECT("'"&amp;$C131&amp;"'!"&amp;"$"&amp;$D131&amp;$E$1&amp;"")</f>
        <v>0</v>
      </c>
      <c r="H131" s="289" t="s">
        <v>1</v>
      </c>
      <c r="I131" s="287" t="s">
        <v>1</v>
      </c>
      <c r="J131" s="288" cm="1">
        <f t="array" aca="1" ref="J131" ca="1">INDIRECT("'"&amp;$C131&amp;"'!"&amp;"$"&amp;$D131&amp;$J$1&amp;"")</f>
        <v>6.6</v>
      </c>
      <c r="K131" s="289"/>
      <c r="L131" s="289">
        <v>0.98</v>
      </c>
      <c r="M131" s="287">
        <v>1.35</v>
      </c>
      <c r="N131" s="288" cm="1">
        <f t="array" aca="1" ref="N131" ca="1">INDIRECT("'"&amp;$C131&amp;"'!"&amp;"$"&amp;$D131&amp;$N$1&amp;"")</f>
        <v>0</v>
      </c>
      <c r="O131" s="289"/>
      <c r="P131" s="289" t="s">
        <v>1</v>
      </c>
      <c r="Q131" s="287" t="s">
        <v>1</v>
      </c>
      <c r="R131" s="288" cm="1">
        <f t="array" aca="1" ref="R131" ca="1">INDIRECT("'"&amp;$C131&amp;"'!"&amp;"$"&amp;$D131&amp;$R$1&amp;"")</f>
        <v>6.7</v>
      </c>
      <c r="S131" s="289"/>
      <c r="T131" s="289">
        <v>0.95</v>
      </c>
      <c r="U131" s="287">
        <v>2.3199999999999998</v>
      </c>
      <c r="V131" s="288" cm="1">
        <f t="array" aca="1" ref="V131" ca="1">INDIRECT("'"&amp;$C131&amp;"'!"&amp;"$"&amp;$D131&amp;$V$1&amp;"")</f>
        <v>2.8</v>
      </c>
      <c r="W131" s="289">
        <f>3.8*3.61</f>
        <v>13.717999999999998</v>
      </c>
      <c r="X131" s="289">
        <v>0.99</v>
      </c>
      <c r="Y131" s="290">
        <v>0.21</v>
      </c>
      <c r="Z131" s="286" cm="1">
        <f t="array" aca="1" ref="Z131" ca="1">INDIRECT("'"&amp;$C131&amp;"'!"&amp;"$"&amp;$D131&amp;$Z$1&amp;"")</f>
        <v>0</v>
      </c>
      <c r="AA131" s="289" t="s">
        <v>1</v>
      </c>
      <c r="AB131" s="289" t="s">
        <v>1</v>
      </c>
      <c r="AC131" s="287" t="s">
        <v>1</v>
      </c>
      <c r="AD131" s="288" cm="1">
        <f t="array" aca="1" ref="AD131" ca="1">INDIRECT("'"&amp;$C131&amp;"'!"&amp;"$"&amp;$D131&amp;$AD$1&amp;"")</f>
        <v>3.8</v>
      </c>
      <c r="AE131" s="289">
        <f>3.8*3.61</f>
        <v>13.717999999999998</v>
      </c>
      <c r="AF131" s="289">
        <v>0.99</v>
      </c>
      <c r="AG131" s="290">
        <v>0.34</v>
      </c>
      <c r="AH131" s="286" cm="1">
        <f t="array" aca="1" ref="AH131" ca="1">INDIRECT("'"&amp;$C131&amp;"'!"&amp;"$"&amp;$D131&amp;$AH$1&amp;"")</f>
        <v>3</v>
      </c>
      <c r="AI131" s="289">
        <v>14</v>
      </c>
      <c r="AJ131" s="289">
        <v>0.99</v>
      </c>
      <c r="AK131" s="287">
        <v>0.317</v>
      </c>
      <c r="AL131" s="286">
        <v>11.9</v>
      </c>
      <c r="AM131" s="290">
        <v>70.900000000000006</v>
      </c>
      <c r="AN131" s="286" t="str" cm="1">
        <f t="array" aca="1" ref="AN131" ca="1">INDIRECT("'"&amp;$C131&amp;"'!"&amp;"$"&amp;$D131&amp;$AL$1&amp;"")</f>
        <v>CMS</v>
      </c>
      <c r="AO131" s="289" t="s">
        <v>1</v>
      </c>
      <c r="AP131" s="287" t="s">
        <v>1</v>
      </c>
      <c r="AQ131" s="288" cm="1">
        <f t="array" aca="1" ref="AQ131" ca="1">INDIRECT("'"&amp;$C131&amp;"'!"&amp;"$"&amp;$D131&amp;$AQ$1&amp;"")</f>
        <v>4</v>
      </c>
      <c r="AR131" s="289">
        <v>0.98</v>
      </c>
      <c r="AS131" s="287">
        <v>0.71</v>
      </c>
      <c r="AT131" s="289" cm="1">
        <f t="array" aca="1" ref="AT131" ca="1">INDIRECT("'"&amp;$C131&amp;"'!"&amp;"$"&amp;$D131&amp;$AT$1&amp;"")</f>
        <v>0</v>
      </c>
      <c r="AU131" s="288" t="s">
        <v>1</v>
      </c>
      <c r="AV131" s="289" t="s">
        <v>1</v>
      </c>
      <c r="AW131" s="287" t="s">
        <v>1</v>
      </c>
      <c r="AX131" s="291">
        <v>14.11</v>
      </c>
      <c r="AY131" s="290">
        <v>71.86</v>
      </c>
      <c r="AZ131" s="291" cm="1">
        <f t="array" aca="1" ref="AZ131" ca="1">INDIRECT("'"&amp;$C131&amp;"'!"&amp;"$"&amp;$D131&amp;$AZ$1&amp;"")</f>
        <v>14.29</v>
      </c>
      <c r="BA131" s="289">
        <v>1</v>
      </c>
      <c r="BB131" s="287">
        <v>1.3</v>
      </c>
      <c r="BC131" s="292">
        <v>69.599999999999994</v>
      </c>
      <c r="BD131" s="286" cm="1">
        <f t="array" aca="1" ref="BD131" ca="1">INDIRECT("'"&amp;$C131&amp;"'!"&amp;"$"&amp;$D131&amp;$BC$1&amp;"")</f>
        <v>0</v>
      </c>
      <c r="BE131" s="288" t="s">
        <v>1</v>
      </c>
      <c r="BF131" s="287" t="s">
        <v>1</v>
      </c>
      <c r="BG131" s="291" cm="1">
        <f t="array" aca="1" ref="BG131" ca="1">INDIRECT("'"&amp;$C131&amp;"'!"&amp;"$"&amp;$D131&amp;$BG$1&amp;"")</f>
        <v>1.03</v>
      </c>
      <c r="BH131" s="289"/>
      <c r="BI131" s="289">
        <v>0.99</v>
      </c>
      <c r="BJ131" s="287">
        <v>0.17</v>
      </c>
      <c r="BK131" s="291" cm="1">
        <f t="array" aca="1" ref="BK131" ca="1">INDIRECT("'"&amp;$C131&amp;"'!"&amp;"$"&amp;$D131&amp;$BK$1&amp;"")</f>
        <v>0.77</v>
      </c>
      <c r="BL131" s="289"/>
      <c r="BM131" s="289">
        <v>0.96</v>
      </c>
      <c r="BN131" s="287">
        <v>0.22</v>
      </c>
      <c r="BO131" s="292" cm="1">
        <f t="array" aca="1" ref="BO131" ca="1">INDIRECT("'"&amp;$C131&amp;"'!"&amp;"$"&amp;$D131&amp;74&amp;"")</f>
        <v>0</v>
      </c>
      <c r="BP131" s="289"/>
      <c r="BQ131" s="289" t="s">
        <v>1</v>
      </c>
      <c r="BR131" s="287" t="s">
        <v>1</v>
      </c>
    </row>
    <row r="132" spans="1:70">
      <c r="A132" s="361">
        <v>45753</v>
      </c>
      <c r="B132" s="358">
        <v>8.3333333333333301E-2</v>
      </c>
      <c r="C132" s="313">
        <f t="shared" si="4"/>
        <v>6</v>
      </c>
      <c r="D132" s="314" t="s">
        <v>129</v>
      </c>
      <c r="E132" s="293">
        <v>14.2</v>
      </c>
      <c r="F132" s="294">
        <v>70.8</v>
      </c>
      <c r="G132" s="295" cm="1">
        <f t="array" aca="1" ref="G132" ca="1">INDIRECT("'"&amp;$C132&amp;"'!"&amp;"$"&amp;$D132&amp;$E$1&amp;"")</f>
        <v>0</v>
      </c>
      <c r="H132" s="296" t="s">
        <v>1</v>
      </c>
      <c r="I132" s="294" t="s">
        <v>1</v>
      </c>
      <c r="J132" s="295" cm="1">
        <f t="array" aca="1" ref="J132" ca="1">INDIRECT("'"&amp;$C132&amp;"'!"&amp;"$"&amp;$D132&amp;$J$1&amp;"")</f>
        <v>6.7</v>
      </c>
      <c r="K132" s="296"/>
      <c r="L132" s="296">
        <v>0.98</v>
      </c>
      <c r="M132" s="294">
        <v>1.36</v>
      </c>
      <c r="N132" s="295" cm="1">
        <f t="array" aca="1" ref="N132" ca="1">INDIRECT("'"&amp;$C132&amp;"'!"&amp;"$"&amp;$D132&amp;$N$1&amp;"")</f>
        <v>0</v>
      </c>
      <c r="O132" s="296"/>
      <c r="P132" s="296" t="s">
        <v>1</v>
      </c>
      <c r="Q132" s="294" t="s">
        <v>1</v>
      </c>
      <c r="R132" s="295" cm="1">
        <f t="array" aca="1" ref="R132" ca="1">INDIRECT("'"&amp;$C132&amp;"'!"&amp;"$"&amp;$D132&amp;$R$1&amp;"")</f>
        <v>6.7</v>
      </c>
      <c r="S132" s="296"/>
      <c r="T132" s="296">
        <v>0.98</v>
      </c>
      <c r="U132" s="294">
        <v>1.38</v>
      </c>
      <c r="V132" s="295" cm="1">
        <f t="array" aca="1" ref="V132" ca="1">INDIRECT("'"&amp;$C132&amp;"'!"&amp;"$"&amp;$D132&amp;$V$1&amp;"")</f>
        <v>2.8</v>
      </c>
      <c r="W132" s="296">
        <f>3.8*3.62</f>
        <v>13.756</v>
      </c>
      <c r="X132" s="296">
        <v>0.99</v>
      </c>
      <c r="Y132" s="297">
        <v>0.22</v>
      </c>
      <c r="Z132" s="286" cm="1">
        <f t="array" aca="1" ref="Z132" ca="1">INDIRECT("'"&amp;$C132&amp;"'!"&amp;"$"&amp;$D132&amp;$Z$1&amp;"")</f>
        <v>0</v>
      </c>
      <c r="AA132" s="296" t="s">
        <v>1</v>
      </c>
      <c r="AB132" s="296" t="s">
        <v>1</v>
      </c>
      <c r="AC132" s="294" t="s">
        <v>1</v>
      </c>
      <c r="AD132" s="295" cm="1">
        <f t="array" aca="1" ref="AD132" ca="1">INDIRECT("'"&amp;$C132&amp;"'!"&amp;"$"&amp;$D132&amp;$AD$1&amp;"")</f>
        <v>3.8</v>
      </c>
      <c r="AE132" s="296">
        <f>3.8*3.62</f>
        <v>13.756</v>
      </c>
      <c r="AF132" s="296">
        <v>0.99</v>
      </c>
      <c r="AG132" s="297">
        <v>0.35</v>
      </c>
      <c r="AH132" s="293" cm="1">
        <f t="array" aca="1" ref="AH132" ca="1">INDIRECT("'"&amp;$C132&amp;"'!"&amp;"$"&amp;$D132&amp;$AH$1&amp;"")</f>
        <v>0</v>
      </c>
      <c r="AI132" s="296" t="s">
        <v>1</v>
      </c>
      <c r="AJ132" s="296" t="s">
        <v>1</v>
      </c>
      <c r="AK132" s="294" t="s">
        <v>1</v>
      </c>
      <c r="AL132" s="293">
        <v>11.9</v>
      </c>
      <c r="AM132" s="297">
        <v>71</v>
      </c>
      <c r="AN132" s="293" t="str" cm="1">
        <f t="array" aca="1" ref="AN132" ca="1">INDIRECT("'"&amp;$C132&amp;"'!"&amp;"$"&amp;$D132&amp;$AL$1&amp;"")</f>
        <v>CMS</v>
      </c>
      <c r="AO132" s="296" t="s">
        <v>1</v>
      </c>
      <c r="AP132" s="294" t="s">
        <v>1</v>
      </c>
      <c r="AQ132" s="295" cm="1">
        <f t="array" aca="1" ref="AQ132" ca="1">INDIRECT("'"&amp;$C132&amp;"'!"&amp;"$"&amp;$D132&amp;$AQ$1&amp;"")</f>
        <v>4.0999999999999996</v>
      </c>
      <c r="AR132" s="296">
        <v>0.99</v>
      </c>
      <c r="AS132" s="294">
        <v>0.54100000000000004</v>
      </c>
      <c r="AT132" s="296" cm="1">
        <f t="array" aca="1" ref="AT132" ca="1">INDIRECT("'"&amp;$C132&amp;"'!"&amp;"$"&amp;$D132&amp;$AT$1&amp;"")</f>
        <v>0</v>
      </c>
      <c r="AU132" s="295" t="s">
        <v>1</v>
      </c>
      <c r="AV132" s="296" t="s">
        <v>1</v>
      </c>
      <c r="AW132" s="294" t="s">
        <v>1</v>
      </c>
      <c r="AX132" s="298">
        <v>14.11</v>
      </c>
      <c r="AY132" s="297">
        <v>71.86</v>
      </c>
      <c r="AZ132" s="298" cm="1">
        <f t="array" aca="1" ref="AZ132" ca="1">INDIRECT("'"&amp;$C132&amp;"'!"&amp;"$"&amp;$D132&amp;$AZ$1&amp;"")</f>
        <v>14.29</v>
      </c>
      <c r="BA132" s="296">
        <v>1</v>
      </c>
      <c r="BB132" s="294">
        <v>1.3</v>
      </c>
      <c r="BC132" s="299">
        <v>70</v>
      </c>
      <c r="BD132" s="293" cm="1">
        <f t="array" aca="1" ref="BD132" ca="1">INDIRECT("'"&amp;$C132&amp;"'!"&amp;"$"&amp;$D132&amp;$BC$1&amp;"")</f>
        <v>0.7</v>
      </c>
      <c r="BE132" s="295">
        <v>0.99</v>
      </c>
      <c r="BF132" s="294">
        <v>0.09</v>
      </c>
      <c r="BG132" s="298" cm="1">
        <f t="array" aca="1" ref="BG132" ca="1">INDIRECT("'"&amp;$C132&amp;"'!"&amp;"$"&amp;$D132&amp;$BG$1&amp;"")</f>
        <v>0.99</v>
      </c>
      <c r="BH132" s="296"/>
      <c r="BI132" s="296">
        <v>0.99</v>
      </c>
      <c r="BJ132" s="294">
        <v>0.16</v>
      </c>
      <c r="BK132" s="298" cm="1">
        <f t="array" aca="1" ref="BK132" ca="1">INDIRECT("'"&amp;$C132&amp;"'!"&amp;"$"&amp;$D132&amp;$BK$1&amp;"")</f>
        <v>0.75</v>
      </c>
      <c r="BL132" s="296"/>
      <c r="BM132" s="296">
        <v>0.96</v>
      </c>
      <c r="BN132" s="294">
        <v>0.22</v>
      </c>
      <c r="BO132" s="299" cm="1">
        <f t="array" aca="1" ref="BO132" ca="1">INDIRECT("'"&amp;$C132&amp;"'!"&amp;"$"&amp;$D132&amp;74&amp;"")</f>
        <v>0</v>
      </c>
      <c r="BP132" s="296"/>
      <c r="BQ132" s="296" t="s">
        <v>1</v>
      </c>
      <c r="BR132" s="294" t="s">
        <v>1</v>
      </c>
    </row>
    <row r="133" spans="1:70">
      <c r="A133" s="361">
        <v>45753</v>
      </c>
      <c r="B133" s="358">
        <v>0.125</v>
      </c>
      <c r="C133" s="313">
        <f t="shared" si="4"/>
        <v>6</v>
      </c>
      <c r="D133" s="314" t="s">
        <v>130</v>
      </c>
      <c r="E133" s="286">
        <v>14.3</v>
      </c>
      <c r="F133" s="287">
        <v>70.72</v>
      </c>
      <c r="G133" s="288" cm="1">
        <f t="array" aca="1" ref="G133" ca="1">INDIRECT("'"&amp;$C133&amp;"'!"&amp;"$"&amp;$D133&amp;$E$1&amp;"")</f>
        <v>0</v>
      </c>
      <c r="H133" s="289" t="s">
        <v>1</v>
      </c>
      <c r="I133" s="287" t="s">
        <v>1</v>
      </c>
      <c r="J133" s="288" cm="1">
        <f t="array" aca="1" ref="J133" ca="1">INDIRECT("'"&amp;$C133&amp;"'!"&amp;"$"&amp;$D133&amp;$J$1&amp;"")</f>
        <v>6.7</v>
      </c>
      <c r="K133" s="289"/>
      <c r="L133" s="289">
        <v>0.96</v>
      </c>
      <c r="M133" s="287">
        <v>1.36</v>
      </c>
      <c r="N133" s="288" cm="1">
        <f t="array" aca="1" ref="N133" ca="1">INDIRECT("'"&amp;$C133&amp;"'!"&amp;"$"&amp;$D133&amp;$N$1&amp;"")</f>
        <v>0</v>
      </c>
      <c r="O133" s="289"/>
      <c r="P133" s="289" t="s">
        <v>1</v>
      </c>
      <c r="Q133" s="287" t="s">
        <v>1</v>
      </c>
      <c r="R133" s="288" cm="1">
        <f t="array" aca="1" ref="R133" ca="1">INDIRECT("'"&amp;$C133&amp;"'!"&amp;"$"&amp;$D133&amp;$R$1&amp;"")</f>
        <v>6.7</v>
      </c>
      <c r="S133" s="289"/>
      <c r="T133" s="289">
        <v>0.96</v>
      </c>
      <c r="U133" s="287">
        <v>1.39</v>
      </c>
      <c r="V133" s="288" cm="1">
        <f t="array" aca="1" ref="V133" ca="1">INDIRECT("'"&amp;$C133&amp;"'!"&amp;"$"&amp;$D133&amp;$V$1&amp;"")</f>
        <v>2.8</v>
      </c>
      <c r="W133" s="289">
        <f>3.61*3.8</f>
        <v>13.717999999999998</v>
      </c>
      <c r="X133" s="289">
        <v>0.99</v>
      </c>
      <c r="Y133" s="290">
        <v>0.23</v>
      </c>
      <c r="Z133" s="286" cm="1">
        <f t="array" aca="1" ref="Z133" ca="1">INDIRECT("'"&amp;$C133&amp;"'!"&amp;"$"&amp;$D133&amp;$Z$1&amp;"")</f>
        <v>0</v>
      </c>
      <c r="AA133" s="289" t="s">
        <v>1</v>
      </c>
      <c r="AB133" s="289" t="s">
        <v>1</v>
      </c>
      <c r="AC133" s="287" t="s">
        <v>1</v>
      </c>
      <c r="AD133" s="288" cm="1">
        <f t="array" aca="1" ref="AD133" ca="1">INDIRECT("'"&amp;$C133&amp;"'!"&amp;"$"&amp;$D133&amp;$AD$1&amp;"")</f>
        <v>3.8</v>
      </c>
      <c r="AE133" s="289">
        <v>13.72</v>
      </c>
      <c r="AF133" s="289">
        <v>0.99</v>
      </c>
      <c r="AG133" s="290">
        <v>0.32</v>
      </c>
      <c r="AH133" s="286" cm="1">
        <f t="array" aca="1" ref="AH133" ca="1">INDIRECT("'"&amp;$C133&amp;"'!"&amp;"$"&amp;$D133&amp;$AH$1&amp;"")</f>
        <v>0</v>
      </c>
      <c r="AI133" s="289" t="s">
        <v>1</v>
      </c>
      <c r="AJ133" s="289" t="s">
        <v>1</v>
      </c>
      <c r="AK133" s="287" t="s">
        <v>1</v>
      </c>
      <c r="AL133" s="286">
        <v>11.9</v>
      </c>
      <c r="AM133" s="290">
        <v>71</v>
      </c>
      <c r="AN133" s="286" t="str" cm="1">
        <f t="array" aca="1" ref="AN133" ca="1">INDIRECT("'"&amp;$C133&amp;"'!"&amp;"$"&amp;$D133&amp;$AL$1&amp;"")</f>
        <v>CMS</v>
      </c>
      <c r="AO133" s="289" t="s">
        <v>1</v>
      </c>
      <c r="AP133" s="287" t="s">
        <v>1</v>
      </c>
      <c r="AQ133" s="288" cm="1">
        <f t="array" aca="1" ref="AQ133" ca="1">INDIRECT("'"&amp;$C133&amp;"'!"&amp;"$"&amp;$D133&amp;$AQ$1&amp;"")</f>
        <v>3.7</v>
      </c>
      <c r="AR133" s="289">
        <v>0.98</v>
      </c>
      <c r="AS133" s="287">
        <v>0.56999999999999995</v>
      </c>
      <c r="AT133" s="289" cm="1">
        <f t="array" aca="1" ref="AT133" ca="1">INDIRECT("'"&amp;$C133&amp;"'!"&amp;"$"&amp;$D133&amp;$AT$1&amp;"")</f>
        <v>0</v>
      </c>
      <c r="AU133" s="288" t="s">
        <v>1</v>
      </c>
      <c r="AV133" s="289" t="s">
        <v>1</v>
      </c>
      <c r="AW133" s="287" t="s">
        <v>1</v>
      </c>
      <c r="AX133" s="291">
        <v>14.12</v>
      </c>
      <c r="AY133" s="290">
        <v>71.86</v>
      </c>
      <c r="AZ133" s="291" cm="1">
        <f t="array" aca="1" ref="AZ133" ca="1">INDIRECT("'"&amp;$C133&amp;"'!"&amp;"$"&amp;$D133&amp;$AZ$1&amp;"")</f>
        <v>14.28</v>
      </c>
      <c r="BA133" s="289">
        <v>1</v>
      </c>
      <c r="BB133" s="287">
        <v>1.4</v>
      </c>
      <c r="BC133" s="292">
        <v>69.900000000000006</v>
      </c>
      <c r="BD133" s="286" cm="1">
        <f t="array" aca="1" ref="BD133" ca="1">INDIRECT("'"&amp;$C133&amp;"'!"&amp;"$"&amp;$D133&amp;$BC$1&amp;"")</f>
        <v>0</v>
      </c>
      <c r="BE133" s="288" t="s">
        <v>1</v>
      </c>
      <c r="BF133" s="287" t="s">
        <v>1</v>
      </c>
      <c r="BG133" s="291" cm="1">
        <f t="array" aca="1" ref="BG133" ca="1">INDIRECT("'"&amp;$C133&amp;"'!"&amp;"$"&amp;$D133&amp;$BG$1&amp;"")</f>
        <v>0.94</v>
      </c>
      <c r="BH133" s="289"/>
      <c r="BI133" s="289">
        <v>0.99</v>
      </c>
      <c r="BJ133" s="287">
        <v>0.15</v>
      </c>
      <c r="BK133" s="291" cm="1">
        <f t="array" aca="1" ref="BK133" ca="1">INDIRECT("'"&amp;$C133&amp;"'!"&amp;"$"&amp;$D133&amp;$BK$1&amp;"")</f>
        <v>0.71</v>
      </c>
      <c r="BL133" s="289"/>
      <c r="BM133" s="289">
        <v>0.95</v>
      </c>
      <c r="BN133" s="287">
        <v>0.21</v>
      </c>
      <c r="BO133" s="292" cm="1">
        <f t="array" aca="1" ref="BO133" ca="1">INDIRECT("'"&amp;$C133&amp;"'!"&amp;"$"&amp;$D133&amp;74&amp;"")</f>
        <v>0</v>
      </c>
      <c r="BP133" s="289"/>
      <c r="BQ133" s="289" t="s">
        <v>1</v>
      </c>
      <c r="BR133" s="287" t="s">
        <v>1</v>
      </c>
    </row>
    <row r="134" spans="1:70">
      <c r="A134" s="361">
        <v>45753</v>
      </c>
      <c r="B134" s="358">
        <v>0.16666666666666699</v>
      </c>
      <c r="C134" s="313">
        <f t="shared" si="4"/>
        <v>6</v>
      </c>
      <c r="D134" s="314" t="s">
        <v>131</v>
      </c>
      <c r="E134" s="293">
        <v>14.3</v>
      </c>
      <c r="F134" s="294">
        <v>70.77</v>
      </c>
      <c r="G134" s="295" cm="1">
        <f t="array" aca="1" ref="G134" ca="1">INDIRECT("'"&amp;$C134&amp;"'!"&amp;"$"&amp;$D134&amp;$E$1&amp;"")</f>
        <v>0</v>
      </c>
      <c r="H134" s="296" t="s">
        <v>1</v>
      </c>
      <c r="I134" s="294" t="s">
        <v>1</v>
      </c>
      <c r="J134" s="295" cm="1">
        <f t="array" aca="1" ref="J134" ca="1">INDIRECT("'"&amp;$C134&amp;"'!"&amp;"$"&amp;$D134&amp;$J$1&amp;"")</f>
        <v>6.6</v>
      </c>
      <c r="K134" s="296"/>
      <c r="L134" s="296">
        <v>0.99</v>
      </c>
      <c r="M134" s="294">
        <v>0.86</v>
      </c>
      <c r="N134" s="295" cm="1">
        <f t="array" aca="1" ref="N134" ca="1">INDIRECT("'"&amp;$C134&amp;"'!"&amp;"$"&amp;$D134&amp;$N$1&amp;"")</f>
        <v>0</v>
      </c>
      <c r="O134" s="296"/>
      <c r="P134" s="296" t="s">
        <v>1</v>
      </c>
      <c r="Q134" s="294" t="s">
        <v>1</v>
      </c>
      <c r="R134" s="295" cm="1">
        <f t="array" aca="1" ref="R134" ca="1">INDIRECT("'"&amp;$C134&amp;"'!"&amp;"$"&amp;$D134&amp;$R$1&amp;"")</f>
        <v>6.6</v>
      </c>
      <c r="S134" s="296"/>
      <c r="T134" s="296">
        <v>0.99</v>
      </c>
      <c r="U134" s="294">
        <v>0.81</v>
      </c>
      <c r="V134" s="295" cm="1">
        <f t="array" aca="1" ref="V134" ca="1">INDIRECT("'"&amp;$C134&amp;"'!"&amp;"$"&amp;$D134&amp;$V$1&amp;"")</f>
        <v>2.5</v>
      </c>
      <c r="W134" s="296">
        <f>3.8*3.61</f>
        <v>13.717999999999998</v>
      </c>
      <c r="X134" s="296">
        <v>0.99</v>
      </c>
      <c r="Y134" s="297">
        <v>0.19</v>
      </c>
      <c r="Z134" s="286" cm="1">
        <f t="array" aca="1" ref="Z134" ca="1">INDIRECT("'"&amp;$C134&amp;"'!"&amp;"$"&amp;$D134&amp;$Z$1&amp;"")</f>
        <v>0</v>
      </c>
      <c r="AA134" s="296" t="s">
        <v>1</v>
      </c>
      <c r="AB134" s="296" t="s">
        <v>1</v>
      </c>
      <c r="AC134" s="294" t="s">
        <v>1</v>
      </c>
      <c r="AD134" s="295" cm="1">
        <f t="array" aca="1" ref="AD134" ca="1">INDIRECT("'"&amp;$C134&amp;"'!"&amp;"$"&amp;$D134&amp;$AD$1&amp;"")</f>
        <v>3</v>
      </c>
      <c r="AE134" s="296">
        <v>13.72</v>
      </c>
      <c r="AF134" s="296">
        <v>0.99</v>
      </c>
      <c r="AG134" s="297">
        <v>0.24</v>
      </c>
      <c r="AH134" s="293" cm="1">
        <f t="array" aca="1" ref="AH134" ca="1">INDIRECT("'"&amp;$C134&amp;"'!"&amp;"$"&amp;$D134&amp;$AH$1&amp;"")</f>
        <v>0</v>
      </c>
      <c r="AI134" s="296" t="s">
        <v>1</v>
      </c>
      <c r="AJ134" s="296" t="s">
        <v>1</v>
      </c>
      <c r="AK134" s="294" t="s">
        <v>1</v>
      </c>
      <c r="AL134" s="293">
        <v>11.9</v>
      </c>
      <c r="AM134" s="297">
        <v>71</v>
      </c>
      <c r="AN134" s="293" t="str" cm="1">
        <f t="array" aca="1" ref="AN134" ca="1">INDIRECT("'"&amp;$C134&amp;"'!"&amp;"$"&amp;$D134&amp;$AL$1&amp;"")</f>
        <v>CMS</v>
      </c>
      <c r="AO134" s="296" t="s">
        <v>1</v>
      </c>
      <c r="AP134" s="294" t="s">
        <v>1</v>
      </c>
      <c r="AQ134" s="295" cm="1">
        <f t="array" aca="1" ref="AQ134" ca="1">INDIRECT("'"&amp;$C134&amp;"'!"&amp;"$"&amp;$D134&amp;$AQ$1&amp;"")</f>
        <v>3.5</v>
      </c>
      <c r="AR134" s="296">
        <v>0.97</v>
      </c>
      <c r="AS134" s="294">
        <v>0.53500000000000003</v>
      </c>
      <c r="AT134" s="296" cm="1">
        <f t="array" aca="1" ref="AT134" ca="1">INDIRECT("'"&amp;$C134&amp;"'!"&amp;"$"&amp;$D134&amp;$AT$1&amp;"")</f>
        <v>0</v>
      </c>
      <c r="AU134" s="295" t="s">
        <v>1</v>
      </c>
      <c r="AV134" s="296" t="s">
        <v>1</v>
      </c>
      <c r="AW134" s="294" t="s">
        <v>1</v>
      </c>
      <c r="AX134" s="298">
        <v>14.14</v>
      </c>
      <c r="AY134" s="297">
        <v>71.86</v>
      </c>
      <c r="AZ134" s="298" cm="1">
        <f t="array" aca="1" ref="AZ134" ca="1">INDIRECT("'"&amp;$C134&amp;"'!"&amp;"$"&amp;$D134&amp;$AZ$1&amp;"")</f>
        <v>14.31</v>
      </c>
      <c r="BA134" s="296">
        <v>1</v>
      </c>
      <c r="BB134" s="294">
        <v>1.3</v>
      </c>
      <c r="BC134" s="299">
        <v>70</v>
      </c>
      <c r="BD134" s="293" cm="1">
        <f t="array" aca="1" ref="BD134" ca="1">INDIRECT("'"&amp;$C134&amp;"'!"&amp;"$"&amp;$D134&amp;$BC$1&amp;"")</f>
        <v>0</v>
      </c>
      <c r="BE134" s="295" t="s">
        <v>1</v>
      </c>
      <c r="BF134" s="294" t="s">
        <v>1</v>
      </c>
      <c r="BG134" s="298" cm="1">
        <f t="array" aca="1" ref="BG134" ca="1">INDIRECT("'"&amp;$C134&amp;"'!"&amp;"$"&amp;$D134&amp;$BG$1&amp;"")</f>
        <v>0.92</v>
      </c>
      <c r="BH134" s="296"/>
      <c r="BI134" s="296">
        <v>0.99</v>
      </c>
      <c r="BJ134" s="294">
        <v>0.14000000000000001</v>
      </c>
      <c r="BK134" s="298" cm="1">
        <f t="array" aca="1" ref="BK134" ca="1">INDIRECT("'"&amp;$C134&amp;"'!"&amp;"$"&amp;$D134&amp;$BK$1&amp;"")</f>
        <v>0.72</v>
      </c>
      <c r="BL134" s="296"/>
      <c r="BM134" s="296">
        <v>0.95</v>
      </c>
      <c r="BN134" s="294">
        <v>0.2</v>
      </c>
      <c r="BO134" s="299" cm="1">
        <f t="array" aca="1" ref="BO134" ca="1">INDIRECT("'"&amp;$C134&amp;"'!"&amp;"$"&amp;$D134&amp;74&amp;"")</f>
        <v>0</v>
      </c>
      <c r="BP134" s="296"/>
      <c r="BQ134" s="296" t="s">
        <v>1</v>
      </c>
      <c r="BR134" s="294" t="s">
        <v>1</v>
      </c>
    </row>
    <row r="135" spans="1:70">
      <c r="A135" s="361">
        <v>45753</v>
      </c>
      <c r="B135" s="358">
        <v>0.20833333333333301</v>
      </c>
      <c r="C135" s="313">
        <f t="shared" si="4"/>
        <v>6</v>
      </c>
      <c r="D135" s="314" t="s">
        <v>132</v>
      </c>
      <c r="E135" s="286">
        <v>14.3</v>
      </c>
      <c r="F135" s="287">
        <v>70.760000000000005</v>
      </c>
      <c r="G135" s="288" cm="1">
        <f t="array" aca="1" ref="G135" ca="1">INDIRECT("'"&amp;$C135&amp;"'!"&amp;"$"&amp;$D135&amp;$E$1&amp;"")</f>
        <v>1.6</v>
      </c>
      <c r="H135" s="289">
        <v>0.96</v>
      </c>
      <c r="I135" s="287">
        <v>1.45</v>
      </c>
      <c r="J135" s="288" cm="1">
        <f t="array" aca="1" ref="J135" ca="1">INDIRECT("'"&amp;$C135&amp;"'!"&amp;"$"&amp;$D135&amp;$J$1&amp;"")</f>
        <v>6.9</v>
      </c>
      <c r="K135" s="289"/>
      <c r="L135" s="289">
        <v>0.99</v>
      </c>
      <c r="M135" s="287">
        <v>0.96</v>
      </c>
      <c r="N135" s="288" cm="1">
        <f t="array" aca="1" ref="N135" ca="1">INDIRECT("'"&amp;$C135&amp;"'!"&amp;"$"&amp;$D135&amp;$N$1&amp;"")</f>
        <v>0</v>
      </c>
      <c r="O135" s="289"/>
      <c r="P135" s="289" t="s">
        <v>1</v>
      </c>
      <c r="Q135" s="287" t="s">
        <v>1</v>
      </c>
      <c r="R135" s="288" cm="1">
        <f t="array" aca="1" ref="R135" ca="1">INDIRECT("'"&amp;$C135&amp;"'!"&amp;"$"&amp;$D135&amp;$R$1&amp;"")</f>
        <v>6.8</v>
      </c>
      <c r="S135" s="289"/>
      <c r="T135" s="289">
        <v>0.95</v>
      </c>
      <c r="U135" s="287">
        <v>2.3199999999999998</v>
      </c>
      <c r="V135" s="288" cm="1">
        <f t="array" aca="1" ref="V135" ca="1">INDIRECT("'"&amp;$C135&amp;"'!"&amp;"$"&amp;$D135&amp;$V$1&amp;"")</f>
        <v>0</v>
      </c>
      <c r="W135" s="289" t="s">
        <v>1</v>
      </c>
      <c r="X135" s="289" t="s">
        <v>1</v>
      </c>
      <c r="Y135" s="287" t="s">
        <v>1</v>
      </c>
      <c r="Z135" s="286" cm="1">
        <f t="array" aca="1" ref="Z135" ca="1">INDIRECT("'"&amp;$C135&amp;"'!"&amp;"$"&amp;$D135&amp;$Z$1&amp;"")</f>
        <v>0</v>
      </c>
      <c r="AA135" s="289" t="s">
        <v>1</v>
      </c>
      <c r="AB135" s="289" t="s">
        <v>1</v>
      </c>
      <c r="AC135" s="287" t="s">
        <v>1</v>
      </c>
      <c r="AD135" s="288" cm="1">
        <f t="array" aca="1" ref="AD135" ca="1">INDIRECT("'"&amp;$C135&amp;"'!"&amp;"$"&amp;$D135&amp;$AD$1&amp;"")</f>
        <v>3.8</v>
      </c>
      <c r="AE135" s="289">
        <f>3.8*3.61</f>
        <v>13.717999999999998</v>
      </c>
      <c r="AF135" s="289">
        <v>0.99</v>
      </c>
      <c r="AG135" s="290">
        <v>0.21</v>
      </c>
      <c r="AH135" s="286" cm="1">
        <f t="array" aca="1" ref="AH135" ca="1">INDIRECT("'"&amp;$C135&amp;"'!"&amp;"$"&amp;$D135&amp;$AH$1&amp;"")</f>
        <v>0</v>
      </c>
      <c r="AI135" s="289" t="s">
        <v>1</v>
      </c>
      <c r="AJ135" s="289" t="s">
        <v>1</v>
      </c>
      <c r="AK135" s="287" t="s">
        <v>1</v>
      </c>
      <c r="AL135" s="286">
        <v>11.9</v>
      </c>
      <c r="AM135" s="290">
        <v>70.900000000000006</v>
      </c>
      <c r="AN135" s="286" t="str" cm="1">
        <f t="array" aca="1" ref="AN135" ca="1">INDIRECT("'"&amp;$C135&amp;"'!"&amp;"$"&amp;$D135&amp;$AL$1&amp;"")</f>
        <v>CMS</v>
      </c>
      <c r="AO135" s="289" t="s">
        <v>1</v>
      </c>
      <c r="AP135" s="287" t="s">
        <v>1</v>
      </c>
      <c r="AQ135" s="288" cm="1">
        <f t="array" aca="1" ref="AQ135" ca="1">INDIRECT("'"&amp;$C135&amp;"'!"&amp;"$"&amp;$D135&amp;$AQ$1&amp;"")</f>
        <v>3.5</v>
      </c>
      <c r="AR135" s="289">
        <v>0.98</v>
      </c>
      <c r="AS135" s="287">
        <v>0.67200000000000004</v>
      </c>
      <c r="AT135" s="289" cm="1">
        <f t="array" aca="1" ref="AT135" ca="1">INDIRECT("'"&amp;$C135&amp;"'!"&amp;"$"&amp;$D135&amp;$AT$1&amp;"")</f>
        <v>0</v>
      </c>
      <c r="AU135" s="288" t="s">
        <v>1</v>
      </c>
      <c r="AV135" s="289" t="s">
        <v>1</v>
      </c>
      <c r="AW135" s="287" t="s">
        <v>1</v>
      </c>
      <c r="AX135" s="291">
        <v>14.08</v>
      </c>
      <c r="AY135" s="290">
        <v>71.66</v>
      </c>
      <c r="AZ135" s="291" cm="1">
        <f t="array" aca="1" ref="AZ135" ca="1">INDIRECT("'"&amp;$C135&amp;"'!"&amp;"$"&amp;$D135&amp;$AZ$1&amp;"")</f>
        <v>14.32</v>
      </c>
      <c r="BA135" s="289">
        <v>1</v>
      </c>
      <c r="BB135" s="287">
        <v>1.3</v>
      </c>
      <c r="BC135" s="292">
        <v>69.8</v>
      </c>
      <c r="BD135" s="286" cm="1">
        <f t="array" aca="1" ref="BD135" ca="1">INDIRECT("'"&amp;$C135&amp;"'!"&amp;"$"&amp;$D135&amp;$BC$1&amp;"")</f>
        <v>0</v>
      </c>
      <c r="BE135" s="288" t="s">
        <v>1</v>
      </c>
      <c r="BF135" s="287" t="s">
        <v>1</v>
      </c>
      <c r="BG135" s="291" cm="1">
        <f t="array" aca="1" ref="BG135" ca="1">INDIRECT("'"&amp;$C135&amp;"'!"&amp;"$"&amp;$D135&amp;$BG$1&amp;"")</f>
        <v>0.94</v>
      </c>
      <c r="BH135" s="289"/>
      <c r="BI135" s="289">
        <v>0.99</v>
      </c>
      <c r="BJ135" s="287">
        <v>0.14000000000000001</v>
      </c>
      <c r="BK135" s="291" cm="1">
        <f t="array" aca="1" ref="BK135" ca="1">INDIRECT("'"&amp;$C135&amp;"'!"&amp;"$"&amp;$D135&amp;$BK$1&amp;"")</f>
        <v>0.72</v>
      </c>
      <c r="BL135" s="289"/>
      <c r="BM135" s="289">
        <v>0.95</v>
      </c>
      <c r="BN135" s="287">
        <v>0.21</v>
      </c>
      <c r="BO135" s="292" cm="1">
        <f t="array" aca="1" ref="BO135" ca="1">INDIRECT("'"&amp;$C135&amp;"'!"&amp;"$"&amp;$D135&amp;74&amp;"")</f>
        <v>0</v>
      </c>
      <c r="BP135" s="289"/>
      <c r="BQ135" s="289" t="s">
        <v>1</v>
      </c>
      <c r="BR135" s="287" t="s">
        <v>1</v>
      </c>
    </row>
    <row r="136" spans="1:70">
      <c r="A136" s="361">
        <v>45753</v>
      </c>
      <c r="B136" s="358">
        <v>0.25</v>
      </c>
      <c r="C136" s="313">
        <f t="shared" si="4"/>
        <v>6</v>
      </c>
      <c r="D136" s="314" t="s">
        <v>133</v>
      </c>
      <c r="E136" s="293">
        <v>14.2</v>
      </c>
      <c r="F136" s="294">
        <v>70.12</v>
      </c>
      <c r="G136" s="295" cm="1">
        <f t="array" aca="1" ref="G136" ca="1">INDIRECT("'"&amp;$C136&amp;"'!"&amp;"$"&amp;$D136&amp;$E$1&amp;"")</f>
        <v>6.5</v>
      </c>
      <c r="H136" s="296">
        <v>0.98</v>
      </c>
      <c r="I136" s="294">
        <v>1.28</v>
      </c>
      <c r="J136" s="295" cm="1">
        <f t="array" aca="1" ref="J136" ca="1">INDIRECT("'"&amp;$C136&amp;"'!"&amp;"$"&amp;$D136&amp;$J$1&amp;"")</f>
        <v>6.5</v>
      </c>
      <c r="K136" s="296"/>
      <c r="L136" s="296">
        <v>0.98</v>
      </c>
      <c r="M136" s="294">
        <v>1.24</v>
      </c>
      <c r="N136" s="295" cm="1">
        <f t="array" aca="1" ref="N136" ca="1">INDIRECT("'"&amp;$C136&amp;"'!"&amp;"$"&amp;$D136&amp;$N$1&amp;"")</f>
        <v>0</v>
      </c>
      <c r="O136" s="296"/>
      <c r="P136" s="296" t="s">
        <v>1</v>
      </c>
      <c r="Q136" s="294" t="s">
        <v>1</v>
      </c>
      <c r="R136" s="295" cm="1">
        <f t="array" aca="1" ref="R136" ca="1">INDIRECT("'"&amp;$C136&amp;"'!"&amp;"$"&amp;$D136&amp;$R$1&amp;"")</f>
        <v>6.5</v>
      </c>
      <c r="S136" s="296"/>
      <c r="T136" s="296">
        <v>0.94</v>
      </c>
      <c r="U136" s="294">
        <v>2.41</v>
      </c>
      <c r="V136" s="295" cm="1">
        <f t="array" aca="1" ref="V136" ca="1">INDIRECT("'"&amp;$C136&amp;"'!"&amp;"$"&amp;$D136&amp;$V$1&amp;"")</f>
        <v>0</v>
      </c>
      <c r="W136" s="296" t="s">
        <v>1</v>
      </c>
      <c r="X136" s="296" t="s">
        <v>1</v>
      </c>
      <c r="Y136" s="297" t="s">
        <v>1</v>
      </c>
      <c r="Z136" s="293" cm="1">
        <f t="array" aca="1" ref="Z136" ca="1">INDIRECT("'"&amp;$C136&amp;"'!"&amp;"$"&amp;$D136&amp;$Z$1&amp;"")</f>
        <v>0</v>
      </c>
      <c r="AA136" s="296" t="s">
        <v>1</v>
      </c>
      <c r="AB136" s="296" t="s">
        <v>1</v>
      </c>
      <c r="AC136" s="294" t="s">
        <v>1</v>
      </c>
      <c r="AD136" s="295" cm="1">
        <f t="array" aca="1" ref="AD136" ca="1">INDIRECT("'"&amp;$C136&amp;"'!"&amp;"$"&amp;$D136&amp;$AD$1&amp;"")</f>
        <v>0</v>
      </c>
      <c r="AE136" s="296" t="s">
        <v>1</v>
      </c>
      <c r="AF136" s="296" t="s">
        <v>1</v>
      </c>
      <c r="AG136" s="297" t="s">
        <v>1</v>
      </c>
      <c r="AH136" s="293" cm="1">
        <f t="array" aca="1" ref="AH136" ca="1">INDIRECT("'"&amp;$C136&amp;"'!"&amp;"$"&amp;$D136&amp;$AH$1&amp;"")</f>
        <v>0</v>
      </c>
      <c r="AI136" s="296" t="s">
        <v>1</v>
      </c>
      <c r="AJ136" s="296" t="s">
        <v>1</v>
      </c>
      <c r="AK136" s="294" t="s">
        <v>1</v>
      </c>
      <c r="AL136" s="293">
        <v>11.8</v>
      </c>
      <c r="AM136" s="297">
        <v>70.3</v>
      </c>
      <c r="AN136" s="293" t="str" cm="1">
        <f t="array" aca="1" ref="AN136" ca="1">INDIRECT("'"&amp;$C136&amp;"'!"&amp;"$"&amp;$D136&amp;$AL$1&amp;"")</f>
        <v>CMS</v>
      </c>
      <c r="AO136" s="296" t="s">
        <v>1</v>
      </c>
      <c r="AP136" s="294" t="s">
        <v>1</v>
      </c>
      <c r="AQ136" s="295" cm="1">
        <f t="array" aca="1" ref="AQ136" ca="1">INDIRECT("'"&amp;$C136&amp;"'!"&amp;"$"&amp;$D136&amp;$AQ$1&amp;"")</f>
        <v>4</v>
      </c>
      <c r="AR136" s="296">
        <v>0.96</v>
      </c>
      <c r="AS136" s="294">
        <v>1.26</v>
      </c>
      <c r="AT136" s="296" cm="1">
        <f t="array" aca="1" ref="AT136" ca="1">INDIRECT("'"&amp;$C136&amp;"'!"&amp;"$"&amp;$D136&amp;$AT$1&amp;"")</f>
        <v>0</v>
      </c>
      <c r="AU136" s="295" t="s">
        <v>1</v>
      </c>
      <c r="AV136" s="296" t="s">
        <v>1</v>
      </c>
      <c r="AW136" s="294" t="s">
        <v>1</v>
      </c>
      <c r="AX136" s="298">
        <v>13.93</v>
      </c>
      <c r="AY136" s="297">
        <v>71</v>
      </c>
      <c r="AZ136" s="298" cm="1">
        <f t="array" aca="1" ref="AZ136" ca="1">INDIRECT("'"&amp;$C136&amp;"'!"&amp;"$"&amp;$D136&amp;$AZ$1&amp;"")</f>
        <v>14.29</v>
      </c>
      <c r="BA136" s="296">
        <v>1</v>
      </c>
      <c r="BB136" s="294">
        <v>1.3</v>
      </c>
      <c r="BC136" s="299">
        <v>69</v>
      </c>
      <c r="BD136" s="293" cm="1">
        <f t="array" aca="1" ref="BD136" ca="1">INDIRECT("'"&amp;$C136&amp;"'!"&amp;"$"&amp;$D136&amp;$BC$1&amp;"")</f>
        <v>0</v>
      </c>
      <c r="BE136" s="295" t="s">
        <v>1</v>
      </c>
      <c r="BF136" s="294" t="s">
        <v>1</v>
      </c>
      <c r="BG136" s="298" cm="1">
        <f t="array" aca="1" ref="BG136" ca="1">INDIRECT("'"&amp;$C136&amp;"'!"&amp;"$"&amp;$D136&amp;$BG$1&amp;"")</f>
        <v>0.98</v>
      </c>
      <c r="BH136" s="296"/>
      <c r="BI136" s="296">
        <v>0.99</v>
      </c>
      <c r="BJ136" s="294">
        <v>0.13</v>
      </c>
      <c r="BK136" s="298" cm="1">
        <f t="array" aca="1" ref="BK136" ca="1">INDIRECT("'"&amp;$C136&amp;"'!"&amp;"$"&amp;$D136&amp;$BK$1&amp;"")</f>
        <v>0.72</v>
      </c>
      <c r="BL136" s="296"/>
      <c r="BM136" s="296">
        <v>0.96</v>
      </c>
      <c r="BN136" s="294">
        <v>0.21</v>
      </c>
      <c r="BO136" s="299" cm="1">
        <f t="array" aca="1" ref="BO136" ca="1">INDIRECT("'"&amp;$C136&amp;"'!"&amp;"$"&amp;$D136&amp;74&amp;"")</f>
        <v>0</v>
      </c>
      <c r="BP136" s="296"/>
      <c r="BQ136" s="296" t="s">
        <v>1</v>
      </c>
      <c r="BR136" s="294" t="s">
        <v>1</v>
      </c>
    </row>
    <row r="137" spans="1:70">
      <c r="A137" s="361">
        <v>45753</v>
      </c>
      <c r="B137" s="358">
        <v>0.29166666666666702</v>
      </c>
      <c r="C137" s="313">
        <f t="shared" si="4"/>
        <v>6</v>
      </c>
      <c r="D137" s="314" t="s">
        <v>134</v>
      </c>
      <c r="E137" s="286">
        <v>14.1</v>
      </c>
      <c r="F137" s="287">
        <v>70.040000000000006</v>
      </c>
      <c r="G137" s="288" cm="1">
        <f t="array" aca="1" ref="G137" ca="1">INDIRECT("'"&amp;$C137&amp;"'!"&amp;"$"&amp;$D137&amp;$E$1&amp;"")</f>
        <v>6.3</v>
      </c>
      <c r="H137" s="289">
        <v>0.97</v>
      </c>
      <c r="I137" s="287">
        <v>1.38</v>
      </c>
      <c r="J137" s="288" cm="1">
        <f t="array" aca="1" ref="J137" ca="1">INDIRECT("'"&amp;$C137&amp;"'!"&amp;"$"&amp;$D137&amp;$J$1&amp;"")</f>
        <v>6.3</v>
      </c>
      <c r="K137" s="289"/>
      <c r="L137" s="289">
        <v>0.97</v>
      </c>
      <c r="M137" s="287">
        <v>1.29</v>
      </c>
      <c r="N137" s="288" cm="1">
        <f t="array" aca="1" ref="N137" ca="1">INDIRECT("'"&amp;$C137&amp;"'!"&amp;"$"&amp;$D137&amp;$N$1&amp;"")</f>
        <v>0</v>
      </c>
      <c r="O137" s="289"/>
      <c r="P137" s="289" t="s">
        <v>1</v>
      </c>
      <c r="Q137" s="287" t="s">
        <v>1</v>
      </c>
      <c r="R137" s="288" cm="1">
        <f t="array" aca="1" ref="R137" ca="1">INDIRECT("'"&amp;$C137&amp;"'!"&amp;"$"&amp;$D137&amp;$R$1&amp;"")</f>
        <v>6.3</v>
      </c>
      <c r="S137" s="289"/>
      <c r="T137" s="289">
        <v>0.94</v>
      </c>
      <c r="U137" s="287">
        <v>2.2200000000000002</v>
      </c>
      <c r="V137" s="288" cm="1">
        <f t="array" aca="1" ref="V137" ca="1">INDIRECT("'"&amp;$C137&amp;"'!"&amp;"$"&amp;$D137&amp;$V$1&amp;"")</f>
        <v>0</v>
      </c>
      <c r="W137" s="289" t="s">
        <v>1</v>
      </c>
      <c r="X137" s="289" t="s">
        <v>1</v>
      </c>
      <c r="Y137" s="290" t="s">
        <v>1</v>
      </c>
      <c r="Z137" s="286" cm="1">
        <f t="array" aca="1" ref="Z137" ca="1">INDIRECT("'"&amp;$C137&amp;"'!"&amp;"$"&amp;$D137&amp;$Z$1&amp;"")</f>
        <v>0</v>
      </c>
      <c r="AA137" s="289" t="s">
        <v>1</v>
      </c>
      <c r="AB137" s="289" t="s">
        <v>1</v>
      </c>
      <c r="AC137" s="287" t="s">
        <v>1</v>
      </c>
      <c r="AD137" s="288" cm="1">
        <f t="array" aca="1" ref="AD137" ca="1">INDIRECT("'"&amp;$C137&amp;"'!"&amp;"$"&amp;$D137&amp;$AD$1&amp;"")</f>
        <v>0</v>
      </c>
      <c r="AE137" s="289" t="s">
        <v>1</v>
      </c>
      <c r="AF137" s="289" t="s">
        <v>1</v>
      </c>
      <c r="AG137" s="290" t="s">
        <v>1</v>
      </c>
      <c r="AH137" s="286" cm="1">
        <f t="array" aca="1" ref="AH137" ca="1">INDIRECT("'"&amp;$C137&amp;"'!"&amp;"$"&amp;$D137&amp;$AH$1&amp;"")</f>
        <v>0</v>
      </c>
      <c r="AI137" s="289" t="s">
        <v>1</v>
      </c>
      <c r="AJ137" s="289" t="s">
        <v>1</v>
      </c>
      <c r="AK137" s="287" t="s">
        <v>1</v>
      </c>
      <c r="AL137" s="286">
        <v>11.8</v>
      </c>
      <c r="AM137" s="290">
        <v>70.2</v>
      </c>
      <c r="AN137" s="286" t="str" cm="1">
        <f t="array" aca="1" ref="AN137" ca="1">INDIRECT("'"&amp;$C137&amp;"'!"&amp;"$"&amp;$D137&amp;$AL$1&amp;"")</f>
        <v>CMS</v>
      </c>
      <c r="AO137" s="289" t="s">
        <v>1</v>
      </c>
      <c r="AP137" s="287" t="s">
        <v>1</v>
      </c>
      <c r="AQ137" s="288" cm="1">
        <f t="array" aca="1" ref="AQ137" ca="1">INDIRECT("'"&amp;$C137&amp;"'!"&amp;"$"&amp;$D137&amp;$AQ$1&amp;"")</f>
        <v>3.9</v>
      </c>
      <c r="AR137" s="289">
        <v>0.95</v>
      </c>
      <c r="AS137" s="287">
        <v>1.365</v>
      </c>
      <c r="AT137" s="289" cm="1">
        <f t="array" aca="1" ref="AT137" ca="1">INDIRECT("'"&amp;$C137&amp;"'!"&amp;"$"&amp;$D137&amp;$AT$1&amp;"")</f>
        <v>0</v>
      </c>
      <c r="AU137" s="288" t="s">
        <v>1</v>
      </c>
      <c r="AV137" s="289" t="s">
        <v>1</v>
      </c>
      <c r="AW137" s="287" t="s">
        <v>1</v>
      </c>
      <c r="AX137" s="291">
        <v>13.95</v>
      </c>
      <c r="AY137" s="290">
        <v>71.02</v>
      </c>
      <c r="AZ137" s="291" cm="1">
        <f t="array" aca="1" ref="AZ137" ca="1">INDIRECT("'"&amp;$C137&amp;"'!"&amp;"$"&amp;$D137&amp;$AZ$1&amp;"")</f>
        <v>14.3</v>
      </c>
      <c r="BA137" s="289">
        <v>1</v>
      </c>
      <c r="BB137" s="287">
        <v>1.3</v>
      </c>
      <c r="BC137" s="292">
        <v>69</v>
      </c>
      <c r="BD137" s="286" cm="1">
        <f t="array" aca="1" ref="BD137" ca="1">INDIRECT("'"&amp;$C137&amp;"'!"&amp;"$"&amp;$D137&amp;$BC$1&amp;"")</f>
        <v>0</v>
      </c>
      <c r="BE137" s="288" t="s">
        <v>1</v>
      </c>
      <c r="BF137" s="287" t="s">
        <v>1</v>
      </c>
      <c r="BG137" s="291" cm="1">
        <f t="array" aca="1" ref="BG137" ca="1">INDIRECT("'"&amp;$C137&amp;"'!"&amp;"$"&amp;$D137&amp;$BG$1&amp;"")</f>
        <v>1.05</v>
      </c>
      <c r="BH137" s="289"/>
      <c r="BI137" s="289">
        <v>0.99</v>
      </c>
      <c r="BJ137" s="287">
        <v>0.17</v>
      </c>
      <c r="BK137" s="292" cm="1">
        <f t="array" aca="1" ref="BK137" ca="1">INDIRECT("'"&amp;$C137&amp;"'!"&amp;"$"&amp;$D137&amp;$BK$1&amp;"")</f>
        <v>0.72</v>
      </c>
      <c r="BL137" s="289"/>
      <c r="BM137" s="289">
        <v>0.95</v>
      </c>
      <c r="BN137" s="287">
        <v>0.22</v>
      </c>
      <c r="BO137" s="292" cm="1">
        <f t="array" aca="1" ref="BO137" ca="1">INDIRECT("'"&amp;$C137&amp;"'!"&amp;"$"&amp;$D137&amp;74&amp;"")</f>
        <v>0</v>
      </c>
      <c r="BP137" s="289"/>
      <c r="BQ137" s="289" t="s">
        <v>1</v>
      </c>
      <c r="BR137" s="287" t="s">
        <v>1</v>
      </c>
    </row>
    <row r="138" spans="1:70">
      <c r="A138" s="361">
        <v>45753</v>
      </c>
      <c r="B138" s="358">
        <v>0.33333333333333398</v>
      </c>
      <c r="C138" s="313">
        <f t="shared" si="4"/>
        <v>6</v>
      </c>
      <c r="D138" s="314" t="s">
        <v>135</v>
      </c>
      <c r="E138" s="293">
        <v>14.2</v>
      </c>
      <c r="F138" s="294">
        <v>69.959999999999994</v>
      </c>
      <c r="G138" s="295" cm="1">
        <f t="array" aca="1" ref="G138" ca="1">INDIRECT("'"&amp;$C138&amp;"'!"&amp;"$"&amp;$D138&amp;$E$1&amp;"")</f>
        <v>6.5</v>
      </c>
      <c r="H138" s="296">
        <v>0.96</v>
      </c>
      <c r="I138" s="294">
        <v>1.85</v>
      </c>
      <c r="J138" s="295" cm="1">
        <f t="array" aca="1" ref="J138" ca="1">INDIRECT("'"&amp;$C138&amp;"'!"&amp;"$"&amp;$D138&amp;$J$1&amp;"")</f>
        <v>6.5</v>
      </c>
      <c r="K138" s="296"/>
      <c r="L138" s="296">
        <v>0.6</v>
      </c>
      <c r="M138" s="294">
        <v>1.85</v>
      </c>
      <c r="N138" s="295" cm="1">
        <f t="array" aca="1" ref="N138" ca="1">INDIRECT("'"&amp;$C138&amp;"'!"&amp;"$"&amp;$D138&amp;$N$1&amp;"")</f>
        <v>0</v>
      </c>
      <c r="O138" s="296"/>
      <c r="P138" s="296" t="s">
        <v>1</v>
      </c>
      <c r="Q138" s="294" t="s">
        <v>1</v>
      </c>
      <c r="R138" s="295" cm="1">
        <f t="array" aca="1" ref="R138" ca="1">INDIRECT("'"&amp;$C138&amp;"'!"&amp;"$"&amp;$D138&amp;$R$1&amp;"")</f>
        <v>6.5</v>
      </c>
      <c r="S138" s="296"/>
      <c r="T138" s="296">
        <v>0.96</v>
      </c>
      <c r="U138" s="294">
        <v>1.85</v>
      </c>
      <c r="V138" s="295" cm="1">
        <f t="array" aca="1" ref="V138" ca="1">INDIRECT("'"&amp;$C138&amp;"'!"&amp;"$"&amp;$D138&amp;$V$1&amp;"")</f>
        <v>0</v>
      </c>
      <c r="W138" s="296" t="s">
        <v>1</v>
      </c>
      <c r="X138" s="296" t="s">
        <v>1</v>
      </c>
      <c r="Y138" s="297" t="s">
        <v>1</v>
      </c>
      <c r="Z138" s="293" cm="1">
        <f t="array" aca="1" ref="Z138" ca="1">INDIRECT("'"&amp;$C138&amp;"'!"&amp;"$"&amp;$D138&amp;$Z$1&amp;"")</f>
        <v>0</v>
      </c>
      <c r="AA138" s="296" t="s">
        <v>1</v>
      </c>
      <c r="AB138" s="296" t="s">
        <v>1</v>
      </c>
      <c r="AC138" s="294" t="s">
        <v>1</v>
      </c>
      <c r="AD138" s="295" cm="1">
        <f t="array" aca="1" ref="AD138" ca="1">INDIRECT("'"&amp;$C138&amp;"'!"&amp;"$"&amp;$D138&amp;$AD$1&amp;"")</f>
        <v>2.8</v>
      </c>
      <c r="AE138" s="296">
        <f>3.56*3.8</f>
        <v>13.527999999999999</v>
      </c>
      <c r="AF138" s="296">
        <v>0.96</v>
      </c>
      <c r="AG138" s="297">
        <v>0.81</v>
      </c>
      <c r="AH138" s="293" cm="1">
        <f t="array" aca="1" ref="AH138" ca="1">INDIRECT("'"&amp;$C138&amp;"'!"&amp;"$"&amp;$D138&amp;$AH$1&amp;"")</f>
        <v>0</v>
      </c>
      <c r="AI138" s="296" t="s">
        <v>1</v>
      </c>
      <c r="AJ138" s="296" t="s">
        <v>1</v>
      </c>
      <c r="AK138" s="294" t="s">
        <v>1</v>
      </c>
      <c r="AL138" s="293">
        <v>11.8</v>
      </c>
      <c r="AM138" s="297">
        <v>70.099999999999994</v>
      </c>
      <c r="AN138" s="293" t="str" cm="1">
        <f t="array" aca="1" ref="AN138" ca="1">INDIRECT("'"&amp;$C138&amp;"'!"&amp;"$"&amp;$D138&amp;$AL$1&amp;"")</f>
        <v>CMS</v>
      </c>
      <c r="AO138" s="296" t="s">
        <v>1</v>
      </c>
      <c r="AP138" s="294" t="s">
        <v>1</v>
      </c>
      <c r="AQ138" s="295" cm="1">
        <f t="array" aca="1" ref="AQ138" ca="1">INDIRECT("'"&amp;$C138&amp;"'!"&amp;"$"&amp;$D138&amp;$AQ$1&amp;"")</f>
        <v>4</v>
      </c>
      <c r="AR138" s="296">
        <v>0.93</v>
      </c>
      <c r="AS138" s="294">
        <v>1.528</v>
      </c>
      <c r="AT138" s="296" cm="1">
        <f t="array" aca="1" ref="AT138" ca="1">INDIRECT("'"&amp;$C138&amp;"'!"&amp;"$"&amp;$D138&amp;$AT$1&amp;"")</f>
        <v>0</v>
      </c>
      <c r="AU138" s="295" t="s">
        <v>1</v>
      </c>
      <c r="AV138" s="296" t="s">
        <v>1</v>
      </c>
      <c r="AW138" s="294" t="s">
        <v>1</v>
      </c>
      <c r="AX138" s="298">
        <v>13.91</v>
      </c>
      <c r="AY138" s="297">
        <v>70.73</v>
      </c>
      <c r="AZ138" s="298" cm="1">
        <f t="array" aca="1" ref="AZ138" ca="1">INDIRECT("'"&amp;$C138&amp;"'!"&amp;"$"&amp;$D138&amp;$AZ$1&amp;"")</f>
        <v>14.29</v>
      </c>
      <c r="BA138" s="296">
        <v>1</v>
      </c>
      <c r="BB138" s="294">
        <v>1.4</v>
      </c>
      <c r="BC138" s="299">
        <v>68.8</v>
      </c>
      <c r="BD138" s="293" cm="1">
        <f t="array" aca="1" ref="BD138" ca="1">INDIRECT("'"&amp;$C138&amp;"'!"&amp;"$"&amp;$D138&amp;$BC$1&amp;"")</f>
        <v>0</v>
      </c>
      <c r="BE138" s="295" t="s">
        <v>1</v>
      </c>
      <c r="BF138" s="294" t="s">
        <v>1</v>
      </c>
      <c r="BG138" s="298" cm="1">
        <f t="array" aca="1" ref="BG138" ca="1">INDIRECT("'"&amp;$C138&amp;"'!"&amp;"$"&amp;$D138&amp;$BG$1&amp;"")</f>
        <v>1.19</v>
      </c>
      <c r="BH138" s="296"/>
      <c r="BI138" s="296">
        <v>0.99</v>
      </c>
      <c r="BJ138" s="294">
        <v>0.19</v>
      </c>
      <c r="BK138" s="299" cm="1">
        <f t="array" aca="1" ref="BK138" ca="1">INDIRECT("'"&amp;$C138&amp;"'!"&amp;"$"&amp;$D138&amp;$BK$1&amp;"")</f>
        <v>0.71</v>
      </c>
      <c r="BL138" s="296"/>
      <c r="BM138" s="296">
        <v>0.95</v>
      </c>
      <c r="BN138" s="294">
        <v>0.23</v>
      </c>
      <c r="BO138" s="299" cm="1">
        <f t="array" aca="1" ref="BO138" ca="1">INDIRECT("'"&amp;$C138&amp;"'!"&amp;"$"&amp;$D138&amp;74&amp;"")</f>
        <v>0</v>
      </c>
      <c r="BP138" s="296"/>
      <c r="BQ138" s="296" t="s">
        <v>1</v>
      </c>
      <c r="BR138" s="294" t="s">
        <v>1</v>
      </c>
    </row>
    <row r="139" spans="1:70">
      <c r="A139" s="361">
        <v>45753</v>
      </c>
      <c r="B139" s="358">
        <v>0.375</v>
      </c>
      <c r="C139" s="313">
        <f t="shared" si="4"/>
        <v>6</v>
      </c>
      <c r="D139" s="314" t="s">
        <v>136</v>
      </c>
      <c r="E139" s="286">
        <v>14.3</v>
      </c>
      <c r="F139" s="287">
        <v>70.08</v>
      </c>
      <c r="G139" s="288" cm="1">
        <f t="array" aca="1" ref="G139" ca="1">INDIRECT("'"&amp;$C139&amp;"'!"&amp;"$"&amp;$D139&amp;$E$1&amp;"")</f>
        <v>6.5</v>
      </c>
      <c r="H139" s="289">
        <v>0.96</v>
      </c>
      <c r="I139" s="287">
        <v>1.79</v>
      </c>
      <c r="J139" s="288" cm="1">
        <f t="array" aca="1" ref="J139" ca="1">INDIRECT("'"&amp;$C139&amp;"'!"&amp;"$"&amp;$D139&amp;$J$1&amp;"")</f>
        <v>6.5</v>
      </c>
      <c r="K139" s="289"/>
      <c r="L139" s="289">
        <v>0.96</v>
      </c>
      <c r="M139" s="287">
        <v>1.79</v>
      </c>
      <c r="N139" s="288" cm="1">
        <f t="array" aca="1" ref="N139" ca="1">INDIRECT("'"&amp;$C139&amp;"'!"&amp;"$"&amp;$D139&amp;$N$1&amp;"")</f>
        <v>0</v>
      </c>
      <c r="O139" s="289"/>
      <c r="P139" s="289" t="s">
        <v>1</v>
      </c>
      <c r="Q139" s="287" t="s">
        <v>1</v>
      </c>
      <c r="R139" s="288" cm="1">
        <f t="array" aca="1" ref="R139" ca="1">INDIRECT("'"&amp;$C139&amp;"'!"&amp;"$"&amp;$D139&amp;$R$1&amp;"")</f>
        <v>6.5</v>
      </c>
      <c r="S139" s="289"/>
      <c r="T139" s="289">
        <v>0.96</v>
      </c>
      <c r="U139" s="287">
        <v>1.79</v>
      </c>
      <c r="V139" s="288" cm="1">
        <f t="array" aca="1" ref="V139" ca="1">INDIRECT("'"&amp;$C139&amp;"'!"&amp;"$"&amp;$D139&amp;$V$1&amp;"")</f>
        <v>1.2</v>
      </c>
      <c r="W139" s="289">
        <f>3.55*3.8</f>
        <v>13.489999999999998</v>
      </c>
      <c r="X139" s="289">
        <v>0.95</v>
      </c>
      <c r="Y139" s="290">
        <v>0.8</v>
      </c>
      <c r="Z139" s="286" cm="1">
        <f t="array" aca="1" ref="Z139" ca="1">INDIRECT("'"&amp;$C139&amp;"'!"&amp;"$"&amp;$D139&amp;$Z$1&amp;"")</f>
        <v>0</v>
      </c>
      <c r="AA139" s="289" t="s">
        <v>1</v>
      </c>
      <c r="AB139" s="289" t="s">
        <v>1</v>
      </c>
      <c r="AC139" s="287" t="s">
        <v>1</v>
      </c>
      <c r="AD139" s="288" cm="1">
        <f t="array" aca="1" ref="AD139" ca="1">INDIRECT("'"&amp;$C139&amp;"'!"&amp;"$"&amp;$D139&amp;$AD$1&amp;"")</f>
        <v>3.8</v>
      </c>
      <c r="AE139" s="289">
        <v>13.489999999999998</v>
      </c>
      <c r="AF139" s="289">
        <v>0.95</v>
      </c>
      <c r="AG139" s="290">
        <v>1.05</v>
      </c>
      <c r="AH139" s="286" cm="1">
        <f t="array" aca="1" ref="AH139" ca="1">INDIRECT("'"&amp;$C139&amp;"'!"&amp;"$"&amp;$D139&amp;$AH$1&amp;"")</f>
        <v>0</v>
      </c>
      <c r="AI139" s="289" t="s">
        <v>1</v>
      </c>
      <c r="AJ139" s="289" t="s">
        <v>1</v>
      </c>
      <c r="AK139" s="287" t="s">
        <v>1</v>
      </c>
      <c r="AL139" s="286">
        <v>11.8</v>
      </c>
      <c r="AM139" s="290">
        <v>70.3</v>
      </c>
      <c r="AN139" s="286" t="str" cm="1">
        <f t="array" aca="1" ref="AN139" ca="1">INDIRECT("'"&amp;$C139&amp;"'!"&amp;"$"&amp;$D139&amp;$AL$1&amp;"")</f>
        <v>CMS</v>
      </c>
      <c r="AO139" s="289" t="s">
        <v>1</v>
      </c>
      <c r="AP139" s="287" t="s">
        <v>1</v>
      </c>
      <c r="AQ139" s="288" cm="1">
        <f t="array" aca="1" ref="AQ139" ca="1">INDIRECT("'"&amp;$C139&amp;"'!"&amp;"$"&amp;$D139&amp;$AQ$1&amp;"")</f>
        <v>3.9</v>
      </c>
      <c r="AR139" s="289">
        <v>0.95</v>
      </c>
      <c r="AS139" s="287">
        <v>1.22</v>
      </c>
      <c r="AT139" s="289" cm="1">
        <f t="array" aca="1" ref="AT139" ca="1">INDIRECT("'"&amp;$C139&amp;"'!"&amp;"$"&amp;$D139&amp;$AT$1&amp;"")</f>
        <v>0</v>
      </c>
      <c r="AU139" s="288" t="s">
        <v>1</v>
      </c>
      <c r="AV139" s="289" t="s">
        <v>1</v>
      </c>
      <c r="AW139" s="287" t="s">
        <v>1</v>
      </c>
      <c r="AX139" s="291">
        <v>14.12</v>
      </c>
      <c r="AY139" s="290">
        <v>71.37</v>
      </c>
      <c r="AZ139" s="291" cm="1">
        <f t="array" aca="1" ref="AZ139" ca="1">INDIRECT("'"&amp;$C139&amp;"'!"&amp;"$"&amp;$D139&amp;$AZ$1&amp;"")</f>
        <v>14.27</v>
      </c>
      <c r="BA139" s="289">
        <v>0.99</v>
      </c>
      <c r="BB139" s="287">
        <v>2.5</v>
      </c>
      <c r="BC139" s="292">
        <v>69</v>
      </c>
      <c r="BD139" s="286" cm="1">
        <f t="array" aca="1" ref="BD139" ca="1">INDIRECT("'"&amp;$C139&amp;"'!"&amp;"$"&amp;$D139&amp;$BC$1&amp;"")</f>
        <v>2.0999999999999996</v>
      </c>
      <c r="BE139" s="288">
        <v>0.96</v>
      </c>
      <c r="BF139" s="287">
        <v>0.61</v>
      </c>
      <c r="BG139" s="291" cm="1">
        <f t="array" aca="1" ref="BG139" ca="1">INDIRECT("'"&amp;$C139&amp;"'!"&amp;"$"&amp;$D139&amp;$BG$1&amp;"")</f>
        <v>1.23</v>
      </c>
      <c r="BH139" s="289"/>
      <c r="BI139" s="289">
        <v>0.99</v>
      </c>
      <c r="BJ139" s="287">
        <v>0.2</v>
      </c>
      <c r="BK139" s="292" cm="1">
        <f t="array" aca="1" ref="BK139" ca="1">INDIRECT("'"&amp;$C139&amp;"'!"&amp;"$"&amp;$D139&amp;$BK$1&amp;"")</f>
        <v>0.77</v>
      </c>
      <c r="BL139" s="289"/>
      <c r="BM139" s="289">
        <v>0.96</v>
      </c>
      <c r="BN139" s="287">
        <v>0.24</v>
      </c>
      <c r="BO139" s="292" cm="1">
        <f t="array" aca="1" ref="BO139" ca="1">INDIRECT("'"&amp;$C139&amp;"'!"&amp;"$"&amp;$D139&amp;74&amp;"")</f>
        <v>0</v>
      </c>
      <c r="BP139" s="289"/>
      <c r="BQ139" s="289" t="s">
        <v>1</v>
      </c>
      <c r="BR139" s="287" t="s">
        <v>1</v>
      </c>
    </row>
    <row r="140" spans="1:70">
      <c r="A140" s="361">
        <v>45753</v>
      </c>
      <c r="B140" s="358">
        <v>0.41666666666666702</v>
      </c>
      <c r="C140" s="313">
        <f t="shared" si="4"/>
        <v>6</v>
      </c>
      <c r="D140" s="314" t="s">
        <v>137</v>
      </c>
      <c r="E140" s="293">
        <v>14.3</v>
      </c>
      <c r="F140" s="294">
        <v>69.819999999999993</v>
      </c>
      <c r="G140" s="295" cm="1">
        <f t="array" aca="1" ref="G140" ca="1">INDIRECT("'"&amp;$C140&amp;"'!"&amp;"$"&amp;$D140&amp;$E$1&amp;"")</f>
        <v>6.7</v>
      </c>
      <c r="H140" s="296">
        <v>0.96</v>
      </c>
      <c r="I140" s="294">
        <v>1.92</v>
      </c>
      <c r="J140" s="295" cm="1">
        <f t="array" aca="1" ref="J140" ca="1">INDIRECT("'"&amp;$C140&amp;"'!"&amp;"$"&amp;$D140&amp;$J$1&amp;"")</f>
        <v>6.7</v>
      </c>
      <c r="K140" s="296"/>
      <c r="L140" s="296">
        <v>0.96</v>
      </c>
      <c r="M140" s="294">
        <v>1.92</v>
      </c>
      <c r="N140" s="295" cm="1">
        <f t="array" aca="1" ref="N140" ca="1">INDIRECT("'"&amp;$C140&amp;"'!"&amp;"$"&amp;$D140&amp;$N$1&amp;"")</f>
        <v>0</v>
      </c>
      <c r="O140" s="296"/>
      <c r="P140" s="296" t="s">
        <v>1</v>
      </c>
      <c r="Q140" s="294" t="s">
        <v>1</v>
      </c>
      <c r="R140" s="295" cm="1">
        <f t="array" aca="1" ref="R140" ca="1">INDIRECT("'"&amp;$C140&amp;"'!"&amp;"$"&amp;$D140&amp;$R$1&amp;"")</f>
        <v>6.7</v>
      </c>
      <c r="S140" s="296"/>
      <c r="T140" s="296">
        <v>0.96</v>
      </c>
      <c r="U140" s="294">
        <v>1.92</v>
      </c>
      <c r="V140" s="295" cm="1">
        <f t="array" aca="1" ref="V140" ca="1">INDIRECT("'"&amp;$C140&amp;"'!"&amp;"$"&amp;$D140&amp;$V$1&amp;"")</f>
        <v>2.8</v>
      </c>
      <c r="W140" s="296">
        <f>3.53*3.8</f>
        <v>13.413999999999998</v>
      </c>
      <c r="X140" s="296">
        <v>0.95</v>
      </c>
      <c r="Y140" s="297">
        <v>1.84</v>
      </c>
      <c r="Z140" s="293" cm="1">
        <f t="array" aca="1" ref="Z140" ca="1">INDIRECT("'"&amp;$C140&amp;"'!"&amp;"$"&amp;$D140&amp;$Z$1&amp;"")</f>
        <v>0</v>
      </c>
      <c r="AA140" s="296" t="s">
        <v>1</v>
      </c>
      <c r="AB140" s="296" t="s">
        <v>1</v>
      </c>
      <c r="AC140" s="294" t="s">
        <v>1</v>
      </c>
      <c r="AD140" s="295" cm="1">
        <f t="array" aca="1" ref="AD140" ca="1">INDIRECT("'"&amp;$C140&amp;"'!"&amp;"$"&amp;$D140&amp;$AD$1&amp;"")</f>
        <v>3.8</v>
      </c>
      <c r="AE140" s="296">
        <v>13.413999999999998</v>
      </c>
      <c r="AF140" s="296">
        <v>0.95</v>
      </c>
      <c r="AG140" s="297">
        <v>1.52</v>
      </c>
      <c r="AH140" s="293" cm="1">
        <f t="array" aca="1" ref="AH140" ca="1">INDIRECT("'"&amp;$C140&amp;"'!"&amp;"$"&amp;$D140&amp;$AH$1&amp;"")</f>
        <v>1.5</v>
      </c>
      <c r="AI140" s="296">
        <v>13.88</v>
      </c>
      <c r="AJ140" s="296">
        <v>0.9</v>
      </c>
      <c r="AK140" s="294">
        <v>0.309</v>
      </c>
      <c r="AL140" s="293">
        <v>11.8</v>
      </c>
      <c r="AM140" s="297">
        <v>70.2</v>
      </c>
      <c r="AN140" s="293" t="str" cm="1">
        <f t="array" aca="1" ref="AN140" ca="1">INDIRECT("'"&amp;$C140&amp;"'!"&amp;"$"&amp;$D140&amp;$AL$1&amp;"")</f>
        <v>CMS</v>
      </c>
      <c r="AO140" s="296" t="s">
        <v>1</v>
      </c>
      <c r="AP140" s="294" t="s">
        <v>1</v>
      </c>
      <c r="AQ140" s="295" cm="1">
        <f t="array" aca="1" ref="AQ140" ca="1">INDIRECT("'"&amp;$C140&amp;"'!"&amp;"$"&amp;$D140&amp;$AQ$1&amp;"")</f>
        <v>3.9</v>
      </c>
      <c r="AR140" s="296">
        <v>0.94</v>
      </c>
      <c r="AS140" s="294">
        <v>1.3</v>
      </c>
      <c r="AT140" s="296" cm="1">
        <f t="array" aca="1" ref="AT140" ca="1">INDIRECT("'"&amp;$C140&amp;"'!"&amp;"$"&amp;$D140&amp;$AT$1&amp;"")</f>
        <v>0</v>
      </c>
      <c r="AU140" s="295" t="s">
        <v>1</v>
      </c>
      <c r="AV140" s="296" t="s">
        <v>1</v>
      </c>
      <c r="AW140" s="294" t="s">
        <v>1</v>
      </c>
      <c r="AX140" s="298">
        <v>14.07</v>
      </c>
      <c r="AY140" s="297">
        <v>71.19</v>
      </c>
      <c r="AZ140" s="298" cm="1">
        <f t="array" aca="1" ref="AZ140" ca="1">INDIRECT("'"&amp;$C140&amp;"'!"&amp;"$"&amp;$D140&amp;$AZ$1&amp;"")</f>
        <v>14.29</v>
      </c>
      <c r="BA140" s="296">
        <v>0.99</v>
      </c>
      <c r="BB140" s="294">
        <v>2.4</v>
      </c>
      <c r="BC140" s="299">
        <v>68.7</v>
      </c>
      <c r="BD140" s="293" cm="1">
        <f t="array" aca="1" ref="BD140" ca="1">INDIRECT("'"&amp;$C140&amp;"'!"&amp;"$"&amp;$D140&amp;$BC$1&amp;"")</f>
        <v>2.0999999999999996</v>
      </c>
      <c r="BE140" s="295">
        <v>0.96</v>
      </c>
      <c r="BF140" s="294">
        <v>0.6</v>
      </c>
      <c r="BG140" s="298" cm="1">
        <f t="array" aca="1" ref="BG140" ca="1">INDIRECT("'"&amp;$C140&amp;"'!"&amp;"$"&amp;$D140&amp;$BG$1&amp;"")</f>
        <v>1.22</v>
      </c>
      <c r="BH140" s="296"/>
      <c r="BI140" s="296">
        <v>0.99</v>
      </c>
      <c r="BJ140" s="294">
        <v>0.2</v>
      </c>
      <c r="BK140" s="299" cm="1">
        <f t="array" aca="1" ref="BK140" ca="1">INDIRECT("'"&amp;$C140&amp;"'!"&amp;"$"&amp;$D140&amp;$BK$1&amp;"")</f>
        <v>0.81</v>
      </c>
      <c r="BL140" s="296"/>
      <c r="BM140" s="296">
        <v>0.96</v>
      </c>
      <c r="BN140" s="294">
        <v>0.25</v>
      </c>
      <c r="BO140" s="299" cm="1">
        <f t="array" aca="1" ref="BO140" ca="1">INDIRECT("'"&amp;$C140&amp;"'!"&amp;"$"&amp;$D140&amp;74&amp;"")</f>
        <v>0</v>
      </c>
      <c r="BP140" s="296"/>
      <c r="BQ140" s="296" t="s">
        <v>1</v>
      </c>
      <c r="BR140" s="294" t="s">
        <v>1</v>
      </c>
    </row>
    <row r="141" spans="1:70">
      <c r="A141" s="361">
        <v>45753</v>
      </c>
      <c r="B141" s="358">
        <v>0.45833333333333398</v>
      </c>
      <c r="C141" s="313">
        <f t="shared" si="4"/>
        <v>6</v>
      </c>
      <c r="D141" s="314" t="s">
        <v>138</v>
      </c>
      <c r="E141" s="286">
        <v>14.1</v>
      </c>
      <c r="F141" s="287">
        <v>69.05</v>
      </c>
      <c r="G141" s="288" cm="1">
        <f t="array" aca="1" ref="G141" ca="1">INDIRECT("'"&amp;$C141&amp;"'!"&amp;"$"&amp;$D141&amp;$E$1&amp;"")</f>
        <v>6.7</v>
      </c>
      <c r="H141" s="289">
        <v>0.95</v>
      </c>
      <c r="I141" s="287">
        <v>2.25</v>
      </c>
      <c r="J141" s="288" cm="1">
        <f t="array" aca="1" ref="J141" ca="1">INDIRECT("'"&amp;$C141&amp;"'!"&amp;"$"&amp;$D141&amp;$J$1&amp;"")</f>
        <v>6.7</v>
      </c>
      <c r="K141" s="289"/>
      <c r="L141" s="289">
        <v>0.95</v>
      </c>
      <c r="M141" s="287">
        <v>2.25</v>
      </c>
      <c r="N141" s="288" cm="1">
        <f t="array" aca="1" ref="N141" ca="1">INDIRECT("'"&amp;$C141&amp;"'!"&amp;"$"&amp;$D141&amp;$N$1&amp;"")</f>
        <v>0</v>
      </c>
      <c r="O141" s="289"/>
      <c r="P141" s="289" t="s">
        <v>1</v>
      </c>
      <c r="Q141" s="287" t="s">
        <v>1</v>
      </c>
      <c r="R141" s="288" cm="1">
        <f t="array" aca="1" ref="R141" ca="1">INDIRECT("'"&amp;$C141&amp;"'!"&amp;"$"&amp;$D141&amp;$R$1&amp;"")</f>
        <v>6.7</v>
      </c>
      <c r="S141" s="289"/>
      <c r="T141" s="289">
        <v>0.95</v>
      </c>
      <c r="U141" s="287">
        <v>2.25</v>
      </c>
      <c r="V141" s="288" cm="1">
        <f t="array" aca="1" ref="V141" ca="1">INDIRECT("'"&amp;$C141&amp;"'!"&amp;"$"&amp;$D141&amp;$V$1&amp;"")</f>
        <v>2.8</v>
      </c>
      <c r="W141" s="289">
        <f>3.8*3.51</f>
        <v>13.337999999999999</v>
      </c>
      <c r="X141" s="289">
        <v>0.94</v>
      </c>
      <c r="Y141" s="290">
        <v>0.93</v>
      </c>
      <c r="Z141" s="286" cm="1">
        <f t="array" aca="1" ref="Z141" ca="1">INDIRECT("'"&amp;$C141&amp;"'!"&amp;"$"&amp;$D141&amp;$Z$1&amp;"")</f>
        <v>0</v>
      </c>
      <c r="AA141" s="289" t="s">
        <v>1</v>
      </c>
      <c r="AB141" s="289" t="s">
        <v>1</v>
      </c>
      <c r="AC141" s="287" t="s">
        <v>1</v>
      </c>
      <c r="AD141" s="288" cm="1">
        <f t="array" aca="1" ref="AD141" ca="1">INDIRECT("'"&amp;$C141&amp;"'!"&amp;"$"&amp;$D141&amp;$AD$1&amp;"")</f>
        <v>3.8</v>
      </c>
      <c r="AE141" s="289">
        <f>3.8*3.51</f>
        <v>13.337999999999999</v>
      </c>
      <c r="AF141" s="289">
        <v>0.94</v>
      </c>
      <c r="AG141" s="290">
        <v>1.32</v>
      </c>
      <c r="AH141" s="286" cm="1">
        <f t="array" aca="1" ref="AH141" ca="1">INDIRECT("'"&amp;$C141&amp;"'!"&amp;"$"&amp;$D141&amp;$AH$1&amp;"")</f>
        <v>3.8</v>
      </c>
      <c r="AI141" s="289">
        <v>13.92</v>
      </c>
      <c r="AJ141" s="289">
        <v>0.98</v>
      </c>
      <c r="AK141" s="287">
        <v>0.57299999999999995</v>
      </c>
      <c r="AL141" s="286">
        <v>11.8</v>
      </c>
      <c r="AM141" s="290">
        <v>70.2</v>
      </c>
      <c r="AN141" s="286" t="str" cm="1">
        <f t="array" aca="1" ref="AN141" ca="1">INDIRECT("'"&amp;$C141&amp;"'!"&amp;"$"&amp;$D141&amp;$AL$1&amp;"")</f>
        <v>CMS</v>
      </c>
      <c r="AO141" s="289" t="s">
        <v>1</v>
      </c>
      <c r="AP141" s="287" t="s">
        <v>1</v>
      </c>
      <c r="AQ141" s="288" cm="1">
        <f t="array" aca="1" ref="AQ141" ca="1">INDIRECT("'"&amp;$C141&amp;"'!"&amp;"$"&amp;$D141&amp;$AQ$1&amp;"")</f>
        <v>4.2</v>
      </c>
      <c r="AR141" s="289">
        <v>0.94</v>
      </c>
      <c r="AS141" s="287">
        <v>1.4</v>
      </c>
      <c r="AT141" s="289" cm="1">
        <f t="array" aca="1" ref="AT141" ca="1">INDIRECT("'"&amp;$C141&amp;"'!"&amp;"$"&amp;$D141&amp;$AT$1&amp;"")</f>
        <v>0</v>
      </c>
      <c r="AU141" s="288" t="s">
        <v>1</v>
      </c>
      <c r="AV141" s="289" t="s">
        <v>1</v>
      </c>
      <c r="AW141" s="287" t="s">
        <v>1</v>
      </c>
      <c r="AX141" s="291">
        <v>14.1</v>
      </c>
      <c r="AY141" s="290">
        <v>71.31</v>
      </c>
      <c r="AZ141" s="291" cm="1">
        <f t="array" aca="1" ref="AZ141" ca="1">INDIRECT("'"&amp;$C141&amp;"'!"&amp;"$"&amp;$D141&amp;$AZ$1&amp;"")</f>
        <v>14.3</v>
      </c>
      <c r="BA141" s="289">
        <v>0.99</v>
      </c>
      <c r="BB141" s="287">
        <v>2.4</v>
      </c>
      <c r="BC141" s="292">
        <v>68.3</v>
      </c>
      <c r="BD141" s="286" cm="1">
        <f t="array" aca="1" ref="BD141" ca="1">INDIRECT("'"&amp;$C141&amp;"'!"&amp;"$"&amp;$D141&amp;$BC$1&amp;"")</f>
        <v>0.7</v>
      </c>
      <c r="BE141" s="288">
        <v>0.96</v>
      </c>
      <c r="BF141" s="287">
        <v>0.2</v>
      </c>
      <c r="BG141" s="291" cm="1">
        <f t="array" aca="1" ref="BG141" ca="1">INDIRECT("'"&amp;$C141&amp;"'!"&amp;"$"&amp;$D141&amp;$BG$1&amp;"")</f>
        <v>1.24</v>
      </c>
      <c r="BH141" s="289"/>
      <c r="BI141" s="289">
        <v>0.99</v>
      </c>
      <c r="BJ141" s="287">
        <v>0.21</v>
      </c>
      <c r="BK141" s="292" cm="1">
        <f t="array" aca="1" ref="BK141" ca="1">INDIRECT("'"&amp;$C141&amp;"'!"&amp;"$"&amp;$D141&amp;$BK$1&amp;"")</f>
        <v>0.78</v>
      </c>
      <c r="BL141" s="289"/>
      <c r="BM141" s="289">
        <v>0.96</v>
      </c>
      <c r="BN141" s="287">
        <v>0.25</v>
      </c>
      <c r="BO141" s="292" cm="1">
        <f t="array" aca="1" ref="BO141" ca="1">INDIRECT("'"&amp;$C141&amp;"'!"&amp;"$"&amp;$D141&amp;74&amp;"")</f>
        <v>0</v>
      </c>
      <c r="BP141" s="289"/>
      <c r="BQ141" s="289" t="s">
        <v>1</v>
      </c>
      <c r="BR141" s="287" t="s">
        <v>1</v>
      </c>
    </row>
    <row r="142" spans="1:70">
      <c r="A142" s="361">
        <v>45753</v>
      </c>
      <c r="B142" s="358">
        <v>0.5</v>
      </c>
      <c r="C142" s="313">
        <f t="shared" si="4"/>
        <v>6</v>
      </c>
      <c r="D142" s="314" t="s">
        <v>139</v>
      </c>
      <c r="E142" s="293">
        <v>14.1</v>
      </c>
      <c r="F142" s="294">
        <v>69.19</v>
      </c>
      <c r="G142" s="295" cm="1">
        <f t="array" aca="1" ref="G142" ca="1">INDIRECT("'"&amp;$C142&amp;"'!"&amp;"$"&amp;$D142&amp;$E$1&amp;"")</f>
        <v>6.8</v>
      </c>
      <c r="H142" s="296">
        <v>0.95</v>
      </c>
      <c r="I142" s="294">
        <v>2.2400000000000002</v>
      </c>
      <c r="J142" s="295" cm="1">
        <f t="array" aca="1" ref="J142" ca="1">INDIRECT("'"&amp;$C142&amp;"'!"&amp;"$"&amp;$D142&amp;$J$1&amp;"")</f>
        <v>6.8</v>
      </c>
      <c r="K142" s="296"/>
      <c r="L142" s="296">
        <v>0.95</v>
      </c>
      <c r="M142" s="294">
        <v>2.2400000000000002</v>
      </c>
      <c r="N142" s="295" cm="1">
        <f t="array" aca="1" ref="N142" ca="1">INDIRECT("'"&amp;$C142&amp;"'!"&amp;"$"&amp;$D142&amp;$N$1&amp;"")</f>
        <v>0</v>
      </c>
      <c r="O142" s="296"/>
      <c r="P142" s="296" t="s">
        <v>1</v>
      </c>
      <c r="Q142" s="294" t="s">
        <v>1</v>
      </c>
      <c r="R142" s="295" cm="1">
        <f t="array" aca="1" ref="R142" ca="1">INDIRECT("'"&amp;$C142&amp;"'!"&amp;"$"&amp;$D142&amp;$R$1&amp;"")</f>
        <v>6.8</v>
      </c>
      <c r="S142" s="296"/>
      <c r="T142" s="296">
        <v>0.95</v>
      </c>
      <c r="U142" s="294">
        <v>2.2400000000000002</v>
      </c>
      <c r="V142" s="295" cm="1">
        <f t="array" aca="1" ref="V142" ca="1">INDIRECT("'"&amp;$C142&amp;"'!"&amp;"$"&amp;$D142&amp;$V$1&amp;"")</f>
        <v>2.8</v>
      </c>
      <c r="W142" s="296">
        <f>3.8*3.52</f>
        <v>13.375999999999999</v>
      </c>
      <c r="X142" s="296">
        <v>0.93</v>
      </c>
      <c r="Y142" s="297">
        <v>1.02</v>
      </c>
      <c r="Z142" s="293" cm="1">
        <f t="array" aca="1" ref="Z142" ca="1">INDIRECT("'"&amp;$C142&amp;"'!"&amp;"$"&amp;$D142&amp;$Z$1&amp;"")</f>
        <v>0</v>
      </c>
      <c r="AA142" s="296" t="s">
        <v>1</v>
      </c>
      <c r="AB142" s="296" t="s">
        <v>1</v>
      </c>
      <c r="AC142" s="294" t="s">
        <v>1</v>
      </c>
      <c r="AD142" s="295" cm="1">
        <f t="array" aca="1" ref="AD142" ca="1">INDIRECT("'"&amp;$C142&amp;"'!"&amp;"$"&amp;$D142&amp;$AD$1&amp;"")</f>
        <v>3.8</v>
      </c>
      <c r="AE142" s="296">
        <f>3.8*3.52</f>
        <v>13.375999999999999</v>
      </c>
      <c r="AF142" s="296">
        <v>0.93</v>
      </c>
      <c r="AG142" s="297">
        <v>1.02</v>
      </c>
      <c r="AH142" s="293" cm="1">
        <f t="array" aca="1" ref="AH142" ca="1">INDIRECT("'"&amp;$C142&amp;"'!"&amp;"$"&amp;$D142&amp;$AH$1&amp;"")</f>
        <v>3.8</v>
      </c>
      <c r="AI142" s="296">
        <v>13.92</v>
      </c>
      <c r="AJ142" s="296">
        <v>0.98</v>
      </c>
      <c r="AK142" s="294">
        <v>0.60499999999999998</v>
      </c>
      <c r="AL142" s="293">
        <v>11.8</v>
      </c>
      <c r="AM142" s="297">
        <v>70</v>
      </c>
      <c r="AN142" s="293" t="str" cm="1">
        <f t="array" aca="1" ref="AN142" ca="1">INDIRECT("'"&amp;$C142&amp;"'!"&amp;"$"&amp;$D142&amp;$AL$1&amp;"")</f>
        <v>CMS</v>
      </c>
      <c r="AO142" s="296" t="s">
        <v>1</v>
      </c>
      <c r="AP142" s="294" t="s">
        <v>1</v>
      </c>
      <c r="AQ142" s="295" cm="1">
        <f t="array" aca="1" ref="AQ142" ca="1">INDIRECT("'"&amp;$C142&amp;"'!"&amp;"$"&amp;$D142&amp;$AQ$1&amp;"")</f>
        <v>4.3</v>
      </c>
      <c r="AR142" s="296">
        <v>0.93</v>
      </c>
      <c r="AS142" s="294">
        <v>1.6</v>
      </c>
      <c r="AT142" s="296" cm="1">
        <f t="array" aca="1" ref="AT142" ca="1">INDIRECT("'"&amp;$C142&amp;"'!"&amp;"$"&amp;$D142&amp;$AT$1&amp;"")</f>
        <v>0</v>
      </c>
      <c r="AU142" s="295" t="s">
        <v>1</v>
      </c>
      <c r="AV142" s="296" t="s">
        <v>1</v>
      </c>
      <c r="AW142" s="294" t="s">
        <v>1</v>
      </c>
      <c r="AX142" s="298">
        <v>14.06</v>
      </c>
      <c r="AY142" s="297">
        <v>71.180000000000007</v>
      </c>
      <c r="AZ142" s="298" cm="1">
        <f t="array" aca="1" ref="AZ142" ca="1">INDIRECT("'"&amp;$C142&amp;"'!"&amp;"$"&amp;$D142&amp;$AZ$1&amp;"")</f>
        <v>14.29</v>
      </c>
      <c r="BA142" s="296">
        <v>0.99</v>
      </c>
      <c r="BB142" s="294">
        <v>2.4</v>
      </c>
      <c r="BC142" s="299">
        <v>68</v>
      </c>
      <c r="BD142" s="293" cm="1">
        <f t="array" aca="1" ref="BD142" ca="1">INDIRECT("'"&amp;$C142&amp;"'!"&amp;"$"&amp;$D142&amp;$BC$1&amp;"")</f>
        <v>1.4</v>
      </c>
      <c r="BE142" s="295">
        <v>0.96</v>
      </c>
      <c r="BF142" s="294">
        <v>0.4</v>
      </c>
      <c r="BG142" s="298" cm="1">
        <f t="array" aca="1" ref="BG142" ca="1">INDIRECT("'"&amp;$C142&amp;"'!"&amp;"$"&amp;$D142&amp;$BG$1&amp;"")</f>
        <v>1.28</v>
      </c>
      <c r="BH142" s="296"/>
      <c r="BI142" s="296">
        <v>0.98</v>
      </c>
      <c r="BJ142" s="294">
        <v>0.21</v>
      </c>
      <c r="BK142" s="299" cm="1">
        <f t="array" aca="1" ref="BK142" ca="1">INDIRECT("'"&amp;$C142&amp;"'!"&amp;"$"&amp;$D142&amp;$BK$1&amp;"")</f>
        <v>0.8</v>
      </c>
      <c r="BL142" s="296"/>
      <c r="BM142" s="296">
        <v>0.95</v>
      </c>
      <c r="BN142" s="294">
        <v>0.26</v>
      </c>
      <c r="BO142" s="299" cm="1">
        <f t="array" aca="1" ref="BO142" ca="1">INDIRECT("'"&amp;$C142&amp;"'!"&amp;"$"&amp;$D142&amp;74&amp;"")</f>
        <v>0</v>
      </c>
      <c r="BP142" s="296"/>
      <c r="BQ142" s="296" t="s">
        <v>1</v>
      </c>
      <c r="BR142" s="294" t="s">
        <v>1</v>
      </c>
    </row>
    <row r="143" spans="1:70">
      <c r="A143" s="361">
        <v>45753</v>
      </c>
      <c r="B143" s="358">
        <v>0.54166666666666696</v>
      </c>
      <c r="C143" s="313">
        <f t="shared" si="4"/>
        <v>6</v>
      </c>
      <c r="D143" s="314" t="s">
        <v>140</v>
      </c>
      <c r="E143" s="286">
        <v>14.1</v>
      </c>
      <c r="F143" s="287">
        <v>68.959999999999994</v>
      </c>
      <c r="G143" s="288" cm="1">
        <f t="array" aca="1" ref="G143" ca="1">INDIRECT("'"&amp;$C143&amp;"'!"&amp;"$"&amp;$D143&amp;$E$1&amp;"")</f>
        <v>6.6</v>
      </c>
      <c r="H143" s="289">
        <v>0.95</v>
      </c>
      <c r="I143" s="287">
        <v>2.19</v>
      </c>
      <c r="J143" s="288" cm="1">
        <f t="array" aca="1" ref="J143" ca="1">INDIRECT("'"&amp;$C143&amp;"'!"&amp;"$"&amp;$D143&amp;$J$1&amp;"")</f>
        <v>6.6</v>
      </c>
      <c r="K143" s="289"/>
      <c r="L143" s="289">
        <v>0.95</v>
      </c>
      <c r="M143" s="287">
        <v>2.19</v>
      </c>
      <c r="N143" s="288" cm="1">
        <f t="array" aca="1" ref="N143" ca="1">INDIRECT("'"&amp;$C143&amp;"'!"&amp;"$"&amp;$D143&amp;$N$1&amp;"")</f>
        <v>0</v>
      </c>
      <c r="O143" s="289"/>
      <c r="P143" s="289" t="s">
        <v>1</v>
      </c>
      <c r="Q143" s="287" t="s">
        <v>1</v>
      </c>
      <c r="R143" s="288" cm="1">
        <f t="array" aca="1" ref="R143" ca="1">INDIRECT("'"&amp;$C143&amp;"'!"&amp;"$"&amp;$D143&amp;$R$1&amp;"")</f>
        <v>6.6</v>
      </c>
      <c r="S143" s="289"/>
      <c r="T143" s="289">
        <v>0.95</v>
      </c>
      <c r="U143" s="287">
        <v>2.19</v>
      </c>
      <c r="V143" s="288" cm="1">
        <f t="array" aca="1" ref="V143" ca="1">INDIRECT("'"&amp;$C143&amp;"'!"&amp;"$"&amp;$D143&amp;$V$1&amp;"")</f>
        <v>2.8</v>
      </c>
      <c r="W143" s="289">
        <f>3.8*3.5</f>
        <v>13.299999999999999</v>
      </c>
      <c r="X143" s="289">
        <v>0.93</v>
      </c>
      <c r="Y143" s="290">
        <v>1.03</v>
      </c>
      <c r="Z143" s="286" cm="1">
        <f t="array" aca="1" ref="Z143" ca="1">INDIRECT("'"&amp;$C143&amp;"'!"&amp;"$"&amp;$D143&amp;$Z$1&amp;"")</f>
        <v>0</v>
      </c>
      <c r="AA143" s="289" t="s">
        <v>1</v>
      </c>
      <c r="AB143" s="289" t="s">
        <v>1</v>
      </c>
      <c r="AC143" s="287" t="s">
        <v>1</v>
      </c>
      <c r="AD143" s="288" cm="1">
        <f t="array" aca="1" ref="AD143" ca="1">INDIRECT("'"&amp;$C143&amp;"'!"&amp;"$"&amp;$D143&amp;$AD$1&amp;"")</f>
        <v>3.8</v>
      </c>
      <c r="AE143" s="289">
        <f>3.8*3.5</f>
        <v>13.299999999999999</v>
      </c>
      <c r="AF143" s="289">
        <v>0.93</v>
      </c>
      <c r="AG143" s="290">
        <v>1.47</v>
      </c>
      <c r="AH143" s="286" cm="1">
        <f t="array" aca="1" ref="AH143" ca="1">INDIRECT("'"&amp;$C143&amp;"'!"&amp;"$"&amp;$D143&amp;$AH$1&amp;"")</f>
        <v>3.8</v>
      </c>
      <c r="AI143" s="289">
        <v>13.92</v>
      </c>
      <c r="AJ143" s="289">
        <v>0.98</v>
      </c>
      <c r="AK143" s="287">
        <v>0.65900000000000003</v>
      </c>
      <c r="AL143" s="286">
        <v>11.8</v>
      </c>
      <c r="AM143" s="290">
        <v>70</v>
      </c>
      <c r="AN143" s="286" t="str" cm="1">
        <f t="array" aca="1" ref="AN143" ca="1">INDIRECT("'"&amp;$C143&amp;"'!"&amp;"$"&amp;$D143&amp;$AL$1&amp;"")</f>
        <v>CMS</v>
      </c>
      <c r="AO143" s="289" t="s">
        <v>1</v>
      </c>
      <c r="AP143" s="287" t="s">
        <v>1</v>
      </c>
      <c r="AQ143" s="288" cm="1">
        <f t="array" aca="1" ref="AQ143" ca="1">INDIRECT("'"&amp;$C143&amp;"'!"&amp;"$"&amp;$D143&amp;$AQ$1&amp;"")</f>
        <v>4.0999999999999996</v>
      </c>
      <c r="AR143" s="289">
        <v>0.92</v>
      </c>
      <c r="AS143" s="287">
        <v>1.6</v>
      </c>
      <c r="AT143" s="289" cm="1">
        <f t="array" aca="1" ref="AT143" ca="1">INDIRECT("'"&amp;$C143&amp;"'!"&amp;"$"&amp;$D143&amp;$AT$1&amp;"")</f>
        <v>0</v>
      </c>
      <c r="AU143" s="288" t="s">
        <v>1</v>
      </c>
      <c r="AV143" s="289" t="s">
        <v>1</v>
      </c>
      <c r="AW143" s="287" t="s">
        <v>1</v>
      </c>
      <c r="AX143" s="291">
        <v>14.05</v>
      </c>
      <c r="AY143" s="290">
        <v>70.989999999999995</v>
      </c>
      <c r="AZ143" s="291" cm="1">
        <f t="array" aca="1" ref="AZ143" ca="1">INDIRECT("'"&amp;$C143&amp;"'!"&amp;"$"&amp;$D143&amp;$AZ$1&amp;"")</f>
        <v>14.27</v>
      </c>
      <c r="BA143" s="289">
        <v>0.99</v>
      </c>
      <c r="BB143" s="287">
        <v>2.4</v>
      </c>
      <c r="BC143" s="292">
        <v>68</v>
      </c>
      <c r="BD143" s="286" cm="1">
        <f t="array" aca="1" ref="BD143" ca="1">INDIRECT("'"&amp;$C143&amp;"'!"&amp;"$"&amp;$D143&amp;$BC$1&amp;"")</f>
        <v>3.67</v>
      </c>
      <c r="BE143" s="288">
        <v>0.96</v>
      </c>
      <c r="BF143" s="287">
        <v>1</v>
      </c>
      <c r="BG143" s="291" cm="1">
        <f t="array" aca="1" ref="BG143" ca="1">INDIRECT("'"&amp;$C143&amp;"'!"&amp;"$"&amp;$D143&amp;$BG$1&amp;"")</f>
        <v>1.28</v>
      </c>
      <c r="BH143" s="289"/>
      <c r="BI143" s="289">
        <v>0.98</v>
      </c>
      <c r="BJ143" s="287">
        <v>0.22</v>
      </c>
      <c r="BK143" s="292" cm="1">
        <f t="array" aca="1" ref="BK143" ca="1">INDIRECT("'"&amp;$C143&amp;"'!"&amp;"$"&amp;$D143&amp;$BK$1&amp;"")</f>
        <v>0.81</v>
      </c>
      <c r="BL143" s="289"/>
      <c r="BM143" s="289">
        <v>0.95</v>
      </c>
      <c r="BN143" s="287">
        <v>0.26</v>
      </c>
      <c r="BO143" s="292" cm="1">
        <f t="array" aca="1" ref="BO143" ca="1">INDIRECT("'"&amp;$C143&amp;"'!"&amp;"$"&amp;$D143&amp;74&amp;"")</f>
        <v>0</v>
      </c>
      <c r="BP143" s="289"/>
      <c r="BQ143" s="289" t="s">
        <v>1</v>
      </c>
      <c r="BR143" s="287" t="s">
        <v>1</v>
      </c>
    </row>
    <row r="144" spans="1:70">
      <c r="A144" s="361">
        <v>45753</v>
      </c>
      <c r="B144" s="358">
        <v>0.58333333333333404</v>
      </c>
      <c r="C144" s="313">
        <f t="shared" si="4"/>
        <v>6</v>
      </c>
      <c r="D144" s="314" t="s">
        <v>141</v>
      </c>
      <c r="E144" s="293">
        <v>14.2</v>
      </c>
      <c r="F144" s="294">
        <v>69.150000000000006</v>
      </c>
      <c r="G144" s="295" cm="1">
        <f t="array" aca="1" ref="G144" ca="1">INDIRECT("'"&amp;$C144&amp;"'!"&amp;"$"&amp;$D144&amp;$E$1&amp;"")</f>
        <v>6.5</v>
      </c>
      <c r="H144" s="296">
        <v>0.93</v>
      </c>
      <c r="I144" s="294">
        <v>2.62</v>
      </c>
      <c r="J144" s="295" cm="1">
        <f t="array" aca="1" ref="J144" ca="1">INDIRECT("'"&amp;$C144&amp;"'!"&amp;"$"&amp;$D144&amp;$J$1&amp;"")</f>
        <v>0</v>
      </c>
      <c r="K144" s="296"/>
      <c r="L144" s="296" t="s">
        <v>1</v>
      </c>
      <c r="M144" s="294" t="s">
        <v>1</v>
      </c>
      <c r="N144" s="295" cm="1">
        <f t="array" aca="1" ref="N144" ca="1">INDIRECT("'"&amp;$C144&amp;"'!"&amp;"$"&amp;$D144&amp;$N$1&amp;"")</f>
        <v>6.5</v>
      </c>
      <c r="O144" s="296"/>
      <c r="P144" s="296">
        <v>0.93</v>
      </c>
      <c r="Q144" s="294">
        <v>2.62</v>
      </c>
      <c r="R144" s="295" cm="1">
        <f t="array" aca="1" ref="R144" ca="1">INDIRECT("'"&amp;$C144&amp;"'!"&amp;"$"&amp;$D144&amp;$R$1&amp;"")</f>
        <v>6.5</v>
      </c>
      <c r="S144" s="296"/>
      <c r="T144" s="296">
        <v>0.93</v>
      </c>
      <c r="U144" s="294">
        <v>2.62</v>
      </c>
      <c r="V144" s="295" cm="1">
        <f t="array" aca="1" ref="V144" ca="1">INDIRECT("'"&amp;$C144&amp;"'!"&amp;"$"&amp;$D144&amp;$V$1&amp;"")</f>
        <v>2.8</v>
      </c>
      <c r="W144" s="296">
        <f>3.8*3.5</f>
        <v>13.299999999999999</v>
      </c>
      <c r="X144" s="296">
        <v>0.93</v>
      </c>
      <c r="Y144" s="297">
        <v>1.01</v>
      </c>
      <c r="Z144" s="293" cm="1">
        <f t="array" aca="1" ref="Z144" ca="1">INDIRECT("'"&amp;$C144&amp;"'!"&amp;"$"&amp;$D144&amp;$Z$1&amp;"")</f>
        <v>0</v>
      </c>
      <c r="AA144" s="296" t="s">
        <v>1</v>
      </c>
      <c r="AB144" s="296" t="s">
        <v>1</v>
      </c>
      <c r="AC144" s="294" t="s">
        <v>1</v>
      </c>
      <c r="AD144" s="295" cm="1">
        <f t="array" aca="1" ref="AD144" ca="1">INDIRECT("'"&amp;$C144&amp;"'!"&amp;"$"&amp;$D144&amp;$AD$1&amp;"")</f>
        <v>3.8</v>
      </c>
      <c r="AE144" s="296">
        <f>3.8*3.5</f>
        <v>13.299999999999999</v>
      </c>
      <c r="AF144" s="296">
        <v>0.93</v>
      </c>
      <c r="AG144" s="297">
        <v>1.46</v>
      </c>
      <c r="AH144" s="293" cm="1">
        <f t="array" aca="1" ref="AH144" ca="1">INDIRECT("'"&amp;$C144&amp;"'!"&amp;"$"&amp;$D144&amp;$AH$1&amp;"")</f>
        <v>3.8</v>
      </c>
      <c r="AI144" s="296">
        <v>13.96</v>
      </c>
      <c r="AJ144" s="296">
        <v>0.99</v>
      </c>
      <c r="AK144" s="294">
        <v>0.34</v>
      </c>
      <c r="AL144" s="293">
        <v>11.8</v>
      </c>
      <c r="AM144" s="297">
        <v>70.400000000000006</v>
      </c>
      <c r="AN144" s="293" t="str" cm="1">
        <f t="array" aca="1" ref="AN144" ca="1">INDIRECT("'"&amp;$C144&amp;"'!"&amp;"$"&amp;$D144&amp;$AL$1&amp;"")</f>
        <v>CMS</v>
      </c>
      <c r="AO144" s="296" t="s">
        <v>1</v>
      </c>
      <c r="AP144" s="294" t="s">
        <v>1</v>
      </c>
      <c r="AQ144" s="295" cm="1">
        <f t="array" aca="1" ref="AQ144" ca="1">INDIRECT("'"&amp;$C144&amp;"'!"&amp;"$"&amp;$D144&amp;$AQ$1&amp;"")</f>
        <v>4.0999999999999996</v>
      </c>
      <c r="AR144" s="296">
        <v>0.96</v>
      </c>
      <c r="AS144" s="294">
        <v>1.1000000000000001</v>
      </c>
      <c r="AT144" s="296" cm="1">
        <f t="array" aca="1" ref="AT144" ca="1">INDIRECT("'"&amp;$C144&amp;"'!"&amp;"$"&amp;$D144&amp;$AT$1&amp;"")</f>
        <v>5.5</v>
      </c>
      <c r="AU144" s="295">
        <v>13.8</v>
      </c>
      <c r="AV144" s="296">
        <v>0.98</v>
      </c>
      <c r="AW144" s="294">
        <v>1.22</v>
      </c>
      <c r="AX144" s="298">
        <v>14.16</v>
      </c>
      <c r="AY144" s="297">
        <v>71.599999999999994</v>
      </c>
      <c r="AZ144" s="298" cm="1">
        <f t="array" aca="1" ref="AZ144" ca="1">INDIRECT("'"&amp;$C144&amp;"'!"&amp;"$"&amp;$D144&amp;$AZ$1&amp;"")</f>
        <v>14.26</v>
      </c>
      <c r="BA144" s="296">
        <v>0.99</v>
      </c>
      <c r="BB144" s="294">
        <v>2.4</v>
      </c>
      <c r="BC144" s="299">
        <v>68</v>
      </c>
      <c r="BD144" s="293" cm="1">
        <f t="array" aca="1" ref="BD144" ca="1">INDIRECT("'"&amp;$C144&amp;"'!"&amp;"$"&amp;$D144&amp;$BC$1&amp;"")</f>
        <v>0</v>
      </c>
      <c r="BE144" s="295" t="s">
        <v>1</v>
      </c>
      <c r="BF144" s="294" t="s">
        <v>1</v>
      </c>
      <c r="BG144" s="298" cm="1">
        <f t="array" aca="1" ref="BG144" ca="1">INDIRECT("'"&amp;$C144&amp;"'!"&amp;"$"&amp;$D144&amp;$BG$1&amp;"")</f>
        <v>1.24</v>
      </c>
      <c r="BH144" s="296"/>
      <c r="BI144" s="296">
        <v>0.98</v>
      </c>
      <c r="BJ144" s="294">
        <v>0.2</v>
      </c>
      <c r="BK144" s="299" cm="1">
        <f t="array" aca="1" ref="BK144" ca="1">INDIRECT("'"&amp;$C144&amp;"'!"&amp;"$"&amp;$D144&amp;$BK$1&amp;"")</f>
        <v>0.8</v>
      </c>
      <c r="BL144" s="296"/>
      <c r="BM144" s="296">
        <v>0.95</v>
      </c>
      <c r="BN144" s="294">
        <v>0.26</v>
      </c>
      <c r="BO144" s="299" cm="1">
        <f t="array" aca="1" ref="BO144" ca="1">INDIRECT("'"&amp;$C144&amp;"'!"&amp;"$"&amp;$D144&amp;74&amp;"")</f>
        <v>0</v>
      </c>
      <c r="BP144" s="296"/>
      <c r="BQ144" s="296" t="s">
        <v>1</v>
      </c>
      <c r="BR144" s="294" t="s">
        <v>1</v>
      </c>
    </row>
    <row r="145" spans="1:70">
      <c r="A145" s="361">
        <v>45753</v>
      </c>
      <c r="B145" s="358">
        <v>0.625</v>
      </c>
      <c r="C145" s="313">
        <f t="shared" si="4"/>
        <v>6</v>
      </c>
      <c r="D145" s="314" t="s">
        <v>142</v>
      </c>
      <c r="E145" s="286">
        <v>14.2</v>
      </c>
      <c r="F145" s="287">
        <v>69.33</v>
      </c>
      <c r="G145" s="288" cm="1">
        <f t="array" aca="1" ref="G145" ca="1">INDIRECT("'"&amp;$C145&amp;"'!"&amp;"$"&amp;$D145&amp;$E$1&amp;"")</f>
        <v>6.5</v>
      </c>
      <c r="H145" s="289">
        <v>0.93</v>
      </c>
      <c r="I145" s="287">
        <v>2.59</v>
      </c>
      <c r="J145" s="288" cm="1">
        <f t="array" aca="1" ref="J145" ca="1">INDIRECT("'"&amp;$C145&amp;"'!"&amp;"$"&amp;$D145&amp;$J$1&amp;"")</f>
        <v>0</v>
      </c>
      <c r="K145" s="289"/>
      <c r="L145" s="289" t="s">
        <v>1</v>
      </c>
      <c r="M145" s="287" t="s">
        <v>1</v>
      </c>
      <c r="N145" s="288" cm="1">
        <f t="array" aca="1" ref="N145" ca="1">INDIRECT("'"&amp;$C145&amp;"'!"&amp;"$"&amp;$D145&amp;$N$1&amp;"")</f>
        <v>6.5</v>
      </c>
      <c r="O145" s="289"/>
      <c r="P145" s="289">
        <v>0.93</v>
      </c>
      <c r="Q145" s="287">
        <v>2.59</v>
      </c>
      <c r="R145" s="288" cm="1">
        <f t="array" aca="1" ref="R145" ca="1">INDIRECT("'"&amp;$C145&amp;"'!"&amp;"$"&amp;$D145&amp;$R$1&amp;"")</f>
        <v>6.5</v>
      </c>
      <c r="S145" s="289"/>
      <c r="T145" s="289">
        <v>0.93</v>
      </c>
      <c r="U145" s="287">
        <v>2.59</v>
      </c>
      <c r="V145" s="288" cm="1">
        <f t="array" aca="1" ref="V145" ca="1">INDIRECT("'"&amp;$C145&amp;"'!"&amp;"$"&amp;$D145&amp;$V$1&amp;"")</f>
        <v>2.8</v>
      </c>
      <c r="W145" s="289">
        <f>3.8*3.51</f>
        <v>13.337999999999999</v>
      </c>
      <c r="X145" s="289">
        <v>0.93</v>
      </c>
      <c r="Y145" s="290">
        <v>1.03</v>
      </c>
      <c r="Z145" s="286" cm="1">
        <f t="array" aca="1" ref="Z145" ca="1">INDIRECT("'"&amp;$C145&amp;"'!"&amp;"$"&amp;$D145&amp;$Z$1&amp;"")</f>
        <v>0</v>
      </c>
      <c r="AA145" s="289" t="s">
        <v>1</v>
      </c>
      <c r="AB145" s="289" t="s">
        <v>1</v>
      </c>
      <c r="AC145" s="287" t="s">
        <v>1</v>
      </c>
      <c r="AD145" s="288" cm="1">
        <f t="array" aca="1" ref="AD145" ca="1">INDIRECT("'"&amp;$C145&amp;"'!"&amp;"$"&amp;$D145&amp;$AD$1&amp;"")</f>
        <v>3.8</v>
      </c>
      <c r="AE145" s="289">
        <f>3.8*3.51</f>
        <v>13.337999999999999</v>
      </c>
      <c r="AF145" s="289">
        <v>0.93</v>
      </c>
      <c r="AG145" s="290">
        <v>1.47</v>
      </c>
      <c r="AH145" s="286" cm="1">
        <f t="array" aca="1" ref="AH145" ca="1">INDIRECT("'"&amp;$C145&amp;"'!"&amp;"$"&amp;$D145&amp;$AH$1&amp;"")</f>
        <v>3.8</v>
      </c>
      <c r="AI145" s="289">
        <v>13.96</v>
      </c>
      <c r="AJ145" s="289">
        <v>0.99</v>
      </c>
      <c r="AK145" s="287">
        <v>0.35299999999999998</v>
      </c>
      <c r="AL145" s="286">
        <v>11.9</v>
      </c>
      <c r="AM145" s="290">
        <v>70.400000000000006</v>
      </c>
      <c r="AN145" s="286" t="str" cm="1">
        <f t="array" aca="1" ref="AN145" ca="1">INDIRECT("'"&amp;$C145&amp;"'!"&amp;"$"&amp;$D145&amp;$AL$1&amp;"")</f>
        <v>CMS</v>
      </c>
      <c r="AO145" s="289" t="s">
        <v>1</v>
      </c>
      <c r="AP145" s="287" t="s">
        <v>1</v>
      </c>
      <c r="AQ145" s="288" cm="1">
        <f t="array" aca="1" ref="AQ145" ca="1">INDIRECT("'"&amp;$C145&amp;"'!"&amp;"$"&amp;$D145&amp;$AQ$1&amp;"")</f>
        <v>3.5</v>
      </c>
      <c r="AR145" s="289">
        <v>0.94</v>
      </c>
      <c r="AS145" s="287">
        <v>1.1000000000000001</v>
      </c>
      <c r="AT145" s="289" cm="1">
        <f t="array" aca="1" ref="AT145" ca="1">INDIRECT("'"&amp;$C145&amp;"'!"&amp;"$"&amp;$D145&amp;$AT$1&amp;"")</f>
        <v>5.3</v>
      </c>
      <c r="AU145" s="288">
        <v>13.8</v>
      </c>
      <c r="AV145" s="289">
        <v>0.97</v>
      </c>
      <c r="AW145" s="287">
        <v>1.28</v>
      </c>
      <c r="AX145" s="291">
        <v>14.13</v>
      </c>
      <c r="AY145" s="290">
        <v>71.569999999999993</v>
      </c>
      <c r="AZ145" s="291" cm="1">
        <f t="array" aca="1" ref="AZ145" ca="1">INDIRECT("'"&amp;$C145&amp;"'!"&amp;"$"&amp;$D145&amp;$AZ$1&amp;"")</f>
        <v>14.29</v>
      </c>
      <c r="BA145" s="289">
        <v>0.99</v>
      </c>
      <c r="BB145" s="287">
        <v>2.4</v>
      </c>
      <c r="BC145" s="292">
        <v>68</v>
      </c>
      <c r="BD145" s="286" cm="1">
        <f t="array" aca="1" ref="BD145" ca="1">INDIRECT("'"&amp;$C145&amp;"'!"&amp;"$"&amp;$D145&amp;$BC$1&amp;"")</f>
        <v>0.7</v>
      </c>
      <c r="BE145" s="288">
        <v>0.96</v>
      </c>
      <c r="BF145" s="287">
        <v>0.2</v>
      </c>
      <c r="BG145" s="291" cm="1">
        <f t="array" aca="1" ref="BG145" ca="1">INDIRECT("'"&amp;$C145&amp;"'!"&amp;"$"&amp;$D145&amp;$BG$1&amp;"")</f>
        <v>1.19</v>
      </c>
      <c r="BH145" s="289"/>
      <c r="BI145" s="289">
        <v>0.98</v>
      </c>
      <c r="BJ145" s="287">
        <v>0.19</v>
      </c>
      <c r="BK145" s="292" cm="1">
        <f t="array" aca="1" ref="BK145" ca="1">INDIRECT("'"&amp;$C145&amp;"'!"&amp;"$"&amp;$D145&amp;$BK$1&amp;"")</f>
        <v>0.83</v>
      </c>
      <c r="BL145" s="289"/>
      <c r="BM145" s="289">
        <v>0.95</v>
      </c>
      <c r="BN145" s="287">
        <v>0.27</v>
      </c>
      <c r="BO145" s="292" cm="1">
        <f t="array" aca="1" ref="BO145" ca="1">INDIRECT("'"&amp;$C145&amp;"'!"&amp;"$"&amp;$D145&amp;74&amp;"")</f>
        <v>0</v>
      </c>
      <c r="BP145" s="289"/>
      <c r="BQ145" s="289" t="s">
        <v>1</v>
      </c>
      <c r="BR145" s="287" t="s">
        <v>1</v>
      </c>
    </row>
    <row r="146" spans="1:70">
      <c r="A146" s="361">
        <v>45753</v>
      </c>
      <c r="B146" s="358">
        <v>0.66666666666666696</v>
      </c>
      <c r="C146" s="313">
        <f t="shared" si="4"/>
        <v>6</v>
      </c>
      <c r="D146" s="314" t="s">
        <v>143</v>
      </c>
      <c r="E146" s="293">
        <v>14.2</v>
      </c>
      <c r="F146" s="294">
        <v>69.14</v>
      </c>
      <c r="G146" s="295" cm="1">
        <f t="array" aca="1" ref="G146" ca="1">INDIRECT("'"&amp;$C146&amp;"'!"&amp;"$"&amp;$D146&amp;$E$1&amp;"")</f>
        <v>6.5</v>
      </c>
      <c r="H146" s="296">
        <v>0.93</v>
      </c>
      <c r="I146" s="294">
        <v>2.61</v>
      </c>
      <c r="J146" s="295" cm="1">
        <f t="array" aca="1" ref="J146" ca="1">INDIRECT("'"&amp;$C146&amp;"'!"&amp;"$"&amp;$D146&amp;$J$1&amp;"")</f>
        <v>0</v>
      </c>
      <c r="K146" s="296"/>
      <c r="L146" s="296" t="s">
        <v>1</v>
      </c>
      <c r="M146" s="294" t="s">
        <v>1</v>
      </c>
      <c r="N146" s="295" cm="1">
        <f t="array" aca="1" ref="N146" ca="1">INDIRECT("'"&amp;$C146&amp;"'!"&amp;"$"&amp;$D146&amp;$N$1&amp;"")</f>
        <v>6.5</v>
      </c>
      <c r="O146" s="296"/>
      <c r="P146" s="296">
        <v>0.93</v>
      </c>
      <c r="Q146" s="294">
        <v>2.61</v>
      </c>
      <c r="R146" s="295" cm="1">
        <f t="array" aca="1" ref="R146" ca="1">INDIRECT("'"&amp;$C146&amp;"'!"&amp;"$"&amp;$D146&amp;$R$1&amp;"")</f>
        <v>6.5</v>
      </c>
      <c r="S146" s="296"/>
      <c r="T146" s="296">
        <v>0.93</v>
      </c>
      <c r="U146" s="294">
        <v>2.61</v>
      </c>
      <c r="V146" s="295" cm="1">
        <f t="array" aca="1" ref="V146" ca="1">INDIRECT("'"&amp;$C146&amp;"'!"&amp;"$"&amp;$D146&amp;$V$1&amp;"")</f>
        <v>2.7</v>
      </c>
      <c r="W146" s="296">
        <f>3.8*3.51</f>
        <v>13.337999999999999</v>
      </c>
      <c r="X146" s="296">
        <v>0.93</v>
      </c>
      <c r="Y146" s="297">
        <v>1</v>
      </c>
      <c r="Z146" s="293" cm="1">
        <f t="array" aca="1" ref="Z146" ca="1">INDIRECT("'"&amp;$C146&amp;"'!"&amp;"$"&amp;$D146&amp;$Z$1&amp;"")</f>
        <v>0</v>
      </c>
      <c r="AA146" s="296" t="s">
        <v>1</v>
      </c>
      <c r="AB146" s="296" t="s">
        <v>1</v>
      </c>
      <c r="AC146" s="294" t="s">
        <v>1</v>
      </c>
      <c r="AD146" s="295" cm="1">
        <f t="array" aca="1" ref="AD146" ca="1">INDIRECT("'"&amp;$C146&amp;"'!"&amp;"$"&amp;$D146&amp;$AD$1&amp;"")</f>
        <v>3.7</v>
      </c>
      <c r="AE146" s="296">
        <f>3.8*3.51</f>
        <v>13.337999999999999</v>
      </c>
      <c r="AF146" s="296">
        <v>0.93</v>
      </c>
      <c r="AG146" s="297">
        <v>1.44</v>
      </c>
      <c r="AH146" s="293" cm="1">
        <f t="array" aca="1" ref="AH146" ca="1">INDIRECT("'"&amp;$C146&amp;"'!"&amp;"$"&amp;$D146&amp;$AH$1&amp;"")</f>
        <v>3.8</v>
      </c>
      <c r="AI146" s="296">
        <v>13.96</v>
      </c>
      <c r="AJ146" s="296">
        <v>0.99</v>
      </c>
      <c r="AK146" s="294">
        <v>0.40100000000000002</v>
      </c>
      <c r="AL146" s="293">
        <v>11.8</v>
      </c>
      <c r="AM146" s="297">
        <v>70.400000000000006</v>
      </c>
      <c r="AN146" s="293" t="str" cm="1">
        <f t="array" aca="1" ref="AN146" ca="1">INDIRECT("'"&amp;$C146&amp;"'!"&amp;"$"&amp;$D146&amp;$AL$1&amp;"")</f>
        <v>CMS</v>
      </c>
      <c r="AO146" s="296" t="s">
        <v>1</v>
      </c>
      <c r="AP146" s="294" t="s">
        <v>1</v>
      </c>
      <c r="AQ146" s="295" cm="1">
        <f t="array" aca="1" ref="AQ146" ca="1">INDIRECT("'"&amp;$C146&amp;"'!"&amp;"$"&amp;$D146&amp;$AQ$1&amp;"")</f>
        <v>3.3</v>
      </c>
      <c r="AR146" s="296">
        <v>0.94</v>
      </c>
      <c r="AS146" s="294">
        <v>1.1000000000000001</v>
      </c>
      <c r="AT146" s="296" cm="1">
        <f t="array" aca="1" ref="AT146" ca="1">INDIRECT("'"&amp;$C146&amp;"'!"&amp;"$"&amp;$D146&amp;$AT$1&amp;"")</f>
        <v>5.2</v>
      </c>
      <c r="AU146" s="295">
        <v>13.8</v>
      </c>
      <c r="AV146" s="296">
        <v>0.97</v>
      </c>
      <c r="AW146" s="294">
        <v>1.29</v>
      </c>
      <c r="AX146" s="298">
        <v>14.16</v>
      </c>
      <c r="AY146" s="297">
        <v>71.59</v>
      </c>
      <c r="AZ146" s="298" cm="1">
        <f t="array" aca="1" ref="AZ146" ca="1">INDIRECT("'"&amp;$C146&amp;"'!"&amp;"$"&amp;$D146&amp;$AZ$1&amp;"")</f>
        <v>14.27</v>
      </c>
      <c r="BA146" s="296">
        <v>0.99</v>
      </c>
      <c r="BB146" s="294">
        <v>2.4</v>
      </c>
      <c r="BC146" s="299">
        <v>68.099999999999994</v>
      </c>
      <c r="BD146" s="293" cm="1">
        <f t="array" aca="1" ref="BD146" ca="1">INDIRECT("'"&amp;$C146&amp;"'!"&amp;"$"&amp;$D146&amp;$BC$1&amp;"")</f>
        <v>0</v>
      </c>
      <c r="BE146" s="295" t="s">
        <v>1</v>
      </c>
      <c r="BF146" s="294" t="s">
        <v>1</v>
      </c>
      <c r="BG146" s="298" cm="1">
        <f t="array" aca="1" ref="BG146" ca="1">INDIRECT("'"&amp;$C146&amp;"'!"&amp;"$"&amp;$D146&amp;$BG$1&amp;"")</f>
        <v>1.23</v>
      </c>
      <c r="BH146" s="296"/>
      <c r="BI146" s="296">
        <v>0.98</v>
      </c>
      <c r="BJ146" s="294">
        <v>0.19</v>
      </c>
      <c r="BK146" s="299" cm="1">
        <f t="array" aca="1" ref="BK146" ca="1">INDIRECT("'"&amp;$C146&amp;"'!"&amp;"$"&amp;$D146&amp;$BK$1&amp;"")</f>
        <v>0.8</v>
      </c>
      <c r="BL146" s="296"/>
      <c r="BM146" s="296">
        <v>0.95</v>
      </c>
      <c r="BN146" s="294">
        <v>0.26</v>
      </c>
      <c r="BO146" s="299" cm="1">
        <f t="array" aca="1" ref="BO146" ca="1">INDIRECT("'"&amp;$C146&amp;"'!"&amp;"$"&amp;$D146&amp;74&amp;"")</f>
        <v>0</v>
      </c>
      <c r="BP146" s="296"/>
      <c r="BQ146" s="296" t="s">
        <v>1</v>
      </c>
      <c r="BR146" s="294" t="s">
        <v>1</v>
      </c>
    </row>
    <row r="147" spans="1:70">
      <c r="A147" s="361">
        <v>45753</v>
      </c>
      <c r="B147" s="358">
        <v>0.70833333333333404</v>
      </c>
      <c r="C147" s="313">
        <f t="shared" si="4"/>
        <v>6</v>
      </c>
      <c r="D147" s="314" t="s">
        <v>144</v>
      </c>
      <c r="E147" s="286">
        <v>14.3</v>
      </c>
      <c r="F147" s="287">
        <v>69.989999999999995</v>
      </c>
      <c r="G147" s="288" cm="1">
        <f t="array" aca="1" ref="G147" ca="1">INDIRECT("'"&amp;$C147&amp;"'!"&amp;"$"&amp;$D147&amp;$E$1&amp;"")</f>
        <v>6.7</v>
      </c>
      <c r="H147" s="289">
        <v>0.93</v>
      </c>
      <c r="I147" s="287">
        <v>2.72</v>
      </c>
      <c r="J147" s="288" cm="1">
        <f t="array" aca="1" ref="J147" ca="1">INDIRECT("'"&amp;$C147&amp;"'!"&amp;"$"&amp;$D147&amp;$J$1&amp;"")</f>
        <v>0</v>
      </c>
      <c r="K147" s="289"/>
      <c r="L147" s="289" t="s">
        <v>1</v>
      </c>
      <c r="M147" s="287" t="s">
        <v>1</v>
      </c>
      <c r="N147" s="288" cm="1">
        <f t="array" aca="1" ref="N147" ca="1">INDIRECT("'"&amp;$C147&amp;"'!"&amp;"$"&amp;$D147&amp;$N$1&amp;"")</f>
        <v>6.7</v>
      </c>
      <c r="O147" s="289"/>
      <c r="P147" s="289">
        <v>0.93</v>
      </c>
      <c r="Q147" s="287">
        <v>2.72</v>
      </c>
      <c r="R147" s="288" cm="1">
        <f t="array" aca="1" ref="R147" ca="1">INDIRECT("'"&amp;$C147&amp;"'!"&amp;"$"&amp;$D147&amp;$R$1&amp;"")</f>
        <v>6.7</v>
      </c>
      <c r="S147" s="289"/>
      <c r="T147" s="289">
        <v>0.93</v>
      </c>
      <c r="U147" s="287">
        <v>2.72</v>
      </c>
      <c r="V147" s="288" cm="1">
        <f t="array" aca="1" ref="V147" ca="1">INDIRECT("'"&amp;$C147&amp;"'!"&amp;"$"&amp;$D147&amp;$V$1&amp;"")</f>
        <v>2.8</v>
      </c>
      <c r="W147" s="289">
        <f>3.8*3.54</f>
        <v>13.452</v>
      </c>
      <c r="X147" s="289">
        <v>0.93</v>
      </c>
      <c r="Y147" s="290">
        <v>1.02</v>
      </c>
      <c r="Z147" s="286" cm="1">
        <f t="array" aca="1" ref="Z147" ca="1">INDIRECT("'"&amp;$C147&amp;"'!"&amp;"$"&amp;$D147&amp;$Z$1&amp;"")</f>
        <v>0</v>
      </c>
      <c r="AA147" s="289" t="s">
        <v>1</v>
      </c>
      <c r="AB147" s="289" t="s">
        <v>1</v>
      </c>
      <c r="AC147" s="287" t="s">
        <v>1</v>
      </c>
      <c r="AD147" s="288" cm="1">
        <f t="array" aca="1" ref="AD147" ca="1">INDIRECT("'"&amp;$C147&amp;"'!"&amp;"$"&amp;$D147&amp;$AD$1&amp;"")</f>
        <v>3.8</v>
      </c>
      <c r="AE147" s="289">
        <f>3.8*3.54</f>
        <v>13.452</v>
      </c>
      <c r="AF147" s="289">
        <v>0.93</v>
      </c>
      <c r="AG147" s="290">
        <v>1.45</v>
      </c>
      <c r="AH147" s="286" cm="1">
        <f t="array" aca="1" ref="AH147" ca="1">INDIRECT("'"&amp;$C147&amp;"'!"&amp;"$"&amp;$D147&amp;$AH$1&amp;"")</f>
        <v>3.8</v>
      </c>
      <c r="AI147" s="289">
        <v>13.92</v>
      </c>
      <c r="AJ147" s="289">
        <v>0.99</v>
      </c>
      <c r="AK147" s="287">
        <v>0.27900000000000003</v>
      </c>
      <c r="AL147" s="286">
        <v>11.9</v>
      </c>
      <c r="AM147" s="290">
        <v>70.5</v>
      </c>
      <c r="AN147" s="286" t="str" cm="1">
        <f t="array" aca="1" ref="AN147" ca="1">INDIRECT("'"&amp;$C147&amp;"'!"&amp;"$"&amp;$D147&amp;$AL$1&amp;"")</f>
        <v>CMS</v>
      </c>
      <c r="AO147" s="289" t="s">
        <v>1</v>
      </c>
      <c r="AP147" s="287" t="s">
        <v>1</v>
      </c>
      <c r="AQ147" s="288" cm="1">
        <f t="array" aca="1" ref="AQ147" ca="1">INDIRECT("'"&amp;$C147&amp;"'!"&amp;"$"&amp;$D147&amp;$AQ$1&amp;"")</f>
        <v>3.5</v>
      </c>
      <c r="AR147" s="289">
        <v>0.96</v>
      </c>
      <c r="AS147" s="287">
        <v>1</v>
      </c>
      <c r="AT147" s="289" cm="1">
        <f t="array" aca="1" ref="AT147" ca="1">INDIRECT("'"&amp;$C147&amp;"'!"&amp;"$"&amp;$D147&amp;$AT$1&amp;"")</f>
        <v>3</v>
      </c>
      <c r="AU147" s="288">
        <v>13.8</v>
      </c>
      <c r="AV147" s="289">
        <v>0.93</v>
      </c>
      <c r="AW147" s="287">
        <v>1.22</v>
      </c>
      <c r="AX147" s="291">
        <v>14.16</v>
      </c>
      <c r="AY147" s="290">
        <v>71.69</v>
      </c>
      <c r="AZ147" s="291" cm="1">
        <f t="array" aca="1" ref="AZ147" ca="1">INDIRECT("'"&amp;$C147&amp;"'!"&amp;"$"&amp;$D147&amp;$AZ$1&amp;"")</f>
        <v>14.28</v>
      </c>
      <c r="BA147" s="289">
        <v>0.99</v>
      </c>
      <c r="BB147" s="287">
        <v>2.4</v>
      </c>
      <c r="BC147" s="292">
        <v>68.400000000000006</v>
      </c>
      <c r="BD147" s="286" cm="1">
        <f t="array" aca="1" ref="BD147" ca="1">INDIRECT("'"&amp;$C147&amp;"'!"&amp;"$"&amp;$D147&amp;$BC$1&amp;"")</f>
        <v>0</v>
      </c>
      <c r="BE147" s="288" t="s">
        <v>1</v>
      </c>
      <c r="BF147" s="287" t="s">
        <v>1</v>
      </c>
      <c r="BG147" s="291" cm="1">
        <f t="array" aca="1" ref="BG147" ca="1">INDIRECT("'"&amp;$C147&amp;"'!"&amp;"$"&amp;$D147&amp;$BG$1&amp;"")</f>
        <v>1.2</v>
      </c>
      <c r="BH147" s="289"/>
      <c r="BI147" s="289">
        <v>0.98</v>
      </c>
      <c r="BJ147" s="287">
        <v>0.19</v>
      </c>
      <c r="BK147" s="292" cm="1">
        <f t="array" aca="1" ref="BK147" ca="1">INDIRECT("'"&amp;$C147&amp;"'!"&amp;"$"&amp;$D147&amp;$BK$1&amp;"")</f>
        <v>0.77</v>
      </c>
      <c r="BL147" s="289"/>
      <c r="BM147" s="289">
        <v>0.95</v>
      </c>
      <c r="BN147" s="287">
        <v>0.35</v>
      </c>
      <c r="BO147" s="292" cm="1">
        <f t="array" aca="1" ref="BO147" ca="1">INDIRECT("'"&amp;$C147&amp;"'!"&amp;"$"&amp;$D147&amp;74&amp;"")</f>
        <v>0</v>
      </c>
      <c r="BP147" s="289"/>
      <c r="BQ147" s="289" t="s">
        <v>1</v>
      </c>
      <c r="BR147" s="287" t="s">
        <v>1</v>
      </c>
    </row>
    <row r="148" spans="1:70">
      <c r="A148" s="361">
        <v>45753</v>
      </c>
      <c r="B148" s="358">
        <v>0.750000000000001</v>
      </c>
      <c r="C148" s="313">
        <f t="shared" si="4"/>
        <v>6</v>
      </c>
      <c r="D148" s="314" t="s">
        <v>145</v>
      </c>
      <c r="E148" s="293">
        <v>14.3</v>
      </c>
      <c r="F148" s="294">
        <v>69.67</v>
      </c>
      <c r="G148" s="295" cm="1">
        <f t="array" aca="1" ref="G148" ca="1">INDIRECT("'"&amp;$C148&amp;"'!"&amp;"$"&amp;$D148&amp;$E$1&amp;"")</f>
        <v>6.8</v>
      </c>
      <c r="H148" s="296">
        <v>0.93</v>
      </c>
      <c r="I148" s="294">
        <v>2.77</v>
      </c>
      <c r="J148" s="295" cm="1">
        <f t="array" aca="1" ref="J148" ca="1">INDIRECT("'"&amp;$C148&amp;"'!"&amp;"$"&amp;$D148&amp;$J$1&amp;"")</f>
        <v>0</v>
      </c>
      <c r="K148" s="296"/>
      <c r="L148" s="296" t="s">
        <v>1</v>
      </c>
      <c r="M148" s="294" t="s">
        <v>1</v>
      </c>
      <c r="N148" s="295" cm="1">
        <f t="array" aca="1" ref="N148" ca="1">INDIRECT("'"&amp;$C148&amp;"'!"&amp;"$"&amp;$D148&amp;$N$1&amp;"")</f>
        <v>6.8</v>
      </c>
      <c r="O148" s="296"/>
      <c r="P148" s="296">
        <v>0.93</v>
      </c>
      <c r="Q148" s="294">
        <v>2.72</v>
      </c>
      <c r="R148" s="295" cm="1">
        <f t="array" aca="1" ref="R148" ca="1">INDIRECT("'"&amp;$C148&amp;"'!"&amp;"$"&amp;$D148&amp;$R$1&amp;"")</f>
        <v>6.8</v>
      </c>
      <c r="S148" s="296"/>
      <c r="T148" s="296">
        <v>0.93</v>
      </c>
      <c r="U148" s="294">
        <v>2.72</v>
      </c>
      <c r="V148" s="295" cm="1">
        <f t="array" aca="1" ref="V148" ca="1">INDIRECT("'"&amp;$C148&amp;"'!"&amp;"$"&amp;$D148&amp;$V$1&amp;"")</f>
        <v>2.8</v>
      </c>
      <c r="W148" s="296">
        <f>3.8*3.53</f>
        <v>13.413999999999998</v>
      </c>
      <c r="X148" s="296">
        <v>0.94</v>
      </c>
      <c r="Y148" s="297">
        <v>0.92</v>
      </c>
      <c r="Z148" s="293" cm="1">
        <f t="array" aca="1" ref="Z148" ca="1">INDIRECT("'"&amp;$C148&amp;"'!"&amp;"$"&amp;$D148&amp;$Z$1&amp;"")</f>
        <v>0</v>
      </c>
      <c r="AA148" s="296" t="s">
        <v>1</v>
      </c>
      <c r="AB148" s="296" t="s">
        <v>1</v>
      </c>
      <c r="AC148" s="294" t="s">
        <v>1</v>
      </c>
      <c r="AD148" s="295" cm="1">
        <f t="array" aca="1" ref="AD148" ca="1">INDIRECT("'"&amp;$C148&amp;"'!"&amp;"$"&amp;$D148&amp;$AD$1&amp;"")</f>
        <v>3.8</v>
      </c>
      <c r="AE148" s="296">
        <f>3.8*3.53</f>
        <v>13.413999999999998</v>
      </c>
      <c r="AF148" s="296">
        <v>0.94</v>
      </c>
      <c r="AG148" s="297">
        <v>1.31</v>
      </c>
      <c r="AH148" s="293" cm="1">
        <f t="array" aca="1" ref="AH148" ca="1">INDIRECT("'"&amp;$C148&amp;"'!"&amp;"$"&amp;$D148&amp;$AH$1&amp;"")</f>
        <v>3.8</v>
      </c>
      <c r="AI148" s="296">
        <v>13.96</v>
      </c>
      <c r="AJ148" s="296">
        <v>0.99</v>
      </c>
      <c r="AK148" s="294">
        <v>0.309</v>
      </c>
      <c r="AL148" s="293">
        <v>11.9</v>
      </c>
      <c r="AM148" s="297">
        <v>70.599999999999994</v>
      </c>
      <c r="AN148" s="293" t="str" cm="1">
        <f t="array" aca="1" ref="AN148" ca="1">INDIRECT("'"&amp;$C148&amp;"'!"&amp;"$"&amp;$D148&amp;$AL$1&amp;"")</f>
        <v>CMS</v>
      </c>
      <c r="AO148" s="296" t="s">
        <v>1</v>
      </c>
      <c r="AP148" s="294" t="s">
        <v>1</v>
      </c>
      <c r="AQ148" s="295" cm="1">
        <f t="array" aca="1" ref="AQ148" ca="1">INDIRECT("'"&amp;$C148&amp;"'!"&amp;"$"&amp;$D148&amp;$AQ$1&amp;"")</f>
        <v>3.7</v>
      </c>
      <c r="AR148" s="296">
        <v>0.97</v>
      </c>
      <c r="AS148" s="294">
        <v>1</v>
      </c>
      <c r="AT148" s="296" cm="1">
        <f t="array" aca="1" ref="AT148" ca="1">INDIRECT("'"&amp;$C148&amp;"'!"&amp;"$"&amp;$D148&amp;$AT$1&amp;"")</f>
        <v>5</v>
      </c>
      <c r="AU148" s="295">
        <v>13.8</v>
      </c>
      <c r="AV148" s="296">
        <v>0.98</v>
      </c>
      <c r="AW148" s="294">
        <v>1.0640000000000001</v>
      </c>
      <c r="AX148" s="298">
        <v>14.15</v>
      </c>
      <c r="AY148" s="297">
        <v>71.55</v>
      </c>
      <c r="AZ148" s="298" cm="1">
        <f t="array" aca="1" ref="AZ148" ca="1">INDIRECT("'"&amp;$C148&amp;"'!"&amp;"$"&amp;$D148&amp;$AZ$1&amp;"")</f>
        <v>14.29</v>
      </c>
      <c r="BA148" s="296">
        <v>0.99</v>
      </c>
      <c r="BB148" s="294">
        <v>2.4</v>
      </c>
      <c r="BC148" s="299">
        <v>68.2</v>
      </c>
      <c r="BD148" s="293" cm="1">
        <f t="array" aca="1" ref="BD148" ca="1">INDIRECT("'"&amp;$C148&amp;"'!"&amp;"$"&amp;$D148&amp;$BC$1&amp;"")</f>
        <v>0</v>
      </c>
      <c r="BE148" s="295" t="s">
        <v>1</v>
      </c>
      <c r="BF148" s="294" t="s">
        <v>1</v>
      </c>
      <c r="BG148" s="298" cm="1">
        <f t="array" aca="1" ref="BG148" ca="1">INDIRECT("'"&amp;$C148&amp;"'!"&amp;"$"&amp;$D148&amp;$BG$1&amp;"")</f>
        <v>1.34</v>
      </c>
      <c r="BH148" s="296"/>
      <c r="BI148" s="296">
        <v>0.99</v>
      </c>
      <c r="BJ148" s="294">
        <v>0.18</v>
      </c>
      <c r="BK148" s="299" cm="1">
        <f t="array" aca="1" ref="BK148" ca="1">INDIRECT("'"&amp;$C148&amp;"'!"&amp;"$"&amp;$D148&amp;$BK$1&amp;"")</f>
        <v>0.82</v>
      </c>
      <c r="BL148" s="296"/>
      <c r="BM148" s="296">
        <v>0.96</v>
      </c>
      <c r="BN148" s="294">
        <v>0.25</v>
      </c>
      <c r="BO148" s="299" cm="1">
        <f t="array" aca="1" ref="BO148" ca="1">INDIRECT("'"&amp;$C148&amp;"'!"&amp;"$"&amp;$D148&amp;74&amp;"")</f>
        <v>0</v>
      </c>
      <c r="BP148" s="296"/>
      <c r="BQ148" s="296" t="s">
        <v>1</v>
      </c>
      <c r="BR148" s="294" t="s">
        <v>1</v>
      </c>
    </row>
    <row r="149" spans="1:70">
      <c r="A149" s="361">
        <v>45753</v>
      </c>
      <c r="B149" s="358">
        <v>0.79166666666666696</v>
      </c>
      <c r="C149" s="313">
        <f t="shared" si="4"/>
        <v>6</v>
      </c>
      <c r="D149" s="314" t="s">
        <v>146</v>
      </c>
      <c r="E149" s="286">
        <v>14.3</v>
      </c>
      <c r="F149" s="287">
        <v>69.59</v>
      </c>
      <c r="G149" s="288" cm="1">
        <f t="array" aca="1" ref="G149" ca="1">INDIRECT("'"&amp;$C149&amp;"'!"&amp;"$"&amp;$D149&amp;$E$1&amp;"")</f>
        <v>6.6</v>
      </c>
      <c r="H149" s="289">
        <v>0.93</v>
      </c>
      <c r="I149" s="287">
        <v>2.63</v>
      </c>
      <c r="J149" s="288" cm="1">
        <f t="array" aca="1" ref="J149" ca="1">INDIRECT("'"&amp;$C149&amp;"'!"&amp;"$"&amp;$D149&amp;$J$1&amp;"")</f>
        <v>0</v>
      </c>
      <c r="K149" s="300"/>
      <c r="L149" s="289" t="s">
        <v>1</v>
      </c>
      <c r="M149" s="287" t="s">
        <v>1</v>
      </c>
      <c r="N149" s="288" cm="1">
        <f t="array" aca="1" ref="N149" ca="1">INDIRECT("'"&amp;$C149&amp;"'!"&amp;"$"&amp;$D149&amp;$N$1&amp;"")</f>
        <v>6.6</v>
      </c>
      <c r="O149" s="289"/>
      <c r="P149" s="289">
        <v>0.93</v>
      </c>
      <c r="Q149" s="287">
        <v>2.63</v>
      </c>
      <c r="R149" s="288" cm="1">
        <f t="array" aca="1" ref="R149" ca="1">INDIRECT("'"&amp;$C149&amp;"'!"&amp;"$"&amp;$D149&amp;$R$1&amp;"")</f>
        <v>6.6</v>
      </c>
      <c r="S149" s="289"/>
      <c r="T149" s="289">
        <v>0.93</v>
      </c>
      <c r="U149" s="287">
        <v>2.63</v>
      </c>
      <c r="V149" s="288" cm="1">
        <f t="array" aca="1" ref="V149" ca="1">INDIRECT("'"&amp;$C149&amp;"'!"&amp;"$"&amp;$D149&amp;$V$1&amp;"")</f>
        <v>2.8</v>
      </c>
      <c r="W149" s="289">
        <f>3.8*3.52</f>
        <v>13.375999999999999</v>
      </c>
      <c r="X149" s="289">
        <v>0.94</v>
      </c>
      <c r="Y149" s="290">
        <v>1.33</v>
      </c>
      <c r="Z149" s="286" cm="1">
        <f t="array" aca="1" ref="Z149" ca="1">INDIRECT("'"&amp;$C149&amp;"'!"&amp;"$"&amp;$D149&amp;$Z$1&amp;"")</f>
        <v>0</v>
      </c>
      <c r="AA149" s="289" t="s">
        <v>1</v>
      </c>
      <c r="AB149" s="289" t="s">
        <v>1</v>
      </c>
      <c r="AC149" s="287" t="s">
        <v>1</v>
      </c>
      <c r="AD149" s="288" cm="1">
        <f t="array" aca="1" ref="AD149" ca="1">INDIRECT("'"&amp;$C149&amp;"'!"&amp;"$"&amp;$D149&amp;$AD$1&amp;"")</f>
        <v>3.8</v>
      </c>
      <c r="AE149" s="289">
        <v>13.38</v>
      </c>
      <c r="AF149" s="289">
        <v>0.98</v>
      </c>
      <c r="AG149" s="290">
        <v>1.33</v>
      </c>
      <c r="AH149" s="286" cm="1">
        <f t="array" aca="1" ref="AH149" ca="1">INDIRECT("'"&amp;$C149&amp;"'!"&amp;"$"&amp;$D149&amp;$AH$1&amp;"")</f>
        <v>3.8</v>
      </c>
      <c r="AI149" s="289">
        <v>13.92</v>
      </c>
      <c r="AJ149" s="289">
        <v>0.98</v>
      </c>
      <c r="AK149" s="287">
        <v>0.58799999999999997</v>
      </c>
      <c r="AL149" s="286">
        <v>11.8</v>
      </c>
      <c r="AM149" s="290">
        <v>70.400000000000006</v>
      </c>
      <c r="AN149" s="286" t="str" cm="1">
        <f t="array" aca="1" ref="AN149" ca="1">INDIRECT("'"&amp;$C149&amp;"'!"&amp;"$"&amp;$D149&amp;$AL$1&amp;"")</f>
        <v>CMS</v>
      </c>
      <c r="AO149" s="289" t="s">
        <v>1</v>
      </c>
      <c r="AP149" s="287" t="s">
        <v>1</v>
      </c>
      <c r="AQ149" s="288" cm="1">
        <f t="array" aca="1" ref="AQ149" ca="1">INDIRECT("'"&amp;$C149&amp;"'!"&amp;"$"&amp;$D149&amp;$AQ$1&amp;"")</f>
        <v>3.6</v>
      </c>
      <c r="AR149" s="289">
        <v>0.93</v>
      </c>
      <c r="AS149" s="287">
        <v>1.208</v>
      </c>
      <c r="AT149" s="289" cm="1">
        <f t="array" aca="1" ref="AT149" ca="1">INDIRECT("'"&amp;$C149&amp;"'!"&amp;"$"&amp;$D149&amp;$AT$1&amp;"")</f>
        <v>7</v>
      </c>
      <c r="AU149" s="288">
        <v>13.8</v>
      </c>
      <c r="AV149" s="289">
        <v>0.99</v>
      </c>
      <c r="AW149" s="287">
        <v>0.59599999999999997</v>
      </c>
      <c r="AX149" s="291">
        <v>14.07</v>
      </c>
      <c r="AY149" s="290">
        <v>71.09</v>
      </c>
      <c r="AZ149" s="291" cm="1">
        <f t="array" aca="1" ref="AZ149" ca="1">INDIRECT("'"&amp;$C149&amp;"'!"&amp;"$"&amp;$D149&amp;$AZ$1&amp;"")</f>
        <v>14.29</v>
      </c>
      <c r="BA149" s="289">
        <v>0.99</v>
      </c>
      <c r="BB149" s="287">
        <v>2.4</v>
      </c>
      <c r="BC149" s="292">
        <v>68.400000000000006</v>
      </c>
      <c r="BD149" s="286" cm="1">
        <f t="array" aca="1" ref="BD149" ca="1">INDIRECT("'"&amp;$C149&amp;"'!"&amp;"$"&amp;$D149&amp;$BC$1&amp;"")</f>
        <v>3.5</v>
      </c>
      <c r="BE149" s="288">
        <v>0.97</v>
      </c>
      <c r="BF149" s="287">
        <v>0.87</v>
      </c>
      <c r="BG149" s="291" cm="1">
        <f t="array" aca="1" ref="BG149" ca="1">INDIRECT("'"&amp;$C149&amp;"'!"&amp;"$"&amp;$D149&amp;$BG$1&amp;"")</f>
        <v>1.61</v>
      </c>
      <c r="BH149" s="289"/>
      <c r="BI149" s="289">
        <v>0.99</v>
      </c>
      <c r="BJ149" s="287">
        <v>0.2</v>
      </c>
      <c r="BK149" s="292" cm="1">
        <f t="array" aca="1" ref="BK149" ca="1">INDIRECT("'"&amp;$C149&amp;"'!"&amp;"$"&amp;$D149&amp;$BK$1&amp;"")</f>
        <v>0.9</v>
      </c>
      <c r="BL149" s="289"/>
      <c r="BM149" s="289">
        <v>0.96</v>
      </c>
      <c r="BN149" s="287">
        <v>0.25</v>
      </c>
      <c r="BO149" s="292" cm="1">
        <f t="array" aca="1" ref="BO149" ca="1">INDIRECT("'"&amp;$C149&amp;"'!"&amp;"$"&amp;$D149&amp;74&amp;"")</f>
        <v>0</v>
      </c>
      <c r="BP149" s="289"/>
      <c r="BQ149" s="289" t="s">
        <v>1</v>
      </c>
      <c r="BR149" s="287" t="s">
        <v>1</v>
      </c>
    </row>
    <row r="150" spans="1:70">
      <c r="A150" s="361">
        <v>45753</v>
      </c>
      <c r="B150" s="358">
        <v>0.83333333333333337</v>
      </c>
      <c r="C150" s="313">
        <f t="shared" si="4"/>
        <v>6</v>
      </c>
      <c r="D150" s="314" t="s">
        <v>147</v>
      </c>
      <c r="E150" s="293">
        <v>14.2</v>
      </c>
      <c r="F150" s="294">
        <v>69.27</v>
      </c>
      <c r="G150" s="295" cm="1">
        <f t="array" aca="1" ref="G150" ca="1">INDIRECT("'"&amp;$C150&amp;"'!"&amp;"$"&amp;$D150&amp;$E$1&amp;"")</f>
        <v>6.7</v>
      </c>
      <c r="H150" s="296">
        <v>0.94</v>
      </c>
      <c r="I150" s="294">
        <v>2.54</v>
      </c>
      <c r="J150" s="295" cm="1">
        <f t="array" aca="1" ref="J150" ca="1">INDIRECT("'"&amp;$C150&amp;"'!"&amp;"$"&amp;$D150&amp;$J$1&amp;"")</f>
        <v>0</v>
      </c>
      <c r="K150" s="296"/>
      <c r="L150" s="296" t="s">
        <v>1</v>
      </c>
      <c r="M150" s="294" t="s">
        <v>1</v>
      </c>
      <c r="N150" s="295" cm="1">
        <f t="array" aca="1" ref="N150" ca="1">INDIRECT("'"&amp;$C150&amp;"'!"&amp;"$"&amp;$D150&amp;$N$1&amp;"")</f>
        <v>6.7</v>
      </c>
      <c r="O150" s="296"/>
      <c r="P150" s="296">
        <v>0.94</v>
      </c>
      <c r="Q150" s="294">
        <v>2.54</v>
      </c>
      <c r="R150" s="295" cm="1">
        <f t="array" aca="1" ref="R150" ca="1">INDIRECT("'"&amp;$C150&amp;"'!"&amp;"$"&amp;$D150&amp;$R$1&amp;"")</f>
        <v>6.7</v>
      </c>
      <c r="S150" s="296"/>
      <c r="T150" s="296">
        <v>0.94</v>
      </c>
      <c r="U150" s="294">
        <v>2.54</v>
      </c>
      <c r="V150" s="295" cm="1">
        <f t="array" aca="1" ref="V150" ca="1">INDIRECT("'"&amp;$C150&amp;"'!"&amp;"$"&amp;$D150&amp;$V$1&amp;"")</f>
        <v>2.8</v>
      </c>
      <c r="W150" s="296">
        <f>3.8*3.53</f>
        <v>13.413999999999998</v>
      </c>
      <c r="X150" s="296">
        <v>0.95</v>
      </c>
      <c r="Y150" s="297">
        <v>0.84</v>
      </c>
      <c r="Z150" s="293" cm="1">
        <f t="array" aca="1" ref="Z150" ca="1">INDIRECT("'"&amp;$C150&amp;"'!"&amp;"$"&amp;$D150&amp;$Z$1&amp;"")</f>
        <v>0</v>
      </c>
      <c r="AA150" s="296" t="s">
        <v>1</v>
      </c>
      <c r="AB150" s="296" t="s">
        <v>1</v>
      </c>
      <c r="AC150" s="294" t="s">
        <v>1</v>
      </c>
      <c r="AD150" s="295" cm="1">
        <f t="array" aca="1" ref="AD150" ca="1">INDIRECT("'"&amp;$C150&amp;"'!"&amp;"$"&amp;$D150&amp;$AD$1&amp;"")</f>
        <v>3.8</v>
      </c>
      <c r="AE150" s="296">
        <v>13.41</v>
      </c>
      <c r="AF150" s="296">
        <v>0.95</v>
      </c>
      <c r="AG150" s="297">
        <v>1.51</v>
      </c>
      <c r="AH150" s="293" cm="1">
        <f t="array" aca="1" ref="AH150" ca="1">INDIRECT("'"&amp;$C150&amp;"'!"&amp;"$"&amp;$D150&amp;$AH$1&amp;"")</f>
        <v>3.8</v>
      </c>
      <c r="AI150" s="296">
        <v>13.92</v>
      </c>
      <c r="AJ150" s="296">
        <v>0.99</v>
      </c>
      <c r="AK150" s="294">
        <v>0.48499999999999999</v>
      </c>
      <c r="AL150" s="293">
        <v>11.8</v>
      </c>
      <c r="AM150" s="297">
        <v>70.400000000000006</v>
      </c>
      <c r="AN150" s="293" t="str" cm="1">
        <f t="array" aca="1" ref="AN150" ca="1">INDIRECT("'"&amp;$C150&amp;"'!"&amp;"$"&amp;$D150&amp;$AL$1&amp;"")</f>
        <v>CMS</v>
      </c>
      <c r="AO150" s="296" t="s">
        <v>1</v>
      </c>
      <c r="AP150" s="294" t="s">
        <v>1</v>
      </c>
      <c r="AQ150" s="295" cm="1">
        <f t="array" aca="1" ref="AQ150" ca="1">INDIRECT("'"&amp;$C150&amp;"'!"&amp;"$"&amp;$D150&amp;$AQ$1&amp;"")</f>
        <v>4</v>
      </c>
      <c r="AR150" s="296">
        <v>0.95</v>
      </c>
      <c r="AS150" s="294">
        <v>1.1559999999999999</v>
      </c>
      <c r="AT150" s="296" cm="1">
        <f t="array" aca="1" ref="AT150" ca="1">INDIRECT("'"&amp;$C150&amp;"'!"&amp;"$"&amp;$D150&amp;$AT$1&amp;"")</f>
        <v>7</v>
      </c>
      <c r="AU150" s="295">
        <v>13.8</v>
      </c>
      <c r="AV150" s="296">
        <v>1</v>
      </c>
      <c r="AW150" s="294">
        <v>0.36299999999999999</v>
      </c>
      <c r="AX150" s="298">
        <v>14.1</v>
      </c>
      <c r="AY150" s="297">
        <v>71.22</v>
      </c>
      <c r="AZ150" s="298" cm="1">
        <f t="array" aca="1" ref="AZ150" ca="1">INDIRECT("'"&amp;$C150&amp;"'!"&amp;"$"&amp;$D150&amp;$AZ$1&amp;"")</f>
        <v>14.28</v>
      </c>
      <c r="BA150" s="296">
        <v>0.99</v>
      </c>
      <c r="BB150" s="294">
        <v>2.4</v>
      </c>
      <c r="BC150" s="299">
        <v>68.5</v>
      </c>
      <c r="BD150" s="293" cm="1">
        <f t="array" aca="1" ref="BD150" ca="1">INDIRECT("'"&amp;$C150&amp;"'!"&amp;"$"&amp;$D150&amp;$BC$1&amp;"")</f>
        <v>0</v>
      </c>
      <c r="BE150" s="295" t="s">
        <v>1</v>
      </c>
      <c r="BF150" s="294" t="s">
        <v>1</v>
      </c>
      <c r="BG150" s="298" cm="1">
        <f t="array" aca="1" ref="BG150" ca="1">INDIRECT("'"&amp;$C150&amp;"'!"&amp;"$"&amp;$D150&amp;$BG$1&amp;"")</f>
        <v>1.65</v>
      </c>
      <c r="BH150" s="296"/>
      <c r="BI150" s="296">
        <v>0.99</v>
      </c>
      <c r="BJ150" s="294">
        <v>0.22</v>
      </c>
      <c r="BK150" s="299" cm="1">
        <f t="array" aca="1" ref="BK150" ca="1">INDIRECT("'"&amp;$C150&amp;"'!"&amp;"$"&amp;$D150&amp;$BK$1&amp;"")</f>
        <v>0.92</v>
      </c>
      <c r="BL150" s="296"/>
      <c r="BM150" s="296">
        <v>0.96</v>
      </c>
      <c r="BN150" s="294">
        <v>0.25</v>
      </c>
      <c r="BO150" s="299" cm="1">
        <f t="array" aca="1" ref="BO150" ca="1">INDIRECT("'"&amp;$C150&amp;"'!"&amp;"$"&amp;$D150&amp;74&amp;"")</f>
        <v>0</v>
      </c>
      <c r="BP150" s="296"/>
      <c r="BQ150" s="296" t="s">
        <v>1</v>
      </c>
      <c r="BR150" s="294" t="s">
        <v>1</v>
      </c>
    </row>
    <row r="151" spans="1:70">
      <c r="A151" s="361">
        <v>45753</v>
      </c>
      <c r="B151" s="358">
        <v>0.875000000000001</v>
      </c>
      <c r="C151" s="313">
        <f t="shared" si="4"/>
        <v>6</v>
      </c>
      <c r="D151" s="314" t="s">
        <v>148</v>
      </c>
      <c r="E151" s="286">
        <v>14.1</v>
      </c>
      <c r="F151" s="287">
        <v>69.58</v>
      </c>
      <c r="G151" s="288" cm="1">
        <f t="array" aca="1" ref="G151" ca="1">INDIRECT("'"&amp;$C151&amp;"'!"&amp;"$"&amp;$D151&amp;$E$1&amp;"")</f>
        <v>6.6</v>
      </c>
      <c r="H151" s="289">
        <v>0.94</v>
      </c>
      <c r="I151" s="287">
        <v>2.25</v>
      </c>
      <c r="J151" s="288" cm="1">
        <f t="array" aca="1" ref="J151" ca="1">INDIRECT("'"&amp;$C151&amp;"'!"&amp;"$"&amp;$D151&amp;$J$1&amp;"")</f>
        <v>0</v>
      </c>
      <c r="K151" s="289"/>
      <c r="L151" s="289" t="s">
        <v>1</v>
      </c>
      <c r="M151" s="287" t="s">
        <v>1</v>
      </c>
      <c r="N151" s="288" cm="1">
        <f t="array" aca="1" ref="N151" ca="1">INDIRECT("'"&amp;$C151&amp;"'!"&amp;"$"&amp;$D151&amp;$N$1&amp;"")</f>
        <v>6.7</v>
      </c>
      <c r="O151" s="289"/>
      <c r="P151" s="289">
        <v>0.95</v>
      </c>
      <c r="Q151" s="287">
        <v>2.2200000000000002</v>
      </c>
      <c r="R151" s="288" cm="1">
        <f t="array" aca="1" ref="R151" ca="1">INDIRECT("'"&amp;$C151&amp;"'!"&amp;"$"&amp;$D151&amp;$R$1&amp;"")</f>
        <v>6.7</v>
      </c>
      <c r="S151" s="289"/>
      <c r="T151" s="289">
        <v>0.95</v>
      </c>
      <c r="U151" s="287">
        <v>2.37</v>
      </c>
      <c r="V151" s="288" cm="1">
        <f t="array" aca="1" ref="V151" ca="1">INDIRECT("'"&amp;$C151&amp;"'!"&amp;"$"&amp;$D151&amp;$V$1&amp;"")</f>
        <v>2.8</v>
      </c>
      <c r="W151" s="289">
        <f>3.8*3.53</f>
        <v>13.413999999999998</v>
      </c>
      <c r="X151" s="289">
        <v>0.96</v>
      </c>
      <c r="Y151" s="290">
        <v>0.63</v>
      </c>
      <c r="Z151" s="286" cm="1">
        <f t="array" aca="1" ref="Z151" ca="1">INDIRECT("'"&amp;$C151&amp;"'!"&amp;"$"&amp;$D151&amp;$Z$1&amp;"")</f>
        <v>0</v>
      </c>
      <c r="AA151" s="289" t="s">
        <v>1</v>
      </c>
      <c r="AB151" s="289" t="s">
        <v>1</v>
      </c>
      <c r="AC151" s="287" t="s">
        <v>1</v>
      </c>
      <c r="AD151" s="288" cm="1">
        <f t="array" aca="1" ref="AD151" ca="1">INDIRECT("'"&amp;$C151&amp;"'!"&amp;"$"&amp;$D151&amp;$AD$1&amp;"")</f>
        <v>3</v>
      </c>
      <c r="AE151" s="289">
        <v>13.41</v>
      </c>
      <c r="AF151" s="289">
        <v>0.96</v>
      </c>
      <c r="AG151" s="290">
        <v>0.78</v>
      </c>
      <c r="AH151" s="286" cm="1">
        <f t="array" aca="1" ref="AH151" ca="1">INDIRECT("'"&amp;$C151&amp;"'!"&amp;"$"&amp;$D151&amp;$AH$1&amp;"")</f>
        <v>3</v>
      </c>
      <c r="AI151" s="289">
        <v>13.96</v>
      </c>
      <c r="AJ151" s="289">
        <v>0.99</v>
      </c>
      <c r="AK151" s="287">
        <v>0.34</v>
      </c>
      <c r="AL151" s="286">
        <v>11.8</v>
      </c>
      <c r="AM151" s="290">
        <v>70.599999999999994</v>
      </c>
      <c r="AN151" s="286" t="str" cm="1">
        <f t="array" aca="1" ref="AN151" ca="1">INDIRECT("'"&amp;$C151&amp;"'!"&amp;"$"&amp;$D151&amp;$AL$1&amp;"")</f>
        <v>CMS</v>
      </c>
      <c r="AO151" s="289" t="s">
        <v>1</v>
      </c>
      <c r="AP151" s="287" t="s">
        <v>1</v>
      </c>
      <c r="AQ151" s="288" cm="1">
        <f t="array" aca="1" ref="AQ151" ca="1">INDIRECT("'"&amp;$C151&amp;"'!"&amp;"$"&amp;$D151&amp;$AQ$1&amp;"")</f>
        <v>3.9</v>
      </c>
      <c r="AR151" s="289">
        <v>0.96</v>
      </c>
      <c r="AS151" s="287">
        <v>1.1000000000000001</v>
      </c>
      <c r="AT151" s="289" cm="1">
        <f t="array" aca="1" ref="AT151" ca="1">INDIRECT("'"&amp;$C151&amp;"'!"&amp;"$"&amp;$D151&amp;$AT$1&amp;"")</f>
        <v>7</v>
      </c>
      <c r="AU151" s="288">
        <v>13.8</v>
      </c>
      <c r="AV151" s="289">
        <v>1</v>
      </c>
      <c r="AW151" s="287">
        <v>0.36499999999999999</v>
      </c>
      <c r="AX151" s="291">
        <v>14.12</v>
      </c>
      <c r="AY151" s="290">
        <v>71.39</v>
      </c>
      <c r="AZ151" s="291" cm="1">
        <f t="array" aca="1" ref="AZ151" ca="1">INDIRECT("'"&amp;$C151&amp;"'!"&amp;"$"&amp;$D151&amp;$AZ$1&amp;"")</f>
        <v>14.29</v>
      </c>
      <c r="BA151" s="289">
        <v>0.99</v>
      </c>
      <c r="BB151" s="287">
        <v>2.5</v>
      </c>
      <c r="BC151" s="292">
        <v>68.400000000000006</v>
      </c>
      <c r="BD151" s="286" cm="1">
        <f t="array" aca="1" ref="BD151" ca="1">INDIRECT("'"&amp;$C151&amp;"'!"&amp;"$"&amp;$D151&amp;$BC$1&amp;"")</f>
        <v>0</v>
      </c>
      <c r="BE151" s="288" t="s">
        <v>1</v>
      </c>
      <c r="BF151" s="287" t="s">
        <v>1</v>
      </c>
      <c r="BG151" s="291" cm="1">
        <f t="array" aca="1" ref="BG151" ca="1">INDIRECT("'"&amp;$C151&amp;"'!"&amp;"$"&amp;$D151&amp;$BG$1&amp;"")</f>
        <v>1.55</v>
      </c>
      <c r="BH151" s="289"/>
      <c r="BI151" s="289">
        <v>0.99</v>
      </c>
      <c r="BJ151" s="287">
        <v>0.21</v>
      </c>
      <c r="BK151" s="292" cm="1">
        <f t="array" aca="1" ref="BK151" ca="1">INDIRECT("'"&amp;$C151&amp;"'!"&amp;"$"&amp;$D151&amp;$BK$1&amp;"")</f>
        <v>0.9</v>
      </c>
      <c r="BL151" s="289"/>
      <c r="BM151" s="289">
        <v>0.96</v>
      </c>
      <c r="BN151" s="287">
        <v>0.25</v>
      </c>
      <c r="BO151" s="292" cm="1">
        <f t="array" aca="1" ref="BO151" ca="1">INDIRECT("'"&amp;$C151&amp;"'!"&amp;"$"&amp;$D151&amp;74&amp;"")</f>
        <v>0</v>
      </c>
      <c r="BP151" s="289"/>
      <c r="BQ151" s="289" t="s">
        <v>1</v>
      </c>
      <c r="BR151" s="287" t="s">
        <v>1</v>
      </c>
    </row>
    <row r="152" spans="1:70">
      <c r="A152" s="361">
        <v>45753</v>
      </c>
      <c r="B152" s="358">
        <v>0.91666666666666696</v>
      </c>
      <c r="C152" s="313">
        <f t="shared" si="4"/>
        <v>6</v>
      </c>
      <c r="D152" s="314" t="s">
        <v>149</v>
      </c>
      <c r="E152" s="293">
        <v>14.2</v>
      </c>
      <c r="F152" s="294">
        <v>69.760000000000005</v>
      </c>
      <c r="G152" s="295" cm="1">
        <f t="array" aca="1" ref="G152" ca="1">INDIRECT("'"&amp;$C152&amp;"'!"&amp;"$"&amp;$D152&amp;$E$1&amp;"")</f>
        <v>0</v>
      </c>
      <c r="H152" s="296" t="s">
        <v>1</v>
      </c>
      <c r="I152" s="294" t="s">
        <v>1</v>
      </c>
      <c r="J152" s="295" cm="1">
        <f t="array" aca="1" ref="J152" ca="1">INDIRECT("'"&amp;$C152&amp;"'!"&amp;"$"&amp;$D152&amp;$J$1&amp;"")</f>
        <v>6.6</v>
      </c>
      <c r="K152" s="296"/>
      <c r="L152" s="296">
        <v>0.97</v>
      </c>
      <c r="M152" s="294">
        <v>1.77</v>
      </c>
      <c r="N152" s="295" cm="1">
        <f t="array" aca="1" ref="N152" ca="1">INDIRECT("'"&amp;$C152&amp;"'!"&amp;"$"&amp;$D152&amp;$N$1&amp;"")</f>
        <v>6.7</v>
      </c>
      <c r="O152" s="296"/>
      <c r="P152" s="296">
        <v>0.96</v>
      </c>
      <c r="Q152" s="294">
        <v>1.85</v>
      </c>
      <c r="R152" s="295" cm="1">
        <f t="array" aca="1" ref="R152" ca="1">INDIRECT("'"&amp;$C152&amp;"'!"&amp;"$"&amp;$D152&amp;$R$1&amp;"")</f>
        <v>6.7</v>
      </c>
      <c r="S152" s="296"/>
      <c r="T152" s="296">
        <v>0.96</v>
      </c>
      <c r="U152" s="294">
        <v>2.0099999999999998</v>
      </c>
      <c r="V152" s="295" cm="1">
        <f t="array" aca="1" ref="V152" ca="1">INDIRECT("'"&amp;$C152&amp;"'!"&amp;"$"&amp;$D152&amp;$V$1&amp;"")</f>
        <v>2</v>
      </c>
      <c r="W152" s="296">
        <f>3.8*3.55</f>
        <v>13.489999999999998</v>
      </c>
      <c r="X152" s="296">
        <v>0.98</v>
      </c>
      <c r="Y152" s="297">
        <v>0.28000000000000003</v>
      </c>
      <c r="Z152" s="293" cm="1">
        <f t="array" aca="1" ref="Z152" ca="1">INDIRECT("'"&amp;$C152&amp;"'!"&amp;"$"&amp;$D152&amp;$Z$1&amp;"")</f>
        <v>0</v>
      </c>
      <c r="AA152" s="296" t="s">
        <v>1</v>
      </c>
      <c r="AB152" s="296" t="s">
        <v>1</v>
      </c>
      <c r="AC152" s="294" t="s">
        <v>1</v>
      </c>
      <c r="AD152" s="295" cm="1">
        <f t="array" aca="1" ref="AD152" ca="1">INDIRECT("'"&amp;$C152&amp;"'!"&amp;"$"&amp;$D152&amp;$AD$1&amp;"")</f>
        <v>3</v>
      </c>
      <c r="AE152" s="296">
        <v>13.49</v>
      </c>
      <c r="AF152" s="296">
        <v>0.98</v>
      </c>
      <c r="AG152" s="297">
        <v>0.53</v>
      </c>
      <c r="AH152" s="293" cm="1">
        <f t="array" aca="1" ref="AH152" ca="1">INDIRECT("'"&amp;$C152&amp;"'!"&amp;"$"&amp;$D152&amp;$AH$1&amp;"")</f>
        <v>3</v>
      </c>
      <c r="AI152" s="296">
        <v>13.96</v>
      </c>
      <c r="AJ152" s="296">
        <v>0.99</v>
      </c>
      <c r="AK152" s="294">
        <v>0.36599999999999999</v>
      </c>
      <c r="AL152" s="293">
        <v>11.9</v>
      </c>
      <c r="AM152" s="297">
        <v>70.599999999999994</v>
      </c>
      <c r="AN152" s="293" t="str" cm="1">
        <f t="array" aca="1" ref="AN152" ca="1">INDIRECT("'"&amp;$C152&amp;"'!"&amp;"$"&amp;$D152&amp;$AL$1&amp;"")</f>
        <v>CMS</v>
      </c>
      <c r="AO152" s="296" t="s">
        <v>1</v>
      </c>
      <c r="AP152" s="294" t="s">
        <v>1</v>
      </c>
      <c r="AQ152" s="295" cm="1">
        <f t="array" aca="1" ref="AQ152" ca="1">INDIRECT("'"&amp;$C152&amp;"'!"&amp;"$"&amp;$D152&amp;$AQ$1&amp;"")</f>
        <v>4.2</v>
      </c>
      <c r="AR152" s="296">
        <v>0.97</v>
      </c>
      <c r="AS152" s="294">
        <v>0.92700000000000005</v>
      </c>
      <c r="AT152" s="296" cm="1">
        <f t="array" aca="1" ref="AT152" ca="1">INDIRECT("'"&amp;$C152&amp;"'!"&amp;"$"&amp;$D152&amp;$AT$1&amp;"")</f>
        <v>3.8</v>
      </c>
      <c r="AU152" s="295">
        <v>13.8</v>
      </c>
      <c r="AV152" s="296">
        <v>1</v>
      </c>
      <c r="AW152" s="294">
        <v>0.109</v>
      </c>
      <c r="AX152" s="298">
        <v>14.16</v>
      </c>
      <c r="AY152" s="297">
        <v>71.63</v>
      </c>
      <c r="AZ152" s="298" cm="1">
        <f t="array" aca="1" ref="AZ152" ca="1">INDIRECT("'"&amp;$C152&amp;"'!"&amp;"$"&amp;$D152&amp;$AZ$1&amp;"")</f>
        <v>14.28</v>
      </c>
      <c r="BA152" s="296">
        <v>0.99</v>
      </c>
      <c r="BB152" s="294">
        <v>2.4</v>
      </c>
      <c r="BC152" s="299">
        <v>68.8</v>
      </c>
      <c r="BD152" s="293" cm="1">
        <f t="array" aca="1" ref="BD152" ca="1">INDIRECT("'"&amp;$C152&amp;"'!"&amp;"$"&amp;$D152&amp;$BC$1&amp;"")</f>
        <v>0</v>
      </c>
      <c r="BE152" s="295" t="s">
        <v>1</v>
      </c>
      <c r="BF152" s="294" t="s">
        <v>1</v>
      </c>
      <c r="BG152" s="298" cm="1">
        <f t="array" aca="1" ref="BG152" ca="1">INDIRECT("'"&amp;$C152&amp;"'!"&amp;"$"&amp;$D152&amp;$BG$1&amp;"")</f>
        <v>1.42</v>
      </c>
      <c r="BH152" s="296"/>
      <c r="BI152" s="296">
        <v>0.99</v>
      </c>
      <c r="BJ152" s="294">
        <v>0.2</v>
      </c>
      <c r="BK152" s="299" cm="1">
        <f t="array" aca="1" ref="BK152" ca="1">INDIRECT("'"&amp;$C152&amp;"'!"&amp;"$"&amp;$D152&amp;$BK$1&amp;"")</f>
        <v>0.87</v>
      </c>
      <c r="BL152" s="296"/>
      <c r="BM152" s="296">
        <v>0.96</v>
      </c>
      <c r="BN152" s="294">
        <v>0.24</v>
      </c>
      <c r="BO152" s="299" cm="1">
        <f t="array" aca="1" ref="BO152" ca="1">INDIRECT("'"&amp;$C152&amp;"'!"&amp;"$"&amp;$D152&amp;74&amp;"")</f>
        <v>0</v>
      </c>
      <c r="BP152" s="296"/>
      <c r="BQ152" s="296" t="s">
        <v>1</v>
      </c>
      <c r="BR152" s="294" t="s">
        <v>1</v>
      </c>
    </row>
    <row r="153" spans="1:70" ht="14.45" thickBot="1">
      <c r="A153" s="362">
        <v>45753</v>
      </c>
      <c r="B153" s="359">
        <v>0.95833333333333404</v>
      </c>
      <c r="C153" s="315">
        <f t="shared" si="4"/>
        <v>6</v>
      </c>
      <c r="D153" s="316" t="s">
        <v>150</v>
      </c>
      <c r="E153" s="301">
        <v>14.3</v>
      </c>
      <c r="F153" s="302">
        <v>70.3</v>
      </c>
      <c r="G153" s="303" cm="1">
        <f t="array" aca="1" ref="G153" ca="1">INDIRECT("'"&amp;$C153&amp;"'!"&amp;"$"&amp;$D153&amp;$E$1&amp;"")</f>
        <v>0</v>
      </c>
      <c r="H153" s="304" t="s">
        <v>1</v>
      </c>
      <c r="I153" s="302" t="s">
        <v>1</v>
      </c>
      <c r="J153" s="303" cm="1">
        <f t="array" aca="1" ref="J153" ca="1">INDIRECT("'"&amp;$C153&amp;"'!"&amp;"$"&amp;$D153&amp;$J$1&amp;"")</f>
        <v>6.7</v>
      </c>
      <c r="K153" s="304"/>
      <c r="L153" s="304">
        <v>0.97</v>
      </c>
      <c r="M153" s="302">
        <v>1.76</v>
      </c>
      <c r="N153" s="303" cm="1">
        <f t="array" aca="1" ref="N153" ca="1">INDIRECT("'"&amp;$C153&amp;"'!"&amp;"$"&amp;$D153&amp;$N$1&amp;"")</f>
        <v>6.7</v>
      </c>
      <c r="O153" s="304"/>
      <c r="P153" s="304">
        <v>0.96</v>
      </c>
      <c r="Q153" s="302">
        <v>1.88</v>
      </c>
      <c r="R153" s="303" cm="1">
        <f t="array" aca="1" ref="R153" ca="1">INDIRECT("'"&amp;$C153&amp;"'!"&amp;"$"&amp;$D153&amp;$R$1&amp;"")</f>
        <v>6.7</v>
      </c>
      <c r="S153" s="304"/>
      <c r="T153" s="304">
        <v>0.98</v>
      </c>
      <c r="U153" s="302">
        <v>1.46</v>
      </c>
      <c r="V153" s="303" cm="1">
        <f t="array" aca="1" ref="V153" ca="1">INDIRECT("'"&amp;$C153&amp;"'!"&amp;"$"&amp;$D153&amp;$V$1&amp;"")</f>
        <v>2</v>
      </c>
      <c r="W153" s="304">
        <f>3.8*3.57</f>
        <v>13.565999999999999</v>
      </c>
      <c r="X153" s="304">
        <v>0.99</v>
      </c>
      <c r="Y153" s="305">
        <v>0.18</v>
      </c>
      <c r="Z153" s="301" cm="1">
        <f t="array" aca="1" ref="Z153" ca="1">INDIRECT("'"&amp;$C153&amp;"'!"&amp;"$"&amp;$D153&amp;$Z$1&amp;"")</f>
        <v>0</v>
      </c>
      <c r="AA153" s="304" t="s">
        <v>1</v>
      </c>
      <c r="AB153" s="304" t="s">
        <v>1</v>
      </c>
      <c r="AC153" s="302" t="s">
        <v>1</v>
      </c>
      <c r="AD153" s="303" cm="1">
        <f t="array" aca="1" ref="AD153" ca="1">INDIRECT("'"&amp;$C153&amp;"'!"&amp;"$"&amp;$D153&amp;$AD$1&amp;"")</f>
        <v>3</v>
      </c>
      <c r="AE153" s="304">
        <v>13.57</v>
      </c>
      <c r="AF153" s="304">
        <v>0.99</v>
      </c>
      <c r="AG153" s="305">
        <v>0.37</v>
      </c>
      <c r="AH153" s="301" cm="1">
        <f t="array" aca="1" ref="AH153" ca="1">INDIRECT("'"&amp;$C153&amp;"'!"&amp;"$"&amp;$D153&amp;$AH$1&amp;"")</f>
        <v>3.8</v>
      </c>
      <c r="AI153" s="304">
        <v>14</v>
      </c>
      <c r="AJ153" s="304">
        <v>1</v>
      </c>
      <c r="AK153" s="302">
        <v>8.2000000000000003E-2</v>
      </c>
      <c r="AL153" s="301">
        <v>11.9</v>
      </c>
      <c r="AM153" s="305">
        <v>70.599999999999994</v>
      </c>
      <c r="AN153" s="301" t="str" cm="1">
        <f t="array" aca="1" ref="AN153" ca="1">INDIRECT("'"&amp;$C153&amp;"'!"&amp;"$"&amp;$D153&amp;$AL$1&amp;"")</f>
        <v>CMS</v>
      </c>
      <c r="AO153" s="304" t="s">
        <v>1</v>
      </c>
      <c r="AP153" s="302" t="s">
        <v>1</v>
      </c>
      <c r="AQ153" s="303" cm="1">
        <f t="array" aca="1" ref="AQ153" ca="1">INDIRECT("'"&amp;$C153&amp;"'!"&amp;"$"&amp;$D153&amp;$AQ$1&amp;"")</f>
        <v>4</v>
      </c>
      <c r="AR153" s="304">
        <v>0.97</v>
      </c>
      <c r="AS153" s="302">
        <v>0.88100000000000001</v>
      </c>
      <c r="AT153" s="304" cm="1">
        <f t="array" aca="1" ref="AT153" ca="1">INDIRECT("'"&amp;$C153&amp;"'!"&amp;"$"&amp;$D153&amp;$AT$1&amp;"")</f>
        <v>0</v>
      </c>
      <c r="AU153" s="303" t="s">
        <v>1</v>
      </c>
      <c r="AV153" s="304" t="s">
        <v>1</v>
      </c>
      <c r="AW153" s="302" t="s">
        <v>1</v>
      </c>
      <c r="AX153" s="306">
        <v>14.2</v>
      </c>
      <c r="AY153" s="305">
        <v>71.89</v>
      </c>
      <c r="AZ153" s="306" cm="1">
        <f t="array" aca="1" ref="AZ153" ca="1">INDIRECT("'"&amp;$C153&amp;"'!"&amp;"$"&amp;$D153&amp;$AZ$1&amp;"")</f>
        <v>14.29</v>
      </c>
      <c r="BA153" s="304">
        <v>0.99</v>
      </c>
      <c r="BB153" s="302">
        <v>2.5</v>
      </c>
      <c r="BC153" s="307">
        <v>69.099999999999994</v>
      </c>
      <c r="BD153" s="301" cm="1">
        <f t="array" aca="1" ref="BD153" ca="1">INDIRECT("'"&amp;$C153&amp;"'!"&amp;"$"&amp;$D153&amp;$BC$1&amp;"")</f>
        <v>0</v>
      </c>
      <c r="BE153" s="303" t="s">
        <v>1</v>
      </c>
      <c r="BF153" s="302" t="s">
        <v>1</v>
      </c>
      <c r="BG153" s="306" cm="1">
        <f t="array" aca="1" ref="BG153" ca="1">INDIRECT("'"&amp;$C153&amp;"'!"&amp;"$"&amp;$D153&amp;$BG$1&amp;"")</f>
        <v>1.24</v>
      </c>
      <c r="BH153" s="304"/>
      <c r="BI153" s="304">
        <v>0.99</v>
      </c>
      <c r="BJ153" s="302">
        <v>0.19</v>
      </c>
      <c r="BK153" s="307" cm="1">
        <f t="array" aca="1" ref="BK153" ca="1">INDIRECT("'"&amp;$C153&amp;"'!"&amp;"$"&amp;$D153&amp;$BK$1&amp;"")</f>
        <v>0.82</v>
      </c>
      <c r="BL153" s="304"/>
      <c r="BM153" s="304">
        <v>0.96</v>
      </c>
      <c r="BN153" s="302">
        <v>0.23</v>
      </c>
      <c r="BO153" s="307" cm="1">
        <f t="array" aca="1" ref="BO153" ca="1">INDIRECT("'"&amp;$C153&amp;"'!"&amp;"$"&amp;$D153&amp;74&amp;"")</f>
        <v>0</v>
      </c>
      <c r="BP153" s="304"/>
      <c r="BQ153" s="304" t="s">
        <v>1</v>
      </c>
      <c r="BR153" s="302" t="s">
        <v>1</v>
      </c>
    </row>
    <row r="154" spans="1:70" ht="14.45" thickBot="1"/>
    <row r="155" spans="1:70">
      <c r="A155" s="360">
        <v>45754</v>
      </c>
      <c r="B155" s="357">
        <v>0</v>
      </c>
      <c r="C155" s="310">
        <f>C130+1</f>
        <v>7</v>
      </c>
      <c r="D155" s="311" t="s">
        <v>127</v>
      </c>
      <c r="E155" s="280">
        <v>14.3</v>
      </c>
      <c r="F155" s="281">
        <v>70.569999999999993</v>
      </c>
      <c r="G155" s="282" cm="1">
        <f t="array" aca="1" ref="G155" ca="1">INDIRECT("'"&amp;$C155&amp;"'!"&amp;"$"&amp;$D155&amp;$E$1&amp;"")</f>
        <v>0</v>
      </c>
      <c r="H155" s="283" t="s">
        <v>1</v>
      </c>
      <c r="I155" s="281" t="s">
        <v>1</v>
      </c>
      <c r="J155" s="282" cm="1">
        <f t="array" aca="1" ref="J155" ca="1">INDIRECT("'"&amp;$C155&amp;"'!"&amp;"$"&amp;$D155&amp;$J$1&amp;"")</f>
        <v>6.7</v>
      </c>
      <c r="K155" s="283"/>
      <c r="L155" s="283">
        <v>0.97</v>
      </c>
      <c r="M155" s="281">
        <v>1.72</v>
      </c>
      <c r="N155" s="282" cm="1">
        <f t="array" aca="1" ref="N155" ca="1">INDIRECT("'"&amp;$C155&amp;"'!"&amp;"$"&amp;$D155&amp;$N$1&amp;"")</f>
        <v>6.7</v>
      </c>
      <c r="O155" s="283"/>
      <c r="P155" s="283">
        <v>0.96</v>
      </c>
      <c r="Q155" s="281">
        <v>1.86</v>
      </c>
      <c r="R155" s="282" cm="1">
        <f t="array" aca="1" ref="R155" ca="1">INDIRECT("'"&amp;$C155&amp;"'!"&amp;"$"&amp;$D155&amp;$R$1&amp;"")</f>
        <v>6.7</v>
      </c>
      <c r="S155" s="283"/>
      <c r="T155" s="283">
        <v>0.98</v>
      </c>
      <c r="U155" s="281">
        <v>1.2</v>
      </c>
      <c r="V155" s="282" cm="1">
        <f t="array" aca="1" ref="V155" ca="1">INDIRECT("'"&amp;$C155&amp;"'!"&amp;"$"&amp;$D155&amp;$V$1&amp;"")</f>
        <v>0</v>
      </c>
      <c r="W155" s="283" t="s">
        <v>1</v>
      </c>
      <c r="X155" s="283" t="s">
        <v>1</v>
      </c>
      <c r="Y155" s="284" t="s">
        <v>1</v>
      </c>
      <c r="Z155" s="280" cm="1">
        <f t="array" aca="1" ref="Z155" ca="1">INDIRECT("'"&amp;$C155&amp;"'!"&amp;"$"&amp;$D155&amp;$Z$1&amp;"")</f>
        <v>0</v>
      </c>
      <c r="AA155" s="283" t="s">
        <v>1</v>
      </c>
      <c r="AB155" s="283" t="s">
        <v>1</v>
      </c>
      <c r="AC155" s="281" t="s">
        <v>1</v>
      </c>
      <c r="AD155" s="282" cm="1">
        <f t="array" aca="1" ref="AD155" ca="1">INDIRECT("'"&amp;$C155&amp;"'!"&amp;"$"&amp;$D155&amp;$AD$1&amp;"")</f>
        <v>3</v>
      </c>
      <c r="AE155" s="283">
        <f>3.8*3.59</f>
        <v>13.641999999999999</v>
      </c>
      <c r="AF155" s="283">
        <v>0.99</v>
      </c>
      <c r="AG155" s="281">
        <v>0.42</v>
      </c>
      <c r="AH155" s="280" cm="1">
        <f t="array" aca="1" ref="AH155" ca="1">INDIRECT("'"&amp;$C155&amp;"'!"&amp;"$"&amp;$D155&amp;$AH$1&amp;"")</f>
        <v>3</v>
      </c>
      <c r="AI155" s="283">
        <v>14</v>
      </c>
      <c r="AJ155" s="283">
        <v>1</v>
      </c>
      <c r="AK155" s="281">
        <v>7.1999999999999995E-2</v>
      </c>
      <c r="AL155" s="280">
        <v>11.9</v>
      </c>
      <c r="AM155" s="284">
        <v>70.599999999999994</v>
      </c>
      <c r="AN155" s="280" t="str" cm="1">
        <f t="array" aca="1" ref="AN155" ca="1">INDIRECT("'"&amp;$C155&amp;"'!"&amp;"$"&amp;$D155&amp;$AL$1&amp;"")</f>
        <v>CMS</v>
      </c>
      <c r="AO155" s="283" t="s">
        <v>1</v>
      </c>
      <c r="AP155" s="281" t="s">
        <v>1</v>
      </c>
      <c r="AQ155" s="282" cm="1">
        <f t="array" aca="1" ref="AQ155" ca="1">INDIRECT("'"&amp;$C155&amp;"'!"&amp;"$"&amp;$D155&amp;$AQ$1&amp;"")</f>
        <v>3</v>
      </c>
      <c r="AR155" s="283">
        <v>0.95</v>
      </c>
      <c r="AS155" s="281">
        <v>1.0580000000000001</v>
      </c>
      <c r="AT155" s="283" cm="1">
        <f t="array" aca="1" ref="AT155" ca="1">INDIRECT("'"&amp;$C155&amp;"'!"&amp;"$"&amp;$D155&amp;$AT$1&amp;"")</f>
        <v>0</v>
      </c>
      <c r="AU155" s="282" t="s">
        <v>1</v>
      </c>
      <c r="AV155" s="283" t="s">
        <v>1</v>
      </c>
      <c r="AW155" s="281" t="s">
        <v>1</v>
      </c>
      <c r="AX155" s="285">
        <v>14.03</v>
      </c>
      <c r="AY155" s="284">
        <v>71.459999999999994</v>
      </c>
      <c r="AZ155" s="285" cm="1">
        <f t="array" aca="1" ref="AZ155" ca="1">INDIRECT("'"&amp;$C155&amp;"'!"&amp;"$"&amp;$D155&amp;$AZ$1&amp;"")</f>
        <v>14.3</v>
      </c>
      <c r="BA155" s="283">
        <v>0.99</v>
      </c>
      <c r="BB155" s="281">
        <v>2.4</v>
      </c>
      <c r="BC155" s="281">
        <v>69.3</v>
      </c>
      <c r="BD155" s="280" cm="1">
        <f t="array" aca="1" ref="BD155" ca="1">INDIRECT("'"&amp;$C155&amp;"'!"&amp;"$"&amp;$D155&amp;$BC$1&amp;"")</f>
        <v>0</v>
      </c>
      <c r="BE155" s="282" t="s">
        <v>1</v>
      </c>
      <c r="BF155" s="281" t="s">
        <v>1</v>
      </c>
      <c r="BG155" s="285" cm="1">
        <f t="array" aca="1" ref="BG155" ca="1">INDIRECT("'"&amp;$C155&amp;"'!"&amp;"$"&amp;$D155&amp;$BG$1&amp;"")</f>
        <v>1.1299999999999999</v>
      </c>
      <c r="BH155" s="283"/>
      <c r="BI155" s="283">
        <v>0.99</v>
      </c>
      <c r="BJ155" s="281">
        <v>0.19</v>
      </c>
      <c r="BK155" s="285" cm="1">
        <f t="array" aca="1" ref="BK155" ca="1">INDIRECT("'"&amp;$C155&amp;"'!"&amp;"$"&amp;$D155&amp;$BK$1&amp;"")</f>
        <v>0.76</v>
      </c>
      <c r="BL155" s="283"/>
      <c r="BM155" s="283">
        <v>0.96</v>
      </c>
      <c r="BN155" s="281">
        <v>0.22</v>
      </c>
      <c r="BO155" s="373" cm="1">
        <f t="array" aca="1" ref="BO155" ca="1">INDIRECT("'"&amp;$C155&amp;"'!"&amp;"$"&amp;$D155&amp;74&amp;"")</f>
        <v>0</v>
      </c>
      <c r="BP155" s="283"/>
      <c r="BQ155" s="283" t="s">
        <v>1</v>
      </c>
      <c r="BR155" s="281" t="s">
        <v>1</v>
      </c>
    </row>
    <row r="156" spans="1:70">
      <c r="A156" s="361">
        <v>45754</v>
      </c>
      <c r="B156" s="358">
        <v>4.1666666666666699E-2</v>
      </c>
      <c r="C156" s="313">
        <f t="shared" ref="C156:C178" si="5">C131+1</f>
        <v>7</v>
      </c>
      <c r="D156" s="314" t="s">
        <v>128</v>
      </c>
      <c r="E156" s="286">
        <v>14.3</v>
      </c>
      <c r="F156" s="287">
        <v>70.739999999999995</v>
      </c>
      <c r="G156" s="288" cm="1">
        <f t="array" aca="1" ref="G156" ca="1">INDIRECT("'"&amp;$C156&amp;"'!"&amp;"$"&amp;$D156&amp;$E$1&amp;"")</f>
        <v>0</v>
      </c>
      <c r="H156" s="289" t="s">
        <v>1</v>
      </c>
      <c r="I156" s="287" t="s">
        <v>1</v>
      </c>
      <c r="J156" s="288" cm="1">
        <f t="array" aca="1" ref="J156" ca="1">INDIRECT("'"&amp;$C156&amp;"'!"&amp;"$"&amp;$D156&amp;$J$1&amp;"")</f>
        <v>6.7</v>
      </c>
      <c r="K156" s="289"/>
      <c r="L156" s="289">
        <v>0.98</v>
      </c>
      <c r="M156" s="287">
        <v>1.54</v>
      </c>
      <c r="N156" s="288" cm="1">
        <f t="array" aca="1" ref="N156" ca="1">INDIRECT("'"&amp;$C156&amp;"'!"&amp;"$"&amp;$D156&amp;$N$1&amp;"")</f>
        <v>6.7</v>
      </c>
      <c r="O156" s="289"/>
      <c r="P156" s="289">
        <v>0.98</v>
      </c>
      <c r="Q156" s="287">
        <v>1.53</v>
      </c>
      <c r="R156" s="288" cm="1">
        <f t="array" aca="1" ref="R156" ca="1">INDIRECT("'"&amp;$C156&amp;"'!"&amp;"$"&amp;$D156&amp;$R$1&amp;"")</f>
        <v>6.7</v>
      </c>
      <c r="S156" s="289"/>
      <c r="T156" s="289">
        <v>0.99</v>
      </c>
      <c r="U156" s="287">
        <v>1.17</v>
      </c>
      <c r="V156" s="288" cm="1">
        <f t="array" aca="1" ref="V156" ca="1">INDIRECT("'"&amp;$C156&amp;"'!"&amp;"$"&amp;$D156&amp;$V$1&amp;"")</f>
        <v>0</v>
      </c>
      <c r="W156" s="289" t="s">
        <v>1</v>
      </c>
      <c r="X156" s="289" t="s">
        <v>1</v>
      </c>
      <c r="Y156" s="290" t="s">
        <v>1</v>
      </c>
      <c r="Z156" s="286" cm="1">
        <f t="array" aca="1" ref="Z156" ca="1">INDIRECT("'"&amp;$C156&amp;"'!"&amp;"$"&amp;$D156&amp;$Z$1&amp;"")</f>
        <v>0</v>
      </c>
      <c r="AA156" s="289" t="s">
        <v>1</v>
      </c>
      <c r="AB156" s="289" t="s">
        <v>1</v>
      </c>
      <c r="AC156" s="287" t="s">
        <v>1</v>
      </c>
      <c r="AD156" s="288" cm="1">
        <f t="array" aca="1" ref="AD156" ca="1">INDIRECT("'"&amp;$C156&amp;"'!"&amp;"$"&amp;$D156&amp;$AD$1&amp;"")</f>
        <v>3</v>
      </c>
      <c r="AE156" s="289">
        <f>3.8*3.6</f>
        <v>13.68</v>
      </c>
      <c r="AF156" s="289">
        <v>0.99</v>
      </c>
      <c r="AG156" s="290">
        <v>0.38</v>
      </c>
      <c r="AH156" s="286" cm="1">
        <f t="array" aca="1" ref="AH156" ca="1">INDIRECT("'"&amp;$C156&amp;"'!"&amp;"$"&amp;$D156&amp;$AH$1&amp;"")</f>
        <v>0</v>
      </c>
      <c r="AI156" s="289" t="s">
        <v>1</v>
      </c>
      <c r="AJ156" s="289" t="s">
        <v>1</v>
      </c>
      <c r="AK156" s="287" t="s">
        <v>1</v>
      </c>
      <c r="AL156" s="286">
        <v>11.9</v>
      </c>
      <c r="AM156" s="290">
        <v>70.599999999999994</v>
      </c>
      <c r="AN156" s="286" t="str" cm="1">
        <f t="array" aca="1" ref="AN156" ca="1">INDIRECT("'"&amp;$C156&amp;"'!"&amp;"$"&amp;$D156&amp;$AL$1&amp;"")</f>
        <v>CMS</v>
      </c>
      <c r="AO156" s="289" t="s">
        <v>1</v>
      </c>
      <c r="AP156" s="287" t="s">
        <v>1</v>
      </c>
      <c r="AQ156" s="288" cm="1">
        <f t="array" aca="1" ref="AQ156" ca="1">INDIRECT("'"&amp;$C156&amp;"'!"&amp;"$"&amp;$D156&amp;$AQ$1&amp;"")</f>
        <v>3</v>
      </c>
      <c r="AR156" s="289">
        <v>0.95</v>
      </c>
      <c r="AS156" s="287">
        <v>0.97299999999999998</v>
      </c>
      <c r="AT156" s="289" cm="1">
        <f t="array" aca="1" ref="AT156" ca="1">INDIRECT("'"&amp;$C156&amp;"'!"&amp;"$"&amp;$D156&amp;$AT$1&amp;"")</f>
        <v>0</v>
      </c>
      <c r="AU156" s="288" t="s">
        <v>1</v>
      </c>
      <c r="AV156" s="289" t="s">
        <v>1</v>
      </c>
      <c r="AW156" s="287" t="s">
        <v>1</v>
      </c>
      <c r="AX156" s="291">
        <v>14.01</v>
      </c>
      <c r="AY156" s="290">
        <v>71.290000000000006</v>
      </c>
      <c r="AZ156" s="291" cm="1">
        <f t="array" aca="1" ref="AZ156" ca="1">INDIRECT("'"&amp;$C156&amp;"'!"&amp;"$"&amp;$D156&amp;$AZ$1&amp;"")</f>
        <v>14.29</v>
      </c>
      <c r="BA156" s="289">
        <v>0.1</v>
      </c>
      <c r="BB156" s="287">
        <v>1.3</v>
      </c>
      <c r="BC156" s="292">
        <v>69.599999999999994</v>
      </c>
      <c r="BD156" s="286" cm="1">
        <f t="array" aca="1" ref="BD156" ca="1">INDIRECT("'"&amp;$C156&amp;"'!"&amp;"$"&amp;$D156&amp;$BC$1&amp;"")</f>
        <v>0</v>
      </c>
      <c r="BE156" s="288" t="s">
        <v>1</v>
      </c>
      <c r="BF156" s="287" t="s">
        <v>1</v>
      </c>
      <c r="BG156" s="291" cm="1">
        <f t="array" aca="1" ref="BG156" ca="1">INDIRECT("'"&amp;$C156&amp;"'!"&amp;"$"&amp;$D156&amp;$BG$1&amp;"")</f>
        <v>1</v>
      </c>
      <c r="BH156" s="289"/>
      <c r="BI156" s="289">
        <v>0.99</v>
      </c>
      <c r="BJ156" s="287">
        <v>0.18</v>
      </c>
      <c r="BK156" s="291" cm="1">
        <f t="array" aca="1" ref="BK156" ca="1">INDIRECT("'"&amp;$C156&amp;"'!"&amp;"$"&amp;$D156&amp;$BK$1&amp;"")</f>
        <v>0.74</v>
      </c>
      <c r="BL156" s="289"/>
      <c r="BM156" s="289">
        <v>0.96</v>
      </c>
      <c r="BN156" s="287">
        <v>0.21</v>
      </c>
      <c r="BO156" s="292" cm="1">
        <f t="array" aca="1" ref="BO156" ca="1">INDIRECT("'"&amp;$C156&amp;"'!"&amp;"$"&amp;$D156&amp;74&amp;"")</f>
        <v>0</v>
      </c>
      <c r="BP156" s="289"/>
      <c r="BQ156" s="289" t="s">
        <v>1</v>
      </c>
      <c r="BR156" s="287" t="s">
        <v>1</v>
      </c>
    </row>
    <row r="157" spans="1:70">
      <c r="A157" s="361">
        <v>45754</v>
      </c>
      <c r="B157" s="358">
        <v>8.3333333333333301E-2</v>
      </c>
      <c r="C157" s="313">
        <f t="shared" si="5"/>
        <v>7</v>
      </c>
      <c r="D157" s="314" t="s">
        <v>129</v>
      </c>
      <c r="E157" s="293">
        <v>14.3</v>
      </c>
      <c r="F157" s="294">
        <v>70.09</v>
      </c>
      <c r="G157" s="295" cm="1">
        <f t="array" aca="1" ref="G157" ca="1">INDIRECT("'"&amp;$C157&amp;"'!"&amp;"$"&amp;$D157&amp;$E$1&amp;"")</f>
        <v>0</v>
      </c>
      <c r="H157" s="296" t="s">
        <v>1</v>
      </c>
      <c r="I157" s="294" t="s">
        <v>1</v>
      </c>
      <c r="J157" s="295" cm="1">
        <f t="array" aca="1" ref="J157" ca="1">INDIRECT("'"&amp;$C157&amp;"'!"&amp;"$"&amp;$D157&amp;$J$1&amp;"")</f>
        <v>6.7</v>
      </c>
      <c r="K157" s="296"/>
      <c r="L157" s="296">
        <v>0.99</v>
      </c>
      <c r="M157" s="294">
        <v>0.94</v>
      </c>
      <c r="N157" s="295" cm="1">
        <f t="array" aca="1" ref="N157" ca="1">INDIRECT("'"&amp;$C157&amp;"'!"&amp;"$"&amp;$D157&amp;$N$1&amp;"")</f>
        <v>6.7</v>
      </c>
      <c r="O157" s="296"/>
      <c r="P157" s="296">
        <v>0.99</v>
      </c>
      <c r="Q157" s="294">
        <v>0.93</v>
      </c>
      <c r="R157" s="295" cm="1">
        <f t="array" aca="1" ref="R157" ca="1">INDIRECT("'"&amp;$C157&amp;"'!"&amp;"$"&amp;$D157&amp;$R$1&amp;"")</f>
        <v>6.7</v>
      </c>
      <c r="S157" s="296"/>
      <c r="T157" s="296">
        <v>0.95</v>
      </c>
      <c r="U157" s="294">
        <v>0.9</v>
      </c>
      <c r="V157" s="295" cm="1">
        <f t="array" aca="1" ref="V157" ca="1">INDIRECT("'"&amp;$C157&amp;"'!"&amp;"$"&amp;$D157&amp;$V$1&amp;"")</f>
        <v>0</v>
      </c>
      <c r="W157" s="296" t="s">
        <v>1</v>
      </c>
      <c r="X157" s="296" t="s">
        <v>1</v>
      </c>
      <c r="Y157" s="297" t="s">
        <v>1</v>
      </c>
      <c r="Z157" s="286" cm="1">
        <f t="array" aca="1" ref="Z157" ca="1">INDIRECT("'"&amp;$C157&amp;"'!"&amp;"$"&amp;$D157&amp;$Z$1&amp;"")</f>
        <v>0</v>
      </c>
      <c r="AA157" s="296" t="s">
        <v>1</v>
      </c>
      <c r="AB157" s="296" t="s">
        <v>1</v>
      </c>
      <c r="AC157" s="294" t="s">
        <v>1</v>
      </c>
      <c r="AD157" s="295" cm="1">
        <f t="array" aca="1" ref="AD157" ca="1">INDIRECT("'"&amp;$C157&amp;"'!"&amp;"$"&amp;$D157&amp;$AD$1&amp;"")</f>
        <v>0</v>
      </c>
      <c r="AE157" s="296" t="s">
        <v>1</v>
      </c>
      <c r="AF157" s="296" t="s">
        <v>1</v>
      </c>
      <c r="AG157" s="297" t="s">
        <v>1</v>
      </c>
      <c r="AH157" s="293" cm="1">
        <f t="array" aca="1" ref="AH157" ca="1">INDIRECT("'"&amp;$C157&amp;"'!"&amp;"$"&amp;$D157&amp;$AH$1&amp;"")</f>
        <v>0</v>
      </c>
      <c r="AI157" s="296" t="s">
        <v>1</v>
      </c>
      <c r="AJ157" s="296" t="s">
        <v>1</v>
      </c>
      <c r="AK157" s="297" t="s">
        <v>1</v>
      </c>
      <c r="AL157" s="293">
        <v>11.8</v>
      </c>
      <c r="AM157" s="297">
        <v>70.2</v>
      </c>
      <c r="AN157" s="293" t="str" cm="1">
        <f t="array" aca="1" ref="AN157" ca="1">INDIRECT("'"&amp;$C157&amp;"'!"&amp;"$"&amp;$D157&amp;$AL$1&amp;"")</f>
        <v>CMS</v>
      </c>
      <c r="AO157" s="296" t="s">
        <v>1</v>
      </c>
      <c r="AP157" s="294" t="s">
        <v>1</v>
      </c>
      <c r="AQ157" s="295" cm="1">
        <f t="array" aca="1" ref="AQ157" ca="1">INDIRECT("'"&amp;$C157&amp;"'!"&amp;"$"&amp;$D157&amp;$AQ$1&amp;"")</f>
        <v>4.0999999999999996</v>
      </c>
      <c r="AR157" s="296">
        <v>0.95</v>
      </c>
      <c r="AS157" s="294">
        <v>1.3839999999999999</v>
      </c>
      <c r="AT157" s="296" cm="1">
        <f t="array" aca="1" ref="AT157" ca="1">INDIRECT("'"&amp;$C157&amp;"'!"&amp;"$"&amp;$D157&amp;$AT$1&amp;"")</f>
        <v>0</v>
      </c>
      <c r="AU157" s="295" t="s">
        <v>1</v>
      </c>
      <c r="AV157" s="296" t="s">
        <v>1</v>
      </c>
      <c r="AW157" s="294" t="s">
        <v>1</v>
      </c>
      <c r="AX157" s="298">
        <v>13.95</v>
      </c>
      <c r="AY157" s="297">
        <v>70.959999999999994</v>
      </c>
      <c r="AZ157" s="298" cm="1">
        <f t="array" aca="1" ref="AZ157" ca="1">INDIRECT("'"&amp;$C157&amp;"'!"&amp;"$"&amp;$D157&amp;$AZ$1&amp;"")</f>
        <v>14.31</v>
      </c>
      <c r="BA157" s="296">
        <v>1</v>
      </c>
      <c r="BB157" s="294">
        <v>1.34</v>
      </c>
      <c r="BC157" s="299">
        <v>68.8</v>
      </c>
      <c r="BD157" s="293" cm="1">
        <f t="array" aca="1" ref="BD157" ca="1">INDIRECT("'"&amp;$C157&amp;"'!"&amp;"$"&amp;$D157&amp;$BC$1&amp;"")</f>
        <v>0</v>
      </c>
      <c r="BE157" s="295" t="s">
        <v>1</v>
      </c>
      <c r="BF157" s="294" t="s">
        <v>1</v>
      </c>
      <c r="BG157" s="298" cm="1">
        <f t="array" aca="1" ref="BG157" ca="1">INDIRECT("'"&amp;$C157&amp;"'!"&amp;"$"&amp;$D157&amp;$BG$1&amp;"")</f>
        <v>1</v>
      </c>
      <c r="BH157" s="296"/>
      <c r="BI157" s="296">
        <v>0.99</v>
      </c>
      <c r="BJ157" s="294">
        <v>0.16</v>
      </c>
      <c r="BK157" s="298" cm="1">
        <f t="array" aca="1" ref="BK157" ca="1">INDIRECT("'"&amp;$C157&amp;"'!"&amp;"$"&amp;$D157&amp;$BK$1&amp;"")</f>
        <v>0.71</v>
      </c>
      <c r="BL157" s="296"/>
      <c r="BM157" s="296">
        <v>0.96</v>
      </c>
      <c r="BN157" s="294">
        <v>0.21</v>
      </c>
      <c r="BO157" s="299" cm="1">
        <f t="array" aca="1" ref="BO157" ca="1">INDIRECT("'"&amp;$C157&amp;"'!"&amp;"$"&amp;$D157&amp;74&amp;"")</f>
        <v>0</v>
      </c>
      <c r="BP157" s="296"/>
      <c r="BQ157" s="296" t="s">
        <v>1</v>
      </c>
      <c r="BR157" s="294" t="s">
        <v>1</v>
      </c>
    </row>
    <row r="158" spans="1:70">
      <c r="A158" s="361">
        <v>45754</v>
      </c>
      <c r="B158" s="358">
        <v>0.125</v>
      </c>
      <c r="C158" s="313">
        <f t="shared" si="5"/>
        <v>7</v>
      </c>
      <c r="D158" s="314" t="s">
        <v>130</v>
      </c>
      <c r="E158" s="286">
        <v>14.2</v>
      </c>
      <c r="F158" s="287">
        <v>70.290000000000006</v>
      </c>
      <c r="G158" s="288" t="str" cm="1">
        <f t="array" aca="1" ref="G158" ca="1">INDIRECT("'"&amp;$C158&amp;"'!"&amp;"$"&amp;$D158&amp;$E$1&amp;"")</f>
        <v>CMS</v>
      </c>
      <c r="H158" s="289" t="s">
        <v>1</v>
      </c>
      <c r="I158" s="287" t="s">
        <v>1</v>
      </c>
      <c r="J158" s="288" cm="1">
        <f t="array" aca="1" ref="J158" ca="1">INDIRECT("'"&amp;$C158&amp;"'!"&amp;"$"&amp;$D158&amp;$J$1&amp;"")</f>
        <v>6.5</v>
      </c>
      <c r="K158" s="289"/>
      <c r="L158" s="289">
        <v>0.99</v>
      </c>
      <c r="M158" s="287">
        <v>0.81</v>
      </c>
      <c r="N158" s="288" cm="1">
        <f t="array" aca="1" ref="N158" ca="1">INDIRECT("'"&amp;$C158&amp;"'!"&amp;"$"&amp;$D158&amp;$N$1&amp;"")</f>
        <v>6.6</v>
      </c>
      <c r="O158" s="289"/>
      <c r="P158" s="289">
        <v>0.97</v>
      </c>
      <c r="Q158" s="287">
        <v>1.41</v>
      </c>
      <c r="R158" s="288" cm="1">
        <f t="array" aca="1" ref="R158" ca="1">INDIRECT("'"&amp;$C158&amp;"'!"&amp;"$"&amp;$D158&amp;$R$1&amp;"")</f>
        <v>6.4</v>
      </c>
      <c r="S158" s="289"/>
      <c r="T158" s="289">
        <v>0.99</v>
      </c>
      <c r="U158" s="287">
        <v>0.61</v>
      </c>
      <c r="V158" s="288" cm="1">
        <f t="array" aca="1" ref="V158" ca="1">INDIRECT("'"&amp;$C158&amp;"'!"&amp;"$"&amp;$D158&amp;$V$1&amp;"")</f>
        <v>0</v>
      </c>
      <c r="W158" s="289" t="s">
        <v>1</v>
      </c>
      <c r="X158" s="289" t="s">
        <v>1</v>
      </c>
      <c r="Y158" s="290" t="s">
        <v>1</v>
      </c>
      <c r="Z158" s="286" cm="1">
        <f t="array" aca="1" ref="Z158" ca="1">INDIRECT("'"&amp;$C158&amp;"'!"&amp;"$"&amp;$D158&amp;$Z$1&amp;"")</f>
        <v>0</v>
      </c>
      <c r="AA158" s="289" t="s">
        <v>1</v>
      </c>
      <c r="AB158" s="289" t="s">
        <v>1</v>
      </c>
      <c r="AC158" s="287" t="s">
        <v>1</v>
      </c>
      <c r="AD158" s="288" cm="1">
        <f t="array" aca="1" ref="AD158" ca="1">INDIRECT("'"&amp;$C158&amp;"'!"&amp;"$"&amp;$D158&amp;$AD$1&amp;"")</f>
        <v>0</v>
      </c>
      <c r="AE158" s="289" t="s">
        <v>1</v>
      </c>
      <c r="AF158" s="289" t="s">
        <v>1</v>
      </c>
      <c r="AG158" s="287" t="s">
        <v>1</v>
      </c>
      <c r="AH158" s="286" cm="1">
        <f t="array" aca="1" ref="AH158" ca="1">INDIRECT("'"&amp;$C158&amp;"'!"&amp;"$"&amp;$D158&amp;$AH$1&amp;"")</f>
        <v>0</v>
      </c>
      <c r="AI158" s="289" t="s">
        <v>1</v>
      </c>
      <c r="AJ158" s="289" t="s">
        <v>1</v>
      </c>
      <c r="AK158" s="287" t="s">
        <v>1</v>
      </c>
      <c r="AL158" s="286">
        <v>11.8</v>
      </c>
      <c r="AM158" s="290">
        <v>70.2</v>
      </c>
      <c r="AN158" s="286" t="str" cm="1">
        <f t="array" aca="1" ref="AN158" ca="1">INDIRECT("'"&amp;$C158&amp;"'!"&amp;"$"&amp;$D158&amp;$AL$1&amp;"")</f>
        <v>CMS</v>
      </c>
      <c r="AO158" s="289" t="s">
        <v>1</v>
      </c>
      <c r="AP158" s="287" t="s">
        <v>1</v>
      </c>
      <c r="AQ158" s="288" cm="1">
        <f t="array" aca="1" ref="AQ158" ca="1">INDIRECT("'"&amp;$C158&amp;"'!"&amp;"$"&amp;$D158&amp;$AQ$1&amp;"")</f>
        <v>3</v>
      </c>
      <c r="AR158" s="289">
        <v>0.92</v>
      </c>
      <c r="AS158" s="287">
        <v>1.43</v>
      </c>
      <c r="AT158" s="289" cm="1">
        <f t="array" aca="1" ref="AT158" ca="1">INDIRECT("'"&amp;$C158&amp;"'!"&amp;"$"&amp;$D158&amp;$AT$1&amp;"")</f>
        <v>0</v>
      </c>
      <c r="AU158" s="288" t="s">
        <v>1</v>
      </c>
      <c r="AV158" s="289" t="s">
        <v>1</v>
      </c>
      <c r="AW158" s="287" t="s">
        <v>1</v>
      </c>
      <c r="AX158" s="291">
        <v>14.12</v>
      </c>
      <c r="AY158" s="290">
        <v>71.849999999999994</v>
      </c>
      <c r="AZ158" s="291" cm="1">
        <f t="array" aca="1" ref="AZ158" ca="1">INDIRECT("'"&amp;$C158&amp;"'!"&amp;"$"&amp;$D158&amp;$AZ$1&amp;"")</f>
        <v>14.28</v>
      </c>
      <c r="BA158" s="289">
        <v>1</v>
      </c>
      <c r="BB158" s="287">
        <v>1.4</v>
      </c>
      <c r="BC158" s="292">
        <v>69.099999999999994</v>
      </c>
      <c r="BD158" s="286" cm="1">
        <f t="array" aca="1" ref="BD158" ca="1">INDIRECT("'"&amp;$C158&amp;"'!"&amp;"$"&amp;$D158&amp;$BC$1&amp;"")</f>
        <v>0</v>
      </c>
      <c r="BE158" s="288" t="s">
        <v>1</v>
      </c>
      <c r="BF158" s="287" t="s">
        <v>1</v>
      </c>
      <c r="BG158" s="291" cm="1">
        <f t="array" aca="1" ref="BG158" ca="1">INDIRECT("'"&amp;$C158&amp;"'!"&amp;"$"&amp;$D158&amp;$BG$1&amp;"")</f>
        <v>0.98</v>
      </c>
      <c r="BH158" s="289"/>
      <c r="BI158" s="289">
        <v>0.99</v>
      </c>
      <c r="BJ158" s="287">
        <v>0.16</v>
      </c>
      <c r="BK158" s="291" cm="1">
        <f t="array" aca="1" ref="BK158" ca="1">INDIRECT("'"&amp;$C158&amp;"'!"&amp;"$"&amp;$D158&amp;$BK$1&amp;"")</f>
        <v>0.69</v>
      </c>
      <c r="BL158" s="289"/>
      <c r="BM158" s="289">
        <v>0.96</v>
      </c>
      <c r="BN158" s="287">
        <v>0.21</v>
      </c>
      <c r="BO158" s="292" cm="1">
        <f t="array" aca="1" ref="BO158" ca="1">INDIRECT("'"&amp;$C158&amp;"'!"&amp;"$"&amp;$D158&amp;74&amp;"")</f>
        <v>0</v>
      </c>
      <c r="BP158" s="289"/>
      <c r="BQ158" s="289" t="s">
        <v>1</v>
      </c>
      <c r="BR158" s="287" t="s">
        <v>1</v>
      </c>
    </row>
    <row r="159" spans="1:70">
      <c r="A159" s="361">
        <v>45754</v>
      </c>
      <c r="B159" s="358">
        <v>0.16666666666666699</v>
      </c>
      <c r="C159" s="313">
        <f t="shared" si="5"/>
        <v>7</v>
      </c>
      <c r="D159" s="314" t="s">
        <v>131</v>
      </c>
      <c r="E159" s="293">
        <v>14.3</v>
      </c>
      <c r="F159" s="294">
        <v>70.650000000000006</v>
      </c>
      <c r="G159" s="295" t="str" cm="1">
        <f t="array" aca="1" ref="G159" ca="1">INDIRECT("'"&amp;$C159&amp;"'!"&amp;"$"&amp;$D159&amp;$E$1&amp;"")</f>
        <v>CMS</v>
      </c>
      <c r="H159" s="296" t="s">
        <v>1</v>
      </c>
      <c r="I159" s="294" t="s">
        <v>1</v>
      </c>
      <c r="J159" s="295" cm="1">
        <f t="array" aca="1" ref="J159" ca="1">INDIRECT("'"&amp;$C159&amp;"'!"&amp;"$"&amp;$D159&amp;$J$1&amp;"")</f>
        <v>6.7</v>
      </c>
      <c r="K159" s="296"/>
      <c r="L159" s="296">
        <v>0.99</v>
      </c>
      <c r="M159" s="294">
        <v>0.86</v>
      </c>
      <c r="N159" s="295" cm="1">
        <f t="array" aca="1" ref="N159" ca="1">INDIRECT("'"&amp;$C159&amp;"'!"&amp;"$"&amp;$D159&amp;$N$1&amp;"")</f>
        <v>6.6</v>
      </c>
      <c r="O159" s="296"/>
      <c r="P159" s="296">
        <v>0.97</v>
      </c>
      <c r="Q159" s="294">
        <v>1.74</v>
      </c>
      <c r="R159" s="295" cm="1">
        <f t="array" aca="1" ref="R159" ca="1">INDIRECT("'"&amp;$C159&amp;"'!"&amp;"$"&amp;$D159&amp;$R$1&amp;"")</f>
        <v>6.6</v>
      </c>
      <c r="S159" s="296"/>
      <c r="T159" s="296">
        <v>0.97</v>
      </c>
      <c r="U159" s="294">
        <v>1.69</v>
      </c>
      <c r="V159" s="295" cm="1">
        <f t="array" aca="1" ref="V159" ca="1">INDIRECT("'"&amp;$C159&amp;"'!"&amp;"$"&amp;$D159&amp;$V$1&amp;"")</f>
        <v>0</v>
      </c>
      <c r="W159" s="296" t="s">
        <v>1</v>
      </c>
      <c r="X159" s="296" t="s">
        <v>1</v>
      </c>
      <c r="Y159" s="297" t="s">
        <v>1</v>
      </c>
      <c r="Z159" s="293" cm="1">
        <f t="array" aca="1" ref="Z159" ca="1">INDIRECT("'"&amp;$C159&amp;"'!"&amp;"$"&amp;$D159&amp;$Z$1&amp;"")</f>
        <v>0</v>
      </c>
      <c r="AA159" s="296" t="s">
        <v>1</v>
      </c>
      <c r="AB159" s="296" t="s">
        <v>1</v>
      </c>
      <c r="AC159" s="294" t="s">
        <v>1</v>
      </c>
      <c r="AD159" s="295" cm="1">
        <f t="array" aca="1" ref="AD159" ca="1">INDIRECT("'"&amp;$C159&amp;"'!"&amp;"$"&amp;$D159&amp;$AD$1&amp;"")</f>
        <v>0</v>
      </c>
      <c r="AE159" s="296" t="s">
        <v>1</v>
      </c>
      <c r="AF159" s="296" t="s">
        <v>1</v>
      </c>
      <c r="AG159" s="294" t="s">
        <v>1</v>
      </c>
      <c r="AH159" s="293" cm="1">
        <f t="array" aca="1" ref="AH159" ca="1">INDIRECT("'"&amp;$C159&amp;"'!"&amp;"$"&amp;$D159&amp;$AH$1&amp;"")</f>
        <v>0</v>
      </c>
      <c r="AI159" s="296" t="s">
        <v>1</v>
      </c>
      <c r="AJ159" s="296" t="s">
        <v>1</v>
      </c>
      <c r="AK159" s="294" t="s">
        <v>1</v>
      </c>
      <c r="AL159" s="293">
        <v>11.9</v>
      </c>
      <c r="AM159" s="297">
        <v>70.8</v>
      </c>
      <c r="AN159" s="293" t="str" cm="1">
        <f t="array" aca="1" ref="AN159" ca="1">INDIRECT("'"&amp;$C159&amp;"'!"&amp;"$"&amp;$D159&amp;$AL$1&amp;"")</f>
        <v>CMS</v>
      </c>
      <c r="AO159" s="296" t="s">
        <v>1</v>
      </c>
      <c r="AP159" s="294" t="s">
        <v>1</v>
      </c>
      <c r="AQ159" s="295" cm="1">
        <f t="array" aca="1" ref="AQ159" ca="1">INDIRECT("'"&amp;$C159&amp;"'!"&amp;"$"&amp;$D159&amp;$AQ$1&amp;"")</f>
        <v>3</v>
      </c>
      <c r="AR159" s="296">
        <v>0.95</v>
      </c>
      <c r="AS159" s="294">
        <v>0.80300000000000005</v>
      </c>
      <c r="AT159" s="296" cm="1">
        <f t="array" aca="1" ref="AT159" ca="1">INDIRECT("'"&amp;$C159&amp;"'!"&amp;"$"&amp;$D159&amp;$AT$1&amp;"")</f>
        <v>0</v>
      </c>
      <c r="AU159" s="295" t="s">
        <v>1</v>
      </c>
      <c r="AV159" s="296" t="s">
        <v>1</v>
      </c>
      <c r="AW159" s="294" t="s">
        <v>1</v>
      </c>
      <c r="AX159" s="298">
        <v>14.11</v>
      </c>
      <c r="AY159" s="297">
        <v>71.81</v>
      </c>
      <c r="AZ159" s="298" cm="1">
        <f t="array" aca="1" ref="AZ159" ca="1">INDIRECT("'"&amp;$C159&amp;"'!"&amp;"$"&amp;$D159&amp;$AZ$1&amp;"")</f>
        <v>12.79</v>
      </c>
      <c r="BA159" s="296">
        <v>1</v>
      </c>
      <c r="BB159" s="294">
        <v>1.3</v>
      </c>
      <c r="BC159" s="299">
        <v>69.5</v>
      </c>
      <c r="BD159" s="293" cm="1">
        <f t="array" aca="1" ref="BD159" ca="1">INDIRECT("'"&amp;$C159&amp;"'!"&amp;"$"&amp;$D159&amp;$BC$1&amp;"")</f>
        <v>0</v>
      </c>
      <c r="BE159" s="295" t="s">
        <v>1</v>
      </c>
      <c r="BF159" s="294" t="s">
        <v>1</v>
      </c>
      <c r="BG159" s="298" cm="1">
        <f t="array" aca="1" ref="BG159" ca="1">INDIRECT("'"&amp;$C159&amp;"'!"&amp;"$"&amp;$D159&amp;$BG$1&amp;"")</f>
        <v>0.94</v>
      </c>
      <c r="BH159" s="296"/>
      <c r="BI159" s="296">
        <v>0.99</v>
      </c>
      <c r="BJ159" s="294">
        <v>0.13</v>
      </c>
      <c r="BK159" s="298" cm="1">
        <f t="array" aca="1" ref="BK159" ca="1">INDIRECT("'"&amp;$C159&amp;"'!"&amp;"$"&amp;$D159&amp;$BK$1&amp;"")</f>
        <v>0.67</v>
      </c>
      <c r="BL159" s="296"/>
      <c r="BM159" s="296">
        <v>0.96</v>
      </c>
      <c r="BN159" s="294">
        <v>0.2</v>
      </c>
      <c r="BO159" s="299" cm="1">
        <f t="array" aca="1" ref="BO159" ca="1">INDIRECT("'"&amp;$C159&amp;"'!"&amp;"$"&amp;$D159&amp;74&amp;"")</f>
        <v>0</v>
      </c>
      <c r="BP159" s="296"/>
      <c r="BQ159" s="296" t="s">
        <v>1</v>
      </c>
      <c r="BR159" s="294" t="s">
        <v>1</v>
      </c>
    </row>
    <row r="160" spans="1:70">
      <c r="A160" s="361">
        <v>45754</v>
      </c>
      <c r="B160" s="358">
        <v>0.20833333333333301</v>
      </c>
      <c r="C160" s="313">
        <f t="shared" si="5"/>
        <v>7</v>
      </c>
      <c r="D160" s="314" t="s">
        <v>132</v>
      </c>
      <c r="E160" s="286">
        <v>14.2</v>
      </c>
      <c r="F160" s="287">
        <v>70.569999999999993</v>
      </c>
      <c r="G160" s="288" cm="1">
        <f t="array" aca="1" ref="G160" ca="1">INDIRECT("'"&amp;$C160&amp;"'!"&amp;"$"&amp;$D160&amp;$E$1&amp;"")</f>
        <v>2.9</v>
      </c>
      <c r="H160" s="289">
        <v>0.97</v>
      </c>
      <c r="I160" s="287">
        <v>0.7</v>
      </c>
      <c r="J160" s="288" cm="1">
        <f t="array" aca="1" ref="J160" ca="1">INDIRECT("'"&amp;$C160&amp;"'!"&amp;"$"&amp;$D160&amp;$J$1&amp;"")</f>
        <v>5.5</v>
      </c>
      <c r="K160" s="289"/>
      <c r="L160" s="289">
        <v>0.98</v>
      </c>
      <c r="M160" s="287">
        <v>0.68</v>
      </c>
      <c r="N160" s="288" cm="1">
        <f t="array" aca="1" ref="N160" ca="1">INDIRECT("'"&amp;$C160&amp;"'!"&amp;"$"&amp;$D160&amp;$N$1&amp;"")</f>
        <v>5.7</v>
      </c>
      <c r="O160" s="289"/>
      <c r="P160" s="289">
        <v>0.99</v>
      </c>
      <c r="Q160" s="287">
        <v>1.2</v>
      </c>
      <c r="R160" s="288" cm="1">
        <f t="array" aca="1" ref="R160" ca="1">INDIRECT("'"&amp;$C160&amp;"'!"&amp;"$"&amp;$D160&amp;$R$1&amp;"")</f>
        <v>6</v>
      </c>
      <c r="S160" s="289"/>
      <c r="T160" s="289">
        <v>0.97</v>
      </c>
      <c r="U160" s="287">
        <v>1.58</v>
      </c>
      <c r="V160" s="288" cm="1">
        <f t="array" aca="1" ref="V160" ca="1">INDIRECT("'"&amp;$C160&amp;"'!"&amp;"$"&amp;$D160&amp;$V$1&amp;"")</f>
        <v>0</v>
      </c>
      <c r="W160" s="289" t="s">
        <v>1</v>
      </c>
      <c r="X160" s="289" t="s">
        <v>1</v>
      </c>
      <c r="Y160" s="290" t="s">
        <v>1</v>
      </c>
      <c r="Z160" s="286" cm="1">
        <f t="array" aca="1" ref="Z160" ca="1">INDIRECT("'"&amp;$C160&amp;"'!"&amp;"$"&amp;$D160&amp;$Z$1&amp;"")</f>
        <v>0</v>
      </c>
      <c r="AA160" s="289" t="s">
        <v>1</v>
      </c>
      <c r="AB160" s="289" t="s">
        <v>1</v>
      </c>
      <c r="AC160" s="287" t="s">
        <v>1</v>
      </c>
      <c r="AD160" s="288" cm="1">
        <f t="array" aca="1" ref="AD160" ca="1">INDIRECT("'"&amp;$C160&amp;"'!"&amp;"$"&amp;$D160&amp;$AD$1&amp;"")</f>
        <v>0</v>
      </c>
      <c r="AE160" s="289" t="s">
        <v>1</v>
      </c>
      <c r="AF160" s="289" t="s">
        <v>1</v>
      </c>
      <c r="AG160" s="287" t="s">
        <v>1</v>
      </c>
      <c r="AH160" s="286" cm="1">
        <f t="array" aca="1" ref="AH160" ca="1">INDIRECT("'"&amp;$C160&amp;"'!"&amp;"$"&amp;$D160&amp;$AH$1&amp;"")</f>
        <v>0</v>
      </c>
      <c r="AI160" s="289" t="s">
        <v>1</v>
      </c>
      <c r="AJ160" s="289" t="s">
        <v>1</v>
      </c>
      <c r="AK160" s="287" t="s">
        <v>1</v>
      </c>
      <c r="AL160" s="286">
        <v>11.9</v>
      </c>
      <c r="AM160" s="290">
        <v>70.5</v>
      </c>
      <c r="AN160" s="286" t="str" cm="1">
        <f t="array" aca="1" ref="AN160" ca="1">INDIRECT("'"&amp;$C160&amp;"'!"&amp;"$"&amp;$D160&amp;$AL$1&amp;"")</f>
        <v>CMS</v>
      </c>
      <c r="AO160" s="289" t="s">
        <v>1</v>
      </c>
      <c r="AP160" s="287" t="s">
        <v>1</v>
      </c>
      <c r="AQ160" s="288" cm="1">
        <f t="array" aca="1" ref="AQ160" ca="1">INDIRECT("'"&amp;$C160&amp;"'!"&amp;"$"&amp;$D160&amp;$AQ$1&amp;"")</f>
        <v>4</v>
      </c>
      <c r="AR160" s="289">
        <v>0.95</v>
      </c>
      <c r="AS160" s="287">
        <v>1.1000000000000001</v>
      </c>
      <c r="AT160" s="289" cm="1">
        <f t="array" aca="1" ref="AT160" ca="1">INDIRECT("'"&amp;$C160&amp;"'!"&amp;"$"&amp;$D160&amp;$AT$1&amp;"")</f>
        <v>0</v>
      </c>
      <c r="AU160" s="288" t="s">
        <v>1</v>
      </c>
      <c r="AV160" s="289" t="s">
        <v>1</v>
      </c>
      <c r="AW160" s="287" t="s">
        <v>1</v>
      </c>
      <c r="AX160" s="291">
        <v>14.01</v>
      </c>
      <c r="AY160" s="290">
        <v>71.349999999999994</v>
      </c>
      <c r="AZ160" s="291" cm="1">
        <f t="array" aca="1" ref="AZ160" ca="1">INDIRECT("'"&amp;$C160&amp;"'!"&amp;"$"&amp;$D160&amp;$AZ$1&amp;"")</f>
        <v>13.3</v>
      </c>
      <c r="BA160" s="289">
        <v>1</v>
      </c>
      <c r="BB160" s="287">
        <v>1.2</v>
      </c>
      <c r="BC160" s="292">
        <v>69.099999999999994</v>
      </c>
      <c r="BD160" s="286" cm="1">
        <f t="array" aca="1" ref="BD160" ca="1">INDIRECT("'"&amp;$C160&amp;"'!"&amp;"$"&amp;$D160&amp;$BC$1&amp;"")</f>
        <v>0</v>
      </c>
      <c r="BE160" s="288" t="s">
        <v>1</v>
      </c>
      <c r="BF160" s="287" t="s">
        <v>1</v>
      </c>
      <c r="BG160" s="291" cm="1">
        <f t="array" aca="1" ref="BG160" ca="1">INDIRECT("'"&amp;$C160&amp;"'!"&amp;"$"&amp;$D160&amp;$BG$1&amp;"")</f>
        <v>0.89</v>
      </c>
      <c r="BH160" s="289"/>
      <c r="BI160" s="289">
        <v>0.99</v>
      </c>
      <c r="BJ160" s="287">
        <v>0.11</v>
      </c>
      <c r="BK160" s="291" cm="1">
        <f t="array" aca="1" ref="BK160" ca="1">INDIRECT("'"&amp;$C160&amp;"'!"&amp;"$"&amp;$D160&amp;$BK$1&amp;"")</f>
        <v>0.7</v>
      </c>
      <c r="BL160" s="289"/>
      <c r="BM160" s="289">
        <v>0.96</v>
      </c>
      <c r="BN160" s="287">
        <v>0.21</v>
      </c>
      <c r="BO160" s="292" cm="1">
        <f t="array" aca="1" ref="BO160" ca="1">INDIRECT("'"&amp;$C160&amp;"'!"&amp;"$"&amp;$D160&amp;74&amp;"")</f>
        <v>0</v>
      </c>
      <c r="BP160" s="289"/>
      <c r="BQ160" s="289" t="s">
        <v>1</v>
      </c>
      <c r="BR160" s="287" t="s">
        <v>1</v>
      </c>
    </row>
    <row r="161" spans="1:70">
      <c r="A161" s="361">
        <v>45754</v>
      </c>
      <c r="B161" s="358">
        <v>0.25</v>
      </c>
      <c r="C161" s="313">
        <f t="shared" si="5"/>
        <v>7</v>
      </c>
      <c r="D161" s="314" t="s">
        <v>133</v>
      </c>
      <c r="E161" s="293">
        <v>14.2</v>
      </c>
      <c r="F161" s="294">
        <v>69.2</v>
      </c>
      <c r="G161" s="295" cm="1">
        <f t="array" aca="1" ref="G161" ca="1">INDIRECT("'"&amp;$C161&amp;"'!"&amp;"$"&amp;$D161&amp;$E$1&amp;"")</f>
        <v>6.7</v>
      </c>
      <c r="H161" s="296">
        <v>0.98</v>
      </c>
      <c r="I161" s="294">
        <v>1.28</v>
      </c>
      <c r="J161" s="295" cm="1">
        <f t="array" aca="1" ref="J161" ca="1">INDIRECT("'"&amp;$C161&amp;"'!"&amp;"$"&amp;$D161&amp;$J$1&amp;"")</f>
        <v>6.8</v>
      </c>
      <c r="K161" s="296"/>
      <c r="L161" s="296">
        <v>0.99</v>
      </c>
      <c r="M161" s="294">
        <v>1.08</v>
      </c>
      <c r="N161" s="295" cm="1">
        <f t="array" aca="1" ref="N161" ca="1">INDIRECT("'"&amp;$C161&amp;"'!"&amp;"$"&amp;$D161&amp;$N$1&amp;"")</f>
        <v>0</v>
      </c>
      <c r="O161" s="296"/>
      <c r="P161" s="296" t="s">
        <v>1</v>
      </c>
      <c r="Q161" s="294" t="s">
        <v>1</v>
      </c>
      <c r="R161" s="295" cm="1">
        <f t="array" aca="1" ref="R161" ca="1">INDIRECT("'"&amp;$C161&amp;"'!"&amp;"$"&amp;$D161&amp;$R$1&amp;"")</f>
        <v>6.9</v>
      </c>
      <c r="S161" s="296"/>
      <c r="T161" s="296">
        <v>0.97</v>
      </c>
      <c r="U161" s="294">
        <v>1.82</v>
      </c>
      <c r="V161" s="295" cm="1">
        <f t="array" aca="1" ref="V161" ca="1">INDIRECT("'"&amp;$C161&amp;"'!"&amp;"$"&amp;$D161&amp;$V$1&amp;"")</f>
        <v>0</v>
      </c>
      <c r="W161" s="296" t="s">
        <v>1</v>
      </c>
      <c r="X161" s="296" t="s">
        <v>1</v>
      </c>
      <c r="Y161" s="297" t="s">
        <v>1</v>
      </c>
      <c r="Z161" s="293" cm="1">
        <f t="array" aca="1" ref="Z161" ca="1">INDIRECT("'"&amp;$C161&amp;"'!"&amp;"$"&amp;$D161&amp;$Z$1&amp;"")</f>
        <v>0</v>
      </c>
      <c r="AA161" s="296" t="s">
        <v>1</v>
      </c>
      <c r="AB161" s="296" t="s">
        <v>1</v>
      </c>
      <c r="AC161" s="294" t="s">
        <v>1</v>
      </c>
      <c r="AD161" s="295" cm="1">
        <f t="array" aca="1" ref="AD161" ca="1">INDIRECT("'"&amp;$C161&amp;"'!"&amp;"$"&amp;$D161&amp;$AD$1&amp;"")</f>
        <v>3.5</v>
      </c>
      <c r="AE161" s="296">
        <f>3.8*3.56</f>
        <v>13.527999999999999</v>
      </c>
      <c r="AF161" s="296">
        <v>0.98</v>
      </c>
      <c r="AG161" s="294">
        <v>0.64</v>
      </c>
      <c r="AH161" s="293" cm="1">
        <f t="array" aca="1" ref="AH161" ca="1">INDIRECT("'"&amp;$C161&amp;"'!"&amp;"$"&amp;$D161&amp;$AH$1&amp;"")</f>
        <v>0</v>
      </c>
      <c r="AI161" s="296" t="s">
        <v>1</v>
      </c>
      <c r="AJ161" s="296" t="s">
        <v>1</v>
      </c>
      <c r="AK161" s="294" t="s">
        <v>1</v>
      </c>
      <c r="AL161" s="293">
        <v>11.8</v>
      </c>
      <c r="AM161" s="297">
        <v>70.3</v>
      </c>
      <c r="AN161" s="293" t="str" cm="1">
        <f t="array" aca="1" ref="AN161" ca="1">INDIRECT("'"&amp;$C161&amp;"'!"&amp;"$"&amp;$D161&amp;$AL$1&amp;"")</f>
        <v>CMS</v>
      </c>
      <c r="AO161" s="296" t="s">
        <v>1</v>
      </c>
      <c r="AP161" s="294" t="s">
        <v>1</v>
      </c>
      <c r="AQ161" s="295" cm="1">
        <f t="array" aca="1" ref="AQ161" ca="1">INDIRECT("'"&amp;$C161&amp;"'!"&amp;"$"&amp;$D161&amp;$AQ$1&amp;"")</f>
        <v>4.4000000000000004</v>
      </c>
      <c r="AR161" s="296">
        <v>0.98</v>
      </c>
      <c r="AS161" s="294">
        <v>0.73799999999999999</v>
      </c>
      <c r="AT161" s="296" cm="1">
        <f t="array" aca="1" ref="AT161" ca="1">INDIRECT("'"&amp;$C161&amp;"'!"&amp;"$"&amp;$D161&amp;$AT$1&amp;"")</f>
        <v>0</v>
      </c>
      <c r="AU161" s="295" t="s">
        <v>1</v>
      </c>
      <c r="AV161" s="296" t="s">
        <v>1</v>
      </c>
      <c r="AW161" s="294" t="s">
        <v>1</v>
      </c>
      <c r="AX161" s="298">
        <v>14.19</v>
      </c>
      <c r="AY161" s="297">
        <v>71.87</v>
      </c>
      <c r="AZ161" s="298" cm="1">
        <f t="array" aca="1" ref="AZ161" ca="1">INDIRECT("'"&amp;$C161&amp;"'!"&amp;"$"&amp;$D161&amp;$AZ$1&amp;"")</f>
        <v>14.27</v>
      </c>
      <c r="BA161" s="296">
        <v>0.99</v>
      </c>
      <c r="BB161" s="294">
        <v>2.4</v>
      </c>
      <c r="BC161" s="299">
        <v>69</v>
      </c>
      <c r="BD161" s="293" cm="1">
        <f t="array" aca="1" ref="BD161" ca="1">INDIRECT("'"&amp;$C161&amp;"'!"&amp;"$"&amp;$D161&amp;$BC$1&amp;"")</f>
        <v>0</v>
      </c>
      <c r="BE161" s="295" t="s">
        <v>1</v>
      </c>
      <c r="BF161" s="294" t="s">
        <v>1</v>
      </c>
      <c r="BG161" s="298" cm="1">
        <f t="array" aca="1" ref="BG161" ca="1">INDIRECT("'"&amp;$C161&amp;"'!"&amp;"$"&amp;$D161&amp;$BG$1&amp;"")</f>
        <v>1</v>
      </c>
      <c r="BH161" s="296"/>
      <c r="BI161" s="296">
        <v>0.99</v>
      </c>
      <c r="BJ161" s="294">
        <v>0.12</v>
      </c>
      <c r="BK161" s="298" cm="1">
        <f t="array" aca="1" ref="BK161" ca="1">INDIRECT("'"&amp;$C161&amp;"'!"&amp;"$"&amp;$D161&amp;$BK$1&amp;"")</f>
        <v>0.72</v>
      </c>
      <c r="BL161" s="296"/>
      <c r="BM161" s="296">
        <v>0.96</v>
      </c>
      <c r="BN161" s="294">
        <v>0.21</v>
      </c>
      <c r="BO161" s="299" cm="1">
        <f t="array" aca="1" ref="BO161" ca="1">INDIRECT("'"&amp;$C161&amp;"'!"&amp;"$"&amp;$D161&amp;74&amp;"")</f>
        <v>0</v>
      </c>
      <c r="BP161" s="296"/>
      <c r="BQ161" s="296" t="s">
        <v>1</v>
      </c>
      <c r="BR161" s="294" t="s">
        <v>1</v>
      </c>
    </row>
    <row r="162" spans="1:70">
      <c r="A162" s="361">
        <v>45754</v>
      </c>
      <c r="B162" s="358">
        <v>0.29166666666666702</v>
      </c>
      <c r="C162" s="313">
        <f t="shared" si="5"/>
        <v>7</v>
      </c>
      <c r="D162" s="314" t="s">
        <v>134</v>
      </c>
      <c r="E162" s="286">
        <v>14.2</v>
      </c>
      <c r="F162" s="287">
        <v>70.069999999999993</v>
      </c>
      <c r="G162" s="288" cm="1">
        <f t="array" aca="1" ref="G162" ca="1">INDIRECT("'"&amp;$C162&amp;"'!"&amp;"$"&amp;$D162&amp;$E$1&amp;"")</f>
        <v>6.2</v>
      </c>
      <c r="H162" s="289">
        <v>0.98</v>
      </c>
      <c r="I162" s="287">
        <v>1.25</v>
      </c>
      <c r="J162" s="288" cm="1">
        <f t="array" aca="1" ref="J162" ca="1">INDIRECT("'"&amp;$C162&amp;"'!"&amp;"$"&amp;$D162&amp;$J$1&amp;"")</f>
        <v>6.3</v>
      </c>
      <c r="K162" s="289"/>
      <c r="L162" s="289">
        <v>0.98</v>
      </c>
      <c r="M162" s="287">
        <v>1.27</v>
      </c>
      <c r="N162" s="288" cm="1">
        <f t="array" aca="1" ref="N162" ca="1">INDIRECT("'"&amp;$C162&amp;"'!"&amp;"$"&amp;$D162&amp;$N$1&amp;"")</f>
        <v>0</v>
      </c>
      <c r="O162" s="289"/>
      <c r="P162" s="289" t="s">
        <v>1</v>
      </c>
      <c r="Q162" s="287" t="s">
        <v>1</v>
      </c>
      <c r="R162" s="288" cm="1">
        <f t="array" aca="1" ref="R162" ca="1">INDIRECT("'"&amp;$C162&amp;"'!"&amp;"$"&amp;$D162&amp;$R$1&amp;"")</f>
        <v>6.5</v>
      </c>
      <c r="S162" s="289"/>
      <c r="T162" s="289">
        <v>0.97</v>
      </c>
      <c r="U162" s="287">
        <v>1.67</v>
      </c>
      <c r="V162" s="288" cm="1">
        <f t="array" aca="1" ref="V162" ca="1">INDIRECT("'"&amp;$C162&amp;"'!"&amp;"$"&amp;$D162&amp;$V$1&amp;"")</f>
        <v>0</v>
      </c>
      <c r="W162" s="289" t="s">
        <v>1</v>
      </c>
      <c r="X162" s="289" t="s">
        <v>1</v>
      </c>
      <c r="Y162" s="290" t="s">
        <v>1</v>
      </c>
      <c r="Z162" s="286" cm="1">
        <f t="array" aca="1" ref="Z162" ca="1">INDIRECT("'"&amp;$C162&amp;"'!"&amp;"$"&amp;$D162&amp;$Z$1&amp;"")</f>
        <v>0</v>
      </c>
      <c r="AA162" s="289" t="s">
        <v>1</v>
      </c>
      <c r="AB162" s="289" t="s">
        <v>1</v>
      </c>
      <c r="AC162" s="287" t="s">
        <v>1</v>
      </c>
      <c r="AD162" s="288" cm="1">
        <f t="array" aca="1" ref="AD162" ca="1">INDIRECT("'"&amp;$C162&amp;"'!"&amp;"$"&amp;$D162&amp;$AD$1&amp;"")</f>
        <v>3</v>
      </c>
      <c r="AE162" s="289">
        <f>3.8*3.57</f>
        <v>13.565999999999999</v>
      </c>
      <c r="AF162" s="289">
        <v>0.98</v>
      </c>
      <c r="AG162" s="290">
        <v>0.57599999999999996</v>
      </c>
      <c r="AH162" s="286" cm="1">
        <f t="array" aca="1" ref="AH162" ca="1">INDIRECT("'"&amp;$C162&amp;"'!"&amp;"$"&amp;$D162&amp;$AH$1&amp;"")</f>
        <v>0</v>
      </c>
      <c r="AI162" s="289" t="s">
        <v>1</v>
      </c>
      <c r="AJ162" s="289" t="s">
        <v>1</v>
      </c>
      <c r="AK162" s="287" t="s">
        <v>1</v>
      </c>
      <c r="AL162" s="286">
        <v>11.8</v>
      </c>
      <c r="AM162" s="290">
        <v>70.5</v>
      </c>
      <c r="AN162" s="286" t="str" cm="1">
        <f t="array" aca="1" ref="AN162" ca="1">INDIRECT("'"&amp;$C162&amp;"'!"&amp;"$"&amp;$D162&amp;$AL$1&amp;"")</f>
        <v>CMS</v>
      </c>
      <c r="AO162" s="289" t="s">
        <v>1</v>
      </c>
      <c r="AP162" s="287" t="s">
        <v>1</v>
      </c>
      <c r="AQ162" s="288" cm="1">
        <f t="array" aca="1" ref="AQ162" ca="1">INDIRECT("'"&amp;$C162&amp;"'!"&amp;"$"&amp;$D162&amp;$AQ$1&amp;"")</f>
        <v>3.5</v>
      </c>
      <c r="AR162" s="289">
        <v>0.98</v>
      </c>
      <c r="AS162" s="287">
        <v>0.65900000000000003</v>
      </c>
      <c r="AT162" s="289" cm="1">
        <f t="array" aca="1" ref="AT162" ca="1">INDIRECT("'"&amp;$C162&amp;"'!"&amp;"$"&amp;$D162&amp;$AT$1&amp;"")</f>
        <v>0</v>
      </c>
      <c r="AU162" s="288" t="s">
        <v>1</v>
      </c>
      <c r="AV162" s="289" t="s">
        <v>1</v>
      </c>
      <c r="AW162" s="287" t="s">
        <v>1</v>
      </c>
      <c r="AX162" s="291">
        <v>14.14</v>
      </c>
      <c r="AY162" s="290">
        <v>71.66</v>
      </c>
      <c r="AZ162" s="291" cm="1">
        <f t="array" aca="1" ref="AZ162" ca="1">INDIRECT("'"&amp;$C162&amp;"'!"&amp;"$"&amp;$D162&amp;$AZ$1&amp;"")</f>
        <v>14.29</v>
      </c>
      <c r="BA162" s="289">
        <v>0.99</v>
      </c>
      <c r="BB162" s="287">
        <v>2.5</v>
      </c>
      <c r="BC162" s="292">
        <v>68.900000000000006</v>
      </c>
      <c r="BD162" s="286" cm="1">
        <f t="array" aca="1" ref="BD162" ca="1">INDIRECT("'"&amp;$C162&amp;"'!"&amp;"$"&amp;$D162&amp;$BC$1&amp;"")</f>
        <v>0</v>
      </c>
      <c r="BE162" s="288" t="s">
        <v>1</v>
      </c>
      <c r="BF162" s="287" t="s">
        <v>1</v>
      </c>
      <c r="BG162" s="291" cm="1">
        <f t="array" aca="1" ref="BG162" ca="1">INDIRECT("'"&amp;$C162&amp;"'!"&amp;"$"&amp;$D162&amp;$BG$1&amp;"")</f>
        <v>1.1599999999999999</v>
      </c>
      <c r="BH162" s="289"/>
      <c r="BI162" s="289">
        <v>0.99</v>
      </c>
      <c r="BJ162" s="287">
        <v>0.14000000000000001</v>
      </c>
      <c r="BK162" s="292" cm="1">
        <f t="array" aca="1" ref="BK162" ca="1">INDIRECT("'"&amp;$C162&amp;"'!"&amp;"$"&amp;$D162&amp;$BK$1&amp;"")</f>
        <v>0.72</v>
      </c>
      <c r="BL162" s="289"/>
      <c r="BM162" s="289">
        <v>0.96</v>
      </c>
      <c r="BN162" s="287">
        <v>0.21</v>
      </c>
      <c r="BO162" s="292" cm="1">
        <f t="array" aca="1" ref="BO162" ca="1">INDIRECT("'"&amp;$C162&amp;"'!"&amp;"$"&amp;$D162&amp;74&amp;"")</f>
        <v>0</v>
      </c>
      <c r="BP162" s="289"/>
      <c r="BQ162" s="289" t="s">
        <v>1</v>
      </c>
      <c r="BR162" s="287" t="s">
        <v>1</v>
      </c>
    </row>
    <row r="163" spans="1:70">
      <c r="A163" s="361">
        <v>45754</v>
      </c>
      <c r="B163" s="358">
        <v>0.33333333333333398</v>
      </c>
      <c r="C163" s="313">
        <f t="shared" si="5"/>
        <v>7</v>
      </c>
      <c r="D163" s="314" t="s">
        <v>135</v>
      </c>
      <c r="E163" s="293">
        <v>14.1</v>
      </c>
      <c r="F163" s="294">
        <v>69.099999999999994</v>
      </c>
      <c r="G163" s="295" cm="1">
        <f t="array" aca="1" ref="G163" ca="1">INDIRECT("'"&amp;$C163&amp;"'!"&amp;"$"&amp;$D163&amp;$E$1&amp;"")</f>
        <v>6.7</v>
      </c>
      <c r="H163" s="296">
        <v>0.96</v>
      </c>
      <c r="I163" s="294">
        <v>1.82</v>
      </c>
      <c r="J163" s="295" cm="1">
        <f t="array" aca="1" ref="J163" ca="1">INDIRECT("'"&amp;$C163&amp;"'!"&amp;"$"&amp;$D163&amp;$J$1&amp;"")</f>
        <v>6.7</v>
      </c>
      <c r="K163" s="296"/>
      <c r="L163" s="296">
        <v>0.96</v>
      </c>
      <c r="M163" s="294">
        <v>1.83</v>
      </c>
      <c r="N163" s="295" cm="1">
        <f t="array" aca="1" ref="N163" ca="1">INDIRECT("'"&amp;$C163&amp;"'!"&amp;"$"&amp;$D163&amp;$N$1&amp;"")</f>
        <v>0</v>
      </c>
      <c r="O163" s="296"/>
      <c r="P163" s="296" t="s">
        <v>1</v>
      </c>
      <c r="Q163" s="294" t="s">
        <v>1</v>
      </c>
      <c r="R163" s="295" cm="1">
        <f t="array" aca="1" ref="R163" ca="1">INDIRECT("'"&amp;$C163&amp;"'!"&amp;"$"&amp;$D163&amp;$R$1&amp;"")</f>
        <v>6.7</v>
      </c>
      <c r="S163" s="296"/>
      <c r="T163" s="296">
        <v>0.96</v>
      </c>
      <c r="U163" s="294">
        <v>1.83</v>
      </c>
      <c r="V163" s="295" cm="1">
        <f t="array" aca="1" ref="V163" ca="1">INDIRECT("'"&amp;$C163&amp;"'!"&amp;"$"&amp;$D163&amp;$V$1&amp;"")</f>
        <v>0.8</v>
      </c>
      <c r="W163" s="296">
        <f>3.8*3.53</f>
        <v>13.413999999999998</v>
      </c>
      <c r="X163" s="296">
        <v>0.97</v>
      </c>
      <c r="Y163" s="297">
        <v>0.20100000000000001</v>
      </c>
      <c r="Z163" s="293" cm="1">
        <f t="array" aca="1" ref="Z163" ca="1">INDIRECT("'"&amp;$C163&amp;"'!"&amp;"$"&amp;$D163&amp;$Z$1&amp;"")</f>
        <v>0</v>
      </c>
      <c r="AA163" s="296" t="s">
        <v>1</v>
      </c>
      <c r="AB163" s="296" t="s">
        <v>1</v>
      </c>
      <c r="AC163" s="294" t="s">
        <v>1</v>
      </c>
      <c r="AD163" s="295" cm="1">
        <f t="array" aca="1" ref="AD163" ca="1">INDIRECT("'"&amp;$C163&amp;"'!"&amp;"$"&amp;$D163&amp;$AD$1&amp;"")</f>
        <v>3.8</v>
      </c>
      <c r="AE163" s="296">
        <f>3.8*3.53</f>
        <v>13.413999999999998</v>
      </c>
      <c r="AF163" s="296">
        <v>0.96</v>
      </c>
      <c r="AG163" s="297">
        <v>1.03</v>
      </c>
      <c r="AH163" s="293" cm="1">
        <f t="array" aca="1" ref="AH163" ca="1">INDIRECT("'"&amp;$C163&amp;"'!"&amp;"$"&amp;$D163&amp;$AH$1&amp;"")</f>
        <v>1.8</v>
      </c>
      <c r="AI163" s="296">
        <v>13.84</v>
      </c>
      <c r="AJ163" s="296">
        <v>0.99</v>
      </c>
      <c r="AK163" s="294">
        <v>0.34499999999999997</v>
      </c>
      <c r="AL163" s="293">
        <v>11.8</v>
      </c>
      <c r="AM163" s="297">
        <v>69.900000000000006</v>
      </c>
      <c r="AN163" s="293" t="str" cm="1">
        <f t="array" aca="1" ref="AN163" ca="1">INDIRECT("'"&amp;$C163&amp;"'!"&amp;"$"&amp;$D163&amp;$AL$1&amp;"")</f>
        <v>CMS</v>
      </c>
      <c r="AO163" s="296" t="s">
        <v>1</v>
      </c>
      <c r="AP163" s="294" t="s">
        <v>1</v>
      </c>
      <c r="AQ163" s="295" cm="1">
        <f t="array" aca="1" ref="AQ163" ca="1">INDIRECT("'"&amp;$C163&amp;"'!"&amp;"$"&amp;$D163&amp;$AQ$1&amp;"")</f>
        <v>4.3</v>
      </c>
      <c r="AR163" s="296">
        <v>0.93</v>
      </c>
      <c r="AS163" s="294">
        <v>1.6</v>
      </c>
      <c r="AT163" s="296" cm="1">
        <f t="array" aca="1" ref="AT163" ca="1">INDIRECT("'"&amp;$C163&amp;"'!"&amp;"$"&amp;$D163&amp;$AT$1&amp;"")</f>
        <v>0</v>
      </c>
      <c r="AU163" s="295" t="s">
        <v>1</v>
      </c>
      <c r="AV163" s="296" t="s">
        <v>1</v>
      </c>
      <c r="AW163" s="294" t="s">
        <v>1</v>
      </c>
      <c r="AX163" s="298">
        <v>14.03</v>
      </c>
      <c r="AY163" s="297">
        <v>70.92</v>
      </c>
      <c r="AZ163" s="298" cm="1">
        <f t="array" aca="1" ref="AZ163" ca="1">INDIRECT("'"&amp;$C163&amp;"'!"&amp;"$"&amp;$D163&amp;$AZ$1&amp;"")</f>
        <v>14.29</v>
      </c>
      <c r="BA163" s="296">
        <v>0.99</v>
      </c>
      <c r="BB163" s="294">
        <v>2.4</v>
      </c>
      <c r="BC163" s="299">
        <v>68.099999999999994</v>
      </c>
      <c r="BD163" s="293" cm="1">
        <f t="array" aca="1" ref="BD163" ca="1">INDIRECT("'"&amp;$C163&amp;"'!"&amp;"$"&amp;$D163&amp;$BC$1&amp;"")</f>
        <v>0</v>
      </c>
      <c r="BE163" s="295" t="s">
        <v>1</v>
      </c>
      <c r="BF163" s="294" t="s">
        <v>1</v>
      </c>
      <c r="BG163" s="298" cm="1">
        <f t="array" aca="1" ref="BG163" ca="1">INDIRECT("'"&amp;$C163&amp;"'!"&amp;"$"&amp;$D163&amp;$BG$1&amp;"")</f>
        <v>1.1599999999999999</v>
      </c>
      <c r="BH163" s="296"/>
      <c r="BI163" s="296">
        <v>0.99</v>
      </c>
      <c r="BJ163" s="294">
        <v>0.16</v>
      </c>
      <c r="BK163" s="299" cm="1">
        <f t="array" aca="1" ref="BK163" ca="1">INDIRECT("'"&amp;$C163&amp;"'!"&amp;"$"&amp;$D163&amp;$BK$1&amp;"")</f>
        <v>0.69</v>
      </c>
      <c r="BL163" s="296"/>
      <c r="BM163" s="296">
        <v>0.95</v>
      </c>
      <c r="BN163" s="294">
        <v>0.21</v>
      </c>
      <c r="BO163" s="299" cm="1">
        <f t="array" aca="1" ref="BO163" ca="1">INDIRECT("'"&amp;$C163&amp;"'!"&amp;"$"&amp;$D163&amp;74&amp;"")</f>
        <v>0</v>
      </c>
      <c r="BP163" s="296"/>
      <c r="BQ163" s="296" t="s">
        <v>1</v>
      </c>
      <c r="BR163" s="294" t="s">
        <v>1</v>
      </c>
    </row>
    <row r="164" spans="1:70">
      <c r="A164" s="361">
        <v>45754</v>
      </c>
      <c r="B164" s="358">
        <v>0.375</v>
      </c>
      <c r="C164" s="313">
        <f t="shared" si="5"/>
        <v>7</v>
      </c>
      <c r="D164" s="314" t="s">
        <v>136</v>
      </c>
      <c r="E164" s="286">
        <v>14</v>
      </c>
      <c r="F164" s="287">
        <v>68.86</v>
      </c>
      <c r="G164" s="288" cm="1">
        <f t="array" aca="1" ref="G164" ca="1">INDIRECT("'"&amp;$C164&amp;"'!"&amp;"$"&amp;$D164&amp;$E$1&amp;"")</f>
        <v>6.7</v>
      </c>
      <c r="H164" s="289">
        <v>0.95</v>
      </c>
      <c r="I164" s="287">
        <v>2.2799999999999998</v>
      </c>
      <c r="J164" s="288" cm="1">
        <f t="array" aca="1" ref="J164" ca="1">INDIRECT("'"&amp;$C164&amp;"'!"&amp;"$"&amp;$D164&amp;$J$1&amp;"")</f>
        <v>6.7</v>
      </c>
      <c r="K164" s="289"/>
      <c r="L164" s="289">
        <v>0.95</v>
      </c>
      <c r="M164" s="287">
        <v>2.2799999999999998</v>
      </c>
      <c r="N164" s="288" cm="1">
        <f t="array" aca="1" ref="N164" ca="1">INDIRECT("'"&amp;$C164&amp;"'!"&amp;"$"&amp;$D164&amp;$N$1&amp;"")</f>
        <v>0</v>
      </c>
      <c r="O164" s="289"/>
      <c r="P164" s="289" t="s">
        <v>1</v>
      </c>
      <c r="Q164" s="287" t="s">
        <v>1</v>
      </c>
      <c r="R164" s="288" cm="1">
        <f t="array" aca="1" ref="R164" ca="1">INDIRECT("'"&amp;$C164&amp;"'!"&amp;"$"&amp;$D164&amp;$R$1&amp;"")</f>
        <v>6.7</v>
      </c>
      <c r="S164" s="289"/>
      <c r="T164" s="289">
        <v>0.95</v>
      </c>
      <c r="U164" s="287">
        <v>2.2799999999999998</v>
      </c>
      <c r="V164" s="288" cm="1">
        <f t="array" aca="1" ref="V164" ca="1">INDIRECT("'"&amp;$C164&amp;"'!"&amp;"$"&amp;$D164&amp;$V$1&amp;"")</f>
        <v>2.8</v>
      </c>
      <c r="W164" s="289">
        <f>3.8*3.49</f>
        <v>13.262</v>
      </c>
      <c r="X164" s="289">
        <v>0.93</v>
      </c>
      <c r="Y164" s="290">
        <v>0.96</v>
      </c>
      <c r="Z164" s="286" cm="1">
        <f t="array" aca="1" ref="Z164" ca="1">INDIRECT("'"&amp;$C164&amp;"'!"&amp;"$"&amp;$D164&amp;$Z$1&amp;"")</f>
        <v>0</v>
      </c>
      <c r="AA164" s="289" t="s">
        <v>1</v>
      </c>
      <c r="AB164" s="289" t="s">
        <v>1</v>
      </c>
      <c r="AC164" s="287" t="s">
        <v>1</v>
      </c>
      <c r="AD164" s="288" cm="1">
        <f t="array" aca="1" ref="AD164" ca="1">INDIRECT("'"&amp;$C164&amp;"'!"&amp;"$"&amp;$D164&amp;$AD$1&amp;"")</f>
        <v>3.8</v>
      </c>
      <c r="AE164" s="289">
        <f>3.8*3.49</f>
        <v>13.262</v>
      </c>
      <c r="AF164" s="289">
        <v>0.93</v>
      </c>
      <c r="AG164" s="290">
        <v>1.45</v>
      </c>
      <c r="AH164" s="286" cm="1">
        <f t="array" aca="1" ref="AH164" ca="1">INDIRECT("'"&amp;$C164&amp;"'!"&amp;"$"&amp;$D164&amp;$AH$1&amp;"")</f>
        <v>3.8</v>
      </c>
      <c r="AI164" s="289">
        <v>14</v>
      </c>
      <c r="AJ164" s="289">
        <v>0.98</v>
      </c>
      <c r="AK164" s="287">
        <v>0.71199999999999997</v>
      </c>
      <c r="AL164" s="286">
        <v>11.8</v>
      </c>
      <c r="AM164" s="290">
        <v>69.900000000000006</v>
      </c>
      <c r="AN164" s="286" t="str" cm="1">
        <f t="array" aca="1" ref="AN164" ca="1">INDIRECT("'"&amp;$C164&amp;"'!"&amp;"$"&amp;$D164&amp;$AL$1&amp;"")</f>
        <v>CMS</v>
      </c>
      <c r="AO164" s="289" t="s">
        <v>1</v>
      </c>
      <c r="AP164" s="287" t="s">
        <v>1</v>
      </c>
      <c r="AQ164" s="288" cm="1">
        <f t="array" aca="1" ref="AQ164" ca="1">INDIRECT("'"&amp;$C164&amp;"'!"&amp;"$"&amp;$D164&amp;$AQ$1&amp;"")</f>
        <v>4</v>
      </c>
      <c r="AR164" s="289">
        <v>0.95</v>
      </c>
      <c r="AS164" s="287">
        <v>1.27</v>
      </c>
      <c r="AT164" s="289" cm="1">
        <f t="array" aca="1" ref="AT164" ca="1">INDIRECT("'"&amp;$C164&amp;"'!"&amp;"$"&amp;$D164&amp;$AT$1&amp;"")</f>
        <v>4</v>
      </c>
      <c r="AU164" s="288">
        <v>13.8</v>
      </c>
      <c r="AV164" s="289">
        <v>0.96</v>
      </c>
      <c r="AW164" s="287">
        <v>1.1599999999999999</v>
      </c>
      <c r="AX164" s="291">
        <v>14.24</v>
      </c>
      <c r="AY164" s="290">
        <v>71.459999999999994</v>
      </c>
      <c r="AZ164" s="291" cm="1">
        <f t="array" aca="1" ref="AZ164" ca="1">INDIRECT("'"&amp;$C164&amp;"'!"&amp;"$"&amp;$D164&amp;$AZ$1&amp;"")</f>
        <v>14.24</v>
      </c>
      <c r="BA164" s="289">
        <v>0.98</v>
      </c>
      <c r="BB164" s="287">
        <v>3.5</v>
      </c>
      <c r="BC164" s="292">
        <v>67.599999999999994</v>
      </c>
      <c r="BD164" s="286" cm="1">
        <f t="array" aca="1" ref="BD164" ca="1">INDIRECT("'"&amp;$C164&amp;"'!"&amp;"$"&amp;$D164&amp;$BC$1&amp;"")</f>
        <v>2.0999999999999996</v>
      </c>
      <c r="BE164" s="288">
        <v>0.96</v>
      </c>
      <c r="BF164" s="287">
        <v>0.51</v>
      </c>
      <c r="BG164" s="291" cm="1">
        <f t="array" aca="1" ref="BG164" ca="1">INDIRECT("'"&amp;$C164&amp;"'!"&amp;"$"&amp;$D164&amp;$BG$1&amp;"")</f>
        <v>1.28</v>
      </c>
      <c r="BH164" s="289"/>
      <c r="BI164" s="289">
        <v>0.99</v>
      </c>
      <c r="BJ164" s="287">
        <v>0.17</v>
      </c>
      <c r="BK164" s="292" cm="1">
        <f t="array" aca="1" ref="BK164" ca="1">INDIRECT("'"&amp;$C164&amp;"'!"&amp;"$"&amp;$D164&amp;$BK$1&amp;"")</f>
        <v>0.74</v>
      </c>
      <c r="BL164" s="289"/>
      <c r="BM164" s="289">
        <v>0.95</v>
      </c>
      <c r="BN164" s="287">
        <v>0.23</v>
      </c>
      <c r="BO164" s="292" cm="1">
        <f t="array" aca="1" ref="BO164" ca="1">INDIRECT("'"&amp;$C164&amp;"'!"&amp;"$"&amp;$D164&amp;74&amp;"")</f>
        <v>0</v>
      </c>
      <c r="BP164" s="289"/>
      <c r="BQ164" s="289" t="s">
        <v>1</v>
      </c>
      <c r="BR164" s="287" t="s">
        <v>1</v>
      </c>
    </row>
    <row r="165" spans="1:70">
      <c r="A165" s="361">
        <v>45754</v>
      </c>
      <c r="B165" s="358">
        <v>0.41666666666666702</v>
      </c>
      <c r="C165" s="313">
        <f t="shared" si="5"/>
        <v>7</v>
      </c>
      <c r="D165" s="314" t="s">
        <v>137</v>
      </c>
      <c r="E165" s="293">
        <v>14.1</v>
      </c>
      <c r="F165" s="294">
        <v>68.66</v>
      </c>
      <c r="G165" s="295" cm="1">
        <f t="array" aca="1" ref="G165" ca="1">INDIRECT("'"&amp;$C165&amp;"'!"&amp;"$"&amp;$D165&amp;$E$1&amp;"")</f>
        <v>6.7</v>
      </c>
      <c r="H165" s="296">
        <v>0.93</v>
      </c>
      <c r="I165" s="294">
        <v>2.54</v>
      </c>
      <c r="J165" s="295" cm="1">
        <f t="array" aca="1" ref="J165" ca="1">INDIRECT("'"&amp;$C165&amp;"'!"&amp;"$"&amp;$D165&amp;$J$1&amp;"")</f>
        <v>6.7</v>
      </c>
      <c r="K165" s="296"/>
      <c r="L165" s="296">
        <v>0.93</v>
      </c>
      <c r="M165" s="294">
        <v>2.54</v>
      </c>
      <c r="N165" s="295" cm="1">
        <f t="array" aca="1" ref="N165" ca="1">INDIRECT("'"&amp;$C165&amp;"'!"&amp;"$"&amp;$D165&amp;$N$1&amp;"")</f>
        <v>1.5</v>
      </c>
      <c r="O165" s="296"/>
      <c r="P165" s="296">
        <v>0.94</v>
      </c>
      <c r="Q165" s="294">
        <v>0.61</v>
      </c>
      <c r="R165" s="295" cm="1">
        <f t="array" aca="1" ref="R165" ca="1">INDIRECT("'"&amp;$C165&amp;"'!"&amp;"$"&amp;$D165&amp;$R$1&amp;"")</f>
        <v>6.7</v>
      </c>
      <c r="S165" s="296"/>
      <c r="T165" s="296">
        <v>0.93</v>
      </c>
      <c r="U165" s="294">
        <v>2.54</v>
      </c>
      <c r="V165" s="295" cm="1">
        <f t="array" aca="1" ref="V165" ca="1">INDIRECT("'"&amp;$C165&amp;"'!"&amp;"$"&amp;$D165&amp;$V$1&amp;"")</f>
        <v>2.8</v>
      </c>
      <c r="W165" s="296">
        <f>3.8*3.46</f>
        <v>13.148</v>
      </c>
      <c r="X165" s="296">
        <v>0.92</v>
      </c>
      <c r="Y165" s="297">
        <v>1.1399999999999999</v>
      </c>
      <c r="Z165" s="293" cm="1">
        <f t="array" aca="1" ref="Z165" ca="1">INDIRECT("'"&amp;$C165&amp;"'!"&amp;"$"&amp;$D165&amp;$Z$1&amp;"")</f>
        <v>0</v>
      </c>
      <c r="AA165" s="296" t="s">
        <v>1</v>
      </c>
      <c r="AB165" s="296" t="s">
        <v>1</v>
      </c>
      <c r="AC165" s="294" t="s">
        <v>1</v>
      </c>
      <c r="AD165" s="295" cm="1">
        <f t="array" aca="1" ref="AD165" ca="1">INDIRECT("'"&amp;$C165&amp;"'!"&amp;"$"&amp;$D165&amp;$AD$1&amp;"")</f>
        <v>3.8</v>
      </c>
      <c r="AE165" s="296">
        <f>3.8*3.46</f>
        <v>13.148</v>
      </c>
      <c r="AF165" s="296">
        <v>0.92</v>
      </c>
      <c r="AG165" s="297">
        <v>1.6</v>
      </c>
      <c r="AH165" s="293" cm="1">
        <f t="array" aca="1" ref="AH165" ca="1">INDIRECT("'"&amp;$C165&amp;"'!"&amp;"$"&amp;$D165&amp;$AH$1&amp;"")</f>
        <v>3.8</v>
      </c>
      <c r="AI165" s="296">
        <v>13.92</v>
      </c>
      <c r="AJ165" s="296">
        <v>0.96</v>
      </c>
      <c r="AK165" s="294">
        <v>1</v>
      </c>
      <c r="AL165" s="293">
        <v>11.8</v>
      </c>
      <c r="AM165" s="297">
        <v>70.099999999999994</v>
      </c>
      <c r="AN165" s="293" t="str" cm="1">
        <f t="array" aca="1" ref="AN165" ca="1">INDIRECT("'"&amp;$C165&amp;"'!"&amp;"$"&amp;$D165&amp;$AL$1&amp;"")</f>
        <v>CMS</v>
      </c>
      <c r="AO165" s="296" t="s">
        <v>1</v>
      </c>
      <c r="AP165" s="294" t="s">
        <v>1</v>
      </c>
      <c r="AQ165" s="295" cm="1">
        <f t="array" aca="1" ref="AQ165" ca="1">INDIRECT("'"&amp;$C165&amp;"'!"&amp;"$"&amp;$D165&amp;$AQ$1&amp;"")</f>
        <v>4.2</v>
      </c>
      <c r="AR165" s="296">
        <v>0.94</v>
      </c>
      <c r="AS165" s="294">
        <v>1.5</v>
      </c>
      <c r="AT165" s="296" cm="1">
        <f t="array" aca="1" ref="AT165" ca="1">INDIRECT("'"&amp;$C165&amp;"'!"&amp;"$"&amp;$D165&amp;$AT$1&amp;"")</f>
        <v>7</v>
      </c>
      <c r="AU165" s="295">
        <v>13.8</v>
      </c>
      <c r="AV165" s="296">
        <v>0.98</v>
      </c>
      <c r="AW165" s="294">
        <v>1.52</v>
      </c>
      <c r="AX165" s="298">
        <v>14.1</v>
      </c>
      <c r="AY165" s="297">
        <v>71.069999999999993</v>
      </c>
      <c r="AZ165" s="298" cm="1">
        <f t="array" aca="1" ref="AZ165" ca="1">INDIRECT("'"&amp;$C165&amp;"'!"&amp;"$"&amp;$D165&amp;$AZ$1&amp;"")</f>
        <v>14.3</v>
      </c>
      <c r="BA165" s="296">
        <v>0.98</v>
      </c>
      <c r="BB165" s="294">
        <v>3.6</v>
      </c>
      <c r="BC165" s="299">
        <v>67.099999999999994</v>
      </c>
      <c r="BD165" s="293" cm="1">
        <f t="array" aca="1" ref="BD165" ca="1">INDIRECT("'"&amp;$C165&amp;"'!"&amp;"$"&amp;$D165&amp;$BC$1&amp;"")</f>
        <v>2.7</v>
      </c>
      <c r="BE165" s="295">
        <v>0.96</v>
      </c>
      <c r="BF165" s="294">
        <v>0.77</v>
      </c>
      <c r="BG165" s="298" cm="1">
        <f t="array" aca="1" ref="BG165" ca="1">INDIRECT("'"&amp;$C165&amp;"'!"&amp;"$"&amp;$D165&amp;$BG$1&amp;"")</f>
        <v>1.36</v>
      </c>
      <c r="BH165" s="296"/>
      <c r="BI165" s="296">
        <v>0.99</v>
      </c>
      <c r="BJ165" s="294">
        <v>0.19</v>
      </c>
      <c r="BK165" s="299" cm="1">
        <f t="array" aca="1" ref="BK165" ca="1">INDIRECT("'"&amp;$C165&amp;"'!"&amp;"$"&amp;$D165&amp;$BK$1&amp;"")</f>
        <v>0.76</v>
      </c>
      <c r="BL165" s="296"/>
      <c r="BM165" s="296">
        <v>0.95</v>
      </c>
      <c r="BN165" s="294">
        <v>0.23</v>
      </c>
      <c r="BO165" s="299" cm="1">
        <f t="array" aca="1" ref="BO165" ca="1">INDIRECT("'"&amp;$C165&amp;"'!"&amp;"$"&amp;$D165&amp;74&amp;"")</f>
        <v>0</v>
      </c>
      <c r="BP165" s="296"/>
      <c r="BQ165" s="296" t="s">
        <v>1</v>
      </c>
      <c r="BR165" s="294" t="s">
        <v>1</v>
      </c>
    </row>
    <row r="166" spans="1:70">
      <c r="A166" s="361">
        <v>45754</v>
      </c>
      <c r="B166" s="358">
        <v>0.45833333333333398</v>
      </c>
      <c r="C166" s="313">
        <f t="shared" si="5"/>
        <v>7</v>
      </c>
      <c r="D166" s="314" t="s">
        <v>138</v>
      </c>
      <c r="E166" s="286">
        <v>14.3</v>
      </c>
      <c r="F166" s="287">
        <v>68.989999999999995</v>
      </c>
      <c r="G166" s="288" cm="1">
        <f t="array" aca="1" ref="G166" ca="1">INDIRECT("'"&amp;$C166&amp;"'!"&amp;"$"&amp;$D166&amp;$E$1&amp;"")</f>
        <v>6.7</v>
      </c>
      <c r="H166" s="289">
        <v>0.92</v>
      </c>
      <c r="I166" s="287">
        <v>2.9</v>
      </c>
      <c r="J166" s="288" cm="1">
        <f t="array" aca="1" ref="J166" ca="1">INDIRECT("'"&amp;$C166&amp;"'!"&amp;"$"&amp;$D166&amp;$J$1&amp;"")</f>
        <v>6.7</v>
      </c>
      <c r="K166" s="289"/>
      <c r="L166" s="289">
        <v>0.92</v>
      </c>
      <c r="M166" s="287">
        <v>2.9</v>
      </c>
      <c r="N166" s="288" cm="1">
        <f t="array" aca="1" ref="N166" ca="1">INDIRECT("'"&amp;$C166&amp;"'!"&amp;"$"&amp;$D166&amp;$N$1&amp;"")</f>
        <v>6.7</v>
      </c>
      <c r="O166" s="289"/>
      <c r="P166" s="289">
        <v>0.92</v>
      </c>
      <c r="Q166" s="287">
        <v>2.9</v>
      </c>
      <c r="R166" s="288" cm="1">
        <f t="array" aca="1" ref="R166" ca="1">INDIRECT("'"&amp;$C166&amp;"'!"&amp;"$"&amp;$D166&amp;$R$1&amp;"")</f>
        <v>6.7</v>
      </c>
      <c r="S166" s="289"/>
      <c r="T166" s="289">
        <v>0.92</v>
      </c>
      <c r="U166" s="287">
        <v>2.9</v>
      </c>
      <c r="V166" s="288" cm="1">
        <f t="array" aca="1" ref="V166" ca="1">INDIRECT("'"&amp;$C166&amp;"'!"&amp;"$"&amp;$D166&amp;$V$1&amp;"")</f>
        <v>2.8</v>
      </c>
      <c r="W166" s="289">
        <f>3.8*3.47</f>
        <v>13.186</v>
      </c>
      <c r="X166" s="289">
        <v>0.92</v>
      </c>
      <c r="Y166" s="290">
        <v>1.1499999999999999</v>
      </c>
      <c r="Z166" s="286" cm="1">
        <f t="array" aca="1" ref="Z166" ca="1">INDIRECT("'"&amp;$C166&amp;"'!"&amp;"$"&amp;$D166&amp;$Z$1&amp;"")</f>
        <v>0</v>
      </c>
      <c r="AA166" s="289" t="s">
        <v>1</v>
      </c>
      <c r="AB166" s="289" t="s">
        <v>1</v>
      </c>
      <c r="AC166" s="287" t="s">
        <v>1</v>
      </c>
      <c r="AD166" s="288" cm="1">
        <f t="array" aca="1" ref="AD166" ca="1">INDIRECT("'"&amp;$C166&amp;"'!"&amp;"$"&amp;$D166&amp;$AD$1&amp;"")</f>
        <v>3.8</v>
      </c>
      <c r="AE166" s="289">
        <v>13.19</v>
      </c>
      <c r="AF166" s="289">
        <v>0.92</v>
      </c>
      <c r="AG166" s="290">
        <v>1.61</v>
      </c>
      <c r="AH166" s="286" cm="1">
        <f t="array" aca="1" ref="AH166" ca="1">INDIRECT("'"&amp;$C166&amp;"'!"&amp;"$"&amp;$D166&amp;$AH$1&amp;"")</f>
        <v>3.8</v>
      </c>
      <c r="AI166" s="289">
        <v>13.92</v>
      </c>
      <c r="AJ166" s="289">
        <v>0.96</v>
      </c>
      <c r="AK166" s="287">
        <v>1.1100000000000001</v>
      </c>
      <c r="AL166" s="286">
        <v>11.8</v>
      </c>
      <c r="AM166" s="290">
        <v>70.2</v>
      </c>
      <c r="AN166" s="286" t="str" cm="1">
        <f t="array" aca="1" ref="AN166" ca="1">INDIRECT("'"&amp;$C166&amp;"'!"&amp;"$"&amp;$D166&amp;$AL$1&amp;"")</f>
        <v>CMS</v>
      </c>
      <c r="AO166" s="289" t="s">
        <v>1</v>
      </c>
      <c r="AP166" s="287" t="s">
        <v>1</v>
      </c>
      <c r="AQ166" s="288" cm="1">
        <f t="array" aca="1" ref="AQ166" ca="1">INDIRECT("'"&amp;$C166&amp;"'!"&amp;"$"&amp;$D166&amp;$AQ$1&amp;"")</f>
        <v>4.2</v>
      </c>
      <c r="AR166" s="289">
        <v>0.96</v>
      </c>
      <c r="AS166" s="287">
        <v>1.2</v>
      </c>
      <c r="AT166" s="289" cm="1">
        <f t="array" aca="1" ref="AT166" ca="1">INDIRECT("'"&amp;$C166&amp;"'!"&amp;"$"&amp;$D166&amp;$AT$1&amp;"")</f>
        <v>6</v>
      </c>
      <c r="AU166" s="288">
        <v>13.8</v>
      </c>
      <c r="AV166" s="289">
        <v>0.96</v>
      </c>
      <c r="AW166" s="287">
        <v>1.1100000000000001</v>
      </c>
      <c r="AX166" s="291">
        <v>14.17</v>
      </c>
      <c r="AY166" s="290">
        <v>71.239999999999995</v>
      </c>
      <c r="AZ166" s="291" cm="1">
        <f t="array" aca="1" ref="AZ166" ca="1">INDIRECT("'"&amp;$C166&amp;"'!"&amp;"$"&amp;$D166&amp;$AZ$1&amp;"")</f>
        <v>14.28</v>
      </c>
      <c r="BA166" s="289">
        <v>0.98</v>
      </c>
      <c r="BB166" s="287">
        <v>3.5</v>
      </c>
      <c r="BC166" s="292">
        <v>67.599999999999994</v>
      </c>
      <c r="BD166" s="286" cm="1">
        <f t="array" aca="1" ref="BD166" ca="1">INDIRECT("'"&amp;$C166&amp;"'!"&amp;"$"&amp;$D166&amp;$BC$1&amp;"")</f>
        <v>0</v>
      </c>
      <c r="BE166" s="288" t="s">
        <v>1</v>
      </c>
      <c r="BF166" s="287" t="s">
        <v>1</v>
      </c>
      <c r="BG166" s="291" cm="1">
        <f t="array" aca="1" ref="BG166" ca="1">INDIRECT("'"&amp;$C166&amp;"'!"&amp;"$"&amp;$D166&amp;$BG$1&amp;"")</f>
        <v>1.4</v>
      </c>
      <c r="BH166" s="289"/>
      <c r="BI166" s="289">
        <v>0.99</v>
      </c>
      <c r="BJ166" s="287">
        <v>0.2</v>
      </c>
      <c r="BK166" s="292" cm="1">
        <f t="array" aca="1" ref="BK166" ca="1">INDIRECT("'"&amp;$C166&amp;"'!"&amp;"$"&amp;$D166&amp;$BK$1&amp;"")</f>
        <v>0.81</v>
      </c>
      <c r="BL166" s="289"/>
      <c r="BM166" s="289">
        <v>0.96</v>
      </c>
      <c r="BN166" s="287">
        <v>0.24</v>
      </c>
      <c r="BO166" s="292" cm="1">
        <f t="array" aca="1" ref="BO166" ca="1">INDIRECT("'"&amp;$C166&amp;"'!"&amp;"$"&amp;$D166&amp;74&amp;"")</f>
        <v>0</v>
      </c>
      <c r="BP166" s="289"/>
      <c r="BQ166" s="289" t="s">
        <v>1</v>
      </c>
      <c r="BR166" s="287" t="s">
        <v>1</v>
      </c>
    </row>
    <row r="167" spans="1:70">
      <c r="A167" s="361">
        <v>45754</v>
      </c>
      <c r="B167" s="358">
        <v>0.5</v>
      </c>
      <c r="C167" s="313">
        <f t="shared" si="5"/>
        <v>7</v>
      </c>
      <c r="D167" s="314" t="s">
        <v>139</v>
      </c>
      <c r="E167" s="293">
        <v>14.3</v>
      </c>
      <c r="F167" s="294">
        <v>69.040000000000006</v>
      </c>
      <c r="G167" s="295" cm="1">
        <f t="array" aca="1" ref="G167" ca="1">INDIRECT("'"&amp;$C167&amp;"'!"&amp;"$"&amp;$D167&amp;$E$1&amp;"")</f>
        <v>6.7</v>
      </c>
      <c r="H167" s="296">
        <v>0.93</v>
      </c>
      <c r="I167" s="294">
        <v>2.69</v>
      </c>
      <c r="J167" s="295" cm="1">
        <f t="array" aca="1" ref="J167" ca="1">INDIRECT("'"&amp;$C167&amp;"'!"&amp;"$"&amp;$D167&amp;$J$1&amp;"")</f>
        <v>6.7</v>
      </c>
      <c r="K167" s="296"/>
      <c r="L167" s="296">
        <v>0.93</v>
      </c>
      <c r="M167" s="294">
        <v>2.69</v>
      </c>
      <c r="N167" s="295" cm="1">
        <f t="array" aca="1" ref="N167" ca="1">INDIRECT("'"&amp;$C167&amp;"'!"&amp;"$"&amp;$D167&amp;$N$1&amp;"")</f>
        <v>6.7</v>
      </c>
      <c r="O167" s="296"/>
      <c r="P167" s="296">
        <v>0.93</v>
      </c>
      <c r="Q167" s="294">
        <v>2.69</v>
      </c>
      <c r="R167" s="295" cm="1">
        <f t="array" aca="1" ref="R167" ca="1">INDIRECT("'"&amp;$C167&amp;"'!"&amp;"$"&amp;$D167&amp;$R$1&amp;"")</f>
        <v>6.7</v>
      </c>
      <c r="S167" s="296"/>
      <c r="T167" s="296">
        <v>0.93</v>
      </c>
      <c r="U167" s="294">
        <v>2.69</v>
      </c>
      <c r="V167" s="295" cm="1">
        <f t="array" aca="1" ref="V167" ca="1">INDIRECT("'"&amp;$C167&amp;"'!"&amp;"$"&amp;$D167&amp;$V$1&amp;"")</f>
        <v>2.8</v>
      </c>
      <c r="W167" s="296">
        <f>3.8*3.47</f>
        <v>13.186</v>
      </c>
      <c r="X167" s="296">
        <v>0.92</v>
      </c>
      <c r="Y167" s="297">
        <v>1.1399999999999999</v>
      </c>
      <c r="Z167" s="293" cm="1">
        <f t="array" aca="1" ref="Z167" ca="1">INDIRECT("'"&amp;$C167&amp;"'!"&amp;"$"&amp;$D167&amp;$Z$1&amp;"")</f>
        <v>0</v>
      </c>
      <c r="AA167" s="296" t="s">
        <v>1</v>
      </c>
      <c r="AB167" s="296" t="s">
        <v>1</v>
      </c>
      <c r="AC167" s="294" t="s">
        <v>1</v>
      </c>
      <c r="AD167" s="295" cm="1">
        <f t="array" aca="1" ref="AD167" ca="1">INDIRECT("'"&amp;$C167&amp;"'!"&amp;"$"&amp;$D167&amp;$AD$1&amp;"")</f>
        <v>3.8</v>
      </c>
      <c r="AE167" s="296">
        <v>13.19</v>
      </c>
      <c r="AF167" s="296">
        <v>0.92</v>
      </c>
      <c r="AG167" s="297">
        <v>1.62</v>
      </c>
      <c r="AH167" s="293" cm="1">
        <f t="array" aca="1" ref="AH167" ca="1">INDIRECT("'"&amp;$C167&amp;"'!"&amp;"$"&amp;$D167&amp;$AH$1&amp;"")</f>
        <v>3.8</v>
      </c>
      <c r="AI167" s="296">
        <v>13.96</v>
      </c>
      <c r="AJ167" s="296">
        <v>0.96</v>
      </c>
      <c r="AK167" s="294">
        <v>1.08</v>
      </c>
      <c r="AL167" s="293">
        <v>11.8</v>
      </c>
      <c r="AM167" s="297">
        <v>70.3</v>
      </c>
      <c r="AN167" s="293" t="str" cm="1">
        <f t="array" aca="1" ref="AN167" ca="1">INDIRECT("'"&amp;$C167&amp;"'!"&amp;"$"&amp;$D167&amp;$AL$1&amp;"")</f>
        <v>CMS</v>
      </c>
      <c r="AO167" s="296" t="s">
        <v>1</v>
      </c>
      <c r="AP167" s="294" t="s">
        <v>1</v>
      </c>
      <c r="AQ167" s="295" cm="1">
        <f t="array" aca="1" ref="AQ167" ca="1">INDIRECT("'"&amp;$C167&amp;"'!"&amp;"$"&amp;$D167&amp;$AQ$1&amp;"")</f>
        <v>4.2</v>
      </c>
      <c r="AR167" s="296">
        <v>0.96</v>
      </c>
      <c r="AS167" s="294">
        <v>1.2</v>
      </c>
      <c r="AT167" s="296" cm="1">
        <f t="array" aca="1" ref="AT167" ca="1">INDIRECT("'"&amp;$C167&amp;"'!"&amp;"$"&amp;$D167&amp;$AT$1&amp;"")</f>
        <v>6</v>
      </c>
      <c r="AU167" s="295">
        <v>13.8</v>
      </c>
      <c r="AV167" s="296">
        <v>0.97</v>
      </c>
      <c r="AW167" s="294">
        <v>1.56</v>
      </c>
      <c r="AX167" s="298">
        <v>14.21</v>
      </c>
      <c r="AY167" s="297">
        <v>71.33</v>
      </c>
      <c r="AZ167" s="298" cm="1">
        <f t="array" aca="1" ref="AZ167" ca="1">INDIRECT("'"&amp;$C167&amp;"'!"&amp;"$"&amp;$D167&amp;$AZ$1&amp;"")</f>
        <v>14.3</v>
      </c>
      <c r="BA167" s="296">
        <v>0.98</v>
      </c>
      <c r="BB167" s="294">
        <v>3.5</v>
      </c>
      <c r="BC167" s="299">
        <v>67.599999999999994</v>
      </c>
      <c r="BD167" s="293" cm="1">
        <f t="array" aca="1" ref="BD167" ca="1">INDIRECT("'"&amp;$C167&amp;"'!"&amp;"$"&amp;$D167&amp;$BC$1&amp;"")</f>
        <v>0.7</v>
      </c>
      <c r="BE167" s="295">
        <v>0.95</v>
      </c>
      <c r="BF167" s="294">
        <v>0.27</v>
      </c>
      <c r="BG167" s="298" cm="1">
        <f t="array" aca="1" ref="BG167" ca="1">INDIRECT("'"&amp;$C167&amp;"'!"&amp;"$"&amp;$D167&amp;$BG$1&amp;"")</f>
        <v>1.44</v>
      </c>
      <c r="BH167" s="296"/>
      <c r="BI167" s="296">
        <v>0.99</v>
      </c>
      <c r="BJ167" s="294">
        <v>0.19</v>
      </c>
      <c r="BK167" s="299" cm="1">
        <f t="array" aca="1" ref="BK167" ca="1">INDIRECT("'"&amp;$C167&amp;"'!"&amp;"$"&amp;$D167&amp;$BK$1&amp;"")</f>
        <v>0.82</v>
      </c>
      <c r="BL167" s="296"/>
      <c r="BM167" s="296">
        <v>0.95</v>
      </c>
      <c r="BN167" s="294">
        <v>0.25</v>
      </c>
      <c r="BO167" s="299" cm="1">
        <f t="array" aca="1" ref="BO167" ca="1">INDIRECT("'"&amp;$C167&amp;"'!"&amp;"$"&amp;$D167&amp;74&amp;"")</f>
        <v>0</v>
      </c>
      <c r="BP167" s="296"/>
      <c r="BQ167" s="296" t="s">
        <v>1</v>
      </c>
      <c r="BR167" s="294" t="s">
        <v>1</v>
      </c>
    </row>
    <row r="168" spans="1:70">
      <c r="A168" s="361">
        <v>45754</v>
      </c>
      <c r="B168" s="358">
        <v>0.54166666666666696</v>
      </c>
      <c r="C168" s="313">
        <f t="shared" si="5"/>
        <v>7</v>
      </c>
      <c r="D168" s="314" t="s">
        <v>140</v>
      </c>
      <c r="E168" s="286">
        <v>14.2</v>
      </c>
      <c r="F168" s="287">
        <v>68.86</v>
      </c>
      <c r="G168" s="288" cm="1">
        <f t="array" aca="1" ref="G168" ca="1">INDIRECT("'"&amp;$C168&amp;"'!"&amp;"$"&amp;$D168&amp;$E$1&amp;"")</f>
        <v>6.7</v>
      </c>
      <c r="H168" s="289">
        <v>0.93</v>
      </c>
      <c r="I168" s="287">
        <v>2.68</v>
      </c>
      <c r="J168" s="288" cm="1">
        <f t="array" aca="1" ref="J168" ca="1">INDIRECT("'"&amp;$C168&amp;"'!"&amp;"$"&amp;$D168&amp;$J$1&amp;"")</f>
        <v>6.7</v>
      </c>
      <c r="K168" s="289"/>
      <c r="L168" s="289">
        <v>0.93</v>
      </c>
      <c r="M168" s="287">
        <v>2.68</v>
      </c>
      <c r="N168" s="288" cm="1">
        <f t="array" aca="1" ref="N168" ca="1">INDIRECT("'"&amp;$C168&amp;"'!"&amp;"$"&amp;$D168&amp;$N$1&amp;"")</f>
        <v>6.7</v>
      </c>
      <c r="O168" s="289"/>
      <c r="P168" s="289">
        <v>0.93</v>
      </c>
      <c r="Q168" s="287">
        <v>2.68</v>
      </c>
      <c r="R168" s="288" cm="1">
        <f t="array" aca="1" ref="R168" ca="1">INDIRECT("'"&amp;$C168&amp;"'!"&amp;"$"&amp;$D168&amp;$R$1&amp;"")</f>
        <v>6.7</v>
      </c>
      <c r="S168" s="289"/>
      <c r="T168" s="289">
        <v>0.93</v>
      </c>
      <c r="U168" s="287">
        <v>2.68</v>
      </c>
      <c r="V168" s="288" cm="1">
        <f t="array" aca="1" ref="V168" ca="1">INDIRECT("'"&amp;$C168&amp;"'!"&amp;"$"&amp;$D168&amp;$V$1&amp;"")</f>
        <v>2</v>
      </c>
      <c r="W168" s="289">
        <f>3.8*3.47</f>
        <v>13.186</v>
      </c>
      <c r="X168" s="289">
        <v>0.93</v>
      </c>
      <c r="Y168" s="290">
        <v>0.84</v>
      </c>
      <c r="Z168" s="286" cm="1">
        <f t="array" aca="1" ref="Z168" ca="1">INDIRECT("'"&amp;$C168&amp;"'!"&amp;"$"&amp;$D168&amp;$Z$1&amp;"")</f>
        <v>0</v>
      </c>
      <c r="AA168" s="289" t="s">
        <v>1</v>
      </c>
      <c r="AB168" s="289" t="s">
        <v>1</v>
      </c>
      <c r="AC168" s="287" t="s">
        <v>1</v>
      </c>
      <c r="AD168" s="288" cm="1">
        <f t="array" aca="1" ref="AD168" ca="1">INDIRECT("'"&amp;$C168&amp;"'!"&amp;"$"&amp;$D168&amp;$AD$1&amp;"")</f>
        <v>3</v>
      </c>
      <c r="AE168" s="289">
        <v>13.19</v>
      </c>
      <c r="AF168" s="289">
        <v>0.92</v>
      </c>
      <c r="AG168" s="290">
        <v>1.55</v>
      </c>
      <c r="AH168" s="286" cm="1">
        <f t="array" aca="1" ref="AH168" ca="1">INDIRECT("'"&amp;$C168&amp;"'!"&amp;"$"&amp;$D168&amp;$AH$1&amp;"")</f>
        <v>3.8</v>
      </c>
      <c r="AI168" s="289">
        <v>13.96</v>
      </c>
      <c r="AJ168" s="289">
        <v>0.98</v>
      </c>
      <c r="AK168" s="287">
        <v>0.64900000000000002</v>
      </c>
      <c r="AL168" s="286">
        <v>11.8</v>
      </c>
      <c r="AM168" s="290">
        <v>70.2</v>
      </c>
      <c r="AN168" s="286" t="str" cm="1">
        <f t="array" aca="1" ref="AN168" ca="1">INDIRECT("'"&amp;$C168&amp;"'!"&amp;"$"&amp;$D168&amp;$AL$1&amp;"")</f>
        <v>CMS</v>
      </c>
      <c r="AO168" s="289" t="s">
        <v>1</v>
      </c>
      <c r="AP168" s="287" t="s">
        <v>1</v>
      </c>
      <c r="AQ168" s="288" cm="1">
        <f t="array" aca="1" ref="AQ168" ca="1">INDIRECT("'"&amp;$C168&amp;"'!"&amp;"$"&amp;$D168&amp;$AQ$1&amp;"")</f>
        <v>4.0999999999999996</v>
      </c>
      <c r="AR168" s="289">
        <v>0.96</v>
      </c>
      <c r="AS168" s="287">
        <v>1.3</v>
      </c>
      <c r="AT168" s="289" cm="1">
        <f t="array" aca="1" ref="AT168" ca="1">INDIRECT("'"&amp;$C168&amp;"'!"&amp;"$"&amp;$D168&amp;$AT$1&amp;"")</f>
        <v>5.2</v>
      </c>
      <c r="AU168" s="288">
        <v>13.8</v>
      </c>
      <c r="AV168" s="289">
        <v>0.95</v>
      </c>
      <c r="AW168" s="287">
        <v>1.67</v>
      </c>
      <c r="AX168" s="291">
        <v>14.24</v>
      </c>
      <c r="AY168" s="290">
        <v>71.52</v>
      </c>
      <c r="AZ168" s="291" cm="1">
        <f t="array" aca="1" ref="AZ168" ca="1">INDIRECT("'"&amp;$C168&amp;"'!"&amp;"$"&amp;$D168&amp;$AZ$1&amp;"")</f>
        <v>14.29</v>
      </c>
      <c r="BA168" s="289">
        <v>0.98</v>
      </c>
      <c r="BB168" s="287">
        <v>3.5</v>
      </c>
      <c r="BC168" s="292">
        <v>67.400000000000006</v>
      </c>
      <c r="BD168" s="286" cm="1">
        <f t="array" aca="1" ref="BD168" ca="1">INDIRECT("'"&amp;$C168&amp;"'!"&amp;"$"&amp;$D168&amp;$BC$1&amp;"")</f>
        <v>0</v>
      </c>
      <c r="BE168" s="288" t="s">
        <v>1</v>
      </c>
      <c r="BF168" s="287" t="s">
        <v>1</v>
      </c>
      <c r="BG168" s="291" cm="1">
        <f t="array" aca="1" ref="BG168" ca="1">INDIRECT("'"&amp;$C168&amp;"'!"&amp;"$"&amp;$D168&amp;$BG$1&amp;"")</f>
        <v>1.43</v>
      </c>
      <c r="BH168" s="289"/>
      <c r="BI168" s="289">
        <v>0.99</v>
      </c>
      <c r="BJ168" s="287">
        <v>0.18</v>
      </c>
      <c r="BK168" s="292" cm="1">
        <f t="array" aca="1" ref="BK168" ca="1">INDIRECT("'"&amp;$C168&amp;"'!"&amp;"$"&amp;$D168&amp;$BK$1&amp;"")</f>
        <v>0.83</v>
      </c>
      <c r="BL168" s="289"/>
      <c r="BM168" s="289">
        <v>0.96</v>
      </c>
      <c r="BN168" s="287">
        <v>0.25</v>
      </c>
      <c r="BO168" s="292" cm="1">
        <f t="array" aca="1" ref="BO168" ca="1">INDIRECT("'"&amp;$C168&amp;"'!"&amp;"$"&amp;$D168&amp;74&amp;"")</f>
        <v>0</v>
      </c>
      <c r="BP168" s="289"/>
      <c r="BQ168" s="289" t="s">
        <v>1</v>
      </c>
      <c r="BR168" s="287" t="s">
        <v>1</v>
      </c>
    </row>
    <row r="169" spans="1:70">
      <c r="A169" s="361">
        <v>45754</v>
      </c>
      <c r="B169" s="358">
        <v>0.58333333333333404</v>
      </c>
      <c r="C169" s="313">
        <f t="shared" si="5"/>
        <v>7</v>
      </c>
      <c r="D169" s="314" t="s">
        <v>141</v>
      </c>
      <c r="E169" s="293">
        <v>14.3</v>
      </c>
      <c r="F169" s="294">
        <v>69.260000000000005</v>
      </c>
      <c r="G169" s="295" cm="1">
        <f t="array" aca="1" ref="G169" ca="1">INDIRECT("'"&amp;$C169&amp;"'!"&amp;"$"&amp;$D169&amp;$E$1&amp;"")</f>
        <v>6.6</v>
      </c>
      <c r="H169" s="296">
        <v>0.93</v>
      </c>
      <c r="I169" s="294">
        <v>2.69</v>
      </c>
      <c r="J169" s="295" cm="1">
        <f t="array" aca="1" ref="J169" ca="1">INDIRECT("'"&amp;$C169&amp;"'!"&amp;"$"&amp;$D169&amp;$J$1&amp;"")</f>
        <v>6.6</v>
      </c>
      <c r="K169" s="296"/>
      <c r="L169" s="296">
        <v>0.93</v>
      </c>
      <c r="M169" s="294">
        <v>2.69</v>
      </c>
      <c r="N169" s="295" cm="1">
        <f t="array" aca="1" ref="N169" ca="1">INDIRECT("'"&amp;$C169&amp;"'!"&amp;"$"&amp;$D169&amp;$N$1&amp;"")</f>
        <v>6.6</v>
      </c>
      <c r="O169" s="296"/>
      <c r="P169" s="296">
        <v>0.93</v>
      </c>
      <c r="Q169" s="294">
        <v>2.69</v>
      </c>
      <c r="R169" s="295" cm="1">
        <f t="array" aca="1" ref="R169" ca="1">INDIRECT("'"&amp;$C169&amp;"'!"&amp;"$"&amp;$D169&amp;$R$1&amp;"")</f>
        <v>6.6</v>
      </c>
      <c r="S169" s="296"/>
      <c r="T169" s="296">
        <v>0.93</v>
      </c>
      <c r="U169" s="294">
        <v>2.69</v>
      </c>
      <c r="V169" s="295" cm="1">
        <f t="array" aca="1" ref="V169" ca="1">INDIRECT("'"&amp;$C169&amp;"'!"&amp;"$"&amp;$D169&amp;$V$1&amp;"")</f>
        <v>2.5</v>
      </c>
      <c r="W169" s="296">
        <f>3.46*3.8</f>
        <v>13.148</v>
      </c>
      <c r="X169" s="296">
        <v>0.92</v>
      </c>
      <c r="Y169" s="297">
        <v>1.1000000000000001</v>
      </c>
      <c r="Z169" s="293" cm="1">
        <f t="array" aca="1" ref="Z169" ca="1">INDIRECT("'"&amp;$C169&amp;"'!"&amp;"$"&amp;$D169&amp;$Z$1&amp;"")</f>
        <v>0</v>
      </c>
      <c r="AA169" s="296" t="s">
        <v>1</v>
      </c>
      <c r="AB169" s="296" t="s">
        <v>1</v>
      </c>
      <c r="AC169" s="294" t="s">
        <v>1</v>
      </c>
      <c r="AD169" s="295" cm="1">
        <f t="array" aca="1" ref="AD169" ca="1">INDIRECT("'"&amp;$C169&amp;"'!"&amp;"$"&amp;$D169&amp;$AD$1&amp;"")</f>
        <v>3.5</v>
      </c>
      <c r="AE169" s="296">
        <f>3.46*3.8</f>
        <v>13.148</v>
      </c>
      <c r="AF169" s="296">
        <v>0.92</v>
      </c>
      <c r="AG169" s="297">
        <v>1.7</v>
      </c>
      <c r="AH169" s="293" cm="1">
        <f t="array" aca="1" ref="AH169" ca="1">INDIRECT("'"&amp;$C169&amp;"'!"&amp;"$"&amp;$D169&amp;$AH$1&amp;"")</f>
        <v>3</v>
      </c>
      <c r="AI169" s="296">
        <v>13.8</v>
      </c>
      <c r="AJ169" s="296">
        <v>0.98</v>
      </c>
      <c r="AK169" s="294">
        <v>0.73499999999999999</v>
      </c>
      <c r="AL169" s="293">
        <v>11.8</v>
      </c>
      <c r="AM169" s="297">
        <v>70.2</v>
      </c>
      <c r="AN169" s="293" t="str" cm="1">
        <f t="array" aca="1" ref="AN169" ca="1">INDIRECT("'"&amp;$C169&amp;"'!"&amp;"$"&amp;$D169&amp;$AL$1&amp;"")</f>
        <v>CMS</v>
      </c>
      <c r="AO169" s="296" t="s">
        <v>1</v>
      </c>
      <c r="AP169" s="294" t="s">
        <v>1</v>
      </c>
      <c r="AQ169" s="295" cm="1">
        <f t="array" aca="1" ref="AQ169" ca="1">INDIRECT("'"&amp;$C169&amp;"'!"&amp;"$"&amp;$D169&amp;$AQ$1&amp;"")</f>
        <v>4.0999999999999996</v>
      </c>
      <c r="AR169" s="296">
        <v>0.96</v>
      </c>
      <c r="AS169" s="294">
        <v>1.27</v>
      </c>
      <c r="AT169" s="296" cm="1">
        <f t="array" aca="1" ref="AT169" ca="1">INDIRECT("'"&amp;$C169&amp;"'!"&amp;"$"&amp;$D169&amp;$AT$1&amp;"")</f>
        <v>5.2</v>
      </c>
      <c r="AU169" s="295">
        <v>13.8</v>
      </c>
      <c r="AV169" s="296">
        <v>0.95</v>
      </c>
      <c r="AW169" s="294">
        <v>1.66</v>
      </c>
      <c r="AX169" s="298">
        <v>14.21</v>
      </c>
      <c r="AY169" s="297">
        <v>71.489999999999995</v>
      </c>
      <c r="AZ169" s="298" cm="1">
        <f t="array" aca="1" ref="AZ169" ca="1">INDIRECT("'"&amp;$C169&amp;"'!"&amp;"$"&amp;$D169&amp;$AZ$1&amp;"")</f>
        <v>14.27</v>
      </c>
      <c r="BA169" s="296">
        <v>0.98</v>
      </c>
      <c r="BB169" s="294">
        <v>3.5</v>
      </c>
      <c r="BC169" s="299">
        <v>67.400000000000006</v>
      </c>
      <c r="BD169" s="293" cm="1">
        <f t="array" aca="1" ref="BD169" ca="1">INDIRECT("'"&amp;$C169&amp;"'!"&amp;"$"&amp;$D169&amp;$BC$1&amp;"")</f>
        <v>0</v>
      </c>
      <c r="BE169" s="295" t="s">
        <v>1</v>
      </c>
      <c r="BF169" s="294" t="s">
        <v>1</v>
      </c>
      <c r="BG169" s="298" cm="1">
        <f t="array" aca="1" ref="BG169" ca="1">INDIRECT("'"&amp;$C169&amp;"'!"&amp;"$"&amp;$D169&amp;$BG$1&amp;"")</f>
        <v>1.23</v>
      </c>
      <c r="BH169" s="296"/>
      <c r="BI169" s="296">
        <v>0.99</v>
      </c>
      <c r="BJ169" s="294">
        <v>0.17</v>
      </c>
      <c r="BK169" s="299" cm="1">
        <f t="array" aca="1" ref="BK169" ca="1">INDIRECT("'"&amp;$C169&amp;"'!"&amp;"$"&amp;$D169&amp;$BK$1&amp;"")</f>
        <v>0.86</v>
      </c>
      <c r="BL169" s="296"/>
      <c r="BM169" s="296">
        <v>0.95</v>
      </c>
      <c r="BN169" s="294">
        <v>0.26</v>
      </c>
      <c r="BO169" s="299" cm="1">
        <f t="array" aca="1" ref="BO169" ca="1">INDIRECT("'"&amp;$C169&amp;"'!"&amp;"$"&amp;$D169&amp;74&amp;"")</f>
        <v>0</v>
      </c>
      <c r="BP169" s="296"/>
      <c r="BQ169" s="296" t="s">
        <v>1</v>
      </c>
      <c r="BR169" s="294" t="s">
        <v>1</v>
      </c>
    </row>
    <row r="170" spans="1:70">
      <c r="A170" s="361">
        <v>45754</v>
      </c>
      <c r="B170" s="358">
        <v>0.625</v>
      </c>
      <c r="C170" s="313">
        <f t="shared" si="5"/>
        <v>7</v>
      </c>
      <c r="D170" s="314" t="s">
        <v>142</v>
      </c>
      <c r="E170" s="286">
        <v>14.3</v>
      </c>
      <c r="F170" s="287">
        <v>69.09</v>
      </c>
      <c r="G170" s="288" cm="1">
        <f t="array" aca="1" ref="G170" ca="1">INDIRECT("'"&amp;$C170&amp;"'!"&amp;"$"&amp;$D170&amp;$E$1&amp;"")</f>
        <v>6.5</v>
      </c>
      <c r="H170" s="289">
        <v>0.93</v>
      </c>
      <c r="I170" s="287">
        <v>2.5299999999999998</v>
      </c>
      <c r="J170" s="288" cm="1">
        <f t="array" aca="1" ref="J170" ca="1">INDIRECT("'"&amp;$C170&amp;"'!"&amp;"$"&amp;$D170&amp;$J$1&amp;"")</f>
        <v>6.5</v>
      </c>
      <c r="K170" s="289"/>
      <c r="L170" s="289">
        <v>0.93</v>
      </c>
      <c r="M170" s="287">
        <v>2.5299999999999998</v>
      </c>
      <c r="N170" s="288" cm="1">
        <f t="array" aca="1" ref="N170" ca="1">INDIRECT("'"&amp;$C170&amp;"'!"&amp;"$"&amp;$D170&amp;$N$1&amp;"")</f>
        <v>6.5</v>
      </c>
      <c r="O170" s="289"/>
      <c r="P170" s="289">
        <v>0.93</v>
      </c>
      <c r="Q170" s="287">
        <v>2.5299999999999998</v>
      </c>
      <c r="R170" s="288" cm="1">
        <f t="array" aca="1" ref="R170" ca="1">INDIRECT("'"&amp;$C170&amp;"'!"&amp;"$"&amp;$D170&amp;$R$1&amp;"")</f>
        <v>6.5</v>
      </c>
      <c r="S170" s="289"/>
      <c r="T170" s="289">
        <v>0.93</v>
      </c>
      <c r="U170" s="287">
        <v>2.5299999999999998</v>
      </c>
      <c r="V170" s="288" cm="1">
        <f t="array" aca="1" ref="V170" ca="1">INDIRECT("'"&amp;$C170&amp;"'!"&amp;"$"&amp;$D170&amp;$V$1&amp;"")</f>
        <v>2.5</v>
      </c>
      <c r="W170" s="289">
        <v>13.148</v>
      </c>
      <c r="X170" s="289">
        <v>0.92</v>
      </c>
      <c r="Y170" s="290">
        <v>1</v>
      </c>
      <c r="Z170" s="286" cm="1">
        <f t="array" aca="1" ref="Z170" ca="1">INDIRECT("'"&amp;$C170&amp;"'!"&amp;"$"&amp;$D170&amp;$Z$1&amp;"")</f>
        <v>0</v>
      </c>
      <c r="AA170" s="289" t="s">
        <v>1</v>
      </c>
      <c r="AB170" s="289" t="s">
        <v>1</v>
      </c>
      <c r="AC170" s="287" t="s">
        <v>1</v>
      </c>
      <c r="AD170" s="288" cm="1">
        <f t="array" aca="1" ref="AD170" ca="1">INDIRECT("'"&amp;$C170&amp;"'!"&amp;"$"&amp;$D170&amp;$AD$1&amp;"")</f>
        <v>3.5</v>
      </c>
      <c r="AE170" s="289">
        <v>13.186</v>
      </c>
      <c r="AF170" s="289">
        <v>0.92</v>
      </c>
      <c r="AG170" s="290">
        <v>1.56</v>
      </c>
      <c r="AH170" s="286" cm="1">
        <f t="array" aca="1" ref="AH170" ca="1">INDIRECT("'"&amp;$C170&amp;"'!"&amp;"$"&amp;$D170&amp;$AH$1&amp;"")</f>
        <v>3</v>
      </c>
      <c r="AI170" s="289">
        <v>14</v>
      </c>
      <c r="AJ170" s="289">
        <v>0.98</v>
      </c>
      <c r="AK170" s="287">
        <v>0.55200000000000005</v>
      </c>
      <c r="AL170" s="286">
        <v>11.8</v>
      </c>
      <c r="AM170" s="290">
        <v>70.3</v>
      </c>
      <c r="AN170" s="286" t="str" cm="1">
        <f t="array" aca="1" ref="AN170" ca="1">INDIRECT("'"&amp;$C170&amp;"'!"&amp;"$"&amp;$D170&amp;$AL$1&amp;"")</f>
        <v>CMS</v>
      </c>
      <c r="AO170" s="289" t="s">
        <v>1</v>
      </c>
      <c r="AP170" s="287" t="s">
        <v>1</v>
      </c>
      <c r="AQ170" s="288" cm="1">
        <f t="array" aca="1" ref="AQ170" ca="1">INDIRECT("'"&amp;$C170&amp;"'!"&amp;"$"&amp;$D170&amp;$AQ$1&amp;"")</f>
        <v>4</v>
      </c>
      <c r="AR170" s="289">
        <v>0.95</v>
      </c>
      <c r="AS170" s="287">
        <v>1.1000000000000001</v>
      </c>
      <c r="AT170" s="289" cm="1">
        <f t="array" aca="1" ref="AT170" ca="1">INDIRECT("'"&amp;$C170&amp;"'!"&amp;"$"&amp;$D170&amp;$AT$1&amp;"")</f>
        <v>4.0999999999999996</v>
      </c>
      <c r="AU170" s="288">
        <v>13.8</v>
      </c>
      <c r="AV170" s="289">
        <v>0.94</v>
      </c>
      <c r="AW170" s="287">
        <v>1.141</v>
      </c>
      <c r="AX170" s="291">
        <v>14.27</v>
      </c>
      <c r="AY170" s="290">
        <v>71.75</v>
      </c>
      <c r="AZ170" s="291" cm="1">
        <f t="array" aca="1" ref="AZ170" ca="1">INDIRECT("'"&amp;$C170&amp;"'!"&amp;"$"&amp;$D170&amp;$AZ$1&amp;"")</f>
        <v>14.27</v>
      </c>
      <c r="BA170" s="289">
        <v>0.98</v>
      </c>
      <c r="BB170" s="287">
        <v>3.5</v>
      </c>
      <c r="BC170" s="292">
        <v>67.599999999999994</v>
      </c>
      <c r="BD170" s="286" cm="1">
        <f t="array" aca="1" ref="BD170" ca="1">INDIRECT("'"&amp;$C170&amp;"'!"&amp;"$"&amp;$D170&amp;$BC$1&amp;"")</f>
        <v>0</v>
      </c>
      <c r="BE170" s="288" t="s">
        <v>1</v>
      </c>
      <c r="BF170" s="287" t="s">
        <v>1</v>
      </c>
      <c r="BG170" s="291" cm="1">
        <f t="array" aca="1" ref="BG170" ca="1">INDIRECT("'"&amp;$C170&amp;"'!"&amp;"$"&amp;$D170&amp;$BG$1&amp;"")</f>
        <v>1.21</v>
      </c>
      <c r="BH170" s="289"/>
      <c r="BI170" s="289">
        <v>0.99</v>
      </c>
      <c r="BJ170" s="287">
        <v>0.15</v>
      </c>
      <c r="BK170" s="292" cm="1">
        <f t="array" aca="1" ref="BK170" ca="1">INDIRECT("'"&amp;$C170&amp;"'!"&amp;"$"&amp;$D170&amp;$BK$1&amp;"")</f>
        <v>0.84</v>
      </c>
      <c r="BL170" s="289"/>
      <c r="BM170" s="289">
        <v>0.95</v>
      </c>
      <c r="BN170" s="287">
        <v>0.26</v>
      </c>
      <c r="BO170" s="292" cm="1">
        <f t="array" aca="1" ref="BO170" ca="1">INDIRECT("'"&amp;$C170&amp;"'!"&amp;"$"&amp;$D170&amp;74&amp;"")</f>
        <v>0</v>
      </c>
      <c r="BP170" s="289"/>
      <c r="BQ170" s="289" t="s">
        <v>1</v>
      </c>
      <c r="BR170" s="287" t="s">
        <v>1</v>
      </c>
    </row>
    <row r="171" spans="1:70">
      <c r="A171" s="361">
        <v>45754</v>
      </c>
      <c r="B171" s="358">
        <v>0.66666666666666696</v>
      </c>
      <c r="C171" s="313">
        <f t="shared" si="5"/>
        <v>7</v>
      </c>
      <c r="D171" s="314" t="s">
        <v>143</v>
      </c>
      <c r="E171" s="293">
        <v>14.3</v>
      </c>
      <c r="F171" s="294">
        <v>69.099999999999994</v>
      </c>
      <c r="G171" s="295" cm="1">
        <f t="array" aca="1" ref="G171" ca="1">INDIRECT("'"&amp;$C171&amp;"'!"&amp;"$"&amp;$D171&amp;$E$1&amp;"")</f>
        <v>6.7</v>
      </c>
      <c r="H171" s="296">
        <v>0.93</v>
      </c>
      <c r="I171" s="294">
        <v>2.68</v>
      </c>
      <c r="J171" s="295" cm="1">
        <f t="array" aca="1" ref="J171" ca="1">INDIRECT("'"&amp;$C171&amp;"'!"&amp;"$"&amp;$D171&amp;$J$1&amp;"")</f>
        <v>6.7</v>
      </c>
      <c r="K171" s="296"/>
      <c r="L171" s="296">
        <v>0.93</v>
      </c>
      <c r="M171" s="294">
        <v>2.68</v>
      </c>
      <c r="N171" s="295" cm="1">
        <f t="array" aca="1" ref="N171" ca="1">INDIRECT("'"&amp;$C171&amp;"'!"&amp;"$"&amp;$D171&amp;$N$1&amp;"")</f>
        <v>6.7</v>
      </c>
      <c r="O171" s="296"/>
      <c r="P171" s="296">
        <v>0.93</v>
      </c>
      <c r="Q171" s="294">
        <v>2.68</v>
      </c>
      <c r="R171" s="295" cm="1">
        <f t="array" aca="1" ref="R171" ca="1">INDIRECT("'"&amp;$C171&amp;"'!"&amp;"$"&amp;$D171&amp;$R$1&amp;"")</f>
        <v>6.7</v>
      </c>
      <c r="S171" s="296"/>
      <c r="T171" s="296">
        <v>0.93</v>
      </c>
      <c r="U171" s="294">
        <v>2.68</v>
      </c>
      <c r="V171" s="295" cm="1">
        <f t="array" aca="1" ref="V171" ca="1">INDIRECT("'"&amp;$C171&amp;"'!"&amp;"$"&amp;$D171&amp;$V$1&amp;"")</f>
        <v>2</v>
      </c>
      <c r="W171" s="296">
        <f>3.47*3.8</f>
        <v>13.186</v>
      </c>
      <c r="X171" s="296">
        <v>0.92</v>
      </c>
      <c r="Y171" s="297">
        <v>0.88</v>
      </c>
      <c r="Z171" s="293" cm="1">
        <f t="array" aca="1" ref="Z171" ca="1">INDIRECT("'"&amp;$C171&amp;"'!"&amp;"$"&amp;$D171&amp;$Z$1&amp;"")</f>
        <v>0</v>
      </c>
      <c r="AA171" s="296" t="s">
        <v>1</v>
      </c>
      <c r="AB171" s="296" t="s">
        <v>1</v>
      </c>
      <c r="AC171" s="294" t="s">
        <v>1</v>
      </c>
      <c r="AD171" s="295" cm="1">
        <f t="array" aca="1" ref="AD171" ca="1">INDIRECT("'"&amp;$C171&amp;"'!"&amp;"$"&amp;$D171&amp;$AD$1&amp;"")</f>
        <v>3</v>
      </c>
      <c r="AE171" s="296">
        <v>13.186</v>
      </c>
      <c r="AF171" s="296">
        <v>0.92</v>
      </c>
      <c r="AG171" s="297">
        <v>1.18</v>
      </c>
      <c r="AH171" s="293" cm="1">
        <f t="array" aca="1" ref="AH171" ca="1">INDIRECT("'"&amp;$C171&amp;"'!"&amp;"$"&amp;$D171&amp;$AH$1&amp;"")</f>
        <v>3</v>
      </c>
      <c r="AI171" s="296">
        <v>13.96</v>
      </c>
      <c r="AJ171" s="296">
        <v>0.98</v>
      </c>
      <c r="AK171" s="294">
        <v>0.61399999999999999</v>
      </c>
      <c r="AL171" s="293">
        <v>11.8</v>
      </c>
      <c r="AM171" s="297">
        <v>70.3</v>
      </c>
      <c r="AN171" s="293" t="str" cm="1">
        <f t="array" aca="1" ref="AN171" ca="1">INDIRECT("'"&amp;$C171&amp;"'!"&amp;"$"&amp;$D171&amp;$AL$1&amp;"")</f>
        <v>CMS</v>
      </c>
      <c r="AO171" s="296" t="s">
        <v>1</v>
      </c>
      <c r="AP171" s="294" t="s">
        <v>1</v>
      </c>
      <c r="AQ171" s="295" cm="1">
        <f t="array" aca="1" ref="AQ171" ca="1">INDIRECT("'"&amp;$C171&amp;"'!"&amp;"$"&amp;$D171&amp;$AQ$1&amp;"")</f>
        <v>4.0999999999999996</v>
      </c>
      <c r="AR171" s="296">
        <v>0.96</v>
      </c>
      <c r="AS171" s="294">
        <v>1.2</v>
      </c>
      <c r="AT171" s="296" cm="1">
        <f t="array" aca="1" ref="AT171" ca="1">INDIRECT("'"&amp;$C171&amp;"'!"&amp;"$"&amp;$D171&amp;$AT$1&amp;"")</f>
        <v>4</v>
      </c>
      <c r="AU171" s="295">
        <v>13.8</v>
      </c>
      <c r="AV171" s="296">
        <v>0.96</v>
      </c>
      <c r="AW171" s="294">
        <v>1.141</v>
      </c>
      <c r="AX171" s="298">
        <v>14.22</v>
      </c>
      <c r="AY171" s="297">
        <v>71.510000000000005</v>
      </c>
      <c r="AZ171" s="298" cm="1">
        <f t="array" aca="1" ref="AZ171" ca="1">INDIRECT("'"&amp;$C171&amp;"'!"&amp;"$"&amp;$D171&amp;$AZ$1&amp;"")</f>
        <v>14.27</v>
      </c>
      <c r="BA171" s="296">
        <v>0.98</v>
      </c>
      <c r="BB171" s="294">
        <v>3.5</v>
      </c>
      <c r="BC171" s="299">
        <v>67.7</v>
      </c>
      <c r="BD171" s="293" cm="1">
        <f t="array" aca="1" ref="BD171" ca="1">INDIRECT("'"&amp;$C171&amp;"'!"&amp;"$"&amp;$D171&amp;$BC$1&amp;"")</f>
        <v>0</v>
      </c>
      <c r="BE171" s="295" t="s">
        <v>1</v>
      </c>
      <c r="BF171" s="294" t="s">
        <v>1</v>
      </c>
      <c r="BG171" s="298" cm="1">
        <f t="array" aca="1" ref="BG171" ca="1">INDIRECT("'"&amp;$C171&amp;"'!"&amp;"$"&amp;$D171&amp;$BG$1&amp;"")</f>
        <v>1.2</v>
      </c>
      <c r="BH171" s="296"/>
      <c r="BI171" s="296">
        <v>0.99</v>
      </c>
      <c r="BJ171" s="294">
        <v>0.15</v>
      </c>
      <c r="BK171" s="299" cm="1">
        <f t="array" aca="1" ref="BK171" ca="1">INDIRECT("'"&amp;$C171&amp;"'!"&amp;"$"&amp;$D171&amp;$BK$1&amp;"")</f>
        <v>0.8</v>
      </c>
      <c r="BL171" s="296"/>
      <c r="BM171" s="296">
        <v>0.96</v>
      </c>
      <c r="BN171" s="294">
        <v>0.24</v>
      </c>
      <c r="BO171" s="299" cm="1">
        <f t="array" aca="1" ref="BO171" ca="1">INDIRECT("'"&amp;$C171&amp;"'!"&amp;"$"&amp;$D171&amp;74&amp;"")</f>
        <v>0</v>
      </c>
      <c r="BP171" s="296"/>
      <c r="BQ171" s="296" t="s">
        <v>1</v>
      </c>
      <c r="BR171" s="294" t="s">
        <v>1</v>
      </c>
    </row>
    <row r="172" spans="1:70">
      <c r="A172" s="361">
        <v>45754</v>
      </c>
      <c r="B172" s="358">
        <v>0.70833333333333404</v>
      </c>
      <c r="C172" s="313">
        <f t="shared" si="5"/>
        <v>7</v>
      </c>
      <c r="D172" s="314" t="s">
        <v>144</v>
      </c>
      <c r="E172" s="286">
        <v>14.3</v>
      </c>
      <c r="F172" s="287">
        <v>69.78</v>
      </c>
      <c r="G172" s="288" cm="1">
        <f t="array" aca="1" ref="G172" ca="1">INDIRECT("'"&amp;$C172&amp;"'!"&amp;"$"&amp;$D172&amp;$E$1&amp;"")</f>
        <v>6.5</v>
      </c>
      <c r="H172" s="289">
        <v>0.94</v>
      </c>
      <c r="I172" s="287">
        <v>2.33</v>
      </c>
      <c r="J172" s="288" cm="1">
        <f t="array" aca="1" ref="J172" ca="1">INDIRECT("'"&amp;$C172&amp;"'!"&amp;"$"&amp;$D172&amp;$J$1&amp;"")</f>
        <v>6.5</v>
      </c>
      <c r="K172" s="289"/>
      <c r="L172" s="289">
        <v>0.94</v>
      </c>
      <c r="M172" s="287">
        <v>2.33</v>
      </c>
      <c r="N172" s="288" cm="1">
        <f t="array" aca="1" ref="N172" ca="1">INDIRECT("'"&amp;$C172&amp;"'!"&amp;"$"&amp;$D172&amp;$N$1&amp;"")</f>
        <v>6.5</v>
      </c>
      <c r="O172" s="289"/>
      <c r="P172" s="289">
        <v>0.94</v>
      </c>
      <c r="Q172" s="287">
        <v>2.33</v>
      </c>
      <c r="R172" s="288" cm="1">
        <f t="array" aca="1" ref="R172" ca="1">INDIRECT("'"&amp;$C172&amp;"'!"&amp;"$"&amp;$D172&amp;$R$1&amp;"")</f>
        <v>6.5</v>
      </c>
      <c r="S172" s="289"/>
      <c r="T172" s="289">
        <v>0.94</v>
      </c>
      <c r="U172" s="287">
        <v>2.33</v>
      </c>
      <c r="V172" s="288" cm="1">
        <f t="array" aca="1" ref="V172" ca="1">INDIRECT("'"&amp;$C172&amp;"'!"&amp;"$"&amp;$D172&amp;$V$1&amp;"")</f>
        <v>2</v>
      </c>
      <c r="W172" s="289">
        <f>3.52*3.8</f>
        <v>13.375999999999999</v>
      </c>
      <c r="X172" s="289">
        <v>0.92</v>
      </c>
      <c r="Y172" s="290">
        <v>0.86</v>
      </c>
      <c r="Z172" s="286" cm="1">
        <f t="array" aca="1" ref="Z172" ca="1">INDIRECT("'"&amp;$C172&amp;"'!"&amp;"$"&amp;$D172&amp;$Z$1&amp;"")</f>
        <v>0</v>
      </c>
      <c r="AA172" s="289" t="s">
        <v>1</v>
      </c>
      <c r="AB172" s="289" t="s">
        <v>1</v>
      </c>
      <c r="AC172" s="287" t="s">
        <v>1</v>
      </c>
      <c r="AD172" s="288" cm="1">
        <f t="array" aca="1" ref="AD172" ca="1">INDIRECT("'"&amp;$C172&amp;"'!"&amp;"$"&amp;$D172&amp;$AD$1&amp;"")</f>
        <v>3</v>
      </c>
      <c r="AE172" s="289">
        <v>13.375999999999999</v>
      </c>
      <c r="AF172" s="289">
        <v>0.92</v>
      </c>
      <c r="AG172" s="290">
        <v>1.5</v>
      </c>
      <c r="AH172" s="286" cm="1">
        <f t="array" aca="1" ref="AH172" ca="1">INDIRECT("'"&amp;$C172&amp;"'!"&amp;"$"&amp;$D172&amp;$AH$1&amp;"")</f>
        <v>3</v>
      </c>
      <c r="AI172" s="289">
        <v>14</v>
      </c>
      <c r="AJ172" s="289">
        <v>0.98</v>
      </c>
      <c r="AK172" s="287">
        <v>0.48699999999999999</v>
      </c>
      <c r="AL172" s="286">
        <v>11.8</v>
      </c>
      <c r="AM172" s="290">
        <v>70.5</v>
      </c>
      <c r="AN172" s="286" t="str" cm="1">
        <f t="array" aca="1" ref="AN172" ca="1">INDIRECT("'"&amp;$C172&amp;"'!"&amp;"$"&amp;$D172&amp;$AL$1&amp;"")</f>
        <v>CMS</v>
      </c>
      <c r="AO172" s="289" t="s">
        <v>1</v>
      </c>
      <c r="AP172" s="287" t="s">
        <v>1</v>
      </c>
      <c r="AQ172" s="288" cm="1">
        <f t="array" aca="1" ref="AQ172" ca="1">INDIRECT("'"&amp;$C172&amp;"'!"&amp;"$"&amp;$D172&amp;$AQ$1&amp;"")</f>
        <v>3.7</v>
      </c>
      <c r="AR172" s="289">
        <v>0.96</v>
      </c>
      <c r="AS172" s="287">
        <v>0.95</v>
      </c>
      <c r="AT172" s="289" cm="1">
        <f t="array" aca="1" ref="AT172" ca="1">INDIRECT("'"&amp;$C172&amp;"'!"&amp;"$"&amp;$D172&amp;$AT$1&amp;"")</f>
        <v>3.1</v>
      </c>
      <c r="AU172" s="288">
        <v>13.8</v>
      </c>
      <c r="AV172" s="289">
        <v>0.96</v>
      </c>
      <c r="AW172" s="287">
        <v>0.89</v>
      </c>
      <c r="AX172" s="291">
        <v>14.3</v>
      </c>
      <c r="AY172" s="290">
        <v>71.8</v>
      </c>
      <c r="AZ172" s="291" cm="1">
        <f t="array" aca="1" ref="AZ172" ca="1">INDIRECT("'"&amp;$C172&amp;"'!"&amp;"$"&amp;$D172&amp;$AZ$1&amp;"")</f>
        <v>14.27</v>
      </c>
      <c r="BA172" s="289">
        <v>0.98</v>
      </c>
      <c r="BB172" s="287">
        <v>3.6</v>
      </c>
      <c r="BC172" s="292">
        <v>67.8</v>
      </c>
      <c r="BD172" s="286" cm="1">
        <f t="array" aca="1" ref="BD172" ca="1">INDIRECT("'"&amp;$C172&amp;"'!"&amp;"$"&amp;$D172&amp;$BC$1&amp;"")</f>
        <v>0</v>
      </c>
      <c r="BE172" s="288" t="s">
        <v>1</v>
      </c>
      <c r="BF172" s="287" t="s">
        <v>1</v>
      </c>
      <c r="BG172" s="291" cm="1">
        <f t="array" aca="1" ref="BG172" ca="1">INDIRECT("'"&amp;$C172&amp;"'!"&amp;"$"&amp;$D172&amp;$BG$1&amp;"")</f>
        <v>1.31</v>
      </c>
      <c r="BH172" s="289"/>
      <c r="BI172" s="289">
        <v>0.99</v>
      </c>
      <c r="BJ172" s="287">
        <v>0.17</v>
      </c>
      <c r="BK172" s="292" cm="1">
        <f t="array" aca="1" ref="BK172" ca="1">INDIRECT("'"&amp;$C172&amp;"'!"&amp;"$"&amp;$D172&amp;$BK$1&amp;"")</f>
        <v>0.8</v>
      </c>
      <c r="BL172" s="289"/>
      <c r="BM172" s="289">
        <v>0.96</v>
      </c>
      <c r="BN172" s="287">
        <v>0.23</v>
      </c>
      <c r="BO172" s="292" cm="1">
        <f t="array" aca="1" ref="BO172" ca="1">INDIRECT("'"&amp;$C172&amp;"'!"&amp;"$"&amp;$D172&amp;74&amp;"")</f>
        <v>0</v>
      </c>
      <c r="BP172" s="289"/>
      <c r="BQ172" s="289" t="s">
        <v>1</v>
      </c>
      <c r="BR172" s="287" t="s">
        <v>1</v>
      </c>
    </row>
    <row r="173" spans="1:70">
      <c r="A173" s="361">
        <v>45754</v>
      </c>
      <c r="B173" s="358">
        <v>0.750000000000001</v>
      </c>
      <c r="C173" s="313">
        <f t="shared" si="5"/>
        <v>7</v>
      </c>
      <c r="D173" s="314" t="s">
        <v>145</v>
      </c>
      <c r="E173" s="293">
        <v>14.2</v>
      </c>
      <c r="F173" s="294">
        <v>70.03</v>
      </c>
      <c r="G173" s="295" cm="1">
        <f t="array" aca="1" ref="G173" ca="1">INDIRECT("'"&amp;$C173&amp;"'!"&amp;"$"&amp;$D173&amp;$E$1&amp;"")</f>
        <v>6.4</v>
      </c>
      <c r="H173" s="296">
        <v>0.95</v>
      </c>
      <c r="I173" s="294">
        <v>2.1</v>
      </c>
      <c r="J173" s="295" cm="1">
        <f t="array" aca="1" ref="J173" ca="1">INDIRECT("'"&amp;$C173&amp;"'!"&amp;"$"&amp;$D173&amp;$J$1&amp;"")</f>
        <v>6.4</v>
      </c>
      <c r="K173" s="296"/>
      <c r="L173" s="296">
        <v>0.95</v>
      </c>
      <c r="M173" s="294">
        <v>2.1</v>
      </c>
      <c r="N173" s="295" cm="1">
        <f t="array" aca="1" ref="N173" ca="1">INDIRECT("'"&amp;$C173&amp;"'!"&amp;"$"&amp;$D173&amp;$N$1&amp;"")</f>
        <v>6.4</v>
      </c>
      <c r="O173" s="296"/>
      <c r="P173" s="296">
        <v>0.95</v>
      </c>
      <c r="Q173" s="294">
        <v>2.1</v>
      </c>
      <c r="R173" s="295" cm="1">
        <f t="array" aca="1" ref="R173" ca="1">INDIRECT("'"&amp;$C173&amp;"'!"&amp;"$"&amp;$D173&amp;$R$1&amp;"")</f>
        <v>6.4</v>
      </c>
      <c r="S173" s="296"/>
      <c r="T173" s="296">
        <v>0.95</v>
      </c>
      <c r="U173" s="294">
        <v>2.1</v>
      </c>
      <c r="V173" s="295" cm="1">
        <f t="array" aca="1" ref="V173" ca="1">INDIRECT("'"&amp;$C173&amp;"'!"&amp;"$"&amp;$D173&amp;$V$1&amp;"")</f>
        <v>2.5</v>
      </c>
      <c r="W173" s="296">
        <f>3.54*3.8</f>
        <v>13.452</v>
      </c>
      <c r="X173" s="296">
        <v>0.92</v>
      </c>
      <c r="Y173" s="297">
        <v>0.77</v>
      </c>
      <c r="Z173" s="293" cm="1">
        <f t="array" aca="1" ref="Z173" ca="1">INDIRECT("'"&amp;$C173&amp;"'!"&amp;"$"&amp;$D173&amp;$Z$1&amp;"")</f>
        <v>0</v>
      </c>
      <c r="AA173" s="296" t="s">
        <v>1</v>
      </c>
      <c r="AB173" s="296" t="s">
        <v>1</v>
      </c>
      <c r="AC173" s="294" t="s">
        <v>1</v>
      </c>
      <c r="AD173" s="295" cm="1">
        <f t="array" aca="1" ref="AD173" ca="1">INDIRECT("'"&amp;$C173&amp;"'!"&amp;"$"&amp;$D173&amp;$AD$1&amp;"")</f>
        <v>3</v>
      </c>
      <c r="AE173" s="296">
        <v>13.452</v>
      </c>
      <c r="AF173" s="296">
        <v>0.92</v>
      </c>
      <c r="AG173" s="297">
        <v>0.94</v>
      </c>
      <c r="AH173" s="293" cm="1">
        <f t="array" aca="1" ref="AH173" ca="1">INDIRECT("'"&amp;$C173&amp;"'!"&amp;"$"&amp;$D173&amp;$AH$1&amp;"")</f>
        <v>3</v>
      </c>
      <c r="AI173" s="296">
        <v>14.04</v>
      </c>
      <c r="AJ173" s="296">
        <v>0.99</v>
      </c>
      <c r="AK173" s="294">
        <v>0.13700000000000001</v>
      </c>
      <c r="AL173" s="293">
        <v>11.8</v>
      </c>
      <c r="AM173" s="297">
        <v>70.599999999999994</v>
      </c>
      <c r="AN173" s="293" t="str" cm="1">
        <f t="array" aca="1" ref="AN173" ca="1">INDIRECT("'"&amp;$C173&amp;"'!"&amp;"$"&amp;$D173&amp;$AL$1&amp;"")</f>
        <v>CMS</v>
      </c>
      <c r="AO173" s="296" t="s">
        <v>1</v>
      </c>
      <c r="AP173" s="294" t="s">
        <v>1</v>
      </c>
      <c r="AQ173" s="295" cm="1">
        <f t="array" aca="1" ref="AQ173" ca="1">INDIRECT("'"&amp;$C173&amp;"'!"&amp;"$"&amp;$D173&amp;$AQ$1&amp;"")</f>
        <v>4</v>
      </c>
      <c r="AR173" s="296">
        <v>0.95</v>
      </c>
      <c r="AS173" s="294">
        <v>1.25</v>
      </c>
      <c r="AT173" s="296" cm="1">
        <f t="array" aca="1" ref="AT173" ca="1">INDIRECT("'"&amp;$C173&amp;"'!"&amp;"$"&amp;$D173&amp;$AT$1&amp;"")</f>
        <v>0</v>
      </c>
      <c r="AU173" s="295" t="s">
        <v>1</v>
      </c>
      <c r="AV173" s="296" t="s">
        <v>1</v>
      </c>
      <c r="AW173" s="294" t="s">
        <v>1</v>
      </c>
      <c r="AX173" s="298">
        <v>14.15</v>
      </c>
      <c r="AY173" s="297">
        <v>71.650000000000006</v>
      </c>
      <c r="AZ173" s="298" cm="1">
        <f t="array" aca="1" ref="AZ173" ca="1">INDIRECT("'"&amp;$C173&amp;"'!"&amp;"$"&amp;$D173&amp;$AZ$1&amp;"")</f>
        <v>14.26</v>
      </c>
      <c r="BA173" s="296">
        <v>0.99</v>
      </c>
      <c r="BB173" s="294">
        <v>2.5</v>
      </c>
      <c r="BC173" s="299">
        <v>68.400000000000006</v>
      </c>
      <c r="BD173" s="293" cm="1">
        <f t="array" aca="1" ref="BD173" ca="1">INDIRECT("'"&amp;$C173&amp;"'!"&amp;"$"&amp;$D173&amp;$BC$1&amp;"")</f>
        <v>0</v>
      </c>
      <c r="BE173" s="295" t="s">
        <v>1</v>
      </c>
      <c r="BF173" s="294" t="s">
        <v>1</v>
      </c>
      <c r="BG173" s="298" cm="1">
        <f t="array" aca="1" ref="BG173" ca="1">INDIRECT("'"&amp;$C173&amp;"'!"&amp;"$"&amp;$D173&amp;$BG$1&amp;"")</f>
        <v>1.26</v>
      </c>
      <c r="BH173" s="296"/>
      <c r="BI173" s="296">
        <v>0.88</v>
      </c>
      <c r="BJ173" s="294">
        <v>0.16</v>
      </c>
      <c r="BK173" s="299" cm="1">
        <f t="array" aca="1" ref="BK173" ca="1">INDIRECT("'"&amp;$C173&amp;"'!"&amp;"$"&amp;$D173&amp;$BK$1&amp;"")</f>
        <v>0.8</v>
      </c>
      <c r="BL173" s="296"/>
      <c r="BM173" s="296">
        <v>0.96</v>
      </c>
      <c r="BN173" s="294">
        <v>0.23</v>
      </c>
      <c r="BO173" s="299" cm="1">
        <f t="array" aca="1" ref="BO173" ca="1">INDIRECT("'"&amp;$C173&amp;"'!"&amp;"$"&amp;$D173&amp;74&amp;"")</f>
        <v>0</v>
      </c>
      <c r="BP173" s="296"/>
      <c r="BQ173" s="296" t="s">
        <v>1</v>
      </c>
      <c r="BR173" s="294" t="s">
        <v>1</v>
      </c>
    </row>
    <row r="174" spans="1:70">
      <c r="A174" s="361">
        <v>45754</v>
      </c>
      <c r="B174" s="358">
        <v>0.79166666666666696</v>
      </c>
      <c r="C174" s="313">
        <f t="shared" si="5"/>
        <v>7</v>
      </c>
      <c r="D174" s="314" t="s">
        <v>146</v>
      </c>
      <c r="E174" s="286">
        <v>14.2</v>
      </c>
      <c r="F174" s="287">
        <v>70.5</v>
      </c>
      <c r="G174" s="288" cm="1">
        <f t="array" aca="1" ref="G174" ca="1">INDIRECT("'"&amp;$C174&amp;"'!"&amp;"$"&amp;$D174&amp;$E$1&amp;"")</f>
        <v>6.7</v>
      </c>
      <c r="H174" s="289">
        <v>0.96</v>
      </c>
      <c r="I174" s="287">
        <v>1.89</v>
      </c>
      <c r="J174" s="288" cm="1">
        <f t="array" aca="1" ref="J174" ca="1">INDIRECT("'"&amp;$C174&amp;"'!"&amp;"$"&amp;$D174&amp;$J$1&amp;"")</f>
        <v>6.7</v>
      </c>
      <c r="K174" s="300"/>
      <c r="L174" s="289">
        <v>0.96</v>
      </c>
      <c r="M174" s="287">
        <v>1.89</v>
      </c>
      <c r="N174" s="288" cm="1">
        <f t="array" aca="1" ref="N174" ca="1">INDIRECT("'"&amp;$C174&amp;"'!"&amp;"$"&amp;$D174&amp;$N$1&amp;"")</f>
        <v>6.7</v>
      </c>
      <c r="O174" s="289"/>
      <c r="P174" s="289">
        <v>0.96</v>
      </c>
      <c r="Q174" s="287">
        <v>1.89</v>
      </c>
      <c r="R174" s="288" cm="1">
        <f t="array" aca="1" ref="R174" ca="1">INDIRECT("'"&amp;$C174&amp;"'!"&amp;"$"&amp;$D174&amp;$R$1&amp;"")</f>
        <v>6.7</v>
      </c>
      <c r="S174" s="289"/>
      <c r="T174" s="289">
        <v>0.96</v>
      </c>
      <c r="U174" s="287">
        <v>1.89</v>
      </c>
      <c r="V174" s="288" cm="1">
        <f t="array" aca="1" ref="V174" ca="1">INDIRECT("'"&amp;$C174&amp;"'!"&amp;"$"&amp;$D174&amp;$V$1&amp;"")</f>
        <v>2.8</v>
      </c>
      <c r="W174" s="289">
        <f>3.8*3.57</f>
        <v>13.565999999999999</v>
      </c>
      <c r="X174" s="289">
        <v>0.96</v>
      </c>
      <c r="Y174" s="290">
        <v>0.71</v>
      </c>
      <c r="Z174" s="286" cm="1">
        <f t="array" aca="1" ref="Z174" ca="1">INDIRECT("'"&amp;$C174&amp;"'!"&amp;"$"&amp;$D174&amp;$Z$1&amp;"")</f>
        <v>0</v>
      </c>
      <c r="AA174" s="289" t="s">
        <v>1</v>
      </c>
      <c r="AB174" s="289" t="s">
        <v>1</v>
      </c>
      <c r="AC174" s="287" t="s">
        <v>1</v>
      </c>
      <c r="AD174" s="288" cm="1">
        <f t="array" aca="1" ref="AD174" ca="1">INDIRECT("'"&amp;$C174&amp;"'!"&amp;"$"&amp;$D174&amp;$AD$1&amp;"")</f>
        <v>3.8</v>
      </c>
      <c r="AE174" s="289">
        <f>3.8*3.57</f>
        <v>13.565999999999999</v>
      </c>
      <c r="AF174" s="289">
        <v>0.96</v>
      </c>
      <c r="AG174" s="290">
        <v>0.52600000000000002</v>
      </c>
      <c r="AH174" s="286" cm="1">
        <f t="array" aca="1" ref="AH174" ca="1">INDIRECT("'"&amp;$C174&amp;"'!"&amp;"$"&amp;$D174&amp;$AH$1&amp;"")</f>
        <v>3.8</v>
      </c>
      <c r="AI174" s="289">
        <v>13.92</v>
      </c>
      <c r="AJ174" s="289">
        <v>0.98</v>
      </c>
      <c r="AK174" s="287">
        <v>0.52600000000000002</v>
      </c>
      <c r="AL174" s="286">
        <v>11.8</v>
      </c>
      <c r="AM174" s="290">
        <v>70.2</v>
      </c>
      <c r="AN174" s="286" t="str" cm="1">
        <f t="array" aca="1" ref="AN174" ca="1">INDIRECT("'"&amp;$C174&amp;"'!"&amp;"$"&amp;$D174&amp;$AL$1&amp;"")</f>
        <v>CMS</v>
      </c>
      <c r="AO174" s="289" t="s">
        <v>1</v>
      </c>
      <c r="AP174" s="287" t="s">
        <v>1</v>
      </c>
      <c r="AQ174" s="288" cm="1">
        <f t="array" aca="1" ref="AQ174" ca="1">INDIRECT("'"&amp;$C174&amp;"'!"&amp;"$"&amp;$D174&amp;$AQ$1&amp;"")</f>
        <v>1.8</v>
      </c>
      <c r="AR174" s="289">
        <v>0.95</v>
      </c>
      <c r="AS174" s="287">
        <v>1.1599999999999999</v>
      </c>
      <c r="AT174" s="289" cm="1">
        <f t="array" aca="1" ref="AT174" ca="1">INDIRECT("'"&amp;$C174&amp;"'!"&amp;"$"&amp;$D174&amp;$AT$1&amp;"")</f>
        <v>0</v>
      </c>
      <c r="AU174" s="288" t="s">
        <v>1</v>
      </c>
      <c r="AV174" s="289" t="s">
        <v>1</v>
      </c>
      <c r="AW174" s="287" t="s">
        <v>1</v>
      </c>
      <c r="AX174" s="291">
        <v>14.11</v>
      </c>
      <c r="AY174" s="290">
        <v>71.319999999999993</v>
      </c>
      <c r="AZ174" s="291" cm="1">
        <f t="array" aca="1" ref="AZ174" ca="1">INDIRECT("'"&amp;$C174&amp;"'!"&amp;"$"&amp;$D174&amp;$AZ$1&amp;"")</f>
        <v>14.25</v>
      </c>
      <c r="BA174" s="289">
        <v>0.99</v>
      </c>
      <c r="BB174" s="287">
        <v>2.5</v>
      </c>
      <c r="BC174" s="292">
        <v>68.7</v>
      </c>
      <c r="BD174" s="286" cm="1">
        <f t="array" aca="1" ref="BD174" ca="1">INDIRECT("'"&amp;$C174&amp;"'!"&amp;"$"&amp;$D174&amp;$BC$1&amp;"")</f>
        <v>1.4</v>
      </c>
      <c r="BE174" s="288">
        <v>0.98</v>
      </c>
      <c r="BF174" s="287">
        <v>0.28000000000000003</v>
      </c>
      <c r="BG174" s="291" cm="1">
        <f t="array" aca="1" ref="BG174" ca="1">INDIRECT("'"&amp;$C174&amp;"'!"&amp;"$"&amp;$D174&amp;$BG$1&amp;"")</f>
        <v>1.52</v>
      </c>
      <c r="BH174" s="289"/>
      <c r="BI174" s="289">
        <v>0.99</v>
      </c>
      <c r="BJ174" s="287">
        <v>0.21</v>
      </c>
      <c r="BK174" s="292" cm="1">
        <f t="array" aca="1" ref="BK174" ca="1">INDIRECT("'"&amp;$C174&amp;"'!"&amp;"$"&amp;$D174&amp;$BK$1&amp;"")</f>
        <v>0.88</v>
      </c>
      <c r="BL174" s="289"/>
      <c r="BM174" s="289">
        <v>0.96</v>
      </c>
      <c r="BN174" s="287">
        <v>0.24</v>
      </c>
      <c r="BO174" s="292" cm="1">
        <f t="array" aca="1" ref="BO174" ca="1">INDIRECT("'"&amp;$C174&amp;"'!"&amp;"$"&amp;$D174&amp;74&amp;"")</f>
        <v>0</v>
      </c>
      <c r="BP174" s="289"/>
      <c r="BQ174" s="289" t="s">
        <v>1</v>
      </c>
      <c r="BR174" s="287" t="s">
        <v>1</v>
      </c>
    </row>
    <row r="175" spans="1:70">
      <c r="A175" s="361">
        <v>45754</v>
      </c>
      <c r="B175" s="358">
        <v>0.83333333333333337</v>
      </c>
      <c r="C175" s="313">
        <f t="shared" si="5"/>
        <v>7</v>
      </c>
      <c r="D175" s="314" t="s">
        <v>147</v>
      </c>
      <c r="E175" s="293">
        <v>14.2</v>
      </c>
      <c r="F175" s="294">
        <v>69.83</v>
      </c>
      <c r="G175" s="295" cm="1">
        <f t="array" aca="1" ref="G175" ca="1">INDIRECT("'"&amp;$C175&amp;"'!"&amp;"$"&amp;$D175&amp;$E$1&amp;"")</f>
        <v>6.7</v>
      </c>
      <c r="H175" s="296">
        <v>0.9</v>
      </c>
      <c r="I175" s="294">
        <v>1.35</v>
      </c>
      <c r="J175" s="295" cm="1">
        <f t="array" aca="1" ref="J175" ca="1">INDIRECT("'"&amp;$C175&amp;"'!"&amp;"$"&amp;$D175&amp;$J$1&amp;"")</f>
        <v>6.5</v>
      </c>
      <c r="K175" s="296"/>
      <c r="L175" s="296">
        <v>0.98</v>
      </c>
      <c r="M175" s="294">
        <v>1.36</v>
      </c>
      <c r="N175" s="295" cm="1">
        <f t="array" aca="1" ref="N175" ca="1">INDIRECT("'"&amp;$C175&amp;"'!"&amp;"$"&amp;$D175&amp;$N$1&amp;"")</f>
        <v>6.5</v>
      </c>
      <c r="O175" s="296"/>
      <c r="P175" s="296">
        <v>0.98</v>
      </c>
      <c r="Q175" s="294">
        <v>1.43</v>
      </c>
      <c r="R175" s="295" cm="1">
        <f t="array" aca="1" ref="R175" ca="1">INDIRECT("'"&amp;$C175&amp;"'!"&amp;"$"&amp;$D175&amp;$R$1&amp;"")</f>
        <v>6.5</v>
      </c>
      <c r="S175" s="296"/>
      <c r="T175" s="296">
        <v>0.98</v>
      </c>
      <c r="U175" s="294">
        <v>2.63</v>
      </c>
      <c r="V175" s="295" cm="1">
        <f t="array" aca="1" ref="V175" ca="1">INDIRECT("'"&amp;$C175&amp;"'!"&amp;"$"&amp;$D175&amp;$V$1&amp;"")</f>
        <v>2.7</v>
      </c>
      <c r="W175" s="296">
        <f>3.8*3.54</f>
        <v>13.452</v>
      </c>
      <c r="X175" s="296">
        <v>0.96</v>
      </c>
      <c r="Y175" s="297">
        <v>0.72</v>
      </c>
      <c r="Z175" s="293" cm="1">
        <f t="array" aca="1" ref="Z175" ca="1">INDIRECT("'"&amp;$C175&amp;"'!"&amp;"$"&amp;$D175&amp;$Z$1&amp;"")</f>
        <v>0</v>
      </c>
      <c r="AA175" s="296" t="s">
        <v>1</v>
      </c>
      <c r="AB175" s="296" t="s">
        <v>1</v>
      </c>
      <c r="AC175" s="294" t="s">
        <v>1</v>
      </c>
      <c r="AD175" s="295" cm="1">
        <f t="array" aca="1" ref="AD175" ca="1">INDIRECT("'"&amp;$C175&amp;"'!"&amp;"$"&amp;$D175&amp;$AD$1&amp;"")</f>
        <v>3.5</v>
      </c>
      <c r="AE175" s="296">
        <f>3.8*3.54</f>
        <v>13.452</v>
      </c>
      <c r="AF175" s="296">
        <v>0.96</v>
      </c>
      <c r="AG175" s="297">
        <v>0.97</v>
      </c>
      <c r="AH175" s="293" cm="1">
        <f t="array" aca="1" ref="AH175" ca="1">INDIRECT("'"&amp;$C175&amp;"'!"&amp;"$"&amp;$D175&amp;$AH$1&amp;"")</f>
        <v>3.8</v>
      </c>
      <c r="AI175" s="296">
        <v>13.96</v>
      </c>
      <c r="AJ175" s="296">
        <v>0.99</v>
      </c>
      <c r="AK175" s="294">
        <v>0.14000000000000001</v>
      </c>
      <c r="AL175" s="293">
        <v>11.8</v>
      </c>
      <c r="AM175" s="297">
        <v>70.400000000000006</v>
      </c>
      <c r="AN175" s="293" t="str" cm="1">
        <f t="array" aca="1" ref="AN175" ca="1">INDIRECT("'"&amp;$C175&amp;"'!"&amp;"$"&amp;$D175&amp;$AL$1&amp;"")</f>
        <v>CMS</v>
      </c>
      <c r="AO175" s="296" t="s">
        <v>1</v>
      </c>
      <c r="AP175" s="294" t="s">
        <v>1</v>
      </c>
      <c r="AQ175" s="295" cm="1">
        <f t="array" aca="1" ref="AQ175" ca="1">INDIRECT("'"&amp;$C175&amp;"'!"&amp;"$"&amp;$D175&amp;$AQ$1&amp;"")</f>
        <v>3</v>
      </c>
      <c r="AR175" s="296">
        <v>0.98</v>
      </c>
      <c r="AS175" s="294">
        <v>0.55000000000000004</v>
      </c>
      <c r="AT175" s="296" cm="1">
        <f t="array" aca="1" ref="AT175" ca="1">INDIRECT("'"&amp;$C175&amp;"'!"&amp;"$"&amp;$D175&amp;$AT$1&amp;"")</f>
        <v>0</v>
      </c>
      <c r="AU175" s="295" t="s">
        <v>1</v>
      </c>
      <c r="AV175" s="296" t="s">
        <v>1</v>
      </c>
      <c r="AW175" s="294" t="s">
        <v>1</v>
      </c>
      <c r="AX175" s="298">
        <v>14.23</v>
      </c>
      <c r="AY175" s="297">
        <v>71.89</v>
      </c>
      <c r="AZ175" s="298" cm="1">
        <f t="array" aca="1" ref="AZ175" ca="1">INDIRECT("'"&amp;$C175&amp;"'!"&amp;"$"&amp;$D175&amp;$AZ$1&amp;"")</f>
        <v>14.28</v>
      </c>
      <c r="BA175" s="296">
        <v>0.98</v>
      </c>
      <c r="BB175" s="294">
        <v>3.6</v>
      </c>
      <c r="BC175" s="299">
        <v>68.8</v>
      </c>
      <c r="BD175" s="293" cm="1">
        <f t="array" aca="1" ref="BD175" ca="1">INDIRECT("'"&amp;$C175&amp;"'!"&amp;"$"&amp;$D175&amp;$BC$1&amp;"")</f>
        <v>0</v>
      </c>
      <c r="BE175" s="295" t="s">
        <v>1</v>
      </c>
      <c r="BF175" s="294" t="s">
        <v>1</v>
      </c>
      <c r="BG175" s="298" cm="1">
        <f t="array" aca="1" ref="BG175" ca="1">INDIRECT("'"&amp;$C175&amp;"'!"&amp;"$"&amp;$D175&amp;$BG$1&amp;"")</f>
        <v>1.45</v>
      </c>
      <c r="BH175" s="296"/>
      <c r="BI175" s="296">
        <v>0.99</v>
      </c>
      <c r="BJ175" s="294">
        <v>0.2</v>
      </c>
      <c r="BK175" s="299" cm="1">
        <f t="array" aca="1" ref="BK175" ca="1">INDIRECT("'"&amp;$C175&amp;"'!"&amp;"$"&amp;$D175&amp;$BK$1&amp;"")</f>
        <v>0.9</v>
      </c>
      <c r="BL175" s="296"/>
      <c r="BM175" s="296">
        <v>0.96</v>
      </c>
      <c r="BN175" s="294">
        <v>0.24</v>
      </c>
      <c r="BO175" s="299" cm="1">
        <f t="array" aca="1" ref="BO175" ca="1">INDIRECT("'"&amp;$C175&amp;"'!"&amp;"$"&amp;$D175&amp;74&amp;"")</f>
        <v>0</v>
      </c>
      <c r="BP175" s="296"/>
      <c r="BQ175" s="296" t="s">
        <v>1</v>
      </c>
      <c r="BR175" s="294" t="s">
        <v>1</v>
      </c>
    </row>
    <row r="176" spans="1:70">
      <c r="A176" s="361">
        <v>45754</v>
      </c>
      <c r="B176" s="358">
        <v>0.875000000000001</v>
      </c>
      <c r="C176" s="313">
        <f t="shared" si="5"/>
        <v>7</v>
      </c>
      <c r="D176" s="314" t="s">
        <v>148</v>
      </c>
      <c r="E176" s="286">
        <v>14.2</v>
      </c>
      <c r="F176" s="287">
        <v>69.55</v>
      </c>
      <c r="G176" s="288" cm="1">
        <f t="array" aca="1" ref="G176" ca="1">INDIRECT("'"&amp;$C176&amp;"'!"&amp;"$"&amp;$D176&amp;$E$1&amp;"")</f>
        <v>6.5</v>
      </c>
      <c r="H176" s="289">
        <v>0.97</v>
      </c>
      <c r="I176" s="287">
        <v>1.65</v>
      </c>
      <c r="J176" s="288" cm="1">
        <f t="array" aca="1" ref="J176" ca="1">INDIRECT("'"&amp;$C176&amp;"'!"&amp;"$"&amp;$D176&amp;$J$1&amp;"")</f>
        <v>6.5</v>
      </c>
      <c r="K176" s="289"/>
      <c r="L176" s="289">
        <v>0.97</v>
      </c>
      <c r="M176" s="287">
        <v>1.63</v>
      </c>
      <c r="N176" s="288" cm="1">
        <f t="array" aca="1" ref="N176" ca="1">INDIRECT("'"&amp;$C176&amp;"'!"&amp;"$"&amp;$D176&amp;$N$1&amp;"")</f>
        <v>6.5</v>
      </c>
      <c r="O176" s="289"/>
      <c r="P176" s="289">
        <v>0.97</v>
      </c>
      <c r="Q176" s="287">
        <v>1.64</v>
      </c>
      <c r="R176" s="288" cm="1">
        <f t="array" aca="1" ref="R176" ca="1">INDIRECT("'"&amp;$C176&amp;"'!"&amp;"$"&amp;$D176&amp;$R$1&amp;"")</f>
        <v>6.5</v>
      </c>
      <c r="S176" s="289"/>
      <c r="T176" s="289">
        <v>0.96</v>
      </c>
      <c r="U176" s="287">
        <v>2</v>
      </c>
      <c r="V176" s="288" cm="1">
        <f t="array" aca="1" ref="V176" ca="1">INDIRECT("'"&amp;$C176&amp;"'!"&amp;"$"&amp;$D176&amp;$V$1&amp;"")</f>
        <v>0</v>
      </c>
      <c r="W176" s="289" t="s">
        <v>1</v>
      </c>
      <c r="X176" s="289" t="s">
        <v>1</v>
      </c>
      <c r="Y176" s="290" t="s">
        <v>1</v>
      </c>
      <c r="Z176" s="286" cm="1">
        <f t="array" aca="1" ref="Z176" ca="1">INDIRECT("'"&amp;$C176&amp;"'!"&amp;"$"&amp;$D176&amp;$Z$1&amp;"")</f>
        <v>0</v>
      </c>
      <c r="AA176" s="289" t="s">
        <v>1</v>
      </c>
      <c r="AB176" s="289" t="s">
        <v>1</v>
      </c>
      <c r="AC176" s="287" t="s">
        <v>1</v>
      </c>
      <c r="AD176" s="288" cm="1">
        <f t="array" aca="1" ref="AD176" ca="1">INDIRECT("'"&amp;$C176&amp;"'!"&amp;"$"&amp;$D176&amp;$AD$1&amp;"")</f>
        <v>3</v>
      </c>
      <c r="AE176" s="289">
        <f>3.8*3.51</f>
        <v>13.337999999999999</v>
      </c>
      <c r="AF176" s="289">
        <v>0.98</v>
      </c>
      <c r="AG176" s="290">
        <v>0.51</v>
      </c>
      <c r="AH176" s="286" cm="1">
        <f t="array" aca="1" ref="AH176" ca="1">INDIRECT("'"&amp;$C176&amp;"'!"&amp;"$"&amp;$D176&amp;$AH$1&amp;"")</f>
        <v>3.8</v>
      </c>
      <c r="AI176" s="289">
        <v>13.96</v>
      </c>
      <c r="AJ176" s="289">
        <v>0.99</v>
      </c>
      <c r="AK176" s="287">
        <v>0.19600000000000001</v>
      </c>
      <c r="AL176" s="286">
        <v>11.8</v>
      </c>
      <c r="AM176" s="290">
        <v>70.400000000000006</v>
      </c>
      <c r="AN176" s="286" t="str" cm="1">
        <f t="array" aca="1" ref="AN176" ca="1">INDIRECT("'"&amp;$C176&amp;"'!"&amp;"$"&amp;$D176&amp;$AL$1&amp;"")</f>
        <v>CMS</v>
      </c>
      <c r="AO176" s="289" t="s">
        <v>1</v>
      </c>
      <c r="AP176" s="287" t="s">
        <v>1</v>
      </c>
      <c r="AQ176" s="288" cm="1">
        <f t="array" aca="1" ref="AQ176" ca="1">INDIRECT("'"&amp;$C176&amp;"'!"&amp;"$"&amp;$D176&amp;$AQ$1&amp;"")</f>
        <v>3.8</v>
      </c>
      <c r="AR176" s="289">
        <v>0.98</v>
      </c>
      <c r="AS176" s="287">
        <v>0.84899999999999998</v>
      </c>
      <c r="AT176" s="289" cm="1">
        <f t="array" aca="1" ref="AT176" ca="1">INDIRECT("'"&amp;$C176&amp;"'!"&amp;"$"&amp;$D176&amp;$AT$1&amp;"")</f>
        <v>0</v>
      </c>
      <c r="AU176" s="288" t="s">
        <v>1</v>
      </c>
      <c r="AV176" s="289" t="s">
        <v>1</v>
      </c>
      <c r="AW176" s="287" t="s">
        <v>1</v>
      </c>
      <c r="AX176" s="291">
        <v>14.28</v>
      </c>
      <c r="AY176" s="290">
        <v>71.89</v>
      </c>
      <c r="AZ176" s="291" cm="1">
        <f t="array" aca="1" ref="AZ176" ca="1">INDIRECT("'"&amp;$C176&amp;"'!"&amp;"$"&amp;$D176&amp;$AZ$1&amp;"")</f>
        <v>14.27</v>
      </c>
      <c r="BA176" s="289">
        <v>0.98</v>
      </c>
      <c r="BB176" s="287">
        <v>3.5</v>
      </c>
      <c r="BC176" s="292">
        <v>68.400000000000006</v>
      </c>
      <c r="BD176" s="286" cm="1">
        <f t="array" aca="1" ref="BD176" ca="1">INDIRECT("'"&amp;$C176&amp;"'!"&amp;"$"&amp;$D176&amp;$BC$1&amp;"")</f>
        <v>0</v>
      </c>
      <c r="BE176" s="288" t="s">
        <v>1</v>
      </c>
      <c r="BF176" s="287" t="s">
        <v>1</v>
      </c>
      <c r="BG176" s="291" cm="1">
        <f t="array" aca="1" ref="BG176" ca="1">INDIRECT("'"&amp;$C176&amp;"'!"&amp;"$"&amp;$D176&amp;$BG$1&amp;"")</f>
        <v>1.35</v>
      </c>
      <c r="BH176" s="289"/>
      <c r="BI176" s="289">
        <v>0.99</v>
      </c>
      <c r="BJ176" s="287">
        <v>0.19</v>
      </c>
      <c r="BK176" s="292" cm="1">
        <f t="array" aca="1" ref="BK176" ca="1">INDIRECT("'"&amp;$C176&amp;"'!"&amp;"$"&amp;$D176&amp;$BK$1&amp;"")</f>
        <v>0.92</v>
      </c>
      <c r="BL176" s="289"/>
      <c r="BM176" s="289">
        <v>0.96</v>
      </c>
      <c r="BN176" s="287">
        <v>0.24</v>
      </c>
      <c r="BO176" s="292" cm="1">
        <f t="array" aca="1" ref="BO176" ca="1">INDIRECT("'"&amp;$C176&amp;"'!"&amp;"$"&amp;$D176&amp;74&amp;"")</f>
        <v>0</v>
      </c>
      <c r="BP176" s="289"/>
      <c r="BQ176" s="289" t="s">
        <v>1</v>
      </c>
      <c r="BR176" s="287" t="s">
        <v>1</v>
      </c>
    </row>
    <row r="177" spans="1:70">
      <c r="A177" s="361">
        <v>45754</v>
      </c>
      <c r="B177" s="358">
        <v>0.91666666666666696</v>
      </c>
      <c r="C177" s="313">
        <f t="shared" si="5"/>
        <v>7</v>
      </c>
      <c r="D177" s="314" t="s">
        <v>149</v>
      </c>
      <c r="E177" s="293">
        <v>14.2</v>
      </c>
      <c r="F177" s="294">
        <v>69.819999999999993</v>
      </c>
      <c r="G177" s="295" cm="1">
        <f t="array" aca="1" ref="G177" ca="1">INDIRECT("'"&amp;$C177&amp;"'!"&amp;"$"&amp;$D177&amp;$E$1&amp;"")</f>
        <v>6.8</v>
      </c>
      <c r="H177" s="296">
        <v>0.97</v>
      </c>
      <c r="I177" s="294">
        <v>1.72</v>
      </c>
      <c r="J177" s="295" cm="1">
        <f t="array" aca="1" ref="J177" ca="1">INDIRECT("'"&amp;$C177&amp;"'!"&amp;"$"&amp;$D177&amp;$J$1&amp;"")</f>
        <v>6.7</v>
      </c>
      <c r="K177" s="296"/>
      <c r="L177" s="296">
        <v>0.97</v>
      </c>
      <c r="M177" s="294">
        <v>1.6</v>
      </c>
      <c r="N177" s="295" cm="1">
        <f t="array" aca="1" ref="N177" ca="1">INDIRECT("'"&amp;$C177&amp;"'!"&amp;"$"&amp;$D177&amp;$N$1&amp;"")</f>
        <v>0</v>
      </c>
      <c r="O177" s="296"/>
      <c r="P177" s="296" t="s">
        <v>1</v>
      </c>
      <c r="Q177" s="294" t="s">
        <v>1</v>
      </c>
      <c r="R177" s="295" cm="1">
        <f t="array" aca="1" ref="R177" ca="1">INDIRECT("'"&amp;$C177&amp;"'!"&amp;"$"&amp;$D177&amp;$R$1&amp;"")</f>
        <v>7</v>
      </c>
      <c r="S177" s="296"/>
      <c r="T177" s="296">
        <v>0.95</v>
      </c>
      <c r="U177" s="294">
        <v>2.19</v>
      </c>
      <c r="V177" s="295" cm="1">
        <f t="array" aca="1" ref="V177" ca="1">INDIRECT("'"&amp;$C177&amp;"'!"&amp;"$"&amp;$D177&amp;$V$1&amp;"")</f>
        <v>0</v>
      </c>
      <c r="W177" s="296" t="s">
        <v>1</v>
      </c>
      <c r="X177" s="296" t="s">
        <v>1</v>
      </c>
      <c r="Y177" s="297" t="s">
        <v>1</v>
      </c>
      <c r="Z177" s="293" cm="1">
        <f t="array" aca="1" ref="Z177" ca="1">INDIRECT("'"&amp;$C177&amp;"'!"&amp;"$"&amp;$D177&amp;$Z$1&amp;"")</f>
        <v>0</v>
      </c>
      <c r="AA177" s="296" t="s">
        <v>1</v>
      </c>
      <c r="AB177" s="296" t="s">
        <v>1</v>
      </c>
      <c r="AC177" s="294" t="s">
        <v>1</v>
      </c>
      <c r="AD177" s="295" cm="1">
        <f t="array" aca="1" ref="AD177" ca="1">INDIRECT("'"&amp;$C177&amp;"'!"&amp;"$"&amp;$D177&amp;$AD$1&amp;"")</f>
        <v>3.9</v>
      </c>
      <c r="AE177" s="296">
        <f>3.8*3.56</f>
        <v>13.527999999999999</v>
      </c>
      <c r="AF177" s="296">
        <v>0.98</v>
      </c>
      <c r="AG177" s="297">
        <v>0.74</v>
      </c>
      <c r="AH177" s="293" cm="1">
        <f t="array" aca="1" ref="AH177" ca="1">INDIRECT("'"&amp;$C177&amp;"'!"&amp;"$"&amp;$D177&amp;$AH$1&amp;"")</f>
        <v>3.8</v>
      </c>
      <c r="AI177" s="296">
        <v>14</v>
      </c>
      <c r="AJ177" s="296">
        <v>1</v>
      </c>
      <c r="AK177" s="294">
        <v>0.105</v>
      </c>
      <c r="AL177" s="293">
        <v>11.8</v>
      </c>
      <c r="AM177" s="297">
        <v>70.400000000000006</v>
      </c>
      <c r="AN177" s="293" t="str" cm="1">
        <f t="array" aca="1" ref="AN177" ca="1">INDIRECT("'"&amp;$C177&amp;"'!"&amp;"$"&amp;$D177&amp;$AL$1&amp;"")</f>
        <v>CMS</v>
      </c>
      <c r="AO177" s="296" t="s">
        <v>1</v>
      </c>
      <c r="AP177" s="294" t="s">
        <v>1</v>
      </c>
      <c r="AQ177" s="295" cm="1">
        <f t="array" aca="1" ref="AQ177" ca="1">INDIRECT("'"&amp;$C177&amp;"'!"&amp;"$"&amp;$D177&amp;$AQ$1&amp;"")</f>
        <v>4.4000000000000004</v>
      </c>
      <c r="AR177" s="296">
        <v>0.99</v>
      </c>
      <c r="AS177" s="294">
        <v>0.40500000000000003</v>
      </c>
      <c r="AT177" s="296" cm="1">
        <f t="array" aca="1" ref="AT177" ca="1">INDIRECT("'"&amp;$C177&amp;"'!"&amp;"$"&amp;$D177&amp;$AT$1&amp;"")</f>
        <v>0</v>
      </c>
      <c r="AU177" s="295" t="s">
        <v>1</v>
      </c>
      <c r="AV177" s="296" t="s">
        <v>1</v>
      </c>
      <c r="AW177" s="294" t="s">
        <v>1</v>
      </c>
      <c r="AX177" s="298">
        <v>14.19</v>
      </c>
      <c r="AY177" s="297">
        <v>71.88</v>
      </c>
      <c r="AZ177" s="298" cm="1">
        <f t="array" aca="1" ref="AZ177" ca="1">INDIRECT("'"&amp;$C177&amp;"'!"&amp;"$"&amp;$D177&amp;$AZ$1&amp;"")</f>
        <v>14.29</v>
      </c>
      <c r="BA177" s="296">
        <v>0.99</v>
      </c>
      <c r="BB177" s="294">
        <v>2.4</v>
      </c>
      <c r="BC177" s="299">
        <v>68.7</v>
      </c>
      <c r="BD177" s="293" cm="1">
        <f t="array" aca="1" ref="BD177" ca="1">INDIRECT("'"&amp;$C177&amp;"'!"&amp;"$"&amp;$D177&amp;$BC$1&amp;"")</f>
        <v>0.7</v>
      </c>
      <c r="BE177" s="295">
        <v>0.98</v>
      </c>
      <c r="BF177" s="294">
        <v>0.14000000000000001</v>
      </c>
      <c r="BG177" s="298" cm="1">
        <f t="array" aca="1" ref="BG177" ca="1">INDIRECT("'"&amp;$C177&amp;"'!"&amp;"$"&amp;$D177&amp;$BG$1&amp;"")</f>
        <v>1.1200000000000001</v>
      </c>
      <c r="BH177" s="296"/>
      <c r="BI177" s="296">
        <v>0.99</v>
      </c>
      <c r="BJ177" s="294">
        <v>0.15</v>
      </c>
      <c r="BK177" s="299" cm="1">
        <f t="array" aca="1" ref="BK177" ca="1">INDIRECT("'"&amp;$C177&amp;"'!"&amp;"$"&amp;$D177&amp;$BK$1&amp;"")</f>
        <v>0.82</v>
      </c>
      <c r="BL177" s="296"/>
      <c r="BM177" s="296">
        <v>0.96</v>
      </c>
      <c r="BN177" s="294">
        <v>0.23</v>
      </c>
      <c r="BO177" s="299" cm="1">
        <f t="array" aca="1" ref="BO177" ca="1">INDIRECT("'"&amp;$C177&amp;"'!"&amp;"$"&amp;$D177&amp;74&amp;"")</f>
        <v>0</v>
      </c>
      <c r="BP177" s="296"/>
      <c r="BQ177" s="296" t="s">
        <v>1</v>
      </c>
      <c r="BR177" s="294" t="s">
        <v>1</v>
      </c>
    </row>
    <row r="178" spans="1:70" ht="14.45" thickBot="1">
      <c r="A178" s="362">
        <v>45754</v>
      </c>
      <c r="B178" s="359">
        <v>0.95833333333333404</v>
      </c>
      <c r="C178" s="315">
        <f t="shared" si="5"/>
        <v>7</v>
      </c>
      <c r="D178" s="316" t="s">
        <v>150</v>
      </c>
      <c r="E178" s="301">
        <v>14.2</v>
      </c>
      <c r="F178" s="302">
        <v>70.040000000000006</v>
      </c>
      <c r="G178" s="303" cm="1">
        <f t="array" aca="1" ref="G178" ca="1">INDIRECT("'"&amp;$C178&amp;"'!"&amp;"$"&amp;$D178&amp;$E$1&amp;"")</f>
        <v>6.6</v>
      </c>
      <c r="H178" s="304">
        <v>0.97</v>
      </c>
      <c r="I178" s="302">
        <v>1.69</v>
      </c>
      <c r="J178" s="303" cm="1">
        <f t="array" aca="1" ref="J178" ca="1">INDIRECT("'"&amp;$C178&amp;"'!"&amp;"$"&amp;$D178&amp;$J$1&amp;"")</f>
        <v>6.5</v>
      </c>
      <c r="K178" s="304"/>
      <c r="L178" s="304">
        <v>0.97</v>
      </c>
      <c r="M178" s="302">
        <v>1.56</v>
      </c>
      <c r="N178" s="303" cm="1">
        <f t="array" aca="1" ref="N178" ca="1">INDIRECT("'"&amp;$C178&amp;"'!"&amp;"$"&amp;$D178&amp;$N$1&amp;"")</f>
        <v>0</v>
      </c>
      <c r="O178" s="304"/>
      <c r="P178" s="304" t="s">
        <v>1</v>
      </c>
      <c r="Q178" s="302" t="s">
        <v>1</v>
      </c>
      <c r="R178" s="303" cm="1">
        <f t="array" aca="1" ref="R178" ca="1">INDIRECT("'"&amp;$C178&amp;"'!"&amp;"$"&amp;$D178&amp;$R$1&amp;"")</f>
        <v>6.7</v>
      </c>
      <c r="S178" s="304"/>
      <c r="T178" s="304">
        <v>0.97</v>
      </c>
      <c r="U178" s="302">
        <v>1.84</v>
      </c>
      <c r="V178" s="303" cm="1">
        <f t="array" aca="1" ref="V178" ca="1">INDIRECT("'"&amp;$C178&amp;"'!"&amp;"$"&amp;$D178&amp;$V$1&amp;"")</f>
        <v>0</v>
      </c>
      <c r="W178" s="304" t="s">
        <v>1</v>
      </c>
      <c r="X178" s="304" t="s">
        <v>1</v>
      </c>
      <c r="Y178" s="305" t="s">
        <v>1</v>
      </c>
      <c r="Z178" s="301" cm="1">
        <f t="array" aca="1" ref="Z178" ca="1">INDIRECT("'"&amp;$C178&amp;"'!"&amp;"$"&amp;$D178&amp;$Z$1&amp;"")</f>
        <v>0</v>
      </c>
      <c r="AA178" s="304" t="s">
        <v>1</v>
      </c>
      <c r="AB178" s="304" t="s">
        <v>1</v>
      </c>
      <c r="AC178" s="302" t="s">
        <v>1</v>
      </c>
      <c r="AD178" s="303" cm="1">
        <f t="array" aca="1" ref="AD178" ca="1">INDIRECT("'"&amp;$C178&amp;"'!"&amp;"$"&amp;$D178&amp;$AD$1&amp;"")</f>
        <v>3</v>
      </c>
      <c r="AE178" s="304">
        <f>3.8*3.58</f>
        <v>13.603999999999999</v>
      </c>
      <c r="AF178" s="304">
        <v>0.98</v>
      </c>
      <c r="AG178" s="305">
        <v>0.53</v>
      </c>
      <c r="AH178" s="301" cm="1">
        <f t="array" aca="1" ref="AH178" ca="1">INDIRECT("'"&amp;$C178&amp;"'!"&amp;"$"&amp;$D178&amp;$AH$1&amp;"")</f>
        <v>3</v>
      </c>
      <c r="AI178" s="304">
        <v>13.96</v>
      </c>
      <c r="AJ178" s="304">
        <v>0.99</v>
      </c>
      <c r="AK178" s="302">
        <v>0.376</v>
      </c>
      <c r="AL178" s="301">
        <v>11.8</v>
      </c>
      <c r="AM178" s="305">
        <v>70.3</v>
      </c>
      <c r="AN178" s="301" t="str" cm="1">
        <f t="array" aca="1" ref="AN178" ca="1">INDIRECT("'"&amp;$C178&amp;"'!"&amp;"$"&amp;$D178&amp;$AL$1&amp;"")</f>
        <v>CMS</v>
      </c>
      <c r="AO178" s="304" t="s">
        <v>1</v>
      </c>
      <c r="AP178" s="302" t="s">
        <v>1</v>
      </c>
      <c r="AQ178" s="303" cm="1">
        <f t="array" aca="1" ref="AQ178" ca="1">INDIRECT("'"&amp;$C178&amp;"'!"&amp;"$"&amp;$D178&amp;$AQ$1&amp;"")</f>
        <v>3</v>
      </c>
      <c r="AR178" s="304">
        <v>0.96</v>
      </c>
      <c r="AS178" s="302">
        <v>0.77700000000000002</v>
      </c>
      <c r="AT178" s="304" cm="1">
        <f t="array" aca="1" ref="AT178" ca="1">INDIRECT("'"&amp;$C178&amp;"'!"&amp;"$"&amp;$D178&amp;$AT$1&amp;"")</f>
        <v>0</v>
      </c>
      <c r="AU178" s="303" t="s">
        <v>1</v>
      </c>
      <c r="AV178" s="304" t="s">
        <v>1</v>
      </c>
      <c r="AW178" s="302" t="s">
        <v>1</v>
      </c>
      <c r="AX178" s="306">
        <v>14.06</v>
      </c>
      <c r="AY178" s="305">
        <v>71.55</v>
      </c>
      <c r="AZ178" s="306" cm="1">
        <f t="array" aca="1" ref="AZ178" ca="1">INDIRECT("'"&amp;$C178&amp;"'!"&amp;"$"&amp;$D178&amp;$AZ$1&amp;"")</f>
        <v>14.27</v>
      </c>
      <c r="BA178" s="304">
        <v>1</v>
      </c>
      <c r="BB178" s="302">
        <v>1.3</v>
      </c>
      <c r="BC178" s="307">
        <v>68.900000000000006</v>
      </c>
      <c r="BD178" s="301" cm="1">
        <f t="array" aca="1" ref="BD178" ca="1">INDIRECT("'"&amp;$C178&amp;"'!"&amp;"$"&amp;$D178&amp;$BC$1&amp;"")</f>
        <v>0</v>
      </c>
      <c r="BE178" s="303" t="s">
        <v>1</v>
      </c>
      <c r="BF178" s="302" t="s">
        <v>1</v>
      </c>
      <c r="BG178" s="306" cm="1">
        <f t="array" aca="1" ref="BG178" ca="1">INDIRECT("'"&amp;$C178&amp;"'!"&amp;"$"&amp;$D178&amp;$BG$1&amp;"")</f>
        <v>1.07</v>
      </c>
      <c r="BH178" s="304"/>
      <c r="BI178" s="304">
        <v>0.99</v>
      </c>
      <c r="BJ178" s="302">
        <v>0.15</v>
      </c>
      <c r="BK178" s="307" cm="1">
        <f t="array" aca="1" ref="BK178" ca="1">INDIRECT("'"&amp;$C178&amp;"'!"&amp;"$"&amp;$D178&amp;$BK$1&amp;"")</f>
        <v>0.76</v>
      </c>
      <c r="BL178" s="304"/>
      <c r="BM178" s="304">
        <v>0.96</v>
      </c>
      <c r="BN178" s="302">
        <v>0.21</v>
      </c>
      <c r="BO178" s="307" cm="1">
        <f t="array" aca="1" ref="BO178" ca="1">INDIRECT("'"&amp;$C178&amp;"'!"&amp;"$"&amp;$D178&amp;74&amp;"")</f>
        <v>0</v>
      </c>
      <c r="BP178" s="304"/>
      <c r="BQ178" s="304" t="s">
        <v>1</v>
      </c>
      <c r="BR178" s="302" t="s">
        <v>1</v>
      </c>
    </row>
    <row r="179" spans="1:70" ht="14.45" thickBot="1"/>
    <row r="180" spans="1:70">
      <c r="A180" s="360">
        <v>45755</v>
      </c>
      <c r="B180" s="357">
        <v>0</v>
      </c>
      <c r="C180" s="310">
        <f>C155+1</f>
        <v>8</v>
      </c>
      <c r="D180" s="311" t="s">
        <v>127</v>
      </c>
      <c r="E180" s="280">
        <v>14.3</v>
      </c>
      <c r="F180" s="281">
        <v>70.709999999999994</v>
      </c>
      <c r="G180" s="282" cm="1">
        <f t="array" aca="1" ref="G180" ca="1">INDIRECT("'"&amp;$C180&amp;"'!"&amp;"$"&amp;$D180&amp;$E$1&amp;"")</f>
        <v>6.6</v>
      </c>
      <c r="H180" s="283">
        <v>0.97</v>
      </c>
      <c r="I180" s="281">
        <v>1.68</v>
      </c>
      <c r="J180" s="282" cm="1">
        <f t="array" aca="1" ref="J180" ca="1">INDIRECT("'"&amp;$C180&amp;"'!"&amp;"$"&amp;$D180&amp;$J$1&amp;"")</f>
        <v>6.5</v>
      </c>
      <c r="K180" s="283"/>
      <c r="L180" s="283">
        <v>0.97</v>
      </c>
      <c r="M180" s="281">
        <v>1.55</v>
      </c>
      <c r="N180" s="282" cm="1">
        <f t="array" aca="1" ref="N180" ca="1">INDIRECT("'"&amp;$C180&amp;"'!"&amp;"$"&amp;$D180&amp;$N$1&amp;"")</f>
        <v>0</v>
      </c>
      <c r="O180" s="283"/>
      <c r="P180" s="283" t="s">
        <v>1</v>
      </c>
      <c r="Q180" s="281" t="s">
        <v>1</v>
      </c>
      <c r="R180" s="282" cm="1">
        <f t="array" aca="1" ref="R180" ca="1">INDIRECT("'"&amp;$C180&amp;"'!"&amp;"$"&amp;$D180&amp;$R$1&amp;"")</f>
        <v>6.8</v>
      </c>
      <c r="S180" s="283"/>
      <c r="T180" s="283">
        <v>0.99</v>
      </c>
      <c r="U180" s="281">
        <v>0.82</v>
      </c>
      <c r="V180" s="282" cm="1">
        <f t="array" aca="1" ref="V180" ca="1">INDIRECT("'"&amp;$C180&amp;"'!"&amp;"$"&amp;$D180&amp;$V$1&amp;"")</f>
        <v>0</v>
      </c>
      <c r="W180" s="283" t="s">
        <v>1</v>
      </c>
      <c r="X180" s="283" t="s">
        <v>1</v>
      </c>
      <c r="Y180" s="284" t="s">
        <v>1</v>
      </c>
      <c r="Z180" s="280" cm="1">
        <f t="array" aca="1" ref="Z180" ca="1">INDIRECT("'"&amp;$C180&amp;"'!"&amp;"$"&amp;$D180&amp;$Z$1&amp;"")</f>
        <v>0</v>
      </c>
      <c r="AA180" s="283" t="s">
        <v>1</v>
      </c>
      <c r="AB180" s="283" t="s">
        <v>1</v>
      </c>
      <c r="AC180" s="281" t="s">
        <v>1</v>
      </c>
      <c r="AD180" s="282" cm="1">
        <f t="array" aca="1" ref="AD180" ca="1">INDIRECT("'"&amp;$C180&amp;"'!"&amp;"$"&amp;$D180&amp;$AD$1&amp;"")</f>
        <v>3.3</v>
      </c>
      <c r="AE180" s="283">
        <f>3.8*3.64</f>
        <v>13.831999999999999</v>
      </c>
      <c r="AF180" s="283">
        <v>0.99</v>
      </c>
      <c r="AG180" s="281">
        <v>0.14000000000000001</v>
      </c>
      <c r="AH180" s="280" cm="1">
        <f t="array" aca="1" ref="AH180" ca="1">INDIRECT("'"&amp;$C180&amp;"'!"&amp;"$"&amp;$D180&amp;$AH$1&amp;"")</f>
        <v>0</v>
      </c>
      <c r="AI180" s="283" t="s">
        <v>1</v>
      </c>
      <c r="AJ180" s="283" t="s">
        <v>1</v>
      </c>
      <c r="AK180" s="281" t="s">
        <v>1</v>
      </c>
      <c r="AL180" s="280">
        <v>11.9</v>
      </c>
      <c r="AM180" s="284">
        <v>70.7</v>
      </c>
      <c r="AN180" s="280" t="str" cm="1">
        <f t="array" aca="1" ref="AN180" ca="1">INDIRECT("'"&amp;$C180&amp;"'!"&amp;"$"&amp;$D180&amp;$AL$1&amp;"")</f>
        <v>CMS</v>
      </c>
      <c r="AO180" s="283" t="s">
        <v>1</v>
      </c>
      <c r="AP180" s="281" t="s">
        <v>1</v>
      </c>
      <c r="AQ180" s="282" cm="1">
        <f t="array" aca="1" ref="AQ180" ca="1">INDIRECT("'"&amp;$C180&amp;"'!"&amp;"$"&amp;$D180&amp;$AQ$1&amp;"")</f>
        <v>4</v>
      </c>
      <c r="AR180" s="283">
        <v>0.98</v>
      </c>
      <c r="AS180" s="281">
        <v>0.68899999999999995</v>
      </c>
      <c r="AT180" s="283" cm="1">
        <f t="array" aca="1" ref="AT180" ca="1">INDIRECT("'"&amp;$C180&amp;"'!"&amp;"$"&amp;$D180&amp;$AT$1&amp;"")</f>
        <v>0</v>
      </c>
      <c r="AU180" s="282" t="s">
        <v>1</v>
      </c>
      <c r="AV180" s="283" t="s">
        <v>1</v>
      </c>
      <c r="AW180" s="281" t="s">
        <v>1</v>
      </c>
      <c r="AX180" s="285">
        <v>14.05</v>
      </c>
      <c r="AY180" s="284">
        <v>71.569999999999993</v>
      </c>
      <c r="AZ180" s="285" cm="1">
        <f t="array" aca="1" ref="AZ180" ca="1">INDIRECT("'"&amp;$C180&amp;"'!"&amp;"$"&amp;$D180&amp;$AZ$1&amp;"")</f>
        <v>13.25</v>
      </c>
      <c r="BA180" s="283">
        <v>1</v>
      </c>
      <c r="BB180" s="281">
        <v>1.3</v>
      </c>
      <c r="BC180" s="281">
        <v>69.599999999999994</v>
      </c>
      <c r="BD180" s="280" cm="1">
        <f t="array" aca="1" ref="BD180" ca="1">INDIRECT("'"&amp;$C180&amp;"'!"&amp;"$"&amp;$D180&amp;$BC$1&amp;"")</f>
        <v>0</v>
      </c>
      <c r="BE180" s="282" t="s">
        <v>1</v>
      </c>
      <c r="BF180" s="281" t="s">
        <v>1</v>
      </c>
      <c r="BG180" s="285" cm="1">
        <f t="array" aca="1" ref="BG180" ca="1">INDIRECT("'"&amp;$C180&amp;"'!"&amp;"$"&amp;$D180&amp;$BG$1&amp;"")</f>
        <v>0.9</v>
      </c>
      <c r="BH180" s="283"/>
      <c r="BI180" s="283">
        <v>0.99</v>
      </c>
      <c r="BJ180" s="281">
        <v>0.12</v>
      </c>
      <c r="BK180" s="285" cm="1">
        <f t="array" aca="1" ref="BK180" ca="1">INDIRECT("'"&amp;$C180&amp;"'!"&amp;"$"&amp;$D180&amp;$BK$1&amp;"")</f>
        <v>0.73</v>
      </c>
      <c r="BL180" s="283"/>
      <c r="BM180" s="283">
        <v>0.96</v>
      </c>
      <c r="BN180" s="281">
        <v>0.21</v>
      </c>
      <c r="BO180" s="373" cm="1">
        <f t="array" aca="1" ref="BO180" ca="1">INDIRECT("'"&amp;$C180&amp;"'!"&amp;"$"&amp;$D180&amp;74&amp;"")</f>
        <v>0</v>
      </c>
      <c r="BP180" s="283"/>
      <c r="BQ180" s="283" t="s">
        <v>1</v>
      </c>
      <c r="BR180" s="281" t="s">
        <v>1</v>
      </c>
    </row>
    <row r="181" spans="1:70">
      <c r="A181" s="361">
        <v>45755</v>
      </c>
      <c r="B181" s="358">
        <v>4.1666666666666699E-2</v>
      </c>
      <c r="C181" s="313">
        <f t="shared" ref="C181:C203" si="6">C156+1</f>
        <v>8</v>
      </c>
      <c r="D181" s="314" t="s">
        <v>128</v>
      </c>
      <c r="E181" s="286">
        <v>14.2</v>
      </c>
      <c r="F181" s="287">
        <v>69.84</v>
      </c>
      <c r="G181" s="288" cm="1">
        <f t="array" aca="1" ref="G181" ca="1">INDIRECT("'"&amp;$C181&amp;"'!"&amp;"$"&amp;$D181&amp;$E$1&amp;"")</f>
        <v>6.7</v>
      </c>
      <c r="H181" s="289">
        <v>0.98</v>
      </c>
      <c r="I181" s="287">
        <v>1.35</v>
      </c>
      <c r="J181" s="288" cm="1">
        <f t="array" aca="1" ref="J181" ca="1">INDIRECT("'"&amp;$C181&amp;"'!"&amp;"$"&amp;$D181&amp;$J$1&amp;"")</f>
        <v>6.6</v>
      </c>
      <c r="K181" s="289"/>
      <c r="L181" s="289">
        <v>0.99</v>
      </c>
      <c r="M181" s="287">
        <v>1.01</v>
      </c>
      <c r="N181" s="288" cm="1">
        <f t="array" aca="1" ref="N181" ca="1">INDIRECT("'"&amp;$C181&amp;"'!"&amp;"$"&amp;$D181&amp;$N$1&amp;"")</f>
        <v>0</v>
      </c>
      <c r="O181" s="289"/>
      <c r="P181" s="289" t="s">
        <v>1</v>
      </c>
      <c r="Q181" s="287" t="s">
        <v>1</v>
      </c>
      <c r="R181" s="288" cm="1">
        <f t="array" aca="1" ref="R181" ca="1">INDIRECT("'"&amp;$C181&amp;"'!"&amp;"$"&amp;$D181&amp;$R$1&amp;"")</f>
        <v>6.7</v>
      </c>
      <c r="S181" s="289"/>
      <c r="T181" s="289">
        <v>0.96</v>
      </c>
      <c r="U181" s="287">
        <v>2.0299999999999998</v>
      </c>
      <c r="V181" s="288" cm="1">
        <f t="array" aca="1" ref="V181" ca="1">INDIRECT("'"&amp;$C181&amp;"'!"&amp;"$"&amp;$D181&amp;$V$1&amp;"")</f>
        <v>0</v>
      </c>
      <c r="W181" s="289" t="s">
        <v>1</v>
      </c>
      <c r="X181" s="289" t="s">
        <v>1</v>
      </c>
      <c r="Y181" s="290" t="s">
        <v>1</v>
      </c>
      <c r="Z181" s="286" cm="1">
        <f t="array" aca="1" ref="Z181" ca="1">INDIRECT("'"&amp;$C181&amp;"'!"&amp;"$"&amp;$D181&amp;$Z$1&amp;"")</f>
        <v>0</v>
      </c>
      <c r="AA181" s="289" t="s">
        <v>1</v>
      </c>
      <c r="AB181" s="289" t="s">
        <v>1</v>
      </c>
      <c r="AC181" s="287" t="s">
        <v>1</v>
      </c>
      <c r="AD181" s="288" cm="1">
        <f t="array" aca="1" ref="AD181" ca="1">INDIRECT("'"&amp;$C181&amp;"'!"&amp;"$"&amp;$D181&amp;$AD$1&amp;"")</f>
        <v>0</v>
      </c>
      <c r="AE181" s="289" t="s">
        <v>1</v>
      </c>
      <c r="AF181" s="289" t="s">
        <v>1</v>
      </c>
      <c r="AG181" s="290" t="s">
        <v>1</v>
      </c>
      <c r="AH181" s="286" cm="1">
        <f t="array" aca="1" ref="AH181" ca="1">INDIRECT("'"&amp;$C181&amp;"'!"&amp;"$"&amp;$D181&amp;$AH$1&amp;"")</f>
        <v>0</v>
      </c>
      <c r="AI181" s="289" t="s">
        <v>1</v>
      </c>
      <c r="AJ181" s="289" t="s">
        <v>1</v>
      </c>
      <c r="AK181" s="287" t="s">
        <v>1</v>
      </c>
      <c r="AL181" s="286">
        <v>11.8</v>
      </c>
      <c r="AM181" s="290">
        <v>70.400000000000006</v>
      </c>
      <c r="AN181" s="286" t="str" cm="1">
        <f t="array" aca="1" ref="AN181" ca="1">INDIRECT("'"&amp;$C181&amp;"'!"&amp;"$"&amp;$D181&amp;$AL$1&amp;"")</f>
        <v>CMS</v>
      </c>
      <c r="AO181" s="289" t="s">
        <v>1</v>
      </c>
      <c r="AP181" s="287" t="s">
        <v>1</v>
      </c>
      <c r="AQ181" s="288" cm="1">
        <f t="array" aca="1" ref="AQ181" ca="1">INDIRECT("'"&amp;$C181&amp;"'!"&amp;"$"&amp;$D181&amp;$AQ$1&amp;"")</f>
        <v>3.8</v>
      </c>
      <c r="AR181" s="289">
        <v>0.97</v>
      </c>
      <c r="AS181" s="287">
        <v>1.012</v>
      </c>
      <c r="AT181" s="289" cm="1">
        <f t="array" aca="1" ref="AT181" ca="1">INDIRECT("'"&amp;$C181&amp;"'!"&amp;"$"&amp;$D181&amp;$AT$1&amp;"")</f>
        <v>0</v>
      </c>
      <c r="AU181" s="288" t="s">
        <v>1</v>
      </c>
      <c r="AV181" s="289" t="s">
        <v>1</v>
      </c>
      <c r="AW181" s="287" t="s">
        <v>1</v>
      </c>
      <c r="AX181" s="291">
        <v>14.03</v>
      </c>
      <c r="AY181" s="290">
        <v>71.433000000000007</v>
      </c>
      <c r="AZ181" s="291" cm="1">
        <f t="array" aca="1" ref="AZ181" ca="1">INDIRECT("'"&amp;$C181&amp;"'!"&amp;"$"&amp;$D181&amp;$AZ$1&amp;"")</f>
        <v>14.27</v>
      </c>
      <c r="BA181" s="289">
        <v>1</v>
      </c>
      <c r="BB181" s="287">
        <v>1.3</v>
      </c>
      <c r="BC181" s="292">
        <v>68.900000000000006</v>
      </c>
      <c r="BD181" s="286" cm="1">
        <f t="array" aca="1" ref="BD181" ca="1">INDIRECT("'"&amp;$C181&amp;"'!"&amp;"$"&amp;$D181&amp;$BC$1&amp;"")</f>
        <v>0</v>
      </c>
      <c r="BE181" s="288" t="s">
        <v>1</v>
      </c>
      <c r="BF181" s="287" t="s">
        <v>1</v>
      </c>
      <c r="BG181" s="291" cm="1">
        <f t="array" aca="1" ref="BG181" ca="1">INDIRECT("'"&amp;$C181&amp;"'!"&amp;"$"&amp;$D181&amp;$BG$1&amp;"")</f>
        <v>0.88</v>
      </c>
      <c r="BH181" s="289"/>
      <c r="BI181" s="289">
        <v>0.99</v>
      </c>
      <c r="BJ181" s="287">
        <v>0.11</v>
      </c>
      <c r="BK181" s="291" cm="1">
        <f t="array" aca="1" ref="BK181" ca="1">INDIRECT("'"&amp;$C181&amp;"'!"&amp;"$"&amp;$D181&amp;$BK$1&amp;"")</f>
        <v>0.71</v>
      </c>
      <c r="BL181" s="289"/>
      <c r="BM181" s="289">
        <v>0.96</v>
      </c>
      <c r="BN181" s="287">
        <v>0.21</v>
      </c>
      <c r="BO181" s="292" cm="1">
        <f t="array" aca="1" ref="BO181" ca="1">INDIRECT("'"&amp;$C181&amp;"'!"&amp;"$"&amp;$D181&amp;74&amp;"")</f>
        <v>0</v>
      </c>
      <c r="BP181" s="289"/>
      <c r="BQ181" s="289" t="s">
        <v>1</v>
      </c>
      <c r="BR181" s="287" t="s">
        <v>1</v>
      </c>
    </row>
    <row r="182" spans="1:70">
      <c r="A182" s="361">
        <v>45755</v>
      </c>
      <c r="B182" s="358">
        <v>8.3333333333333301E-2</v>
      </c>
      <c r="C182" s="313">
        <f t="shared" si="6"/>
        <v>8</v>
      </c>
      <c r="D182" s="314" t="s">
        <v>129</v>
      </c>
      <c r="E182" s="293">
        <v>14.2</v>
      </c>
      <c r="F182" s="294">
        <v>70.36</v>
      </c>
      <c r="G182" s="295" cm="1">
        <f t="array" aca="1" ref="G182" ca="1">INDIRECT("'"&amp;$C182&amp;"'!"&amp;"$"&amp;$D182&amp;$E$1&amp;"")</f>
        <v>6.6</v>
      </c>
      <c r="H182" s="296">
        <v>0.99</v>
      </c>
      <c r="I182" s="294">
        <v>1.02</v>
      </c>
      <c r="J182" s="295" cm="1">
        <f t="array" aca="1" ref="J182" ca="1">INDIRECT("'"&amp;$C182&amp;"'!"&amp;"$"&amp;$D182&amp;$J$1&amp;"")</f>
        <v>6.6</v>
      </c>
      <c r="K182" s="296"/>
      <c r="L182" s="296">
        <v>0.99</v>
      </c>
      <c r="M182" s="294">
        <v>1.06</v>
      </c>
      <c r="N182" s="295" cm="1">
        <f t="array" aca="1" ref="N182" ca="1">INDIRECT("'"&amp;$C182&amp;"'!"&amp;"$"&amp;$D182&amp;$N$1&amp;"")</f>
        <v>0</v>
      </c>
      <c r="O182" s="296"/>
      <c r="P182" s="296" t="s">
        <v>1</v>
      </c>
      <c r="Q182" s="294" t="s">
        <v>1</v>
      </c>
      <c r="R182" s="295" cm="1">
        <f t="array" aca="1" ref="R182" ca="1">INDIRECT("'"&amp;$C182&amp;"'!"&amp;"$"&amp;$D182&amp;$R$1&amp;"")</f>
        <v>6.7</v>
      </c>
      <c r="S182" s="296"/>
      <c r="T182" s="296">
        <v>0.97</v>
      </c>
      <c r="U182" s="294">
        <v>1.55</v>
      </c>
      <c r="V182" s="295" cm="1">
        <f t="array" aca="1" ref="V182" ca="1">INDIRECT("'"&amp;$C182&amp;"'!"&amp;"$"&amp;$D182&amp;$V$1&amp;"")</f>
        <v>0</v>
      </c>
      <c r="W182" s="296" t="s">
        <v>1</v>
      </c>
      <c r="X182" s="296" t="s">
        <v>1</v>
      </c>
      <c r="Y182" s="297" t="s">
        <v>1</v>
      </c>
      <c r="Z182" s="293" cm="1">
        <f t="array" aca="1" ref="Z182" ca="1">INDIRECT("'"&amp;$C182&amp;"'!"&amp;"$"&amp;$D182&amp;$Z$1&amp;"")</f>
        <v>0</v>
      </c>
      <c r="AA182" s="296" t="s">
        <v>1</v>
      </c>
      <c r="AB182" s="296" t="s">
        <v>1</v>
      </c>
      <c r="AC182" s="294" t="s">
        <v>1</v>
      </c>
      <c r="AD182" s="295" cm="1">
        <f t="array" aca="1" ref="AD182" ca="1">INDIRECT("'"&amp;$C182&amp;"'!"&amp;"$"&amp;$D182&amp;$AD$1&amp;"")</f>
        <v>0</v>
      </c>
      <c r="AE182" s="296" t="s">
        <v>1</v>
      </c>
      <c r="AF182" s="296" t="s">
        <v>1</v>
      </c>
      <c r="AG182" s="297" t="s">
        <v>1</v>
      </c>
      <c r="AH182" s="293" cm="1">
        <f t="array" aca="1" ref="AH182" ca="1">INDIRECT("'"&amp;$C182&amp;"'!"&amp;"$"&amp;$D182&amp;$AH$1&amp;"")</f>
        <v>0</v>
      </c>
      <c r="AI182" s="296" t="s">
        <v>1</v>
      </c>
      <c r="AJ182" s="296" t="s">
        <v>1</v>
      </c>
      <c r="AK182" s="297" t="s">
        <v>1</v>
      </c>
      <c r="AL182" s="293">
        <v>11.8</v>
      </c>
      <c r="AM182" s="297">
        <v>70.5</v>
      </c>
      <c r="AN182" s="293" t="str" cm="1">
        <f t="array" aca="1" ref="AN182" ca="1">INDIRECT("'"&amp;$C182&amp;"'!"&amp;"$"&amp;$D182&amp;$AL$1&amp;"")</f>
        <v>CMS</v>
      </c>
      <c r="AO182" s="296" t="s">
        <v>1</v>
      </c>
      <c r="AP182" s="294" t="s">
        <v>1</v>
      </c>
      <c r="AQ182" s="295" cm="1">
        <f t="array" aca="1" ref="AQ182" ca="1">INDIRECT("'"&amp;$C182&amp;"'!"&amp;"$"&amp;$D182&amp;$AQ$1&amp;"")</f>
        <v>3</v>
      </c>
      <c r="AR182" s="296">
        <v>0.95</v>
      </c>
      <c r="AS182" s="294">
        <v>0.81</v>
      </c>
      <c r="AT182" s="296" cm="1">
        <f t="array" aca="1" ref="AT182" ca="1">INDIRECT("'"&amp;$C182&amp;"'!"&amp;"$"&amp;$D182&amp;$AT$1&amp;"")</f>
        <v>0</v>
      </c>
      <c r="AU182" s="295" t="s">
        <v>1</v>
      </c>
      <c r="AV182" s="296" t="s">
        <v>1</v>
      </c>
      <c r="AW182" s="294" t="s">
        <v>1</v>
      </c>
      <c r="AX182" s="298">
        <v>14.07</v>
      </c>
      <c r="AY182" s="297">
        <v>71.59</v>
      </c>
      <c r="AZ182" s="298" cm="1">
        <f t="array" aca="1" ref="AZ182" ca="1">INDIRECT("'"&amp;$C182&amp;"'!"&amp;"$"&amp;$D182&amp;$AZ$1&amp;"")</f>
        <v>13.28</v>
      </c>
      <c r="BA182" s="296">
        <v>1</v>
      </c>
      <c r="BB182" s="294">
        <v>1.3</v>
      </c>
      <c r="BC182" s="299">
        <v>69.3</v>
      </c>
      <c r="BD182" s="293" cm="1">
        <f t="array" aca="1" ref="BD182" ca="1">INDIRECT("'"&amp;$C182&amp;"'!"&amp;"$"&amp;$D182&amp;$BC$1&amp;"")</f>
        <v>0</v>
      </c>
      <c r="BE182" s="295" t="s">
        <v>1</v>
      </c>
      <c r="BF182" s="294" t="s">
        <v>1</v>
      </c>
      <c r="BG182" s="298" cm="1">
        <f t="array" aca="1" ref="BG182" ca="1">INDIRECT("'"&amp;$C182&amp;"'!"&amp;"$"&amp;$D182&amp;$BG$1&amp;"")</f>
        <v>0.85</v>
      </c>
      <c r="BH182" s="296"/>
      <c r="BI182" s="296">
        <v>0.99</v>
      </c>
      <c r="BJ182" s="294">
        <v>0.11</v>
      </c>
      <c r="BK182" s="298" cm="1">
        <f t="array" aca="1" ref="BK182" ca="1">INDIRECT("'"&amp;$C182&amp;"'!"&amp;"$"&amp;$D182&amp;$BK$1&amp;"")</f>
        <v>0.69</v>
      </c>
      <c r="BL182" s="296"/>
      <c r="BM182" s="296">
        <v>0.96</v>
      </c>
      <c r="BN182" s="294">
        <v>0.2</v>
      </c>
      <c r="BO182" s="299" cm="1">
        <f t="array" aca="1" ref="BO182" ca="1">INDIRECT("'"&amp;$C182&amp;"'!"&amp;"$"&amp;$D182&amp;74&amp;"")</f>
        <v>0</v>
      </c>
      <c r="BP182" s="296"/>
      <c r="BQ182" s="296" t="s">
        <v>1</v>
      </c>
      <c r="BR182" s="294" t="s">
        <v>1</v>
      </c>
    </row>
    <row r="183" spans="1:70">
      <c r="A183" s="361">
        <v>45755</v>
      </c>
      <c r="B183" s="358">
        <v>0.125</v>
      </c>
      <c r="C183" s="313">
        <f t="shared" si="6"/>
        <v>8</v>
      </c>
      <c r="D183" s="314" t="s">
        <v>130</v>
      </c>
      <c r="E183" s="286">
        <v>14.3</v>
      </c>
      <c r="F183" s="287">
        <v>70.59</v>
      </c>
      <c r="G183" s="288" cm="1">
        <f t="array" aca="1" ref="G183" ca="1">INDIRECT("'"&amp;$C183&amp;"'!"&amp;"$"&amp;$D183&amp;$E$1&amp;"")</f>
        <v>6.6</v>
      </c>
      <c r="H183" s="289">
        <v>0.98</v>
      </c>
      <c r="I183" s="287">
        <v>1.34</v>
      </c>
      <c r="J183" s="288" cm="1">
        <f t="array" aca="1" ref="J183" ca="1">INDIRECT("'"&amp;$C183&amp;"'!"&amp;"$"&amp;$D183&amp;$J$1&amp;"")</f>
        <v>6.5</v>
      </c>
      <c r="K183" s="289"/>
      <c r="L183" s="289">
        <v>0.99</v>
      </c>
      <c r="M183" s="287">
        <v>0.99</v>
      </c>
      <c r="N183" s="288" cm="1">
        <f t="array" aca="1" ref="N183" ca="1">INDIRECT("'"&amp;$C183&amp;"'!"&amp;"$"&amp;$D183&amp;$N$1&amp;"")</f>
        <v>0</v>
      </c>
      <c r="O183" s="289"/>
      <c r="P183" s="289" t="s">
        <v>1</v>
      </c>
      <c r="Q183" s="287" t="s">
        <v>1</v>
      </c>
      <c r="R183" s="288" cm="1">
        <f t="array" aca="1" ref="R183" ca="1">INDIRECT("'"&amp;$C183&amp;"'!"&amp;"$"&amp;$D183&amp;$R$1&amp;"")</f>
        <v>6.6</v>
      </c>
      <c r="S183" s="289"/>
      <c r="T183" s="289">
        <v>0.98</v>
      </c>
      <c r="U183" s="287">
        <v>1.25</v>
      </c>
      <c r="V183" s="288" cm="1">
        <f t="array" aca="1" ref="V183" ca="1">INDIRECT("'"&amp;$C183&amp;"'!"&amp;"$"&amp;$D183&amp;$V$1&amp;"")</f>
        <v>0</v>
      </c>
      <c r="W183" s="289" t="s">
        <v>1</v>
      </c>
      <c r="X183" s="289" t="s">
        <v>1</v>
      </c>
      <c r="Y183" s="290" t="s">
        <v>1</v>
      </c>
      <c r="Z183" s="286" cm="1">
        <f t="array" aca="1" ref="Z183" ca="1">INDIRECT("'"&amp;$C183&amp;"'!"&amp;"$"&amp;$D183&amp;$Z$1&amp;"")</f>
        <v>0</v>
      </c>
      <c r="AA183" s="289" t="s">
        <v>1</v>
      </c>
      <c r="AB183" s="289" t="s">
        <v>1</v>
      </c>
      <c r="AC183" s="287" t="s">
        <v>1</v>
      </c>
      <c r="AD183" s="288" cm="1">
        <f t="array" aca="1" ref="AD183" ca="1">INDIRECT("'"&amp;$C183&amp;"'!"&amp;"$"&amp;$D183&amp;$AD$1&amp;"")</f>
        <v>0</v>
      </c>
      <c r="AE183" s="289" t="s">
        <v>1</v>
      </c>
      <c r="AF183" s="289" t="s">
        <v>1</v>
      </c>
      <c r="AG183" s="290" t="s">
        <v>1</v>
      </c>
      <c r="AH183" s="286" cm="1">
        <f t="array" aca="1" ref="AH183" ca="1">INDIRECT("'"&amp;$C183&amp;"'!"&amp;"$"&amp;$D183&amp;$AH$1&amp;"")</f>
        <v>0</v>
      </c>
      <c r="AI183" s="289" t="s">
        <v>1</v>
      </c>
      <c r="AJ183" s="289" t="s">
        <v>1</v>
      </c>
      <c r="AK183" s="287" t="s">
        <v>1</v>
      </c>
      <c r="AL183" s="286">
        <v>11.8</v>
      </c>
      <c r="AM183" s="290">
        <v>70.8</v>
      </c>
      <c r="AN183" s="286" t="str" cm="1">
        <f t="array" aca="1" ref="AN183" ca="1">INDIRECT("'"&amp;$C183&amp;"'!"&amp;"$"&amp;$D183&amp;$AL$1&amp;"")</f>
        <v>CMS</v>
      </c>
      <c r="AO183" s="289" t="s">
        <v>1</v>
      </c>
      <c r="AP183" s="287" t="s">
        <v>1</v>
      </c>
      <c r="AQ183" s="288" cm="1">
        <f t="array" aca="1" ref="AQ183" ca="1">INDIRECT("'"&amp;$C183&amp;"'!"&amp;"$"&amp;$D183&amp;$AQ$1&amp;"")</f>
        <v>3</v>
      </c>
      <c r="AR183" s="289">
        <v>0.97</v>
      </c>
      <c r="AS183" s="287">
        <v>0.65</v>
      </c>
      <c r="AT183" s="289" cm="1">
        <f t="array" aca="1" ref="AT183" ca="1">INDIRECT("'"&amp;$C183&amp;"'!"&amp;"$"&amp;$D183&amp;$AT$1&amp;"")</f>
        <v>0</v>
      </c>
      <c r="AU183" s="288" t="s">
        <v>1</v>
      </c>
      <c r="AV183" s="289" t="s">
        <v>1</v>
      </c>
      <c r="AW183" s="287" t="s">
        <v>1</v>
      </c>
      <c r="AX183" s="291">
        <v>14.1</v>
      </c>
      <c r="AY183" s="290">
        <v>71.8</v>
      </c>
      <c r="AZ183" s="291" cm="1">
        <f t="array" aca="1" ref="AZ183" ca="1">INDIRECT("'"&amp;$C183&amp;"'!"&amp;"$"&amp;$D183&amp;$AZ$1&amp;"")</f>
        <v>12.81</v>
      </c>
      <c r="BA183" s="289">
        <v>1</v>
      </c>
      <c r="BB183" s="287">
        <v>1.3</v>
      </c>
      <c r="BC183" s="292">
        <v>69.599999999999994</v>
      </c>
      <c r="BD183" s="286" cm="1">
        <f t="array" aca="1" ref="BD183" ca="1">INDIRECT("'"&amp;$C183&amp;"'!"&amp;"$"&amp;$D183&amp;$BC$1&amp;"")</f>
        <v>0</v>
      </c>
      <c r="BE183" s="288" t="s">
        <v>1</v>
      </c>
      <c r="BF183" s="287" t="s">
        <v>1</v>
      </c>
      <c r="BG183" s="291" cm="1">
        <f t="array" aca="1" ref="BG183" ca="1">INDIRECT("'"&amp;$C183&amp;"'!"&amp;"$"&amp;$D183&amp;$BG$1&amp;"")</f>
        <v>0.83</v>
      </c>
      <c r="BH183" s="289"/>
      <c r="BI183" s="289">
        <v>0.99</v>
      </c>
      <c r="BJ183" s="287">
        <v>0.11</v>
      </c>
      <c r="BK183" s="291" cm="1">
        <f t="array" aca="1" ref="BK183" ca="1">INDIRECT("'"&amp;$C183&amp;"'!"&amp;"$"&amp;$D183&amp;$BK$1&amp;"")</f>
        <v>0.68</v>
      </c>
      <c r="BL183" s="289"/>
      <c r="BM183" s="289">
        <v>0.96</v>
      </c>
      <c r="BN183" s="287">
        <v>0.2</v>
      </c>
      <c r="BO183" s="292" cm="1">
        <f t="array" aca="1" ref="BO183" ca="1">INDIRECT("'"&amp;$C183&amp;"'!"&amp;"$"&amp;$D183&amp;74&amp;"")</f>
        <v>0</v>
      </c>
      <c r="BP183" s="289"/>
      <c r="BQ183" s="289" t="s">
        <v>1</v>
      </c>
      <c r="BR183" s="287" t="s">
        <v>1</v>
      </c>
    </row>
    <row r="184" spans="1:70">
      <c r="A184" s="361">
        <v>45755</v>
      </c>
      <c r="B184" s="358">
        <v>0.16666666666666699</v>
      </c>
      <c r="C184" s="313">
        <f t="shared" si="6"/>
        <v>8</v>
      </c>
      <c r="D184" s="314" t="s">
        <v>131</v>
      </c>
      <c r="E184" s="293">
        <v>14.2</v>
      </c>
      <c r="F184" s="294">
        <v>70.400000000000006</v>
      </c>
      <c r="G184" s="295" cm="1">
        <f t="array" aca="1" ref="G184" ca="1">INDIRECT("'"&amp;$C184&amp;"'!"&amp;"$"&amp;$D184&amp;$E$1&amp;"")</f>
        <v>6.5</v>
      </c>
      <c r="H184" s="296">
        <v>0.98</v>
      </c>
      <c r="I184" s="294">
        <v>1.34</v>
      </c>
      <c r="J184" s="295" cm="1">
        <f t="array" aca="1" ref="J184" ca="1">INDIRECT("'"&amp;$C184&amp;"'!"&amp;"$"&amp;$D184&amp;$J$1&amp;"")</f>
        <v>6.4</v>
      </c>
      <c r="K184" s="296"/>
      <c r="L184" s="296">
        <v>0.99</v>
      </c>
      <c r="M184" s="294">
        <v>1.02</v>
      </c>
      <c r="N184" s="295" cm="1">
        <f t="array" aca="1" ref="N184" ca="1">INDIRECT("'"&amp;$C184&amp;"'!"&amp;"$"&amp;$D184&amp;$N$1&amp;"")</f>
        <v>0</v>
      </c>
      <c r="O184" s="296"/>
      <c r="P184" s="296" t="s">
        <v>1</v>
      </c>
      <c r="Q184" s="294" t="s">
        <v>1</v>
      </c>
      <c r="R184" s="295" cm="1">
        <f t="array" aca="1" ref="R184" ca="1">INDIRECT("'"&amp;$C184&amp;"'!"&amp;"$"&amp;$D184&amp;$R$1&amp;"")</f>
        <v>6.6</v>
      </c>
      <c r="S184" s="296"/>
      <c r="T184" s="296">
        <v>0.98</v>
      </c>
      <c r="U184" s="294">
        <v>1.38</v>
      </c>
      <c r="V184" s="295" cm="1">
        <f t="array" aca="1" ref="V184" ca="1">INDIRECT("'"&amp;$C184&amp;"'!"&amp;"$"&amp;$D184&amp;$V$1&amp;"")</f>
        <v>0</v>
      </c>
      <c r="W184" s="296" t="s">
        <v>1</v>
      </c>
      <c r="X184" s="296" t="s">
        <v>1</v>
      </c>
      <c r="Y184" s="297" t="s">
        <v>1</v>
      </c>
      <c r="Z184" s="293" cm="1">
        <f t="array" aca="1" ref="Z184" ca="1">INDIRECT("'"&amp;$C184&amp;"'!"&amp;"$"&amp;$D184&amp;$Z$1&amp;"")</f>
        <v>0</v>
      </c>
      <c r="AA184" s="296" t="s">
        <v>1</v>
      </c>
      <c r="AB184" s="296" t="s">
        <v>1</v>
      </c>
      <c r="AC184" s="294" t="s">
        <v>1</v>
      </c>
      <c r="AD184" s="295" cm="1">
        <f t="array" aca="1" ref="AD184" ca="1">INDIRECT("'"&amp;$C184&amp;"'!"&amp;"$"&amp;$D184&amp;$AD$1&amp;"")</f>
        <v>0</v>
      </c>
      <c r="AE184" s="296" t="s">
        <v>1</v>
      </c>
      <c r="AF184" s="296" t="s">
        <v>1</v>
      </c>
      <c r="AG184" s="297" t="s">
        <v>1</v>
      </c>
      <c r="AH184" s="293" cm="1">
        <f t="array" aca="1" ref="AH184" ca="1">INDIRECT("'"&amp;$C184&amp;"'!"&amp;"$"&amp;$D184&amp;$AH$1&amp;"")</f>
        <v>0</v>
      </c>
      <c r="AI184" s="296" t="s">
        <v>1</v>
      </c>
      <c r="AJ184" s="296" t="s">
        <v>1</v>
      </c>
      <c r="AK184" s="297" t="s">
        <v>1</v>
      </c>
      <c r="AL184" s="293">
        <v>11.8</v>
      </c>
      <c r="AM184" s="297">
        <v>70.7</v>
      </c>
      <c r="AN184" s="293" t="str" cm="1">
        <f t="array" aca="1" ref="AN184" ca="1">INDIRECT("'"&amp;$C184&amp;"'!"&amp;"$"&amp;$D184&amp;$AL$1&amp;"")</f>
        <v>CMS</v>
      </c>
      <c r="AO184" s="296" t="s">
        <v>1</v>
      </c>
      <c r="AP184" s="294" t="s">
        <v>1</v>
      </c>
      <c r="AQ184" s="295" cm="1">
        <f t="array" aca="1" ref="AQ184" ca="1">INDIRECT("'"&amp;$C184&amp;"'!"&amp;"$"&amp;$D184&amp;$AQ$1&amp;"")</f>
        <v>3</v>
      </c>
      <c r="AR184" s="296">
        <v>0.97</v>
      </c>
      <c r="AS184" s="294">
        <v>0.72</v>
      </c>
      <c r="AT184" s="296" cm="1">
        <f t="array" aca="1" ref="AT184" ca="1">INDIRECT("'"&amp;$C184&amp;"'!"&amp;"$"&amp;$D184&amp;$AT$1&amp;"")</f>
        <v>0</v>
      </c>
      <c r="AU184" s="295" t="s">
        <v>1</v>
      </c>
      <c r="AV184" s="296" t="s">
        <v>1</v>
      </c>
      <c r="AW184" s="294" t="s">
        <v>1</v>
      </c>
      <c r="AX184" s="298">
        <v>14.09</v>
      </c>
      <c r="AY184" s="297">
        <v>71.75</v>
      </c>
      <c r="AZ184" s="298" cm="1">
        <f t="array" aca="1" ref="AZ184" ca="1">INDIRECT("'"&amp;$C184&amp;"'!"&amp;"$"&amp;$D184&amp;$AZ$1&amp;"")</f>
        <v>12.8</v>
      </c>
      <c r="BA184" s="296">
        <v>1</v>
      </c>
      <c r="BB184" s="294">
        <v>1.3</v>
      </c>
      <c r="BC184" s="299">
        <v>69.400000000000006</v>
      </c>
      <c r="BD184" s="293" cm="1">
        <f t="array" aca="1" ref="BD184" ca="1">INDIRECT("'"&amp;$C184&amp;"'!"&amp;"$"&amp;$D184&amp;$BC$1&amp;"")</f>
        <v>0</v>
      </c>
      <c r="BE184" s="295" t="s">
        <v>1</v>
      </c>
      <c r="BF184" s="294" t="s">
        <v>1</v>
      </c>
      <c r="BG184" s="298" cm="1">
        <f t="array" aca="1" ref="BG184" ca="1">INDIRECT("'"&amp;$C184&amp;"'!"&amp;"$"&amp;$D184&amp;$BG$1&amp;"")</f>
        <v>0.78</v>
      </c>
      <c r="BH184" s="296"/>
      <c r="BI184" s="296">
        <v>0.99</v>
      </c>
      <c r="BJ184" s="294">
        <v>0.11</v>
      </c>
      <c r="BK184" s="298" cm="1">
        <f t="array" aca="1" ref="BK184" ca="1">INDIRECT("'"&amp;$C184&amp;"'!"&amp;"$"&amp;$D184&amp;$BK$1&amp;"")</f>
        <v>0.64</v>
      </c>
      <c r="BL184" s="296"/>
      <c r="BM184" s="296">
        <v>0.96</v>
      </c>
      <c r="BN184" s="294">
        <v>0.18</v>
      </c>
      <c r="BO184" s="299" cm="1">
        <f t="array" aca="1" ref="BO184" ca="1">INDIRECT("'"&amp;$C184&amp;"'!"&amp;"$"&amp;$D184&amp;74&amp;"")</f>
        <v>0</v>
      </c>
      <c r="BP184" s="296"/>
      <c r="BQ184" s="296" t="s">
        <v>1</v>
      </c>
      <c r="BR184" s="294" t="s">
        <v>1</v>
      </c>
    </row>
    <row r="185" spans="1:70">
      <c r="A185" s="361">
        <v>45755</v>
      </c>
      <c r="B185" s="358">
        <v>0.20833333333333301</v>
      </c>
      <c r="C185" s="313">
        <f t="shared" si="6"/>
        <v>8</v>
      </c>
      <c r="D185" s="314" t="s">
        <v>132</v>
      </c>
      <c r="E185" s="286">
        <v>14.2</v>
      </c>
      <c r="F185" s="287">
        <v>70.239999999999995</v>
      </c>
      <c r="G185" s="288" cm="1">
        <f t="array" aca="1" ref="G185" ca="1">INDIRECT("'"&amp;$C185&amp;"'!"&amp;"$"&amp;$D185&amp;$E$1&amp;"")</f>
        <v>6.7</v>
      </c>
      <c r="H185" s="289">
        <v>0.98</v>
      </c>
      <c r="I185" s="287">
        <v>1.42</v>
      </c>
      <c r="J185" s="288" cm="1">
        <f t="array" aca="1" ref="J185" ca="1">INDIRECT("'"&amp;$C185&amp;"'!"&amp;"$"&amp;$D185&amp;$J$1&amp;"")</f>
        <v>6.7</v>
      </c>
      <c r="K185" s="289"/>
      <c r="L185" s="289">
        <v>0.99</v>
      </c>
      <c r="M185" s="287">
        <v>1.0900000000000001</v>
      </c>
      <c r="N185" s="288" cm="1">
        <f t="array" aca="1" ref="N185" ca="1">INDIRECT("'"&amp;$C185&amp;"'!"&amp;"$"&amp;$D185&amp;$N$1&amp;"")</f>
        <v>0</v>
      </c>
      <c r="O185" s="289"/>
      <c r="P185" s="289" t="s">
        <v>1</v>
      </c>
      <c r="Q185" s="287" t="s">
        <v>1</v>
      </c>
      <c r="R185" s="288" cm="1">
        <f t="array" aca="1" ref="R185" ca="1">INDIRECT("'"&amp;$C185&amp;"'!"&amp;"$"&amp;$D185&amp;$R$1&amp;"")</f>
        <v>6.7</v>
      </c>
      <c r="S185" s="289"/>
      <c r="T185" s="289">
        <v>0.97</v>
      </c>
      <c r="U185" s="287">
        <v>1.63</v>
      </c>
      <c r="V185" s="288" cm="1">
        <f t="array" aca="1" ref="V185" ca="1">INDIRECT("'"&amp;$C185&amp;"'!"&amp;"$"&amp;$D185&amp;$V$1&amp;"")</f>
        <v>0</v>
      </c>
      <c r="W185" s="289" t="s">
        <v>1</v>
      </c>
      <c r="X185" s="289" t="s">
        <v>1</v>
      </c>
      <c r="Y185" s="290" t="s">
        <v>1</v>
      </c>
      <c r="Z185" s="286" cm="1">
        <f t="array" aca="1" ref="Z185" ca="1">INDIRECT("'"&amp;$C185&amp;"'!"&amp;"$"&amp;$D185&amp;$Z$1&amp;"")</f>
        <v>0</v>
      </c>
      <c r="AA185" s="289" t="s">
        <v>1</v>
      </c>
      <c r="AB185" s="289" t="s">
        <v>1</v>
      </c>
      <c r="AC185" s="287" t="s">
        <v>1</v>
      </c>
      <c r="AD185" s="288" cm="1">
        <f t="array" aca="1" ref="AD185" ca="1">INDIRECT("'"&amp;$C185&amp;"'!"&amp;"$"&amp;$D185&amp;$AD$1&amp;"")</f>
        <v>0</v>
      </c>
      <c r="AE185" s="289" t="s">
        <v>1</v>
      </c>
      <c r="AF185" s="289" t="s">
        <v>1</v>
      </c>
      <c r="AG185" s="290" t="s">
        <v>1</v>
      </c>
      <c r="AH185" s="286" cm="1">
        <f t="array" aca="1" ref="AH185" ca="1">INDIRECT("'"&amp;$C185&amp;"'!"&amp;"$"&amp;$D185&amp;$AH$1&amp;"")</f>
        <v>0</v>
      </c>
      <c r="AI185" s="289" t="s">
        <v>1</v>
      </c>
      <c r="AJ185" s="289" t="s">
        <v>1</v>
      </c>
      <c r="AK185" s="287" t="s">
        <v>1</v>
      </c>
      <c r="AL185" s="286">
        <v>11.8</v>
      </c>
      <c r="AM185" s="290">
        <v>70.400000000000006</v>
      </c>
      <c r="AN185" s="286" t="str" cm="1">
        <f t="array" aca="1" ref="AN185" ca="1">INDIRECT("'"&amp;$C185&amp;"'!"&amp;"$"&amp;$D185&amp;$AL$1&amp;"")</f>
        <v>CMS</v>
      </c>
      <c r="AO185" s="289" t="s">
        <v>1</v>
      </c>
      <c r="AP185" s="287" t="s">
        <v>1</v>
      </c>
      <c r="AQ185" s="288" cm="1">
        <f t="array" aca="1" ref="AQ185" ca="1">INDIRECT("'"&amp;$C185&amp;"'!"&amp;"$"&amp;$D185&amp;$AQ$1&amp;"")</f>
        <v>4</v>
      </c>
      <c r="AR185" s="289">
        <v>0.97</v>
      </c>
      <c r="AS185" s="287">
        <v>0.93</v>
      </c>
      <c r="AT185" s="289" cm="1">
        <f t="array" aca="1" ref="AT185" ca="1">INDIRECT("'"&amp;$C185&amp;"'!"&amp;"$"&amp;$D185&amp;$AT$1&amp;"")</f>
        <v>0</v>
      </c>
      <c r="AU185" s="288" t="s">
        <v>1</v>
      </c>
      <c r="AV185" s="289" t="s">
        <v>1</v>
      </c>
      <c r="AW185" s="287" t="s">
        <v>1</v>
      </c>
      <c r="AX185" s="291">
        <v>14.04</v>
      </c>
      <c r="AY185" s="290">
        <v>71.5</v>
      </c>
      <c r="AZ185" s="291" cm="1">
        <f t="array" aca="1" ref="AZ185" ca="1">INDIRECT("'"&amp;$C185&amp;"'!"&amp;"$"&amp;$D185&amp;$AZ$1&amp;"")</f>
        <v>14.28</v>
      </c>
      <c r="BA185" s="289">
        <v>1</v>
      </c>
      <c r="BB185" s="287">
        <v>1.2</v>
      </c>
      <c r="BC185" s="292">
        <v>69.2</v>
      </c>
      <c r="BD185" s="286" cm="1">
        <f t="array" aca="1" ref="BD185" ca="1">INDIRECT("'"&amp;$C185&amp;"'!"&amp;"$"&amp;$D185&amp;$BC$1&amp;"")</f>
        <v>0</v>
      </c>
      <c r="BE185" s="288" t="s">
        <v>1</v>
      </c>
      <c r="BF185" s="287" t="s">
        <v>1</v>
      </c>
      <c r="BG185" s="291" cm="1">
        <f t="array" aca="1" ref="BG185" ca="1">INDIRECT("'"&amp;$C185&amp;"'!"&amp;"$"&amp;$D185&amp;$BG$1&amp;"")</f>
        <v>1.1000000000000001</v>
      </c>
      <c r="BH185" s="289"/>
      <c r="BI185" s="289">
        <v>0.99</v>
      </c>
      <c r="BJ185" s="287">
        <v>0.09</v>
      </c>
      <c r="BK185" s="291" cm="1">
        <f t="array" aca="1" ref="BK185" ca="1">INDIRECT("'"&amp;$C185&amp;"'!"&amp;"$"&amp;$D185&amp;$BK$1&amp;"")</f>
        <v>0.72</v>
      </c>
      <c r="BL185" s="289"/>
      <c r="BM185" s="289">
        <v>0.96</v>
      </c>
      <c r="BN185" s="287">
        <v>0.19</v>
      </c>
      <c r="BO185" s="292" cm="1">
        <f t="array" aca="1" ref="BO185" ca="1">INDIRECT("'"&amp;$C185&amp;"'!"&amp;"$"&amp;$D185&amp;74&amp;"")</f>
        <v>0</v>
      </c>
      <c r="BP185" s="289"/>
      <c r="BQ185" s="289" t="s">
        <v>1</v>
      </c>
      <c r="BR185" s="287" t="s">
        <v>1</v>
      </c>
    </row>
    <row r="186" spans="1:70">
      <c r="A186" s="361">
        <v>45755</v>
      </c>
      <c r="B186" s="358">
        <v>0.25</v>
      </c>
      <c r="C186" s="313">
        <f t="shared" si="6"/>
        <v>8</v>
      </c>
      <c r="D186" s="314" t="s">
        <v>133</v>
      </c>
      <c r="E186" s="293">
        <v>14.2</v>
      </c>
      <c r="F186" s="294">
        <v>70.41</v>
      </c>
      <c r="G186" s="295" cm="1">
        <f t="array" aca="1" ref="G186" ca="1">INDIRECT("'"&amp;$C186&amp;"'!"&amp;"$"&amp;$D186&amp;$E$1&amp;"")</f>
        <v>6.6</v>
      </c>
      <c r="H186" s="296">
        <v>0.98</v>
      </c>
      <c r="I186" s="294">
        <v>1.38</v>
      </c>
      <c r="J186" s="295" cm="1">
        <f t="array" aca="1" ref="J186" ca="1">INDIRECT("'"&amp;$C186&amp;"'!"&amp;"$"&amp;$D186&amp;$J$1&amp;"")</f>
        <v>3.5</v>
      </c>
      <c r="K186" s="296"/>
      <c r="L186" s="296">
        <v>0.99</v>
      </c>
      <c r="M186" s="294">
        <v>0.51</v>
      </c>
      <c r="N186" s="295" cm="1">
        <f t="array" aca="1" ref="N186" ca="1">INDIRECT("'"&amp;$C186&amp;"'!"&amp;"$"&amp;$D186&amp;$N$1&amp;"")</f>
        <v>3.4</v>
      </c>
      <c r="O186" s="296"/>
      <c r="P186" s="296">
        <v>0.97</v>
      </c>
      <c r="Q186" s="294">
        <v>0.84</v>
      </c>
      <c r="R186" s="295" cm="1">
        <f t="array" aca="1" ref="R186" ca="1">INDIRECT("'"&amp;$C186&amp;"'!"&amp;"$"&amp;$D186&amp;$R$1&amp;"")</f>
        <v>6.7</v>
      </c>
      <c r="S186" s="296"/>
      <c r="T186" s="296">
        <v>0.98</v>
      </c>
      <c r="U186" s="294">
        <v>1.33</v>
      </c>
      <c r="V186" s="295" cm="1">
        <f t="array" aca="1" ref="V186" ca="1">INDIRECT("'"&amp;$C186&amp;"'!"&amp;"$"&amp;$D186&amp;$V$1&amp;"")</f>
        <v>0</v>
      </c>
      <c r="W186" s="296" t="s">
        <v>1</v>
      </c>
      <c r="X186" s="296" t="s">
        <v>1</v>
      </c>
      <c r="Y186" s="297" t="s">
        <v>1</v>
      </c>
      <c r="Z186" s="293" cm="1">
        <f t="array" aca="1" ref="Z186" ca="1">INDIRECT("'"&amp;$C186&amp;"'!"&amp;"$"&amp;$D186&amp;$Z$1&amp;"")</f>
        <v>0</v>
      </c>
      <c r="AA186" s="296" t="s">
        <v>1</v>
      </c>
      <c r="AB186" s="296" t="s">
        <v>1</v>
      </c>
      <c r="AC186" s="294" t="s">
        <v>1</v>
      </c>
      <c r="AD186" s="295" cm="1">
        <f t="array" aca="1" ref="AD186" ca="1">INDIRECT("'"&amp;$C186&amp;"'!"&amp;"$"&amp;$D186&amp;$AD$1&amp;"")</f>
        <v>0</v>
      </c>
      <c r="AE186" s="296" t="s">
        <v>1</v>
      </c>
      <c r="AF186" s="296" t="s">
        <v>1</v>
      </c>
      <c r="AG186" s="297" t="s">
        <v>1</v>
      </c>
      <c r="AH186" s="293" cm="1">
        <f t="array" aca="1" ref="AH186" ca="1">INDIRECT("'"&amp;$C186&amp;"'!"&amp;"$"&amp;$D186&amp;$AH$1&amp;"")</f>
        <v>0</v>
      </c>
      <c r="AI186" s="296" t="s">
        <v>1</v>
      </c>
      <c r="AJ186" s="296" t="s">
        <v>1</v>
      </c>
      <c r="AK186" s="297" t="s">
        <v>1</v>
      </c>
      <c r="AL186" s="293">
        <v>11.9</v>
      </c>
      <c r="AM186" s="297">
        <v>70.900000000000006</v>
      </c>
      <c r="AN186" s="293" t="str" cm="1">
        <f t="array" aca="1" ref="AN186" ca="1">INDIRECT("'"&amp;$C186&amp;"'!"&amp;"$"&amp;$D186&amp;$AL$1&amp;"")</f>
        <v>CMS</v>
      </c>
      <c r="AO186" s="296" t="s">
        <v>1</v>
      </c>
      <c r="AP186" s="294" t="s">
        <v>1</v>
      </c>
      <c r="AQ186" s="295" cm="1">
        <f t="array" aca="1" ref="AQ186" ca="1">INDIRECT("'"&amp;$C186&amp;"'!"&amp;"$"&amp;$D186&amp;$AQ$1&amp;"")</f>
        <v>4.2</v>
      </c>
      <c r="AR186" s="296">
        <v>0.97</v>
      </c>
      <c r="AS186" s="294">
        <v>0.95</v>
      </c>
      <c r="AT186" s="296" cm="1">
        <f t="array" aca="1" ref="AT186" ca="1">INDIRECT("'"&amp;$C186&amp;"'!"&amp;"$"&amp;$D186&amp;$AT$1&amp;"")</f>
        <v>0</v>
      </c>
      <c r="AU186" s="295" t="s">
        <v>1</v>
      </c>
      <c r="AV186" s="296" t="s">
        <v>1</v>
      </c>
      <c r="AW186" s="294" t="s">
        <v>1</v>
      </c>
      <c r="AX186" s="298">
        <v>14.2</v>
      </c>
      <c r="AY186" s="297">
        <v>72</v>
      </c>
      <c r="AZ186" s="298" cm="1">
        <f t="array" aca="1" ref="AZ186" ca="1">INDIRECT("'"&amp;$C186&amp;"'!"&amp;"$"&amp;$D186&amp;$AZ$1&amp;"")</f>
        <v>14.27</v>
      </c>
      <c r="BA186" s="296">
        <v>0.99</v>
      </c>
      <c r="BB186" s="294">
        <v>2.5</v>
      </c>
      <c r="BC186" s="299">
        <v>69.5</v>
      </c>
      <c r="BD186" s="293" cm="1">
        <f t="array" aca="1" ref="BD186" ca="1">INDIRECT("'"&amp;$C186&amp;"'!"&amp;"$"&amp;$D186&amp;$BC$1&amp;"")</f>
        <v>2.0299999999999998</v>
      </c>
      <c r="BE186" s="295" t="s">
        <v>1</v>
      </c>
      <c r="BF186" s="294" t="s">
        <v>1</v>
      </c>
      <c r="BG186" s="298" cm="1">
        <f t="array" aca="1" ref="BG186" ca="1">INDIRECT("'"&amp;$C186&amp;"'!"&amp;"$"&amp;$D186&amp;$BG$1&amp;"")</f>
        <v>0.92</v>
      </c>
      <c r="BH186" s="296"/>
      <c r="BI186" s="296">
        <v>0.99</v>
      </c>
      <c r="BJ186" s="294">
        <v>0.08</v>
      </c>
      <c r="BK186" s="298" cm="1">
        <f t="array" aca="1" ref="BK186" ca="1">INDIRECT("'"&amp;$C186&amp;"'!"&amp;"$"&amp;$D186&amp;$BK$1&amp;"")</f>
        <v>0.71</v>
      </c>
      <c r="BL186" s="296"/>
      <c r="BM186" s="296">
        <v>0.96</v>
      </c>
      <c r="BN186" s="294">
        <v>0.2</v>
      </c>
      <c r="BO186" s="299" cm="1">
        <f t="array" aca="1" ref="BO186" ca="1">INDIRECT("'"&amp;$C186&amp;"'!"&amp;"$"&amp;$D186&amp;74&amp;"")</f>
        <v>0</v>
      </c>
      <c r="BP186" s="296"/>
      <c r="BQ186" s="296" t="s">
        <v>1</v>
      </c>
      <c r="BR186" s="294" t="s">
        <v>1</v>
      </c>
    </row>
    <row r="187" spans="1:70">
      <c r="A187" s="361">
        <v>45755</v>
      </c>
      <c r="B187" s="358">
        <v>0.29166666666666702</v>
      </c>
      <c r="C187" s="313">
        <f t="shared" si="6"/>
        <v>8</v>
      </c>
      <c r="D187" s="314" t="s">
        <v>134</v>
      </c>
      <c r="E187" s="286">
        <v>14.2</v>
      </c>
      <c r="F187" s="287">
        <v>70.209999999999994</v>
      </c>
      <c r="G187" s="288" cm="1">
        <f t="array" aca="1" ref="G187" ca="1">INDIRECT("'"&amp;$C187&amp;"'!"&amp;"$"&amp;$D187&amp;$E$1&amp;"")</f>
        <v>6.5</v>
      </c>
      <c r="H187" s="289">
        <v>0.98</v>
      </c>
      <c r="I187" s="287">
        <v>1.38</v>
      </c>
      <c r="J187" s="288" cm="1">
        <f t="array" aca="1" ref="J187" ca="1">INDIRECT("'"&amp;$C187&amp;"'!"&amp;"$"&amp;$D187&amp;$J$1&amp;"")</f>
        <v>0</v>
      </c>
      <c r="K187" s="289"/>
      <c r="L187" s="289" t="s">
        <v>1</v>
      </c>
      <c r="M187" s="287" t="s">
        <v>1</v>
      </c>
      <c r="N187" s="288" cm="1">
        <f t="array" aca="1" ref="N187" ca="1">INDIRECT("'"&amp;$C187&amp;"'!"&amp;"$"&amp;$D187&amp;$N$1&amp;"")</f>
        <v>6.6</v>
      </c>
      <c r="O187" s="289"/>
      <c r="P187" s="289">
        <v>0.98</v>
      </c>
      <c r="Q187" s="287">
        <v>1.45</v>
      </c>
      <c r="R187" s="288" cm="1">
        <f t="array" aca="1" ref="R187" ca="1">INDIRECT("'"&amp;$C187&amp;"'!"&amp;"$"&amp;$D187&amp;$R$1&amp;"")</f>
        <v>6.6</v>
      </c>
      <c r="S187" s="289"/>
      <c r="T187" s="289">
        <v>0.98</v>
      </c>
      <c r="U187" s="287">
        <v>1.56</v>
      </c>
      <c r="V187" s="288" cm="1">
        <f t="array" aca="1" ref="V187" ca="1">INDIRECT("'"&amp;$C187&amp;"'!"&amp;"$"&amp;$D187&amp;$V$1&amp;"")</f>
        <v>0</v>
      </c>
      <c r="W187" s="289" t="s">
        <v>1</v>
      </c>
      <c r="X187" s="289" t="s">
        <v>1</v>
      </c>
      <c r="Y187" s="290" t="s">
        <v>1</v>
      </c>
      <c r="Z187" s="286" cm="1">
        <f t="array" aca="1" ref="Z187" ca="1">INDIRECT("'"&amp;$C187&amp;"'!"&amp;"$"&amp;$D187&amp;$Z$1&amp;"")</f>
        <v>0</v>
      </c>
      <c r="AA187" s="289" t="s">
        <v>1</v>
      </c>
      <c r="AB187" s="289" t="s">
        <v>1</v>
      </c>
      <c r="AC187" s="287" t="s">
        <v>1</v>
      </c>
      <c r="AD187" s="288" cm="1">
        <f t="array" aca="1" ref="AD187" ca="1">INDIRECT("'"&amp;$C187&amp;"'!"&amp;"$"&amp;$D187&amp;$AD$1&amp;"")</f>
        <v>2</v>
      </c>
      <c r="AE187" s="289">
        <f>3.8*3.56</f>
        <v>13.527999999999999</v>
      </c>
      <c r="AF187" s="289">
        <v>0.95</v>
      </c>
      <c r="AG187" s="290">
        <v>0.91</v>
      </c>
      <c r="AH187" s="286" cm="1">
        <f t="array" aca="1" ref="AH187" ca="1">INDIRECT("'"&amp;$C187&amp;"'!"&amp;"$"&amp;$D187&amp;$AH$1&amp;"")</f>
        <v>0</v>
      </c>
      <c r="AI187" s="289" t="s">
        <v>1</v>
      </c>
      <c r="AJ187" s="289" t="s">
        <v>1</v>
      </c>
      <c r="AK187" s="287" t="s">
        <v>1</v>
      </c>
      <c r="AL187" s="286">
        <v>11.9</v>
      </c>
      <c r="AM187" s="290">
        <v>70.5</v>
      </c>
      <c r="AN187" s="286" t="str" cm="1">
        <f t="array" aca="1" ref="AN187" ca="1">INDIRECT("'"&amp;$C187&amp;"'!"&amp;"$"&amp;$D187&amp;$AL$1&amp;"")</f>
        <v>CMS</v>
      </c>
      <c r="AO187" s="289" t="s">
        <v>1</v>
      </c>
      <c r="AP187" s="287" t="s">
        <v>1</v>
      </c>
      <c r="AQ187" s="288" cm="1">
        <f t="array" aca="1" ref="AQ187" ca="1">INDIRECT("'"&amp;$C187&amp;"'!"&amp;"$"&amp;$D187&amp;$AQ$1&amp;"")</f>
        <v>3</v>
      </c>
      <c r="AR187" s="289">
        <v>0.97</v>
      </c>
      <c r="AS187" s="287">
        <v>0.59</v>
      </c>
      <c r="AT187" s="289" cm="1">
        <f t="array" aca="1" ref="AT187" ca="1">INDIRECT("'"&amp;$C187&amp;"'!"&amp;"$"&amp;$D187&amp;$AT$1&amp;"")</f>
        <v>0</v>
      </c>
      <c r="AU187" s="288" t="s">
        <v>1</v>
      </c>
      <c r="AV187" s="289" t="s">
        <v>1</v>
      </c>
      <c r="AW187" s="287" t="s">
        <v>1</v>
      </c>
      <c r="AX187" s="291">
        <v>14.16</v>
      </c>
      <c r="AY187" s="290">
        <v>71.69</v>
      </c>
      <c r="AZ187" s="291" cm="1">
        <f t="array" aca="1" ref="AZ187" ca="1">INDIRECT("'"&amp;$C187&amp;"'!"&amp;"$"&amp;$D187&amp;$AZ$1&amp;"")</f>
        <v>14.28</v>
      </c>
      <c r="BA187" s="289">
        <v>0.99</v>
      </c>
      <c r="BB187" s="287">
        <v>2.5</v>
      </c>
      <c r="BC187" s="292">
        <v>69.3</v>
      </c>
      <c r="BD187" s="286" cm="1">
        <f t="array" aca="1" ref="BD187" ca="1">INDIRECT("'"&amp;$C187&amp;"'!"&amp;"$"&amp;$D187&amp;$BC$1&amp;"")</f>
        <v>0</v>
      </c>
      <c r="BE187" s="288" t="s">
        <v>1</v>
      </c>
      <c r="BF187" s="287" t="s">
        <v>1</v>
      </c>
      <c r="BG187" s="291" cm="1">
        <f t="array" aca="1" ref="BG187" ca="1">INDIRECT("'"&amp;$C187&amp;"'!"&amp;"$"&amp;$D187&amp;$BG$1&amp;"")</f>
        <v>0.98</v>
      </c>
      <c r="BH187" s="289"/>
      <c r="BI187" s="289">
        <v>0.99</v>
      </c>
      <c r="BJ187" s="287">
        <v>0.12</v>
      </c>
      <c r="BK187" s="292" cm="1">
        <f t="array" aca="1" ref="BK187" ca="1">INDIRECT("'"&amp;$C187&amp;"'!"&amp;"$"&amp;$D187&amp;$BK$1&amp;"")</f>
        <v>0.78</v>
      </c>
      <c r="BL187" s="289"/>
      <c r="BM187" s="289">
        <v>0.95</v>
      </c>
      <c r="BN187" s="287">
        <v>0.21</v>
      </c>
      <c r="BO187" s="292" cm="1">
        <f t="array" aca="1" ref="BO187" ca="1">INDIRECT("'"&amp;$C187&amp;"'!"&amp;"$"&amp;$D187&amp;74&amp;"")</f>
        <v>0</v>
      </c>
      <c r="BP187" s="289"/>
      <c r="BQ187" s="289" t="s">
        <v>1</v>
      </c>
      <c r="BR187" s="287" t="s">
        <v>1</v>
      </c>
    </row>
    <row r="188" spans="1:70">
      <c r="A188" s="361">
        <v>45755</v>
      </c>
      <c r="B188" s="358">
        <v>0.33333333333333398</v>
      </c>
      <c r="C188" s="313">
        <f t="shared" si="6"/>
        <v>8</v>
      </c>
      <c r="D188" s="314" t="s">
        <v>135</v>
      </c>
      <c r="E188" s="293">
        <v>14.3</v>
      </c>
      <c r="F188" s="294">
        <v>70.23</v>
      </c>
      <c r="G188" s="295" cm="1">
        <f t="array" aca="1" ref="G188" ca="1">INDIRECT("'"&amp;$C188&amp;"'!"&amp;"$"&amp;$D188&amp;$E$1&amp;"")</f>
        <v>6.7</v>
      </c>
      <c r="H188" s="296">
        <v>0.97</v>
      </c>
      <c r="I188" s="294">
        <v>1.76</v>
      </c>
      <c r="J188" s="295" cm="1">
        <f t="array" aca="1" ref="J188" ca="1">INDIRECT("'"&amp;$C188&amp;"'!"&amp;"$"&amp;$D188&amp;$J$1&amp;"")</f>
        <v>0</v>
      </c>
      <c r="K188" s="296"/>
      <c r="L188" s="296" t="s">
        <v>1</v>
      </c>
      <c r="M188" s="294" t="s">
        <v>1</v>
      </c>
      <c r="N188" s="295" cm="1">
        <f t="array" aca="1" ref="N188" ca="1">INDIRECT("'"&amp;$C188&amp;"'!"&amp;"$"&amp;$D188&amp;$N$1&amp;"")</f>
        <v>6.7</v>
      </c>
      <c r="O188" s="296"/>
      <c r="P188" s="296">
        <v>0.97</v>
      </c>
      <c r="Q188" s="294">
        <v>1.76</v>
      </c>
      <c r="R188" s="295" cm="1">
        <f t="array" aca="1" ref="R188" ca="1">INDIRECT("'"&amp;$C188&amp;"'!"&amp;"$"&amp;$D188&amp;$R$1&amp;"")</f>
        <v>6.7</v>
      </c>
      <c r="S188" s="296"/>
      <c r="T188" s="296">
        <v>0.97</v>
      </c>
      <c r="U188" s="294">
        <v>1.76</v>
      </c>
      <c r="V188" s="295" cm="1">
        <f t="array" aca="1" ref="V188" ca="1">INDIRECT("'"&amp;$C188&amp;"'!"&amp;"$"&amp;$D188&amp;$V$1&amp;"")</f>
        <v>1.5</v>
      </c>
      <c r="W188" s="296">
        <f>3.8*3.57</f>
        <v>13.565999999999999</v>
      </c>
      <c r="X188" s="296">
        <v>0.94</v>
      </c>
      <c r="Y188" s="297">
        <v>0.55000000000000004</v>
      </c>
      <c r="Z188" s="293" cm="1">
        <f t="array" aca="1" ref="Z188" ca="1">INDIRECT("'"&amp;$C188&amp;"'!"&amp;"$"&amp;$D188&amp;$Z$1&amp;"")</f>
        <v>0</v>
      </c>
      <c r="AA188" s="296" t="s">
        <v>1</v>
      </c>
      <c r="AB188" s="296" t="s">
        <v>1</v>
      </c>
      <c r="AC188" s="294" t="s">
        <v>1</v>
      </c>
      <c r="AD188" s="295" cm="1">
        <f t="array" aca="1" ref="AD188" ca="1">INDIRECT("'"&amp;$C188&amp;"'!"&amp;"$"&amp;$D188&amp;$AD$1&amp;"")</f>
        <v>3.8</v>
      </c>
      <c r="AE188" s="296">
        <f>3.8*3.57</f>
        <v>13.565999999999999</v>
      </c>
      <c r="AF188" s="296">
        <v>0.95</v>
      </c>
      <c r="AG188" s="297">
        <v>1.18</v>
      </c>
      <c r="AH188" s="293" cm="1">
        <f t="array" aca="1" ref="AH188" ca="1">INDIRECT("'"&amp;$C188&amp;"'!"&amp;"$"&amp;$D188&amp;$AH$1&amp;"")</f>
        <v>0</v>
      </c>
      <c r="AI188" s="296" t="s">
        <v>1</v>
      </c>
      <c r="AJ188" s="296" t="s">
        <v>1</v>
      </c>
      <c r="AK188" s="294" t="s">
        <v>1</v>
      </c>
      <c r="AL188" s="293">
        <v>11.9</v>
      </c>
      <c r="AM188" s="297">
        <v>70.099999999999994</v>
      </c>
      <c r="AN188" s="293" t="str" cm="1">
        <f t="array" aca="1" ref="AN188" ca="1">INDIRECT("'"&amp;$C188&amp;"'!"&amp;"$"&amp;$D188&amp;$AL$1&amp;"")</f>
        <v>CMS</v>
      </c>
      <c r="AO188" s="296" t="s">
        <v>1</v>
      </c>
      <c r="AP188" s="294" t="s">
        <v>1</v>
      </c>
      <c r="AQ188" s="295" cm="1">
        <f t="array" aca="1" ref="AQ188" ca="1">INDIRECT("'"&amp;$C188&amp;"'!"&amp;"$"&amp;$D188&amp;$AQ$1&amp;"")</f>
        <v>3.8</v>
      </c>
      <c r="AR188" s="296">
        <v>0.98</v>
      </c>
      <c r="AS188" s="294">
        <v>0.85</v>
      </c>
      <c r="AT188" s="296" cm="1">
        <f t="array" aca="1" ref="AT188" ca="1">INDIRECT("'"&amp;$C188&amp;"'!"&amp;"$"&amp;$D188&amp;$AT$1&amp;"")</f>
        <v>0</v>
      </c>
      <c r="AU188" s="295" t="s">
        <v>1</v>
      </c>
      <c r="AV188" s="296" t="s">
        <v>1</v>
      </c>
      <c r="AW188" s="294" t="s">
        <v>1</v>
      </c>
      <c r="AX188" s="298">
        <v>14.05</v>
      </c>
      <c r="AY188" s="297">
        <v>71.13</v>
      </c>
      <c r="AZ188" s="298" cm="1">
        <f t="array" aca="1" ref="AZ188" ca="1">INDIRECT("'"&amp;$C188&amp;"'!"&amp;"$"&amp;$D188&amp;$AZ$1&amp;"")</f>
        <v>14.3</v>
      </c>
      <c r="BA188" s="296">
        <v>0.99</v>
      </c>
      <c r="BB188" s="294">
        <v>2.4</v>
      </c>
      <c r="BC188" s="299">
        <v>69.099999999999994</v>
      </c>
      <c r="BD188" s="293" cm="1">
        <f t="array" aca="1" ref="BD188" ca="1">INDIRECT("'"&amp;$C188&amp;"'!"&amp;"$"&amp;$D188&amp;$BC$1&amp;"")</f>
        <v>2.86</v>
      </c>
      <c r="BE188" s="295">
        <v>0.96</v>
      </c>
      <c r="BF188" s="294">
        <v>0.83</v>
      </c>
      <c r="BG188" s="298" cm="1">
        <f t="array" aca="1" ref="BG188" ca="1">INDIRECT("'"&amp;$C188&amp;"'!"&amp;"$"&amp;$D188&amp;$BG$1&amp;"")</f>
        <v>1.1299999999999999</v>
      </c>
      <c r="BH188" s="296"/>
      <c r="BI188" s="296">
        <v>0.99</v>
      </c>
      <c r="BJ188" s="294">
        <v>0.15</v>
      </c>
      <c r="BK188" s="299" cm="1">
        <f t="array" aca="1" ref="BK188" ca="1">INDIRECT("'"&amp;$C188&amp;"'!"&amp;"$"&amp;$D188&amp;$BK$1&amp;"")</f>
        <v>0.71</v>
      </c>
      <c r="BL188" s="296"/>
      <c r="BM188" s="296">
        <v>0.95</v>
      </c>
      <c r="BN188" s="294">
        <v>0.22</v>
      </c>
      <c r="BO188" s="299" cm="1">
        <f t="array" aca="1" ref="BO188" ca="1">INDIRECT("'"&amp;$C188&amp;"'!"&amp;"$"&amp;$D188&amp;74&amp;"")</f>
        <v>0</v>
      </c>
      <c r="BP188" s="296"/>
      <c r="BQ188" s="296" t="s">
        <v>1</v>
      </c>
      <c r="BR188" s="294" t="s">
        <v>1</v>
      </c>
    </row>
    <row r="189" spans="1:70">
      <c r="A189" s="361">
        <v>45755</v>
      </c>
      <c r="B189" s="358">
        <v>0.375</v>
      </c>
      <c r="C189" s="313">
        <f t="shared" si="6"/>
        <v>8</v>
      </c>
      <c r="D189" s="314" t="s">
        <v>136</v>
      </c>
      <c r="E189" s="286">
        <v>14.1</v>
      </c>
      <c r="F189" s="287">
        <v>69.14</v>
      </c>
      <c r="G189" s="288" cm="1">
        <f t="array" aca="1" ref="G189" ca="1">INDIRECT("'"&amp;$C189&amp;"'!"&amp;"$"&amp;$D189&amp;$E$1&amp;"")</f>
        <v>6.7</v>
      </c>
      <c r="H189" s="289">
        <v>0.96</v>
      </c>
      <c r="I189" s="287">
        <v>1.99</v>
      </c>
      <c r="J189" s="288" cm="1">
        <f t="array" aca="1" ref="J189" ca="1">INDIRECT("'"&amp;$C189&amp;"'!"&amp;"$"&amp;$D189&amp;$J$1&amp;"")</f>
        <v>0</v>
      </c>
      <c r="K189" s="289"/>
      <c r="L189" s="289" t="s">
        <v>1</v>
      </c>
      <c r="M189" s="287" t="s">
        <v>1</v>
      </c>
      <c r="N189" s="288" cm="1">
        <f t="array" aca="1" ref="N189" ca="1">INDIRECT("'"&amp;$C189&amp;"'!"&amp;"$"&amp;$D189&amp;$N$1&amp;"")</f>
        <v>6.7</v>
      </c>
      <c r="O189" s="289"/>
      <c r="P189" s="289">
        <v>0.96</v>
      </c>
      <c r="Q189" s="287">
        <v>1.99</v>
      </c>
      <c r="R189" s="288" cm="1">
        <f t="array" aca="1" ref="R189" ca="1">INDIRECT("'"&amp;$C189&amp;"'!"&amp;"$"&amp;$D189&amp;$R$1&amp;"")</f>
        <v>6.7</v>
      </c>
      <c r="S189" s="289"/>
      <c r="T189" s="289">
        <v>0.96</v>
      </c>
      <c r="U189" s="287">
        <v>1.99</v>
      </c>
      <c r="V189" s="288" cm="1">
        <f t="array" aca="1" ref="V189" ca="1">INDIRECT("'"&amp;$C189&amp;"'!"&amp;"$"&amp;$D189&amp;$V$1&amp;"")</f>
        <v>2.8</v>
      </c>
      <c r="W189" s="289">
        <f>3.8*3.51</f>
        <v>13.337999999999999</v>
      </c>
      <c r="X189" s="289">
        <v>0.93</v>
      </c>
      <c r="Y189" s="290">
        <v>1.04</v>
      </c>
      <c r="Z189" s="286" cm="1">
        <f t="array" aca="1" ref="Z189" ca="1">INDIRECT("'"&amp;$C189&amp;"'!"&amp;"$"&amp;$D189&amp;$Z$1&amp;"")</f>
        <v>0</v>
      </c>
      <c r="AA189" s="289" t="s">
        <v>1</v>
      </c>
      <c r="AB189" s="289" t="s">
        <v>1</v>
      </c>
      <c r="AC189" s="287" t="s">
        <v>1</v>
      </c>
      <c r="AD189" s="288" cm="1">
        <f t="array" aca="1" ref="AD189" ca="1">INDIRECT("'"&amp;$C189&amp;"'!"&amp;"$"&amp;$D189&amp;$AD$1&amp;"")</f>
        <v>3.8</v>
      </c>
      <c r="AE189" s="289">
        <f>3.8*3.51</f>
        <v>13.337999999999999</v>
      </c>
      <c r="AF189" s="289">
        <v>0.93</v>
      </c>
      <c r="AG189" s="290">
        <v>1.48</v>
      </c>
      <c r="AH189" s="286" cm="1">
        <f t="array" aca="1" ref="AH189" ca="1">INDIRECT("'"&amp;$C189&amp;"'!"&amp;"$"&amp;$D189&amp;$AH$1&amp;"")</f>
        <v>3.8</v>
      </c>
      <c r="AI189" s="289">
        <v>13.84</v>
      </c>
      <c r="AJ189" s="289">
        <v>0.99</v>
      </c>
      <c r="AK189" s="287">
        <v>0.436</v>
      </c>
      <c r="AL189" s="286">
        <v>11.9</v>
      </c>
      <c r="AM189" s="290">
        <v>70.2</v>
      </c>
      <c r="AN189" s="286" t="str" cm="1">
        <f t="array" aca="1" ref="AN189" ca="1">INDIRECT("'"&amp;$C189&amp;"'!"&amp;"$"&amp;$D189&amp;$AL$1&amp;"")</f>
        <v>CMS</v>
      </c>
      <c r="AO189" s="289" t="s">
        <v>1</v>
      </c>
      <c r="AP189" s="287" t="s">
        <v>1</v>
      </c>
      <c r="AQ189" s="288" cm="1">
        <f t="array" aca="1" ref="AQ189" ca="1">INDIRECT("'"&amp;$C189&amp;"'!"&amp;"$"&amp;$D189&amp;$AQ$1&amp;"")</f>
        <v>3.8</v>
      </c>
      <c r="AR189" s="289">
        <v>0.95</v>
      </c>
      <c r="AS189" s="287">
        <v>1.45</v>
      </c>
      <c r="AT189" s="289" cm="1">
        <f t="array" aca="1" ref="AT189" ca="1">INDIRECT("'"&amp;$C189&amp;"'!"&amp;"$"&amp;$D189&amp;$AT$1&amp;"")</f>
        <v>3</v>
      </c>
      <c r="AU189" s="288">
        <v>13.8</v>
      </c>
      <c r="AV189" s="289">
        <v>0.93</v>
      </c>
      <c r="AW189" s="287">
        <v>1.1499999999999999</v>
      </c>
      <c r="AX189" s="291">
        <v>14.09</v>
      </c>
      <c r="AY189" s="290">
        <v>71.239999999999995</v>
      </c>
      <c r="AZ189" s="291" cm="1">
        <f t="array" aca="1" ref="AZ189" ca="1">INDIRECT("'"&amp;$C189&amp;"'!"&amp;"$"&amp;$D189&amp;$AZ$1&amp;"")</f>
        <v>14.3</v>
      </c>
      <c r="BA189" s="289">
        <v>0.99</v>
      </c>
      <c r="BB189" s="287">
        <v>2.4</v>
      </c>
      <c r="BC189" s="292">
        <v>68</v>
      </c>
      <c r="BD189" s="286" cm="1">
        <f t="array" aca="1" ref="BD189" ca="1">INDIRECT("'"&amp;$C189&amp;"'!"&amp;"$"&amp;$D189&amp;$BC$1&amp;"")</f>
        <v>1.4</v>
      </c>
      <c r="BE189" s="288">
        <v>0.96</v>
      </c>
      <c r="BF189" s="287">
        <v>0.42</v>
      </c>
      <c r="BG189" s="291" cm="1">
        <f t="array" aca="1" ref="BG189" ca="1">INDIRECT("'"&amp;$C189&amp;"'!"&amp;"$"&amp;$D189&amp;$BG$1&amp;"")</f>
        <v>1.21</v>
      </c>
      <c r="BH189" s="289"/>
      <c r="BI189" s="289">
        <v>0.99</v>
      </c>
      <c r="BJ189" s="287">
        <v>0.14000000000000001</v>
      </c>
      <c r="BK189" s="292" cm="1">
        <f t="array" aca="1" ref="BK189" ca="1">INDIRECT("'"&amp;$C189&amp;"'!"&amp;"$"&amp;$D189&amp;$BK$1&amp;"")</f>
        <v>0.73</v>
      </c>
      <c r="BL189" s="289"/>
      <c r="BM189" s="289">
        <v>0.95</v>
      </c>
      <c r="BN189" s="287">
        <v>0.22</v>
      </c>
      <c r="BO189" s="292" cm="1">
        <f t="array" aca="1" ref="BO189" ca="1">INDIRECT("'"&amp;$C189&amp;"'!"&amp;"$"&amp;$D189&amp;74&amp;"")</f>
        <v>0</v>
      </c>
      <c r="BP189" s="289"/>
      <c r="BQ189" s="289" t="s">
        <v>1</v>
      </c>
      <c r="BR189" s="287" t="s">
        <v>1</v>
      </c>
    </row>
    <row r="190" spans="1:70">
      <c r="A190" s="361">
        <v>45755</v>
      </c>
      <c r="B190" s="358">
        <v>0.41666666666666702</v>
      </c>
      <c r="C190" s="313">
        <f t="shared" si="6"/>
        <v>8</v>
      </c>
      <c r="D190" s="314" t="s">
        <v>137</v>
      </c>
      <c r="E190" s="293">
        <v>14.9</v>
      </c>
      <c r="F190" s="294">
        <v>68.66</v>
      </c>
      <c r="G190" s="295" cm="1">
        <f t="array" aca="1" ref="G190" ca="1">INDIRECT("'"&amp;$C190&amp;"'!"&amp;"$"&amp;$D190&amp;$E$1&amp;"")</f>
        <v>6.7</v>
      </c>
      <c r="H190" s="296">
        <v>0.93</v>
      </c>
      <c r="I190" s="294">
        <v>2.58</v>
      </c>
      <c r="J190" s="295" cm="1">
        <f t="array" aca="1" ref="J190" ca="1">INDIRECT("'"&amp;$C190&amp;"'!"&amp;"$"&amp;$D190&amp;$J$1&amp;"")</f>
        <v>3.2</v>
      </c>
      <c r="K190" s="296"/>
      <c r="L190" s="296">
        <v>0.94</v>
      </c>
      <c r="M190" s="294">
        <v>1.41</v>
      </c>
      <c r="N190" s="295" cm="1">
        <f t="array" aca="1" ref="N190" ca="1">INDIRECT("'"&amp;$C190&amp;"'!"&amp;"$"&amp;$D190&amp;$N$1&amp;"")</f>
        <v>6.7</v>
      </c>
      <c r="O190" s="296"/>
      <c r="P190" s="296">
        <v>0.93</v>
      </c>
      <c r="Q190" s="294">
        <v>2.58</v>
      </c>
      <c r="R190" s="295" cm="1">
        <f t="array" aca="1" ref="R190" ca="1">INDIRECT("'"&amp;$C190&amp;"'!"&amp;"$"&amp;$D190&amp;$R$1&amp;"")</f>
        <v>6.7</v>
      </c>
      <c r="S190" s="296"/>
      <c r="T190" s="296">
        <v>0.93</v>
      </c>
      <c r="U190" s="294">
        <v>2.58</v>
      </c>
      <c r="V190" s="295" cm="1">
        <f t="array" aca="1" ref="V190" ca="1">INDIRECT("'"&amp;$C190&amp;"'!"&amp;"$"&amp;$D190&amp;$V$1&amp;"")</f>
        <v>2.8</v>
      </c>
      <c r="W190" s="296">
        <f>3.8*3.47</f>
        <v>13.186</v>
      </c>
      <c r="X190" s="296">
        <v>0.93</v>
      </c>
      <c r="Y190" s="297">
        <v>1.06</v>
      </c>
      <c r="Z190" s="293" cm="1">
        <f t="array" aca="1" ref="Z190" ca="1">INDIRECT("'"&amp;$C190&amp;"'!"&amp;"$"&amp;$D190&amp;$Z$1&amp;"")</f>
        <v>0</v>
      </c>
      <c r="AA190" s="296" t="s">
        <v>1</v>
      </c>
      <c r="AB190" s="296" t="s">
        <v>1</v>
      </c>
      <c r="AC190" s="294" t="s">
        <v>1</v>
      </c>
      <c r="AD190" s="295" cm="1">
        <f t="array" aca="1" ref="AD190" ca="1">INDIRECT("'"&amp;$C190&amp;"'!"&amp;"$"&amp;$D190&amp;$AD$1&amp;"")</f>
        <v>3.8</v>
      </c>
      <c r="AE190" s="296">
        <f>3.8*3.47</f>
        <v>13.186</v>
      </c>
      <c r="AF190" s="296">
        <v>0.98</v>
      </c>
      <c r="AG190" s="297">
        <v>1.47</v>
      </c>
      <c r="AH190" s="293" cm="1">
        <f t="array" aca="1" ref="AH190" ca="1">INDIRECT("'"&amp;$C190&amp;"'!"&amp;"$"&amp;$D190&amp;$AH$1&amp;"")</f>
        <v>3.8</v>
      </c>
      <c r="AI190" s="296">
        <v>13.92</v>
      </c>
      <c r="AJ190" s="296">
        <v>0.97</v>
      </c>
      <c r="AK190" s="294">
        <v>0.93300000000000005</v>
      </c>
      <c r="AL190" s="293">
        <v>11.9</v>
      </c>
      <c r="AM190" s="297">
        <v>69.900000000000006</v>
      </c>
      <c r="AN190" s="293" t="str" cm="1">
        <f t="array" aca="1" ref="AN190" ca="1">INDIRECT("'"&amp;$C190&amp;"'!"&amp;"$"&amp;$D190&amp;$AL$1&amp;"")</f>
        <v>CMS</v>
      </c>
      <c r="AO190" s="296" t="s">
        <v>1</v>
      </c>
      <c r="AP190" s="294" t="s">
        <v>1</v>
      </c>
      <c r="AQ190" s="295" cm="1">
        <f t="array" aca="1" ref="AQ190" ca="1">INDIRECT("'"&amp;$C190&amp;"'!"&amp;"$"&amp;$D190&amp;$AQ$1&amp;"")</f>
        <v>4</v>
      </c>
      <c r="AR190" s="296">
        <v>0.92</v>
      </c>
      <c r="AS190" s="294">
        <v>1.7</v>
      </c>
      <c r="AT190" s="296" cm="1">
        <f t="array" aca="1" ref="AT190" ca="1">INDIRECT("'"&amp;$C190&amp;"'!"&amp;"$"&amp;$D190&amp;$AT$1&amp;"")</f>
        <v>7</v>
      </c>
      <c r="AU190" s="295">
        <v>13.8</v>
      </c>
      <c r="AV190" s="296">
        <v>0.96</v>
      </c>
      <c r="AW190" s="294">
        <v>2.09</v>
      </c>
      <c r="AX190" s="298">
        <v>14.04</v>
      </c>
      <c r="AY190" s="297">
        <v>70.930000000000007</v>
      </c>
      <c r="AZ190" s="298" cm="1">
        <f t="array" aca="1" ref="AZ190" ca="1">INDIRECT("'"&amp;$C190&amp;"'!"&amp;"$"&amp;$D190&amp;$AZ$1&amp;"")</f>
        <v>14.28</v>
      </c>
      <c r="BA190" s="296">
        <v>0.99</v>
      </c>
      <c r="BB190" s="294">
        <v>2.4</v>
      </c>
      <c r="BC190" s="299">
        <v>67.2</v>
      </c>
      <c r="BD190" s="293" cm="1">
        <f t="array" aca="1" ref="BD190" ca="1">INDIRECT("'"&amp;$C190&amp;"'!"&amp;"$"&amp;$D190&amp;$BC$1&amp;"")</f>
        <v>0</v>
      </c>
      <c r="BE190" s="295" t="s">
        <v>1</v>
      </c>
      <c r="BF190" s="294" t="s">
        <v>1</v>
      </c>
      <c r="BG190" s="298" cm="1">
        <f t="array" aca="1" ref="BG190" ca="1">INDIRECT("'"&amp;$C190&amp;"'!"&amp;"$"&amp;$D190&amp;$BG$1&amp;"")</f>
        <v>1.38</v>
      </c>
      <c r="BH190" s="296"/>
      <c r="BI190" s="296">
        <v>0.99</v>
      </c>
      <c r="BJ190" s="294">
        <v>0.18</v>
      </c>
      <c r="BK190" s="299" cm="1">
        <f t="array" aca="1" ref="BK190" ca="1">INDIRECT("'"&amp;$C190&amp;"'!"&amp;"$"&amp;$D190&amp;$BK$1&amp;"")</f>
        <v>0.78</v>
      </c>
      <c r="BL190" s="296"/>
      <c r="BM190" s="296">
        <v>0.95</v>
      </c>
      <c r="BN190" s="294">
        <v>0.25</v>
      </c>
      <c r="BO190" s="299" cm="1">
        <f t="array" aca="1" ref="BO190" ca="1">INDIRECT("'"&amp;$C190&amp;"'!"&amp;"$"&amp;$D190&amp;74&amp;"")</f>
        <v>0</v>
      </c>
      <c r="BP190" s="296"/>
      <c r="BQ190" s="296" t="s">
        <v>1</v>
      </c>
      <c r="BR190" s="294" t="s">
        <v>1</v>
      </c>
    </row>
    <row r="191" spans="1:70">
      <c r="A191" s="361">
        <v>45755</v>
      </c>
      <c r="B191" s="358">
        <v>0.45833333333333398</v>
      </c>
      <c r="C191" s="313">
        <f t="shared" si="6"/>
        <v>8</v>
      </c>
      <c r="D191" s="314" t="s">
        <v>138</v>
      </c>
      <c r="E191" s="286">
        <v>14.3</v>
      </c>
      <c r="F191" s="287">
        <v>69.27</v>
      </c>
      <c r="G191" s="288" cm="1">
        <f t="array" aca="1" ref="G191" ca="1">INDIRECT("'"&amp;$C191&amp;"'!"&amp;"$"&amp;$D191&amp;$E$1&amp;"")</f>
        <v>6.5</v>
      </c>
      <c r="H191" s="289">
        <v>0.93</v>
      </c>
      <c r="I191" s="287">
        <v>2.52</v>
      </c>
      <c r="J191" s="288" cm="1">
        <f t="array" aca="1" ref="J191" ca="1">INDIRECT("'"&amp;$C191&amp;"'!"&amp;"$"&amp;$D191&amp;$J$1&amp;"")</f>
        <v>6.5</v>
      </c>
      <c r="K191" s="289"/>
      <c r="L191" s="289">
        <v>0.93</v>
      </c>
      <c r="M191" s="287">
        <v>2.52</v>
      </c>
      <c r="N191" s="288" cm="1">
        <f t="array" aca="1" ref="N191" ca="1">INDIRECT("'"&amp;$C191&amp;"'!"&amp;"$"&amp;$D191&amp;$N$1&amp;"")</f>
        <v>6.5</v>
      </c>
      <c r="O191" s="289"/>
      <c r="P191" s="289">
        <v>0.93</v>
      </c>
      <c r="Q191" s="287">
        <v>2.52</v>
      </c>
      <c r="R191" s="288" cm="1">
        <f t="array" aca="1" ref="R191" ca="1">INDIRECT("'"&amp;$C191&amp;"'!"&amp;"$"&amp;$D191&amp;$R$1&amp;"")</f>
        <v>6.5</v>
      </c>
      <c r="S191" s="289"/>
      <c r="T191" s="289">
        <v>0.93</v>
      </c>
      <c r="U191" s="287">
        <v>2.52</v>
      </c>
      <c r="V191" s="288" cm="1">
        <f t="array" aca="1" ref="V191" ca="1">INDIRECT("'"&amp;$C191&amp;"'!"&amp;"$"&amp;$D191&amp;$V$1&amp;"")</f>
        <v>2.8</v>
      </c>
      <c r="W191" s="289">
        <f>3.8*3.49</f>
        <v>13.262</v>
      </c>
      <c r="X191" s="289">
        <v>0.92</v>
      </c>
      <c r="Y191" s="290">
        <v>1.1299999999999999</v>
      </c>
      <c r="Z191" s="286" cm="1">
        <f t="array" aca="1" ref="Z191" ca="1">INDIRECT("'"&amp;$C191&amp;"'!"&amp;"$"&amp;$D191&amp;$Z$1&amp;"")</f>
        <v>0</v>
      </c>
      <c r="AA191" s="289" t="s">
        <v>1</v>
      </c>
      <c r="AB191" s="289" t="s">
        <v>1</v>
      </c>
      <c r="AC191" s="287" t="s">
        <v>1</v>
      </c>
      <c r="AD191" s="288" cm="1">
        <f t="array" aca="1" ref="AD191" ca="1">INDIRECT("'"&amp;$C191&amp;"'!"&amp;"$"&amp;$D191&amp;$AD$1&amp;"")</f>
        <v>3.8</v>
      </c>
      <c r="AE191" s="289">
        <f>3.8*3.49</f>
        <v>13.262</v>
      </c>
      <c r="AF191" s="289">
        <v>0.92</v>
      </c>
      <c r="AG191" s="290">
        <v>1.61</v>
      </c>
      <c r="AH191" s="286" cm="1">
        <f t="array" aca="1" ref="AH191" ca="1">INDIRECT("'"&amp;$C191&amp;"'!"&amp;"$"&amp;$D191&amp;$AH$1&amp;"")</f>
        <v>3</v>
      </c>
      <c r="AI191" s="289">
        <v>14.08</v>
      </c>
      <c r="AJ191" s="289">
        <v>0.94</v>
      </c>
      <c r="AK191" s="287">
        <v>1.33</v>
      </c>
      <c r="AL191" s="286">
        <v>11.9</v>
      </c>
      <c r="AM191" s="290">
        <v>70.5</v>
      </c>
      <c r="AN191" s="286" t="str" cm="1">
        <f t="array" aca="1" ref="AN191" ca="1">INDIRECT("'"&amp;$C191&amp;"'!"&amp;"$"&amp;$D191&amp;$AL$1&amp;"")</f>
        <v>CMS</v>
      </c>
      <c r="AO191" s="289" t="s">
        <v>1</v>
      </c>
      <c r="AP191" s="287" t="s">
        <v>1</v>
      </c>
      <c r="AQ191" s="288" cm="1">
        <f t="array" aca="1" ref="AQ191" ca="1">INDIRECT("'"&amp;$C191&amp;"'!"&amp;"$"&amp;$D191&amp;$AQ$1&amp;"")</f>
        <v>4</v>
      </c>
      <c r="AR191" s="289">
        <v>0.95</v>
      </c>
      <c r="AS191" s="287">
        <v>1.18</v>
      </c>
      <c r="AT191" s="289" cm="1">
        <f t="array" aca="1" ref="AT191" ca="1">INDIRECT("'"&amp;$C191&amp;"'!"&amp;"$"&amp;$D191&amp;$AT$1&amp;"")</f>
        <v>6</v>
      </c>
      <c r="AU191" s="288">
        <v>13.8</v>
      </c>
      <c r="AV191" s="289">
        <v>0.97</v>
      </c>
      <c r="AW191" s="287">
        <v>1.61</v>
      </c>
      <c r="AX191" s="291">
        <v>14.27</v>
      </c>
      <c r="AY191" s="290">
        <v>71.739999999999995</v>
      </c>
      <c r="AZ191" s="291" cm="1">
        <f t="array" aca="1" ref="AZ191" ca="1">INDIRECT("'"&amp;$C191&amp;"'!"&amp;"$"&amp;$D191&amp;$AZ$1&amp;"")</f>
        <v>14.26</v>
      </c>
      <c r="BA191" s="289">
        <v>0.98</v>
      </c>
      <c r="BB191" s="287">
        <v>3.5</v>
      </c>
      <c r="BC191" s="292">
        <v>67.8</v>
      </c>
      <c r="BD191" s="286" cm="1">
        <f t="array" aca="1" ref="BD191" ca="1">INDIRECT("'"&amp;$C191&amp;"'!"&amp;"$"&amp;$D191&amp;$BC$1&amp;"")</f>
        <v>0</v>
      </c>
      <c r="BE191" s="288" t="s">
        <v>1</v>
      </c>
      <c r="BF191" s="287" t="s">
        <v>1</v>
      </c>
      <c r="BG191" s="291" cm="1">
        <f t="array" aca="1" ref="BG191" ca="1">INDIRECT("'"&amp;$C191&amp;"'!"&amp;"$"&amp;$D191&amp;$BG$1&amp;"")</f>
        <v>1.56</v>
      </c>
      <c r="BH191" s="289"/>
      <c r="BI191" s="289">
        <v>0.99</v>
      </c>
      <c r="BJ191" s="287">
        <v>0.24</v>
      </c>
      <c r="BK191" s="292" cm="1">
        <f t="array" aca="1" ref="BK191" ca="1">INDIRECT("'"&amp;$C191&amp;"'!"&amp;"$"&amp;$D191&amp;$BK$1&amp;"")</f>
        <v>0.8</v>
      </c>
      <c r="BL191" s="289"/>
      <c r="BM191" s="289">
        <v>0.96</v>
      </c>
      <c r="BN191" s="287">
        <v>0.23</v>
      </c>
      <c r="BO191" s="292" cm="1">
        <f t="array" aca="1" ref="BO191" ca="1">INDIRECT("'"&amp;$C191&amp;"'!"&amp;"$"&amp;$D191&amp;74&amp;"")</f>
        <v>0</v>
      </c>
      <c r="BP191" s="289"/>
      <c r="BQ191" s="289" t="s">
        <v>1</v>
      </c>
      <c r="BR191" s="287" t="s">
        <v>1</v>
      </c>
    </row>
    <row r="192" spans="1:70">
      <c r="A192" s="361">
        <v>45755</v>
      </c>
      <c r="B192" s="358">
        <v>0.5</v>
      </c>
      <c r="C192" s="313">
        <f t="shared" si="6"/>
        <v>8</v>
      </c>
      <c r="D192" s="314" t="s">
        <v>139</v>
      </c>
      <c r="E192" s="293">
        <v>14.3</v>
      </c>
      <c r="F192" s="294">
        <v>69.319999999999993</v>
      </c>
      <c r="G192" s="295" cm="1">
        <f t="array" aca="1" ref="G192" ca="1">INDIRECT("'"&amp;$C192&amp;"'!"&amp;"$"&amp;$D192&amp;$E$1&amp;"")</f>
        <v>6.5</v>
      </c>
      <c r="H192" s="296">
        <v>0.93</v>
      </c>
      <c r="I192" s="294">
        <v>2.4900000000000002</v>
      </c>
      <c r="J192" s="295" cm="1">
        <f t="array" aca="1" ref="J192" ca="1">INDIRECT("'"&amp;$C192&amp;"'!"&amp;"$"&amp;$D192&amp;$J$1&amp;"")</f>
        <v>6.5</v>
      </c>
      <c r="K192" s="296"/>
      <c r="L192" s="296">
        <v>0.93</v>
      </c>
      <c r="M192" s="294">
        <v>2.4900000000000002</v>
      </c>
      <c r="N192" s="295" cm="1">
        <f t="array" aca="1" ref="N192" ca="1">INDIRECT("'"&amp;$C192&amp;"'!"&amp;"$"&amp;$D192&amp;$N$1&amp;"")</f>
        <v>6.5</v>
      </c>
      <c r="O192" s="296"/>
      <c r="P192" s="296">
        <v>0.93</v>
      </c>
      <c r="Q192" s="294">
        <v>2.4900000000000002</v>
      </c>
      <c r="R192" s="295" cm="1">
        <f t="array" aca="1" ref="R192" ca="1">INDIRECT("'"&amp;$C192&amp;"'!"&amp;"$"&amp;$D192&amp;$R$1&amp;"")</f>
        <v>6.5</v>
      </c>
      <c r="S192" s="296"/>
      <c r="T192" s="296">
        <v>0.93</v>
      </c>
      <c r="U192" s="294">
        <v>2.4900000000000002</v>
      </c>
      <c r="V192" s="295" cm="1">
        <f t="array" aca="1" ref="V192" ca="1">INDIRECT("'"&amp;$C192&amp;"'!"&amp;"$"&amp;$D192&amp;$V$1&amp;"")</f>
        <v>2.8</v>
      </c>
      <c r="W192" s="296">
        <f>3.8*3.49</f>
        <v>13.262</v>
      </c>
      <c r="X192" s="296">
        <v>0.92</v>
      </c>
      <c r="Y192" s="297">
        <v>1.1499999999999999</v>
      </c>
      <c r="Z192" s="293" cm="1">
        <f t="array" aca="1" ref="Z192" ca="1">INDIRECT("'"&amp;$C192&amp;"'!"&amp;"$"&amp;$D192&amp;$Z$1&amp;"")</f>
        <v>0</v>
      </c>
      <c r="AA192" s="296" t="s">
        <v>1</v>
      </c>
      <c r="AB192" s="296" t="s">
        <v>1</v>
      </c>
      <c r="AC192" s="294" t="s">
        <v>1</v>
      </c>
      <c r="AD192" s="295" cm="1">
        <f t="array" aca="1" ref="AD192" ca="1">INDIRECT("'"&amp;$C192&amp;"'!"&amp;"$"&amp;$D192&amp;$AD$1&amp;"")</f>
        <v>3.8</v>
      </c>
      <c r="AE192" s="296">
        <f>3.8*3.49</f>
        <v>13.262</v>
      </c>
      <c r="AF192" s="296">
        <v>0.92</v>
      </c>
      <c r="AG192" s="297">
        <v>1.6</v>
      </c>
      <c r="AH192" s="293" cm="1">
        <f t="array" aca="1" ref="AH192" ca="1">INDIRECT("'"&amp;$C192&amp;"'!"&amp;"$"&amp;$D192&amp;$AH$1&amp;"")</f>
        <v>3.8</v>
      </c>
      <c r="AI192" s="296">
        <v>14.08</v>
      </c>
      <c r="AJ192" s="296">
        <v>0.94</v>
      </c>
      <c r="AK192" s="294">
        <v>1.45</v>
      </c>
      <c r="AL192" s="293">
        <v>11.9</v>
      </c>
      <c r="AM192" s="297">
        <v>70.599999999999994</v>
      </c>
      <c r="AN192" s="293" t="str" cm="1">
        <f t="array" aca="1" ref="AN192" ca="1">INDIRECT("'"&amp;$C192&amp;"'!"&amp;"$"&amp;$D192&amp;$AL$1&amp;"")</f>
        <v>CMS</v>
      </c>
      <c r="AO192" s="296" t="s">
        <v>1</v>
      </c>
      <c r="AP192" s="294" t="s">
        <v>1</v>
      </c>
      <c r="AQ192" s="295" cm="1">
        <f t="array" aca="1" ref="AQ192" ca="1">INDIRECT("'"&amp;$C192&amp;"'!"&amp;"$"&amp;$D192&amp;$AQ$1&amp;"")</f>
        <v>3.8</v>
      </c>
      <c r="AR192" s="296">
        <v>0.96</v>
      </c>
      <c r="AS192" s="294">
        <v>1.1000000000000001</v>
      </c>
      <c r="AT192" s="296" cm="1">
        <f t="array" aca="1" ref="AT192" ca="1">INDIRECT("'"&amp;$C192&amp;"'!"&amp;"$"&amp;$D192&amp;$AT$1&amp;"")</f>
        <v>6.5</v>
      </c>
      <c r="AU192" s="295">
        <v>13.8</v>
      </c>
      <c r="AV192" s="296">
        <v>0.97</v>
      </c>
      <c r="AW192" s="294">
        <v>1.6</v>
      </c>
      <c r="AX192" s="298">
        <v>14.3</v>
      </c>
      <c r="AY192" s="297">
        <v>71.86</v>
      </c>
      <c r="AZ192" s="298" cm="1">
        <f t="array" aca="1" ref="AZ192" ca="1">INDIRECT("'"&amp;$C192&amp;"'!"&amp;"$"&amp;$D192&amp;$AZ$1&amp;"")</f>
        <v>14.27</v>
      </c>
      <c r="BA192" s="296">
        <v>0.98</v>
      </c>
      <c r="BB192" s="294">
        <v>3.5</v>
      </c>
      <c r="BC192" s="299">
        <v>67.7</v>
      </c>
      <c r="BD192" s="293" cm="1">
        <f t="array" aca="1" ref="BD192" ca="1">INDIRECT("'"&amp;$C192&amp;"'!"&amp;"$"&amp;$D192&amp;$BC$1&amp;"")</f>
        <v>0</v>
      </c>
      <c r="BE192" s="295" t="s">
        <v>1</v>
      </c>
      <c r="BF192" s="294" t="s">
        <v>1</v>
      </c>
      <c r="BG192" s="298" cm="1">
        <f t="array" aca="1" ref="BG192" ca="1">INDIRECT("'"&amp;$C192&amp;"'!"&amp;"$"&amp;$D192&amp;$BG$1&amp;"")</f>
        <v>1.55</v>
      </c>
      <c r="BH192" s="296"/>
      <c r="BI192" s="296">
        <v>0.99</v>
      </c>
      <c r="BJ192" s="294">
        <v>0.22</v>
      </c>
      <c r="BK192" s="299" cm="1">
        <f t="array" aca="1" ref="BK192" ca="1">INDIRECT("'"&amp;$C192&amp;"'!"&amp;"$"&amp;$D192&amp;$BK$1&amp;"")</f>
        <v>0.87</v>
      </c>
      <c r="BL192" s="296"/>
      <c r="BM192" s="296">
        <v>0.96</v>
      </c>
      <c r="BN192" s="294">
        <v>0.25</v>
      </c>
      <c r="BO192" s="299" cm="1">
        <f t="array" aca="1" ref="BO192" ca="1">INDIRECT("'"&amp;$C192&amp;"'!"&amp;"$"&amp;$D192&amp;74&amp;"")</f>
        <v>0</v>
      </c>
      <c r="BP192" s="296"/>
      <c r="BQ192" s="296" t="s">
        <v>1</v>
      </c>
      <c r="BR192" s="294" t="s">
        <v>1</v>
      </c>
    </row>
    <row r="193" spans="1:70">
      <c r="A193" s="361">
        <v>45755</v>
      </c>
      <c r="B193" s="358">
        <v>0.54166666666666696</v>
      </c>
      <c r="C193" s="313">
        <f t="shared" si="6"/>
        <v>8</v>
      </c>
      <c r="D193" s="314" t="s">
        <v>140</v>
      </c>
      <c r="E193" s="286">
        <v>14.2</v>
      </c>
      <c r="F193" s="287">
        <v>68.94</v>
      </c>
      <c r="G193" s="288" cm="1">
        <f t="array" aca="1" ref="G193" ca="1">INDIRECT("'"&amp;$C193&amp;"'!"&amp;"$"&amp;$D193&amp;$E$1&amp;"")</f>
        <v>6.7</v>
      </c>
      <c r="H193" s="289">
        <v>0.93</v>
      </c>
      <c r="I193" s="287">
        <v>2.6</v>
      </c>
      <c r="J193" s="288" cm="1">
        <f t="array" aca="1" ref="J193" ca="1">INDIRECT("'"&amp;$C193&amp;"'!"&amp;"$"&amp;$D193&amp;$J$1&amp;"")</f>
        <v>6.7</v>
      </c>
      <c r="K193" s="289"/>
      <c r="L193" s="289">
        <v>0.93</v>
      </c>
      <c r="M193" s="287">
        <v>2.6</v>
      </c>
      <c r="N193" s="288" cm="1">
        <f t="array" aca="1" ref="N193" ca="1">INDIRECT("'"&amp;$C193&amp;"'!"&amp;"$"&amp;$D193&amp;$N$1&amp;"")</f>
        <v>6.7</v>
      </c>
      <c r="O193" s="289"/>
      <c r="P193" s="289">
        <v>0.93</v>
      </c>
      <c r="Q193" s="287">
        <v>2.6</v>
      </c>
      <c r="R193" s="288" cm="1">
        <f t="array" aca="1" ref="R193" ca="1">INDIRECT("'"&amp;$C193&amp;"'!"&amp;"$"&amp;$D193&amp;$R$1&amp;"")</f>
        <v>6.7</v>
      </c>
      <c r="S193" s="289"/>
      <c r="T193" s="289">
        <v>0.93</v>
      </c>
      <c r="U193" s="287">
        <v>2.6</v>
      </c>
      <c r="V193" s="288" cm="1">
        <f t="array" aca="1" ref="V193" ca="1">INDIRECT("'"&amp;$C193&amp;"'!"&amp;"$"&amp;$D193&amp;$V$1&amp;"")</f>
        <v>2.8</v>
      </c>
      <c r="W193" s="289">
        <f>3.8*3.47</f>
        <v>13.186</v>
      </c>
      <c r="X193" s="289">
        <v>0.92</v>
      </c>
      <c r="Y193" s="290">
        <v>1.1399999999999999</v>
      </c>
      <c r="Z193" s="286" cm="1">
        <f t="array" aca="1" ref="Z193" ca="1">INDIRECT("'"&amp;$C193&amp;"'!"&amp;"$"&amp;$D193&amp;$Z$1&amp;"")</f>
        <v>0</v>
      </c>
      <c r="AA193" s="289" t="s">
        <v>1</v>
      </c>
      <c r="AB193" s="289" t="s">
        <v>1</v>
      </c>
      <c r="AC193" s="287" t="s">
        <v>1</v>
      </c>
      <c r="AD193" s="288" cm="1">
        <f t="array" aca="1" ref="AD193" ca="1">INDIRECT("'"&amp;$C193&amp;"'!"&amp;"$"&amp;$D193&amp;$AD$1&amp;"")</f>
        <v>3.8</v>
      </c>
      <c r="AE193" s="289">
        <f>3.8*3.47</f>
        <v>13.186</v>
      </c>
      <c r="AF193" s="289">
        <v>0.92</v>
      </c>
      <c r="AG193" s="290">
        <v>1.6</v>
      </c>
      <c r="AH193" s="286" cm="1">
        <f t="array" aca="1" ref="AH193" ca="1">INDIRECT("'"&amp;$C193&amp;"'!"&amp;"$"&amp;$D193&amp;$AH$1&amp;"")</f>
        <v>3.8</v>
      </c>
      <c r="AI193" s="289">
        <v>14.04</v>
      </c>
      <c r="AJ193" s="289">
        <v>0.94</v>
      </c>
      <c r="AK193" s="287">
        <v>1.39</v>
      </c>
      <c r="AL193" s="286">
        <v>11.9</v>
      </c>
      <c r="AM193" s="290">
        <v>70.3</v>
      </c>
      <c r="AN193" s="286" t="str" cm="1">
        <f t="array" aca="1" ref="AN193" ca="1">INDIRECT("'"&amp;$C193&amp;"'!"&amp;"$"&amp;$D193&amp;$AL$1&amp;"")</f>
        <v>CMS</v>
      </c>
      <c r="AO193" s="289" t="s">
        <v>1</v>
      </c>
      <c r="AP193" s="287" t="s">
        <v>1</v>
      </c>
      <c r="AQ193" s="288" cm="1">
        <f t="array" aca="1" ref="AQ193" ca="1">INDIRECT("'"&amp;$C193&amp;"'!"&amp;"$"&amp;$D193&amp;$AQ$1&amp;"")</f>
        <v>4</v>
      </c>
      <c r="AR193" s="289">
        <v>0.96</v>
      </c>
      <c r="AS193" s="287">
        <v>1.3</v>
      </c>
      <c r="AT193" s="289" cm="1">
        <f t="array" aca="1" ref="AT193" ca="1">INDIRECT("'"&amp;$C193&amp;"'!"&amp;"$"&amp;$D193&amp;$AT$1&amp;"")</f>
        <v>7</v>
      </c>
      <c r="AU193" s="288">
        <v>13.8</v>
      </c>
      <c r="AV193" s="289">
        <v>0.98</v>
      </c>
      <c r="AW193" s="287">
        <v>1.22</v>
      </c>
      <c r="AX193" s="291">
        <v>14.23</v>
      </c>
      <c r="AY193" s="290">
        <v>71.56</v>
      </c>
      <c r="AZ193" s="291" cm="1">
        <f t="array" aca="1" ref="AZ193" ca="1">INDIRECT("'"&amp;$C193&amp;"'!"&amp;"$"&amp;$D193&amp;$AZ$1&amp;"")</f>
        <v>14.29</v>
      </c>
      <c r="BA193" s="289">
        <v>0.98</v>
      </c>
      <c r="BB193" s="287">
        <v>3.5</v>
      </c>
      <c r="BC193" s="292">
        <v>67.599999999999994</v>
      </c>
      <c r="BD193" s="286" cm="1">
        <f t="array" aca="1" ref="BD193" ca="1">INDIRECT("'"&amp;$C193&amp;"'!"&amp;"$"&amp;$D193&amp;$BC$1&amp;"")</f>
        <v>0</v>
      </c>
      <c r="BE193" s="288" t="s">
        <v>1</v>
      </c>
      <c r="BF193" s="287" t="s">
        <v>1</v>
      </c>
      <c r="BG193" s="291" cm="1">
        <f t="array" aca="1" ref="BG193" ca="1">INDIRECT("'"&amp;$C193&amp;"'!"&amp;"$"&amp;$D193&amp;$BG$1&amp;"")</f>
        <v>1.29</v>
      </c>
      <c r="BH193" s="289"/>
      <c r="BI193" s="289">
        <v>0.99</v>
      </c>
      <c r="BJ193" s="287">
        <v>0.18</v>
      </c>
      <c r="BK193" s="292" cm="1">
        <f t="array" aca="1" ref="BK193" ca="1">INDIRECT("'"&amp;$C193&amp;"'!"&amp;"$"&amp;$D193&amp;$BK$1&amp;"")</f>
        <v>0.86</v>
      </c>
      <c r="BL193" s="289"/>
      <c r="BM193" s="289">
        <v>0.96</v>
      </c>
      <c r="BN193" s="287">
        <v>0.25</v>
      </c>
      <c r="BO193" s="292" cm="1">
        <f t="array" aca="1" ref="BO193" ca="1">INDIRECT("'"&amp;$C193&amp;"'!"&amp;"$"&amp;$D193&amp;74&amp;"")</f>
        <v>0</v>
      </c>
      <c r="BP193" s="289"/>
      <c r="BQ193" s="289" t="s">
        <v>1</v>
      </c>
      <c r="BR193" s="287" t="s">
        <v>1</v>
      </c>
    </row>
    <row r="194" spans="1:70">
      <c r="A194" s="361">
        <v>45755</v>
      </c>
      <c r="B194" s="358">
        <v>0.58333333333333404</v>
      </c>
      <c r="C194" s="313">
        <f t="shared" si="6"/>
        <v>8</v>
      </c>
      <c r="D194" s="314" t="s">
        <v>141</v>
      </c>
      <c r="E194" s="293">
        <v>14.3</v>
      </c>
      <c r="F194" s="294">
        <v>68.790000000000006</v>
      </c>
      <c r="G194" s="295" cm="1">
        <f t="array" aca="1" ref="G194" ca="1">INDIRECT("'"&amp;$C194&amp;"'!"&amp;"$"&amp;$D194&amp;$E$1&amp;"")</f>
        <v>7.2</v>
      </c>
      <c r="H194" s="296">
        <v>0.92</v>
      </c>
      <c r="I194" s="294">
        <v>2.98</v>
      </c>
      <c r="J194" s="295" cm="1">
        <f t="array" aca="1" ref="J194" ca="1">INDIRECT("'"&amp;$C194&amp;"'!"&amp;"$"&amp;$D194&amp;$J$1&amp;"")</f>
        <v>7.2</v>
      </c>
      <c r="K194" s="296"/>
      <c r="L194" s="296">
        <v>0.92</v>
      </c>
      <c r="M194" s="294">
        <v>2.98</v>
      </c>
      <c r="N194" s="295" cm="1">
        <f t="array" aca="1" ref="N194" ca="1">INDIRECT("'"&amp;$C194&amp;"'!"&amp;"$"&amp;$D194&amp;$N$1&amp;"")</f>
        <v>7.2</v>
      </c>
      <c r="O194" s="296"/>
      <c r="P194" s="296">
        <v>0.92</v>
      </c>
      <c r="Q194" s="294">
        <v>2.98</v>
      </c>
      <c r="R194" s="295" cm="1">
        <f t="array" aca="1" ref="R194" ca="1">INDIRECT("'"&amp;$C194&amp;"'!"&amp;"$"&amp;$D194&amp;$R$1&amp;"")</f>
        <v>7.2</v>
      </c>
      <c r="S194" s="296"/>
      <c r="T194" s="296">
        <v>0.92</v>
      </c>
      <c r="U194" s="294">
        <v>2.98</v>
      </c>
      <c r="V194" s="295" t="str" cm="1">
        <f t="array" aca="1" ref="V194" ca="1">INDIRECT("'"&amp;$C194&amp;"'!"&amp;"$"&amp;$D194&amp;$V$1&amp;"")</f>
        <v>CMS</v>
      </c>
      <c r="W194" s="296" t="s">
        <v>1</v>
      </c>
      <c r="X194" s="296" t="s">
        <v>1</v>
      </c>
      <c r="Y194" s="297" t="s">
        <v>1</v>
      </c>
      <c r="Z194" s="293" cm="1">
        <f t="array" aca="1" ref="Z194" ca="1">INDIRECT("'"&amp;$C194&amp;"'!"&amp;"$"&amp;$D194&amp;$Z$1&amp;"")</f>
        <v>0</v>
      </c>
      <c r="AA194" s="296" t="s">
        <v>1</v>
      </c>
      <c r="AB194" s="296" t="s">
        <v>1</v>
      </c>
      <c r="AC194" s="294" t="s">
        <v>1</v>
      </c>
      <c r="AD194" s="295" cm="1">
        <f t="array" aca="1" ref="AD194" ca="1">INDIRECT("'"&amp;$C194&amp;"'!"&amp;"$"&amp;$D194&amp;$AD$1&amp;"")</f>
        <v>4</v>
      </c>
      <c r="AE194" s="296">
        <f>3.8*3.43</f>
        <v>13.034000000000001</v>
      </c>
      <c r="AF194" s="296">
        <v>0.9</v>
      </c>
      <c r="AG194" s="297">
        <v>1.89</v>
      </c>
      <c r="AH194" s="293" cm="1">
        <f t="array" aca="1" ref="AH194" ca="1">INDIRECT("'"&amp;$C194&amp;"'!"&amp;"$"&amp;$D194&amp;$AH$1&amp;"")</f>
        <v>3.8</v>
      </c>
      <c r="AI194" s="296">
        <v>14.04</v>
      </c>
      <c r="AJ194" s="296">
        <v>0.94</v>
      </c>
      <c r="AK194" s="294">
        <v>1.33</v>
      </c>
      <c r="AL194" s="293">
        <v>11.9</v>
      </c>
      <c r="AM194" s="297">
        <v>70.3</v>
      </c>
      <c r="AN194" s="293" t="str" cm="1">
        <f t="array" aca="1" ref="AN194" ca="1">INDIRECT("'"&amp;$C194&amp;"'!"&amp;"$"&amp;$D194&amp;$AL$1&amp;"")</f>
        <v>CMS</v>
      </c>
      <c r="AO194" s="296" t="s">
        <v>1</v>
      </c>
      <c r="AP194" s="294" t="s">
        <v>1</v>
      </c>
      <c r="AQ194" s="295" cm="1">
        <f t="array" aca="1" ref="AQ194" ca="1">INDIRECT("'"&amp;$C194&amp;"'!"&amp;"$"&amp;$D194&amp;$AQ$1&amp;"")</f>
        <v>4.9000000000000004</v>
      </c>
      <c r="AR194" s="296">
        <v>0.92</v>
      </c>
      <c r="AS194" s="294">
        <v>1.85</v>
      </c>
      <c r="AT194" s="296" cm="1">
        <f t="array" aca="1" ref="AT194" ca="1">INDIRECT("'"&amp;$C194&amp;"'!"&amp;"$"&amp;$D194&amp;$AT$1&amp;"")</f>
        <v>7.7</v>
      </c>
      <c r="AU194" s="295">
        <v>13.8</v>
      </c>
      <c r="AV194" s="296">
        <v>0.98</v>
      </c>
      <c r="AW194" s="294">
        <v>1.7</v>
      </c>
      <c r="AX194" s="298">
        <v>14.17</v>
      </c>
      <c r="AY194" s="297">
        <v>71.34</v>
      </c>
      <c r="AZ194" s="298" cm="1">
        <f t="array" aca="1" ref="AZ194" ca="1">INDIRECT("'"&amp;$C194&amp;"'!"&amp;"$"&amp;$D194&amp;$AZ$1&amp;"")</f>
        <v>14.3</v>
      </c>
      <c r="BA194" s="296">
        <v>0.98</v>
      </c>
      <c r="BB194" s="294">
        <v>3.5</v>
      </c>
      <c r="BC194" s="299">
        <v>67.400000000000006</v>
      </c>
      <c r="BD194" s="293" cm="1">
        <f t="array" aca="1" ref="BD194" ca="1">INDIRECT("'"&amp;$C194&amp;"'!"&amp;"$"&amp;$D194&amp;$BC$1&amp;"")</f>
        <v>1.4</v>
      </c>
      <c r="BE194" s="295">
        <v>0.95</v>
      </c>
      <c r="BF194" s="294">
        <v>0.47</v>
      </c>
      <c r="BG194" s="298" cm="1">
        <f t="array" aca="1" ref="BG194" ca="1">INDIRECT("'"&amp;$C194&amp;"'!"&amp;"$"&amp;$D194&amp;$BG$1&amp;"")</f>
        <v>1.21</v>
      </c>
      <c r="BH194" s="296"/>
      <c r="BI194" s="296">
        <v>0.99</v>
      </c>
      <c r="BJ194" s="294">
        <v>0.17</v>
      </c>
      <c r="BK194" s="299" cm="1">
        <f t="array" aca="1" ref="BK194" ca="1">INDIRECT("'"&amp;$C194&amp;"'!"&amp;"$"&amp;$D194&amp;$BK$1&amp;"")</f>
        <v>0.86</v>
      </c>
      <c r="BL194" s="296"/>
      <c r="BM194" s="296">
        <v>0.96</v>
      </c>
      <c r="BN194" s="294">
        <v>0.25</v>
      </c>
      <c r="BO194" s="299" cm="1">
        <f t="array" aca="1" ref="BO194" ca="1">INDIRECT("'"&amp;$C194&amp;"'!"&amp;"$"&amp;$D194&amp;74&amp;"")</f>
        <v>0</v>
      </c>
      <c r="BP194" s="296"/>
      <c r="BQ194" s="296" t="s">
        <v>1</v>
      </c>
      <c r="BR194" s="294" t="s">
        <v>1</v>
      </c>
    </row>
    <row r="195" spans="1:70">
      <c r="A195" s="361">
        <v>45755</v>
      </c>
      <c r="B195" s="358">
        <v>0.625</v>
      </c>
      <c r="C195" s="313">
        <f t="shared" si="6"/>
        <v>8</v>
      </c>
      <c r="D195" s="314" t="s">
        <v>142</v>
      </c>
      <c r="E195" s="286">
        <v>14.3</v>
      </c>
      <c r="F195" s="287">
        <v>69.260000000000005</v>
      </c>
      <c r="G195" s="288" cm="1">
        <f t="array" aca="1" ref="G195" ca="1">INDIRECT("'"&amp;$C195&amp;"'!"&amp;"$"&amp;$D195&amp;$E$1&amp;"")</f>
        <v>6.6</v>
      </c>
      <c r="H195" s="289">
        <v>0.91</v>
      </c>
      <c r="I195" s="287">
        <v>2.92</v>
      </c>
      <c r="J195" s="288" cm="1">
        <f t="array" aca="1" ref="J195" ca="1">INDIRECT("'"&amp;$C195&amp;"'!"&amp;"$"&amp;$D195&amp;$J$1&amp;"")</f>
        <v>6.6</v>
      </c>
      <c r="K195" s="289"/>
      <c r="L195" s="289">
        <v>0.91</v>
      </c>
      <c r="M195" s="287">
        <v>2.92</v>
      </c>
      <c r="N195" s="288" cm="1">
        <f t="array" aca="1" ref="N195" ca="1">INDIRECT("'"&amp;$C195&amp;"'!"&amp;"$"&amp;$D195&amp;$N$1&amp;"")</f>
        <v>6.6</v>
      </c>
      <c r="O195" s="289"/>
      <c r="P195" s="289">
        <v>0.91</v>
      </c>
      <c r="Q195" s="287">
        <v>2.92</v>
      </c>
      <c r="R195" s="288" cm="1">
        <f t="array" aca="1" ref="R195" ca="1">INDIRECT("'"&amp;$C195&amp;"'!"&amp;"$"&amp;$D195&amp;$R$1&amp;"")</f>
        <v>6.6</v>
      </c>
      <c r="S195" s="289"/>
      <c r="T195" s="289">
        <v>0.91</v>
      </c>
      <c r="U195" s="287">
        <v>2.92</v>
      </c>
      <c r="V195" s="288" t="str" cm="1">
        <f t="array" aca="1" ref="V195" ca="1">INDIRECT("'"&amp;$C195&amp;"'!"&amp;"$"&amp;$D195&amp;$V$1&amp;"")</f>
        <v>CMS</v>
      </c>
      <c r="W195" s="289" t="s">
        <v>1</v>
      </c>
      <c r="X195" s="289" t="s">
        <v>1</v>
      </c>
      <c r="Y195" s="290" t="s">
        <v>1</v>
      </c>
      <c r="Z195" s="286" cm="1">
        <f t="array" aca="1" ref="Z195" ca="1">INDIRECT("'"&amp;$C195&amp;"'!"&amp;"$"&amp;$D195&amp;$Z$1&amp;"")</f>
        <v>0</v>
      </c>
      <c r="AA195" s="289" t="s">
        <v>1</v>
      </c>
      <c r="AB195" s="289" t="s">
        <v>1</v>
      </c>
      <c r="AC195" s="287" t="s">
        <v>1</v>
      </c>
      <c r="AD195" s="288" cm="1">
        <f t="array" aca="1" ref="AD195" ca="1">INDIRECT("'"&amp;$C195&amp;"'!"&amp;"$"&amp;$D195&amp;$AD$1&amp;"")</f>
        <v>3.8</v>
      </c>
      <c r="AE195" s="289">
        <f>3.8*3.45</f>
        <v>13.11</v>
      </c>
      <c r="AF195" s="289">
        <v>0.9</v>
      </c>
      <c r="AG195" s="290">
        <v>1.88</v>
      </c>
      <c r="AH195" s="286" cm="1">
        <f t="array" aca="1" ref="AH195" ca="1">INDIRECT("'"&amp;$C195&amp;"'!"&amp;"$"&amp;$D195&amp;$AH$1&amp;"")</f>
        <v>3.8</v>
      </c>
      <c r="AI195" s="289">
        <v>14.08</v>
      </c>
      <c r="AJ195" s="289">
        <v>0.95</v>
      </c>
      <c r="AK195" s="287">
        <v>1.1399999999999999</v>
      </c>
      <c r="AL195" s="286">
        <v>11.9</v>
      </c>
      <c r="AM195" s="290">
        <v>70.5</v>
      </c>
      <c r="AN195" s="286" t="str" cm="1">
        <f t="array" aca="1" ref="AN195" ca="1">INDIRECT("'"&amp;$C195&amp;"'!"&amp;"$"&amp;$D195&amp;$AL$1&amp;"")</f>
        <v>CMS</v>
      </c>
      <c r="AO195" s="289" t="s">
        <v>1</v>
      </c>
      <c r="AP195" s="287" t="s">
        <v>1</v>
      </c>
      <c r="AQ195" s="288" cm="1">
        <f t="array" aca="1" ref="AQ195" ca="1">INDIRECT("'"&amp;$C195&amp;"'!"&amp;"$"&amp;$D195&amp;$AQ$1&amp;"")</f>
        <v>4</v>
      </c>
      <c r="AR195" s="289">
        <v>0.92</v>
      </c>
      <c r="AS195" s="287">
        <v>1.69</v>
      </c>
      <c r="AT195" s="289" cm="1">
        <f t="array" aca="1" ref="AT195" ca="1">INDIRECT("'"&amp;$C195&amp;"'!"&amp;"$"&amp;$D195&amp;$AT$1&amp;"")</f>
        <v>6.7</v>
      </c>
      <c r="AU195" s="288">
        <v>13.8</v>
      </c>
      <c r="AV195" s="289">
        <v>0.99</v>
      </c>
      <c r="AW195" s="287">
        <v>0.99</v>
      </c>
      <c r="AX195" s="291">
        <v>14.24</v>
      </c>
      <c r="AY195" s="290">
        <v>71.67</v>
      </c>
      <c r="AZ195" s="291" cm="1">
        <f t="array" aca="1" ref="AZ195" ca="1">INDIRECT("'"&amp;$C195&amp;"'!"&amp;"$"&amp;$D195&amp;$AZ$1&amp;"")</f>
        <v>14.27</v>
      </c>
      <c r="BA195" s="289">
        <v>0.98</v>
      </c>
      <c r="BB195" s="287">
        <v>3.5</v>
      </c>
      <c r="BC195" s="292">
        <v>67.5</v>
      </c>
      <c r="BD195" s="286" cm="1">
        <f t="array" aca="1" ref="BD195" ca="1">INDIRECT("'"&amp;$C195&amp;"'!"&amp;"$"&amp;$D195&amp;$BC$1&amp;"")</f>
        <v>5</v>
      </c>
      <c r="BE195" s="288">
        <v>0.95</v>
      </c>
      <c r="BF195" s="287">
        <v>1.7</v>
      </c>
      <c r="BG195" s="291" cm="1">
        <f t="array" aca="1" ref="BG195" ca="1">INDIRECT("'"&amp;$C195&amp;"'!"&amp;"$"&amp;$D195&amp;$BG$1&amp;"")</f>
        <v>1.21</v>
      </c>
      <c r="BH195" s="289"/>
      <c r="BI195" s="289">
        <v>0.99</v>
      </c>
      <c r="BJ195" s="287">
        <v>0.16</v>
      </c>
      <c r="BK195" s="292" cm="1">
        <f t="array" aca="1" ref="BK195" ca="1">INDIRECT("'"&amp;$C195&amp;"'!"&amp;"$"&amp;$D195&amp;$BK$1&amp;"")</f>
        <v>0.85</v>
      </c>
      <c r="BL195" s="289"/>
      <c r="BM195" s="289">
        <v>0.96</v>
      </c>
      <c r="BN195" s="287">
        <v>0.24</v>
      </c>
      <c r="BO195" s="292" cm="1">
        <f t="array" aca="1" ref="BO195" ca="1">INDIRECT("'"&amp;$C195&amp;"'!"&amp;"$"&amp;$D195&amp;74&amp;"")</f>
        <v>0</v>
      </c>
      <c r="BP195" s="289"/>
      <c r="BQ195" s="289" t="s">
        <v>1</v>
      </c>
      <c r="BR195" s="287" t="s">
        <v>1</v>
      </c>
    </row>
    <row r="196" spans="1:70">
      <c r="A196" s="361">
        <v>45755</v>
      </c>
      <c r="B196" s="358">
        <v>0.66666666666666696</v>
      </c>
      <c r="C196" s="313">
        <f t="shared" si="6"/>
        <v>8</v>
      </c>
      <c r="D196" s="314" t="s">
        <v>143</v>
      </c>
      <c r="E196" s="293">
        <v>14.3</v>
      </c>
      <c r="F196" s="294">
        <v>68.91</v>
      </c>
      <c r="G196" s="295" cm="1">
        <f t="array" aca="1" ref="G196" ca="1">INDIRECT("'"&amp;$C196&amp;"'!"&amp;"$"&amp;$D196&amp;$E$1&amp;"")</f>
        <v>6.7</v>
      </c>
      <c r="H196" s="296">
        <v>0.93</v>
      </c>
      <c r="I196" s="294">
        <v>2.74</v>
      </c>
      <c r="J196" s="295" cm="1">
        <f t="array" aca="1" ref="J196" ca="1">INDIRECT("'"&amp;$C196&amp;"'!"&amp;"$"&amp;$D196&amp;$J$1&amp;"")</f>
        <v>6.7</v>
      </c>
      <c r="K196" s="296"/>
      <c r="L196" s="296">
        <v>0.93</v>
      </c>
      <c r="M196" s="294">
        <v>2.74</v>
      </c>
      <c r="N196" s="295" cm="1">
        <f t="array" aca="1" ref="N196" ca="1">INDIRECT("'"&amp;$C196&amp;"'!"&amp;"$"&amp;$D196&amp;$N$1&amp;"")</f>
        <v>6.7</v>
      </c>
      <c r="O196" s="296"/>
      <c r="P196" s="296">
        <v>0.93</v>
      </c>
      <c r="Q196" s="294">
        <v>2.74</v>
      </c>
      <c r="R196" s="295" cm="1">
        <f t="array" aca="1" ref="R196" ca="1">INDIRECT("'"&amp;$C196&amp;"'!"&amp;"$"&amp;$D196&amp;$R$1&amp;"")</f>
        <v>6.7</v>
      </c>
      <c r="S196" s="296"/>
      <c r="T196" s="296">
        <v>0.93</v>
      </c>
      <c r="U196" s="294">
        <v>2.74</v>
      </c>
      <c r="V196" s="295" t="str" cm="1">
        <f t="array" aca="1" ref="V196" ca="1">INDIRECT("'"&amp;$C196&amp;"'!"&amp;"$"&amp;$D196&amp;$V$1&amp;"")</f>
        <v>CMS</v>
      </c>
      <c r="W196" s="296" t="s">
        <v>1</v>
      </c>
      <c r="X196" s="296" t="s">
        <v>1</v>
      </c>
      <c r="Y196" s="297" t="s">
        <v>1</v>
      </c>
      <c r="Z196" s="293" cm="1">
        <f t="array" aca="1" ref="Z196" ca="1">INDIRECT("'"&amp;$C196&amp;"'!"&amp;"$"&amp;$D196&amp;$Z$1&amp;"")</f>
        <v>0</v>
      </c>
      <c r="AA196" s="296" t="s">
        <v>1</v>
      </c>
      <c r="AB196" s="296" t="s">
        <v>1</v>
      </c>
      <c r="AC196" s="294" t="s">
        <v>1</v>
      </c>
      <c r="AD196" s="295" cm="1">
        <f t="array" aca="1" ref="AD196" ca="1">INDIRECT("'"&amp;$C196&amp;"'!"&amp;"$"&amp;$D196&amp;$AD$1&amp;"")</f>
        <v>3.8</v>
      </c>
      <c r="AE196" s="296">
        <f>3.8*3.43</f>
        <v>13.034000000000001</v>
      </c>
      <c r="AF196" s="296">
        <v>0.92</v>
      </c>
      <c r="AG196" s="297">
        <v>1.57</v>
      </c>
      <c r="AH196" s="293" cm="1">
        <f t="array" aca="1" ref="AH196" ca="1">INDIRECT("'"&amp;$C196&amp;"'!"&amp;"$"&amp;$D196&amp;$AH$1&amp;"")</f>
        <v>3.8</v>
      </c>
      <c r="AI196" s="296">
        <v>14.04</v>
      </c>
      <c r="AJ196" s="296">
        <v>0.97</v>
      </c>
      <c r="AK196" s="294">
        <v>0.75</v>
      </c>
      <c r="AL196" s="293">
        <v>11.9</v>
      </c>
      <c r="AM196" s="297">
        <v>70.3</v>
      </c>
      <c r="AN196" s="293" t="str" cm="1">
        <f t="array" aca="1" ref="AN196" ca="1">INDIRECT("'"&amp;$C196&amp;"'!"&amp;"$"&amp;$D196&amp;$AL$1&amp;"")</f>
        <v>CMS</v>
      </c>
      <c r="AO196" s="296" t="s">
        <v>1</v>
      </c>
      <c r="AP196" s="294" t="s">
        <v>1</v>
      </c>
      <c r="AQ196" s="295" cm="1">
        <f t="array" aca="1" ref="AQ196" ca="1">INDIRECT("'"&amp;$C196&amp;"'!"&amp;"$"&amp;$D196&amp;$AQ$1&amp;"")</f>
        <v>4.3</v>
      </c>
      <c r="AR196" s="296">
        <v>0.95</v>
      </c>
      <c r="AS196" s="294">
        <v>1.45</v>
      </c>
      <c r="AT196" s="296" cm="1">
        <f t="array" aca="1" ref="AT196" ca="1">INDIRECT("'"&amp;$C196&amp;"'!"&amp;"$"&amp;$D196&amp;$AT$1&amp;"")</f>
        <v>7</v>
      </c>
      <c r="AU196" s="295">
        <v>13.8</v>
      </c>
      <c r="AV196" s="296">
        <v>0.98</v>
      </c>
      <c r="AW196" s="294">
        <v>1.38</v>
      </c>
      <c r="AX196" s="298">
        <v>14.23</v>
      </c>
      <c r="AY196" s="297">
        <v>71.650000000000006</v>
      </c>
      <c r="AZ196" s="298" cm="1">
        <f t="array" aca="1" ref="AZ196" ca="1">INDIRECT("'"&amp;$C196&amp;"'!"&amp;"$"&amp;$D196&amp;$AZ$1&amp;"")</f>
        <v>14.27</v>
      </c>
      <c r="BA196" s="296">
        <v>0.98</v>
      </c>
      <c r="BB196" s="294">
        <v>3.5</v>
      </c>
      <c r="BC196" s="299">
        <v>67.2</v>
      </c>
      <c r="BD196" s="293" cm="1">
        <f t="array" aca="1" ref="BD196" ca="1">INDIRECT("'"&amp;$C196&amp;"'!"&amp;"$"&amp;$D196&amp;$BC$1&amp;"")</f>
        <v>2.8</v>
      </c>
      <c r="BE196" s="295">
        <v>0.95</v>
      </c>
      <c r="BF196" s="294">
        <v>0.93</v>
      </c>
      <c r="BG196" s="298" cm="1">
        <f t="array" aca="1" ref="BG196" ca="1">INDIRECT("'"&amp;$C196&amp;"'!"&amp;"$"&amp;$D196&amp;$BG$1&amp;"")</f>
        <v>1.27</v>
      </c>
      <c r="BH196" s="296"/>
      <c r="BI196" s="296">
        <v>0.99</v>
      </c>
      <c r="BJ196" s="294">
        <v>0.2</v>
      </c>
      <c r="BK196" s="299" cm="1">
        <f t="array" aca="1" ref="BK196" ca="1">INDIRECT("'"&amp;$C196&amp;"'!"&amp;"$"&amp;$D196&amp;$BK$1&amp;"")</f>
        <v>0.84</v>
      </c>
      <c r="BL196" s="296"/>
      <c r="BM196" s="296">
        <v>0.96</v>
      </c>
      <c r="BN196" s="294">
        <v>0.25</v>
      </c>
      <c r="BO196" s="299" cm="1">
        <f t="array" aca="1" ref="BO196" ca="1">INDIRECT("'"&amp;$C196&amp;"'!"&amp;"$"&amp;$D196&amp;74&amp;"")</f>
        <v>0</v>
      </c>
      <c r="BP196" s="296"/>
      <c r="BQ196" s="296" t="s">
        <v>1</v>
      </c>
      <c r="BR196" s="294" t="s">
        <v>1</v>
      </c>
    </row>
    <row r="197" spans="1:70">
      <c r="A197" s="361">
        <v>45755</v>
      </c>
      <c r="B197" s="358">
        <v>0.70833333333333404</v>
      </c>
      <c r="C197" s="313">
        <f t="shared" si="6"/>
        <v>8</v>
      </c>
      <c r="D197" s="314" t="s">
        <v>144</v>
      </c>
      <c r="E197" s="286">
        <v>14.2</v>
      </c>
      <c r="F197" s="287">
        <v>68.88</v>
      </c>
      <c r="G197" s="288" cm="1">
        <f t="array" aca="1" ref="G197" ca="1">INDIRECT("'"&amp;$C197&amp;"'!"&amp;"$"&amp;$D197&amp;$E$1&amp;"")</f>
        <v>6.6</v>
      </c>
      <c r="H197" s="289">
        <v>0.92</v>
      </c>
      <c r="I197" s="287">
        <v>2.78</v>
      </c>
      <c r="J197" s="288" cm="1">
        <f t="array" aca="1" ref="J197" ca="1">INDIRECT("'"&amp;$C197&amp;"'!"&amp;"$"&amp;$D197&amp;$J$1&amp;"")</f>
        <v>6.6</v>
      </c>
      <c r="K197" s="289"/>
      <c r="L197" s="289">
        <v>0.92</v>
      </c>
      <c r="M197" s="287">
        <v>2.78</v>
      </c>
      <c r="N197" s="288" cm="1">
        <f t="array" aca="1" ref="N197" ca="1">INDIRECT("'"&amp;$C197&amp;"'!"&amp;"$"&amp;$D197&amp;$N$1&amp;"")</f>
        <v>6.6</v>
      </c>
      <c r="O197" s="289"/>
      <c r="P197" s="289">
        <v>0.92</v>
      </c>
      <c r="Q197" s="287">
        <v>2.78</v>
      </c>
      <c r="R197" s="288" cm="1">
        <f t="array" aca="1" ref="R197" ca="1">INDIRECT("'"&amp;$C197&amp;"'!"&amp;"$"&amp;$D197&amp;$R$1&amp;"")</f>
        <v>6.6</v>
      </c>
      <c r="S197" s="289"/>
      <c r="T197" s="289">
        <v>0.92</v>
      </c>
      <c r="U197" s="287">
        <v>2.78</v>
      </c>
      <c r="V197" s="288" t="str" cm="1">
        <f t="array" aca="1" ref="V197" ca="1">INDIRECT("'"&amp;$C197&amp;"'!"&amp;"$"&amp;$D197&amp;$V$1&amp;"")</f>
        <v>CMS</v>
      </c>
      <c r="W197" s="289" t="s">
        <v>1</v>
      </c>
      <c r="X197" s="289" t="s">
        <v>1</v>
      </c>
      <c r="Y197" s="290" t="s">
        <v>1</v>
      </c>
      <c r="Z197" s="286" cm="1">
        <f t="array" aca="1" ref="Z197" ca="1">INDIRECT("'"&amp;$C197&amp;"'!"&amp;"$"&amp;$D197&amp;$Z$1&amp;"")</f>
        <v>0</v>
      </c>
      <c r="AA197" s="289" t="s">
        <v>1</v>
      </c>
      <c r="AB197" s="289" t="s">
        <v>1</v>
      </c>
      <c r="AC197" s="287" t="s">
        <v>1</v>
      </c>
      <c r="AD197" s="288" cm="1">
        <f t="array" aca="1" ref="AD197" ca="1">INDIRECT("'"&amp;$C197&amp;"'!"&amp;"$"&amp;$D197&amp;$AD$1&amp;"")</f>
        <v>3.8</v>
      </c>
      <c r="AE197" s="289">
        <f>3.8*3.43</f>
        <v>13.034000000000001</v>
      </c>
      <c r="AF197" s="289">
        <v>0.9</v>
      </c>
      <c r="AG197" s="290">
        <v>1.79</v>
      </c>
      <c r="AH197" s="286" cm="1">
        <f t="array" aca="1" ref="AH197" ca="1">INDIRECT("'"&amp;$C197&amp;"'!"&amp;"$"&amp;$D197&amp;$AH$1&amp;"")</f>
        <v>3.8</v>
      </c>
      <c r="AI197" s="289">
        <v>14.04</v>
      </c>
      <c r="AJ197" s="289">
        <v>0.97</v>
      </c>
      <c r="AK197" s="287">
        <v>0.748</v>
      </c>
      <c r="AL197" s="286">
        <v>11.9</v>
      </c>
      <c r="AM197" s="290">
        <v>70.3</v>
      </c>
      <c r="AN197" s="286" t="str" cm="1">
        <f t="array" aca="1" ref="AN197" ca="1">INDIRECT("'"&amp;$C197&amp;"'!"&amp;"$"&amp;$D197&amp;$AL$1&amp;"")</f>
        <v>CMS</v>
      </c>
      <c r="AO197" s="289" t="s">
        <v>1</v>
      </c>
      <c r="AP197" s="287" t="s">
        <v>1</v>
      </c>
      <c r="AQ197" s="288" cm="1">
        <f t="array" aca="1" ref="AQ197" ca="1">INDIRECT("'"&amp;$C197&amp;"'!"&amp;"$"&amp;$D197&amp;$AQ$1&amp;"")</f>
        <v>4.2</v>
      </c>
      <c r="AR197" s="289">
        <v>0.95</v>
      </c>
      <c r="AS197" s="287">
        <v>1.4450000000000001</v>
      </c>
      <c r="AT197" s="289" cm="1">
        <f t="array" aca="1" ref="AT197" ca="1">INDIRECT("'"&amp;$C197&amp;"'!"&amp;"$"&amp;$D197&amp;$AT$1&amp;"")</f>
        <v>7</v>
      </c>
      <c r="AU197" s="288">
        <v>13.8</v>
      </c>
      <c r="AV197" s="289">
        <v>0.98</v>
      </c>
      <c r="AW197" s="287">
        <v>1.5</v>
      </c>
      <c r="AX197" s="291">
        <v>14.23</v>
      </c>
      <c r="AY197" s="290">
        <v>71.650000000000006</v>
      </c>
      <c r="AZ197" s="291" cm="1">
        <f t="array" aca="1" ref="AZ197" ca="1">INDIRECT("'"&amp;$C197&amp;"'!"&amp;"$"&amp;$D197&amp;$AZ$1&amp;"")</f>
        <v>14.29</v>
      </c>
      <c r="BA197" s="289">
        <v>0.98</v>
      </c>
      <c r="BB197" s="287">
        <v>3.5</v>
      </c>
      <c r="BC197" s="292">
        <v>66.900000000000006</v>
      </c>
      <c r="BD197" s="286" cm="1">
        <f t="array" aca="1" ref="BD197" ca="1">INDIRECT("'"&amp;$C197&amp;"'!"&amp;"$"&amp;$D197&amp;$BC$1&amp;"")</f>
        <v>0</v>
      </c>
      <c r="BE197" s="288" t="s">
        <v>1</v>
      </c>
      <c r="BF197" s="287" t="s">
        <v>1</v>
      </c>
      <c r="BG197" s="291" cm="1">
        <f t="array" aca="1" ref="BG197" ca="1">INDIRECT("'"&amp;$C197&amp;"'!"&amp;"$"&amp;$D197&amp;$BG$1&amp;"")</f>
        <v>1.37</v>
      </c>
      <c r="BH197" s="289"/>
      <c r="BI197" s="289">
        <v>0.99</v>
      </c>
      <c r="BJ197" s="287">
        <v>0.17</v>
      </c>
      <c r="BK197" s="292" cm="1">
        <f t="array" aca="1" ref="BK197" ca="1">INDIRECT("'"&amp;$C197&amp;"'!"&amp;"$"&amp;$D197&amp;$BK$1&amp;"")</f>
        <v>0.83</v>
      </c>
      <c r="BL197" s="289"/>
      <c r="BM197" s="289">
        <v>0.96</v>
      </c>
      <c r="BN197" s="287">
        <v>0.25</v>
      </c>
      <c r="BO197" s="292" cm="1">
        <f t="array" aca="1" ref="BO197" ca="1">INDIRECT("'"&amp;$C197&amp;"'!"&amp;"$"&amp;$D197&amp;74&amp;"")</f>
        <v>0</v>
      </c>
      <c r="BP197" s="289"/>
      <c r="BQ197" s="289" t="s">
        <v>1</v>
      </c>
      <c r="BR197" s="287" t="s">
        <v>1</v>
      </c>
    </row>
    <row r="198" spans="1:70">
      <c r="A198" s="361">
        <v>45755</v>
      </c>
      <c r="B198" s="358">
        <v>0.750000000000001</v>
      </c>
      <c r="C198" s="313">
        <f t="shared" si="6"/>
        <v>8</v>
      </c>
      <c r="D198" s="314" t="s">
        <v>145</v>
      </c>
      <c r="E198" s="293">
        <v>14.2</v>
      </c>
      <c r="F198" s="294">
        <v>69.010000000000005</v>
      </c>
      <c r="G198" s="295" cm="1">
        <f t="array" aca="1" ref="G198" ca="1">INDIRECT("'"&amp;$C198&amp;"'!"&amp;"$"&amp;$D198&amp;$E$1&amp;"")</f>
        <v>6.6</v>
      </c>
      <c r="H198" s="296">
        <v>0.92</v>
      </c>
      <c r="I198" s="294">
        <v>2.76</v>
      </c>
      <c r="J198" s="295" cm="1">
        <f t="array" aca="1" ref="J198" ca="1">INDIRECT("'"&amp;$C198&amp;"'!"&amp;"$"&amp;$D198&amp;$J$1&amp;"")</f>
        <v>6.6</v>
      </c>
      <c r="K198" s="296"/>
      <c r="L198" s="296">
        <v>0.92</v>
      </c>
      <c r="M198" s="294">
        <v>2.76</v>
      </c>
      <c r="N198" s="295" cm="1">
        <f t="array" aca="1" ref="N198" ca="1">INDIRECT("'"&amp;$C198&amp;"'!"&amp;"$"&amp;$D198&amp;$N$1&amp;"")</f>
        <v>6.6</v>
      </c>
      <c r="O198" s="296"/>
      <c r="P198" s="296">
        <v>0.92</v>
      </c>
      <c r="Q198" s="294">
        <v>2.76</v>
      </c>
      <c r="R198" s="295" cm="1">
        <f t="array" aca="1" ref="R198" ca="1">INDIRECT("'"&amp;$C198&amp;"'!"&amp;"$"&amp;$D198&amp;$R$1&amp;"")</f>
        <v>6.6</v>
      </c>
      <c r="S198" s="296"/>
      <c r="T198" s="296">
        <v>0.92</v>
      </c>
      <c r="U198" s="294">
        <v>2.76</v>
      </c>
      <c r="V198" s="295" t="str" cm="1">
        <f t="array" aca="1" ref="V198" ca="1">INDIRECT("'"&amp;$C198&amp;"'!"&amp;"$"&amp;$D198&amp;$V$1&amp;"")</f>
        <v>CMS</v>
      </c>
      <c r="W198" s="296" t="s">
        <v>1</v>
      </c>
      <c r="X198" s="296" t="s">
        <v>1</v>
      </c>
      <c r="Y198" s="297" t="s">
        <v>1</v>
      </c>
      <c r="Z198" s="293" cm="1">
        <f t="array" aca="1" ref="Z198" ca="1">INDIRECT("'"&amp;$C198&amp;"'!"&amp;"$"&amp;$D198&amp;$Z$1&amp;"")</f>
        <v>0</v>
      </c>
      <c r="AA198" s="296" t="s">
        <v>1</v>
      </c>
      <c r="AB198" s="296" t="s">
        <v>1</v>
      </c>
      <c r="AC198" s="294" t="s">
        <v>1</v>
      </c>
      <c r="AD198" s="295" cm="1">
        <f t="array" aca="1" ref="AD198" ca="1">INDIRECT("'"&amp;$C198&amp;"'!"&amp;"$"&amp;$D198&amp;$AD$1&amp;"")</f>
        <v>3.8</v>
      </c>
      <c r="AE198" s="296">
        <f>3.8*3.47</f>
        <v>13.186</v>
      </c>
      <c r="AF198" s="296">
        <v>0.92</v>
      </c>
      <c r="AG198" s="297">
        <v>1.55</v>
      </c>
      <c r="AH198" s="293" cm="1">
        <f t="array" aca="1" ref="AH198" ca="1">INDIRECT("'"&amp;$C198&amp;"'!"&amp;"$"&amp;$D198&amp;$AH$1&amp;"")</f>
        <v>3.8</v>
      </c>
      <c r="AI198" s="296">
        <v>14.04</v>
      </c>
      <c r="AJ198" s="296">
        <v>0.99</v>
      </c>
      <c r="AK198" s="294">
        <v>0.34300000000000003</v>
      </c>
      <c r="AL198" s="293">
        <v>11.9</v>
      </c>
      <c r="AM198" s="297">
        <v>70.5</v>
      </c>
      <c r="AN198" s="293" t="str" cm="1">
        <f t="array" aca="1" ref="AN198" ca="1">INDIRECT("'"&amp;$C198&amp;"'!"&amp;"$"&amp;$D198&amp;$AL$1&amp;"")</f>
        <v>CMS</v>
      </c>
      <c r="AO198" s="296" t="s">
        <v>1</v>
      </c>
      <c r="AP198" s="294" t="s">
        <v>1</v>
      </c>
      <c r="AQ198" s="295" cm="1">
        <f t="array" aca="1" ref="AQ198" ca="1">INDIRECT("'"&amp;$C198&amp;"'!"&amp;"$"&amp;$D198&amp;$AQ$1&amp;"")</f>
        <v>4.2</v>
      </c>
      <c r="AR198" s="296">
        <v>0.95</v>
      </c>
      <c r="AS198" s="294">
        <v>1.45</v>
      </c>
      <c r="AT198" s="296" cm="1">
        <f t="array" aca="1" ref="AT198" ca="1">INDIRECT("'"&amp;$C198&amp;"'!"&amp;"$"&amp;$D198&amp;$AT$1&amp;"")</f>
        <v>6</v>
      </c>
      <c r="AU198" s="295">
        <v>13.8</v>
      </c>
      <c r="AV198" s="296">
        <v>0.97</v>
      </c>
      <c r="AW198" s="294">
        <v>1.35</v>
      </c>
      <c r="AX198" s="298">
        <v>14.32</v>
      </c>
      <c r="AY198" s="297">
        <v>72</v>
      </c>
      <c r="AZ198" s="298" cm="1">
        <f t="array" aca="1" ref="AZ198" ca="1">INDIRECT("'"&amp;$C198&amp;"'!"&amp;"$"&amp;$D198&amp;$AZ$1&amp;"")</f>
        <v>14.3</v>
      </c>
      <c r="BA198" s="296">
        <v>0.98</v>
      </c>
      <c r="BB198" s="294">
        <v>3.5</v>
      </c>
      <c r="BC198" s="299">
        <v>67.3</v>
      </c>
      <c r="BD198" s="293" cm="1">
        <f t="array" aca="1" ref="BD198" ca="1">INDIRECT("'"&amp;$C198&amp;"'!"&amp;"$"&amp;$D198&amp;$BC$1&amp;"")</f>
        <v>0</v>
      </c>
      <c r="BE198" s="295" t="s">
        <v>1</v>
      </c>
      <c r="BF198" s="294" t="s">
        <v>1</v>
      </c>
      <c r="BG198" s="298" cm="1">
        <f t="array" aca="1" ref="BG198" ca="1">INDIRECT("'"&amp;$C198&amp;"'!"&amp;"$"&amp;$D198&amp;$BG$1&amp;"")</f>
        <v>1.3</v>
      </c>
      <c r="BH198" s="296"/>
      <c r="BI198" s="296">
        <v>0.94</v>
      </c>
      <c r="BJ198" s="294">
        <v>0.19</v>
      </c>
      <c r="BK198" s="299" cm="1">
        <f t="array" aca="1" ref="BK198" ca="1">INDIRECT("'"&amp;$C198&amp;"'!"&amp;"$"&amp;$D198&amp;$BK$1&amp;"")</f>
        <v>0.83</v>
      </c>
      <c r="BL198" s="296"/>
      <c r="BM198" s="296">
        <v>0.96</v>
      </c>
      <c r="BN198" s="294">
        <v>0.25</v>
      </c>
      <c r="BO198" s="299" cm="1">
        <f t="array" aca="1" ref="BO198" ca="1">INDIRECT("'"&amp;$C198&amp;"'!"&amp;"$"&amp;$D198&amp;74&amp;"")</f>
        <v>0</v>
      </c>
      <c r="BP198" s="296"/>
      <c r="BQ198" s="296" t="s">
        <v>1</v>
      </c>
      <c r="BR198" s="294" t="s">
        <v>1</v>
      </c>
    </row>
    <row r="199" spans="1:70">
      <c r="A199" s="361">
        <v>45755</v>
      </c>
      <c r="B199" s="358">
        <v>0.79166666666666696</v>
      </c>
      <c r="C199" s="313">
        <f t="shared" si="6"/>
        <v>8</v>
      </c>
      <c r="D199" s="314" t="s">
        <v>146</v>
      </c>
      <c r="E199" s="286">
        <v>14.3</v>
      </c>
      <c r="F199" s="287">
        <v>69.319999999999993</v>
      </c>
      <c r="G199" s="288" cm="1">
        <f t="array" aca="1" ref="G199" ca="1">INDIRECT("'"&amp;$C199&amp;"'!"&amp;"$"&amp;$D199&amp;$E$1&amp;"")</f>
        <v>6.6</v>
      </c>
      <c r="H199" s="289">
        <v>0.92</v>
      </c>
      <c r="I199" s="287">
        <v>2.79</v>
      </c>
      <c r="J199" s="288" cm="1">
        <f t="array" aca="1" ref="J199" ca="1">INDIRECT("'"&amp;$C199&amp;"'!"&amp;"$"&amp;$D199&amp;$J$1&amp;"")</f>
        <v>6.6</v>
      </c>
      <c r="K199" s="300"/>
      <c r="L199" s="289">
        <v>0.92</v>
      </c>
      <c r="M199" s="287">
        <v>2.79</v>
      </c>
      <c r="N199" s="288" cm="1">
        <f t="array" aca="1" ref="N199" ca="1">INDIRECT("'"&amp;$C199&amp;"'!"&amp;"$"&amp;$D199&amp;$N$1&amp;"")</f>
        <v>6.6</v>
      </c>
      <c r="O199" s="289"/>
      <c r="P199" s="289">
        <v>0.92</v>
      </c>
      <c r="Q199" s="287">
        <v>2.79</v>
      </c>
      <c r="R199" s="288" cm="1">
        <f t="array" aca="1" ref="R199" ca="1">INDIRECT("'"&amp;$C199&amp;"'!"&amp;"$"&amp;$D199&amp;$R$1&amp;"")</f>
        <v>6.6</v>
      </c>
      <c r="S199" s="289"/>
      <c r="T199" s="289">
        <v>0.92</v>
      </c>
      <c r="U199" s="287">
        <v>2.79</v>
      </c>
      <c r="V199" s="288" t="str" cm="1">
        <f t="array" aca="1" ref="V199" ca="1">INDIRECT("'"&amp;$C199&amp;"'!"&amp;"$"&amp;$D199&amp;$V$1&amp;"")</f>
        <v>CMS</v>
      </c>
      <c r="W199" s="289" t="s">
        <v>1</v>
      </c>
      <c r="X199" s="289" t="s">
        <v>1</v>
      </c>
      <c r="Y199" s="290" t="s">
        <v>1</v>
      </c>
      <c r="Z199" s="286" cm="1">
        <f t="array" aca="1" ref="Z199" ca="1">INDIRECT("'"&amp;$C199&amp;"'!"&amp;"$"&amp;$D199&amp;$Z$1&amp;"")</f>
        <v>0</v>
      </c>
      <c r="AA199" s="289" t="s">
        <v>1</v>
      </c>
      <c r="AB199" s="289" t="s">
        <v>1</v>
      </c>
      <c r="AC199" s="287" t="s">
        <v>1</v>
      </c>
      <c r="AD199" s="288" cm="1">
        <f t="array" aca="1" ref="AD199" ca="1">INDIRECT("'"&amp;$C199&amp;"'!"&amp;"$"&amp;$D199&amp;$AD$1&amp;"")</f>
        <v>3.8</v>
      </c>
      <c r="AE199" s="289">
        <f>3.49*3.8</f>
        <v>13.262</v>
      </c>
      <c r="AF199" s="289">
        <v>0.92</v>
      </c>
      <c r="AG199" s="290">
        <v>1.51</v>
      </c>
      <c r="AH199" s="286" cm="1">
        <f t="array" aca="1" ref="AH199" ca="1">INDIRECT("'"&amp;$C199&amp;"'!"&amp;"$"&amp;$D199&amp;$AH$1&amp;"")</f>
        <v>3.8</v>
      </c>
      <c r="AI199" s="289">
        <v>14.04</v>
      </c>
      <c r="AJ199" s="289">
        <v>0.99</v>
      </c>
      <c r="AK199" s="287">
        <v>0.40500000000000003</v>
      </c>
      <c r="AL199" s="286">
        <v>11.8</v>
      </c>
      <c r="AM199" s="290">
        <v>70.5</v>
      </c>
      <c r="AN199" s="286" t="str" cm="1">
        <f t="array" aca="1" ref="AN199" ca="1">INDIRECT("'"&amp;$C199&amp;"'!"&amp;"$"&amp;$D199&amp;$AL$1&amp;"")</f>
        <v>CMS</v>
      </c>
      <c r="AO199" s="289" t="s">
        <v>1</v>
      </c>
      <c r="AP199" s="287" t="s">
        <v>1</v>
      </c>
      <c r="AQ199" s="288" cm="1">
        <f t="array" aca="1" ref="AQ199" ca="1">INDIRECT("'"&amp;$C199&amp;"'!"&amp;"$"&amp;$D199&amp;$AQ$1&amp;"")</f>
        <v>4.5</v>
      </c>
      <c r="AR199" s="289">
        <v>0.99</v>
      </c>
      <c r="AS199" s="287">
        <v>0.55000000000000004</v>
      </c>
      <c r="AT199" s="289" cm="1">
        <f t="array" aca="1" ref="AT199" ca="1">INDIRECT("'"&amp;$C199&amp;"'!"&amp;"$"&amp;$D199&amp;$AT$1&amp;"")</f>
        <v>6.2</v>
      </c>
      <c r="AU199" s="288">
        <v>13.8</v>
      </c>
      <c r="AV199" s="289">
        <v>0.99</v>
      </c>
      <c r="AW199" s="287">
        <v>0.82</v>
      </c>
      <c r="AX199" s="291">
        <v>14.31</v>
      </c>
      <c r="AY199" s="290">
        <v>71.84</v>
      </c>
      <c r="AZ199" s="291" cm="1">
        <f t="array" aca="1" ref="AZ199" ca="1">INDIRECT("'"&amp;$C199&amp;"'!"&amp;"$"&amp;$D199&amp;$AZ$1&amp;"")</f>
        <v>14.26</v>
      </c>
      <c r="BA199" s="289">
        <v>0.98</v>
      </c>
      <c r="BB199" s="287">
        <v>3.5</v>
      </c>
      <c r="BC199" s="292">
        <v>67.900000000000006</v>
      </c>
      <c r="BD199" s="286" cm="1">
        <f t="array" aca="1" ref="BD199" ca="1">INDIRECT("'"&amp;$C199&amp;"'!"&amp;"$"&amp;$D199&amp;$BC$1&amp;"")</f>
        <v>1.4</v>
      </c>
      <c r="BE199" s="288">
        <v>0.96</v>
      </c>
      <c r="BF199" s="287">
        <v>0.39</v>
      </c>
      <c r="BG199" s="291" cm="1">
        <f t="array" aca="1" ref="BG199" ca="1">INDIRECT("'"&amp;$C199&amp;"'!"&amp;"$"&amp;$D199&amp;$BG$1&amp;"")</f>
        <v>1.48</v>
      </c>
      <c r="BH199" s="289"/>
      <c r="BI199" s="289">
        <v>0.99</v>
      </c>
      <c r="BJ199" s="287">
        <v>0.19</v>
      </c>
      <c r="BK199" s="292" cm="1">
        <f t="array" aca="1" ref="BK199" ca="1">INDIRECT("'"&amp;$C199&amp;"'!"&amp;"$"&amp;$D199&amp;$BK$1&amp;"")</f>
        <v>0.92</v>
      </c>
      <c r="BL199" s="289"/>
      <c r="BM199" s="289">
        <v>0.96</v>
      </c>
      <c r="BN199" s="287">
        <v>0.25</v>
      </c>
      <c r="BO199" s="292" cm="1">
        <f t="array" aca="1" ref="BO199" ca="1">INDIRECT("'"&amp;$C199&amp;"'!"&amp;"$"&amp;$D199&amp;74&amp;"")</f>
        <v>0</v>
      </c>
      <c r="BP199" s="289"/>
      <c r="BQ199" s="289" t="s">
        <v>1</v>
      </c>
      <c r="BR199" s="287" t="s">
        <v>1</v>
      </c>
    </row>
    <row r="200" spans="1:70">
      <c r="A200" s="361">
        <v>45755</v>
      </c>
      <c r="B200" s="358">
        <v>0.83333333333333337</v>
      </c>
      <c r="C200" s="313">
        <f t="shared" si="6"/>
        <v>8</v>
      </c>
      <c r="D200" s="314" t="s">
        <v>147</v>
      </c>
      <c r="E200" s="293">
        <v>14.3</v>
      </c>
      <c r="F200" s="294">
        <v>69.63</v>
      </c>
      <c r="G200" s="295" cm="1">
        <f t="array" aca="1" ref="G200" ca="1">INDIRECT("'"&amp;$C200&amp;"'!"&amp;"$"&amp;$D200&amp;$E$1&amp;"")</f>
        <v>6.7</v>
      </c>
      <c r="H200" s="296">
        <v>0.94</v>
      </c>
      <c r="I200" s="294">
        <v>2.41</v>
      </c>
      <c r="J200" s="295" cm="1">
        <f t="array" aca="1" ref="J200" ca="1">INDIRECT("'"&amp;$C200&amp;"'!"&amp;"$"&amp;$D200&amp;$J$1&amp;"")</f>
        <v>6.7</v>
      </c>
      <c r="K200" s="296"/>
      <c r="L200" s="296">
        <v>0.94</v>
      </c>
      <c r="M200" s="294">
        <v>2.41</v>
      </c>
      <c r="N200" s="295" t="str" cm="1">
        <f t="array" aca="1" ref="N200" ca="1">INDIRECT("'"&amp;$C200&amp;"'!"&amp;"$"&amp;$D200&amp;$N$1&amp;"")</f>
        <v>CMS</v>
      </c>
      <c r="O200" s="296"/>
      <c r="P200" s="296" t="s">
        <v>1</v>
      </c>
      <c r="Q200" s="294" t="s">
        <v>1</v>
      </c>
      <c r="R200" s="295" cm="1">
        <f t="array" aca="1" ref="R200" ca="1">INDIRECT("'"&amp;$C200&amp;"'!"&amp;"$"&amp;$D200&amp;$R$1&amp;"")</f>
        <v>6.7</v>
      </c>
      <c r="S200" s="296"/>
      <c r="T200" s="296">
        <v>0.94</v>
      </c>
      <c r="U200" s="294">
        <v>2.41</v>
      </c>
      <c r="V200" s="295" t="str" cm="1">
        <f t="array" aca="1" ref="V200" ca="1">INDIRECT("'"&amp;$C200&amp;"'!"&amp;"$"&amp;$D200&amp;$V$1&amp;"")</f>
        <v>CMS</v>
      </c>
      <c r="W200" s="296" t="s">
        <v>1</v>
      </c>
      <c r="X200" s="296" t="s">
        <v>1</v>
      </c>
      <c r="Y200" s="297" t="s">
        <v>1</v>
      </c>
      <c r="Z200" s="293" cm="1">
        <f t="array" aca="1" ref="Z200" ca="1">INDIRECT("'"&amp;$C200&amp;"'!"&amp;"$"&amp;$D200&amp;$Z$1&amp;"")</f>
        <v>0</v>
      </c>
      <c r="AA200" s="296" t="s">
        <v>1</v>
      </c>
      <c r="AB200" s="296" t="s">
        <v>1</v>
      </c>
      <c r="AC200" s="294" t="s">
        <v>1</v>
      </c>
      <c r="AD200" s="295" cm="1">
        <f t="array" aca="1" ref="AD200" ca="1">INDIRECT("'"&amp;$C200&amp;"'!"&amp;"$"&amp;$D200&amp;$AD$1&amp;"")</f>
        <v>3.8</v>
      </c>
      <c r="AE200" s="296">
        <f>3.53*3.8</f>
        <v>13.413999999999998</v>
      </c>
      <c r="AF200" s="296">
        <v>0.94</v>
      </c>
      <c r="AG200" s="297">
        <v>1.31</v>
      </c>
      <c r="AH200" s="293" cm="1">
        <f t="array" aca="1" ref="AH200" ca="1">INDIRECT("'"&amp;$C200&amp;"'!"&amp;"$"&amp;$D200&amp;$AH$1&amp;"")</f>
        <v>3.8</v>
      </c>
      <c r="AI200" s="296">
        <v>14.04</v>
      </c>
      <c r="AJ200" s="296">
        <v>0.99</v>
      </c>
      <c r="AK200" s="294">
        <v>0.314</v>
      </c>
      <c r="AL200" s="293">
        <v>11.8</v>
      </c>
      <c r="AM200" s="297">
        <v>70.7</v>
      </c>
      <c r="AN200" s="293" t="str" cm="1">
        <f t="array" aca="1" ref="AN200" ca="1">INDIRECT("'"&amp;$C200&amp;"'!"&amp;"$"&amp;$D200&amp;$AL$1&amp;"")</f>
        <v>CMS</v>
      </c>
      <c r="AO200" s="296" t="s">
        <v>1</v>
      </c>
      <c r="AP200" s="294" t="s">
        <v>1</v>
      </c>
      <c r="AQ200" s="295" cm="1">
        <f t="array" aca="1" ref="AQ200" ca="1">INDIRECT("'"&amp;$C200&amp;"'!"&amp;"$"&amp;$D200&amp;$AQ$1&amp;"")</f>
        <v>4.5</v>
      </c>
      <c r="AR200" s="296">
        <v>0.99</v>
      </c>
      <c r="AS200" s="294">
        <v>0.35</v>
      </c>
      <c r="AT200" s="296" cm="1">
        <f t="array" aca="1" ref="AT200" ca="1">INDIRECT("'"&amp;$C200&amp;"'!"&amp;"$"&amp;$D200&amp;$AT$1&amp;"")</f>
        <v>5.5</v>
      </c>
      <c r="AU200" s="295">
        <v>13.8</v>
      </c>
      <c r="AV200" s="296">
        <v>0.99</v>
      </c>
      <c r="AW200" s="294">
        <v>0.72799999999999998</v>
      </c>
      <c r="AX200" s="298">
        <v>14.34</v>
      </c>
      <c r="AY200" s="297">
        <v>72.09</v>
      </c>
      <c r="AZ200" s="298" cm="1">
        <f t="array" aca="1" ref="AZ200" ca="1">INDIRECT("'"&amp;$C200&amp;"'!"&amp;"$"&amp;$D200&amp;$AZ$1&amp;"")</f>
        <v>14.26</v>
      </c>
      <c r="BA200" s="296">
        <v>0.98</v>
      </c>
      <c r="BB200" s="294">
        <v>3.5</v>
      </c>
      <c r="BC200" s="299">
        <v>68.7</v>
      </c>
      <c r="BD200" s="293" cm="1">
        <f t="array" aca="1" ref="BD200" ca="1">INDIRECT("'"&amp;$C200&amp;"'!"&amp;"$"&amp;$D200&amp;$BC$1&amp;"")</f>
        <v>5.7000000000000011</v>
      </c>
      <c r="BE200" s="295">
        <v>0.96</v>
      </c>
      <c r="BF200" s="294">
        <v>1.6</v>
      </c>
      <c r="BG200" s="298" cm="1">
        <f t="array" aca="1" ref="BG200" ca="1">INDIRECT("'"&amp;$C200&amp;"'!"&amp;"$"&amp;$D200&amp;$BG$1&amp;"")</f>
        <v>1.44</v>
      </c>
      <c r="BH200" s="296"/>
      <c r="BI200" s="296">
        <v>0.99</v>
      </c>
      <c r="BJ200" s="294">
        <v>0.2</v>
      </c>
      <c r="BK200" s="299" cm="1">
        <f t="array" aca="1" ref="BK200" ca="1">INDIRECT("'"&amp;$C200&amp;"'!"&amp;"$"&amp;$D200&amp;$BK$1&amp;"")</f>
        <v>0.92</v>
      </c>
      <c r="BL200" s="296"/>
      <c r="BM200" s="296">
        <v>0.96</v>
      </c>
      <c r="BN200" s="294">
        <v>0.25</v>
      </c>
      <c r="BO200" s="299" cm="1">
        <f t="array" aca="1" ref="BO200" ca="1">INDIRECT("'"&amp;$C200&amp;"'!"&amp;"$"&amp;$D200&amp;74&amp;"")</f>
        <v>0</v>
      </c>
      <c r="BP200" s="296"/>
      <c r="BQ200" s="296" t="s">
        <v>1</v>
      </c>
      <c r="BR200" s="294" t="s">
        <v>1</v>
      </c>
    </row>
    <row r="201" spans="1:70">
      <c r="A201" s="361">
        <v>45755</v>
      </c>
      <c r="B201" s="358">
        <v>0.875000000000001</v>
      </c>
      <c r="C201" s="313">
        <f t="shared" si="6"/>
        <v>8</v>
      </c>
      <c r="D201" s="314" t="s">
        <v>148</v>
      </c>
      <c r="E201" s="286">
        <v>14.2</v>
      </c>
      <c r="F201" s="287">
        <v>69.260000000000005</v>
      </c>
      <c r="G201" s="288" cm="1">
        <f t="array" aca="1" ref="G201" ca="1">INDIRECT("'"&amp;$C201&amp;"'!"&amp;"$"&amp;$D201&amp;$E$1&amp;"")</f>
        <v>6.7</v>
      </c>
      <c r="H201" s="289">
        <v>0.95</v>
      </c>
      <c r="I201" s="287">
        <v>2.19</v>
      </c>
      <c r="J201" s="288" cm="1">
        <f t="array" aca="1" ref="J201" ca="1">INDIRECT("'"&amp;$C201&amp;"'!"&amp;"$"&amp;$D201&amp;$J$1&amp;"")</f>
        <v>6.7</v>
      </c>
      <c r="K201" s="289"/>
      <c r="L201" s="289">
        <v>0.95</v>
      </c>
      <c r="M201" s="287">
        <v>2.19</v>
      </c>
      <c r="N201" s="288" t="str" cm="1">
        <f t="array" aca="1" ref="N201" ca="1">INDIRECT("'"&amp;$C201&amp;"'!"&amp;"$"&amp;$D201&amp;$N$1&amp;"")</f>
        <v>CMS</v>
      </c>
      <c r="O201" s="289"/>
      <c r="P201" s="289" t="s">
        <v>1</v>
      </c>
      <c r="Q201" s="287" t="s">
        <v>1</v>
      </c>
      <c r="R201" s="288" cm="1">
        <f t="array" aca="1" ref="R201" ca="1">INDIRECT("'"&amp;$C201&amp;"'!"&amp;"$"&amp;$D201&amp;$R$1&amp;"")</f>
        <v>6.7</v>
      </c>
      <c r="S201" s="289"/>
      <c r="T201" s="289">
        <v>0.95</v>
      </c>
      <c r="U201" s="287">
        <v>2.19</v>
      </c>
      <c r="V201" s="288" t="str" cm="1">
        <f t="array" aca="1" ref="V201" ca="1">INDIRECT("'"&amp;$C201&amp;"'!"&amp;"$"&amp;$D201&amp;$V$1&amp;"")</f>
        <v>CMS</v>
      </c>
      <c r="W201" s="289" t="s">
        <v>1</v>
      </c>
      <c r="X201" s="289" t="s">
        <v>1</v>
      </c>
      <c r="Y201" s="290" t="s">
        <v>1</v>
      </c>
      <c r="Z201" s="286" cm="1">
        <f t="array" aca="1" ref="Z201" ca="1">INDIRECT("'"&amp;$C201&amp;"'!"&amp;"$"&amp;$D201&amp;$Z$1&amp;"")</f>
        <v>0</v>
      </c>
      <c r="AA201" s="289" t="s">
        <v>1</v>
      </c>
      <c r="AB201" s="289" t="s">
        <v>1</v>
      </c>
      <c r="AC201" s="287" t="s">
        <v>1</v>
      </c>
      <c r="AD201" s="288" cm="1">
        <f t="array" aca="1" ref="AD201" ca="1">INDIRECT("'"&amp;$C201&amp;"'!"&amp;"$"&amp;$D201&amp;$AD$1&amp;"")</f>
        <v>3.8</v>
      </c>
      <c r="AE201" s="289">
        <f>3.53*3.8</f>
        <v>13.413999999999998</v>
      </c>
      <c r="AF201" s="289">
        <v>0.94</v>
      </c>
      <c r="AG201" s="290">
        <v>1.32</v>
      </c>
      <c r="AH201" s="286" cm="1">
        <f t="array" aca="1" ref="AH201" ca="1">INDIRECT("'"&amp;$C201&amp;"'!"&amp;"$"&amp;$D201&amp;$AH$1&amp;"")</f>
        <v>3.8</v>
      </c>
      <c r="AI201" s="289">
        <v>14.04</v>
      </c>
      <c r="AJ201" s="289">
        <v>0.99</v>
      </c>
      <c r="AK201" s="287">
        <v>0.39</v>
      </c>
      <c r="AL201" s="286">
        <v>11.8</v>
      </c>
      <c r="AM201" s="290">
        <v>70.5</v>
      </c>
      <c r="AN201" s="286" t="str" cm="1">
        <f t="array" aca="1" ref="AN201" ca="1">INDIRECT("'"&amp;$C201&amp;"'!"&amp;"$"&amp;$D201&amp;$AL$1&amp;"")</f>
        <v>CMS</v>
      </c>
      <c r="AO201" s="289" t="s">
        <v>1</v>
      </c>
      <c r="AP201" s="287" t="s">
        <v>1</v>
      </c>
      <c r="AQ201" s="288" cm="1">
        <f t="array" aca="1" ref="AQ201" ca="1">INDIRECT("'"&amp;$C201&amp;"'!"&amp;"$"&amp;$D201&amp;$AQ$1&amp;"")</f>
        <v>4.2</v>
      </c>
      <c r="AR201" s="289">
        <v>0.98</v>
      </c>
      <c r="AS201" s="287">
        <v>0.60699999999999998</v>
      </c>
      <c r="AT201" s="289" cm="1">
        <f t="array" aca="1" ref="AT201" ca="1">INDIRECT("'"&amp;$C201&amp;"'!"&amp;"$"&amp;$D201&amp;$AT$1&amp;"")</f>
        <v>7</v>
      </c>
      <c r="AU201" s="288">
        <v>13.8</v>
      </c>
      <c r="AV201" s="289">
        <v>0.99</v>
      </c>
      <c r="AW201" s="287">
        <v>0.71</v>
      </c>
      <c r="AX201" s="291">
        <v>14.17</v>
      </c>
      <c r="AY201" s="290">
        <v>71.739999999999995</v>
      </c>
      <c r="AZ201" s="291" cm="1">
        <f t="array" aca="1" ref="AZ201" ca="1">INDIRECT("'"&amp;$C201&amp;"'!"&amp;"$"&amp;$D201&amp;$AZ$1&amp;"")</f>
        <v>14.25</v>
      </c>
      <c r="BA201" s="289">
        <v>0.99</v>
      </c>
      <c r="BB201" s="287">
        <v>2.4</v>
      </c>
      <c r="BC201" s="292">
        <v>68.099999999999994</v>
      </c>
      <c r="BD201" s="286" cm="1">
        <f t="array" aca="1" ref="BD201" ca="1">INDIRECT("'"&amp;$C201&amp;"'!"&amp;"$"&amp;$D201&amp;$BC$1&amp;"")</f>
        <v>0.7</v>
      </c>
      <c r="BE201" s="288">
        <v>0.98</v>
      </c>
      <c r="BF201" s="287">
        <v>0.14000000000000001</v>
      </c>
      <c r="BG201" s="291" cm="1">
        <f t="array" aca="1" ref="BG201" ca="1">INDIRECT("'"&amp;$C201&amp;"'!"&amp;"$"&amp;$D201&amp;$BG$1&amp;"")</f>
        <v>1.37</v>
      </c>
      <c r="BH201" s="289"/>
      <c r="BI201" s="289">
        <v>0.99</v>
      </c>
      <c r="BJ201" s="287">
        <v>0.2</v>
      </c>
      <c r="BK201" s="292" cm="1">
        <f t="array" aca="1" ref="BK201" ca="1">INDIRECT("'"&amp;$C201&amp;"'!"&amp;"$"&amp;$D201&amp;$BK$1&amp;"")</f>
        <v>0.9</v>
      </c>
      <c r="BL201" s="289"/>
      <c r="BM201" s="289">
        <v>0.96</v>
      </c>
      <c r="BN201" s="287">
        <v>0.24</v>
      </c>
      <c r="BO201" s="292" cm="1">
        <f t="array" aca="1" ref="BO201" ca="1">INDIRECT("'"&amp;$C201&amp;"'!"&amp;"$"&amp;$D201&amp;74&amp;"")</f>
        <v>0</v>
      </c>
      <c r="BP201" s="289"/>
      <c r="BQ201" s="289" t="s">
        <v>1</v>
      </c>
      <c r="BR201" s="287" t="s">
        <v>1</v>
      </c>
    </row>
    <row r="202" spans="1:70">
      <c r="A202" s="361">
        <v>45755</v>
      </c>
      <c r="B202" s="358">
        <v>0.91666666666666696</v>
      </c>
      <c r="C202" s="313">
        <f t="shared" si="6"/>
        <v>8</v>
      </c>
      <c r="D202" s="314" t="s">
        <v>149</v>
      </c>
      <c r="E202" s="293">
        <v>14.2</v>
      </c>
      <c r="F202" s="294">
        <v>69.56</v>
      </c>
      <c r="G202" s="295" cm="1">
        <f t="array" aca="1" ref="G202" ca="1">INDIRECT("'"&amp;$C202&amp;"'!"&amp;"$"&amp;$D202&amp;$E$1&amp;"")</f>
        <v>6.5</v>
      </c>
      <c r="H202" s="296">
        <v>0.95</v>
      </c>
      <c r="I202" s="294">
        <v>2.0699999999999998</v>
      </c>
      <c r="J202" s="295" cm="1">
        <f t="array" aca="1" ref="J202" ca="1">INDIRECT("'"&amp;$C202&amp;"'!"&amp;"$"&amp;$D202&amp;$J$1&amp;"")</f>
        <v>6.5</v>
      </c>
      <c r="K202" s="296"/>
      <c r="L202" s="296">
        <v>0.95</v>
      </c>
      <c r="M202" s="294">
        <v>2.06</v>
      </c>
      <c r="N202" s="295" t="str" cm="1">
        <f t="array" aca="1" ref="N202" ca="1">INDIRECT("'"&amp;$C202&amp;"'!"&amp;"$"&amp;$D202&amp;$N$1&amp;"")</f>
        <v>CMS</v>
      </c>
      <c r="O202" s="296"/>
      <c r="P202" s="296" t="s">
        <v>1</v>
      </c>
      <c r="Q202" s="294" t="s">
        <v>1</v>
      </c>
      <c r="R202" s="295" cm="1">
        <f t="array" aca="1" ref="R202" ca="1">INDIRECT("'"&amp;$C202&amp;"'!"&amp;"$"&amp;$D202&amp;$R$1&amp;"")</f>
        <v>6.5</v>
      </c>
      <c r="S202" s="296"/>
      <c r="T202" s="296">
        <v>0.94</v>
      </c>
      <c r="U202" s="294">
        <v>2.39</v>
      </c>
      <c r="V202" s="295" t="str" cm="1">
        <f t="array" aca="1" ref="V202" ca="1">INDIRECT("'"&amp;$C202&amp;"'!"&amp;"$"&amp;$D202&amp;$V$1&amp;"")</f>
        <v>CMS</v>
      </c>
      <c r="W202" s="296" t="s">
        <v>1</v>
      </c>
      <c r="X202" s="296" t="s">
        <v>1</v>
      </c>
      <c r="Y202" s="297" t="s">
        <v>1</v>
      </c>
      <c r="Z202" s="293" cm="1">
        <f t="array" aca="1" ref="Z202" ca="1">INDIRECT("'"&amp;$C202&amp;"'!"&amp;"$"&amp;$D202&amp;$Z$1&amp;"")</f>
        <v>0</v>
      </c>
      <c r="AA202" s="296" t="s">
        <v>1</v>
      </c>
      <c r="AB202" s="296" t="s">
        <v>1</v>
      </c>
      <c r="AC202" s="294" t="s">
        <v>1</v>
      </c>
      <c r="AD202" s="295" cm="1">
        <f t="array" aca="1" ref="AD202" ca="1">INDIRECT("'"&amp;$C202&amp;"'!"&amp;"$"&amp;$D202&amp;$AD$1&amp;"")</f>
        <v>3.8</v>
      </c>
      <c r="AE202" s="296">
        <f>3.8*3.53</f>
        <v>13.413999999999998</v>
      </c>
      <c r="AF202" s="296">
        <v>0.94</v>
      </c>
      <c r="AG202" s="297">
        <v>1.33</v>
      </c>
      <c r="AH202" s="293" cm="1">
        <f t="array" aca="1" ref="AH202" ca="1">INDIRECT("'"&amp;$C202&amp;"'!"&amp;"$"&amp;$D202&amp;$AH$1&amp;"")</f>
        <v>3.8</v>
      </c>
      <c r="AI202" s="296">
        <v>14</v>
      </c>
      <c r="AJ202" s="296">
        <v>0.99</v>
      </c>
      <c r="AK202" s="294">
        <v>0.34</v>
      </c>
      <c r="AL202" s="293">
        <v>11.8</v>
      </c>
      <c r="AM202" s="297">
        <v>70.599999999999994</v>
      </c>
      <c r="AN202" s="293" t="str" cm="1">
        <f t="array" aca="1" ref="AN202" ca="1">INDIRECT("'"&amp;$C202&amp;"'!"&amp;"$"&amp;$D202&amp;$AL$1&amp;"")</f>
        <v>CMS</v>
      </c>
      <c r="AO202" s="296" t="s">
        <v>1</v>
      </c>
      <c r="AP202" s="294" t="s">
        <v>1</v>
      </c>
      <c r="AQ202" s="295" cm="1">
        <f t="array" aca="1" ref="AQ202" ca="1">INDIRECT("'"&amp;$C202&amp;"'!"&amp;"$"&amp;$D202&amp;$AQ$1&amp;"")</f>
        <v>4</v>
      </c>
      <c r="AR202" s="296">
        <v>0.98</v>
      </c>
      <c r="AS202" s="294">
        <v>0.53500000000000003</v>
      </c>
      <c r="AT202" s="296" cm="1">
        <f t="array" aca="1" ref="AT202" ca="1">INDIRECT("'"&amp;$C202&amp;"'!"&amp;"$"&amp;$D202&amp;$AT$1&amp;"")</f>
        <v>6</v>
      </c>
      <c r="AU202" s="295">
        <v>13.8</v>
      </c>
      <c r="AV202" s="296">
        <v>0.99</v>
      </c>
      <c r="AW202" s="294">
        <v>0.77</v>
      </c>
      <c r="AX202" s="298">
        <v>14.17</v>
      </c>
      <c r="AY202" s="297">
        <v>71.7</v>
      </c>
      <c r="AZ202" s="298" cm="1">
        <f t="array" aca="1" ref="AZ202" ca="1">INDIRECT("'"&amp;$C202&amp;"'!"&amp;"$"&amp;$D202&amp;$AZ$1&amp;"")</f>
        <v>14.28</v>
      </c>
      <c r="BA202" s="296">
        <v>0.99</v>
      </c>
      <c r="BB202" s="294">
        <v>2.4</v>
      </c>
      <c r="BC202" s="299">
        <v>68.599999999999994</v>
      </c>
      <c r="BD202" s="293" cm="1">
        <f t="array" aca="1" ref="BD202" ca="1">INDIRECT("'"&amp;$C202&amp;"'!"&amp;"$"&amp;$D202&amp;$BC$1&amp;"")</f>
        <v>0</v>
      </c>
      <c r="BE202" s="295" t="s">
        <v>1</v>
      </c>
      <c r="BF202" s="294" t="s">
        <v>1</v>
      </c>
      <c r="BG202" s="298" cm="1">
        <f t="array" aca="1" ref="BG202" ca="1">INDIRECT("'"&amp;$C202&amp;"'!"&amp;"$"&amp;$D202&amp;$BG$1&amp;"")</f>
        <v>1.2</v>
      </c>
      <c r="BH202" s="296"/>
      <c r="BI202" s="296">
        <v>0.99</v>
      </c>
      <c r="BJ202" s="294">
        <v>0.18</v>
      </c>
      <c r="BK202" s="299" cm="1">
        <f t="array" aca="1" ref="BK202" ca="1">INDIRECT("'"&amp;$C202&amp;"'!"&amp;"$"&amp;$D202&amp;$BK$1&amp;"")</f>
        <v>0.87</v>
      </c>
      <c r="BL202" s="296"/>
      <c r="BM202" s="296">
        <v>0.96</v>
      </c>
      <c r="BN202" s="294">
        <v>0.23</v>
      </c>
      <c r="BO202" s="299" cm="1">
        <f t="array" aca="1" ref="BO202" ca="1">INDIRECT("'"&amp;$C202&amp;"'!"&amp;"$"&amp;$D202&amp;74&amp;"")</f>
        <v>0</v>
      </c>
      <c r="BP202" s="296"/>
      <c r="BQ202" s="296" t="s">
        <v>1</v>
      </c>
      <c r="BR202" s="294" t="s">
        <v>1</v>
      </c>
    </row>
    <row r="203" spans="1:70" ht="14.45" thickBot="1">
      <c r="A203" s="362">
        <v>45755</v>
      </c>
      <c r="B203" s="359">
        <v>0.95833333333333404</v>
      </c>
      <c r="C203" s="315">
        <f t="shared" si="6"/>
        <v>8</v>
      </c>
      <c r="D203" s="316" t="s">
        <v>150</v>
      </c>
      <c r="E203" s="301">
        <v>14.3</v>
      </c>
      <c r="F203" s="302">
        <v>70.709999999999994</v>
      </c>
      <c r="G203" s="303" cm="1">
        <f t="array" aca="1" ref="G203" ca="1">INDIRECT("'"&amp;$C203&amp;"'!"&amp;"$"&amp;$D203&amp;$E$1&amp;"")</f>
        <v>6.3</v>
      </c>
      <c r="H203" s="304">
        <v>0.96</v>
      </c>
      <c r="I203" s="302">
        <v>1.96</v>
      </c>
      <c r="J203" s="303" cm="1">
        <f t="array" aca="1" ref="J203" ca="1">INDIRECT("'"&amp;$C203&amp;"'!"&amp;"$"&amp;$D203&amp;$J$1&amp;"")</f>
        <v>6.3</v>
      </c>
      <c r="K203" s="304"/>
      <c r="L203" s="304">
        <v>0.96</v>
      </c>
      <c r="M203" s="302">
        <v>1.95</v>
      </c>
      <c r="N203" s="303" t="str" cm="1">
        <f t="array" aca="1" ref="N203" ca="1">INDIRECT("'"&amp;$C203&amp;"'!"&amp;"$"&amp;$D203&amp;$N$1&amp;"")</f>
        <v>CMS</v>
      </c>
      <c r="O203" s="304"/>
      <c r="P203" s="304" t="s">
        <v>1</v>
      </c>
      <c r="Q203" s="302" t="s">
        <v>1</v>
      </c>
      <c r="R203" s="303" cm="1">
        <f t="array" aca="1" ref="R203" ca="1">INDIRECT("'"&amp;$C203&amp;"'!"&amp;"$"&amp;$D203&amp;$R$1&amp;"")</f>
        <v>6.7</v>
      </c>
      <c r="S203" s="304"/>
      <c r="T203" s="304">
        <v>0.96</v>
      </c>
      <c r="U203" s="302">
        <v>2.02</v>
      </c>
      <c r="V203" s="303" t="str" cm="1">
        <f t="array" aca="1" ref="V203" ca="1">INDIRECT("'"&amp;$C203&amp;"'!"&amp;"$"&amp;$D203&amp;$V$1&amp;"")</f>
        <v>CMS</v>
      </c>
      <c r="W203" s="304" t="s">
        <v>1</v>
      </c>
      <c r="X203" s="304" t="s">
        <v>1</v>
      </c>
      <c r="Y203" s="305" t="s">
        <v>1</v>
      </c>
      <c r="Z203" s="301" cm="1">
        <f t="array" aca="1" ref="Z203" ca="1">INDIRECT("'"&amp;$C203&amp;"'!"&amp;"$"&amp;$D203&amp;$Z$1&amp;"")</f>
        <v>0</v>
      </c>
      <c r="AA203" s="304" t="s">
        <v>1</v>
      </c>
      <c r="AB203" s="304" t="s">
        <v>1</v>
      </c>
      <c r="AC203" s="302" t="s">
        <v>1</v>
      </c>
      <c r="AD203" s="303" cm="1">
        <f t="array" aca="1" ref="AD203" ca="1">INDIRECT("'"&amp;$C203&amp;"'!"&amp;"$"&amp;$D203&amp;$AD$1&amp;"")</f>
        <v>3.8</v>
      </c>
      <c r="AE203" s="304">
        <f>3.56*3.8</f>
        <v>13.527999999999999</v>
      </c>
      <c r="AF203" s="304">
        <v>0.98</v>
      </c>
      <c r="AG203" s="305">
        <v>0.71</v>
      </c>
      <c r="AH203" s="301" cm="1">
        <f t="array" aca="1" ref="AH203" ca="1">INDIRECT("'"&amp;$C203&amp;"'!"&amp;"$"&amp;$D203&amp;$AH$1&amp;"")</f>
        <v>3</v>
      </c>
      <c r="AI203" s="304">
        <v>14.04</v>
      </c>
      <c r="AJ203" s="304">
        <v>0.99</v>
      </c>
      <c r="AK203" s="302">
        <v>0.34300000000000003</v>
      </c>
      <c r="AL203" s="301">
        <v>11.9</v>
      </c>
      <c r="AM203" s="305">
        <v>70.8</v>
      </c>
      <c r="AN203" s="301" t="str" cm="1">
        <f t="array" aca="1" ref="AN203" ca="1">INDIRECT("'"&amp;$C203&amp;"'!"&amp;"$"&amp;$D203&amp;$AL$1&amp;"")</f>
        <v>CMS</v>
      </c>
      <c r="AO203" s="304" t="s">
        <v>1</v>
      </c>
      <c r="AP203" s="302" t="s">
        <v>1</v>
      </c>
      <c r="AQ203" s="303" cm="1">
        <f t="array" aca="1" ref="AQ203" ca="1">INDIRECT("'"&amp;$C203&amp;"'!"&amp;"$"&amp;$D203&amp;$AQ$1&amp;"")</f>
        <v>3</v>
      </c>
      <c r="AR203" s="304">
        <v>0.98</v>
      </c>
      <c r="AS203" s="302">
        <v>0.29299999999999998</v>
      </c>
      <c r="AT203" s="304" cm="1">
        <f t="array" aca="1" ref="AT203" ca="1">INDIRECT("'"&amp;$C203&amp;"'!"&amp;"$"&amp;$D203&amp;$AT$1&amp;"")</f>
        <v>6</v>
      </c>
      <c r="AU203" s="303">
        <v>13.8</v>
      </c>
      <c r="AV203" s="304">
        <v>1</v>
      </c>
      <c r="AW203" s="302">
        <v>0.32</v>
      </c>
      <c r="AX203" s="306">
        <v>14.2</v>
      </c>
      <c r="AY203" s="305">
        <v>71.92</v>
      </c>
      <c r="AZ203" s="306" cm="1">
        <f t="array" aca="1" ref="AZ203" ca="1">INDIRECT("'"&amp;$C203&amp;"'!"&amp;"$"&amp;$D203&amp;$AZ$1&amp;"")</f>
        <v>12.81</v>
      </c>
      <c r="BA203" s="304">
        <v>0.99</v>
      </c>
      <c r="BB203" s="302">
        <v>2.2999999999999998</v>
      </c>
      <c r="BC203" s="307">
        <v>69</v>
      </c>
      <c r="BD203" s="301" cm="1">
        <f t="array" aca="1" ref="BD203" ca="1">INDIRECT("'"&amp;$C203&amp;"'!"&amp;"$"&amp;$D203&amp;$BC$1&amp;"")</f>
        <v>0</v>
      </c>
      <c r="BE203" s="303" t="s">
        <v>1</v>
      </c>
      <c r="BF203" s="302" t="s">
        <v>1</v>
      </c>
      <c r="BG203" s="306" cm="1">
        <f t="array" aca="1" ref="BG203" ca="1">INDIRECT("'"&amp;$C203&amp;"'!"&amp;"$"&amp;$D203&amp;$BG$1&amp;"")</f>
        <v>1.06</v>
      </c>
      <c r="BH203" s="304"/>
      <c r="BI203" s="304">
        <v>0.99</v>
      </c>
      <c r="BJ203" s="302">
        <v>0.16</v>
      </c>
      <c r="BK203" s="307" cm="1">
        <f t="array" aca="1" ref="BK203" ca="1">INDIRECT("'"&amp;$C203&amp;"'!"&amp;"$"&amp;$D203&amp;$BK$1&amp;"")</f>
        <v>0.83</v>
      </c>
      <c r="BL203" s="304"/>
      <c r="BM203" s="304">
        <v>0.96</v>
      </c>
      <c r="BN203" s="302">
        <v>0.22</v>
      </c>
      <c r="BO203" s="307" cm="1">
        <f t="array" aca="1" ref="BO203" ca="1">INDIRECT("'"&amp;$C203&amp;"'!"&amp;"$"&amp;$D203&amp;74&amp;"")</f>
        <v>0</v>
      </c>
      <c r="BP203" s="304"/>
      <c r="BQ203" s="304" t="s">
        <v>1</v>
      </c>
      <c r="BR203" s="302" t="s">
        <v>1</v>
      </c>
    </row>
    <row r="204" spans="1:70" ht="14.45" thickBot="1"/>
    <row r="205" spans="1:70">
      <c r="A205" s="360">
        <v>45756</v>
      </c>
      <c r="B205" s="357">
        <v>0</v>
      </c>
      <c r="C205" s="310">
        <f>C180+1</f>
        <v>9</v>
      </c>
      <c r="D205" s="311" t="s">
        <v>127</v>
      </c>
      <c r="E205" s="280">
        <v>14.4</v>
      </c>
      <c r="F205" s="281">
        <v>69.37</v>
      </c>
      <c r="G205" s="282" cm="1">
        <f t="array" aca="1" ref="G205" ca="1">INDIRECT("'"&amp;$C205&amp;"'!"&amp;"$"&amp;$D205&amp;$E$1&amp;"")</f>
        <v>6.5</v>
      </c>
      <c r="H205" s="283">
        <v>0.96</v>
      </c>
      <c r="I205" s="281">
        <v>2.02</v>
      </c>
      <c r="J205" s="282" cm="1">
        <f t="array" aca="1" ref="J205" ca="1">INDIRECT("'"&amp;$C205&amp;"'!"&amp;"$"&amp;$D205&amp;$J$1&amp;"")</f>
        <v>6.5</v>
      </c>
      <c r="K205" s="283"/>
      <c r="L205" s="283">
        <v>0.96</v>
      </c>
      <c r="M205" s="281">
        <v>2.0299999999999998</v>
      </c>
      <c r="N205" s="282" t="str" cm="1">
        <f t="array" aca="1" ref="N205" ca="1">INDIRECT("'"&amp;$C205&amp;"'!"&amp;"$"&amp;$D205&amp;$N$1&amp;"")</f>
        <v>CMS</v>
      </c>
      <c r="O205" s="283"/>
      <c r="P205" s="283" t="s">
        <v>1</v>
      </c>
      <c r="Q205" s="281" t="s">
        <v>1</v>
      </c>
      <c r="R205" s="282" cm="1">
        <f t="array" aca="1" ref="R205" ca="1">INDIRECT("'"&amp;$C205&amp;"'!"&amp;"$"&amp;$D205&amp;$R$1&amp;"")</f>
        <v>0</v>
      </c>
      <c r="S205" s="283"/>
      <c r="T205" s="283" t="s">
        <v>1</v>
      </c>
      <c r="U205" s="281" t="s">
        <v>1</v>
      </c>
      <c r="V205" s="282" t="str" cm="1">
        <f t="array" aca="1" ref="V205" ca="1">INDIRECT("'"&amp;$C205&amp;"'!"&amp;"$"&amp;$D205&amp;$V$1&amp;"")</f>
        <v>CMS</v>
      </c>
      <c r="W205" s="283" t="s">
        <v>1</v>
      </c>
      <c r="X205" s="283" t="s">
        <v>1</v>
      </c>
      <c r="Y205" s="284" t="s">
        <v>1</v>
      </c>
      <c r="Z205" s="280" cm="1">
        <f t="array" aca="1" ref="Z205" ca="1">INDIRECT("'"&amp;$C205&amp;"'!"&amp;"$"&amp;$D205&amp;$Z$1&amp;"")</f>
        <v>0</v>
      </c>
      <c r="AA205" s="283" t="s">
        <v>1</v>
      </c>
      <c r="AB205" s="283" t="s">
        <v>1</v>
      </c>
      <c r="AC205" s="281" t="s">
        <v>1</v>
      </c>
      <c r="AD205" s="282" cm="1">
        <f t="array" aca="1" ref="AD205" ca="1">INDIRECT("'"&amp;$C205&amp;"'!"&amp;"$"&amp;$D205&amp;$AD$1&amp;"")</f>
        <v>3.3</v>
      </c>
      <c r="AE205" s="283">
        <f>3.8*3.5</f>
        <v>13.299999999999999</v>
      </c>
      <c r="AF205" s="283">
        <v>0.98</v>
      </c>
      <c r="AG205" s="281">
        <v>0.51</v>
      </c>
      <c r="AH205" s="280" cm="1">
        <f t="array" aca="1" ref="AH205" ca="1">INDIRECT("'"&amp;$C205&amp;"'!"&amp;"$"&amp;$D205&amp;$AH$1&amp;"")</f>
        <v>3.8</v>
      </c>
      <c r="AI205" s="283">
        <v>14.12</v>
      </c>
      <c r="AJ205" s="283">
        <v>0.98</v>
      </c>
      <c r="AK205" s="281">
        <v>0.61599999999999999</v>
      </c>
      <c r="AL205" s="280">
        <v>11.8</v>
      </c>
      <c r="AM205" s="284">
        <v>70.599999999999994</v>
      </c>
      <c r="AN205" s="280" t="str" cm="1">
        <f t="array" aca="1" ref="AN205" ca="1">INDIRECT("'"&amp;$C205&amp;"'!"&amp;"$"&amp;$D205&amp;$AL$1&amp;"")</f>
        <v>CMS</v>
      </c>
      <c r="AO205" s="283" t="s">
        <v>1</v>
      </c>
      <c r="AP205" s="281" t="s">
        <v>1</v>
      </c>
      <c r="AQ205" s="282" cm="1">
        <f t="array" aca="1" ref="AQ205" ca="1">INDIRECT("'"&amp;$C205&amp;"'!"&amp;"$"&amp;$D205&amp;$AQ$1&amp;"")</f>
        <v>4</v>
      </c>
      <c r="AR205" s="283">
        <v>0.99</v>
      </c>
      <c r="AS205" s="281">
        <v>0.35199999999999998</v>
      </c>
      <c r="AT205" s="283" cm="1">
        <f t="array" aca="1" ref="AT205" ca="1">INDIRECT("'"&amp;$C205&amp;"'!"&amp;"$"&amp;$D205&amp;$AT$1&amp;"")</f>
        <v>6.1</v>
      </c>
      <c r="AU205" s="282">
        <v>13.8</v>
      </c>
      <c r="AV205" s="283">
        <v>0.99</v>
      </c>
      <c r="AW205" s="281">
        <v>0.68</v>
      </c>
      <c r="AX205" s="285">
        <v>14.21</v>
      </c>
      <c r="AY205" s="284">
        <v>72</v>
      </c>
      <c r="AZ205" s="285" cm="1">
        <f t="array" aca="1" ref="AZ205" ca="1">INDIRECT("'"&amp;$C205&amp;"'!"&amp;"$"&amp;$D205&amp;$AZ$1&amp;"")</f>
        <v>14.29</v>
      </c>
      <c r="BA205" s="283">
        <v>0.99</v>
      </c>
      <c r="BB205" s="281">
        <v>2.4</v>
      </c>
      <c r="BC205" s="281">
        <v>68.400000000000006</v>
      </c>
      <c r="BD205" s="280" cm="1">
        <f t="array" aca="1" ref="BD205" ca="1">INDIRECT("'"&amp;$C205&amp;"'!"&amp;"$"&amp;$D205&amp;$BC$1&amp;"")</f>
        <v>0</v>
      </c>
      <c r="BE205" s="282" t="s">
        <v>1</v>
      </c>
      <c r="BF205" s="281" t="s">
        <v>1</v>
      </c>
      <c r="BG205" s="285" cm="1">
        <f t="array" aca="1" ref="BG205" ca="1">INDIRECT("'"&amp;$C205&amp;"'!"&amp;"$"&amp;$D205&amp;$BG$1&amp;"")</f>
        <v>0.96</v>
      </c>
      <c r="BH205" s="283"/>
      <c r="BI205" s="283">
        <v>0.99</v>
      </c>
      <c r="BJ205" s="281">
        <v>0.14000000000000001</v>
      </c>
      <c r="BK205" s="285" cm="1">
        <f t="array" aca="1" ref="BK205" ca="1">INDIRECT("'"&amp;$C205&amp;"'!"&amp;"$"&amp;$D205&amp;$BK$1&amp;"")</f>
        <v>0.77</v>
      </c>
      <c r="BL205" s="283"/>
      <c r="BM205" s="283">
        <v>0.96</v>
      </c>
      <c r="BN205" s="281">
        <v>0.22</v>
      </c>
      <c r="BO205" s="373" cm="1">
        <f t="array" aca="1" ref="BO205" ca="1">INDIRECT("'"&amp;$C205&amp;"'!"&amp;"$"&amp;$D205&amp;74&amp;"")</f>
        <v>0</v>
      </c>
      <c r="BP205" s="283"/>
      <c r="BQ205" s="283" t="s">
        <v>1</v>
      </c>
      <c r="BR205" s="281" t="s">
        <v>1</v>
      </c>
    </row>
    <row r="206" spans="1:70">
      <c r="A206" s="361">
        <v>45756</v>
      </c>
      <c r="B206" s="358">
        <v>4.1666666666666699E-2</v>
      </c>
      <c r="C206" s="313">
        <f t="shared" ref="C206:C228" si="7">C181+1</f>
        <v>9</v>
      </c>
      <c r="D206" s="314" t="s">
        <v>128</v>
      </c>
      <c r="E206" s="286">
        <v>14.06</v>
      </c>
      <c r="F206" s="287">
        <v>69.569999999999993</v>
      </c>
      <c r="G206" s="288" cm="1">
        <f t="array" aca="1" ref="G206" ca="1">INDIRECT("'"&amp;$C206&amp;"'!"&amp;"$"&amp;$D206&amp;$E$1&amp;"")</f>
        <v>0</v>
      </c>
      <c r="H206" s="289" t="s">
        <v>1</v>
      </c>
      <c r="I206" s="287" t="s">
        <v>1</v>
      </c>
      <c r="J206" s="288" cm="1">
        <f t="array" aca="1" ref="J206" ca="1">INDIRECT("'"&amp;$C206&amp;"'!"&amp;"$"&amp;$D206&amp;$J$1&amp;"")</f>
        <v>1.2</v>
      </c>
      <c r="K206" s="289"/>
      <c r="L206" s="289">
        <v>0.83</v>
      </c>
      <c r="M206" s="287">
        <v>0.86</v>
      </c>
      <c r="N206" s="288" t="str" cm="1">
        <f t="array" aca="1" ref="N206" ca="1">INDIRECT("'"&amp;$C206&amp;"'!"&amp;"$"&amp;$D206&amp;$N$1&amp;"")</f>
        <v>CMS</v>
      </c>
      <c r="O206" s="289"/>
      <c r="P206" s="289" t="s">
        <v>1</v>
      </c>
      <c r="Q206" s="287" t="s">
        <v>1</v>
      </c>
      <c r="R206" s="288" cm="1">
        <f t="array" aca="1" ref="R206" ca="1">INDIRECT("'"&amp;$C206&amp;"'!"&amp;"$"&amp;$D206&amp;$R$1&amp;"")</f>
        <v>0</v>
      </c>
      <c r="S206" s="289"/>
      <c r="T206" s="289" t="s">
        <v>1</v>
      </c>
      <c r="U206" s="287" t="s">
        <v>1</v>
      </c>
      <c r="V206" s="288" t="str" cm="1">
        <f t="array" aca="1" ref="V206" ca="1">INDIRECT("'"&amp;$C206&amp;"'!"&amp;"$"&amp;$D206&amp;$V$1&amp;"")</f>
        <v>CMS</v>
      </c>
      <c r="W206" s="289" t="s">
        <v>1</v>
      </c>
      <c r="X206" s="289" t="s">
        <v>1</v>
      </c>
      <c r="Y206" s="290" t="s">
        <v>1</v>
      </c>
      <c r="Z206" s="286" cm="1">
        <f t="array" aca="1" ref="Z206" ca="1">INDIRECT("'"&amp;$C206&amp;"'!"&amp;"$"&amp;$D206&amp;$Z$1&amp;"")</f>
        <v>0</v>
      </c>
      <c r="AA206" s="289" t="s">
        <v>1</v>
      </c>
      <c r="AB206" s="289" t="s">
        <v>1</v>
      </c>
      <c r="AC206" s="287" t="s">
        <v>1</v>
      </c>
      <c r="AD206" s="288" cm="1">
        <f t="array" aca="1" ref="AD206" ca="1">INDIRECT("'"&amp;$C206&amp;"'!"&amp;"$"&amp;$D206&amp;$AD$1&amp;"")</f>
        <v>3.5</v>
      </c>
      <c r="AE206" s="289">
        <f>3.63*3.8</f>
        <v>13.793999999999999</v>
      </c>
      <c r="AF206" s="289">
        <v>0.99</v>
      </c>
      <c r="AG206" s="290">
        <v>0.43</v>
      </c>
      <c r="AH206" s="286" cm="1">
        <f t="array" aca="1" ref="AH206" ca="1">INDIRECT("'"&amp;$C206&amp;"'!"&amp;"$"&amp;$D206&amp;$AH$1&amp;"")</f>
        <v>3.8</v>
      </c>
      <c r="AI206" s="289">
        <v>14.16</v>
      </c>
      <c r="AJ206" s="289">
        <v>0.97</v>
      </c>
      <c r="AK206" s="287">
        <v>0.82599999999999996</v>
      </c>
      <c r="AL206" s="286">
        <v>11.8</v>
      </c>
      <c r="AM206" s="290">
        <v>70.8</v>
      </c>
      <c r="AN206" s="286" t="str" cm="1">
        <f t="array" aca="1" ref="AN206" ca="1">INDIRECT("'"&amp;$C206&amp;"'!"&amp;"$"&amp;$D206&amp;$AL$1&amp;"")</f>
        <v>CMS</v>
      </c>
      <c r="AO206" s="289" t="s">
        <v>1</v>
      </c>
      <c r="AP206" s="287" t="s">
        <v>1</v>
      </c>
      <c r="AQ206" s="288" cm="1">
        <f t="array" aca="1" ref="AQ206" ca="1">INDIRECT("'"&amp;$C206&amp;"'!"&amp;"$"&amp;$D206&amp;$AQ$1&amp;"")</f>
        <v>3.7</v>
      </c>
      <c r="AR206" s="289">
        <v>1</v>
      </c>
      <c r="AS206" s="287">
        <v>1.4999999999999999E-2</v>
      </c>
      <c r="AT206" s="289" cm="1">
        <f t="array" aca="1" ref="AT206" ca="1">INDIRECT("'"&amp;$C206&amp;"'!"&amp;"$"&amp;$D206&amp;$AT$1&amp;"")</f>
        <v>6.9</v>
      </c>
      <c r="AU206" s="288">
        <v>13.8</v>
      </c>
      <c r="AV206" s="289">
        <v>1</v>
      </c>
      <c r="AW206" s="287">
        <v>0.33</v>
      </c>
      <c r="AX206" s="291">
        <v>14.11</v>
      </c>
      <c r="AY206" s="290">
        <v>71.790000000000006</v>
      </c>
      <c r="AZ206" s="291" cm="1">
        <f t="array" aca="1" ref="AZ206" ca="1">INDIRECT("'"&amp;$C206&amp;"'!"&amp;"$"&amp;$D206&amp;$AZ$1&amp;"")</f>
        <v>14.28</v>
      </c>
      <c r="BA206" s="289">
        <v>1</v>
      </c>
      <c r="BB206" s="287">
        <v>1.5</v>
      </c>
      <c r="BC206" s="292">
        <v>68.900000000000006</v>
      </c>
      <c r="BD206" s="286" cm="1">
        <f t="array" aca="1" ref="BD206" ca="1">INDIRECT("'"&amp;$C206&amp;"'!"&amp;"$"&amp;$D206&amp;$BC$1&amp;"")</f>
        <v>8.5000000000000018</v>
      </c>
      <c r="BE206" s="288">
        <v>0.97</v>
      </c>
      <c r="BF206" s="287">
        <v>2.1</v>
      </c>
      <c r="BG206" s="291" cm="1">
        <f t="array" aca="1" ref="BG206" ca="1">INDIRECT("'"&amp;$C206&amp;"'!"&amp;"$"&amp;$D206&amp;$BG$1&amp;"")</f>
        <v>0.89</v>
      </c>
      <c r="BH206" s="289"/>
      <c r="BI206" s="289">
        <v>0.99</v>
      </c>
      <c r="BJ206" s="287">
        <v>0.13</v>
      </c>
      <c r="BK206" s="291" cm="1">
        <f t="array" aca="1" ref="BK206" ca="1">INDIRECT("'"&amp;$C206&amp;"'!"&amp;"$"&amp;$D206&amp;$BK$1&amp;"")</f>
        <v>0.75</v>
      </c>
      <c r="BL206" s="289"/>
      <c r="BM206" s="289">
        <v>0.96</v>
      </c>
      <c r="BN206" s="287">
        <v>0.21</v>
      </c>
      <c r="BO206" s="292" cm="1">
        <f t="array" aca="1" ref="BO206" ca="1">INDIRECT("'"&amp;$C206&amp;"'!"&amp;"$"&amp;$D206&amp;74&amp;"")</f>
        <v>0</v>
      </c>
      <c r="BP206" s="289"/>
      <c r="BQ206" s="289" t="s">
        <v>1</v>
      </c>
      <c r="BR206" s="287" t="s">
        <v>1</v>
      </c>
    </row>
    <row r="207" spans="1:70">
      <c r="A207" s="361">
        <v>45756</v>
      </c>
      <c r="B207" s="358">
        <v>8.3333333333333301E-2</v>
      </c>
      <c r="C207" s="313">
        <f t="shared" si="7"/>
        <v>9</v>
      </c>
      <c r="D207" s="314" t="s">
        <v>129</v>
      </c>
      <c r="E207" s="293">
        <v>14.1</v>
      </c>
      <c r="F207" s="294">
        <v>69.78</v>
      </c>
      <c r="G207" s="295" cm="1">
        <f t="array" aca="1" ref="G207" ca="1">INDIRECT("'"&amp;$C207&amp;"'!"&amp;"$"&amp;$D207&amp;$E$1&amp;"")</f>
        <v>0</v>
      </c>
      <c r="H207" s="296" t="s">
        <v>1</v>
      </c>
      <c r="I207" s="294" t="s">
        <v>1</v>
      </c>
      <c r="J207" s="295" cm="1">
        <f t="array" aca="1" ref="J207" ca="1">INDIRECT("'"&amp;$C207&amp;"'!"&amp;"$"&amp;$D207&amp;$J$1&amp;"")</f>
        <v>0</v>
      </c>
      <c r="K207" s="296"/>
      <c r="L207" s="296" t="s">
        <v>1</v>
      </c>
      <c r="M207" s="294" t="s">
        <v>1</v>
      </c>
      <c r="N207" s="295" cm="1">
        <f t="array" aca="1" ref="N207" ca="1">INDIRECT("'"&amp;$C207&amp;"'!"&amp;"$"&amp;$D207&amp;$N$1&amp;"")</f>
        <v>6.4</v>
      </c>
      <c r="O207" s="296"/>
      <c r="P207" s="296">
        <v>0.98</v>
      </c>
      <c r="Q207" s="294">
        <v>1.43</v>
      </c>
      <c r="R207" s="295" cm="1">
        <f t="array" aca="1" ref="R207" ca="1">INDIRECT("'"&amp;$C207&amp;"'!"&amp;"$"&amp;$D207&amp;$R$1&amp;"")</f>
        <v>6.4</v>
      </c>
      <c r="S207" s="296"/>
      <c r="T207" s="296">
        <v>0.98</v>
      </c>
      <c r="U207" s="294">
        <v>1.44</v>
      </c>
      <c r="V207" s="295" t="str" cm="1">
        <f t="array" aca="1" ref="V207" ca="1">INDIRECT("'"&amp;$C207&amp;"'!"&amp;"$"&amp;$D207&amp;$V$1&amp;"")</f>
        <v>CMS</v>
      </c>
      <c r="W207" s="296" t="s">
        <v>1</v>
      </c>
      <c r="X207" s="296" t="s">
        <v>1</v>
      </c>
      <c r="Y207" s="297" t="s">
        <v>1</v>
      </c>
      <c r="Z207" s="293" cm="1">
        <f t="array" aca="1" ref="Z207" ca="1">INDIRECT("'"&amp;$C207&amp;"'!"&amp;"$"&amp;$D207&amp;$Z$1&amp;"")</f>
        <v>0</v>
      </c>
      <c r="AA207" s="296" t="s">
        <v>1</v>
      </c>
      <c r="AB207" s="296" t="s">
        <v>1</v>
      </c>
      <c r="AC207" s="294" t="s">
        <v>1</v>
      </c>
      <c r="AD207" s="295" cm="1">
        <f t="array" aca="1" ref="AD207" ca="1">INDIRECT("'"&amp;$C207&amp;"'!"&amp;"$"&amp;$D207&amp;$AD$1&amp;"")</f>
        <v>3.8</v>
      </c>
      <c r="AE207" s="296">
        <f>3.8*3.6</f>
        <v>13.68</v>
      </c>
      <c r="AF207" s="296">
        <v>0.97</v>
      </c>
      <c r="AG207" s="297">
        <v>0.92</v>
      </c>
      <c r="AH207" s="293" cm="1">
        <f t="array" aca="1" ref="AH207" ca="1">INDIRECT("'"&amp;$C207&amp;"'!"&amp;"$"&amp;$D207&amp;$AH$1&amp;"")</f>
        <v>3</v>
      </c>
      <c r="AI207" s="296">
        <v>14.12</v>
      </c>
      <c r="AJ207" s="296">
        <v>0.96</v>
      </c>
      <c r="AK207" s="297">
        <v>1.05</v>
      </c>
      <c r="AL207" s="293">
        <v>11.8</v>
      </c>
      <c r="AM207" s="297">
        <v>70.8</v>
      </c>
      <c r="AN207" s="293" t="str" cm="1">
        <f t="array" aca="1" ref="AN207" ca="1">INDIRECT("'"&amp;$C207&amp;"'!"&amp;"$"&amp;$D207&amp;$AL$1&amp;"")</f>
        <v>CMS</v>
      </c>
      <c r="AO207" s="296" t="s">
        <v>1</v>
      </c>
      <c r="AP207" s="294" t="s">
        <v>1</v>
      </c>
      <c r="AQ207" s="295" cm="1">
        <f t="array" aca="1" ref="AQ207" ca="1">INDIRECT("'"&amp;$C207&amp;"'!"&amp;"$"&amp;$D207&amp;$AQ$1&amp;"")</f>
        <v>4.5</v>
      </c>
      <c r="AR207" s="296">
        <v>0.99</v>
      </c>
      <c r="AS207" s="294">
        <v>0.33900000000000002</v>
      </c>
      <c r="AT207" s="296" cm="1">
        <f t="array" aca="1" ref="AT207" ca="1">INDIRECT("'"&amp;$C207&amp;"'!"&amp;"$"&amp;$D207&amp;$AT$1&amp;"")</f>
        <v>0</v>
      </c>
      <c r="AU207" s="295" t="s">
        <v>1</v>
      </c>
      <c r="AV207" s="296" t="s">
        <v>1</v>
      </c>
      <c r="AW207" s="294" t="s">
        <v>1</v>
      </c>
      <c r="AX207" s="298">
        <v>14.14</v>
      </c>
      <c r="AY207" s="297">
        <v>71.92</v>
      </c>
      <c r="AZ207" s="298" cm="1">
        <f t="array" aca="1" ref="AZ207" ca="1">INDIRECT("'"&amp;$C207&amp;"'!"&amp;"$"&amp;$D207&amp;$AZ$1&amp;"")</f>
        <v>13.97</v>
      </c>
      <c r="BA207" s="296">
        <v>1</v>
      </c>
      <c r="BB207" s="294">
        <v>1.3</v>
      </c>
      <c r="BC207" s="299">
        <v>69.5</v>
      </c>
      <c r="BD207" s="293" cm="1">
        <f t="array" aca="1" ref="BD207" ca="1">INDIRECT("'"&amp;$C207&amp;"'!"&amp;"$"&amp;$D207&amp;$BC$1&amp;"")</f>
        <v>0</v>
      </c>
      <c r="BE207" s="295" t="s">
        <v>1</v>
      </c>
      <c r="BF207" s="294" t="s">
        <v>1</v>
      </c>
      <c r="BG207" s="298" cm="1">
        <f t="array" aca="1" ref="BG207" ca="1">INDIRECT("'"&amp;$C207&amp;"'!"&amp;"$"&amp;$D207&amp;$BG$1&amp;"")</f>
        <v>0.86</v>
      </c>
      <c r="BH207" s="296"/>
      <c r="BI207" s="296">
        <v>0.99</v>
      </c>
      <c r="BJ207" s="294">
        <v>0.1</v>
      </c>
      <c r="BK207" s="298" cm="1">
        <f t="array" aca="1" ref="BK207" ca="1">INDIRECT("'"&amp;$C207&amp;"'!"&amp;"$"&amp;$D207&amp;$BK$1&amp;"")</f>
        <v>0.79</v>
      </c>
      <c r="BL207" s="296"/>
      <c r="BM207" s="296">
        <v>0.96</v>
      </c>
      <c r="BN207" s="294">
        <v>0.2</v>
      </c>
      <c r="BO207" s="299" cm="1">
        <f t="array" aca="1" ref="BO207" ca="1">INDIRECT("'"&amp;$C207&amp;"'!"&amp;"$"&amp;$D207&amp;74&amp;"")</f>
        <v>0</v>
      </c>
      <c r="BP207" s="296"/>
      <c r="BQ207" s="296" t="s">
        <v>1</v>
      </c>
      <c r="BR207" s="294" t="s">
        <v>1</v>
      </c>
    </row>
    <row r="208" spans="1:70">
      <c r="A208" s="361">
        <v>45756</v>
      </c>
      <c r="B208" s="358">
        <v>0.125</v>
      </c>
      <c r="C208" s="313">
        <f t="shared" si="7"/>
        <v>9</v>
      </c>
      <c r="D208" s="314" t="s">
        <v>130</v>
      </c>
      <c r="E208" s="286">
        <v>14.1</v>
      </c>
      <c r="F208" s="287">
        <v>69.84</v>
      </c>
      <c r="G208" s="288" cm="1">
        <f t="array" aca="1" ref="G208" ca="1">INDIRECT("'"&amp;$C208&amp;"'!"&amp;"$"&amp;$D208&amp;$E$1&amp;"")</f>
        <v>0</v>
      </c>
      <c r="H208" s="289" t="s">
        <v>1</v>
      </c>
      <c r="I208" s="287" t="s">
        <v>1</v>
      </c>
      <c r="J208" s="288" cm="1">
        <f t="array" aca="1" ref="J208" ca="1">INDIRECT("'"&amp;$C208&amp;"'!"&amp;"$"&amp;$D208&amp;$J$1&amp;"")</f>
        <v>0</v>
      </c>
      <c r="K208" s="289"/>
      <c r="L208" s="289" t="s">
        <v>1</v>
      </c>
      <c r="M208" s="287" t="s">
        <v>1</v>
      </c>
      <c r="N208" s="288" cm="1">
        <f t="array" aca="1" ref="N208" ca="1">INDIRECT("'"&amp;$C208&amp;"'!"&amp;"$"&amp;$D208&amp;$N$1&amp;"")</f>
        <v>6.4</v>
      </c>
      <c r="O208" s="289"/>
      <c r="P208" s="289">
        <v>0.98</v>
      </c>
      <c r="Q208" s="287">
        <v>1.42</v>
      </c>
      <c r="R208" s="288" cm="1">
        <f t="array" aca="1" ref="R208" ca="1">INDIRECT("'"&amp;$C208&amp;"'!"&amp;"$"&amp;$D208&amp;$R$1&amp;"")</f>
        <v>6.4</v>
      </c>
      <c r="S208" s="289"/>
      <c r="T208" s="289">
        <v>0.98</v>
      </c>
      <c r="U208" s="287">
        <v>1.38</v>
      </c>
      <c r="V208" s="288" t="str" cm="1">
        <f t="array" aca="1" ref="V208" ca="1">INDIRECT("'"&amp;$C208&amp;"'!"&amp;"$"&amp;$D208&amp;$V$1&amp;"")</f>
        <v>CMS</v>
      </c>
      <c r="W208" s="289" t="s">
        <v>1</v>
      </c>
      <c r="X208" s="289" t="s">
        <v>1</v>
      </c>
      <c r="Y208" s="290" t="s">
        <v>1</v>
      </c>
      <c r="Z208" s="286" cm="1">
        <f t="array" aca="1" ref="Z208" ca="1">INDIRECT("'"&amp;$C208&amp;"'!"&amp;"$"&amp;$D208&amp;$Z$1&amp;"")</f>
        <v>0</v>
      </c>
      <c r="AA208" s="289" t="s">
        <v>1</v>
      </c>
      <c r="AB208" s="289" t="s">
        <v>1</v>
      </c>
      <c r="AC208" s="287" t="s">
        <v>1</v>
      </c>
      <c r="AD208" s="288" cm="1">
        <f t="array" aca="1" ref="AD208" ca="1">INDIRECT("'"&amp;$C208&amp;"'!"&amp;"$"&amp;$D208&amp;$AD$1&amp;"")</f>
        <v>3</v>
      </c>
      <c r="AE208" s="289">
        <f>3.8*3.6</f>
        <v>13.68</v>
      </c>
      <c r="AF208" s="289">
        <v>0.98</v>
      </c>
      <c r="AG208" s="290">
        <v>0.56000000000000005</v>
      </c>
      <c r="AH208" s="286" cm="1">
        <f t="array" aca="1" ref="AH208" ca="1">INDIRECT("'"&amp;$C208&amp;"'!"&amp;"$"&amp;$D208&amp;$AH$1&amp;"")</f>
        <v>3</v>
      </c>
      <c r="AI208" s="289">
        <v>14.12</v>
      </c>
      <c r="AJ208" s="289">
        <v>0.96</v>
      </c>
      <c r="AK208" s="287">
        <v>1</v>
      </c>
      <c r="AL208" s="286">
        <v>11.8</v>
      </c>
      <c r="AM208" s="290">
        <v>70.400000000000006</v>
      </c>
      <c r="AN208" s="286" t="str" cm="1">
        <f t="array" aca="1" ref="AN208" ca="1">INDIRECT("'"&amp;$C208&amp;"'!"&amp;"$"&amp;$D208&amp;$AL$1&amp;"")</f>
        <v>CMS</v>
      </c>
      <c r="AO208" s="289" t="s">
        <v>1</v>
      </c>
      <c r="AP208" s="287" t="s">
        <v>1</v>
      </c>
      <c r="AQ208" s="288" cm="1">
        <f t="array" aca="1" ref="AQ208" ca="1">INDIRECT("'"&amp;$C208&amp;"'!"&amp;"$"&amp;$D208&amp;$AQ$1&amp;"")</f>
        <v>3.5</v>
      </c>
      <c r="AR208" s="289">
        <v>0.97</v>
      </c>
      <c r="AS208" s="287">
        <v>0.74399999999999999</v>
      </c>
      <c r="AT208" s="289" cm="1">
        <f t="array" aca="1" ref="AT208" ca="1">INDIRECT("'"&amp;$C208&amp;"'!"&amp;"$"&amp;$D208&amp;$AT$1&amp;"")</f>
        <v>0</v>
      </c>
      <c r="AU208" s="288" t="s">
        <v>1</v>
      </c>
      <c r="AV208" s="289" t="s">
        <v>1</v>
      </c>
      <c r="AW208" s="287" t="s">
        <v>1</v>
      </c>
      <c r="AX208" s="291">
        <v>14.09</v>
      </c>
      <c r="AY208" s="290">
        <v>71.739999999999995</v>
      </c>
      <c r="AZ208" s="291" cm="1">
        <f t="array" aca="1" ref="AZ208" ca="1">INDIRECT("'"&amp;$C208&amp;"'!"&amp;"$"&amp;$D208&amp;$AZ$1&amp;"")</f>
        <v>14.28</v>
      </c>
      <c r="BA208" s="289">
        <v>1</v>
      </c>
      <c r="BB208" s="287">
        <v>1.4</v>
      </c>
      <c r="BC208" s="292">
        <v>69</v>
      </c>
      <c r="BD208" s="286" cm="1">
        <f t="array" aca="1" ref="BD208" ca="1">INDIRECT("'"&amp;$C208&amp;"'!"&amp;"$"&amp;$D208&amp;$BC$1&amp;"")</f>
        <v>0</v>
      </c>
      <c r="BE208" s="288" t="s">
        <v>1</v>
      </c>
      <c r="BF208" s="287" t="s">
        <v>1</v>
      </c>
      <c r="BG208" s="291" cm="1">
        <f t="array" aca="1" ref="BG208" ca="1">INDIRECT("'"&amp;$C208&amp;"'!"&amp;"$"&amp;$D208&amp;$BG$1&amp;"")</f>
        <v>0.82</v>
      </c>
      <c r="BH208" s="289"/>
      <c r="BI208" s="289">
        <v>0.99</v>
      </c>
      <c r="BJ208" s="287">
        <v>0.1</v>
      </c>
      <c r="BK208" s="291" cm="1">
        <f t="array" aca="1" ref="BK208" ca="1">INDIRECT("'"&amp;$C208&amp;"'!"&amp;"$"&amp;$D208&amp;$BK$1&amp;"")</f>
        <v>0.7</v>
      </c>
      <c r="BL208" s="289"/>
      <c r="BM208" s="289">
        <v>0.96</v>
      </c>
      <c r="BN208" s="287">
        <v>0.2</v>
      </c>
      <c r="BO208" s="292" cm="1">
        <f t="array" aca="1" ref="BO208" ca="1">INDIRECT("'"&amp;$C208&amp;"'!"&amp;"$"&amp;$D208&amp;74&amp;"")</f>
        <v>0</v>
      </c>
      <c r="BP208" s="289"/>
      <c r="BQ208" s="289" t="s">
        <v>1</v>
      </c>
      <c r="BR208" s="287" t="s">
        <v>1</v>
      </c>
    </row>
    <row r="209" spans="1:70">
      <c r="A209" s="361">
        <v>45756</v>
      </c>
      <c r="B209" s="358">
        <v>0.16666666666666699</v>
      </c>
      <c r="C209" s="313">
        <f t="shared" si="7"/>
        <v>9</v>
      </c>
      <c r="D209" s="314" t="s">
        <v>131</v>
      </c>
      <c r="E209" s="293">
        <v>14.1</v>
      </c>
      <c r="F209" s="294">
        <v>69.89</v>
      </c>
      <c r="G209" s="295" cm="1">
        <f t="array" aca="1" ref="G209" ca="1">INDIRECT("'"&amp;$C209&amp;"'!"&amp;"$"&amp;$D209&amp;$E$1&amp;"")</f>
        <v>0</v>
      </c>
      <c r="H209" s="296" t="s">
        <v>1</v>
      </c>
      <c r="I209" s="294" t="s">
        <v>1</v>
      </c>
      <c r="J209" s="295" cm="1">
        <f t="array" aca="1" ref="J209" ca="1">INDIRECT("'"&amp;$C209&amp;"'!"&amp;"$"&amp;$D209&amp;$J$1&amp;"")</f>
        <v>0</v>
      </c>
      <c r="K209" s="296"/>
      <c r="L209" s="296" t="s">
        <v>1</v>
      </c>
      <c r="M209" s="294" t="s">
        <v>1</v>
      </c>
      <c r="N209" s="295" cm="1">
        <f t="array" aca="1" ref="N209" ca="1">INDIRECT("'"&amp;$C209&amp;"'!"&amp;"$"&amp;$D209&amp;$N$1&amp;"")</f>
        <v>6.7</v>
      </c>
      <c r="O209" s="296"/>
      <c r="P209" s="296">
        <v>0.98</v>
      </c>
      <c r="Q209" s="294">
        <v>1.4</v>
      </c>
      <c r="R209" s="295" cm="1">
        <f t="array" aca="1" ref="R209" ca="1">INDIRECT("'"&amp;$C209&amp;"'!"&amp;"$"&amp;$D209&amp;$R$1&amp;"")</f>
        <v>6.7</v>
      </c>
      <c r="S209" s="296"/>
      <c r="T209" s="296">
        <v>1</v>
      </c>
      <c r="U209" s="294">
        <v>1.57</v>
      </c>
      <c r="V209" s="295" t="str" cm="1">
        <f t="array" aca="1" ref="V209" ca="1">INDIRECT("'"&amp;$C209&amp;"'!"&amp;"$"&amp;$D209&amp;$V$1&amp;"")</f>
        <v>CMS</v>
      </c>
      <c r="W209" s="296" t="s">
        <v>1</v>
      </c>
      <c r="X209" s="296" t="s">
        <v>1</v>
      </c>
      <c r="Y209" s="297" t="s">
        <v>1</v>
      </c>
      <c r="Z209" s="293" cm="1">
        <f t="array" aca="1" ref="Z209" ca="1">INDIRECT("'"&amp;$C209&amp;"'!"&amp;"$"&amp;$D209&amp;$Z$1&amp;"")</f>
        <v>0</v>
      </c>
      <c r="AA209" s="296" t="s">
        <v>1</v>
      </c>
      <c r="AB209" s="296" t="s">
        <v>1</v>
      </c>
      <c r="AC209" s="294" t="s">
        <v>1</v>
      </c>
      <c r="AD209" s="295" cm="1">
        <f t="array" aca="1" ref="AD209" ca="1">INDIRECT("'"&amp;$C209&amp;"'!"&amp;"$"&amp;$D209&amp;$AD$1&amp;"")</f>
        <v>3.8</v>
      </c>
      <c r="AE209" s="296">
        <f>3.61*3.8</f>
        <v>13.717999999999998</v>
      </c>
      <c r="AF209" s="296">
        <v>0.98</v>
      </c>
      <c r="AG209" s="297">
        <v>0.72</v>
      </c>
      <c r="AH209" s="293" cm="1">
        <f t="array" aca="1" ref="AH209" ca="1">INDIRECT("'"&amp;$C209&amp;"'!"&amp;"$"&amp;$D209&amp;$AH$1&amp;"")</f>
        <v>0</v>
      </c>
      <c r="AI209" s="296" t="s">
        <v>1</v>
      </c>
      <c r="AJ209" s="296" t="s">
        <v>1</v>
      </c>
      <c r="AK209" s="297" t="s">
        <v>1</v>
      </c>
      <c r="AL209" s="293">
        <v>11.8</v>
      </c>
      <c r="AM209" s="297">
        <v>70.5</v>
      </c>
      <c r="AN209" s="293" t="str" cm="1">
        <f t="array" aca="1" ref="AN209" ca="1">INDIRECT("'"&amp;$C209&amp;"'!"&amp;"$"&amp;$D209&amp;$AL$1&amp;"")</f>
        <v>CMS</v>
      </c>
      <c r="AO209" s="296" t="s">
        <v>1</v>
      </c>
      <c r="AP209" s="294" t="s">
        <v>1</v>
      </c>
      <c r="AQ209" s="295" cm="1">
        <f t="array" aca="1" ref="AQ209" ca="1">INDIRECT("'"&amp;$C209&amp;"'!"&amp;"$"&amp;$D209&amp;$AQ$1&amp;"")</f>
        <v>4.5</v>
      </c>
      <c r="AR209" s="296">
        <v>0.98</v>
      </c>
      <c r="AS209" s="294">
        <v>0.76400000000000001</v>
      </c>
      <c r="AT209" s="296" cm="1">
        <f t="array" aca="1" ref="AT209" ca="1">INDIRECT("'"&amp;$C209&amp;"'!"&amp;"$"&amp;$D209&amp;$AT$1&amp;"")</f>
        <v>0</v>
      </c>
      <c r="AU209" s="295" t="s">
        <v>1</v>
      </c>
      <c r="AV209" s="296" t="s">
        <v>1</v>
      </c>
      <c r="AW209" s="294" t="s">
        <v>1</v>
      </c>
      <c r="AX209" s="298">
        <v>14.14</v>
      </c>
      <c r="AY209" s="297">
        <v>71.58</v>
      </c>
      <c r="AZ209" s="298" cm="1">
        <f t="array" aca="1" ref="AZ209" ca="1">INDIRECT("'"&amp;$C209&amp;"'!"&amp;"$"&amp;$D209&amp;$AZ$1&amp;"")</f>
        <v>14.29</v>
      </c>
      <c r="BA209" s="296">
        <v>0.99</v>
      </c>
      <c r="BB209" s="294">
        <v>2.2999999999999998</v>
      </c>
      <c r="BC209" s="299">
        <v>69.099999999999994</v>
      </c>
      <c r="BD209" s="293" cm="1">
        <f t="array" aca="1" ref="BD209" ca="1">INDIRECT("'"&amp;$C209&amp;"'!"&amp;"$"&amp;$D209&amp;$BC$1&amp;"")</f>
        <v>0</v>
      </c>
      <c r="BE209" s="295" t="s">
        <v>1</v>
      </c>
      <c r="BF209" s="294" t="s">
        <v>1</v>
      </c>
      <c r="BG209" s="298" cm="1">
        <f t="array" aca="1" ref="BG209" ca="1">INDIRECT("'"&amp;$C209&amp;"'!"&amp;"$"&amp;$D209&amp;$BG$1&amp;"")</f>
        <v>0.81</v>
      </c>
      <c r="BH209" s="296"/>
      <c r="BI209" s="296">
        <v>0.99</v>
      </c>
      <c r="BJ209" s="294">
        <v>0.1</v>
      </c>
      <c r="BK209" s="298" cm="1">
        <f t="array" aca="1" ref="BK209" ca="1">INDIRECT("'"&amp;$C209&amp;"'!"&amp;"$"&amp;$D209&amp;$BK$1&amp;"")</f>
        <v>0.68</v>
      </c>
      <c r="BL209" s="296"/>
      <c r="BM209" s="296">
        <v>0.96</v>
      </c>
      <c r="BN209" s="294">
        <v>0.2</v>
      </c>
      <c r="BO209" s="299" cm="1">
        <f t="array" aca="1" ref="BO209" ca="1">INDIRECT("'"&amp;$C209&amp;"'!"&amp;"$"&amp;$D209&amp;74&amp;"")</f>
        <v>0</v>
      </c>
      <c r="BP209" s="296"/>
      <c r="BQ209" s="296" t="s">
        <v>1</v>
      </c>
      <c r="BR209" s="294" t="s">
        <v>1</v>
      </c>
    </row>
    <row r="210" spans="1:70">
      <c r="A210" s="361">
        <v>45756</v>
      </c>
      <c r="B210" s="358">
        <v>0.20833333333333301</v>
      </c>
      <c r="C210" s="313">
        <f t="shared" si="7"/>
        <v>9</v>
      </c>
      <c r="D210" s="314" t="s">
        <v>132</v>
      </c>
      <c r="E210" s="286">
        <v>14.1</v>
      </c>
      <c r="F210" s="287">
        <v>70.14</v>
      </c>
      <c r="G210" s="288" cm="1">
        <f t="array" aca="1" ref="G210" ca="1">INDIRECT("'"&amp;$C210&amp;"'!"&amp;"$"&amp;$D210&amp;$E$1&amp;"")</f>
        <v>0</v>
      </c>
      <c r="H210" s="289" t="s">
        <v>1</v>
      </c>
      <c r="I210" s="287" t="s">
        <v>1</v>
      </c>
      <c r="J210" s="288" cm="1">
        <f t="array" aca="1" ref="J210" ca="1">INDIRECT("'"&amp;$C210&amp;"'!"&amp;"$"&amp;$D210&amp;$J$1&amp;"")</f>
        <v>0</v>
      </c>
      <c r="K210" s="289"/>
      <c r="L210" s="289" t="s">
        <v>1</v>
      </c>
      <c r="M210" s="287" t="s">
        <v>1</v>
      </c>
      <c r="N210" s="288" cm="1">
        <f t="array" aca="1" ref="N210" ca="1">INDIRECT("'"&amp;$C210&amp;"'!"&amp;"$"&amp;$D210&amp;$N$1&amp;"")</f>
        <v>6.7</v>
      </c>
      <c r="O210" s="289"/>
      <c r="P210" s="289">
        <v>0.99</v>
      </c>
      <c r="Q210" s="287">
        <v>1.1299999999999999</v>
      </c>
      <c r="R210" s="288" cm="1">
        <f t="array" aca="1" ref="R210" ca="1">INDIRECT("'"&amp;$C210&amp;"'!"&amp;"$"&amp;$D210&amp;$R$1&amp;"")</f>
        <v>6.7</v>
      </c>
      <c r="S210" s="289"/>
      <c r="T210" s="289">
        <v>0.99</v>
      </c>
      <c r="U210" s="287">
        <v>1.1100000000000001</v>
      </c>
      <c r="V210" s="288" t="str" cm="1">
        <f t="array" aca="1" ref="V210" ca="1">INDIRECT("'"&amp;$C210&amp;"'!"&amp;"$"&amp;$D210&amp;$V$1&amp;"")</f>
        <v>CMS</v>
      </c>
      <c r="W210" s="289" t="s">
        <v>1</v>
      </c>
      <c r="X210" s="289" t="s">
        <v>1</v>
      </c>
      <c r="Y210" s="290" t="s">
        <v>1</v>
      </c>
      <c r="Z210" s="286" cm="1">
        <f t="array" aca="1" ref="Z210" ca="1">INDIRECT("'"&amp;$C210&amp;"'!"&amp;"$"&amp;$D210&amp;$Z$1&amp;"")</f>
        <v>0</v>
      </c>
      <c r="AA210" s="289" t="s">
        <v>1</v>
      </c>
      <c r="AB210" s="289" t="s">
        <v>1</v>
      </c>
      <c r="AC210" s="287" t="s">
        <v>1</v>
      </c>
      <c r="AD210" s="288" cm="1">
        <f t="array" aca="1" ref="AD210" ca="1">INDIRECT("'"&amp;$C210&amp;"'!"&amp;"$"&amp;$D210&amp;$AD$1&amp;"")</f>
        <v>3.8</v>
      </c>
      <c r="AE210" s="289">
        <f>3.8*3.63</f>
        <v>13.793999999999999</v>
      </c>
      <c r="AF210" s="289">
        <v>0.98</v>
      </c>
      <c r="AG210" s="290">
        <v>0.75</v>
      </c>
      <c r="AH210" s="286" cm="1">
        <f t="array" aca="1" ref="AH210" ca="1">INDIRECT("'"&amp;$C210&amp;"'!"&amp;"$"&amp;$D210&amp;$AH$1&amp;"")</f>
        <v>0</v>
      </c>
      <c r="AI210" s="289" t="s">
        <v>1</v>
      </c>
      <c r="AJ210" s="289" t="s">
        <v>1</v>
      </c>
      <c r="AK210" s="287" t="s">
        <v>1</v>
      </c>
      <c r="AL210" s="286">
        <v>11.8</v>
      </c>
      <c r="AM210" s="290">
        <v>70.599999999999994</v>
      </c>
      <c r="AN210" s="286" t="str" cm="1">
        <f t="array" aca="1" ref="AN210" ca="1">INDIRECT("'"&amp;$C210&amp;"'!"&amp;"$"&amp;$D210&amp;$AL$1&amp;"")</f>
        <v>CMS</v>
      </c>
      <c r="AO210" s="289" t="s">
        <v>1</v>
      </c>
      <c r="AP210" s="287" t="s">
        <v>1</v>
      </c>
      <c r="AQ210" s="288" cm="1">
        <f t="array" aca="1" ref="AQ210" ca="1">INDIRECT("'"&amp;$C210&amp;"'!"&amp;"$"&amp;$D210&amp;$AQ$1&amp;"")</f>
        <v>4.3</v>
      </c>
      <c r="AR210" s="289">
        <v>0.99</v>
      </c>
      <c r="AS210" s="287">
        <v>0.59399999999999997</v>
      </c>
      <c r="AT210" s="289" cm="1">
        <f t="array" aca="1" ref="AT210" ca="1">INDIRECT("'"&amp;$C210&amp;"'!"&amp;"$"&amp;$D210&amp;$AT$1&amp;"")</f>
        <v>0</v>
      </c>
      <c r="AU210" s="288" t="s">
        <v>1</v>
      </c>
      <c r="AV210" s="289" t="s">
        <v>1</v>
      </c>
      <c r="AW210" s="287" t="s">
        <v>1</v>
      </c>
      <c r="AX210" s="291">
        <v>14.17</v>
      </c>
      <c r="AY210" s="290">
        <v>71.27</v>
      </c>
      <c r="AZ210" s="291" cm="1">
        <f t="array" aca="1" ref="AZ210" ca="1">INDIRECT("'"&amp;$C210&amp;"'!"&amp;"$"&amp;$D210&amp;$AZ$1&amp;"")</f>
        <v>14.29</v>
      </c>
      <c r="BA210" s="289">
        <v>0.99</v>
      </c>
      <c r="BB210" s="287">
        <v>2.4</v>
      </c>
      <c r="BC210" s="292">
        <v>69.2</v>
      </c>
      <c r="BD210" s="286" cm="1">
        <f t="array" aca="1" ref="BD210" ca="1">INDIRECT("'"&amp;$C210&amp;"'!"&amp;"$"&amp;$D210&amp;$BC$1&amp;"")</f>
        <v>1.4</v>
      </c>
      <c r="BE210" s="288">
        <v>0.98</v>
      </c>
      <c r="BF210" s="287">
        <v>0.28000000000000003</v>
      </c>
      <c r="BG210" s="291" cm="1">
        <f t="array" aca="1" ref="BG210" ca="1">INDIRECT("'"&amp;$C210&amp;"'!"&amp;"$"&amp;$D210&amp;$BG$1&amp;"")</f>
        <v>0.81</v>
      </c>
      <c r="BH210" s="289"/>
      <c r="BI210" s="289">
        <v>0.99</v>
      </c>
      <c r="BJ210" s="287">
        <v>0.1</v>
      </c>
      <c r="BK210" s="291" cm="1">
        <f t="array" aca="1" ref="BK210" ca="1">INDIRECT("'"&amp;$C210&amp;"'!"&amp;"$"&amp;$D210&amp;$BK$1&amp;"")</f>
        <v>0.7</v>
      </c>
      <c r="BL210" s="289"/>
      <c r="BM210" s="289">
        <v>0.96</v>
      </c>
      <c r="BN210" s="287">
        <v>0.2</v>
      </c>
      <c r="BO210" s="292" cm="1">
        <f t="array" aca="1" ref="BO210" ca="1">INDIRECT("'"&amp;$C210&amp;"'!"&amp;"$"&amp;$D210&amp;74&amp;"")</f>
        <v>0</v>
      </c>
      <c r="BP210" s="289"/>
      <c r="BQ210" s="289" t="s">
        <v>1</v>
      </c>
      <c r="BR210" s="287" t="s">
        <v>1</v>
      </c>
    </row>
    <row r="211" spans="1:70">
      <c r="A211" s="361">
        <v>45756</v>
      </c>
      <c r="B211" s="358">
        <v>0.25</v>
      </c>
      <c r="C211" s="313">
        <f t="shared" si="7"/>
        <v>9</v>
      </c>
      <c r="D211" s="314" t="s">
        <v>133</v>
      </c>
      <c r="E211" s="293">
        <v>14.1</v>
      </c>
      <c r="F211" s="294">
        <v>70.27</v>
      </c>
      <c r="G211" s="295" cm="1">
        <f t="array" aca="1" ref="G211" ca="1">INDIRECT("'"&amp;$C211&amp;"'!"&amp;"$"&amp;$D211&amp;$E$1&amp;"")</f>
        <v>1.5</v>
      </c>
      <c r="H211" s="296" t="s">
        <v>1</v>
      </c>
      <c r="I211" s="294" t="s">
        <v>1</v>
      </c>
      <c r="J211" s="295" cm="1">
        <f t="array" aca="1" ref="J211" ca="1">INDIRECT("'"&amp;$C211&amp;"'!"&amp;"$"&amp;$D211&amp;$J$1&amp;"")</f>
        <v>0</v>
      </c>
      <c r="K211" s="296"/>
      <c r="L211" s="296" t="s">
        <v>1</v>
      </c>
      <c r="M211" s="294" t="s">
        <v>1</v>
      </c>
      <c r="N211" s="295" cm="1">
        <f t="array" aca="1" ref="N211" ca="1">INDIRECT("'"&amp;$C211&amp;"'!"&amp;"$"&amp;$D211&amp;$N$1&amp;"")</f>
        <v>6.2</v>
      </c>
      <c r="O211" s="296"/>
      <c r="P211" s="296">
        <v>0.99</v>
      </c>
      <c r="Q211" s="294">
        <v>1.05</v>
      </c>
      <c r="R211" s="295" cm="1">
        <f t="array" aca="1" ref="R211" ca="1">INDIRECT("'"&amp;$C211&amp;"'!"&amp;"$"&amp;$D211&amp;$R$1&amp;"")</f>
        <v>6.2</v>
      </c>
      <c r="S211" s="296"/>
      <c r="T211" s="296">
        <v>0.99</v>
      </c>
      <c r="U211" s="294">
        <v>1.04</v>
      </c>
      <c r="V211" s="295" t="str" cm="1">
        <f t="array" aca="1" ref="V211" ca="1">INDIRECT("'"&amp;$C211&amp;"'!"&amp;"$"&amp;$D211&amp;$V$1&amp;"")</f>
        <v>CMS</v>
      </c>
      <c r="W211" s="296" t="s">
        <v>1</v>
      </c>
      <c r="X211" s="296" t="s">
        <v>1</v>
      </c>
      <c r="Y211" s="297" t="s">
        <v>1</v>
      </c>
      <c r="Z211" s="293" cm="1">
        <f t="array" aca="1" ref="Z211" ca="1">INDIRECT("'"&amp;$C211&amp;"'!"&amp;"$"&amp;$D211&amp;$Z$1&amp;"")</f>
        <v>0</v>
      </c>
      <c r="AA211" s="296" t="s">
        <v>1</v>
      </c>
      <c r="AB211" s="296" t="s">
        <v>1</v>
      </c>
      <c r="AC211" s="294" t="s">
        <v>1</v>
      </c>
      <c r="AD211" s="295" cm="1">
        <f t="array" aca="1" ref="AD211" ca="1">INDIRECT("'"&amp;$C211&amp;"'!"&amp;"$"&amp;$D211&amp;$AD$1&amp;"")</f>
        <v>3.8</v>
      </c>
      <c r="AE211" s="296">
        <f>3.8*3.61</f>
        <v>13.717999999999998</v>
      </c>
      <c r="AF211" s="296">
        <v>0.97</v>
      </c>
      <c r="AG211" s="297">
        <v>0.93</v>
      </c>
      <c r="AH211" s="293" cm="1">
        <f t="array" aca="1" ref="AH211" ca="1">INDIRECT("'"&amp;$C211&amp;"'!"&amp;"$"&amp;$D211&amp;$AH$1&amp;"")</f>
        <v>0</v>
      </c>
      <c r="AI211" s="296" t="s">
        <v>1</v>
      </c>
      <c r="AJ211" s="296" t="s">
        <v>1</v>
      </c>
      <c r="AK211" s="297" t="s">
        <v>1</v>
      </c>
      <c r="AL211" s="293">
        <v>11.8</v>
      </c>
      <c r="AM211" s="297">
        <v>70.5</v>
      </c>
      <c r="AN211" s="293" t="str" cm="1">
        <f t="array" aca="1" ref="AN211" ca="1">INDIRECT("'"&amp;$C211&amp;"'!"&amp;"$"&amp;$D211&amp;$AL$1&amp;"")</f>
        <v>CMS</v>
      </c>
      <c r="AO211" s="296" t="s">
        <v>1</v>
      </c>
      <c r="AP211" s="294" t="s">
        <v>1</v>
      </c>
      <c r="AQ211" s="295" cm="1">
        <f t="array" aca="1" ref="AQ211" ca="1">INDIRECT("'"&amp;$C211&amp;"'!"&amp;"$"&amp;$D211&amp;$AQ$1&amp;"")</f>
        <v>4.0999999999999996</v>
      </c>
      <c r="AR211" s="296">
        <v>0.98</v>
      </c>
      <c r="AS211" s="294">
        <v>0.69199999999999995</v>
      </c>
      <c r="AT211" s="296" cm="1">
        <f t="array" aca="1" ref="AT211" ca="1">INDIRECT("'"&amp;$C211&amp;"'!"&amp;"$"&amp;$D211&amp;$AT$1&amp;"")</f>
        <v>0</v>
      </c>
      <c r="AU211" s="295" t="s">
        <v>1</v>
      </c>
      <c r="AV211" s="296" t="s">
        <v>1</v>
      </c>
      <c r="AW211" s="294" t="s">
        <v>1</v>
      </c>
      <c r="AX211" s="298">
        <v>14.11</v>
      </c>
      <c r="AY211" s="297">
        <v>71.48</v>
      </c>
      <c r="AZ211" s="298" cm="1">
        <f t="array" aca="1" ref="AZ211" ca="1">INDIRECT("'"&amp;$C211&amp;"'!"&amp;"$"&amp;$D211&amp;$AZ$1&amp;"")</f>
        <v>14.3</v>
      </c>
      <c r="BA211" s="296">
        <v>0.99</v>
      </c>
      <c r="BB211" s="294">
        <v>2.4</v>
      </c>
      <c r="BC211" s="299">
        <v>69.400000000000006</v>
      </c>
      <c r="BD211" s="293" cm="1">
        <f t="array" aca="1" ref="BD211" ca="1">INDIRECT("'"&amp;$C211&amp;"'!"&amp;"$"&amp;$D211&amp;$BC$1&amp;"")</f>
        <v>3.34</v>
      </c>
      <c r="BE211" s="295">
        <v>0.98</v>
      </c>
      <c r="BF211" s="294">
        <v>0.57999999999999996</v>
      </c>
      <c r="BG211" s="298" cm="1">
        <f t="array" aca="1" ref="BG211" ca="1">INDIRECT("'"&amp;$C211&amp;"'!"&amp;"$"&amp;$D211&amp;$BG$1&amp;"")</f>
        <v>0.87</v>
      </c>
      <c r="BH211" s="296"/>
      <c r="BI211" s="296">
        <v>0.98</v>
      </c>
      <c r="BJ211" s="294">
        <v>0.09</v>
      </c>
      <c r="BK211" s="298" cm="1">
        <f t="array" aca="1" ref="BK211" ca="1">INDIRECT("'"&amp;$C211&amp;"'!"&amp;"$"&amp;$D211&amp;$BK$1&amp;"")</f>
        <v>0.71</v>
      </c>
      <c r="BL211" s="296"/>
      <c r="BM211" s="296">
        <v>0.96</v>
      </c>
      <c r="BN211" s="294">
        <v>0.2</v>
      </c>
      <c r="BO211" s="299" cm="1">
        <f t="array" aca="1" ref="BO211" ca="1">INDIRECT("'"&amp;$C211&amp;"'!"&amp;"$"&amp;$D211&amp;74&amp;"")</f>
        <v>0</v>
      </c>
      <c r="BP211" s="296"/>
      <c r="BQ211" s="296" t="s">
        <v>1</v>
      </c>
      <c r="BR211" s="294" t="s">
        <v>1</v>
      </c>
    </row>
    <row r="212" spans="1:70">
      <c r="A212" s="361">
        <v>45756</v>
      </c>
      <c r="B212" s="358">
        <v>0.29166666666666702</v>
      </c>
      <c r="C212" s="313">
        <f t="shared" si="7"/>
        <v>9</v>
      </c>
      <c r="D212" s="314" t="s">
        <v>134</v>
      </c>
      <c r="E212" s="286">
        <v>14.2</v>
      </c>
      <c r="F212" s="287">
        <v>70.02</v>
      </c>
      <c r="G212" s="288" cm="1">
        <f t="array" aca="1" ref="G212" ca="1">INDIRECT("'"&amp;$C212&amp;"'!"&amp;"$"&amp;$D212&amp;$E$1&amp;"")</f>
        <v>6.2</v>
      </c>
      <c r="H212" s="289">
        <v>0.97</v>
      </c>
      <c r="I212" s="287">
        <v>1.52</v>
      </c>
      <c r="J212" s="288" cm="1">
        <f t="array" aca="1" ref="J212" ca="1">INDIRECT("'"&amp;$C212&amp;"'!"&amp;"$"&amp;$D212&amp;$J$1&amp;"")</f>
        <v>0</v>
      </c>
      <c r="K212" s="289"/>
      <c r="L212" s="289" t="s">
        <v>1</v>
      </c>
      <c r="M212" s="287" t="s">
        <v>1</v>
      </c>
      <c r="N212" s="288" cm="1">
        <f t="array" aca="1" ref="N212" ca="1">INDIRECT("'"&amp;$C212&amp;"'!"&amp;"$"&amp;$D212&amp;$N$1&amp;"")</f>
        <v>6</v>
      </c>
      <c r="O212" s="289"/>
      <c r="P212" s="289">
        <v>0.97</v>
      </c>
      <c r="Q212" s="287">
        <v>1.5</v>
      </c>
      <c r="R212" s="288" cm="1">
        <f t="array" aca="1" ref="R212" ca="1">INDIRECT("'"&amp;$C212&amp;"'!"&amp;"$"&amp;$D212&amp;$R$1&amp;"")</f>
        <v>6.2</v>
      </c>
      <c r="S212" s="289"/>
      <c r="T212" s="289">
        <v>0.98</v>
      </c>
      <c r="U212" s="287">
        <v>1.55</v>
      </c>
      <c r="V212" s="288" t="str" cm="1">
        <f t="array" aca="1" ref="V212" ca="1">INDIRECT("'"&amp;$C212&amp;"'!"&amp;"$"&amp;$D212&amp;$V$1&amp;"")</f>
        <v>CMS</v>
      </c>
      <c r="W212" s="289" t="s">
        <v>1</v>
      </c>
      <c r="X212" s="289" t="s">
        <v>1</v>
      </c>
      <c r="Y212" s="290" t="s">
        <v>1</v>
      </c>
      <c r="Z212" s="286" cm="1">
        <f t="array" aca="1" ref="Z212" ca="1">INDIRECT("'"&amp;$C212&amp;"'!"&amp;"$"&amp;$D212&amp;$Z$1&amp;"")</f>
        <v>0</v>
      </c>
      <c r="AA212" s="289" t="s">
        <v>1</v>
      </c>
      <c r="AB212" s="289" t="s">
        <v>1</v>
      </c>
      <c r="AC212" s="287" t="s">
        <v>1</v>
      </c>
      <c r="AD212" s="288" cm="1">
        <f t="array" aca="1" ref="AD212" ca="1">INDIRECT("'"&amp;$C212&amp;"'!"&amp;"$"&amp;$D212&amp;$AD$1&amp;"")</f>
        <v>3</v>
      </c>
      <c r="AE212" s="289">
        <f>3.8*3.57</f>
        <v>13.565999999999999</v>
      </c>
      <c r="AF212" s="289">
        <v>0.96</v>
      </c>
      <c r="AG212" s="290">
        <v>0.3</v>
      </c>
      <c r="AH212" s="286" cm="1">
        <f t="array" aca="1" ref="AH212" ca="1">INDIRECT("'"&amp;$C212&amp;"'!"&amp;"$"&amp;$D212&amp;$AH$1&amp;"")</f>
        <v>0</v>
      </c>
      <c r="AI212" s="289" t="s">
        <v>1</v>
      </c>
      <c r="AJ212" s="289" t="s">
        <v>1</v>
      </c>
      <c r="AK212" s="287" t="s">
        <v>1</v>
      </c>
      <c r="AL212" s="286">
        <v>11.8</v>
      </c>
      <c r="AM212" s="290">
        <v>70.400000000000006</v>
      </c>
      <c r="AN212" s="286" t="str" cm="1">
        <f t="array" aca="1" ref="AN212" ca="1">INDIRECT("'"&amp;$C212&amp;"'!"&amp;"$"&amp;$D212&amp;$AL$1&amp;"")</f>
        <v>CMS</v>
      </c>
      <c r="AO212" s="289" t="s">
        <v>1</v>
      </c>
      <c r="AP212" s="287" t="s">
        <v>1</v>
      </c>
      <c r="AQ212" s="288" cm="1">
        <f t="array" aca="1" ref="AQ212" ca="1">INDIRECT("'"&amp;$C212&amp;"'!"&amp;"$"&amp;$D212&amp;$AQ$1&amp;"")</f>
        <v>3</v>
      </c>
      <c r="AR212" s="289">
        <v>0.95</v>
      </c>
      <c r="AS212" s="287">
        <v>0.82899999999999996</v>
      </c>
      <c r="AT212" s="289" cm="1">
        <f t="array" aca="1" ref="AT212" ca="1">INDIRECT("'"&amp;$C212&amp;"'!"&amp;"$"&amp;$D212&amp;$AT$1&amp;"")</f>
        <v>0</v>
      </c>
      <c r="AU212" s="288" t="s">
        <v>1</v>
      </c>
      <c r="AV212" s="289" t="s">
        <v>1</v>
      </c>
      <c r="AW212" s="287" t="s">
        <v>1</v>
      </c>
      <c r="AX212" s="291">
        <v>14.13</v>
      </c>
      <c r="AY212" s="290">
        <v>71.489999999999995</v>
      </c>
      <c r="AZ212" s="291" cm="1">
        <f t="array" aca="1" ref="AZ212" ca="1">INDIRECT("'"&amp;$C212&amp;"'!"&amp;"$"&amp;$D212&amp;$AZ$1&amp;"")</f>
        <v>13.78</v>
      </c>
      <c r="BA212" s="289">
        <v>0.99</v>
      </c>
      <c r="BB212" s="287">
        <v>2.4</v>
      </c>
      <c r="BC212" s="292">
        <v>69</v>
      </c>
      <c r="BD212" s="286" cm="1">
        <f t="array" aca="1" ref="BD212" ca="1">INDIRECT("'"&amp;$C212&amp;"'!"&amp;"$"&amp;$D212&amp;$BC$1&amp;"")</f>
        <v>0</v>
      </c>
      <c r="BE212" s="288" t="s">
        <v>1</v>
      </c>
      <c r="BF212" s="287" t="s">
        <v>1</v>
      </c>
      <c r="BG212" s="291" cm="1">
        <f t="array" aca="1" ref="BG212" ca="1">INDIRECT("'"&amp;$C212&amp;"'!"&amp;"$"&amp;$D212&amp;$BG$1&amp;"")</f>
        <v>0.97</v>
      </c>
      <c r="BH212" s="289"/>
      <c r="BI212" s="289">
        <v>0.99</v>
      </c>
      <c r="BJ212" s="287">
        <v>0.13</v>
      </c>
      <c r="BK212" s="292" cm="1">
        <f t="array" aca="1" ref="BK212" ca="1">INDIRECT("'"&amp;$C212&amp;"'!"&amp;"$"&amp;$D212&amp;$BK$1&amp;"")</f>
        <v>0.69</v>
      </c>
      <c r="BL212" s="289"/>
      <c r="BM212" s="289">
        <v>0.96</v>
      </c>
      <c r="BN212" s="287">
        <v>0.2</v>
      </c>
      <c r="BO212" s="292" cm="1">
        <f t="array" aca="1" ref="BO212" ca="1">INDIRECT("'"&amp;$C212&amp;"'!"&amp;"$"&amp;$D212&amp;74&amp;"")</f>
        <v>0</v>
      </c>
      <c r="BP212" s="289"/>
      <c r="BQ212" s="289" t="s">
        <v>1</v>
      </c>
      <c r="BR212" s="287" t="s">
        <v>1</v>
      </c>
    </row>
    <row r="213" spans="1:70">
      <c r="A213" s="361">
        <v>45756</v>
      </c>
      <c r="B213" s="358">
        <v>0.33333333333333398</v>
      </c>
      <c r="C213" s="313">
        <f t="shared" si="7"/>
        <v>9</v>
      </c>
      <c r="D213" s="314" t="s">
        <v>135</v>
      </c>
      <c r="E213" s="293">
        <v>14.2</v>
      </c>
      <c r="F213" s="294">
        <v>69.94</v>
      </c>
      <c r="G213" s="295" cm="1">
        <f t="array" aca="1" ref="G213" ca="1">INDIRECT("'"&amp;$C213&amp;"'!"&amp;"$"&amp;$D213&amp;$E$1&amp;"")</f>
        <v>6.7</v>
      </c>
      <c r="H213" s="296">
        <v>0.96</v>
      </c>
      <c r="I213" s="294">
        <v>1.92</v>
      </c>
      <c r="J213" s="295" cm="1">
        <f t="array" aca="1" ref="J213" ca="1">INDIRECT("'"&amp;$C213&amp;"'!"&amp;"$"&amp;$D213&amp;$J$1&amp;"")</f>
        <v>0</v>
      </c>
      <c r="K213" s="296"/>
      <c r="L213" s="296" t="s">
        <v>1</v>
      </c>
      <c r="M213" s="294" t="s">
        <v>1</v>
      </c>
      <c r="N213" s="295" cm="1">
        <f t="array" aca="1" ref="N213" ca="1">INDIRECT("'"&amp;$C213&amp;"'!"&amp;"$"&amp;$D213&amp;$N$1&amp;"")</f>
        <v>6.9</v>
      </c>
      <c r="O213" s="296"/>
      <c r="P213" s="296">
        <v>0.97</v>
      </c>
      <c r="Q213" s="294">
        <v>1.69</v>
      </c>
      <c r="R213" s="295" cm="1">
        <f t="array" aca="1" ref="R213" ca="1">INDIRECT("'"&amp;$C213&amp;"'!"&amp;"$"&amp;$D213&amp;$R$1&amp;"")</f>
        <v>6.8</v>
      </c>
      <c r="S213" s="296"/>
      <c r="T213" s="296">
        <v>0.94</v>
      </c>
      <c r="U213" s="294">
        <v>2.38</v>
      </c>
      <c r="V213" s="295" t="str" cm="1">
        <f t="array" aca="1" ref="V213" ca="1">INDIRECT("'"&amp;$C213&amp;"'!"&amp;"$"&amp;$D213&amp;$V$1&amp;"")</f>
        <v>CMS</v>
      </c>
      <c r="W213" s="296" t="s">
        <v>1</v>
      </c>
      <c r="X213" s="296" t="s">
        <v>1</v>
      </c>
      <c r="Y213" s="297" t="s">
        <v>1</v>
      </c>
      <c r="Z213" s="293" cm="1">
        <f t="array" aca="1" ref="Z213" ca="1">INDIRECT("'"&amp;$C213&amp;"'!"&amp;"$"&amp;$D213&amp;$Z$1&amp;"")</f>
        <v>0</v>
      </c>
      <c r="AA213" s="296" t="s">
        <v>1</v>
      </c>
      <c r="AB213" s="296" t="s">
        <v>1</v>
      </c>
      <c r="AC213" s="294" t="s">
        <v>1</v>
      </c>
      <c r="AD213" s="295" cm="1">
        <f t="array" aca="1" ref="AD213" ca="1">INDIRECT("'"&amp;$C213&amp;"'!"&amp;"$"&amp;$D213&amp;$AD$1&amp;"")</f>
        <v>3.8</v>
      </c>
      <c r="AE213" s="296">
        <f>3.8*3.54</f>
        <v>13.452</v>
      </c>
      <c r="AF213" s="296">
        <v>0.96</v>
      </c>
      <c r="AG213" s="297">
        <v>1.05</v>
      </c>
      <c r="AH213" s="293" cm="1">
        <f t="array" aca="1" ref="AH213" ca="1">INDIRECT("'"&amp;$C213&amp;"'!"&amp;"$"&amp;$D213&amp;$AH$1&amp;"")</f>
        <v>3</v>
      </c>
      <c r="AI213" s="296">
        <v>13.84</v>
      </c>
      <c r="AJ213" s="296">
        <v>0.99</v>
      </c>
      <c r="AK213" s="294">
        <v>0.245</v>
      </c>
      <c r="AL213" s="293" t="s">
        <v>1</v>
      </c>
      <c r="AM213" s="297">
        <v>69.599999999999994</v>
      </c>
      <c r="AN213" s="293" t="str" cm="1">
        <f t="array" aca="1" ref="AN213" ca="1">INDIRECT("'"&amp;$C213&amp;"'!"&amp;"$"&amp;$D213&amp;$AL$1&amp;"")</f>
        <v>CMS</v>
      </c>
      <c r="AO213" s="296" t="s">
        <v>1</v>
      </c>
      <c r="AP213" s="294" t="s">
        <v>1</v>
      </c>
      <c r="AQ213" s="295" t="str" cm="1">
        <f t="array" aca="1" ref="AQ213" ca="1">INDIRECT("'"&amp;$C213&amp;"'!"&amp;"$"&amp;$D213&amp;$AQ$1&amp;"")</f>
        <v>CMS</v>
      </c>
      <c r="AR213" s="296" t="s">
        <v>1</v>
      </c>
      <c r="AS213" s="294" t="s">
        <v>1</v>
      </c>
      <c r="AT213" s="296" cm="1">
        <f t="array" aca="1" ref="AT213" ca="1">INDIRECT("'"&amp;$C213&amp;"'!"&amp;"$"&amp;$D213&amp;$AT$1&amp;"")</f>
        <v>0</v>
      </c>
      <c r="AU213" s="295" t="s">
        <v>1</v>
      </c>
      <c r="AV213" s="296" t="s">
        <v>1</v>
      </c>
      <c r="AW213" s="294" t="s">
        <v>1</v>
      </c>
      <c r="AX213" s="298">
        <v>14.18</v>
      </c>
      <c r="AY213" s="297">
        <v>71.38</v>
      </c>
      <c r="AZ213" s="298" cm="1">
        <f t="array" aca="1" ref="AZ213" ca="1">INDIRECT("'"&amp;$C213&amp;"'!"&amp;"$"&amp;$D213&amp;$AZ$1&amp;"")</f>
        <v>14.27</v>
      </c>
      <c r="BA213" s="296">
        <v>0.98</v>
      </c>
      <c r="BB213" s="294">
        <v>3.5</v>
      </c>
      <c r="BC213" s="299">
        <v>68.400000000000006</v>
      </c>
      <c r="BD213" s="293" cm="1">
        <f t="array" aca="1" ref="BD213" ca="1">INDIRECT("'"&amp;$C213&amp;"'!"&amp;"$"&amp;$D213&amp;$BC$1&amp;"")</f>
        <v>0</v>
      </c>
      <c r="BE213" s="295" t="s">
        <v>1</v>
      </c>
      <c r="BF213" s="294" t="s">
        <v>1</v>
      </c>
      <c r="BG213" s="298" cm="1">
        <f t="array" aca="1" ref="BG213" ca="1">INDIRECT("'"&amp;$C213&amp;"'!"&amp;"$"&amp;$D213&amp;$BG$1&amp;"")</f>
        <v>1.01</v>
      </c>
      <c r="BH213" s="296"/>
      <c r="BI213" s="296">
        <v>0.99</v>
      </c>
      <c r="BJ213" s="294">
        <v>0.18</v>
      </c>
      <c r="BK213" s="299" cm="1">
        <f t="array" aca="1" ref="BK213" ca="1">INDIRECT("'"&amp;$C213&amp;"'!"&amp;"$"&amp;$D213&amp;$BK$1&amp;"")</f>
        <v>0.7</v>
      </c>
      <c r="BL213" s="296"/>
      <c r="BM213" s="296">
        <v>0.95</v>
      </c>
      <c r="BN213" s="294">
        <v>0.22</v>
      </c>
      <c r="BO213" s="299" cm="1">
        <f t="array" aca="1" ref="BO213" ca="1">INDIRECT("'"&amp;$C213&amp;"'!"&amp;"$"&amp;$D213&amp;74&amp;"")</f>
        <v>0</v>
      </c>
      <c r="BP213" s="296"/>
      <c r="BQ213" s="296" t="s">
        <v>1</v>
      </c>
      <c r="BR213" s="294" t="s">
        <v>1</v>
      </c>
    </row>
    <row r="214" spans="1:70">
      <c r="A214" s="361">
        <v>45756</v>
      </c>
      <c r="B214" s="358">
        <v>0.375</v>
      </c>
      <c r="C214" s="313">
        <f t="shared" si="7"/>
        <v>9</v>
      </c>
      <c r="D214" s="314" t="s">
        <v>136</v>
      </c>
      <c r="E214" s="286">
        <v>14.2</v>
      </c>
      <c r="F214" s="287">
        <v>69.680000000000007</v>
      </c>
      <c r="G214" s="288" cm="1">
        <f t="array" aca="1" ref="G214" ca="1">INDIRECT("'"&amp;$C214&amp;"'!"&amp;"$"&amp;$D214&amp;$E$1&amp;"")</f>
        <v>6.6</v>
      </c>
      <c r="H214" s="289">
        <v>0.95</v>
      </c>
      <c r="I214" s="287">
        <v>2.12</v>
      </c>
      <c r="J214" s="288" cm="1">
        <f t="array" aca="1" ref="J214" ca="1">INDIRECT("'"&amp;$C214&amp;"'!"&amp;"$"&amp;$D214&amp;$J$1&amp;"")</f>
        <v>0</v>
      </c>
      <c r="K214" s="289"/>
      <c r="L214" s="289" t="s">
        <v>1</v>
      </c>
      <c r="M214" s="287" t="s">
        <v>1</v>
      </c>
      <c r="N214" s="288" cm="1">
        <f t="array" aca="1" ref="N214" ca="1">INDIRECT("'"&amp;$C214&amp;"'!"&amp;"$"&amp;$D214&amp;$N$1&amp;"")</f>
        <v>6.7</v>
      </c>
      <c r="O214" s="289"/>
      <c r="P214" s="289">
        <v>0.95</v>
      </c>
      <c r="Q214" s="287">
        <v>2.19</v>
      </c>
      <c r="R214" s="288" cm="1">
        <f t="array" aca="1" ref="R214" ca="1">INDIRECT("'"&amp;$C214&amp;"'!"&amp;"$"&amp;$D214&amp;$R$1&amp;"")</f>
        <v>6.7</v>
      </c>
      <c r="S214" s="289"/>
      <c r="T214" s="289">
        <v>0.95</v>
      </c>
      <c r="U214" s="287">
        <v>2.1800000000000002</v>
      </c>
      <c r="V214" s="288" t="str" cm="1">
        <f t="array" aca="1" ref="V214" ca="1">INDIRECT("'"&amp;$C214&amp;"'!"&amp;"$"&amp;$D214&amp;$V$1&amp;"")</f>
        <v>CMS</v>
      </c>
      <c r="W214" s="289" t="s">
        <v>1</v>
      </c>
      <c r="X214" s="289" t="s">
        <v>1</v>
      </c>
      <c r="Y214" s="290" t="s">
        <v>1</v>
      </c>
      <c r="Z214" s="286" cm="1">
        <f t="array" aca="1" ref="Z214" ca="1">INDIRECT("'"&amp;$C214&amp;"'!"&amp;"$"&amp;$D214&amp;$Z$1&amp;"")</f>
        <v>0</v>
      </c>
      <c r="AA214" s="289" t="s">
        <v>1</v>
      </c>
      <c r="AB214" s="289" t="s">
        <v>1</v>
      </c>
      <c r="AC214" s="287" t="s">
        <v>1</v>
      </c>
      <c r="AD214" s="288" cm="1">
        <f t="array" aca="1" ref="AD214" ca="1">INDIRECT("'"&amp;$C214&amp;"'!"&amp;"$"&amp;$D214&amp;$AD$1&amp;"")</f>
        <v>3.8</v>
      </c>
      <c r="AE214" s="289">
        <f>3.8*3.52</f>
        <v>13.375999999999999</v>
      </c>
      <c r="AF214" s="289">
        <v>0.94</v>
      </c>
      <c r="AG214" s="290">
        <v>1.31</v>
      </c>
      <c r="AH214" s="286" cm="1">
        <f t="array" aca="1" ref="AH214" ca="1">INDIRECT("'"&amp;$C214&amp;"'!"&amp;"$"&amp;$D214&amp;$AH$1&amp;"")</f>
        <v>3.8</v>
      </c>
      <c r="AI214" s="289">
        <v>13.96</v>
      </c>
      <c r="AJ214" s="289">
        <v>0.98</v>
      </c>
      <c r="AK214" s="287">
        <v>0.755</v>
      </c>
      <c r="AL214" s="286" t="s">
        <v>1</v>
      </c>
      <c r="AM214" s="290">
        <v>70.7</v>
      </c>
      <c r="AN214" s="286" t="str" cm="1">
        <f t="array" aca="1" ref="AN214" ca="1">INDIRECT("'"&amp;$C214&amp;"'!"&amp;"$"&amp;$D214&amp;$AL$1&amp;"")</f>
        <v>CMS</v>
      </c>
      <c r="AO214" s="289" t="s">
        <v>1</v>
      </c>
      <c r="AP214" s="287" t="s">
        <v>1</v>
      </c>
      <c r="AQ214" s="288" t="str" cm="1">
        <f t="array" aca="1" ref="AQ214" ca="1">INDIRECT("'"&amp;$C214&amp;"'!"&amp;"$"&amp;$D214&amp;$AQ$1&amp;"")</f>
        <v>CMS</v>
      </c>
      <c r="AR214" s="289" t="s">
        <v>1</v>
      </c>
      <c r="AS214" s="287" t="s">
        <v>1</v>
      </c>
      <c r="AT214" s="289" cm="1">
        <f t="array" aca="1" ref="AT214" ca="1">INDIRECT("'"&amp;$C214&amp;"'!"&amp;"$"&amp;$D214&amp;$AT$1&amp;"")</f>
        <v>5</v>
      </c>
      <c r="AU214" s="288">
        <v>13.9</v>
      </c>
      <c r="AV214" s="289">
        <v>0.92</v>
      </c>
      <c r="AW214" s="287">
        <v>1.9</v>
      </c>
      <c r="AX214" s="291">
        <v>14.4</v>
      </c>
      <c r="AY214" s="290">
        <v>72.239999999999995</v>
      </c>
      <c r="AZ214" s="291" cm="1">
        <f t="array" aca="1" ref="AZ214" ca="1">INDIRECT("'"&amp;$C214&amp;"'!"&amp;"$"&amp;$D214&amp;$AZ$1&amp;"")</f>
        <v>14.31</v>
      </c>
      <c r="BA214" s="289">
        <v>0.96</v>
      </c>
      <c r="BB214" s="287">
        <v>4.5999999999999996</v>
      </c>
      <c r="BC214" s="292">
        <v>68.400000000000006</v>
      </c>
      <c r="BD214" s="286" cm="1">
        <f t="array" aca="1" ref="BD214" ca="1">INDIRECT("'"&amp;$C214&amp;"'!"&amp;"$"&amp;$D214&amp;$BC$1&amp;"")</f>
        <v>2.2000000000000002</v>
      </c>
      <c r="BE214" s="288">
        <v>0.95</v>
      </c>
      <c r="BF214" s="287">
        <v>0.72</v>
      </c>
      <c r="BG214" s="291" cm="1">
        <f t="array" aca="1" ref="BG214" ca="1">INDIRECT("'"&amp;$C214&amp;"'!"&amp;"$"&amp;$D214&amp;$BG$1&amp;"")</f>
        <v>1.21</v>
      </c>
      <c r="BH214" s="289"/>
      <c r="BI214" s="289">
        <v>0.99</v>
      </c>
      <c r="BJ214" s="287">
        <v>0.2</v>
      </c>
      <c r="BK214" s="292" cm="1">
        <f t="array" aca="1" ref="BK214" ca="1">INDIRECT("'"&amp;$C214&amp;"'!"&amp;"$"&amp;$D214&amp;$BK$1&amp;"")</f>
        <v>0.75</v>
      </c>
      <c r="BL214" s="289"/>
      <c r="BM214" s="289">
        <v>0.95</v>
      </c>
      <c r="BN214" s="287">
        <v>0.23</v>
      </c>
      <c r="BO214" s="292" cm="1">
        <f t="array" aca="1" ref="BO214" ca="1">INDIRECT("'"&amp;$C214&amp;"'!"&amp;"$"&amp;$D214&amp;74&amp;"")</f>
        <v>0</v>
      </c>
      <c r="BP214" s="289"/>
      <c r="BQ214" s="289" t="s">
        <v>1</v>
      </c>
      <c r="BR214" s="287" t="s">
        <v>1</v>
      </c>
    </row>
    <row r="215" spans="1:70">
      <c r="A215" s="361">
        <v>45756</v>
      </c>
      <c r="B215" s="358">
        <v>0.41666666666666702</v>
      </c>
      <c r="C215" s="313">
        <f t="shared" si="7"/>
        <v>9</v>
      </c>
      <c r="D215" s="314" t="s">
        <v>137</v>
      </c>
      <c r="E215" s="293">
        <v>14.1</v>
      </c>
      <c r="F215" s="294">
        <v>69.28</v>
      </c>
      <c r="G215" s="295" cm="1">
        <f t="array" aca="1" ref="G215" ca="1">INDIRECT("'"&amp;$C215&amp;"'!"&amp;"$"&amp;$D215&amp;$E$1&amp;"")</f>
        <v>6.7</v>
      </c>
      <c r="H215" s="296">
        <v>0.91</v>
      </c>
      <c r="I215" s="294">
        <v>3.05</v>
      </c>
      <c r="J215" s="295" cm="1">
        <f t="array" aca="1" ref="J215" ca="1">INDIRECT("'"&amp;$C215&amp;"'!"&amp;"$"&amp;$D215&amp;$J$1&amp;"")</f>
        <v>3</v>
      </c>
      <c r="K215" s="296"/>
      <c r="L215" s="296">
        <v>0.96</v>
      </c>
      <c r="M215" s="294">
        <v>0.98</v>
      </c>
      <c r="N215" s="295" cm="1">
        <f t="array" aca="1" ref="N215" ca="1">INDIRECT("'"&amp;$C215&amp;"'!"&amp;"$"&amp;$D215&amp;$N$1&amp;"")</f>
        <v>6.7</v>
      </c>
      <c r="O215" s="296"/>
      <c r="P215" s="296">
        <v>0.91</v>
      </c>
      <c r="Q215" s="294">
        <v>3.02</v>
      </c>
      <c r="R215" s="295" cm="1">
        <f t="array" aca="1" ref="R215" ca="1">INDIRECT("'"&amp;$C215&amp;"'!"&amp;"$"&amp;$D215&amp;$R$1&amp;"")</f>
        <v>6.7</v>
      </c>
      <c r="S215" s="296"/>
      <c r="T215" s="296">
        <v>0.91</v>
      </c>
      <c r="U215" s="294">
        <v>3.04</v>
      </c>
      <c r="V215" s="295" t="str" cm="1">
        <f t="array" aca="1" ref="V215" ca="1">INDIRECT("'"&amp;$C215&amp;"'!"&amp;"$"&amp;$D215&amp;$V$1&amp;"")</f>
        <v>CMS</v>
      </c>
      <c r="W215" s="296" t="s">
        <v>1</v>
      </c>
      <c r="X215" s="296" t="s">
        <v>1</v>
      </c>
      <c r="Y215" s="297" t="s">
        <v>1</v>
      </c>
      <c r="Z215" s="293" cm="1">
        <f t="array" aca="1" ref="Z215" ca="1">INDIRECT("'"&amp;$C215&amp;"'!"&amp;"$"&amp;$D215&amp;$Z$1&amp;"")</f>
        <v>0</v>
      </c>
      <c r="AA215" s="296" t="s">
        <v>1</v>
      </c>
      <c r="AB215" s="296" t="s">
        <v>1</v>
      </c>
      <c r="AC215" s="294" t="s">
        <v>1</v>
      </c>
      <c r="AD215" s="295" cm="1">
        <f t="array" aca="1" ref="AD215" ca="1">INDIRECT("'"&amp;$C215&amp;"'!"&amp;"$"&amp;$D215&amp;$AD$1&amp;"")</f>
        <v>3.8</v>
      </c>
      <c r="AE215" s="296">
        <f>3.8*3.47</f>
        <v>13.186</v>
      </c>
      <c r="AF215" s="296">
        <v>0.93</v>
      </c>
      <c r="AG215" s="297">
        <v>1.47</v>
      </c>
      <c r="AH215" s="293" cm="1">
        <f t="array" aca="1" ref="AH215" ca="1">INDIRECT("'"&amp;$C215&amp;"'!"&amp;"$"&amp;$D215&amp;$AH$1&amp;"")</f>
        <v>3.8</v>
      </c>
      <c r="AI215" s="296">
        <v>14</v>
      </c>
      <c r="AJ215" s="296">
        <v>0.98</v>
      </c>
      <c r="AK215" s="294">
        <v>0.63500000000000001</v>
      </c>
      <c r="AL215" s="293" t="s">
        <v>1</v>
      </c>
      <c r="AM215" s="297">
        <v>70.2</v>
      </c>
      <c r="AN215" s="293" t="str" cm="1">
        <f t="array" aca="1" ref="AN215" ca="1">INDIRECT("'"&amp;$C215&amp;"'!"&amp;"$"&amp;$D215&amp;$AL$1&amp;"")</f>
        <v>CMS</v>
      </c>
      <c r="AO215" s="296" t="s">
        <v>1</v>
      </c>
      <c r="AP215" s="294" t="s">
        <v>1</v>
      </c>
      <c r="AQ215" s="295" t="str" cm="1">
        <f t="array" aca="1" ref="AQ215" ca="1">INDIRECT("'"&amp;$C215&amp;"'!"&amp;"$"&amp;$D215&amp;$AQ$1&amp;"")</f>
        <v>CMS</v>
      </c>
      <c r="AR215" s="296" t="s">
        <v>1</v>
      </c>
      <c r="AS215" s="294" t="s">
        <v>1</v>
      </c>
      <c r="AT215" s="296" cm="1">
        <f t="array" aca="1" ref="AT215" ca="1">INDIRECT("'"&amp;$C215&amp;"'!"&amp;"$"&amp;$D215&amp;$AT$1&amp;"")</f>
        <v>5.9</v>
      </c>
      <c r="AU215" s="295">
        <v>13.9</v>
      </c>
      <c r="AV215" s="296">
        <v>0.95</v>
      </c>
      <c r="AW215" s="294">
        <v>1.9</v>
      </c>
      <c r="AX215" s="298">
        <v>14.4</v>
      </c>
      <c r="AY215" s="297">
        <v>72.02</v>
      </c>
      <c r="AZ215" s="298" cm="1">
        <f t="array" aca="1" ref="AZ215" ca="1">INDIRECT("'"&amp;$C215&amp;"'!"&amp;"$"&amp;$D215&amp;$AZ$1&amp;"")</f>
        <v>14.29</v>
      </c>
      <c r="BA215" s="296">
        <v>0.96</v>
      </c>
      <c r="BB215" s="294">
        <v>4.5999999999999996</v>
      </c>
      <c r="BC215" s="299">
        <v>67.8</v>
      </c>
      <c r="BD215" s="293" cm="1">
        <f t="array" aca="1" ref="BD215" ca="1">INDIRECT("'"&amp;$C215&amp;"'!"&amp;"$"&amp;$D215&amp;$BC$1&amp;"")</f>
        <v>2.8</v>
      </c>
      <c r="BE215" s="295">
        <v>0.96</v>
      </c>
      <c r="BF215" s="294">
        <v>0.81</v>
      </c>
      <c r="BG215" s="298" cm="1">
        <f t="array" aca="1" ref="BG215" ca="1">INDIRECT("'"&amp;$C215&amp;"'!"&amp;"$"&amp;$D215&amp;$BG$1&amp;"")</f>
        <v>1.29</v>
      </c>
      <c r="BH215" s="296"/>
      <c r="BI215" s="296">
        <v>0.99</v>
      </c>
      <c r="BJ215" s="294">
        <v>0.21</v>
      </c>
      <c r="BK215" s="299" cm="1">
        <f t="array" aca="1" ref="BK215" ca="1">INDIRECT("'"&amp;$C215&amp;"'!"&amp;"$"&amp;$D215&amp;$BK$1&amp;"")</f>
        <v>0.79</v>
      </c>
      <c r="BL215" s="296"/>
      <c r="BM215" s="296">
        <v>0.95</v>
      </c>
      <c r="BN215" s="294">
        <v>0.24</v>
      </c>
      <c r="BO215" s="299" cm="1">
        <f t="array" aca="1" ref="BO215" ca="1">INDIRECT("'"&amp;$C215&amp;"'!"&amp;"$"&amp;$D215&amp;74&amp;"")</f>
        <v>0</v>
      </c>
      <c r="BP215" s="296"/>
      <c r="BQ215" s="296" t="s">
        <v>1</v>
      </c>
      <c r="BR215" s="294" t="s">
        <v>1</v>
      </c>
    </row>
    <row r="216" spans="1:70">
      <c r="A216" s="361">
        <v>45756</v>
      </c>
      <c r="B216" s="358">
        <v>0.45833333333333398</v>
      </c>
      <c r="C216" s="313">
        <f t="shared" si="7"/>
        <v>9</v>
      </c>
      <c r="D216" s="314" t="s">
        <v>138</v>
      </c>
      <c r="E216" s="286">
        <v>14</v>
      </c>
      <c r="F216" s="287">
        <v>68.22</v>
      </c>
      <c r="G216" s="288" cm="1">
        <f t="array" aca="1" ref="G216" ca="1">INDIRECT("'"&amp;$C216&amp;"'!"&amp;"$"&amp;$D216&amp;$E$1&amp;"")</f>
        <v>6.8</v>
      </c>
      <c r="H216" s="289">
        <v>0.9</v>
      </c>
      <c r="I216" s="287">
        <v>3.25</v>
      </c>
      <c r="J216" s="288" cm="1">
        <f t="array" aca="1" ref="J216" ca="1">INDIRECT("'"&amp;$C216&amp;"'!"&amp;"$"&amp;$D216&amp;$J$1&amp;"")</f>
        <v>6.8</v>
      </c>
      <c r="K216" s="289"/>
      <c r="L216" s="289">
        <v>0.9</v>
      </c>
      <c r="M216" s="287">
        <v>3.25</v>
      </c>
      <c r="N216" s="288" cm="1">
        <f t="array" aca="1" ref="N216" ca="1">INDIRECT("'"&amp;$C216&amp;"'!"&amp;"$"&amp;$D216&amp;$N$1&amp;"")</f>
        <v>6.8</v>
      </c>
      <c r="O216" s="289"/>
      <c r="P216" s="289">
        <v>0.9</v>
      </c>
      <c r="Q216" s="287">
        <v>3.24</v>
      </c>
      <c r="R216" s="288" cm="1">
        <f t="array" aca="1" ref="R216" ca="1">INDIRECT("'"&amp;$C216&amp;"'!"&amp;"$"&amp;$D216&amp;$R$1&amp;"")</f>
        <v>6.7</v>
      </c>
      <c r="S216" s="289"/>
      <c r="T216" s="289">
        <v>0.93</v>
      </c>
      <c r="U216" s="287">
        <v>2.2200000000000002</v>
      </c>
      <c r="V216" s="288" t="str" cm="1">
        <f t="array" aca="1" ref="V216" ca="1">INDIRECT("'"&amp;$C216&amp;"'!"&amp;"$"&amp;$D216&amp;$V$1&amp;"")</f>
        <v>CMS</v>
      </c>
      <c r="W216" s="289" t="s">
        <v>1</v>
      </c>
      <c r="X216" s="289" t="s">
        <v>1</v>
      </c>
      <c r="Y216" s="290" t="s">
        <v>1</v>
      </c>
      <c r="Z216" s="286" cm="1">
        <f t="array" aca="1" ref="Z216" ca="1">INDIRECT("'"&amp;$C216&amp;"'!"&amp;"$"&amp;$D216&amp;$Z$1&amp;"")</f>
        <v>0</v>
      </c>
      <c r="AA216" s="289" t="s">
        <v>1</v>
      </c>
      <c r="AB216" s="289" t="s">
        <v>1</v>
      </c>
      <c r="AC216" s="287" t="s">
        <v>1</v>
      </c>
      <c r="AD216" s="288" cm="1">
        <f t="array" aca="1" ref="AD216" ca="1">INDIRECT("'"&amp;$C216&amp;"'!"&amp;"$"&amp;$D216&amp;$AD$1&amp;"")</f>
        <v>3.8</v>
      </c>
      <c r="AE216" s="289">
        <f>3.8*3.44</f>
        <v>13.071999999999999</v>
      </c>
      <c r="AF216" s="289">
        <v>0.91</v>
      </c>
      <c r="AG216" s="290">
        <v>1.73</v>
      </c>
      <c r="AH216" s="286" cm="1">
        <f t="array" aca="1" ref="AH216" ca="1">INDIRECT("'"&amp;$C216&amp;"'!"&amp;"$"&amp;$D216&amp;$AH$1&amp;"")</f>
        <v>3.8</v>
      </c>
      <c r="AI216" s="289">
        <v>13.92</v>
      </c>
      <c r="AJ216" s="289">
        <v>0.99</v>
      </c>
      <c r="AK216" s="287">
        <v>1.05</v>
      </c>
      <c r="AL216" s="286" t="s">
        <v>1</v>
      </c>
      <c r="AM216" s="290">
        <v>69.7</v>
      </c>
      <c r="AN216" s="286" t="str" cm="1">
        <f t="array" aca="1" ref="AN216" ca="1">INDIRECT("'"&amp;$C216&amp;"'!"&amp;"$"&amp;$D216&amp;$AL$1&amp;"")</f>
        <v>CMS</v>
      </c>
      <c r="AO216" s="289" t="s">
        <v>1</v>
      </c>
      <c r="AP216" s="287" t="s">
        <v>1</v>
      </c>
      <c r="AQ216" s="288" t="str" cm="1">
        <f t="array" aca="1" ref="AQ216" ca="1">INDIRECT("'"&amp;$C216&amp;"'!"&amp;"$"&amp;$D216&amp;$AQ$1&amp;"")</f>
        <v>CMS</v>
      </c>
      <c r="AR216" s="289" t="s">
        <v>1</v>
      </c>
      <c r="AS216" s="287" t="s">
        <v>1</v>
      </c>
      <c r="AT216" s="289" cm="1">
        <f t="array" aca="1" ref="AT216" ca="1">INDIRECT("'"&amp;$C216&amp;"'!"&amp;"$"&amp;$D216&amp;$AT$1&amp;"")</f>
        <v>5.2</v>
      </c>
      <c r="AU216" s="288">
        <v>13.7</v>
      </c>
      <c r="AV216" s="289">
        <v>0.95</v>
      </c>
      <c r="AW216" s="287">
        <v>2</v>
      </c>
      <c r="AX216" s="291">
        <v>14.25</v>
      </c>
      <c r="AY216" s="290">
        <v>71.31</v>
      </c>
      <c r="AZ216" s="291" cm="1">
        <f t="array" aca="1" ref="AZ216" ca="1">INDIRECT("'"&amp;$C216&amp;"'!"&amp;"$"&amp;$D216&amp;$AZ$1&amp;"")</f>
        <v>14.32</v>
      </c>
      <c r="BA216" s="289">
        <v>0.96</v>
      </c>
      <c r="BB216" s="287">
        <v>4.5999999999999996</v>
      </c>
      <c r="BC216" s="292">
        <v>67.099999999999994</v>
      </c>
      <c r="BD216" s="286" cm="1">
        <f t="array" aca="1" ref="BD216" ca="1">INDIRECT("'"&amp;$C216&amp;"'!"&amp;"$"&amp;$D216&amp;$BC$1&amp;"")</f>
        <v>0.7</v>
      </c>
      <c r="BE216" s="288">
        <v>0.95</v>
      </c>
      <c r="BF216" s="287">
        <v>0.23</v>
      </c>
      <c r="BG216" s="291" cm="1">
        <f t="array" aca="1" ref="BG216" ca="1">INDIRECT("'"&amp;$C216&amp;"'!"&amp;"$"&amp;$D216&amp;$BG$1&amp;"")</f>
        <v>1.33</v>
      </c>
      <c r="BH216" s="289"/>
      <c r="BI216" s="289">
        <v>0.99</v>
      </c>
      <c r="BJ216" s="287">
        <v>0.21</v>
      </c>
      <c r="BK216" s="292" cm="1">
        <f t="array" aca="1" ref="BK216" ca="1">INDIRECT("'"&amp;$C216&amp;"'!"&amp;"$"&amp;$D216&amp;$BK$1&amp;"")</f>
        <v>0.83</v>
      </c>
      <c r="BL216" s="289"/>
      <c r="BM216" s="289">
        <v>0.95</v>
      </c>
      <c r="BN216" s="287">
        <v>0.24</v>
      </c>
      <c r="BO216" s="292" cm="1">
        <f t="array" aca="1" ref="BO216" ca="1">INDIRECT("'"&amp;$C216&amp;"'!"&amp;"$"&amp;$D216&amp;74&amp;"")</f>
        <v>0</v>
      </c>
      <c r="BP216" s="289"/>
      <c r="BQ216" s="289" t="s">
        <v>1</v>
      </c>
      <c r="BR216" s="287" t="s">
        <v>1</v>
      </c>
    </row>
    <row r="217" spans="1:70">
      <c r="A217" s="361">
        <v>45756</v>
      </c>
      <c r="B217" s="358">
        <v>0.5</v>
      </c>
      <c r="C217" s="313">
        <f t="shared" si="7"/>
        <v>9</v>
      </c>
      <c r="D217" s="314" t="s">
        <v>139</v>
      </c>
      <c r="E217" s="293">
        <v>14.1</v>
      </c>
      <c r="F217" s="294">
        <v>69.87</v>
      </c>
      <c r="G217" s="295" cm="1">
        <f t="array" aca="1" ref="G217" ca="1">INDIRECT("'"&amp;$C217&amp;"'!"&amp;"$"&amp;$D217&amp;$E$1&amp;"")</f>
        <v>6.7</v>
      </c>
      <c r="H217" s="296">
        <v>0.91</v>
      </c>
      <c r="I217" s="294">
        <v>3.06</v>
      </c>
      <c r="J217" s="295" cm="1">
        <f t="array" aca="1" ref="J217" ca="1">INDIRECT("'"&amp;$C217&amp;"'!"&amp;"$"&amp;$D217&amp;$J$1&amp;"")</f>
        <v>6.7</v>
      </c>
      <c r="K217" s="296"/>
      <c r="L217" s="296">
        <v>0.91</v>
      </c>
      <c r="M217" s="294">
        <v>3.08</v>
      </c>
      <c r="N217" s="295" cm="1">
        <f t="array" aca="1" ref="N217" ca="1">INDIRECT("'"&amp;$C217&amp;"'!"&amp;"$"&amp;$D217&amp;$N$1&amp;"")</f>
        <v>6.7</v>
      </c>
      <c r="O217" s="296"/>
      <c r="P217" s="296">
        <v>0.91</v>
      </c>
      <c r="Q217" s="294">
        <v>3.05</v>
      </c>
      <c r="R217" s="295" cm="1">
        <f t="array" aca="1" ref="R217" ca="1">INDIRECT("'"&amp;$C217&amp;"'!"&amp;"$"&amp;$D217&amp;$R$1&amp;"")</f>
        <v>6.7</v>
      </c>
      <c r="S217" s="296"/>
      <c r="T217" s="296">
        <v>0.91</v>
      </c>
      <c r="U217" s="294">
        <v>3.05</v>
      </c>
      <c r="V217" s="295" t="str" cm="1">
        <f t="array" aca="1" ref="V217" ca="1">INDIRECT("'"&amp;$C217&amp;"'!"&amp;"$"&amp;$D217&amp;$V$1&amp;"")</f>
        <v>CMS</v>
      </c>
      <c r="W217" s="296" t="s">
        <v>1</v>
      </c>
      <c r="X217" s="296" t="s">
        <v>1</v>
      </c>
      <c r="Y217" s="297" t="s">
        <v>1</v>
      </c>
      <c r="Z217" s="293" cm="1">
        <f t="array" aca="1" ref="Z217" ca="1">INDIRECT("'"&amp;$C217&amp;"'!"&amp;"$"&amp;$D217&amp;$Z$1&amp;"")</f>
        <v>0</v>
      </c>
      <c r="AA217" s="296" t="s">
        <v>1</v>
      </c>
      <c r="AB217" s="296" t="s">
        <v>1</v>
      </c>
      <c r="AC217" s="294" t="s">
        <v>1</v>
      </c>
      <c r="AD217" s="295" cm="1">
        <f t="array" aca="1" ref="AD217" ca="1">INDIRECT("'"&amp;$C217&amp;"'!"&amp;"$"&amp;$D217&amp;$AD$1&amp;"")</f>
        <v>3.8</v>
      </c>
      <c r="AE217" s="296">
        <f>3.8*3.48</f>
        <v>13.224</v>
      </c>
      <c r="AF217" s="296">
        <v>0.91</v>
      </c>
      <c r="AG217" s="297">
        <v>1.71</v>
      </c>
      <c r="AH217" s="293" cm="1">
        <f t="array" aca="1" ref="AH217" ca="1">INDIRECT("'"&amp;$C217&amp;"'!"&amp;"$"&amp;$D217&amp;$AH$1&amp;"")</f>
        <v>3.8</v>
      </c>
      <c r="AI217" s="296">
        <v>13.96</v>
      </c>
      <c r="AJ217" s="296">
        <v>0.97</v>
      </c>
      <c r="AK217" s="294">
        <v>0.872</v>
      </c>
      <c r="AL217" s="293" t="s">
        <v>1</v>
      </c>
      <c r="AM217" s="297">
        <v>70</v>
      </c>
      <c r="AN217" s="293" t="str" cm="1">
        <f t="array" aca="1" ref="AN217" ca="1">INDIRECT("'"&amp;$C217&amp;"'!"&amp;"$"&amp;$D217&amp;$AL$1&amp;"")</f>
        <v>CMS</v>
      </c>
      <c r="AO217" s="296" t="s">
        <v>1</v>
      </c>
      <c r="AP217" s="294" t="s">
        <v>1</v>
      </c>
      <c r="AQ217" s="295" t="str" cm="1">
        <f t="array" aca="1" ref="AQ217" ca="1">INDIRECT("'"&amp;$C217&amp;"'!"&amp;"$"&amp;$D217&amp;$AQ$1&amp;"")</f>
        <v>CMS</v>
      </c>
      <c r="AR217" s="296" t="s">
        <v>1</v>
      </c>
      <c r="AS217" s="294" t="s">
        <v>1</v>
      </c>
      <c r="AT217" s="296" cm="1">
        <f t="array" aca="1" ref="AT217" ca="1">INDIRECT("'"&amp;$C217&amp;"'!"&amp;"$"&amp;$D217&amp;$AT$1&amp;"")</f>
        <v>5.0999999999999996</v>
      </c>
      <c r="AU217" s="295">
        <v>13.8</v>
      </c>
      <c r="AV217" s="296">
        <v>0.93</v>
      </c>
      <c r="AW217" s="294">
        <v>2</v>
      </c>
      <c r="AX217" s="298">
        <v>14.3</v>
      </c>
      <c r="AY217" s="297">
        <v>71.540000000000006</v>
      </c>
      <c r="AZ217" s="298" cm="1">
        <f t="array" aca="1" ref="AZ217" ca="1">INDIRECT("'"&amp;$C217&amp;"'!"&amp;"$"&amp;$D217&amp;$AZ$1&amp;"")</f>
        <v>14.21</v>
      </c>
      <c r="BA217" s="296">
        <v>0.96</v>
      </c>
      <c r="BB217" s="294">
        <v>4.5999999999999996</v>
      </c>
      <c r="BC217" s="299">
        <v>67.5</v>
      </c>
      <c r="BD217" s="293" cm="1">
        <f t="array" aca="1" ref="BD217" ca="1">INDIRECT("'"&amp;$C217&amp;"'!"&amp;"$"&amp;$D217&amp;$BC$1&amp;"")</f>
        <v>0.7</v>
      </c>
      <c r="BE217" s="295">
        <v>0.95</v>
      </c>
      <c r="BF217" s="294">
        <v>0.22</v>
      </c>
      <c r="BG217" s="298" cm="1">
        <f t="array" aca="1" ref="BG217" ca="1">INDIRECT("'"&amp;$C217&amp;"'!"&amp;"$"&amp;$D217&amp;$BG$1&amp;"")</f>
        <v>1.35</v>
      </c>
      <c r="BH217" s="296"/>
      <c r="BI217" s="296">
        <v>0.99</v>
      </c>
      <c r="BJ217" s="294">
        <v>0.22</v>
      </c>
      <c r="BK217" s="299" cm="1">
        <f t="array" aca="1" ref="BK217" ca="1">INDIRECT("'"&amp;$C217&amp;"'!"&amp;"$"&amp;$D217&amp;$BK$1&amp;"")</f>
        <v>0.83</v>
      </c>
      <c r="BL217" s="296"/>
      <c r="BM217" s="296">
        <v>0.96</v>
      </c>
      <c r="BN217" s="294">
        <v>0.25</v>
      </c>
      <c r="BO217" s="299" cm="1">
        <f t="array" aca="1" ref="BO217" ca="1">INDIRECT("'"&amp;$C217&amp;"'!"&amp;"$"&amp;$D217&amp;74&amp;"")</f>
        <v>0</v>
      </c>
      <c r="BP217" s="296"/>
      <c r="BQ217" s="296" t="s">
        <v>1</v>
      </c>
      <c r="BR217" s="294" t="s">
        <v>1</v>
      </c>
    </row>
    <row r="218" spans="1:70">
      <c r="A218" s="361">
        <v>45756</v>
      </c>
      <c r="B218" s="358">
        <v>0.54166666666666696</v>
      </c>
      <c r="C218" s="313">
        <f t="shared" si="7"/>
        <v>9</v>
      </c>
      <c r="D218" s="314" t="s">
        <v>140</v>
      </c>
      <c r="E218" s="286">
        <v>14</v>
      </c>
      <c r="F218" s="287">
        <v>68.760000000000005</v>
      </c>
      <c r="G218" s="288" cm="1">
        <f t="array" aca="1" ref="G218" ca="1">INDIRECT("'"&amp;$C218&amp;"'!"&amp;"$"&amp;$D218&amp;$E$1&amp;"")</f>
        <v>6.6</v>
      </c>
      <c r="H218" s="289">
        <v>0.91</v>
      </c>
      <c r="I218" s="287">
        <v>3.16</v>
      </c>
      <c r="J218" s="288" cm="1">
        <f t="array" aca="1" ref="J218" ca="1">INDIRECT("'"&amp;$C218&amp;"'!"&amp;"$"&amp;$D218&amp;$J$1&amp;"")</f>
        <v>6.6</v>
      </c>
      <c r="K218" s="289"/>
      <c r="L218" s="289">
        <v>0.91</v>
      </c>
      <c r="M218" s="287">
        <v>3.15</v>
      </c>
      <c r="N218" s="288" cm="1">
        <f t="array" aca="1" ref="N218" ca="1">INDIRECT("'"&amp;$C218&amp;"'!"&amp;"$"&amp;$D218&amp;$N$1&amp;"")</f>
        <v>6.6</v>
      </c>
      <c r="O218" s="289"/>
      <c r="P218" s="289">
        <v>0.91</v>
      </c>
      <c r="Q218" s="287">
        <v>3.12</v>
      </c>
      <c r="R218" s="288" cm="1">
        <f t="array" aca="1" ref="R218" ca="1">INDIRECT("'"&amp;$C218&amp;"'!"&amp;"$"&amp;$D218&amp;$R$1&amp;"")</f>
        <v>6.6</v>
      </c>
      <c r="S218" s="289"/>
      <c r="T218" s="289">
        <v>0.91</v>
      </c>
      <c r="U218" s="287">
        <v>3.15</v>
      </c>
      <c r="V218" s="288" cm="1">
        <f t="array" aca="1" ref="V218" ca="1">INDIRECT("'"&amp;$C218&amp;"'!"&amp;"$"&amp;$D218&amp;$V$1&amp;"")</f>
        <v>1.5</v>
      </c>
      <c r="W218" s="289">
        <f>3.8*3.42</f>
        <v>12.995999999999999</v>
      </c>
      <c r="X218" s="289">
        <v>0.95</v>
      </c>
      <c r="Y218" s="290">
        <v>0.45</v>
      </c>
      <c r="Z218" s="286" cm="1">
        <f t="array" aca="1" ref="Z218" ca="1">INDIRECT("'"&amp;$C218&amp;"'!"&amp;"$"&amp;$D218&amp;$Z$1&amp;"")</f>
        <v>0</v>
      </c>
      <c r="AA218" s="289" t="s">
        <v>1</v>
      </c>
      <c r="AB218" s="289" t="s">
        <v>1</v>
      </c>
      <c r="AC218" s="287" t="s">
        <v>1</v>
      </c>
      <c r="AD218" s="288" cm="1">
        <f t="array" aca="1" ref="AD218" ca="1">INDIRECT("'"&amp;$C218&amp;"'!"&amp;"$"&amp;$D218&amp;$AD$1&amp;"")</f>
        <v>2.4</v>
      </c>
      <c r="AE218" s="289">
        <f>3.8*3.42</f>
        <v>12.995999999999999</v>
      </c>
      <c r="AF218" s="289">
        <v>0.91</v>
      </c>
      <c r="AG218" s="290">
        <v>0.98</v>
      </c>
      <c r="AH218" s="286" cm="1">
        <f t="array" aca="1" ref="AH218" ca="1">INDIRECT("'"&amp;$C218&amp;"'!"&amp;"$"&amp;$D218&amp;$AH$1&amp;"")</f>
        <v>3.8</v>
      </c>
      <c r="AI218" s="289">
        <v>14</v>
      </c>
      <c r="AJ218" s="289">
        <v>0.98</v>
      </c>
      <c r="AK218" s="287">
        <v>0.68300000000000005</v>
      </c>
      <c r="AL218" s="286">
        <v>11.8</v>
      </c>
      <c r="AM218" s="290">
        <v>69.900000000000006</v>
      </c>
      <c r="AN218" s="286" t="str" cm="1">
        <f t="array" aca="1" ref="AN218" ca="1">INDIRECT("'"&amp;$C218&amp;"'!"&amp;"$"&amp;$D218&amp;$AL$1&amp;"")</f>
        <v>CMS</v>
      </c>
      <c r="AO218" s="289" t="s">
        <v>1</v>
      </c>
      <c r="AP218" s="287" t="s">
        <v>1</v>
      </c>
      <c r="AQ218" s="288" cm="1">
        <f t="array" aca="1" ref="AQ218" ca="1">INDIRECT("'"&amp;$C218&amp;"'!"&amp;"$"&amp;$D218&amp;$AQ$1&amp;"")</f>
        <v>3.2</v>
      </c>
      <c r="AR218" s="289">
        <v>0.95</v>
      </c>
      <c r="AS218" s="287">
        <v>1.25</v>
      </c>
      <c r="AT218" s="289" cm="1">
        <f t="array" aca="1" ref="AT218" ca="1">INDIRECT("'"&amp;$C218&amp;"'!"&amp;"$"&amp;$D218&amp;$AT$1&amp;"")</f>
        <v>3.5</v>
      </c>
      <c r="AU218" s="288">
        <v>13.7</v>
      </c>
      <c r="AV218" s="289">
        <v>0.93</v>
      </c>
      <c r="AW218" s="287">
        <v>1.3</v>
      </c>
      <c r="AX218" s="291">
        <v>14.34</v>
      </c>
      <c r="AY218" s="290">
        <v>71.84</v>
      </c>
      <c r="AZ218" s="291" cm="1">
        <f t="array" aca="1" ref="AZ218" ca="1">INDIRECT("'"&amp;$C218&amp;"'!"&amp;"$"&amp;$D218&amp;$AZ$1&amp;"")</f>
        <v>14.31</v>
      </c>
      <c r="BA218" s="289">
        <v>0.96</v>
      </c>
      <c r="BB218" s="287">
        <v>4.5999999999999996</v>
      </c>
      <c r="BC218" s="292">
        <v>67</v>
      </c>
      <c r="BD218" s="286" cm="1">
        <f t="array" aca="1" ref="BD218" ca="1">INDIRECT("'"&amp;$C218&amp;"'!"&amp;"$"&amp;$D218&amp;$BC$1&amp;"")</f>
        <v>0</v>
      </c>
      <c r="BE218" s="288" t="s">
        <v>1</v>
      </c>
      <c r="BF218" s="287" t="s">
        <v>1</v>
      </c>
      <c r="BG218" s="291" cm="1">
        <f t="array" aca="1" ref="BG218" ca="1">INDIRECT("'"&amp;$C218&amp;"'!"&amp;"$"&amp;$D218&amp;$BG$1&amp;"")</f>
        <v>1.34</v>
      </c>
      <c r="BH218" s="289"/>
      <c r="BI218" s="289">
        <v>0.99</v>
      </c>
      <c r="BJ218" s="287">
        <v>0.23</v>
      </c>
      <c r="BK218" s="292" cm="1">
        <f t="array" aca="1" ref="BK218" ca="1">INDIRECT("'"&amp;$C218&amp;"'!"&amp;"$"&amp;$D218&amp;$BK$1&amp;"")</f>
        <v>0.84</v>
      </c>
      <c r="BL218" s="289"/>
      <c r="BM218" s="289">
        <v>0.96</v>
      </c>
      <c r="BN218" s="287">
        <v>0.25</v>
      </c>
      <c r="BO218" s="292" cm="1">
        <f t="array" aca="1" ref="BO218" ca="1">INDIRECT("'"&amp;$C218&amp;"'!"&amp;"$"&amp;$D218&amp;74&amp;"")</f>
        <v>0</v>
      </c>
      <c r="BP218" s="289"/>
      <c r="BQ218" s="289" t="s">
        <v>1</v>
      </c>
      <c r="BR218" s="287" t="s">
        <v>1</v>
      </c>
    </row>
    <row r="219" spans="1:70">
      <c r="A219" s="361">
        <v>45756</v>
      </c>
      <c r="B219" s="358">
        <v>0.58333333333333404</v>
      </c>
      <c r="C219" s="313">
        <f t="shared" si="7"/>
        <v>9</v>
      </c>
      <c r="D219" s="314" t="s">
        <v>141</v>
      </c>
      <c r="E219" s="293">
        <v>14</v>
      </c>
      <c r="F219" s="294">
        <v>68.680000000000007</v>
      </c>
      <c r="G219" s="295" cm="1">
        <f t="array" aca="1" ref="G219" ca="1">INDIRECT("'"&amp;$C219&amp;"'!"&amp;"$"&amp;$D219&amp;$E$1&amp;"")</f>
        <v>6.8</v>
      </c>
      <c r="H219" s="296">
        <v>0.9</v>
      </c>
      <c r="I219" s="294">
        <v>3.39</v>
      </c>
      <c r="J219" s="295" cm="1">
        <f t="array" aca="1" ref="J219" ca="1">INDIRECT("'"&amp;$C219&amp;"'!"&amp;"$"&amp;$D219&amp;$J$1&amp;"")</f>
        <v>6.8</v>
      </c>
      <c r="K219" s="296"/>
      <c r="L219" s="296">
        <v>0.9</v>
      </c>
      <c r="M219" s="294">
        <v>0.37</v>
      </c>
      <c r="N219" s="295" cm="1">
        <f t="array" aca="1" ref="N219" ca="1">INDIRECT("'"&amp;$C219&amp;"'!"&amp;"$"&amp;$D219&amp;$N$1&amp;"")</f>
        <v>6.8</v>
      </c>
      <c r="O219" s="296"/>
      <c r="P219" s="296">
        <v>0.9</v>
      </c>
      <c r="Q219" s="294">
        <v>0.39</v>
      </c>
      <c r="R219" s="295" cm="1">
        <f t="array" aca="1" ref="R219" ca="1">INDIRECT("'"&amp;$C219&amp;"'!"&amp;"$"&amp;$D219&amp;$R$1&amp;"")</f>
        <v>6.8</v>
      </c>
      <c r="S219" s="296"/>
      <c r="T219" s="296">
        <v>0.9</v>
      </c>
      <c r="U219" s="294">
        <v>3.35</v>
      </c>
      <c r="V219" s="295" cm="1">
        <f t="array" aca="1" ref="V219" ca="1">INDIRECT("'"&amp;$C219&amp;"'!"&amp;"$"&amp;$D219&amp;$V$1&amp;"")</f>
        <v>0</v>
      </c>
      <c r="W219" s="296" t="s">
        <v>1</v>
      </c>
      <c r="X219" s="296" t="s">
        <v>1</v>
      </c>
      <c r="Y219" s="297" t="s">
        <v>1</v>
      </c>
      <c r="Z219" s="293" cm="1">
        <f t="array" aca="1" ref="Z219" ca="1">INDIRECT("'"&amp;$C219&amp;"'!"&amp;"$"&amp;$D219&amp;$Z$1&amp;"")</f>
        <v>0</v>
      </c>
      <c r="AA219" s="296" t="s">
        <v>1</v>
      </c>
      <c r="AB219" s="296" t="s">
        <v>1</v>
      </c>
      <c r="AC219" s="294" t="s">
        <v>1</v>
      </c>
      <c r="AD219" s="295" cm="1">
        <f t="array" aca="1" ref="AD219" ca="1">INDIRECT("'"&amp;$C219&amp;"'!"&amp;"$"&amp;$D219&amp;$AD$1&amp;"")</f>
        <v>3.8</v>
      </c>
      <c r="AE219" s="296">
        <f>3.8*3.45</f>
        <v>13.11</v>
      </c>
      <c r="AF219" s="296">
        <v>0.89</v>
      </c>
      <c r="AG219" s="297">
        <v>1.92</v>
      </c>
      <c r="AH219" s="293" cm="1">
        <f t="array" aca="1" ref="AH219" ca="1">INDIRECT("'"&amp;$C219&amp;"'!"&amp;"$"&amp;$D219&amp;$AH$1&amp;"")</f>
        <v>3.8</v>
      </c>
      <c r="AI219" s="296">
        <v>13.96</v>
      </c>
      <c r="AJ219" s="296">
        <v>0.98</v>
      </c>
      <c r="AK219" s="294">
        <v>0.85</v>
      </c>
      <c r="AL219" s="293">
        <v>11.8</v>
      </c>
      <c r="AM219" s="297">
        <v>70.099999999999994</v>
      </c>
      <c r="AN219" s="293" t="str" cm="1">
        <f t="array" aca="1" ref="AN219" ca="1">INDIRECT("'"&amp;$C219&amp;"'!"&amp;"$"&amp;$D219&amp;$AL$1&amp;"")</f>
        <v>CMS</v>
      </c>
      <c r="AO219" s="296" t="s">
        <v>1</v>
      </c>
      <c r="AP219" s="294" t="s">
        <v>1</v>
      </c>
      <c r="AQ219" s="295" cm="1">
        <f t="array" aca="1" ref="AQ219" ca="1">INDIRECT("'"&amp;$C219&amp;"'!"&amp;"$"&amp;$D219&amp;$AQ$1&amp;"")</f>
        <v>4.2</v>
      </c>
      <c r="AR219" s="296">
        <v>0.95</v>
      </c>
      <c r="AS219" s="294">
        <v>1.3</v>
      </c>
      <c r="AT219" s="296" cm="1">
        <f t="array" aca="1" ref="AT219" ca="1">INDIRECT("'"&amp;$C219&amp;"'!"&amp;"$"&amp;$D219&amp;$AT$1&amp;"")</f>
        <v>4.5999999999999996</v>
      </c>
      <c r="AU219" s="295">
        <v>13.8</v>
      </c>
      <c r="AV219" s="296">
        <v>0.93</v>
      </c>
      <c r="AW219" s="294">
        <v>1.8</v>
      </c>
      <c r="AX219" s="298">
        <v>14.33</v>
      </c>
      <c r="AY219" s="297">
        <v>71.849999999999994</v>
      </c>
      <c r="AZ219" s="298" cm="1">
        <f t="array" aca="1" ref="AZ219" ca="1">INDIRECT("'"&amp;$C219&amp;"'!"&amp;"$"&amp;$D219&amp;$AZ$1&amp;"")</f>
        <v>14.33</v>
      </c>
      <c r="BA219" s="296">
        <v>0.96</v>
      </c>
      <c r="BB219" s="294">
        <v>4.5</v>
      </c>
      <c r="BC219" s="299">
        <v>66.900000000000006</v>
      </c>
      <c r="BD219" s="293" cm="1">
        <f t="array" aca="1" ref="BD219" ca="1">INDIRECT("'"&amp;$C219&amp;"'!"&amp;"$"&amp;$D219&amp;$BC$1&amp;"")</f>
        <v>0</v>
      </c>
      <c r="BE219" s="295" t="s">
        <v>1</v>
      </c>
      <c r="BF219" s="294" t="s">
        <v>1</v>
      </c>
      <c r="BG219" s="298" cm="1">
        <f t="array" aca="1" ref="BG219" ca="1">INDIRECT("'"&amp;$C219&amp;"'!"&amp;"$"&amp;$D219&amp;$BG$1&amp;"")</f>
        <v>1.17</v>
      </c>
      <c r="BH219" s="296"/>
      <c r="BI219" s="296">
        <v>0.99</v>
      </c>
      <c r="BJ219" s="294">
        <v>0.21</v>
      </c>
      <c r="BK219" s="299" cm="1">
        <f t="array" aca="1" ref="BK219" ca="1">INDIRECT("'"&amp;$C219&amp;"'!"&amp;"$"&amp;$D219&amp;$BK$1&amp;"")</f>
        <v>0.83</v>
      </c>
      <c r="BL219" s="296"/>
      <c r="BM219" s="296">
        <v>0.96</v>
      </c>
      <c r="BN219" s="294">
        <v>0.25</v>
      </c>
      <c r="BO219" s="299" cm="1">
        <f t="array" aca="1" ref="BO219" ca="1">INDIRECT("'"&amp;$C219&amp;"'!"&amp;"$"&amp;$D219&amp;74&amp;"")</f>
        <v>0</v>
      </c>
      <c r="BP219" s="296"/>
      <c r="BQ219" s="296" t="s">
        <v>1</v>
      </c>
      <c r="BR219" s="294" t="s">
        <v>1</v>
      </c>
    </row>
    <row r="220" spans="1:70">
      <c r="A220" s="361">
        <v>45756</v>
      </c>
      <c r="B220" s="358">
        <v>0.625</v>
      </c>
      <c r="C220" s="313">
        <f t="shared" si="7"/>
        <v>9</v>
      </c>
      <c r="D220" s="314" t="s">
        <v>142</v>
      </c>
      <c r="E220" s="286">
        <v>14.2</v>
      </c>
      <c r="F220" s="287">
        <v>68.77</v>
      </c>
      <c r="G220" s="288" cm="1">
        <f t="array" aca="1" ref="G220" ca="1">INDIRECT("'"&amp;$C220&amp;"'!"&amp;"$"&amp;$D220&amp;$E$1&amp;"")</f>
        <v>6.6</v>
      </c>
      <c r="H220" s="289">
        <v>0.9</v>
      </c>
      <c r="I220" s="287">
        <v>3.15</v>
      </c>
      <c r="J220" s="288" cm="1">
        <f t="array" aca="1" ref="J220" ca="1">INDIRECT("'"&amp;$C220&amp;"'!"&amp;"$"&amp;$D220&amp;$J$1&amp;"")</f>
        <v>6.6</v>
      </c>
      <c r="K220" s="289"/>
      <c r="L220" s="289">
        <v>0.9</v>
      </c>
      <c r="M220" s="287">
        <v>3.16</v>
      </c>
      <c r="N220" s="288" cm="1">
        <f t="array" aca="1" ref="N220" ca="1">INDIRECT("'"&amp;$C220&amp;"'!"&amp;"$"&amp;$D220&amp;$N$1&amp;"")</f>
        <v>6.6</v>
      </c>
      <c r="O220" s="289"/>
      <c r="P220" s="289">
        <v>0.9</v>
      </c>
      <c r="Q220" s="287">
        <v>3.12</v>
      </c>
      <c r="R220" s="288" cm="1">
        <f t="array" aca="1" ref="R220" ca="1">INDIRECT("'"&amp;$C220&amp;"'!"&amp;"$"&amp;$D220&amp;$R$1&amp;"")</f>
        <v>6.6</v>
      </c>
      <c r="S220" s="289"/>
      <c r="T220" s="289">
        <v>0.9</v>
      </c>
      <c r="U220" s="287">
        <v>3.5</v>
      </c>
      <c r="V220" s="288" cm="1">
        <f t="array" aca="1" ref="V220" ca="1">INDIRECT("'"&amp;$C220&amp;"'!"&amp;"$"&amp;$D220&amp;$V$1&amp;"")</f>
        <v>0</v>
      </c>
      <c r="W220" s="289" t="s">
        <v>1</v>
      </c>
      <c r="X220" s="289" t="s">
        <v>1</v>
      </c>
      <c r="Y220" s="290" t="s">
        <v>1</v>
      </c>
      <c r="Z220" s="286" cm="1">
        <f t="array" aca="1" ref="Z220" ca="1">INDIRECT("'"&amp;$C220&amp;"'!"&amp;"$"&amp;$D220&amp;$Z$1&amp;"")</f>
        <v>0</v>
      </c>
      <c r="AA220" s="289" t="s">
        <v>1</v>
      </c>
      <c r="AB220" s="289" t="s">
        <v>1</v>
      </c>
      <c r="AC220" s="287" t="s">
        <v>1</v>
      </c>
      <c r="AD220" s="288" cm="1">
        <f t="array" aca="1" ref="AD220" ca="1">INDIRECT("'"&amp;$C220&amp;"'!"&amp;"$"&amp;$D220&amp;$AD$1&amp;"")</f>
        <v>3.8</v>
      </c>
      <c r="AE220" s="289">
        <f>3.8*3.44</f>
        <v>13.071999999999999</v>
      </c>
      <c r="AF220" s="289">
        <v>0.9</v>
      </c>
      <c r="AG220" s="290">
        <v>1.78</v>
      </c>
      <c r="AH220" s="286" cm="1">
        <f t="array" aca="1" ref="AH220" ca="1">INDIRECT("'"&amp;$C220&amp;"'!"&amp;"$"&amp;$D220&amp;$AH$1&amp;"")</f>
        <v>3.8</v>
      </c>
      <c r="AI220" s="289">
        <v>14</v>
      </c>
      <c r="AJ220" s="289">
        <v>0.98</v>
      </c>
      <c r="AK220" s="287">
        <v>0.53900000000000003</v>
      </c>
      <c r="AL220" s="286">
        <v>11.9</v>
      </c>
      <c r="AM220" s="290">
        <v>70.599999999999994</v>
      </c>
      <c r="AN220" s="286" t="str" cm="1">
        <f t="array" aca="1" ref="AN220" ca="1">INDIRECT("'"&amp;$C220&amp;"'!"&amp;"$"&amp;$D220&amp;$AL$1&amp;"")</f>
        <v>CMS</v>
      </c>
      <c r="AO220" s="289" t="s">
        <v>1</v>
      </c>
      <c r="AP220" s="287" t="s">
        <v>1</v>
      </c>
      <c r="AQ220" s="288" cm="1">
        <f t="array" aca="1" ref="AQ220" ca="1">INDIRECT("'"&amp;$C220&amp;"'!"&amp;"$"&amp;$D220&amp;$AQ$1&amp;"")</f>
        <v>4</v>
      </c>
      <c r="AR220" s="289">
        <v>0.94</v>
      </c>
      <c r="AS220" s="287">
        <v>1.25</v>
      </c>
      <c r="AT220" s="289" cm="1">
        <f t="array" aca="1" ref="AT220" ca="1">INDIRECT("'"&amp;$C220&amp;"'!"&amp;"$"&amp;$D220&amp;$AT$1&amp;"")</f>
        <v>6</v>
      </c>
      <c r="AU220" s="288">
        <v>13.92</v>
      </c>
      <c r="AV220" s="289">
        <v>0.92</v>
      </c>
      <c r="AW220" s="287">
        <v>2.4</v>
      </c>
      <c r="AX220" s="291">
        <v>14.38</v>
      </c>
      <c r="AY220" s="290">
        <v>72.05</v>
      </c>
      <c r="AZ220" s="291" cm="1">
        <f t="array" aca="1" ref="AZ220" ca="1">INDIRECT("'"&amp;$C220&amp;"'!"&amp;"$"&amp;$D220&amp;$AZ$1&amp;"")</f>
        <v>14.29</v>
      </c>
      <c r="BA220" s="289">
        <v>0.96</v>
      </c>
      <c r="BB220" s="287">
        <v>4.5999999999999996</v>
      </c>
      <c r="BC220" s="292">
        <v>67</v>
      </c>
      <c r="BD220" s="286" cm="1">
        <f t="array" aca="1" ref="BD220" ca="1">INDIRECT("'"&amp;$C220&amp;"'!"&amp;"$"&amp;$D220&amp;$BC$1&amp;"")</f>
        <v>0</v>
      </c>
      <c r="BE220" s="288" t="s">
        <v>1</v>
      </c>
      <c r="BF220" s="287" t="s">
        <v>1</v>
      </c>
      <c r="BG220" s="291" cm="1">
        <f t="array" aca="1" ref="BG220" ca="1">INDIRECT("'"&amp;$C220&amp;"'!"&amp;"$"&amp;$D220&amp;$BG$1&amp;"")</f>
        <v>1.32</v>
      </c>
      <c r="BH220" s="289"/>
      <c r="BI220" s="289">
        <v>0.99</v>
      </c>
      <c r="BJ220" s="287">
        <v>0.21</v>
      </c>
      <c r="BK220" s="292" cm="1">
        <f t="array" aca="1" ref="BK220" ca="1">INDIRECT("'"&amp;$C220&amp;"'!"&amp;"$"&amp;$D220&amp;$BK$1&amp;"")</f>
        <v>0.83</v>
      </c>
      <c r="BL220" s="289"/>
      <c r="BM220" s="289">
        <v>0.96</v>
      </c>
      <c r="BN220" s="287">
        <v>0.25</v>
      </c>
      <c r="BO220" s="292" cm="1">
        <f t="array" aca="1" ref="BO220" ca="1">INDIRECT("'"&amp;$C220&amp;"'!"&amp;"$"&amp;$D220&amp;74&amp;"")</f>
        <v>0</v>
      </c>
      <c r="BP220" s="289"/>
      <c r="BQ220" s="289" t="s">
        <v>1</v>
      </c>
      <c r="BR220" s="287" t="s">
        <v>1</v>
      </c>
    </row>
    <row r="221" spans="1:70">
      <c r="A221" s="361">
        <v>45756</v>
      </c>
      <c r="B221" s="358">
        <v>0.66666666666666696</v>
      </c>
      <c r="C221" s="313">
        <f t="shared" si="7"/>
        <v>9</v>
      </c>
      <c r="D221" s="314" t="s">
        <v>143</v>
      </c>
      <c r="E221" s="293">
        <v>14.2</v>
      </c>
      <c r="F221" s="294">
        <v>69.75</v>
      </c>
      <c r="G221" s="295" t="str" cm="1">
        <f t="array" aca="1" ref="G221" ca="1">INDIRECT("'"&amp;$C221&amp;"'!"&amp;"$"&amp;$D221&amp;$E$1&amp;"")</f>
        <v>CMS</v>
      </c>
      <c r="H221" s="296" t="s">
        <v>1</v>
      </c>
      <c r="I221" s="294" t="s">
        <v>1</v>
      </c>
      <c r="J221" s="295" cm="1">
        <f t="array" aca="1" ref="J221" ca="1">INDIRECT("'"&amp;$C221&amp;"'!"&amp;"$"&amp;$D221&amp;$J$1&amp;"")</f>
        <v>6.2</v>
      </c>
      <c r="K221" s="296"/>
      <c r="L221" s="296">
        <v>0.92</v>
      </c>
      <c r="M221" s="294">
        <v>2.66</v>
      </c>
      <c r="N221" s="295" cm="1">
        <f t="array" aca="1" ref="N221" ca="1">INDIRECT("'"&amp;$C221&amp;"'!"&amp;"$"&amp;$D221&amp;$N$1&amp;"")</f>
        <v>6.2</v>
      </c>
      <c r="O221" s="296"/>
      <c r="P221" s="296">
        <v>0.92</v>
      </c>
      <c r="Q221" s="294">
        <v>2.69</v>
      </c>
      <c r="R221" s="295" cm="1">
        <f t="array" aca="1" ref="R221" ca="1">INDIRECT("'"&amp;$C221&amp;"'!"&amp;"$"&amp;$D221&amp;$R$1&amp;"")</f>
        <v>6.2</v>
      </c>
      <c r="S221" s="296"/>
      <c r="T221" s="296">
        <v>0.92</v>
      </c>
      <c r="U221" s="294">
        <v>2.67</v>
      </c>
      <c r="V221" s="295" cm="1">
        <f t="array" aca="1" ref="V221" ca="1">INDIRECT("'"&amp;$C221&amp;"'!"&amp;"$"&amp;$D221&amp;$V$1&amp;"")</f>
        <v>0</v>
      </c>
      <c r="W221" s="296" t="s">
        <v>1</v>
      </c>
      <c r="X221" s="296" t="s">
        <v>1</v>
      </c>
      <c r="Y221" s="297" t="s">
        <v>1</v>
      </c>
      <c r="Z221" s="293" cm="1">
        <f t="array" aca="1" ref="Z221" ca="1">INDIRECT("'"&amp;$C221&amp;"'!"&amp;"$"&amp;$D221&amp;$Z$1&amp;"")</f>
        <v>0</v>
      </c>
      <c r="AA221" s="296" t="s">
        <v>1</v>
      </c>
      <c r="AB221" s="296" t="s">
        <v>1</v>
      </c>
      <c r="AC221" s="294" t="s">
        <v>1</v>
      </c>
      <c r="AD221" s="295" cm="1">
        <f t="array" aca="1" ref="AD221" ca="1">INDIRECT("'"&amp;$C221&amp;"'!"&amp;"$"&amp;$D221&amp;$AD$1&amp;"")</f>
        <v>2.8</v>
      </c>
      <c r="AE221" s="296">
        <f>3.8*3.49</f>
        <v>13.262</v>
      </c>
      <c r="AF221" s="296">
        <v>0.9</v>
      </c>
      <c r="AG221" s="297">
        <v>0.36</v>
      </c>
      <c r="AH221" s="293" cm="1">
        <f t="array" aca="1" ref="AH221" ca="1">INDIRECT("'"&amp;$C221&amp;"'!"&amp;"$"&amp;$D221&amp;$AH$1&amp;"")</f>
        <v>3.8</v>
      </c>
      <c r="AI221" s="296">
        <v>14.04</v>
      </c>
      <c r="AJ221" s="296">
        <v>1</v>
      </c>
      <c r="AK221" s="294">
        <v>5.6000000000000001E-2</v>
      </c>
      <c r="AL221" s="293">
        <v>11.9</v>
      </c>
      <c r="AM221" s="297">
        <v>70.599999999999994</v>
      </c>
      <c r="AN221" s="293" t="str" cm="1">
        <f t="array" aca="1" ref="AN221" ca="1">INDIRECT("'"&amp;$C221&amp;"'!"&amp;"$"&amp;$D221&amp;$AL$1&amp;"")</f>
        <v>CMS</v>
      </c>
      <c r="AO221" s="296" t="s">
        <v>1</v>
      </c>
      <c r="AP221" s="294" t="s">
        <v>1</v>
      </c>
      <c r="AQ221" s="295" cm="1">
        <f t="array" aca="1" ref="AQ221" ca="1">INDIRECT("'"&amp;$C221&amp;"'!"&amp;"$"&amp;$D221&amp;$AQ$1&amp;"")</f>
        <v>3.9</v>
      </c>
      <c r="AR221" s="296">
        <v>0.97</v>
      </c>
      <c r="AS221" s="294">
        <v>0.97</v>
      </c>
      <c r="AT221" s="296" cm="1">
        <f t="array" aca="1" ref="AT221" ca="1">INDIRECT("'"&amp;$C221&amp;"'!"&amp;"$"&amp;$D221&amp;$AT$1&amp;"")</f>
        <v>4.5999999999999996</v>
      </c>
      <c r="AU221" s="295">
        <v>13.92</v>
      </c>
      <c r="AV221" s="296">
        <v>0.92</v>
      </c>
      <c r="AW221" s="294">
        <v>2.1</v>
      </c>
      <c r="AX221" s="298">
        <v>14.35</v>
      </c>
      <c r="AY221" s="297">
        <v>72.25</v>
      </c>
      <c r="AZ221" s="298" cm="1">
        <f t="array" aca="1" ref="AZ221" ca="1">INDIRECT("'"&amp;$C221&amp;"'!"&amp;"$"&amp;$D221&amp;$AZ$1&amp;"")</f>
        <v>14.31</v>
      </c>
      <c r="BA221" s="296">
        <v>0.97</v>
      </c>
      <c r="BB221" s="294">
        <v>3.6</v>
      </c>
      <c r="BC221" s="299">
        <v>68.2</v>
      </c>
      <c r="BD221" s="293" cm="1">
        <f t="array" aca="1" ref="BD221" ca="1">INDIRECT("'"&amp;$C221&amp;"'!"&amp;"$"&amp;$D221&amp;$BC$1&amp;"")</f>
        <v>0</v>
      </c>
      <c r="BE221" s="295" t="s">
        <v>1</v>
      </c>
      <c r="BF221" s="294" t="s">
        <v>1</v>
      </c>
      <c r="BG221" s="298" cm="1">
        <f t="array" aca="1" ref="BG221" ca="1">INDIRECT("'"&amp;$C221&amp;"'!"&amp;"$"&amp;$D221&amp;$BG$1&amp;"")</f>
        <v>1.26</v>
      </c>
      <c r="BH221" s="296"/>
      <c r="BI221" s="296">
        <v>0.99</v>
      </c>
      <c r="BJ221" s="294">
        <v>0.19</v>
      </c>
      <c r="BK221" s="299" cm="1">
        <f t="array" aca="1" ref="BK221" ca="1">INDIRECT("'"&amp;$C221&amp;"'!"&amp;"$"&amp;$D221&amp;$BK$1&amp;"")</f>
        <v>0.83</v>
      </c>
      <c r="BL221" s="296"/>
      <c r="BM221" s="296">
        <v>0.96</v>
      </c>
      <c r="BN221" s="294">
        <v>0.25</v>
      </c>
      <c r="BO221" s="299" cm="1">
        <f t="array" aca="1" ref="BO221" ca="1">INDIRECT("'"&amp;$C221&amp;"'!"&amp;"$"&amp;$D221&amp;74&amp;"")</f>
        <v>0</v>
      </c>
      <c r="BP221" s="296"/>
      <c r="BQ221" s="296" t="s">
        <v>1</v>
      </c>
      <c r="BR221" s="294" t="s">
        <v>1</v>
      </c>
    </row>
    <row r="222" spans="1:70">
      <c r="A222" s="361">
        <v>45756</v>
      </c>
      <c r="B222" s="358">
        <v>0.70833333333333404</v>
      </c>
      <c r="C222" s="313">
        <f t="shared" si="7"/>
        <v>9</v>
      </c>
      <c r="D222" s="314" t="s">
        <v>144</v>
      </c>
      <c r="E222" s="286">
        <v>14.1</v>
      </c>
      <c r="F222" s="287">
        <v>69.12</v>
      </c>
      <c r="G222" s="288" t="str" cm="1">
        <f t="array" aca="1" ref="G222" ca="1">INDIRECT("'"&amp;$C222&amp;"'!"&amp;"$"&amp;$D222&amp;$E$1&amp;"")</f>
        <v>CMS</v>
      </c>
      <c r="H222" s="289" t="s">
        <v>1</v>
      </c>
      <c r="I222" s="287" t="s">
        <v>1</v>
      </c>
      <c r="J222" s="288" cm="1">
        <f t="array" aca="1" ref="J222" ca="1">INDIRECT("'"&amp;$C222&amp;"'!"&amp;"$"&amp;$D222&amp;$J$1&amp;"")</f>
        <v>6.5</v>
      </c>
      <c r="K222" s="289"/>
      <c r="L222" s="289">
        <v>0.9</v>
      </c>
      <c r="M222" s="287">
        <v>3.13</v>
      </c>
      <c r="N222" s="288" cm="1">
        <f t="array" aca="1" ref="N222" ca="1">INDIRECT("'"&amp;$C222&amp;"'!"&amp;"$"&amp;$D222&amp;$N$1&amp;"")</f>
        <v>6.5</v>
      </c>
      <c r="O222" s="289"/>
      <c r="P222" s="289">
        <v>0.9</v>
      </c>
      <c r="Q222" s="287">
        <v>3.15</v>
      </c>
      <c r="R222" s="288" cm="1">
        <f t="array" aca="1" ref="R222" ca="1">INDIRECT("'"&amp;$C222&amp;"'!"&amp;"$"&amp;$D222&amp;$R$1&amp;"")</f>
        <v>6.5</v>
      </c>
      <c r="S222" s="289"/>
      <c r="T222" s="289">
        <v>0.9</v>
      </c>
      <c r="U222" s="287">
        <v>3.17</v>
      </c>
      <c r="V222" s="288" cm="1">
        <f t="array" aca="1" ref="V222" ca="1">INDIRECT("'"&amp;$C222&amp;"'!"&amp;"$"&amp;$D222&amp;$V$1&amp;"")</f>
        <v>2.5</v>
      </c>
      <c r="W222" s="289">
        <f>3.8*3.48</f>
        <v>13.224</v>
      </c>
      <c r="X222" s="289">
        <v>0.94</v>
      </c>
      <c r="Y222" s="290">
        <v>0.82</v>
      </c>
      <c r="Z222" s="286" cm="1">
        <f t="array" aca="1" ref="Z222" ca="1">INDIRECT("'"&amp;$C222&amp;"'!"&amp;"$"&amp;$D222&amp;$Z$1&amp;"")</f>
        <v>0</v>
      </c>
      <c r="AA222" s="289" t="s">
        <v>1</v>
      </c>
      <c r="AB222" s="289" t="s">
        <v>1</v>
      </c>
      <c r="AC222" s="287" t="s">
        <v>1</v>
      </c>
      <c r="AD222" s="288" cm="1">
        <f t="array" aca="1" ref="AD222" ca="1">INDIRECT("'"&amp;$C222&amp;"'!"&amp;"$"&amp;$D222&amp;$AD$1&amp;"")</f>
        <v>3</v>
      </c>
      <c r="AE222" s="289">
        <v>13.22</v>
      </c>
      <c r="AF222" s="289">
        <v>0.92</v>
      </c>
      <c r="AG222" s="290">
        <v>1.17</v>
      </c>
      <c r="AH222" s="286" cm="1">
        <f t="array" aca="1" ref="AH222" ca="1">INDIRECT("'"&amp;$C222&amp;"'!"&amp;"$"&amp;$D222&amp;$AH$1&amp;"")</f>
        <v>3.8</v>
      </c>
      <c r="AI222" s="289">
        <v>14.04</v>
      </c>
      <c r="AJ222" s="289">
        <v>0.99</v>
      </c>
      <c r="AK222" s="287">
        <v>0.26100000000000001</v>
      </c>
      <c r="AL222" s="286">
        <v>11.9</v>
      </c>
      <c r="AM222" s="290">
        <v>70.599999999999994</v>
      </c>
      <c r="AN222" s="286" t="str" cm="1">
        <f t="array" aca="1" ref="AN222" ca="1">INDIRECT("'"&amp;$C222&amp;"'!"&amp;"$"&amp;$D222&amp;$AL$1&amp;"")</f>
        <v>CMS</v>
      </c>
      <c r="AO222" s="289" t="s">
        <v>1</v>
      </c>
      <c r="AP222" s="287" t="s">
        <v>1</v>
      </c>
      <c r="AQ222" s="288" cm="1">
        <f t="array" aca="1" ref="AQ222" ca="1">INDIRECT("'"&amp;$C222&amp;"'!"&amp;"$"&amp;$D222&amp;$AQ$1&amp;"")</f>
        <v>4</v>
      </c>
      <c r="AR222" s="289">
        <v>0.95</v>
      </c>
      <c r="AS222" s="287">
        <v>1.2</v>
      </c>
      <c r="AT222" s="289" cm="1">
        <f t="array" aca="1" ref="AT222" ca="1">INDIRECT("'"&amp;$C222&amp;"'!"&amp;"$"&amp;$D222&amp;$AT$1&amp;"")</f>
        <v>6</v>
      </c>
      <c r="AU222" s="288">
        <v>13.92</v>
      </c>
      <c r="AV222" s="289">
        <v>0.92</v>
      </c>
      <c r="AW222" s="287">
        <v>1.9</v>
      </c>
      <c r="AX222" s="291">
        <v>14.32</v>
      </c>
      <c r="AY222" s="290">
        <v>72.06</v>
      </c>
      <c r="AZ222" s="291" cm="1">
        <f t="array" aca="1" ref="AZ222" ca="1">INDIRECT("'"&amp;$C222&amp;"'!"&amp;"$"&amp;$D222&amp;$AZ$1&amp;"")</f>
        <v>14.32</v>
      </c>
      <c r="BA222" s="289">
        <v>0.97</v>
      </c>
      <c r="BB222" s="287">
        <v>3.5</v>
      </c>
      <c r="BC222" s="292">
        <v>67.8</v>
      </c>
      <c r="BD222" s="286" cm="1">
        <f t="array" aca="1" ref="BD222" ca="1">INDIRECT("'"&amp;$C222&amp;"'!"&amp;"$"&amp;$D222&amp;$BC$1&amp;"")</f>
        <v>0</v>
      </c>
      <c r="BE222" s="288" t="s">
        <v>1</v>
      </c>
      <c r="BF222" s="287" t="s">
        <v>1</v>
      </c>
      <c r="BG222" s="291" cm="1">
        <f t="array" aca="1" ref="BG222" ca="1">INDIRECT("'"&amp;$C222&amp;"'!"&amp;"$"&amp;$D222&amp;$BG$1&amp;"")</f>
        <v>1.27</v>
      </c>
      <c r="BH222" s="289"/>
      <c r="BI222" s="289">
        <v>0.99</v>
      </c>
      <c r="BJ222" s="287">
        <v>0.19</v>
      </c>
      <c r="BK222" s="292" cm="1">
        <f t="array" aca="1" ref="BK222" ca="1">INDIRECT("'"&amp;$C222&amp;"'!"&amp;"$"&amp;$D222&amp;$BK$1&amp;"")</f>
        <v>0.82</v>
      </c>
      <c r="BL222" s="289"/>
      <c r="BM222" s="289">
        <v>0.96</v>
      </c>
      <c r="BN222" s="287">
        <v>0.24</v>
      </c>
      <c r="BO222" s="292" cm="1">
        <f t="array" aca="1" ref="BO222" ca="1">INDIRECT("'"&amp;$C222&amp;"'!"&amp;"$"&amp;$D222&amp;74&amp;"")</f>
        <v>0</v>
      </c>
      <c r="BP222" s="289"/>
      <c r="BQ222" s="289" t="s">
        <v>1</v>
      </c>
      <c r="BR222" s="287" t="s">
        <v>1</v>
      </c>
    </row>
    <row r="223" spans="1:70">
      <c r="A223" s="361">
        <v>45756</v>
      </c>
      <c r="B223" s="358">
        <v>0.750000000000001</v>
      </c>
      <c r="C223" s="313">
        <f t="shared" si="7"/>
        <v>9</v>
      </c>
      <c r="D223" s="314" t="s">
        <v>145</v>
      </c>
      <c r="E223" s="293">
        <v>14.2</v>
      </c>
      <c r="F223" s="294">
        <v>14.2</v>
      </c>
      <c r="G223" s="295" t="str" cm="1">
        <f t="array" aca="1" ref="G223" ca="1">INDIRECT("'"&amp;$C223&amp;"'!"&amp;"$"&amp;$D223&amp;$E$1&amp;"")</f>
        <v>CMS</v>
      </c>
      <c r="H223" s="296" t="s">
        <v>1</v>
      </c>
      <c r="I223" s="294" t="s">
        <v>1</v>
      </c>
      <c r="J223" s="295" cm="1">
        <f t="array" aca="1" ref="J223" ca="1">INDIRECT("'"&amp;$C223&amp;"'!"&amp;"$"&amp;$D223&amp;$J$1&amp;"")</f>
        <v>6.8</v>
      </c>
      <c r="K223" s="296"/>
      <c r="L223" s="296">
        <v>0.9</v>
      </c>
      <c r="M223" s="294">
        <v>3.33</v>
      </c>
      <c r="N223" s="295" cm="1">
        <f t="array" aca="1" ref="N223" ca="1">INDIRECT("'"&amp;$C223&amp;"'!"&amp;"$"&amp;$D223&amp;$N$1&amp;"")</f>
        <v>6.8</v>
      </c>
      <c r="O223" s="296"/>
      <c r="P223" s="296">
        <v>0.9</v>
      </c>
      <c r="Q223" s="294">
        <v>3.34</v>
      </c>
      <c r="R223" s="295" cm="1">
        <f t="array" aca="1" ref="R223" ca="1">INDIRECT("'"&amp;$C223&amp;"'!"&amp;"$"&amp;$D223&amp;$R$1&amp;"")</f>
        <v>6.8</v>
      </c>
      <c r="S223" s="296"/>
      <c r="T223" s="296">
        <v>0.9</v>
      </c>
      <c r="U223" s="294">
        <v>3.39</v>
      </c>
      <c r="V223" s="295" cm="1">
        <f t="array" aca="1" ref="V223" ca="1">INDIRECT("'"&amp;$C223&amp;"'!"&amp;"$"&amp;$D223&amp;$V$1&amp;"")</f>
        <v>2.8</v>
      </c>
      <c r="W223" s="296">
        <f>3.8*3.51</f>
        <v>13.337999999999999</v>
      </c>
      <c r="X223" s="296">
        <v>0.94</v>
      </c>
      <c r="Y223" s="297">
        <v>0.95</v>
      </c>
      <c r="Z223" s="293" cm="1">
        <f t="array" aca="1" ref="Z223" ca="1">INDIRECT("'"&amp;$C223&amp;"'!"&amp;"$"&amp;$D223&amp;$Z$1&amp;"")</f>
        <v>0</v>
      </c>
      <c r="AA223" s="296" t="s">
        <v>1</v>
      </c>
      <c r="AB223" s="296" t="s">
        <v>1</v>
      </c>
      <c r="AC223" s="294" t="s">
        <v>1</v>
      </c>
      <c r="AD223" s="295" cm="1">
        <f t="array" aca="1" ref="AD223" ca="1">INDIRECT("'"&amp;$C223&amp;"'!"&amp;"$"&amp;$D223&amp;$AD$1&amp;"")</f>
        <v>3.8</v>
      </c>
      <c r="AE223" s="296">
        <v>13.34</v>
      </c>
      <c r="AF223" s="296">
        <v>0.94</v>
      </c>
      <c r="AG223" s="297">
        <v>1.32</v>
      </c>
      <c r="AH223" s="293" cm="1">
        <f t="array" aca="1" ref="AH223" ca="1">INDIRECT("'"&amp;$C223&amp;"'!"&amp;"$"&amp;$D223&amp;$AH$1&amp;"")</f>
        <v>3.8</v>
      </c>
      <c r="AI223" s="296">
        <v>14.04</v>
      </c>
      <c r="AJ223" s="296">
        <v>0.99</v>
      </c>
      <c r="AK223" s="294">
        <v>0.28699999999999998</v>
      </c>
      <c r="AL223" s="293">
        <v>11.9</v>
      </c>
      <c r="AM223" s="297">
        <v>70.8</v>
      </c>
      <c r="AN223" s="293" t="str" cm="1">
        <f t="array" aca="1" ref="AN223" ca="1">INDIRECT("'"&amp;$C223&amp;"'!"&amp;"$"&amp;$D223&amp;$AL$1&amp;"")</f>
        <v>CMS</v>
      </c>
      <c r="AO223" s="296" t="s">
        <v>1</v>
      </c>
      <c r="AP223" s="294" t="s">
        <v>1</v>
      </c>
      <c r="AQ223" s="295" cm="1">
        <f t="array" aca="1" ref="AQ223" ca="1">INDIRECT("'"&amp;$C223&amp;"'!"&amp;"$"&amp;$D223&amp;$AQ$1&amp;"")</f>
        <v>4.5999999999999996</v>
      </c>
      <c r="AR223" s="296">
        <v>0.95</v>
      </c>
      <c r="AS223" s="294">
        <v>0.97</v>
      </c>
      <c r="AT223" s="296" cm="1">
        <f t="array" aca="1" ref="AT223" ca="1">INDIRECT("'"&amp;$C223&amp;"'!"&amp;"$"&amp;$D223&amp;$AT$1&amp;"")</f>
        <v>6.2</v>
      </c>
      <c r="AU223" s="295">
        <v>13.92</v>
      </c>
      <c r="AV223" s="296">
        <v>0.92</v>
      </c>
      <c r="AW223" s="294">
        <v>1.6</v>
      </c>
      <c r="AX223" s="298">
        <v>14.36</v>
      </c>
      <c r="AY223" s="297">
        <v>72.319999999999993</v>
      </c>
      <c r="AZ223" s="298" cm="1">
        <f t="array" aca="1" ref="AZ223" ca="1">INDIRECT("'"&amp;$C223&amp;"'!"&amp;"$"&amp;$D223&amp;$AZ$1&amp;"")</f>
        <v>14.33</v>
      </c>
      <c r="BA223" s="296">
        <v>0.97</v>
      </c>
      <c r="BB223" s="294">
        <v>3.5</v>
      </c>
      <c r="BC223" s="299">
        <v>68</v>
      </c>
      <c r="BD223" s="293" cm="1">
        <f t="array" aca="1" ref="BD223" ca="1">INDIRECT("'"&amp;$C223&amp;"'!"&amp;"$"&amp;$D223&amp;$BC$1&amp;"")</f>
        <v>0.7</v>
      </c>
      <c r="BE223" s="295">
        <v>0.95</v>
      </c>
      <c r="BF223" s="294">
        <v>0.23</v>
      </c>
      <c r="BG223" s="298" cm="1">
        <f t="array" aca="1" ref="BG223" ca="1">INDIRECT("'"&amp;$C223&amp;"'!"&amp;"$"&amp;$D223&amp;$BG$1&amp;"")</f>
        <v>1.31</v>
      </c>
      <c r="BH223" s="296"/>
      <c r="BI223" s="296">
        <v>0.99</v>
      </c>
      <c r="BJ223" s="294">
        <v>0.2</v>
      </c>
      <c r="BK223" s="299" cm="1">
        <f t="array" aca="1" ref="BK223" ca="1">INDIRECT("'"&amp;$C223&amp;"'!"&amp;"$"&amp;$D223&amp;$BK$1&amp;"")</f>
        <v>0.8</v>
      </c>
      <c r="BL223" s="296"/>
      <c r="BM223" s="296">
        <v>0.96</v>
      </c>
      <c r="BN223" s="294">
        <v>0.24</v>
      </c>
      <c r="BO223" s="299" cm="1">
        <f t="array" aca="1" ref="BO223" ca="1">INDIRECT("'"&amp;$C223&amp;"'!"&amp;"$"&amp;$D223&amp;74&amp;"")</f>
        <v>0</v>
      </c>
      <c r="BP223" s="296"/>
      <c r="BQ223" s="296" t="s">
        <v>1</v>
      </c>
      <c r="BR223" s="294" t="s">
        <v>1</v>
      </c>
    </row>
    <row r="224" spans="1:70">
      <c r="A224" s="361">
        <v>45756</v>
      </c>
      <c r="B224" s="358">
        <v>0.79166666666666696</v>
      </c>
      <c r="C224" s="313">
        <f t="shared" si="7"/>
        <v>9</v>
      </c>
      <c r="D224" s="314" t="s">
        <v>146</v>
      </c>
      <c r="E224" s="286">
        <v>14.1</v>
      </c>
      <c r="F224" s="287">
        <v>69.67</v>
      </c>
      <c r="G224" s="288" cm="1">
        <f t="array" aca="1" ref="G224" ca="1">INDIRECT("'"&amp;$C224&amp;"'!"&amp;"$"&amp;$D224&amp;$E$1&amp;"")</f>
        <v>6.2</v>
      </c>
      <c r="H224" s="289">
        <v>0.96</v>
      </c>
      <c r="I224" s="287">
        <v>1.75</v>
      </c>
      <c r="J224" s="288" cm="1">
        <f t="array" aca="1" ref="J224" ca="1">INDIRECT("'"&amp;$C224&amp;"'!"&amp;"$"&amp;$D224&amp;$J$1&amp;"")</f>
        <v>5</v>
      </c>
      <c r="K224" s="300"/>
      <c r="L224" s="289">
        <v>0.94</v>
      </c>
      <c r="M224" s="287">
        <v>1.72</v>
      </c>
      <c r="N224" s="288" cm="1">
        <f t="array" aca="1" ref="N224" ca="1">INDIRECT("'"&amp;$C224&amp;"'!"&amp;"$"&amp;$D224&amp;$N$1&amp;"")</f>
        <v>5</v>
      </c>
      <c r="O224" s="289"/>
      <c r="P224" s="289">
        <v>0.94</v>
      </c>
      <c r="Q224" s="287">
        <v>1.7</v>
      </c>
      <c r="R224" s="288" cm="1">
        <f t="array" aca="1" ref="R224" ca="1">INDIRECT("'"&amp;$C224&amp;"'!"&amp;"$"&amp;$D224&amp;$R$1&amp;"")</f>
        <v>5</v>
      </c>
      <c r="S224" s="289"/>
      <c r="T224" s="289">
        <v>0.94</v>
      </c>
      <c r="U224" s="287">
        <v>1.72</v>
      </c>
      <c r="V224" s="288" cm="1">
        <f t="array" aca="1" ref="V224" ca="1">INDIRECT("'"&amp;$C224&amp;"'!"&amp;"$"&amp;$D224&amp;$V$1&amp;"")</f>
        <v>2.6</v>
      </c>
      <c r="W224" s="289">
        <f>3.8*3.51</f>
        <v>13.337999999999999</v>
      </c>
      <c r="X224" s="289">
        <v>0.94</v>
      </c>
      <c r="Y224" s="290">
        <v>0.92</v>
      </c>
      <c r="Z224" s="286" cm="1">
        <f t="array" aca="1" ref="Z224" ca="1">INDIRECT("'"&amp;$C224&amp;"'!"&amp;"$"&amp;$D224&amp;$Z$1&amp;"")</f>
        <v>0</v>
      </c>
      <c r="AA224" s="289" t="s">
        <v>1</v>
      </c>
      <c r="AB224" s="289" t="s">
        <v>1</v>
      </c>
      <c r="AC224" s="287" t="s">
        <v>1</v>
      </c>
      <c r="AD224" s="288" cm="1">
        <f t="array" aca="1" ref="AD224" ca="1">INDIRECT("'"&amp;$C224&amp;"'!"&amp;"$"&amp;$D224&amp;$AD$1&amp;"")</f>
        <v>3.6</v>
      </c>
      <c r="AE224" s="289">
        <f>3.8*3.51</f>
        <v>13.337999999999999</v>
      </c>
      <c r="AF224" s="289">
        <v>0.94</v>
      </c>
      <c r="AG224" s="290">
        <v>1.29</v>
      </c>
      <c r="AH224" s="286" cm="1">
        <f t="array" aca="1" ref="AH224" ca="1">INDIRECT("'"&amp;$C224&amp;"'!"&amp;"$"&amp;$D224&amp;$AH$1&amp;"")</f>
        <v>3.8</v>
      </c>
      <c r="AI224" s="289">
        <v>14.04</v>
      </c>
      <c r="AJ224" s="289">
        <v>0.99</v>
      </c>
      <c r="AK224" s="287">
        <v>0.34</v>
      </c>
      <c r="AL224" s="286">
        <v>11.9</v>
      </c>
      <c r="AM224" s="290">
        <v>70.900000000000006</v>
      </c>
      <c r="AN224" s="286" t="str" cm="1">
        <f t="array" aca="1" ref="AN224" ca="1">INDIRECT("'"&amp;$C224&amp;"'!"&amp;"$"&amp;$D224&amp;$AL$1&amp;"")</f>
        <v>CMS</v>
      </c>
      <c r="AO224" s="289" t="s">
        <v>1</v>
      </c>
      <c r="AP224" s="287" t="s">
        <v>1</v>
      </c>
      <c r="AQ224" s="288" cm="1">
        <f t="array" aca="1" ref="AQ224" ca="1">INDIRECT("'"&amp;$C224&amp;"'!"&amp;"$"&amp;$D224&amp;$AQ$1&amp;"")</f>
        <v>4.5</v>
      </c>
      <c r="AR224" s="289">
        <v>0.98</v>
      </c>
      <c r="AS224" s="287">
        <v>0.96</v>
      </c>
      <c r="AT224" s="289" cm="1">
        <f t="array" aca="1" ref="AT224" ca="1">INDIRECT("'"&amp;$C224&amp;"'!"&amp;"$"&amp;$D224&amp;$AT$1&amp;"")</f>
        <v>7.2</v>
      </c>
      <c r="AU224" s="288">
        <v>13.92</v>
      </c>
      <c r="AV224" s="289">
        <v>0.97</v>
      </c>
      <c r="AW224" s="287">
        <v>1.6</v>
      </c>
      <c r="AX224" s="291">
        <v>14.29</v>
      </c>
      <c r="AY224" s="290">
        <v>71.97</v>
      </c>
      <c r="AZ224" s="291" cm="1">
        <f t="array" aca="1" ref="AZ224" ca="1">INDIRECT("'"&amp;$C224&amp;"'!"&amp;"$"&amp;$D224&amp;$AZ$1&amp;"")</f>
        <v>14.3</v>
      </c>
      <c r="BA224" s="289">
        <v>0.97</v>
      </c>
      <c r="BB224" s="287">
        <v>3.5</v>
      </c>
      <c r="BC224" s="292">
        <v>68.3</v>
      </c>
      <c r="BD224" s="286" cm="1">
        <f t="array" aca="1" ref="BD224" ca="1">INDIRECT("'"&amp;$C224&amp;"'!"&amp;"$"&amp;$D224&amp;$BC$1&amp;"")</f>
        <v>4.3499999999999996</v>
      </c>
      <c r="BE224" s="288">
        <v>0.97</v>
      </c>
      <c r="BF224" s="287">
        <v>1.0900000000000001</v>
      </c>
      <c r="BG224" s="291" cm="1">
        <f t="array" aca="1" ref="BG224" ca="1">INDIRECT("'"&amp;$C224&amp;"'!"&amp;"$"&amp;$D224&amp;$BG$1&amp;"")</f>
        <v>1.57</v>
      </c>
      <c r="BH224" s="289"/>
      <c r="BI224" s="289">
        <v>0.99</v>
      </c>
      <c r="BJ224" s="287">
        <v>0.19</v>
      </c>
      <c r="BK224" s="292" cm="1">
        <f t="array" aca="1" ref="BK224" ca="1">INDIRECT("'"&amp;$C224&amp;"'!"&amp;"$"&amp;$D224&amp;$BK$1&amp;"")</f>
        <v>0.95</v>
      </c>
      <c r="BL224" s="289"/>
      <c r="BM224" s="289">
        <v>0.96</v>
      </c>
      <c r="BN224" s="287">
        <v>0.26</v>
      </c>
      <c r="BO224" s="292" cm="1">
        <f t="array" aca="1" ref="BO224" ca="1">INDIRECT("'"&amp;$C224&amp;"'!"&amp;"$"&amp;$D224&amp;74&amp;"")</f>
        <v>0</v>
      </c>
      <c r="BP224" s="289"/>
      <c r="BQ224" s="289" t="s">
        <v>1</v>
      </c>
      <c r="BR224" s="287" t="s">
        <v>1</v>
      </c>
    </row>
    <row r="225" spans="1:70">
      <c r="A225" s="361">
        <v>45756</v>
      </c>
      <c r="B225" s="358">
        <v>0.83333333333333337</v>
      </c>
      <c r="C225" s="313">
        <f t="shared" si="7"/>
        <v>9</v>
      </c>
      <c r="D225" s="314" t="s">
        <v>147</v>
      </c>
      <c r="E225" s="293">
        <v>14.2</v>
      </c>
      <c r="F225" s="294">
        <v>69.680000000000007</v>
      </c>
      <c r="G225" s="295" cm="1">
        <f t="array" aca="1" ref="G225" ca="1">INDIRECT("'"&amp;$C225&amp;"'!"&amp;"$"&amp;$D225&amp;$E$1&amp;"")</f>
        <v>6.5</v>
      </c>
      <c r="H225" s="296">
        <v>0.94</v>
      </c>
      <c r="I225" s="294">
        <v>2.2999999999999998</v>
      </c>
      <c r="J225" s="295" cm="1">
        <f t="array" aca="1" ref="J225" ca="1">INDIRECT("'"&amp;$C225&amp;"'!"&amp;"$"&amp;$D225&amp;$J$1&amp;"")</f>
        <v>6.5</v>
      </c>
      <c r="K225" s="296"/>
      <c r="L225" s="296">
        <v>0.94</v>
      </c>
      <c r="M225" s="294">
        <v>2.2999999999999998</v>
      </c>
      <c r="N225" s="295" cm="1">
        <f t="array" aca="1" ref="N225" ca="1">INDIRECT("'"&amp;$C225&amp;"'!"&amp;"$"&amp;$D225&amp;$N$1&amp;"")</f>
        <v>0</v>
      </c>
      <c r="O225" s="296"/>
      <c r="P225" s="296" t="s">
        <v>1</v>
      </c>
      <c r="Q225" s="294" t="s">
        <v>1</v>
      </c>
      <c r="R225" s="295" cm="1">
        <f t="array" aca="1" ref="R225" ca="1">INDIRECT("'"&amp;$C225&amp;"'!"&amp;"$"&amp;$D225&amp;$R$1&amp;"")</f>
        <v>6.5</v>
      </c>
      <c r="S225" s="296"/>
      <c r="T225" s="296">
        <v>0.94</v>
      </c>
      <c r="U225" s="294">
        <v>2.2999999999999998</v>
      </c>
      <c r="V225" s="295" cm="1">
        <f t="array" aca="1" ref="V225" ca="1">INDIRECT("'"&amp;$C225&amp;"'!"&amp;"$"&amp;$D225&amp;$V$1&amp;"")</f>
        <v>2.8</v>
      </c>
      <c r="W225" s="296">
        <f>3.8*3.55</f>
        <v>13.489999999999998</v>
      </c>
      <c r="X225" s="296">
        <v>0.96</v>
      </c>
      <c r="Y225" s="297">
        <v>0.77</v>
      </c>
      <c r="Z225" s="293" cm="1">
        <f t="array" aca="1" ref="Z225" ca="1">INDIRECT("'"&amp;$C225&amp;"'!"&amp;"$"&amp;$D225&amp;$Z$1&amp;"")</f>
        <v>0</v>
      </c>
      <c r="AA225" s="296" t="s">
        <v>1</v>
      </c>
      <c r="AB225" s="296" t="s">
        <v>1</v>
      </c>
      <c r="AC225" s="294" t="s">
        <v>1</v>
      </c>
      <c r="AD225" s="295" cm="1">
        <f t="array" aca="1" ref="AD225" ca="1">INDIRECT("'"&amp;$C225&amp;"'!"&amp;"$"&amp;$D225&amp;$AD$1&amp;"")</f>
        <v>3.6</v>
      </c>
      <c r="AE225" s="296">
        <f>3.8*3.55</f>
        <v>13.489999999999998</v>
      </c>
      <c r="AF225" s="296">
        <v>0.96</v>
      </c>
      <c r="AG225" s="297">
        <v>0.98</v>
      </c>
      <c r="AH225" s="293" cm="1">
        <f t="array" aca="1" ref="AH225" ca="1">INDIRECT("'"&amp;$C225&amp;"'!"&amp;"$"&amp;$D225&amp;$AH$1&amp;"")</f>
        <v>3.8</v>
      </c>
      <c r="AI225" s="296">
        <v>14.04</v>
      </c>
      <c r="AJ225" s="296">
        <v>0.99</v>
      </c>
      <c r="AK225" s="294">
        <v>0.17599999999999999</v>
      </c>
      <c r="AL225" s="293">
        <v>11.9</v>
      </c>
      <c r="AM225" s="297">
        <v>71</v>
      </c>
      <c r="AN225" s="293" t="str" cm="1">
        <f t="array" aca="1" ref="AN225" ca="1">INDIRECT("'"&amp;$C225&amp;"'!"&amp;"$"&amp;$D225&amp;$AL$1&amp;"")</f>
        <v>CMS</v>
      </c>
      <c r="AO225" s="296" t="s">
        <v>1</v>
      </c>
      <c r="AP225" s="294" t="s">
        <v>1</v>
      </c>
      <c r="AQ225" s="295" cm="1">
        <f t="array" aca="1" ref="AQ225" ca="1">INDIRECT("'"&amp;$C225&amp;"'!"&amp;"$"&amp;$D225&amp;$AQ$1&amp;"")</f>
        <v>4.5</v>
      </c>
      <c r="AR225" s="296">
        <v>0.99</v>
      </c>
      <c r="AS225" s="294">
        <v>0.77</v>
      </c>
      <c r="AT225" s="296" cm="1">
        <f t="array" aca="1" ref="AT225" ca="1">INDIRECT("'"&amp;$C225&amp;"'!"&amp;"$"&amp;$D225&amp;$AT$1&amp;"")</f>
        <v>7</v>
      </c>
      <c r="AU225" s="295">
        <v>13.92</v>
      </c>
      <c r="AV225" s="296">
        <v>70.099999999999994</v>
      </c>
      <c r="AW225" s="294">
        <v>1.6</v>
      </c>
      <c r="AX225" s="298">
        <v>14.36</v>
      </c>
      <c r="AY225" s="297">
        <v>72.22</v>
      </c>
      <c r="AZ225" s="298" cm="1">
        <f t="array" aca="1" ref="AZ225" ca="1">INDIRECT("'"&amp;$C225&amp;"'!"&amp;"$"&amp;$D225&amp;$AZ$1&amp;"")</f>
        <v>14.33</v>
      </c>
      <c r="BA225" s="296">
        <v>0.97</v>
      </c>
      <c r="BB225" s="294">
        <v>3.5</v>
      </c>
      <c r="BC225" s="299">
        <v>68.8</v>
      </c>
      <c r="BD225" s="293" cm="1">
        <f t="array" aca="1" ref="BD225" ca="1">INDIRECT("'"&amp;$C225&amp;"'!"&amp;"$"&amp;$D225&amp;$BC$1&amp;"")</f>
        <v>2.9</v>
      </c>
      <c r="BE225" s="295">
        <v>0.97</v>
      </c>
      <c r="BF225" s="294">
        <v>0.72</v>
      </c>
      <c r="BG225" s="298" cm="1">
        <f t="array" aca="1" ref="BG225" ca="1">INDIRECT("'"&amp;$C225&amp;"'!"&amp;"$"&amp;$D225&amp;$BG$1&amp;"")</f>
        <v>1.61</v>
      </c>
      <c r="BH225" s="296"/>
      <c r="BI225" s="296">
        <v>0.99</v>
      </c>
      <c r="BJ225" s="294">
        <v>0.2</v>
      </c>
      <c r="BK225" s="299" cm="1">
        <f t="array" aca="1" ref="BK225" ca="1">INDIRECT("'"&amp;$C225&amp;"'!"&amp;"$"&amp;$D225&amp;$BK$1&amp;"")</f>
        <v>0.94</v>
      </c>
      <c r="BL225" s="296"/>
      <c r="BM225" s="296">
        <v>0.96</v>
      </c>
      <c r="BN225" s="294">
        <v>0.25</v>
      </c>
      <c r="BO225" s="299" cm="1">
        <f t="array" aca="1" ref="BO225" ca="1">INDIRECT("'"&amp;$C225&amp;"'!"&amp;"$"&amp;$D225&amp;74&amp;"")</f>
        <v>0</v>
      </c>
      <c r="BP225" s="296"/>
      <c r="BQ225" s="296" t="s">
        <v>1</v>
      </c>
      <c r="BR225" s="294" t="s">
        <v>1</v>
      </c>
    </row>
    <row r="226" spans="1:70">
      <c r="A226" s="361">
        <v>45756</v>
      </c>
      <c r="B226" s="358">
        <v>0.875000000000001</v>
      </c>
      <c r="C226" s="313">
        <f t="shared" si="7"/>
        <v>9</v>
      </c>
      <c r="D226" s="314" t="s">
        <v>148</v>
      </c>
      <c r="E226" s="286">
        <v>14</v>
      </c>
      <c r="F226" s="287">
        <v>69.13</v>
      </c>
      <c r="G226" s="288" cm="1">
        <f t="array" aca="1" ref="G226" ca="1">INDIRECT("'"&amp;$C226&amp;"'!"&amp;"$"&amp;$D226&amp;$E$1&amp;"")</f>
        <v>6.4</v>
      </c>
      <c r="H226" s="289">
        <v>0.96</v>
      </c>
      <c r="I226" s="287">
        <v>2.5</v>
      </c>
      <c r="J226" s="288" cm="1">
        <f t="array" aca="1" ref="J226" ca="1">INDIRECT("'"&amp;$C226&amp;"'!"&amp;"$"&amp;$D226&amp;$J$1&amp;"")</f>
        <v>6.4</v>
      </c>
      <c r="K226" s="289"/>
      <c r="L226" s="289">
        <v>0.96</v>
      </c>
      <c r="M226" s="287">
        <v>2.5</v>
      </c>
      <c r="N226" s="288" cm="1">
        <f t="array" aca="1" ref="N226" ca="1">INDIRECT("'"&amp;$C226&amp;"'!"&amp;"$"&amp;$D226&amp;$N$1&amp;"")</f>
        <v>0</v>
      </c>
      <c r="O226" s="289"/>
      <c r="P226" s="289" t="s">
        <v>1</v>
      </c>
      <c r="Q226" s="287" t="s">
        <v>1</v>
      </c>
      <c r="R226" s="288" cm="1">
        <f t="array" aca="1" ref="R226" ca="1">INDIRECT("'"&amp;$C226&amp;"'!"&amp;"$"&amp;$D226&amp;$R$1&amp;"")</f>
        <v>6.4</v>
      </c>
      <c r="S226" s="289"/>
      <c r="T226" s="289">
        <v>0.96</v>
      </c>
      <c r="U226" s="287">
        <v>2.5</v>
      </c>
      <c r="V226" s="288" cm="1">
        <f t="array" aca="1" ref="V226" ca="1">INDIRECT("'"&amp;$C226&amp;"'!"&amp;"$"&amp;$D226&amp;$V$1&amp;"")</f>
        <v>2.8</v>
      </c>
      <c r="W226" s="289">
        <f>3.8*3.51</f>
        <v>13.337999999999999</v>
      </c>
      <c r="X226" s="289">
        <v>0.96</v>
      </c>
      <c r="Y226" s="290">
        <v>0.78</v>
      </c>
      <c r="Z226" s="286" cm="1">
        <f t="array" aca="1" ref="Z226" ca="1">INDIRECT("'"&amp;$C226&amp;"'!"&amp;"$"&amp;$D226&amp;$Z$1&amp;"")</f>
        <v>0</v>
      </c>
      <c r="AA226" s="289" t="s">
        <v>1</v>
      </c>
      <c r="AB226" s="289" t="s">
        <v>1</v>
      </c>
      <c r="AC226" s="287" t="s">
        <v>1</v>
      </c>
      <c r="AD226" s="288" cm="1">
        <f t="array" aca="1" ref="AD226" ca="1">INDIRECT("'"&amp;$C226&amp;"'!"&amp;"$"&amp;$D226&amp;$AD$1&amp;"")</f>
        <v>3.8</v>
      </c>
      <c r="AE226" s="289">
        <f>3.8*3.51</f>
        <v>13.337999999999999</v>
      </c>
      <c r="AF226" s="289">
        <v>0.96</v>
      </c>
      <c r="AG226" s="290">
        <v>1.05</v>
      </c>
      <c r="AH226" s="286" cm="1">
        <f t="array" aca="1" ref="AH226" ca="1">INDIRECT("'"&amp;$C226&amp;"'!"&amp;"$"&amp;$D226&amp;$AH$1&amp;"")</f>
        <v>3.8</v>
      </c>
      <c r="AI226" s="289">
        <v>14.04</v>
      </c>
      <c r="AJ226" s="289">
        <v>0.98</v>
      </c>
      <c r="AK226" s="287">
        <v>0.51</v>
      </c>
      <c r="AL226" s="286">
        <v>11.8</v>
      </c>
      <c r="AM226" s="290">
        <v>70.599999999999994</v>
      </c>
      <c r="AN226" s="286" t="str" cm="1">
        <f t="array" aca="1" ref="AN226" ca="1">INDIRECT("'"&amp;$C226&amp;"'!"&amp;"$"&amp;$D226&amp;$AL$1&amp;"")</f>
        <v>CMS</v>
      </c>
      <c r="AO226" s="289" t="s">
        <v>1</v>
      </c>
      <c r="AP226" s="287" t="s">
        <v>1</v>
      </c>
      <c r="AQ226" s="288" cm="1">
        <f t="array" aca="1" ref="AQ226" ca="1">INDIRECT("'"&amp;$C226&amp;"'!"&amp;"$"&amp;$D226&amp;$AQ$1&amp;"")</f>
        <v>4.5</v>
      </c>
      <c r="AR226" s="289">
        <v>0.98</v>
      </c>
      <c r="AS226" s="287">
        <v>0.7</v>
      </c>
      <c r="AT226" s="289" cm="1">
        <f t="array" aca="1" ref="AT226" ca="1">INDIRECT("'"&amp;$C226&amp;"'!"&amp;"$"&amp;$D226&amp;$AT$1&amp;"")</f>
        <v>7.1</v>
      </c>
      <c r="AU226" s="288">
        <v>13.92</v>
      </c>
      <c r="AV226" s="289">
        <v>0.97</v>
      </c>
      <c r="AW226" s="287">
        <v>1.9</v>
      </c>
      <c r="AX226" s="291">
        <v>14.15</v>
      </c>
      <c r="AY226" s="290">
        <v>71.61</v>
      </c>
      <c r="AZ226" s="291" cm="1">
        <f t="array" aca="1" ref="AZ226" ca="1">INDIRECT("'"&amp;$C226&amp;"'!"&amp;"$"&amp;$D226&amp;$AZ$1&amp;"")</f>
        <v>14.3</v>
      </c>
      <c r="BA226" s="289">
        <v>0.99</v>
      </c>
      <c r="BB226" s="287">
        <v>2.4</v>
      </c>
      <c r="BC226" s="292">
        <v>68.099999999999994</v>
      </c>
      <c r="BD226" s="286" cm="1">
        <f t="array" aca="1" ref="BD226" ca="1">INDIRECT("'"&amp;$C226&amp;"'!"&amp;"$"&amp;$D226&amp;$BC$1&amp;"")</f>
        <v>0.7</v>
      </c>
      <c r="BE226" s="288">
        <v>0.97</v>
      </c>
      <c r="BF226" s="287">
        <v>0.17</v>
      </c>
      <c r="BG226" s="291" cm="1">
        <f t="array" aca="1" ref="BG226" ca="1">INDIRECT("'"&amp;$C226&amp;"'!"&amp;"$"&amp;$D226&amp;$BG$1&amp;"")</f>
        <v>1.51</v>
      </c>
      <c r="BH226" s="289"/>
      <c r="BI226" s="289">
        <v>0.99</v>
      </c>
      <c r="BJ226" s="287">
        <v>0.21</v>
      </c>
      <c r="BK226" s="292" cm="1">
        <f t="array" aca="1" ref="BK226" ca="1">INDIRECT("'"&amp;$C226&amp;"'!"&amp;"$"&amp;$D226&amp;$BK$1&amp;"")</f>
        <v>0.9</v>
      </c>
      <c r="BL226" s="289"/>
      <c r="BM226" s="289">
        <v>0.96</v>
      </c>
      <c r="BN226" s="287">
        <v>0.24</v>
      </c>
      <c r="BO226" s="292" cm="1">
        <f t="array" aca="1" ref="BO226" ca="1">INDIRECT("'"&amp;$C226&amp;"'!"&amp;"$"&amp;$D226&amp;74&amp;"")</f>
        <v>0</v>
      </c>
      <c r="BP226" s="289"/>
      <c r="BQ226" s="289" t="s">
        <v>1</v>
      </c>
      <c r="BR226" s="287" t="s">
        <v>1</v>
      </c>
    </row>
    <row r="227" spans="1:70">
      <c r="A227" s="361">
        <v>45756</v>
      </c>
      <c r="B227" s="358">
        <v>0.91666666666666696</v>
      </c>
      <c r="C227" s="313">
        <f t="shared" si="7"/>
        <v>9</v>
      </c>
      <c r="D227" s="314" t="s">
        <v>149</v>
      </c>
      <c r="E227" s="293">
        <v>14</v>
      </c>
      <c r="F227" s="294">
        <v>69.59</v>
      </c>
      <c r="G227" s="295" cm="1">
        <f t="array" aca="1" ref="G227" ca="1">INDIRECT("'"&amp;$C227&amp;"'!"&amp;"$"&amp;$D227&amp;$E$1&amp;"")</f>
        <v>6.3</v>
      </c>
      <c r="H227" s="296">
        <v>0.97</v>
      </c>
      <c r="I227" s="294">
        <v>1.64</v>
      </c>
      <c r="J227" s="295" cm="1">
        <f t="array" aca="1" ref="J227" ca="1">INDIRECT("'"&amp;$C227&amp;"'!"&amp;"$"&amp;$D227&amp;$J$1&amp;"")</f>
        <v>6.3</v>
      </c>
      <c r="K227" s="296"/>
      <c r="L227" s="296">
        <v>0.97</v>
      </c>
      <c r="M227" s="294">
        <v>1.64</v>
      </c>
      <c r="N227" s="295" cm="1">
        <f t="array" aca="1" ref="N227" ca="1">INDIRECT("'"&amp;$C227&amp;"'!"&amp;"$"&amp;$D227&amp;$N$1&amp;"")</f>
        <v>0</v>
      </c>
      <c r="O227" s="296"/>
      <c r="P227" s="296" t="s">
        <v>1</v>
      </c>
      <c r="Q227" s="294" t="s">
        <v>1</v>
      </c>
      <c r="R227" s="295" cm="1">
        <f t="array" aca="1" ref="R227" ca="1">INDIRECT("'"&amp;$C227&amp;"'!"&amp;"$"&amp;$D227&amp;$R$1&amp;"")</f>
        <v>6.3</v>
      </c>
      <c r="S227" s="296"/>
      <c r="T227" s="296">
        <v>0.97</v>
      </c>
      <c r="U227" s="294">
        <v>1.64</v>
      </c>
      <c r="V227" s="295" cm="1">
        <f t="array" aca="1" ref="V227" ca="1">INDIRECT("'"&amp;$C227&amp;"'!"&amp;"$"&amp;$D227&amp;$V$1&amp;"")</f>
        <v>2.8</v>
      </c>
      <c r="W227" s="296">
        <f>3.8*3.56</f>
        <v>13.527999999999999</v>
      </c>
      <c r="X227" s="296">
        <v>0.96</v>
      </c>
      <c r="Y227" s="297">
        <v>0.76</v>
      </c>
      <c r="Z227" s="293" cm="1">
        <f t="array" aca="1" ref="Z227" ca="1">INDIRECT("'"&amp;$C227&amp;"'!"&amp;"$"&amp;$D227&amp;$Z$1&amp;"")</f>
        <v>0</v>
      </c>
      <c r="AA227" s="296" t="s">
        <v>1</v>
      </c>
      <c r="AB227" s="296" t="s">
        <v>1</v>
      </c>
      <c r="AC227" s="294" t="s">
        <v>1</v>
      </c>
      <c r="AD227" s="295" cm="1">
        <f t="array" aca="1" ref="AD227" ca="1">INDIRECT("'"&amp;$C227&amp;"'!"&amp;"$"&amp;$D227&amp;$AD$1&amp;"")</f>
        <v>3.8</v>
      </c>
      <c r="AE227" s="296">
        <f>3.8*3.56</f>
        <v>13.527999999999999</v>
      </c>
      <c r="AF227" s="296">
        <v>0.96</v>
      </c>
      <c r="AG227" s="297">
        <v>1.06</v>
      </c>
      <c r="AH227" s="293" cm="1">
        <f t="array" aca="1" ref="AH227" ca="1">INDIRECT("'"&amp;$C227&amp;"'!"&amp;"$"&amp;$D227&amp;$AH$1&amp;"")</f>
        <v>3.8</v>
      </c>
      <c r="AI227" s="296">
        <v>14</v>
      </c>
      <c r="AJ227" s="296">
        <v>0.99</v>
      </c>
      <c r="AK227" s="294">
        <v>0.35599999999999998</v>
      </c>
      <c r="AL227" s="293">
        <v>11.9</v>
      </c>
      <c r="AM227" s="297">
        <v>70.7</v>
      </c>
      <c r="AN227" s="293" t="str" cm="1">
        <f t="array" aca="1" ref="AN227" ca="1">INDIRECT("'"&amp;$C227&amp;"'!"&amp;"$"&amp;$D227&amp;$AL$1&amp;"")</f>
        <v>CMS</v>
      </c>
      <c r="AO227" s="296" t="s">
        <v>1</v>
      </c>
      <c r="AP227" s="294" t="s">
        <v>1</v>
      </c>
      <c r="AQ227" s="295" cm="1">
        <f t="array" aca="1" ref="AQ227" ca="1">INDIRECT("'"&amp;$C227&amp;"'!"&amp;"$"&amp;$D227&amp;$AQ$1&amp;"")</f>
        <v>4.4000000000000004</v>
      </c>
      <c r="AR227" s="296">
        <v>0.99</v>
      </c>
      <c r="AS227" s="294">
        <v>0.63</v>
      </c>
      <c r="AT227" s="296" cm="1">
        <f t="array" aca="1" ref="AT227" ca="1">INDIRECT("'"&amp;$C227&amp;"'!"&amp;"$"&amp;$D227&amp;$AT$1&amp;"")</f>
        <v>4</v>
      </c>
      <c r="AU227" s="295">
        <v>13.88</v>
      </c>
      <c r="AV227" s="296">
        <v>0.96</v>
      </c>
      <c r="AW227" s="294">
        <v>1.1000000000000001</v>
      </c>
      <c r="AX227" s="298">
        <v>14.2</v>
      </c>
      <c r="AY227" s="297">
        <v>71.8</v>
      </c>
      <c r="AZ227" s="298" cm="1">
        <f t="array" aca="1" ref="AZ227" ca="1">INDIRECT("'"&amp;$C227&amp;"'!"&amp;"$"&amp;$D227&amp;$AZ$1&amp;"")</f>
        <v>14.28</v>
      </c>
      <c r="BA227" s="296">
        <v>0.99</v>
      </c>
      <c r="BB227" s="294">
        <v>2.4</v>
      </c>
      <c r="BC227" s="299">
        <v>68.7</v>
      </c>
      <c r="BD227" s="293" cm="1">
        <f t="array" aca="1" ref="BD227" ca="1">INDIRECT("'"&amp;$C227&amp;"'!"&amp;"$"&amp;$D227&amp;$BC$1&amp;"")</f>
        <v>0</v>
      </c>
      <c r="BE227" s="295" t="s">
        <v>1</v>
      </c>
      <c r="BF227" s="294" t="s">
        <v>1</v>
      </c>
      <c r="BG227" s="298" cm="1">
        <f t="array" aca="1" ref="BG227" ca="1">INDIRECT("'"&amp;$C227&amp;"'!"&amp;"$"&amp;$D227&amp;$BG$1&amp;"")</f>
        <v>1.33</v>
      </c>
      <c r="BH227" s="296"/>
      <c r="BI227" s="296">
        <v>0.99</v>
      </c>
      <c r="BJ227" s="294">
        <v>0.19</v>
      </c>
      <c r="BK227" s="299" cm="1">
        <f t="array" aca="1" ref="BK227" ca="1">INDIRECT("'"&amp;$C227&amp;"'!"&amp;"$"&amp;$D227&amp;$BK$1&amp;"")</f>
        <v>0.88</v>
      </c>
      <c r="BL227" s="296"/>
      <c r="BM227" s="296">
        <v>0.96</v>
      </c>
      <c r="BN227" s="294">
        <v>0.24</v>
      </c>
      <c r="BO227" s="299" cm="1">
        <f t="array" aca="1" ref="BO227" ca="1">INDIRECT("'"&amp;$C227&amp;"'!"&amp;"$"&amp;$D227&amp;74&amp;"")</f>
        <v>0</v>
      </c>
      <c r="BP227" s="296"/>
      <c r="BQ227" s="296" t="s">
        <v>1</v>
      </c>
      <c r="BR227" s="294" t="s">
        <v>1</v>
      </c>
    </row>
    <row r="228" spans="1:70" ht="14.45" thickBot="1">
      <c r="A228" s="362">
        <v>45756</v>
      </c>
      <c r="B228" s="359">
        <v>0.95833333333333404</v>
      </c>
      <c r="C228" s="315">
        <f t="shared" si="7"/>
        <v>9</v>
      </c>
      <c r="D228" s="316" t="s">
        <v>150</v>
      </c>
      <c r="E228" s="301">
        <v>14</v>
      </c>
      <c r="F228" s="302">
        <v>69.680000000000007</v>
      </c>
      <c r="G228" s="303" cm="1">
        <f t="array" aca="1" ref="G228" ca="1">INDIRECT("'"&amp;$C228&amp;"'!"&amp;"$"&amp;$D228&amp;$E$1&amp;"")</f>
        <v>6.3</v>
      </c>
      <c r="H228" s="304">
        <v>0.97</v>
      </c>
      <c r="I228" s="302">
        <v>1.4</v>
      </c>
      <c r="J228" s="303" cm="1">
        <f t="array" aca="1" ref="J228" ca="1">INDIRECT("'"&amp;$C228&amp;"'!"&amp;"$"&amp;$D228&amp;$J$1&amp;"")</f>
        <v>6.3</v>
      </c>
      <c r="K228" s="304"/>
      <c r="L228" s="304">
        <v>0.97</v>
      </c>
      <c r="M228" s="302">
        <v>1.4</v>
      </c>
      <c r="N228" s="303" cm="1">
        <f t="array" aca="1" ref="N228" ca="1">INDIRECT("'"&amp;$C228&amp;"'!"&amp;"$"&amp;$D228&amp;$N$1&amp;"")</f>
        <v>0</v>
      </c>
      <c r="O228" s="304"/>
      <c r="P228" s="304" t="s">
        <v>1</v>
      </c>
      <c r="Q228" s="302" t="s">
        <v>1</v>
      </c>
      <c r="R228" s="303" cm="1">
        <f t="array" aca="1" ref="R228" ca="1">INDIRECT("'"&amp;$C228&amp;"'!"&amp;"$"&amp;$D228&amp;$R$1&amp;"")</f>
        <v>6.3</v>
      </c>
      <c r="S228" s="304"/>
      <c r="T228" s="304">
        <v>0.97</v>
      </c>
      <c r="U228" s="302">
        <v>1.4</v>
      </c>
      <c r="V228" s="303" cm="1">
        <f t="array" aca="1" ref="V228" ca="1">INDIRECT("'"&amp;$C228&amp;"'!"&amp;"$"&amp;$D228&amp;$V$1&amp;"")</f>
        <v>2</v>
      </c>
      <c r="W228" s="304">
        <f>3.8*3.58</f>
        <v>13.603999999999999</v>
      </c>
      <c r="X228" s="304">
        <v>0.98</v>
      </c>
      <c r="Y228" s="305">
        <v>0.74</v>
      </c>
      <c r="Z228" s="301" cm="1">
        <f t="array" aca="1" ref="Z228" ca="1">INDIRECT("'"&amp;$C228&amp;"'!"&amp;"$"&amp;$D228&amp;$Z$1&amp;"")</f>
        <v>0</v>
      </c>
      <c r="AA228" s="304" t="s">
        <v>1</v>
      </c>
      <c r="AB228" s="304" t="s">
        <v>1</v>
      </c>
      <c r="AC228" s="302" t="s">
        <v>1</v>
      </c>
      <c r="AD228" s="303" cm="1">
        <f t="array" aca="1" ref="AD228" ca="1">INDIRECT("'"&amp;$C228&amp;"'!"&amp;"$"&amp;$D228&amp;$AD$1&amp;"")</f>
        <v>3.6</v>
      </c>
      <c r="AE228" s="304">
        <f>3.8*3.58</f>
        <v>13.603999999999999</v>
      </c>
      <c r="AF228" s="304">
        <v>0.96</v>
      </c>
      <c r="AG228" s="305">
        <v>0.97</v>
      </c>
      <c r="AH228" s="301" cm="1">
        <f t="array" aca="1" ref="AH228" ca="1">INDIRECT("'"&amp;$C228&amp;"'!"&amp;"$"&amp;$D228&amp;$AH$1&amp;"")</f>
        <v>3.8</v>
      </c>
      <c r="AI228" s="304">
        <v>14</v>
      </c>
      <c r="AJ228" s="304">
        <v>0.98</v>
      </c>
      <c r="AK228" s="302">
        <v>0.58799999999999997</v>
      </c>
      <c r="AL228" s="301">
        <v>11.8</v>
      </c>
      <c r="AM228" s="305">
        <v>70.3</v>
      </c>
      <c r="AN228" s="301" t="str" cm="1">
        <f t="array" aca="1" ref="AN228" ca="1">INDIRECT("'"&amp;$C228&amp;"'!"&amp;"$"&amp;$D228&amp;$AL$1&amp;"")</f>
        <v>CMS</v>
      </c>
      <c r="AO228" s="304" t="s">
        <v>1</v>
      </c>
      <c r="AP228" s="302" t="s">
        <v>1</v>
      </c>
      <c r="AQ228" s="303" cm="1">
        <f t="array" aca="1" ref="AQ228" ca="1">INDIRECT("'"&amp;$C228&amp;"'!"&amp;"$"&amp;$D228&amp;$AQ$1&amp;"")</f>
        <v>4.3</v>
      </c>
      <c r="AR228" s="304">
        <v>0.95</v>
      </c>
      <c r="AS228" s="302">
        <v>1.38</v>
      </c>
      <c r="AT228" s="304" cm="1">
        <f t="array" aca="1" ref="AT228" ca="1">INDIRECT("'"&amp;$C228&amp;"'!"&amp;"$"&amp;$D228&amp;$AT$1&amp;"")</f>
        <v>0</v>
      </c>
      <c r="AU228" s="303" t="s">
        <v>1</v>
      </c>
      <c r="AV228" s="304" t="s">
        <v>1</v>
      </c>
      <c r="AW228" s="302" t="s">
        <v>1</v>
      </c>
      <c r="AX228" s="306">
        <v>14</v>
      </c>
      <c r="AY228" s="305">
        <v>71.290000000000006</v>
      </c>
      <c r="AZ228" s="306" cm="1">
        <f t="array" aca="1" ref="AZ228" ca="1">INDIRECT("'"&amp;$C228&amp;"'!"&amp;"$"&amp;$D228&amp;$AZ$1&amp;"")</f>
        <v>14.31</v>
      </c>
      <c r="BA228" s="304">
        <v>1</v>
      </c>
      <c r="BB228" s="302">
        <v>1.4</v>
      </c>
      <c r="BC228" s="307">
        <v>68.7</v>
      </c>
      <c r="BD228" s="301" cm="1">
        <f t="array" aca="1" ref="BD228" ca="1">INDIRECT("'"&amp;$C228&amp;"'!"&amp;"$"&amp;$D228&amp;$BC$1&amp;"")</f>
        <v>0.7</v>
      </c>
      <c r="BE228" s="303">
        <v>0.98</v>
      </c>
      <c r="BF228" s="302">
        <v>0.14000000000000001</v>
      </c>
      <c r="BG228" s="306" cm="1">
        <f t="array" aca="1" ref="BG228" ca="1">INDIRECT("'"&amp;$C228&amp;"'!"&amp;"$"&amp;$D228&amp;$BG$1&amp;"")</f>
        <v>1.1599999999999999</v>
      </c>
      <c r="BH228" s="304"/>
      <c r="BI228" s="304">
        <v>0.99</v>
      </c>
      <c r="BJ228" s="302">
        <v>0.19</v>
      </c>
      <c r="BK228" s="307" cm="1">
        <f t="array" aca="1" ref="BK228" ca="1">INDIRECT("'"&amp;$C228&amp;"'!"&amp;"$"&amp;$D228&amp;$BK$1&amp;"")</f>
        <v>0.83</v>
      </c>
      <c r="BL228" s="304"/>
      <c r="BM228" s="304">
        <v>0.96</v>
      </c>
      <c r="BN228" s="302">
        <v>0.23</v>
      </c>
      <c r="BO228" s="307" cm="1">
        <f t="array" aca="1" ref="BO228" ca="1">INDIRECT("'"&amp;$C228&amp;"'!"&amp;"$"&amp;$D228&amp;74&amp;"")</f>
        <v>0</v>
      </c>
      <c r="BP228" s="304"/>
      <c r="BQ228" s="304" t="s">
        <v>1</v>
      </c>
      <c r="BR228" s="302" t="s">
        <v>1</v>
      </c>
    </row>
    <row r="229" spans="1:70" ht="14.45" thickBot="1"/>
    <row r="230" spans="1:70">
      <c r="A230" s="360">
        <v>45757</v>
      </c>
      <c r="B230" s="357">
        <v>0</v>
      </c>
      <c r="C230" s="310">
        <f>C205+1</f>
        <v>10</v>
      </c>
      <c r="D230" s="311" t="s">
        <v>127</v>
      </c>
      <c r="E230" s="280">
        <v>14.1</v>
      </c>
      <c r="F230" s="281">
        <v>69.709999999999994</v>
      </c>
      <c r="G230" s="282" cm="1">
        <f t="array" aca="1" ref="G230" ca="1">INDIRECT("'"&amp;$C230&amp;"'!"&amp;"$"&amp;$D230&amp;$E$1&amp;"")</f>
        <v>6.5</v>
      </c>
      <c r="H230" s="283">
        <v>0.98</v>
      </c>
      <c r="I230" s="281">
        <v>1.49</v>
      </c>
      <c r="J230" s="282" cm="1">
        <f t="array" aca="1" ref="J230" ca="1">INDIRECT("'"&amp;$C230&amp;"'!"&amp;"$"&amp;$D230&amp;$J$1&amp;"")</f>
        <v>6.5</v>
      </c>
      <c r="K230" s="283"/>
      <c r="L230" s="283">
        <v>0.98</v>
      </c>
      <c r="M230" s="281">
        <v>1.49</v>
      </c>
      <c r="N230" s="282" cm="1">
        <f t="array" aca="1" ref="N230" ca="1">INDIRECT("'"&amp;$C230&amp;"'!"&amp;"$"&amp;$D230&amp;$N$1&amp;"")</f>
        <v>0</v>
      </c>
      <c r="O230" s="283"/>
      <c r="P230" s="283" t="s">
        <v>1</v>
      </c>
      <c r="Q230" s="281" t="s">
        <v>1</v>
      </c>
      <c r="R230" s="282" cm="1">
        <f t="array" aca="1" ref="R230" ca="1">INDIRECT("'"&amp;$C230&amp;"'!"&amp;"$"&amp;$D230&amp;$R$1&amp;"")</f>
        <v>6.5</v>
      </c>
      <c r="S230" s="283"/>
      <c r="T230" s="283">
        <v>0.98</v>
      </c>
      <c r="U230" s="281">
        <v>1.49</v>
      </c>
      <c r="V230" s="282" cm="1">
        <f t="array" aca="1" ref="V230" ca="1">INDIRECT("'"&amp;$C230&amp;"'!"&amp;"$"&amp;$D230&amp;$V$1&amp;"")</f>
        <v>0</v>
      </c>
      <c r="W230" s="283" t="s">
        <v>1</v>
      </c>
      <c r="X230" s="283" t="s">
        <v>1</v>
      </c>
      <c r="Y230" s="284" t="s">
        <v>1</v>
      </c>
      <c r="Z230" s="280" cm="1">
        <f t="array" aca="1" ref="Z230" ca="1">INDIRECT("'"&amp;$C230&amp;"'!"&amp;"$"&amp;$D230&amp;$Z$1&amp;"")</f>
        <v>0</v>
      </c>
      <c r="AA230" s="283" t="s">
        <v>1</v>
      </c>
      <c r="AB230" s="283" t="s">
        <v>1</v>
      </c>
      <c r="AC230" s="281" t="s">
        <v>1</v>
      </c>
      <c r="AD230" s="282" cm="1">
        <f t="array" aca="1" ref="AD230" ca="1">INDIRECT("'"&amp;$C230&amp;"'!"&amp;"$"&amp;$D230&amp;$AD$1&amp;"")</f>
        <v>3</v>
      </c>
      <c r="AE230" s="283">
        <f>3.8*3.58</f>
        <v>13.603999999999999</v>
      </c>
      <c r="AF230" s="283">
        <v>0.97</v>
      </c>
      <c r="AG230" s="281">
        <v>0.79</v>
      </c>
      <c r="AH230" s="280" cm="1">
        <f t="array" aca="1" ref="AH230" ca="1">INDIRECT("'"&amp;$C230&amp;"'!"&amp;"$"&amp;$D230&amp;$AH$1&amp;"")</f>
        <v>2.5</v>
      </c>
      <c r="AI230" s="283">
        <v>14</v>
      </c>
      <c r="AJ230" s="283">
        <v>0.98</v>
      </c>
      <c r="AK230" s="281">
        <v>0.59099999999999997</v>
      </c>
      <c r="AL230" s="280">
        <v>11.8</v>
      </c>
      <c r="AM230" s="284">
        <v>70.3</v>
      </c>
      <c r="AN230" s="280" t="str" cm="1">
        <f t="array" aca="1" ref="AN230" ca="1">INDIRECT("'"&amp;$C230&amp;"'!"&amp;"$"&amp;$D230&amp;$AL$1&amp;"")</f>
        <v>CMS</v>
      </c>
      <c r="AO230" s="283" t="s">
        <v>1</v>
      </c>
      <c r="AP230" s="281" t="s">
        <v>1</v>
      </c>
      <c r="AQ230" s="282" cm="1">
        <f t="array" aca="1" ref="AQ230" ca="1">INDIRECT("'"&amp;$C230&amp;"'!"&amp;"$"&amp;$D230&amp;$AQ$1&amp;"")</f>
        <v>3.1</v>
      </c>
      <c r="AR230" s="283">
        <v>0.97</v>
      </c>
      <c r="AS230" s="281">
        <v>1.47</v>
      </c>
      <c r="AT230" s="283" cm="1">
        <f t="array" aca="1" ref="AT230" ca="1">INDIRECT("'"&amp;$C230&amp;"'!"&amp;"$"&amp;$D230&amp;$AT$1&amp;"")</f>
        <v>0</v>
      </c>
      <c r="AU230" s="282" t="s">
        <v>1</v>
      </c>
      <c r="AV230" s="283" t="s">
        <v>1</v>
      </c>
      <c r="AW230" s="281" t="s">
        <v>1</v>
      </c>
      <c r="AX230" s="285">
        <v>14.03</v>
      </c>
      <c r="AY230" s="284">
        <v>71.48</v>
      </c>
      <c r="AZ230" s="285" cm="1">
        <f t="array" aca="1" ref="AZ230" ca="1">INDIRECT("'"&amp;$C230&amp;"'!"&amp;"$"&amp;$D230&amp;$AZ$1&amp;"")</f>
        <v>14.27</v>
      </c>
      <c r="BA230" s="283">
        <v>1</v>
      </c>
      <c r="BB230" s="281">
        <v>1.3</v>
      </c>
      <c r="BC230" s="281">
        <v>68.8</v>
      </c>
      <c r="BD230" s="280" cm="1">
        <f t="array" aca="1" ref="BD230" ca="1">INDIRECT("'"&amp;$C230&amp;"'!"&amp;"$"&amp;$D230&amp;$BC$1&amp;"")</f>
        <v>0</v>
      </c>
      <c r="BE230" s="282" t="s">
        <v>1</v>
      </c>
      <c r="BF230" s="281" t="s">
        <v>1</v>
      </c>
      <c r="BG230" s="285" cm="1">
        <f t="array" aca="1" ref="BG230" ca="1">INDIRECT("'"&amp;$C230&amp;"'!"&amp;"$"&amp;$D230&amp;$BG$1&amp;"")</f>
        <v>1.06</v>
      </c>
      <c r="BH230" s="283"/>
      <c r="BI230" s="283">
        <v>0.99</v>
      </c>
      <c r="BJ230" s="281">
        <v>0.17</v>
      </c>
      <c r="BK230" s="285" cm="1">
        <f t="array" aca="1" ref="BK230" ca="1">INDIRECT("'"&amp;$C230&amp;"'!"&amp;"$"&amp;$D230&amp;$BK$1&amp;"")</f>
        <v>0.79</v>
      </c>
      <c r="BL230" s="283"/>
      <c r="BM230" s="283">
        <v>0.96</v>
      </c>
      <c r="BN230" s="281">
        <v>0.22</v>
      </c>
      <c r="BO230" s="373" cm="1">
        <f t="array" aca="1" ref="BO230" ca="1">INDIRECT("'"&amp;$C230&amp;"'!"&amp;"$"&amp;$D230&amp;74&amp;"")</f>
        <v>0</v>
      </c>
      <c r="BP230" s="283"/>
      <c r="BQ230" s="283" t="s">
        <v>1</v>
      </c>
      <c r="BR230" s="281" t="s">
        <v>1</v>
      </c>
    </row>
    <row r="231" spans="1:70">
      <c r="A231" s="361">
        <v>45757</v>
      </c>
      <c r="B231" s="358">
        <v>4.1666666666666699E-2</v>
      </c>
      <c r="C231" s="313">
        <f t="shared" ref="C231:C253" si="8">C206+1</f>
        <v>10</v>
      </c>
      <c r="D231" s="314" t="s">
        <v>128</v>
      </c>
      <c r="E231" s="286">
        <v>14.1</v>
      </c>
      <c r="F231" s="287">
        <v>70.42</v>
      </c>
      <c r="G231" s="288" cm="1">
        <f t="array" aca="1" ref="G231" ca="1">INDIRECT("'"&amp;$C231&amp;"'!"&amp;"$"&amp;$D231&amp;$E$1&amp;"")</f>
        <v>6.7</v>
      </c>
      <c r="H231" s="289">
        <v>0.98</v>
      </c>
      <c r="I231" s="287">
        <v>1.2</v>
      </c>
      <c r="J231" s="288" cm="1">
        <f t="array" aca="1" ref="J231" ca="1">INDIRECT("'"&amp;$C231&amp;"'!"&amp;"$"&amp;$D231&amp;$J$1&amp;"")</f>
        <v>6.7</v>
      </c>
      <c r="K231" s="289"/>
      <c r="L231" s="289">
        <v>0.98</v>
      </c>
      <c r="M231" s="287">
        <v>1.2</v>
      </c>
      <c r="N231" s="288" cm="1">
        <f t="array" aca="1" ref="N231" ca="1">INDIRECT("'"&amp;$C231&amp;"'!"&amp;"$"&amp;$D231&amp;$N$1&amp;"")</f>
        <v>2.7</v>
      </c>
      <c r="O231" s="289"/>
      <c r="P231" s="289">
        <v>0.96</v>
      </c>
      <c r="Q231" s="287">
        <v>0.83</v>
      </c>
      <c r="R231" s="288" cm="1">
        <f t="array" aca="1" ref="R231" ca="1">INDIRECT("'"&amp;$C231&amp;"'!"&amp;"$"&amp;$D231&amp;$R$1&amp;"")</f>
        <v>4</v>
      </c>
      <c r="S231" s="289"/>
      <c r="T231" s="289">
        <v>0.99</v>
      </c>
      <c r="U231" s="287">
        <v>0.69</v>
      </c>
      <c r="V231" s="288" cm="1">
        <f t="array" aca="1" ref="V231" ca="1">INDIRECT("'"&amp;$C231&amp;"'!"&amp;"$"&amp;$D231&amp;$V$1&amp;"")</f>
        <v>0</v>
      </c>
      <c r="W231" s="289" t="s">
        <v>1</v>
      </c>
      <c r="X231" s="289" t="s">
        <v>1</v>
      </c>
      <c r="Y231" s="290" t="s">
        <v>1</v>
      </c>
      <c r="Z231" s="286" cm="1">
        <f t="array" aca="1" ref="Z231" ca="1">INDIRECT("'"&amp;$C231&amp;"'!"&amp;"$"&amp;$D231&amp;$Z$1&amp;"")</f>
        <v>0</v>
      </c>
      <c r="AA231" s="289" t="s">
        <v>1</v>
      </c>
      <c r="AB231" s="289" t="s">
        <v>1</v>
      </c>
      <c r="AC231" s="287" t="s">
        <v>1</v>
      </c>
      <c r="AD231" s="288" cm="1">
        <f t="array" aca="1" ref="AD231" ca="1">INDIRECT("'"&amp;$C231&amp;"'!"&amp;"$"&amp;$D231&amp;$AD$1&amp;"")</f>
        <v>3</v>
      </c>
      <c r="AE231" s="289">
        <f>3.8*3.61</f>
        <v>13.717999999999998</v>
      </c>
      <c r="AF231" s="289">
        <v>0.98</v>
      </c>
      <c r="AG231" s="290">
        <v>0.47</v>
      </c>
      <c r="AH231" s="286" cm="1">
        <f t="array" aca="1" ref="AH231" ca="1">INDIRECT("'"&amp;$C231&amp;"'!"&amp;"$"&amp;$D231&amp;$AH$1&amp;"")</f>
        <v>0</v>
      </c>
      <c r="AI231" s="289" t="s">
        <v>1</v>
      </c>
      <c r="AJ231" s="289" t="s">
        <v>1</v>
      </c>
      <c r="AK231" s="287" t="s">
        <v>1</v>
      </c>
      <c r="AL231" s="286">
        <v>11.8</v>
      </c>
      <c r="AM231" s="290">
        <v>70.900000000000006</v>
      </c>
      <c r="AN231" s="286" t="str" cm="1">
        <f t="array" aca="1" ref="AN231" ca="1">INDIRECT("'"&amp;$C231&amp;"'!"&amp;"$"&amp;$D231&amp;$AL$1&amp;"")</f>
        <v>CMS</v>
      </c>
      <c r="AO231" s="289" t="s">
        <v>1</v>
      </c>
      <c r="AP231" s="287" t="s">
        <v>1</v>
      </c>
      <c r="AQ231" s="288" cm="1">
        <f t="array" aca="1" ref="AQ231" ca="1">INDIRECT("'"&amp;$C231&amp;"'!"&amp;"$"&amp;$D231&amp;$AQ$1&amp;"")</f>
        <v>3.5</v>
      </c>
      <c r="AR231" s="289">
        <v>0.97</v>
      </c>
      <c r="AS231" s="287">
        <v>0.87</v>
      </c>
      <c r="AT231" s="289" cm="1">
        <f t="array" aca="1" ref="AT231" ca="1">INDIRECT("'"&amp;$C231&amp;"'!"&amp;"$"&amp;$D231&amp;$AT$1&amp;"")</f>
        <v>0</v>
      </c>
      <c r="AU231" s="288" t="s">
        <v>1</v>
      </c>
      <c r="AV231" s="289" t="s">
        <v>1</v>
      </c>
      <c r="AW231" s="287" t="s">
        <v>1</v>
      </c>
      <c r="AX231" s="291">
        <v>14.19</v>
      </c>
      <c r="AY231" s="290">
        <v>71.83</v>
      </c>
      <c r="AZ231" s="291" cm="1">
        <f t="array" aca="1" ref="AZ231" ca="1">INDIRECT("'"&amp;$C231&amp;"'!"&amp;"$"&amp;$D231&amp;$AZ$1&amp;"")</f>
        <v>14.28</v>
      </c>
      <c r="BA231" s="289">
        <v>0.99</v>
      </c>
      <c r="BB231" s="287">
        <v>2.4</v>
      </c>
      <c r="BC231" s="292">
        <v>69.5</v>
      </c>
      <c r="BD231" s="286" cm="1">
        <f t="array" aca="1" ref="BD231" ca="1">INDIRECT("'"&amp;$C231&amp;"'!"&amp;"$"&amp;$D231&amp;$BC$1&amp;"")</f>
        <v>0</v>
      </c>
      <c r="BE231" s="288" t="s">
        <v>1</v>
      </c>
      <c r="BF231" s="287" t="s">
        <v>1</v>
      </c>
      <c r="BG231" s="291" cm="1">
        <f t="array" aca="1" ref="BG231" ca="1">INDIRECT("'"&amp;$C231&amp;"'!"&amp;"$"&amp;$D231&amp;$BG$1&amp;"")</f>
        <v>0.99</v>
      </c>
      <c r="BH231" s="289"/>
      <c r="BI231" s="289">
        <v>0.99</v>
      </c>
      <c r="BJ231" s="287">
        <v>0.17</v>
      </c>
      <c r="BK231" s="291" cm="1">
        <f t="array" aca="1" ref="BK231" ca="1">INDIRECT("'"&amp;$C231&amp;"'!"&amp;"$"&amp;$D231&amp;$BK$1&amp;"")</f>
        <v>0.78</v>
      </c>
      <c r="BL231" s="289"/>
      <c r="BM231" s="289">
        <v>0.96</v>
      </c>
      <c r="BN231" s="287">
        <v>0.22</v>
      </c>
      <c r="BO231" s="292" cm="1">
        <f t="array" aca="1" ref="BO231" ca="1">INDIRECT("'"&amp;$C231&amp;"'!"&amp;"$"&amp;$D231&amp;74&amp;"")</f>
        <v>0</v>
      </c>
      <c r="BP231" s="289"/>
      <c r="BQ231" s="289" t="s">
        <v>1</v>
      </c>
      <c r="BR231" s="287" t="s">
        <v>1</v>
      </c>
    </row>
    <row r="232" spans="1:70">
      <c r="A232" s="361">
        <v>45757</v>
      </c>
      <c r="B232" s="358">
        <v>8.3333333333333301E-2</v>
      </c>
      <c r="C232" s="313">
        <f t="shared" si="8"/>
        <v>10</v>
      </c>
      <c r="D232" s="314" t="s">
        <v>129</v>
      </c>
      <c r="E232" s="293">
        <v>14</v>
      </c>
      <c r="F232" s="294">
        <v>69.400000000000006</v>
      </c>
      <c r="G232" s="295" cm="1">
        <f t="array" aca="1" ref="G232" ca="1">INDIRECT("'"&amp;$C232&amp;"'!"&amp;"$"&amp;$D232&amp;$E$1&amp;"")</f>
        <v>6.7</v>
      </c>
      <c r="H232" s="296">
        <v>0.99</v>
      </c>
      <c r="I232" s="294">
        <v>0.8</v>
      </c>
      <c r="J232" s="295" cm="1">
        <f t="array" aca="1" ref="J232" ca="1">INDIRECT("'"&amp;$C232&amp;"'!"&amp;"$"&amp;$D232&amp;$J$1&amp;"")</f>
        <v>6.7</v>
      </c>
      <c r="K232" s="296"/>
      <c r="L232" s="296">
        <v>0.99</v>
      </c>
      <c r="M232" s="294">
        <v>0.8</v>
      </c>
      <c r="N232" s="295" cm="1">
        <f t="array" aca="1" ref="N232" ca="1">INDIRECT("'"&amp;$C232&amp;"'!"&amp;"$"&amp;$D232&amp;$N$1&amp;"")</f>
        <v>6.7</v>
      </c>
      <c r="O232" s="296"/>
      <c r="P232" s="296">
        <v>0.99</v>
      </c>
      <c r="Q232" s="294">
        <v>0.8</v>
      </c>
      <c r="R232" s="295" cm="1">
        <f t="array" aca="1" ref="R232" ca="1">INDIRECT("'"&amp;$C232&amp;"'!"&amp;"$"&amp;$D232&amp;$R$1&amp;"")</f>
        <v>0</v>
      </c>
      <c r="S232" s="296"/>
      <c r="T232" s="296" t="s">
        <v>1</v>
      </c>
      <c r="U232" s="294" t="s">
        <v>1</v>
      </c>
      <c r="V232" s="295" cm="1">
        <f t="array" aca="1" ref="V232" ca="1">INDIRECT("'"&amp;$C232&amp;"'!"&amp;"$"&amp;$D232&amp;$V$1&amp;"")</f>
        <v>0</v>
      </c>
      <c r="W232" s="296" t="s">
        <v>1</v>
      </c>
      <c r="X232" s="296" t="s">
        <v>1</v>
      </c>
      <c r="Y232" s="297" t="s">
        <v>1</v>
      </c>
      <c r="Z232" s="293" cm="1">
        <f t="array" aca="1" ref="Z232" ca="1">INDIRECT("'"&amp;$C232&amp;"'!"&amp;"$"&amp;$D232&amp;$Z$1&amp;"")</f>
        <v>0</v>
      </c>
      <c r="AA232" s="296" t="s">
        <v>1</v>
      </c>
      <c r="AB232" s="296" t="s">
        <v>1</v>
      </c>
      <c r="AC232" s="294" t="s">
        <v>1</v>
      </c>
      <c r="AD232" s="295" cm="1">
        <f t="array" aca="1" ref="AD232" ca="1">INDIRECT("'"&amp;$C232&amp;"'!"&amp;"$"&amp;$D232&amp;$AD$1&amp;"")</f>
        <v>0</v>
      </c>
      <c r="AE232" s="296" t="s">
        <v>1</v>
      </c>
      <c r="AF232" s="296" t="s">
        <v>1</v>
      </c>
      <c r="AG232" s="297" t="s">
        <v>1</v>
      </c>
      <c r="AH232" s="293" cm="1">
        <f t="array" aca="1" ref="AH232" ca="1">INDIRECT("'"&amp;$C232&amp;"'!"&amp;"$"&amp;$D232&amp;$AH$1&amp;"")</f>
        <v>0</v>
      </c>
      <c r="AI232" s="296" t="s">
        <v>1</v>
      </c>
      <c r="AJ232" s="296" t="s">
        <v>1</v>
      </c>
      <c r="AK232" s="297" t="s">
        <v>1</v>
      </c>
      <c r="AL232" s="293">
        <v>11.8</v>
      </c>
      <c r="AM232" s="297">
        <v>70.099999999999994</v>
      </c>
      <c r="AN232" s="293" t="str" cm="1">
        <f t="array" aca="1" ref="AN232" ca="1">INDIRECT("'"&amp;$C232&amp;"'!"&amp;"$"&amp;$D232&amp;$AL$1&amp;"")</f>
        <v>CMS</v>
      </c>
      <c r="AO232" s="296" t="s">
        <v>1</v>
      </c>
      <c r="AP232" s="294" t="s">
        <v>1</v>
      </c>
      <c r="AQ232" s="295" cm="1">
        <f t="array" aca="1" ref="AQ232" ca="1">INDIRECT("'"&amp;$C232&amp;"'!"&amp;"$"&amp;$D232&amp;$AQ$1&amp;"")</f>
        <v>4</v>
      </c>
      <c r="AR232" s="296">
        <v>0.97</v>
      </c>
      <c r="AS232" s="294">
        <v>0.97</v>
      </c>
      <c r="AT232" s="296" cm="1">
        <f t="array" aca="1" ref="AT232" ca="1">INDIRECT("'"&amp;$C232&amp;"'!"&amp;"$"&amp;$D232&amp;$AT$1&amp;"")</f>
        <v>0</v>
      </c>
      <c r="AU232" s="295" t="s">
        <v>1</v>
      </c>
      <c r="AV232" s="296" t="s">
        <v>1</v>
      </c>
      <c r="AW232" s="294" t="s">
        <v>1</v>
      </c>
      <c r="AX232" s="298">
        <v>14.12</v>
      </c>
      <c r="AY232" s="297">
        <v>71.48</v>
      </c>
      <c r="AZ232" s="298" cm="1">
        <f t="array" aca="1" ref="AZ232" ca="1">INDIRECT("'"&amp;$C232&amp;"'!"&amp;"$"&amp;$D232&amp;$AZ$1&amp;"")</f>
        <v>14.29</v>
      </c>
      <c r="BA232" s="296">
        <v>0.99</v>
      </c>
      <c r="BB232" s="294">
        <v>2.4</v>
      </c>
      <c r="BC232" s="299">
        <v>68.5</v>
      </c>
      <c r="BD232" s="293" cm="1">
        <f t="array" aca="1" ref="BD232" ca="1">INDIRECT("'"&amp;$C232&amp;"'!"&amp;"$"&amp;$D232&amp;$BC$1&amp;"")</f>
        <v>0.7</v>
      </c>
      <c r="BE232" s="295">
        <v>0.98</v>
      </c>
      <c r="BF232" s="294">
        <v>0.14000000000000001</v>
      </c>
      <c r="BG232" s="298" cm="1">
        <f t="array" aca="1" ref="BG232" ca="1">INDIRECT("'"&amp;$C232&amp;"'!"&amp;"$"&amp;$D232&amp;$BG$1&amp;"")</f>
        <v>0.92</v>
      </c>
      <c r="BH232" s="296"/>
      <c r="BI232" s="296">
        <v>0.99</v>
      </c>
      <c r="BJ232" s="294">
        <v>0.14000000000000001</v>
      </c>
      <c r="BK232" s="298" cm="1">
        <f t="array" aca="1" ref="BK232" ca="1">INDIRECT("'"&amp;$C232&amp;"'!"&amp;"$"&amp;$D232&amp;$BK$1&amp;"")</f>
        <v>0.73</v>
      </c>
      <c r="BL232" s="296"/>
      <c r="BM232" s="296">
        <v>0.96</v>
      </c>
      <c r="BN232" s="294">
        <v>0.21</v>
      </c>
      <c r="BO232" s="299" cm="1">
        <f t="array" aca="1" ref="BO232" ca="1">INDIRECT("'"&amp;$C232&amp;"'!"&amp;"$"&amp;$D232&amp;74&amp;"")</f>
        <v>0</v>
      </c>
      <c r="BP232" s="296"/>
      <c r="BQ232" s="296" t="s">
        <v>1</v>
      </c>
      <c r="BR232" s="294" t="s">
        <v>1</v>
      </c>
    </row>
    <row r="233" spans="1:70">
      <c r="A233" s="361">
        <v>45757</v>
      </c>
      <c r="B233" s="358">
        <v>0.125</v>
      </c>
      <c r="C233" s="313">
        <f t="shared" si="8"/>
        <v>10</v>
      </c>
      <c r="D233" s="314" t="s">
        <v>130</v>
      </c>
      <c r="E233" s="286">
        <v>13.9</v>
      </c>
      <c r="F233" s="287">
        <v>69.37</v>
      </c>
      <c r="G233" s="288" cm="1">
        <f t="array" aca="1" ref="G233" ca="1">INDIRECT("'"&amp;$C233&amp;"'!"&amp;"$"&amp;$D233&amp;$E$1&amp;"")</f>
        <v>6.7</v>
      </c>
      <c r="H233" s="289">
        <v>0.99</v>
      </c>
      <c r="I233" s="287">
        <v>0.88</v>
      </c>
      <c r="J233" s="288" cm="1">
        <f t="array" aca="1" ref="J233" ca="1">INDIRECT("'"&amp;$C233&amp;"'!"&amp;"$"&amp;$D233&amp;$J$1&amp;"")</f>
        <v>6.7</v>
      </c>
      <c r="K233" s="289"/>
      <c r="L233" s="289">
        <v>0.99</v>
      </c>
      <c r="M233" s="287">
        <v>0.88</v>
      </c>
      <c r="N233" s="288" cm="1">
        <f t="array" aca="1" ref="N233" ca="1">INDIRECT("'"&amp;$C233&amp;"'!"&amp;"$"&amp;$D233&amp;$N$1&amp;"")</f>
        <v>6.7</v>
      </c>
      <c r="O233" s="289"/>
      <c r="P233" s="289">
        <v>0.99</v>
      </c>
      <c r="Q233" s="287">
        <v>0.88</v>
      </c>
      <c r="R233" s="288" cm="1">
        <f t="array" aca="1" ref="R233" ca="1">INDIRECT("'"&amp;$C233&amp;"'!"&amp;"$"&amp;$D233&amp;$R$1&amp;"")</f>
        <v>0</v>
      </c>
      <c r="S233" s="289"/>
      <c r="T233" s="289" t="s">
        <v>1</v>
      </c>
      <c r="U233" s="287" t="s">
        <v>1</v>
      </c>
      <c r="V233" s="288" cm="1">
        <f t="array" aca="1" ref="V233" ca="1">INDIRECT("'"&amp;$C233&amp;"'!"&amp;"$"&amp;$D233&amp;$V$1&amp;"")</f>
        <v>0</v>
      </c>
      <c r="W233" s="289" t="s">
        <v>1</v>
      </c>
      <c r="X233" s="289" t="s">
        <v>1</v>
      </c>
      <c r="Y233" s="290" t="s">
        <v>1</v>
      </c>
      <c r="Z233" s="286" cm="1">
        <f t="array" aca="1" ref="Z233" ca="1">INDIRECT("'"&amp;$C233&amp;"'!"&amp;"$"&amp;$D233&amp;$Z$1&amp;"")</f>
        <v>0</v>
      </c>
      <c r="AA233" s="289" t="s">
        <v>1</v>
      </c>
      <c r="AB233" s="289" t="s">
        <v>1</v>
      </c>
      <c r="AC233" s="287" t="s">
        <v>1</v>
      </c>
      <c r="AD233" s="288" cm="1">
        <f t="array" aca="1" ref="AD233" ca="1">INDIRECT("'"&amp;$C233&amp;"'!"&amp;"$"&amp;$D233&amp;$AD$1&amp;"")</f>
        <v>0</v>
      </c>
      <c r="AE233" s="289" t="s">
        <v>1</v>
      </c>
      <c r="AF233" s="289" t="s">
        <v>1</v>
      </c>
      <c r="AG233" s="290" t="s">
        <v>1</v>
      </c>
      <c r="AH233" s="286" cm="1">
        <f t="array" aca="1" ref="AH233" ca="1">INDIRECT("'"&amp;$C233&amp;"'!"&amp;"$"&amp;$D233&amp;$AH$1&amp;"")</f>
        <v>0</v>
      </c>
      <c r="AI233" s="289" t="s">
        <v>1</v>
      </c>
      <c r="AJ233" s="289" t="s">
        <v>1</v>
      </c>
      <c r="AK233" s="287" t="s">
        <v>1</v>
      </c>
      <c r="AL233" s="286">
        <v>11.8</v>
      </c>
      <c r="AM233" s="290">
        <v>70.099999999999994</v>
      </c>
      <c r="AN233" s="286" t="str" cm="1">
        <f t="array" aca="1" ref="AN233" ca="1">INDIRECT("'"&amp;$C233&amp;"'!"&amp;"$"&amp;$D233&amp;$AL$1&amp;"")</f>
        <v>CMS</v>
      </c>
      <c r="AO233" s="289" t="s">
        <v>1</v>
      </c>
      <c r="AP233" s="287" t="s">
        <v>1</v>
      </c>
      <c r="AQ233" s="288" cm="1">
        <f t="array" aca="1" ref="AQ233" ca="1">INDIRECT("'"&amp;$C233&amp;"'!"&amp;"$"&amp;$D233&amp;$AQ$1&amp;"")</f>
        <v>4</v>
      </c>
      <c r="AR233" s="289">
        <v>0.96</v>
      </c>
      <c r="AS233" s="287">
        <v>1.04</v>
      </c>
      <c r="AT233" s="289" cm="1">
        <f t="array" aca="1" ref="AT233" ca="1">INDIRECT("'"&amp;$C233&amp;"'!"&amp;"$"&amp;$D233&amp;$AT$1&amp;"")</f>
        <v>0</v>
      </c>
      <c r="AU233" s="288" t="s">
        <v>1</v>
      </c>
      <c r="AV233" s="289" t="s">
        <v>1</v>
      </c>
      <c r="AW233" s="287" t="s">
        <v>1</v>
      </c>
      <c r="AX233" s="291">
        <v>14.1</v>
      </c>
      <c r="AY233" s="290">
        <v>71.349999999999994</v>
      </c>
      <c r="AZ233" s="291" cm="1">
        <f t="array" aca="1" ref="AZ233" ca="1">INDIRECT("'"&amp;$C233&amp;"'!"&amp;"$"&amp;$D233&amp;$AZ$1&amp;"")</f>
        <v>14.28</v>
      </c>
      <c r="BA233" s="289">
        <v>0.99</v>
      </c>
      <c r="BB233" s="287">
        <v>2.4</v>
      </c>
      <c r="BC233" s="292">
        <v>68.400000000000006</v>
      </c>
      <c r="BD233" s="286" cm="1">
        <f t="array" aca="1" ref="BD233" ca="1">INDIRECT("'"&amp;$C233&amp;"'!"&amp;"$"&amp;$D233&amp;$BC$1&amp;"")</f>
        <v>0</v>
      </c>
      <c r="BE233" s="288" t="s">
        <v>1</v>
      </c>
      <c r="BF233" s="287" t="s">
        <v>1</v>
      </c>
      <c r="BG233" s="291" cm="1">
        <f t="array" aca="1" ref="BG233" ca="1">INDIRECT("'"&amp;$C233&amp;"'!"&amp;"$"&amp;$D233&amp;$BG$1&amp;"")</f>
        <v>0.88</v>
      </c>
      <c r="BH233" s="289"/>
      <c r="BI233" s="289">
        <v>0.99</v>
      </c>
      <c r="BJ233" s="287">
        <v>0.13</v>
      </c>
      <c r="BK233" s="291" cm="1">
        <f t="array" aca="1" ref="BK233" ca="1">INDIRECT("'"&amp;$C233&amp;"'!"&amp;"$"&amp;$D233&amp;$BK$1&amp;"")</f>
        <v>0.71</v>
      </c>
      <c r="BL233" s="289"/>
      <c r="BM233" s="289">
        <v>0.96</v>
      </c>
      <c r="BN233" s="287">
        <v>0.21</v>
      </c>
      <c r="BO233" s="292" cm="1">
        <f t="array" aca="1" ref="BO233" ca="1">INDIRECT("'"&amp;$C233&amp;"'!"&amp;"$"&amp;$D233&amp;74&amp;"")</f>
        <v>0</v>
      </c>
      <c r="BP233" s="289"/>
      <c r="BQ233" s="289" t="s">
        <v>1</v>
      </c>
      <c r="BR233" s="287" t="s">
        <v>1</v>
      </c>
    </row>
    <row r="234" spans="1:70">
      <c r="A234" s="361">
        <v>45757</v>
      </c>
      <c r="B234" s="358">
        <v>0.16666666666666699</v>
      </c>
      <c r="C234" s="313">
        <f t="shared" si="8"/>
        <v>10</v>
      </c>
      <c r="D234" s="314" t="s">
        <v>131</v>
      </c>
      <c r="E234" s="293">
        <v>14.1</v>
      </c>
      <c r="F234" s="294">
        <v>69.94</v>
      </c>
      <c r="G234" s="295" cm="1">
        <f t="array" aca="1" ref="G234" ca="1">INDIRECT("'"&amp;$C234&amp;"'!"&amp;"$"&amp;$D234&amp;$E$1&amp;"")</f>
        <v>6.4</v>
      </c>
      <c r="H234" s="296">
        <v>0.99</v>
      </c>
      <c r="I234" s="294">
        <v>1.07</v>
      </c>
      <c r="J234" s="295" cm="1">
        <f t="array" aca="1" ref="J234" ca="1">INDIRECT("'"&amp;$C234&amp;"'!"&amp;"$"&amp;$D234&amp;$J$1&amp;"")</f>
        <v>0</v>
      </c>
      <c r="K234" s="296"/>
      <c r="L234" s="296" t="s">
        <v>1</v>
      </c>
      <c r="M234" s="294" t="s">
        <v>1</v>
      </c>
      <c r="N234" s="295" cm="1">
        <f t="array" aca="1" ref="N234" ca="1">INDIRECT("'"&amp;$C234&amp;"'!"&amp;"$"&amp;$D234&amp;$N$1&amp;"")</f>
        <v>6.4</v>
      </c>
      <c r="O234" s="296"/>
      <c r="P234" s="296">
        <v>0.99</v>
      </c>
      <c r="Q234" s="294">
        <v>1.07</v>
      </c>
      <c r="R234" s="295" cm="1">
        <f t="array" aca="1" ref="R234" ca="1">INDIRECT("'"&amp;$C234&amp;"'!"&amp;"$"&amp;$D234&amp;$R$1&amp;"")</f>
        <v>6.4</v>
      </c>
      <c r="S234" s="296"/>
      <c r="T234" s="296">
        <v>0.99</v>
      </c>
      <c r="U234" s="294">
        <v>1.07</v>
      </c>
      <c r="V234" s="295" cm="1">
        <f t="array" aca="1" ref="V234" ca="1">INDIRECT("'"&amp;$C234&amp;"'!"&amp;"$"&amp;$D234&amp;$V$1&amp;"")</f>
        <v>0</v>
      </c>
      <c r="W234" s="296" t="s">
        <v>1</v>
      </c>
      <c r="X234" s="296" t="s">
        <v>1</v>
      </c>
      <c r="Y234" s="297" t="s">
        <v>1</v>
      </c>
      <c r="Z234" s="293" cm="1">
        <f t="array" aca="1" ref="Z234" ca="1">INDIRECT("'"&amp;$C234&amp;"'!"&amp;"$"&amp;$D234&amp;$Z$1&amp;"")</f>
        <v>0</v>
      </c>
      <c r="AA234" s="296" t="s">
        <v>1</v>
      </c>
      <c r="AB234" s="296" t="s">
        <v>1</v>
      </c>
      <c r="AC234" s="294" t="s">
        <v>1</v>
      </c>
      <c r="AD234" s="295" cm="1">
        <f t="array" aca="1" ref="AD234" ca="1">INDIRECT("'"&amp;$C234&amp;"'!"&amp;"$"&amp;$D234&amp;$AD$1&amp;"")</f>
        <v>0</v>
      </c>
      <c r="AE234" s="296" t="s">
        <v>1</v>
      </c>
      <c r="AF234" s="296" t="s">
        <v>1</v>
      </c>
      <c r="AG234" s="297" t="s">
        <v>1</v>
      </c>
      <c r="AH234" s="293" cm="1">
        <f t="array" aca="1" ref="AH234" ca="1">INDIRECT("'"&amp;$C234&amp;"'!"&amp;"$"&amp;$D234&amp;$AH$1&amp;"")</f>
        <v>0</v>
      </c>
      <c r="AI234" s="296" t="s">
        <v>1</v>
      </c>
      <c r="AJ234" s="296" t="s">
        <v>1</v>
      </c>
      <c r="AK234" s="297" t="s">
        <v>1</v>
      </c>
      <c r="AL234" s="293">
        <v>11.8</v>
      </c>
      <c r="AM234" s="297">
        <v>70.599999999999994</v>
      </c>
      <c r="AN234" s="293" t="str" cm="1">
        <f t="array" aca="1" ref="AN234" ca="1">INDIRECT("'"&amp;$C234&amp;"'!"&amp;"$"&amp;$D234&amp;$AL$1&amp;"")</f>
        <v>CMS</v>
      </c>
      <c r="AO234" s="296" t="s">
        <v>1</v>
      </c>
      <c r="AP234" s="294" t="s">
        <v>1</v>
      </c>
      <c r="AQ234" s="295" cm="1">
        <f t="array" aca="1" ref="AQ234" ca="1">INDIRECT("'"&amp;$C234&amp;"'!"&amp;"$"&amp;$D234&amp;$AQ$1&amp;"")</f>
        <v>4</v>
      </c>
      <c r="AR234" s="296">
        <v>0.98</v>
      </c>
      <c r="AS234" s="294">
        <v>0.6</v>
      </c>
      <c r="AT234" s="296" cm="1">
        <f t="array" aca="1" ref="AT234" ca="1">INDIRECT("'"&amp;$C234&amp;"'!"&amp;"$"&amp;$D234&amp;$AT$1&amp;"")</f>
        <v>0</v>
      </c>
      <c r="AU234" s="295" t="s">
        <v>1</v>
      </c>
      <c r="AV234" s="296" t="s">
        <v>1</v>
      </c>
      <c r="AW234" s="294" t="s">
        <v>1</v>
      </c>
      <c r="AX234" s="298">
        <v>14.2</v>
      </c>
      <c r="AY234" s="297">
        <v>71.88</v>
      </c>
      <c r="AZ234" s="298" cm="1">
        <f t="array" aca="1" ref="AZ234" ca="1">INDIRECT("'"&amp;$C234&amp;"'!"&amp;"$"&amp;$D234&amp;$AZ$1&amp;"")</f>
        <v>14.29</v>
      </c>
      <c r="BA234" s="296">
        <v>0.99</v>
      </c>
      <c r="BB234" s="294">
        <v>2.4</v>
      </c>
      <c r="BC234" s="299">
        <v>69</v>
      </c>
      <c r="BD234" s="293" cm="1">
        <f t="array" aca="1" ref="BD234" ca="1">INDIRECT("'"&amp;$C234&amp;"'!"&amp;"$"&amp;$D234&amp;$BC$1&amp;"")</f>
        <v>0</v>
      </c>
      <c r="BE234" s="295" t="s">
        <v>1</v>
      </c>
      <c r="BF234" s="294" t="s">
        <v>1</v>
      </c>
      <c r="BG234" s="298" cm="1">
        <f t="array" aca="1" ref="BG234" ca="1">INDIRECT("'"&amp;$C234&amp;"'!"&amp;"$"&amp;$D234&amp;$BG$1&amp;"")</f>
        <v>0.85</v>
      </c>
      <c r="BH234" s="296"/>
      <c r="BI234" s="296">
        <v>0.99</v>
      </c>
      <c r="BJ234" s="294">
        <v>0.12</v>
      </c>
      <c r="BK234" s="298" cm="1">
        <f t="array" aca="1" ref="BK234" ca="1">INDIRECT("'"&amp;$C234&amp;"'!"&amp;"$"&amp;$D234&amp;$BK$1&amp;"")</f>
        <v>0.71</v>
      </c>
      <c r="BL234" s="296"/>
      <c r="BM234" s="296">
        <v>0.96</v>
      </c>
      <c r="BN234" s="294">
        <v>0.2</v>
      </c>
      <c r="BO234" s="299" cm="1">
        <f t="array" aca="1" ref="BO234" ca="1">INDIRECT("'"&amp;$C234&amp;"'!"&amp;"$"&amp;$D234&amp;74&amp;"")</f>
        <v>0</v>
      </c>
      <c r="BP234" s="296"/>
      <c r="BQ234" s="296" t="s">
        <v>1</v>
      </c>
      <c r="BR234" s="294" t="s">
        <v>1</v>
      </c>
    </row>
    <row r="235" spans="1:70">
      <c r="A235" s="361">
        <v>45757</v>
      </c>
      <c r="B235" s="358">
        <v>0.20833333333333301</v>
      </c>
      <c r="C235" s="313">
        <f t="shared" si="8"/>
        <v>10</v>
      </c>
      <c r="D235" s="314" t="s">
        <v>132</v>
      </c>
      <c r="E235" s="286">
        <v>14.1</v>
      </c>
      <c r="F235" s="287">
        <v>69.900000000000006</v>
      </c>
      <c r="G235" s="288" cm="1">
        <f t="array" aca="1" ref="G235" ca="1">INDIRECT("'"&amp;$C235&amp;"'!"&amp;"$"&amp;$D235&amp;$E$1&amp;"")</f>
        <v>6.6</v>
      </c>
      <c r="H235" s="289">
        <v>0.99</v>
      </c>
      <c r="I235" s="287">
        <v>1.1000000000000001</v>
      </c>
      <c r="J235" s="288" cm="1">
        <f t="array" aca="1" ref="J235" ca="1">INDIRECT("'"&amp;$C235&amp;"'!"&amp;"$"&amp;$D235&amp;$J$1&amp;"")</f>
        <v>0</v>
      </c>
      <c r="K235" s="289"/>
      <c r="L235" s="289" t="s">
        <v>1</v>
      </c>
      <c r="M235" s="287" t="s">
        <v>1</v>
      </c>
      <c r="N235" s="288" cm="1">
        <f t="array" aca="1" ref="N235" ca="1">INDIRECT("'"&amp;$C235&amp;"'!"&amp;"$"&amp;$D235&amp;$N$1&amp;"")</f>
        <v>6.6</v>
      </c>
      <c r="O235" s="289"/>
      <c r="P235" s="289">
        <v>0.99</v>
      </c>
      <c r="Q235" s="287">
        <v>1.1000000000000001</v>
      </c>
      <c r="R235" s="288" cm="1">
        <f t="array" aca="1" ref="R235" ca="1">INDIRECT("'"&amp;$C235&amp;"'!"&amp;"$"&amp;$D235&amp;$R$1&amp;"")</f>
        <v>6.6</v>
      </c>
      <c r="S235" s="289"/>
      <c r="T235" s="289">
        <v>0.99</v>
      </c>
      <c r="U235" s="287">
        <v>1.1000000000000001</v>
      </c>
      <c r="V235" s="288" cm="1">
        <f t="array" aca="1" ref="V235" ca="1">INDIRECT("'"&amp;$C235&amp;"'!"&amp;"$"&amp;$D235&amp;$V$1&amp;"")</f>
        <v>0</v>
      </c>
      <c r="W235" s="289" t="s">
        <v>1</v>
      </c>
      <c r="X235" s="289" t="s">
        <v>1</v>
      </c>
      <c r="Y235" s="290" t="s">
        <v>1</v>
      </c>
      <c r="Z235" s="286" cm="1">
        <f t="array" aca="1" ref="Z235" ca="1">INDIRECT("'"&amp;$C235&amp;"'!"&amp;"$"&amp;$D235&amp;$Z$1&amp;"")</f>
        <v>0</v>
      </c>
      <c r="AA235" s="289" t="s">
        <v>1</v>
      </c>
      <c r="AB235" s="289" t="s">
        <v>1</v>
      </c>
      <c r="AC235" s="287" t="s">
        <v>1</v>
      </c>
      <c r="AD235" s="288" cm="1">
        <f t="array" aca="1" ref="AD235" ca="1">INDIRECT("'"&amp;$C235&amp;"'!"&amp;"$"&amp;$D235&amp;$AD$1&amp;"")</f>
        <v>0</v>
      </c>
      <c r="AE235" s="289" t="s">
        <v>1</v>
      </c>
      <c r="AF235" s="289" t="s">
        <v>1</v>
      </c>
      <c r="AG235" s="290" t="s">
        <v>1</v>
      </c>
      <c r="AH235" s="286" cm="1">
        <f t="array" aca="1" ref="AH235" ca="1">INDIRECT("'"&amp;$C235&amp;"'!"&amp;"$"&amp;$D235&amp;$AH$1&amp;"")</f>
        <v>0</v>
      </c>
      <c r="AI235" s="289" t="s">
        <v>1</v>
      </c>
      <c r="AJ235" s="289" t="s">
        <v>1</v>
      </c>
      <c r="AK235" s="287" t="s">
        <v>1</v>
      </c>
      <c r="AL235" s="286">
        <v>11.8</v>
      </c>
      <c r="AM235" s="290">
        <v>70.5</v>
      </c>
      <c r="AN235" s="286" t="str" cm="1">
        <f t="array" aca="1" ref="AN235" ca="1">INDIRECT("'"&amp;$C235&amp;"'!"&amp;"$"&amp;$D235&amp;$AL$1&amp;"")</f>
        <v>CMS</v>
      </c>
      <c r="AO235" s="289" t="s">
        <v>1</v>
      </c>
      <c r="AP235" s="287" t="s">
        <v>1</v>
      </c>
      <c r="AQ235" s="288" cm="1">
        <f t="array" aca="1" ref="AQ235" ca="1">INDIRECT("'"&amp;$C235&amp;"'!"&amp;"$"&amp;$D235&amp;$AQ$1&amp;"")</f>
        <v>4</v>
      </c>
      <c r="AR235" s="289">
        <v>0.99</v>
      </c>
      <c r="AS235" s="287">
        <v>0.6</v>
      </c>
      <c r="AT235" s="289" cm="1">
        <f t="array" aca="1" ref="AT235" ca="1">INDIRECT("'"&amp;$C235&amp;"'!"&amp;"$"&amp;$D235&amp;$AT$1&amp;"")</f>
        <v>0</v>
      </c>
      <c r="AU235" s="288" t="s">
        <v>1</v>
      </c>
      <c r="AV235" s="289" t="s">
        <v>1</v>
      </c>
      <c r="AW235" s="287" t="s">
        <v>1</v>
      </c>
      <c r="AX235" s="291">
        <v>14.19</v>
      </c>
      <c r="AY235" s="290">
        <v>71.86</v>
      </c>
      <c r="AZ235" s="291" cm="1">
        <f t="array" aca="1" ref="AZ235" ca="1">INDIRECT("'"&amp;$C235&amp;"'!"&amp;"$"&amp;$D235&amp;$AZ$1&amp;"")</f>
        <v>14.3</v>
      </c>
      <c r="BA235" s="289">
        <v>0.99</v>
      </c>
      <c r="BB235" s="287">
        <v>2.4</v>
      </c>
      <c r="BC235" s="292">
        <v>68.900000000000006</v>
      </c>
      <c r="BD235" s="286" cm="1">
        <f t="array" aca="1" ref="BD235" ca="1">INDIRECT("'"&amp;$C235&amp;"'!"&amp;"$"&amp;$D235&amp;$BC$1&amp;"")</f>
        <v>0</v>
      </c>
      <c r="BE235" s="288" t="s">
        <v>1</v>
      </c>
      <c r="BF235" s="287" t="s">
        <v>1</v>
      </c>
      <c r="BG235" s="291" cm="1">
        <f t="array" aca="1" ref="BG235" ca="1">INDIRECT("'"&amp;$C235&amp;"'!"&amp;"$"&amp;$D235&amp;$BG$1&amp;"")</f>
        <v>0.9</v>
      </c>
      <c r="BH235" s="289"/>
      <c r="BI235" s="289">
        <v>0.99</v>
      </c>
      <c r="BJ235" s="287">
        <v>0.13</v>
      </c>
      <c r="BK235" s="291" cm="1">
        <f t="array" aca="1" ref="BK235" ca="1">INDIRECT("'"&amp;$C235&amp;"'!"&amp;"$"&amp;$D235&amp;$BK$1&amp;"")</f>
        <v>0.7</v>
      </c>
      <c r="BL235" s="289"/>
      <c r="BM235" s="289">
        <v>0.96</v>
      </c>
      <c r="BN235" s="287">
        <v>0.2</v>
      </c>
      <c r="BO235" s="292" cm="1">
        <f t="array" aca="1" ref="BO235" ca="1">INDIRECT("'"&amp;$C235&amp;"'!"&amp;"$"&amp;$D235&amp;74&amp;"")</f>
        <v>0</v>
      </c>
      <c r="BP235" s="289"/>
      <c r="BQ235" s="289" t="s">
        <v>1</v>
      </c>
      <c r="BR235" s="287" t="s">
        <v>1</v>
      </c>
    </row>
    <row r="236" spans="1:70">
      <c r="A236" s="361">
        <v>45757</v>
      </c>
      <c r="B236" s="358">
        <v>0.25</v>
      </c>
      <c r="C236" s="313">
        <f t="shared" si="8"/>
        <v>10</v>
      </c>
      <c r="D236" s="314" t="s">
        <v>133</v>
      </c>
      <c r="E236" s="293">
        <v>14.1</v>
      </c>
      <c r="F236" s="294">
        <v>70.010000000000005</v>
      </c>
      <c r="G236" s="295" cm="1">
        <f t="array" aca="1" ref="G236" ca="1">INDIRECT("'"&amp;$C236&amp;"'!"&amp;"$"&amp;$D236&amp;$E$1&amp;"")</f>
        <v>6.6</v>
      </c>
      <c r="H236" s="296">
        <v>0.99</v>
      </c>
      <c r="I236" s="294">
        <v>1.1499999999999999</v>
      </c>
      <c r="J236" s="295" cm="1">
        <f t="array" aca="1" ref="J236" ca="1">INDIRECT("'"&amp;$C236&amp;"'!"&amp;"$"&amp;$D236&amp;$J$1&amp;"")</f>
        <v>0</v>
      </c>
      <c r="K236" s="296"/>
      <c r="L236" s="296" t="s">
        <v>1</v>
      </c>
      <c r="M236" s="294" t="s">
        <v>1</v>
      </c>
      <c r="N236" s="295" cm="1">
        <f t="array" aca="1" ref="N236" ca="1">INDIRECT("'"&amp;$C236&amp;"'!"&amp;"$"&amp;$D236&amp;$N$1&amp;"")</f>
        <v>6.6</v>
      </c>
      <c r="O236" s="296"/>
      <c r="P236" s="296">
        <v>0.99</v>
      </c>
      <c r="Q236" s="294">
        <v>1.1499999999999999</v>
      </c>
      <c r="R236" s="295" cm="1">
        <f t="array" aca="1" ref="R236" ca="1">INDIRECT("'"&amp;$C236&amp;"'!"&amp;"$"&amp;$D236&amp;$R$1&amp;"")</f>
        <v>6.6</v>
      </c>
      <c r="S236" s="296"/>
      <c r="T236" s="296">
        <v>0.99</v>
      </c>
      <c r="U236" s="294">
        <v>1.1499999999999999</v>
      </c>
      <c r="V236" s="295" cm="1">
        <f t="array" aca="1" ref="V236" ca="1">INDIRECT("'"&amp;$C236&amp;"'!"&amp;"$"&amp;$D236&amp;$V$1&amp;"")</f>
        <v>0</v>
      </c>
      <c r="W236" s="296" t="s">
        <v>1</v>
      </c>
      <c r="X236" s="296" t="s">
        <v>1</v>
      </c>
      <c r="Y236" s="297" t="s">
        <v>1</v>
      </c>
      <c r="Z236" s="293" cm="1">
        <f t="array" aca="1" ref="Z236" ca="1">INDIRECT("'"&amp;$C236&amp;"'!"&amp;"$"&amp;$D236&amp;$Z$1&amp;"")</f>
        <v>0</v>
      </c>
      <c r="AA236" s="296" t="s">
        <v>1</v>
      </c>
      <c r="AB236" s="296" t="s">
        <v>1</v>
      </c>
      <c r="AC236" s="294" t="s">
        <v>1</v>
      </c>
      <c r="AD236" s="295" cm="1">
        <f t="array" aca="1" ref="AD236" ca="1">INDIRECT("'"&amp;$C236&amp;"'!"&amp;"$"&amp;$D236&amp;$AD$1&amp;"")</f>
        <v>0</v>
      </c>
      <c r="AE236" s="296" t="s">
        <v>1</v>
      </c>
      <c r="AF236" s="296" t="s">
        <v>1</v>
      </c>
      <c r="AG236" s="297" t="s">
        <v>1</v>
      </c>
      <c r="AH236" s="293" cm="1">
        <f t="array" aca="1" ref="AH236" ca="1">INDIRECT("'"&amp;$C236&amp;"'!"&amp;"$"&amp;$D236&amp;$AH$1&amp;"")</f>
        <v>0</v>
      </c>
      <c r="AI236" s="296" t="s">
        <v>1</v>
      </c>
      <c r="AJ236" s="296" t="s">
        <v>1</v>
      </c>
      <c r="AK236" s="297" t="s">
        <v>1</v>
      </c>
      <c r="AL236" s="293">
        <v>11.8</v>
      </c>
      <c r="AM236" s="297">
        <v>70.3</v>
      </c>
      <c r="AN236" s="293" t="str" cm="1">
        <f t="array" aca="1" ref="AN236" ca="1">INDIRECT("'"&amp;$C236&amp;"'!"&amp;"$"&amp;$D236&amp;$AL$1&amp;"")</f>
        <v>CMS</v>
      </c>
      <c r="AO236" s="296" t="s">
        <v>1</v>
      </c>
      <c r="AP236" s="294" t="s">
        <v>1</v>
      </c>
      <c r="AQ236" s="295" cm="1">
        <f t="array" aca="1" ref="AQ236" ca="1">INDIRECT("'"&amp;$C236&amp;"'!"&amp;"$"&amp;$D236&amp;$AQ$1&amp;"")</f>
        <v>4</v>
      </c>
      <c r="AR236" s="296">
        <v>0.98</v>
      </c>
      <c r="AS236" s="294">
        <v>0.82</v>
      </c>
      <c r="AT236" s="296" cm="1">
        <f t="array" aca="1" ref="AT236" ca="1">INDIRECT("'"&amp;$C236&amp;"'!"&amp;"$"&amp;$D236&amp;$AT$1&amp;"")</f>
        <v>0</v>
      </c>
      <c r="AU236" s="295" t="s">
        <v>1</v>
      </c>
      <c r="AV236" s="296" t="s">
        <v>1</v>
      </c>
      <c r="AW236" s="294" t="s">
        <v>1</v>
      </c>
      <c r="AX236" s="298">
        <v>14.06</v>
      </c>
      <c r="AY236" s="297">
        <v>71.23</v>
      </c>
      <c r="AZ236" s="298" cm="1">
        <f t="array" aca="1" ref="AZ236" ca="1">INDIRECT("'"&amp;$C236&amp;"'!"&amp;"$"&amp;$D236&amp;$AZ$1&amp;"")</f>
        <v>14.29</v>
      </c>
      <c r="BA236" s="296">
        <v>0.99</v>
      </c>
      <c r="BB236" s="294">
        <v>2.4</v>
      </c>
      <c r="BC236" s="299">
        <v>69</v>
      </c>
      <c r="BD236" s="293" cm="1">
        <f t="array" aca="1" ref="BD236" ca="1">INDIRECT("'"&amp;$C236&amp;"'!"&amp;"$"&amp;$D236&amp;$BC$1&amp;"")</f>
        <v>2.76</v>
      </c>
      <c r="BE236" s="295">
        <v>0.98</v>
      </c>
      <c r="BF236" s="294">
        <v>0.39</v>
      </c>
      <c r="BG236" s="298" cm="1">
        <f t="array" aca="1" ref="BG236" ca="1">INDIRECT("'"&amp;$C236&amp;"'!"&amp;"$"&amp;$D236&amp;$BG$1&amp;"")</f>
        <v>1</v>
      </c>
      <c r="BH236" s="296"/>
      <c r="BI236" s="296">
        <v>0.99</v>
      </c>
      <c r="BJ236" s="294">
        <v>0.12</v>
      </c>
      <c r="BK236" s="298" cm="1">
        <f t="array" aca="1" ref="BK236" ca="1">INDIRECT("'"&amp;$C236&amp;"'!"&amp;"$"&amp;$D236&amp;$BK$1&amp;"")</f>
        <v>0.73</v>
      </c>
      <c r="BL236" s="296"/>
      <c r="BM236" s="296">
        <v>0.96</v>
      </c>
      <c r="BN236" s="294">
        <v>0.2</v>
      </c>
      <c r="BO236" s="299" cm="1">
        <f t="array" aca="1" ref="BO236" ca="1">INDIRECT("'"&amp;$C236&amp;"'!"&amp;"$"&amp;$D236&amp;74&amp;"")</f>
        <v>0</v>
      </c>
      <c r="BP236" s="296"/>
      <c r="BQ236" s="296" t="s">
        <v>1</v>
      </c>
      <c r="BR236" s="294" t="s">
        <v>1</v>
      </c>
    </row>
    <row r="237" spans="1:70">
      <c r="A237" s="361">
        <v>45757</v>
      </c>
      <c r="B237" s="358">
        <v>0.29166666666666702</v>
      </c>
      <c r="C237" s="313">
        <f t="shared" si="8"/>
        <v>10</v>
      </c>
      <c r="D237" s="314" t="s">
        <v>134</v>
      </c>
      <c r="E237" s="286">
        <v>14.1</v>
      </c>
      <c r="F237" s="287">
        <v>69.599999999999994</v>
      </c>
      <c r="G237" s="288" cm="1">
        <f t="array" aca="1" ref="G237" ca="1">INDIRECT("'"&amp;$C237&amp;"'!"&amp;"$"&amp;$D237&amp;$E$1&amp;"")</f>
        <v>6.6</v>
      </c>
      <c r="H237" s="289">
        <v>0.97</v>
      </c>
      <c r="I237" s="287">
        <v>1.5</v>
      </c>
      <c r="J237" s="288" cm="1">
        <f t="array" aca="1" ref="J237" ca="1">INDIRECT("'"&amp;$C237&amp;"'!"&amp;"$"&amp;$D237&amp;$J$1&amp;"")</f>
        <v>0</v>
      </c>
      <c r="K237" s="289"/>
      <c r="L237" s="289" t="s">
        <v>1</v>
      </c>
      <c r="M237" s="287" t="s">
        <v>1</v>
      </c>
      <c r="N237" s="288" cm="1">
        <f t="array" aca="1" ref="N237" ca="1">INDIRECT("'"&amp;$C237&amp;"'!"&amp;"$"&amp;$D237&amp;$N$1&amp;"")</f>
        <v>6.6</v>
      </c>
      <c r="O237" s="289"/>
      <c r="P237" s="289">
        <v>0.97</v>
      </c>
      <c r="Q237" s="287">
        <v>1.5</v>
      </c>
      <c r="R237" s="288" cm="1">
        <f t="array" aca="1" ref="R237" ca="1">INDIRECT("'"&amp;$C237&amp;"'!"&amp;"$"&amp;$D237&amp;$R$1&amp;"")</f>
        <v>6.6</v>
      </c>
      <c r="S237" s="289"/>
      <c r="T237" s="289">
        <v>0.97</v>
      </c>
      <c r="U237" s="287">
        <v>1.5</v>
      </c>
      <c r="V237" s="288" cm="1">
        <f t="array" aca="1" ref="V237" ca="1">INDIRECT("'"&amp;$C237&amp;"'!"&amp;"$"&amp;$D237&amp;$V$1&amp;"")</f>
        <v>0</v>
      </c>
      <c r="W237" s="289" t="s">
        <v>1</v>
      </c>
      <c r="X237" s="289" t="s">
        <v>1</v>
      </c>
      <c r="Y237" s="290" t="s">
        <v>1</v>
      </c>
      <c r="Z237" s="286" cm="1">
        <f t="array" aca="1" ref="Z237" ca="1">INDIRECT("'"&amp;$C237&amp;"'!"&amp;"$"&amp;$D237&amp;$Z$1&amp;"")</f>
        <v>0</v>
      </c>
      <c r="AA237" s="289" t="s">
        <v>1</v>
      </c>
      <c r="AB237" s="289" t="s">
        <v>1</v>
      </c>
      <c r="AC237" s="287" t="s">
        <v>1</v>
      </c>
      <c r="AD237" s="288" cm="1">
        <f t="array" aca="1" ref="AD237" ca="1">INDIRECT("'"&amp;$C237&amp;"'!"&amp;"$"&amp;$D237&amp;$AD$1&amp;"")</f>
        <v>3</v>
      </c>
      <c r="AE237" s="289">
        <f>3.55*3.8</f>
        <v>13.489999999999998</v>
      </c>
      <c r="AF237" s="289">
        <v>0.98</v>
      </c>
      <c r="AG237" s="290">
        <v>0.52</v>
      </c>
      <c r="AH237" s="286" cm="1">
        <f t="array" aca="1" ref="AH237" ca="1">INDIRECT("'"&amp;$C237&amp;"'!"&amp;"$"&amp;$D237&amp;$AH$1&amp;"")</f>
        <v>0</v>
      </c>
      <c r="AI237" s="289" t="s">
        <v>1</v>
      </c>
      <c r="AJ237" s="289" t="s">
        <v>1</v>
      </c>
      <c r="AK237" s="287" t="s">
        <v>1</v>
      </c>
      <c r="AL237" s="286">
        <v>11.8</v>
      </c>
      <c r="AM237" s="290">
        <v>70</v>
      </c>
      <c r="AN237" s="286" t="str" cm="1">
        <f t="array" aca="1" ref="AN237" ca="1">INDIRECT("'"&amp;$C237&amp;"'!"&amp;"$"&amp;$D237&amp;$AL$1&amp;"")</f>
        <v>CMS</v>
      </c>
      <c r="AO237" s="289" t="s">
        <v>1</v>
      </c>
      <c r="AP237" s="287" t="s">
        <v>1</v>
      </c>
      <c r="AQ237" s="288" cm="1">
        <f t="array" aca="1" ref="AQ237" ca="1">INDIRECT("'"&amp;$C237&amp;"'!"&amp;"$"&amp;$D237&amp;$AQ$1&amp;"")</f>
        <v>3.2</v>
      </c>
      <c r="AR237" s="289">
        <v>0.95</v>
      </c>
      <c r="AS237" s="287">
        <v>1.1200000000000001</v>
      </c>
      <c r="AT237" s="289" cm="1">
        <f t="array" aca="1" ref="AT237" ca="1">INDIRECT("'"&amp;$C237&amp;"'!"&amp;"$"&amp;$D237&amp;$AT$1&amp;"")</f>
        <v>0</v>
      </c>
      <c r="AU237" s="288" t="s">
        <v>1</v>
      </c>
      <c r="AV237" s="289" t="s">
        <v>1</v>
      </c>
      <c r="AW237" s="287" t="s">
        <v>1</v>
      </c>
      <c r="AX237" s="291">
        <v>14.06</v>
      </c>
      <c r="AY237" s="290">
        <v>71.12</v>
      </c>
      <c r="AZ237" s="291" cm="1">
        <f t="array" aca="1" ref="AZ237" ca="1">INDIRECT("'"&amp;$C237&amp;"'!"&amp;"$"&amp;$D237&amp;$AZ$1&amp;"")</f>
        <v>14.27</v>
      </c>
      <c r="BA237" s="289">
        <v>0.99</v>
      </c>
      <c r="BB237" s="287">
        <v>2.4</v>
      </c>
      <c r="BC237" s="292">
        <v>68.599999999999994</v>
      </c>
      <c r="BD237" s="286" cm="1">
        <f t="array" aca="1" ref="BD237" ca="1">INDIRECT("'"&amp;$C237&amp;"'!"&amp;"$"&amp;$D237&amp;$BC$1&amp;"")</f>
        <v>0</v>
      </c>
      <c r="BE237" s="288" t="s">
        <v>1</v>
      </c>
      <c r="BF237" s="287" t="s">
        <v>1</v>
      </c>
      <c r="BG237" s="291" cm="1">
        <f t="array" aca="1" ref="BG237" ca="1">INDIRECT("'"&amp;$C237&amp;"'!"&amp;"$"&amp;$D237&amp;$BG$1&amp;"")</f>
        <v>1.06</v>
      </c>
      <c r="BH237" s="289"/>
      <c r="BI237" s="289">
        <v>0.99</v>
      </c>
      <c r="BJ237" s="287">
        <v>0.14000000000000001</v>
      </c>
      <c r="BK237" s="292" cm="1">
        <f t="array" aca="1" ref="BK237" ca="1">INDIRECT("'"&amp;$C237&amp;"'!"&amp;"$"&amp;$D237&amp;$BK$1&amp;"")</f>
        <v>0.73</v>
      </c>
      <c r="BL237" s="289"/>
      <c r="BM237" s="289">
        <v>0.96</v>
      </c>
      <c r="BN237" s="287">
        <v>0.21</v>
      </c>
      <c r="BO237" s="292" cm="1">
        <f t="array" aca="1" ref="BO237" ca="1">INDIRECT("'"&amp;$C237&amp;"'!"&amp;"$"&amp;$D237&amp;74&amp;"")</f>
        <v>0</v>
      </c>
      <c r="BP237" s="289"/>
      <c r="BQ237" s="289" t="s">
        <v>1</v>
      </c>
      <c r="BR237" s="287" t="s">
        <v>1</v>
      </c>
    </row>
    <row r="238" spans="1:70">
      <c r="A238" s="361">
        <v>45757</v>
      </c>
      <c r="B238" s="358">
        <v>0.33333333333333398</v>
      </c>
      <c r="C238" s="313">
        <f t="shared" si="8"/>
        <v>10</v>
      </c>
      <c r="D238" s="314" t="s">
        <v>135</v>
      </c>
      <c r="E238" s="293">
        <v>14</v>
      </c>
      <c r="F238" s="294">
        <v>69.540000000000006</v>
      </c>
      <c r="G238" s="295" cm="1">
        <f t="array" aca="1" ref="G238" ca="1">INDIRECT("'"&amp;$C238&amp;"'!"&amp;"$"&amp;$D238&amp;$E$1&amp;"")</f>
        <v>6.7</v>
      </c>
      <c r="H238" s="296">
        <v>0.95</v>
      </c>
      <c r="I238" s="294">
        <v>2</v>
      </c>
      <c r="J238" s="295" cm="1">
        <f t="array" aca="1" ref="J238" ca="1">INDIRECT("'"&amp;$C238&amp;"'!"&amp;"$"&amp;$D238&amp;$J$1&amp;"")</f>
        <v>0</v>
      </c>
      <c r="K238" s="296"/>
      <c r="L238" s="296" t="s">
        <v>1</v>
      </c>
      <c r="M238" s="294" t="s">
        <v>1</v>
      </c>
      <c r="N238" s="295" cm="1">
        <f t="array" aca="1" ref="N238" ca="1">INDIRECT("'"&amp;$C238&amp;"'!"&amp;"$"&amp;$D238&amp;$N$1&amp;"")</f>
        <v>6.7</v>
      </c>
      <c r="O238" s="296"/>
      <c r="P238" s="296">
        <v>0.95</v>
      </c>
      <c r="Q238" s="294">
        <v>2.04</v>
      </c>
      <c r="R238" s="295" cm="1">
        <f t="array" aca="1" ref="R238" ca="1">INDIRECT("'"&amp;$C238&amp;"'!"&amp;"$"&amp;$D238&amp;$R$1&amp;"")</f>
        <v>6.7</v>
      </c>
      <c r="S238" s="296"/>
      <c r="T238" s="296">
        <v>0.95</v>
      </c>
      <c r="U238" s="294">
        <v>2.0099999999999998</v>
      </c>
      <c r="V238" s="295" cm="1">
        <f t="array" aca="1" ref="V238" ca="1">INDIRECT("'"&amp;$C238&amp;"'!"&amp;"$"&amp;$D238&amp;$V$1&amp;"")</f>
        <v>0</v>
      </c>
      <c r="W238" s="296" t="s">
        <v>1</v>
      </c>
      <c r="X238" s="296" t="s">
        <v>1</v>
      </c>
      <c r="Y238" s="297" t="s">
        <v>1</v>
      </c>
      <c r="Z238" s="293" cm="1">
        <f t="array" aca="1" ref="Z238" ca="1">INDIRECT("'"&amp;$C238&amp;"'!"&amp;"$"&amp;$D238&amp;$Z$1&amp;"")</f>
        <v>0</v>
      </c>
      <c r="AA238" s="296" t="s">
        <v>1</v>
      </c>
      <c r="AB238" s="296" t="s">
        <v>1</v>
      </c>
      <c r="AC238" s="294" t="s">
        <v>1</v>
      </c>
      <c r="AD238" s="295" cm="1">
        <f t="array" aca="1" ref="AD238" ca="1">INDIRECT("'"&amp;$C238&amp;"'!"&amp;"$"&amp;$D238&amp;$AD$1&amp;"")</f>
        <v>3.8</v>
      </c>
      <c r="AE238" s="296">
        <f>3.8*3.53</f>
        <v>13.413999999999998</v>
      </c>
      <c r="AF238" s="296">
        <v>0.95</v>
      </c>
      <c r="AG238" s="297">
        <v>1.21</v>
      </c>
      <c r="AH238" s="293" cm="1">
        <f t="array" aca="1" ref="AH238" ca="1">INDIRECT("'"&amp;$C238&amp;"'!"&amp;"$"&amp;$D238&amp;$AH$1&amp;"")</f>
        <v>3.8</v>
      </c>
      <c r="AI238" s="296">
        <v>13.84</v>
      </c>
      <c r="AJ238" s="296">
        <v>0.99</v>
      </c>
      <c r="AK238" s="294">
        <v>0.33300000000000002</v>
      </c>
      <c r="AL238" s="293">
        <v>11.8</v>
      </c>
      <c r="AM238" s="297">
        <v>70.099999999999994</v>
      </c>
      <c r="AN238" s="293" t="str" cm="1">
        <f t="array" aca="1" ref="AN238" ca="1">INDIRECT("'"&amp;$C238&amp;"'!"&amp;"$"&amp;$D238&amp;$AL$1&amp;"")</f>
        <v>CMS</v>
      </c>
      <c r="AO238" s="296" t="s">
        <v>1</v>
      </c>
      <c r="AP238" s="294" t="s">
        <v>1</v>
      </c>
      <c r="AQ238" s="295" cm="1">
        <f t="array" aca="1" ref="AQ238" ca="1">INDIRECT("'"&amp;$C238&amp;"'!"&amp;"$"&amp;$D238&amp;$AQ$1&amp;"")</f>
        <v>4</v>
      </c>
      <c r="AR238" s="296">
        <v>0.94</v>
      </c>
      <c r="AS238" s="294">
        <v>1.58</v>
      </c>
      <c r="AT238" s="296" cm="1">
        <f t="array" aca="1" ref="AT238" ca="1">INDIRECT("'"&amp;$C238&amp;"'!"&amp;"$"&amp;$D238&amp;$AT$1&amp;"")</f>
        <v>0</v>
      </c>
      <c r="AU238" s="295" t="s">
        <v>1</v>
      </c>
      <c r="AV238" s="296" t="s">
        <v>1</v>
      </c>
      <c r="AW238" s="294" t="s">
        <v>1</v>
      </c>
      <c r="AX238" s="298">
        <v>14.02</v>
      </c>
      <c r="AY238" s="297">
        <v>70.92</v>
      </c>
      <c r="AZ238" s="298" cm="1">
        <f t="array" aca="1" ref="AZ238" ca="1">INDIRECT("'"&amp;$C238&amp;"'!"&amp;"$"&amp;$D238&amp;$AZ$1&amp;"")</f>
        <v>14.25</v>
      </c>
      <c r="BA238" s="296">
        <v>0.99</v>
      </c>
      <c r="BB238" s="294">
        <v>2.4</v>
      </c>
      <c r="BC238" s="299">
        <v>68.099999999999994</v>
      </c>
      <c r="BD238" s="293" cm="1">
        <f t="array" aca="1" ref="BD238" ca="1">INDIRECT("'"&amp;$C238&amp;"'!"&amp;"$"&amp;$D238&amp;$BC$1&amp;"")</f>
        <v>0.7</v>
      </c>
      <c r="BE238" s="295">
        <v>0.97</v>
      </c>
      <c r="BF238" s="294">
        <v>0.17</v>
      </c>
      <c r="BG238" s="298" cm="1">
        <f t="array" aca="1" ref="BG238" ca="1">INDIRECT("'"&amp;$C238&amp;"'!"&amp;"$"&amp;$D238&amp;$BG$1&amp;"")</f>
        <v>1.1200000000000001</v>
      </c>
      <c r="BH238" s="296"/>
      <c r="BI238" s="296">
        <v>0.99</v>
      </c>
      <c r="BJ238" s="294">
        <v>0.18</v>
      </c>
      <c r="BK238" s="299" cm="1">
        <f t="array" aca="1" ref="BK238" ca="1">INDIRECT("'"&amp;$C238&amp;"'!"&amp;"$"&amp;$D238&amp;$BK$1&amp;"")</f>
        <v>0.67</v>
      </c>
      <c r="BL238" s="296"/>
      <c r="BM238" s="296">
        <v>0.95</v>
      </c>
      <c r="BN238" s="294">
        <v>0.2</v>
      </c>
      <c r="BO238" s="299" cm="1">
        <f t="array" aca="1" ref="BO238" ca="1">INDIRECT("'"&amp;$C238&amp;"'!"&amp;"$"&amp;$D238&amp;74&amp;"")</f>
        <v>0</v>
      </c>
      <c r="BP238" s="296"/>
      <c r="BQ238" s="296" t="s">
        <v>1</v>
      </c>
      <c r="BR238" s="294" t="s">
        <v>1</v>
      </c>
    </row>
    <row r="239" spans="1:70">
      <c r="A239" s="361">
        <v>45757</v>
      </c>
      <c r="B239" s="358">
        <v>0.375</v>
      </c>
      <c r="C239" s="313">
        <f t="shared" si="8"/>
        <v>10</v>
      </c>
      <c r="D239" s="314" t="s">
        <v>136</v>
      </c>
      <c r="E239" s="286">
        <v>14.1</v>
      </c>
      <c r="F239" s="287">
        <v>69.319999999999993</v>
      </c>
      <c r="G239" s="288" cm="1">
        <f t="array" aca="1" ref="G239" ca="1">INDIRECT("'"&amp;$C239&amp;"'!"&amp;"$"&amp;$D239&amp;$E$1&amp;"")</f>
        <v>6.8</v>
      </c>
      <c r="H239" s="289">
        <v>0.9</v>
      </c>
      <c r="I239" s="287">
        <v>3.22</v>
      </c>
      <c r="J239" s="288" cm="1">
        <f t="array" aca="1" ref="J239" ca="1">INDIRECT("'"&amp;$C239&amp;"'!"&amp;"$"&amp;$D239&amp;$J$1&amp;"")</f>
        <v>0</v>
      </c>
      <c r="K239" s="289"/>
      <c r="L239" s="289" t="s">
        <v>1</v>
      </c>
      <c r="M239" s="287" t="s">
        <v>1</v>
      </c>
      <c r="N239" s="288" cm="1">
        <f t="array" aca="1" ref="N239" ca="1">INDIRECT("'"&amp;$C239&amp;"'!"&amp;"$"&amp;$D239&amp;$N$1&amp;"")</f>
        <v>6.8</v>
      </c>
      <c r="O239" s="289"/>
      <c r="P239" s="289">
        <v>0.9</v>
      </c>
      <c r="Q239" s="287">
        <v>3.26</v>
      </c>
      <c r="R239" s="288" cm="1">
        <f t="array" aca="1" ref="R239" ca="1">INDIRECT("'"&amp;$C239&amp;"'!"&amp;"$"&amp;$D239&amp;$R$1&amp;"")</f>
        <v>6.8</v>
      </c>
      <c r="S239" s="289"/>
      <c r="T239" s="289">
        <v>0.9</v>
      </c>
      <c r="U239" s="287">
        <v>3.23</v>
      </c>
      <c r="V239" s="288" cm="1">
        <f t="array" aca="1" ref="V239" ca="1">INDIRECT("'"&amp;$C239&amp;"'!"&amp;"$"&amp;$D239&amp;$V$1&amp;"")</f>
        <v>2.8</v>
      </c>
      <c r="W239" s="289">
        <f>3.8*3.49</f>
        <v>13.262</v>
      </c>
      <c r="X239" s="289">
        <v>0.92</v>
      </c>
      <c r="Y239" s="290">
        <v>1.0900000000000001</v>
      </c>
      <c r="Z239" s="286" cm="1">
        <f t="array" aca="1" ref="Z239" ca="1">INDIRECT("'"&amp;$C239&amp;"'!"&amp;"$"&amp;$D239&amp;$Z$1&amp;"")</f>
        <v>0</v>
      </c>
      <c r="AA239" s="289" t="s">
        <v>1</v>
      </c>
      <c r="AB239" s="289" t="s">
        <v>1</v>
      </c>
      <c r="AC239" s="287" t="s">
        <v>1</v>
      </c>
      <c r="AD239" s="288" cm="1">
        <f t="array" aca="1" ref="AD239" ca="1">INDIRECT("'"&amp;$C239&amp;"'!"&amp;"$"&amp;$D239&amp;$AD$1&amp;"")</f>
        <v>3.8</v>
      </c>
      <c r="AE239" s="289">
        <f>3.8*3.49</f>
        <v>13.262</v>
      </c>
      <c r="AF239" s="289">
        <v>0.92</v>
      </c>
      <c r="AG239" s="290">
        <v>1.6</v>
      </c>
      <c r="AH239" s="286" cm="1">
        <f t="array" aca="1" ref="AH239" ca="1">INDIRECT("'"&amp;$C239&amp;"'!"&amp;"$"&amp;$D239&amp;$AH$1&amp;"")</f>
        <v>3.8</v>
      </c>
      <c r="AI239" s="289">
        <v>13.96</v>
      </c>
      <c r="AJ239" s="289">
        <v>0.97</v>
      </c>
      <c r="AK239" s="287">
        <v>0.83</v>
      </c>
      <c r="AL239" s="286">
        <v>11.8</v>
      </c>
      <c r="AM239" s="290">
        <v>70.3</v>
      </c>
      <c r="AN239" s="286" t="str" cm="1">
        <f t="array" aca="1" ref="AN239" ca="1">INDIRECT("'"&amp;$C239&amp;"'!"&amp;"$"&amp;$D239&amp;$AL$1&amp;"")</f>
        <v>CMS</v>
      </c>
      <c r="AO239" s="289" t="s">
        <v>1</v>
      </c>
      <c r="AP239" s="287" t="s">
        <v>1</v>
      </c>
      <c r="AQ239" s="288" cm="1">
        <f t="array" aca="1" ref="AQ239" ca="1">INDIRECT("'"&amp;$C239&amp;"'!"&amp;"$"&amp;$D239&amp;$AQ$1&amp;"")</f>
        <v>4.3</v>
      </c>
      <c r="AR239" s="289">
        <v>0.94</v>
      </c>
      <c r="AS239" s="287">
        <v>1.35</v>
      </c>
      <c r="AT239" s="289" cm="1">
        <f t="array" aca="1" ref="AT239" ca="1">INDIRECT("'"&amp;$C239&amp;"'!"&amp;"$"&amp;$D239&amp;$AT$1&amp;"")</f>
        <v>5.2</v>
      </c>
      <c r="AU239" s="288">
        <v>13.7</v>
      </c>
      <c r="AV239" s="289">
        <v>0.98</v>
      </c>
      <c r="AW239" s="287">
        <v>0.98</v>
      </c>
      <c r="AX239" s="291">
        <v>14.15</v>
      </c>
      <c r="AY239" s="290">
        <v>71.25</v>
      </c>
      <c r="AZ239" s="291" cm="1">
        <f t="array" aca="1" ref="AZ239" ca="1">INDIRECT("'"&amp;$C239&amp;"'!"&amp;"$"&amp;$D239&amp;$AZ$1&amp;"")</f>
        <v>14.31</v>
      </c>
      <c r="BA239" s="289">
        <v>0.98</v>
      </c>
      <c r="BB239" s="287">
        <v>3.5</v>
      </c>
      <c r="BC239" s="292">
        <v>67.7</v>
      </c>
      <c r="BD239" s="286" cm="1">
        <f t="array" aca="1" ref="BD239" ca="1">INDIRECT("'"&amp;$C239&amp;"'!"&amp;"$"&amp;$D239&amp;$BC$1&amp;"")</f>
        <v>1.4</v>
      </c>
      <c r="BE239" s="288">
        <v>0.95</v>
      </c>
      <c r="BF239" s="287">
        <v>0.44</v>
      </c>
      <c r="BG239" s="291" cm="1">
        <f t="array" aca="1" ref="BG239" ca="1">INDIRECT("'"&amp;$C239&amp;"'!"&amp;"$"&amp;$D239&amp;$BG$1&amp;"")</f>
        <v>1.35</v>
      </c>
      <c r="BH239" s="289"/>
      <c r="BI239" s="289">
        <v>0.99</v>
      </c>
      <c r="BJ239" s="287">
        <v>0.2</v>
      </c>
      <c r="BK239" s="292" cm="1">
        <f t="array" aca="1" ref="BK239" ca="1">INDIRECT("'"&amp;$C239&amp;"'!"&amp;"$"&amp;$D239&amp;$BK$1&amp;"")</f>
        <v>0.71</v>
      </c>
      <c r="BL239" s="289"/>
      <c r="BM239" s="289">
        <v>0.95</v>
      </c>
      <c r="BN239" s="287">
        <v>0.21</v>
      </c>
      <c r="BO239" s="292" cm="1">
        <f t="array" aca="1" ref="BO239" ca="1">INDIRECT("'"&amp;$C239&amp;"'!"&amp;"$"&amp;$D239&amp;74&amp;"")</f>
        <v>0</v>
      </c>
      <c r="BP239" s="289"/>
      <c r="BQ239" s="289" t="s">
        <v>1</v>
      </c>
      <c r="BR239" s="287" t="s">
        <v>1</v>
      </c>
    </row>
    <row r="240" spans="1:70">
      <c r="A240" s="361">
        <v>45757</v>
      </c>
      <c r="B240" s="358">
        <v>0.41666666666666702</v>
      </c>
      <c r="C240" s="313">
        <f t="shared" si="8"/>
        <v>10</v>
      </c>
      <c r="D240" s="314" t="s">
        <v>137</v>
      </c>
      <c r="E240" s="293">
        <v>14.1</v>
      </c>
      <c r="F240" s="294">
        <v>69.33</v>
      </c>
      <c r="G240" s="295" cm="1">
        <f t="array" aca="1" ref="G240" ca="1">INDIRECT("'"&amp;$C240&amp;"'!"&amp;"$"&amp;$D240&amp;$E$1&amp;"")</f>
        <v>6.4</v>
      </c>
      <c r="H240" s="296">
        <v>0.91</v>
      </c>
      <c r="I240" s="294">
        <v>2.94</v>
      </c>
      <c r="J240" s="295" cm="1">
        <f t="array" aca="1" ref="J240" ca="1">INDIRECT("'"&amp;$C240&amp;"'!"&amp;"$"&amp;$D240&amp;$J$1&amp;"")</f>
        <v>6.4</v>
      </c>
      <c r="K240" s="296"/>
      <c r="L240" s="296">
        <v>0.91</v>
      </c>
      <c r="M240" s="294">
        <v>2.98</v>
      </c>
      <c r="N240" s="295" cm="1">
        <f t="array" aca="1" ref="N240" ca="1">INDIRECT("'"&amp;$C240&amp;"'!"&amp;"$"&amp;$D240&amp;$N$1&amp;"")</f>
        <v>6.4</v>
      </c>
      <c r="O240" s="296"/>
      <c r="P240" s="296">
        <v>0.91</v>
      </c>
      <c r="Q240" s="294">
        <v>2.97</v>
      </c>
      <c r="R240" s="295" cm="1">
        <f t="array" aca="1" ref="R240" ca="1">INDIRECT("'"&amp;$C240&amp;"'!"&amp;"$"&amp;$D240&amp;$R$1&amp;"")</f>
        <v>6.4</v>
      </c>
      <c r="S240" s="296"/>
      <c r="T240" s="296">
        <v>0.91</v>
      </c>
      <c r="U240" s="294">
        <v>2.97</v>
      </c>
      <c r="V240" s="295" cm="1">
        <f t="array" aca="1" ref="V240" ca="1">INDIRECT("'"&amp;$C240&amp;"'!"&amp;"$"&amp;$D240&amp;$V$1&amp;"")</f>
        <v>2.8</v>
      </c>
      <c r="W240" s="296">
        <f>3.8*3.49</f>
        <v>13.262</v>
      </c>
      <c r="X240" s="296">
        <v>0.92</v>
      </c>
      <c r="Y240" s="297">
        <v>1.1100000000000001</v>
      </c>
      <c r="Z240" s="293" cm="1">
        <f t="array" aca="1" ref="Z240" ca="1">INDIRECT("'"&amp;$C240&amp;"'!"&amp;"$"&amp;$D240&amp;$Z$1&amp;"")</f>
        <v>0</v>
      </c>
      <c r="AA240" s="296" t="s">
        <v>1</v>
      </c>
      <c r="AB240" s="296" t="s">
        <v>1</v>
      </c>
      <c r="AC240" s="294" t="s">
        <v>1</v>
      </c>
      <c r="AD240" s="295" cm="1">
        <f t="array" aca="1" ref="AD240" ca="1">INDIRECT("'"&amp;$C240&amp;"'!"&amp;"$"&amp;$D240&amp;$AD$1&amp;"")</f>
        <v>3.8</v>
      </c>
      <c r="AE240" s="296">
        <f>3.8*3.49</f>
        <v>13.262</v>
      </c>
      <c r="AF240" s="296">
        <v>0.92</v>
      </c>
      <c r="AG240" s="297">
        <v>1.61</v>
      </c>
      <c r="AH240" s="293" cm="1">
        <f t="array" aca="1" ref="AH240" ca="1">INDIRECT("'"&amp;$C240&amp;"'!"&amp;"$"&amp;$D240&amp;$AH$1&amp;"")</f>
        <v>3.8</v>
      </c>
      <c r="AI240" s="296">
        <v>13.92</v>
      </c>
      <c r="AJ240" s="296">
        <v>0.96</v>
      </c>
      <c r="AK240" s="294">
        <v>0.93300000000000005</v>
      </c>
      <c r="AL240" s="293">
        <v>11.9</v>
      </c>
      <c r="AM240" s="297">
        <v>70.599999999999994</v>
      </c>
      <c r="AN240" s="293" t="str" cm="1">
        <f t="array" aca="1" ref="AN240" ca="1">INDIRECT("'"&amp;$C240&amp;"'!"&amp;"$"&amp;$D240&amp;$AL$1&amp;"")</f>
        <v>CMS</v>
      </c>
      <c r="AO240" s="296" t="s">
        <v>1</v>
      </c>
      <c r="AP240" s="294" t="s">
        <v>1</v>
      </c>
      <c r="AQ240" s="295" cm="1">
        <f t="array" aca="1" ref="AQ240" ca="1">INDIRECT("'"&amp;$C240&amp;"'!"&amp;"$"&amp;$D240&amp;$AQ$1&amp;"")</f>
        <v>4.3</v>
      </c>
      <c r="AR240" s="296">
        <v>0.94</v>
      </c>
      <c r="AS240" s="294">
        <v>1.38</v>
      </c>
      <c r="AT240" s="296" cm="1">
        <f t="array" aca="1" ref="AT240" ca="1">INDIRECT("'"&amp;$C240&amp;"'!"&amp;"$"&amp;$D240&amp;$AT$1&amp;"")</f>
        <v>4.5</v>
      </c>
      <c r="AU240" s="295">
        <v>13.8</v>
      </c>
      <c r="AV240" s="296">
        <v>0.92</v>
      </c>
      <c r="AW240" s="294">
        <v>1.7</v>
      </c>
      <c r="AX240" s="298">
        <v>14.31</v>
      </c>
      <c r="AY240" s="297">
        <v>71.28</v>
      </c>
      <c r="AZ240" s="298" cm="1">
        <f t="array" aca="1" ref="AZ240" ca="1">INDIRECT("'"&amp;$C240&amp;"'!"&amp;"$"&amp;$D240&amp;$AZ$1&amp;"")</f>
        <v>14.29</v>
      </c>
      <c r="BA240" s="296">
        <v>0.96</v>
      </c>
      <c r="BB240" s="294">
        <v>4.5</v>
      </c>
      <c r="BC240" s="299">
        <v>67.599999999999994</v>
      </c>
      <c r="BD240" s="293" cm="1">
        <f t="array" aca="1" ref="BD240" ca="1">INDIRECT("'"&amp;$C240&amp;"'!"&amp;"$"&amp;$D240&amp;$BC$1&amp;"")</f>
        <v>0</v>
      </c>
      <c r="BE240" s="295" t="s">
        <v>1</v>
      </c>
      <c r="BF240" s="294" t="s">
        <v>1</v>
      </c>
      <c r="BG240" s="298" cm="1">
        <f t="array" aca="1" ref="BG240" ca="1">INDIRECT("'"&amp;$C240&amp;"'!"&amp;"$"&amp;$D240&amp;$BG$1&amp;"")</f>
        <v>1.41</v>
      </c>
      <c r="BH240" s="296"/>
      <c r="BI240" s="296">
        <v>0.99</v>
      </c>
      <c r="BJ240" s="294">
        <v>0.2</v>
      </c>
      <c r="BK240" s="299" cm="1">
        <f t="array" aca="1" ref="BK240" ca="1">INDIRECT("'"&amp;$C240&amp;"'!"&amp;"$"&amp;$D240&amp;$BK$1&amp;"")</f>
        <v>0.79</v>
      </c>
      <c r="BL240" s="296"/>
      <c r="BM240" s="296">
        <v>0.96</v>
      </c>
      <c r="BN240" s="294">
        <v>0.23</v>
      </c>
      <c r="BO240" s="299" cm="1">
        <f t="array" aca="1" ref="BO240" ca="1">INDIRECT("'"&amp;$C240&amp;"'!"&amp;"$"&amp;$D240&amp;74&amp;"")</f>
        <v>0</v>
      </c>
      <c r="BP240" s="296"/>
      <c r="BQ240" s="296" t="s">
        <v>1</v>
      </c>
      <c r="BR240" s="294" t="s">
        <v>1</v>
      </c>
    </row>
    <row r="241" spans="1:70">
      <c r="A241" s="361">
        <v>45757</v>
      </c>
      <c r="B241" s="358">
        <v>0.45833333333333398</v>
      </c>
      <c r="C241" s="313">
        <f t="shared" si="8"/>
        <v>10</v>
      </c>
      <c r="D241" s="314" t="s">
        <v>138</v>
      </c>
      <c r="E241" s="286">
        <v>14.1</v>
      </c>
      <c r="F241" s="287">
        <v>69.8</v>
      </c>
      <c r="G241" s="288" cm="1">
        <f t="array" aca="1" ref="G241" ca="1">INDIRECT("'"&amp;$C241&amp;"'!"&amp;"$"&amp;$D241&amp;$E$1&amp;"")</f>
        <v>6.7</v>
      </c>
      <c r="H241" s="289">
        <v>0.9</v>
      </c>
      <c r="I241" s="287">
        <v>3.14</v>
      </c>
      <c r="J241" s="288" cm="1">
        <f t="array" aca="1" ref="J241" ca="1">INDIRECT("'"&amp;$C241&amp;"'!"&amp;"$"&amp;$D241&amp;$J$1&amp;"")</f>
        <v>6.7</v>
      </c>
      <c r="K241" s="289"/>
      <c r="L241" s="289">
        <v>0.9</v>
      </c>
      <c r="M241" s="287">
        <v>3.17</v>
      </c>
      <c r="N241" s="288" cm="1">
        <f t="array" aca="1" ref="N241" ca="1">INDIRECT("'"&amp;$C241&amp;"'!"&amp;"$"&amp;$D241&amp;$N$1&amp;"")</f>
        <v>6.7</v>
      </c>
      <c r="O241" s="289"/>
      <c r="P241" s="289">
        <v>0.9</v>
      </c>
      <c r="Q241" s="287">
        <v>3.12</v>
      </c>
      <c r="R241" s="288" cm="1">
        <f t="array" aca="1" ref="R241" ca="1">INDIRECT("'"&amp;$C241&amp;"'!"&amp;"$"&amp;$D241&amp;$R$1&amp;"")</f>
        <v>6.7</v>
      </c>
      <c r="S241" s="289"/>
      <c r="T241" s="289">
        <v>0.9</v>
      </c>
      <c r="U241" s="287">
        <v>3.15</v>
      </c>
      <c r="V241" s="288" cm="1">
        <f t="array" aca="1" ref="V241" ca="1">INDIRECT("'"&amp;$C241&amp;"'!"&amp;"$"&amp;$D241&amp;$V$1&amp;"")</f>
        <v>2.8</v>
      </c>
      <c r="W241" s="289">
        <f>3.8*3.47</f>
        <v>13.186</v>
      </c>
      <c r="X241" s="289">
        <v>0.92</v>
      </c>
      <c r="Y241" s="290">
        <v>1.1399999999999999</v>
      </c>
      <c r="Z241" s="286" cm="1">
        <f t="array" aca="1" ref="Z241" ca="1">INDIRECT("'"&amp;$C241&amp;"'!"&amp;"$"&amp;$D241&amp;$Z$1&amp;"")</f>
        <v>0</v>
      </c>
      <c r="AA241" s="289" t="s">
        <v>1</v>
      </c>
      <c r="AB241" s="289" t="s">
        <v>1</v>
      </c>
      <c r="AC241" s="287" t="s">
        <v>1</v>
      </c>
      <c r="AD241" s="288" cm="1">
        <f t="array" aca="1" ref="AD241" ca="1">INDIRECT("'"&amp;$C241&amp;"'!"&amp;"$"&amp;$D241&amp;$AD$1&amp;"")</f>
        <v>3.8</v>
      </c>
      <c r="AE241" s="289">
        <f>3.8*3.47</f>
        <v>13.186</v>
      </c>
      <c r="AF241" s="289">
        <v>0.92</v>
      </c>
      <c r="AG241" s="290">
        <v>1.63</v>
      </c>
      <c r="AH241" s="286" cm="1">
        <f t="array" aca="1" ref="AH241" ca="1">INDIRECT("'"&amp;$C241&amp;"'!"&amp;"$"&amp;$D241&amp;$AH$1&amp;"")</f>
        <v>3.8</v>
      </c>
      <c r="AI241" s="289">
        <v>13.92</v>
      </c>
      <c r="AJ241" s="289">
        <v>0.96</v>
      </c>
      <c r="AK241" s="287">
        <v>0.97199999999999998</v>
      </c>
      <c r="AL241" s="286">
        <v>11.9</v>
      </c>
      <c r="AM241" s="290">
        <v>70.5</v>
      </c>
      <c r="AN241" s="286" t="str" cm="1">
        <f t="array" aca="1" ref="AN241" ca="1">INDIRECT("'"&amp;$C241&amp;"'!"&amp;"$"&amp;$D241&amp;$AL$1&amp;"")</f>
        <v>CMS</v>
      </c>
      <c r="AO241" s="289" t="s">
        <v>1</v>
      </c>
      <c r="AP241" s="287" t="s">
        <v>1</v>
      </c>
      <c r="AQ241" s="288" cm="1">
        <f t="array" aca="1" ref="AQ241" ca="1">INDIRECT("'"&amp;$C241&amp;"'!"&amp;"$"&amp;$D241&amp;$AQ$1&amp;"")</f>
        <v>4.3</v>
      </c>
      <c r="AR241" s="289">
        <v>0.94</v>
      </c>
      <c r="AS241" s="287">
        <v>1.38</v>
      </c>
      <c r="AT241" s="289" cm="1">
        <f t="array" aca="1" ref="AT241" ca="1">INDIRECT("'"&amp;$C241&amp;"'!"&amp;"$"&amp;$D241&amp;$AT$1&amp;"")</f>
        <v>6.5</v>
      </c>
      <c r="AU241" s="288">
        <v>13.8</v>
      </c>
      <c r="AV241" s="289">
        <v>0.92</v>
      </c>
      <c r="AW241" s="287">
        <v>1.9</v>
      </c>
      <c r="AX241" s="291">
        <v>14.27</v>
      </c>
      <c r="AY241" s="290">
        <v>71.430000000000007</v>
      </c>
      <c r="AZ241" s="291" cm="1">
        <f t="array" aca="1" ref="AZ241" ca="1">INDIRECT("'"&amp;$C241&amp;"'!"&amp;"$"&amp;$D241&amp;$AZ$1&amp;"")</f>
        <v>14.33</v>
      </c>
      <c r="BA241" s="289">
        <v>0.96</v>
      </c>
      <c r="BB241" s="287">
        <v>4.5</v>
      </c>
      <c r="BC241" s="292">
        <v>67.400000000000006</v>
      </c>
      <c r="BD241" s="286" cm="1">
        <f t="array" aca="1" ref="BD241" ca="1">INDIRECT("'"&amp;$C241&amp;"'!"&amp;"$"&amp;$D241&amp;$BC$1&amp;"")</f>
        <v>0</v>
      </c>
      <c r="BE241" s="288" t="s">
        <v>1</v>
      </c>
      <c r="BF241" s="287" t="s">
        <v>1</v>
      </c>
      <c r="BG241" s="291" cm="1">
        <f t="array" aca="1" ref="BG241" ca="1">INDIRECT("'"&amp;$C241&amp;"'!"&amp;"$"&amp;$D241&amp;$BG$1&amp;"")</f>
        <v>1.53</v>
      </c>
      <c r="BH241" s="289"/>
      <c r="BI241" s="289">
        <v>0.99</v>
      </c>
      <c r="BJ241" s="287">
        <v>0.23</v>
      </c>
      <c r="BK241" s="292" cm="1">
        <f t="array" aca="1" ref="BK241" ca="1">INDIRECT("'"&amp;$C241&amp;"'!"&amp;"$"&amp;$D241&amp;$BK$1&amp;"")</f>
        <v>0.84</v>
      </c>
      <c r="BL241" s="289"/>
      <c r="BM241" s="289">
        <v>0.96</v>
      </c>
      <c r="BN241" s="287">
        <v>0.25</v>
      </c>
      <c r="BO241" s="292" cm="1">
        <f t="array" aca="1" ref="BO241" ca="1">INDIRECT("'"&amp;$C241&amp;"'!"&amp;"$"&amp;$D241&amp;74&amp;"")</f>
        <v>0</v>
      </c>
      <c r="BP241" s="289"/>
      <c r="BQ241" s="289" t="s">
        <v>1</v>
      </c>
      <c r="BR241" s="287" t="s">
        <v>1</v>
      </c>
    </row>
    <row r="242" spans="1:70">
      <c r="A242" s="361">
        <v>45757</v>
      </c>
      <c r="B242" s="358">
        <v>0.5</v>
      </c>
      <c r="C242" s="313">
        <f t="shared" si="8"/>
        <v>10</v>
      </c>
      <c r="D242" s="314" t="s">
        <v>139</v>
      </c>
      <c r="E242" s="293">
        <v>14.2</v>
      </c>
      <c r="F242" s="294">
        <v>69.41</v>
      </c>
      <c r="G242" s="295" cm="1">
        <f t="array" aca="1" ref="G242" ca="1">INDIRECT("'"&amp;$C242&amp;"'!"&amp;"$"&amp;$D242&amp;$E$1&amp;"")</f>
        <v>6.6</v>
      </c>
      <c r="H242" s="296">
        <v>0.92</v>
      </c>
      <c r="I242" s="294">
        <v>2.75</v>
      </c>
      <c r="J242" s="295" cm="1">
        <f t="array" aca="1" ref="J242" ca="1">INDIRECT("'"&amp;$C242&amp;"'!"&amp;"$"&amp;$D242&amp;$J$1&amp;"")</f>
        <v>6.6</v>
      </c>
      <c r="K242" s="296"/>
      <c r="L242" s="296">
        <v>0.92</v>
      </c>
      <c r="M242" s="294">
        <v>2.79</v>
      </c>
      <c r="N242" s="295" cm="1">
        <f t="array" aca="1" ref="N242" ca="1">INDIRECT("'"&amp;$C242&amp;"'!"&amp;"$"&amp;$D242&amp;$N$1&amp;"")</f>
        <v>6.6</v>
      </c>
      <c r="O242" s="296"/>
      <c r="P242" s="296">
        <v>0.92</v>
      </c>
      <c r="Q242" s="294">
        <v>2.78</v>
      </c>
      <c r="R242" s="295" cm="1">
        <f t="array" aca="1" ref="R242" ca="1">INDIRECT("'"&amp;$C242&amp;"'!"&amp;"$"&amp;$D242&amp;$R$1&amp;"")</f>
        <v>6.6</v>
      </c>
      <c r="S242" s="296"/>
      <c r="T242" s="296">
        <v>0.92</v>
      </c>
      <c r="U242" s="294">
        <v>2.78</v>
      </c>
      <c r="V242" s="295" cm="1">
        <f t="array" aca="1" ref="V242" ca="1">INDIRECT("'"&amp;$C242&amp;"'!"&amp;"$"&amp;$D242&amp;$V$1&amp;"")</f>
        <v>2.8</v>
      </c>
      <c r="W242" s="296">
        <f>3.8*3.48</f>
        <v>13.224</v>
      </c>
      <c r="X242" s="296">
        <v>0.91</v>
      </c>
      <c r="Y242" s="297">
        <v>1.22</v>
      </c>
      <c r="Z242" s="293" cm="1">
        <f t="array" aca="1" ref="Z242" ca="1">INDIRECT("'"&amp;$C242&amp;"'!"&amp;"$"&amp;$D242&amp;$Z$1&amp;"")</f>
        <v>0</v>
      </c>
      <c r="AA242" s="296" t="s">
        <v>1</v>
      </c>
      <c r="AB242" s="296" t="s">
        <v>1</v>
      </c>
      <c r="AC242" s="294" t="s">
        <v>1</v>
      </c>
      <c r="AD242" s="295" cm="1">
        <f t="array" aca="1" ref="AD242" ca="1">INDIRECT("'"&amp;$C242&amp;"'!"&amp;"$"&amp;$D242&amp;$AD$1&amp;"")</f>
        <v>3.8</v>
      </c>
      <c r="AE242" s="296">
        <f>3.8*3.48</f>
        <v>13.224</v>
      </c>
      <c r="AF242" s="296">
        <v>0.91</v>
      </c>
      <c r="AG242" s="297">
        <v>1.75</v>
      </c>
      <c r="AH242" s="293" cm="1">
        <f t="array" aca="1" ref="AH242" ca="1">INDIRECT("'"&amp;$C242&amp;"'!"&amp;"$"&amp;$D242&amp;$AH$1&amp;"")</f>
        <v>3.8</v>
      </c>
      <c r="AI242" s="296">
        <v>14.08</v>
      </c>
      <c r="AJ242" s="296">
        <v>0.93</v>
      </c>
      <c r="AK242" s="294">
        <v>1.36</v>
      </c>
      <c r="AL242" s="293">
        <v>11.9</v>
      </c>
      <c r="AM242" s="297">
        <v>70.900000000000006</v>
      </c>
      <c r="AN242" s="293" t="str" cm="1">
        <f t="array" aca="1" ref="AN242" ca="1">INDIRECT("'"&amp;$C242&amp;"'!"&amp;"$"&amp;$D242&amp;$AL$1&amp;"")</f>
        <v>CMS</v>
      </c>
      <c r="AO242" s="296" t="s">
        <v>1</v>
      </c>
      <c r="AP242" s="294" t="s">
        <v>1</v>
      </c>
      <c r="AQ242" s="295" cm="1">
        <f t="array" aca="1" ref="AQ242" ca="1">INDIRECT("'"&amp;$C242&amp;"'!"&amp;"$"&amp;$D242&amp;$AQ$1&amp;"")</f>
        <v>4.2</v>
      </c>
      <c r="AR242" s="296">
        <v>0.9</v>
      </c>
      <c r="AS242" s="294">
        <v>1.6</v>
      </c>
      <c r="AT242" s="296" cm="1">
        <f t="array" aca="1" ref="AT242" ca="1">INDIRECT("'"&amp;$C242&amp;"'!"&amp;"$"&amp;$D242&amp;$AT$1&amp;"")</f>
        <v>7</v>
      </c>
      <c r="AU242" s="295">
        <v>13.9</v>
      </c>
      <c r="AV242" s="296">
        <v>0.9</v>
      </c>
      <c r="AW242" s="294">
        <v>1.7</v>
      </c>
      <c r="AX242" s="298">
        <v>14.38</v>
      </c>
      <c r="AY242" s="297">
        <v>71.930000000000007</v>
      </c>
      <c r="AZ242" s="298" cm="1">
        <f t="array" aca="1" ref="AZ242" ca="1">INDIRECT("'"&amp;$C242&amp;"'!"&amp;"$"&amp;$D242&amp;$AZ$1&amp;"")</f>
        <v>14.31</v>
      </c>
      <c r="BA242" s="296">
        <v>0.96</v>
      </c>
      <c r="BB242" s="294">
        <v>4.5999999999999996</v>
      </c>
      <c r="BC242" s="299">
        <v>67.5</v>
      </c>
      <c r="BD242" s="293" cm="1">
        <f t="array" aca="1" ref="BD242" ca="1">INDIRECT("'"&amp;$C242&amp;"'!"&amp;"$"&amp;$D242&amp;$BC$1&amp;"")</f>
        <v>0.7</v>
      </c>
      <c r="BE242" s="295">
        <v>0.95</v>
      </c>
      <c r="BF242" s="294">
        <v>0.21</v>
      </c>
      <c r="BG242" s="298" cm="1">
        <f t="array" aca="1" ref="BG242" ca="1">INDIRECT("'"&amp;$C242&amp;"'!"&amp;"$"&amp;$D242&amp;$BG$1&amp;"")</f>
        <v>1.5</v>
      </c>
      <c r="BH242" s="296"/>
      <c r="BI242" s="296">
        <v>0.99</v>
      </c>
      <c r="BJ242" s="294">
        <v>0.21</v>
      </c>
      <c r="BK242" s="299" cm="1">
        <f t="array" aca="1" ref="BK242" ca="1">INDIRECT("'"&amp;$C242&amp;"'!"&amp;"$"&amp;$D242&amp;$BK$1&amp;"")</f>
        <v>0.85</v>
      </c>
      <c r="BL242" s="296"/>
      <c r="BM242" s="296">
        <v>0.96</v>
      </c>
      <c r="BN242" s="294">
        <v>0.24</v>
      </c>
      <c r="BO242" s="299" cm="1">
        <f t="array" aca="1" ref="BO242" ca="1">INDIRECT("'"&amp;$C242&amp;"'!"&amp;"$"&amp;$D242&amp;74&amp;"")</f>
        <v>0</v>
      </c>
      <c r="BP242" s="296"/>
      <c r="BQ242" s="296" t="s">
        <v>1</v>
      </c>
      <c r="BR242" s="294" t="s">
        <v>1</v>
      </c>
    </row>
    <row r="243" spans="1:70">
      <c r="A243" s="361">
        <v>45757</v>
      </c>
      <c r="B243" s="358">
        <v>0.54166666666666696</v>
      </c>
      <c r="C243" s="313">
        <f t="shared" si="8"/>
        <v>10</v>
      </c>
      <c r="D243" s="314" t="s">
        <v>140</v>
      </c>
      <c r="E243" s="286">
        <v>14.2</v>
      </c>
      <c r="F243" s="287">
        <v>69.16</v>
      </c>
      <c r="G243" s="288" cm="1">
        <f t="array" aca="1" ref="G243" ca="1">INDIRECT("'"&amp;$C243&amp;"'!"&amp;"$"&amp;$D243&amp;$E$1&amp;"")</f>
        <v>6.7</v>
      </c>
      <c r="H243" s="289">
        <v>0.9</v>
      </c>
      <c r="I243" s="287">
        <v>3.17</v>
      </c>
      <c r="J243" s="288" cm="1">
        <f t="array" aca="1" ref="J243" ca="1">INDIRECT("'"&amp;$C243&amp;"'!"&amp;"$"&amp;$D243&amp;$J$1&amp;"")</f>
        <v>6.7</v>
      </c>
      <c r="K243" s="289"/>
      <c r="L243" s="289">
        <v>0.9</v>
      </c>
      <c r="M243" s="287">
        <v>3.15</v>
      </c>
      <c r="N243" s="288" cm="1">
        <f t="array" aca="1" ref="N243" ca="1">INDIRECT("'"&amp;$C243&amp;"'!"&amp;"$"&amp;$D243&amp;$N$1&amp;"")</f>
        <v>6.7</v>
      </c>
      <c r="O243" s="289"/>
      <c r="P243" s="289">
        <v>0.9</v>
      </c>
      <c r="Q243" s="287">
        <v>3.18</v>
      </c>
      <c r="R243" s="288" cm="1">
        <f t="array" aca="1" ref="R243" ca="1">INDIRECT("'"&amp;$C243&amp;"'!"&amp;"$"&amp;$D243&amp;$R$1&amp;"")</f>
        <v>6.7</v>
      </c>
      <c r="S243" s="289"/>
      <c r="T243" s="289">
        <v>0.9</v>
      </c>
      <c r="U243" s="287">
        <v>3.18</v>
      </c>
      <c r="V243" s="288" cm="1">
        <f t="array" aca="1" ref="V243" ca="1">INDIRECT("'"&amp;$C243&amp;"'!"&amp;"$"&amp;$D243&amp;$V$1&amp;"")</f>
        <v>2.8</v>
      </c>
      <c r="W243" s="289">
        <v>13.1</v>
      </c>
      <c r="X243" s="289">
        <v>0.9</v>
      </c>
      <c r="Y243" s="290">
        <v>1.3</v>
      </c>
      <c r="Z243" s="286" cm="1">
        <f t="array" aca="1" ref="Z243" ca="1">INDIRECT("'"&amp;$C243&amp;"'!"&amp;"$"&amp;$D243&amp;$Z$1&amp;"")</f>
        <v>0</v>
      </c>
      <c r="AA243" s="289" t="s">
        <v>1</v>
      </c>
      <c r="AB243" s="289" t="s">
        <v>1</v>
      </c>
      <c r="AC243" s="287" t="s">
        <v>1</v>
      </c>
      <c r="AD243" s="288" t="str" cm="1">
        <f t="array" aca="1" ref="AD243" ca="1">INDIRECT("'"&amp;$C243&amp;"'!"&amp;"$"&amp;$D243&amp;$AD$1&amp;"")</f>
        <v>CMS</v>
      </c>
      <c r="AE243" s="289" t="s">
        <v>1</v>
      </c>
      <c r="AF243" s="289" t="s">
        <v>1</v>
      </c>
      <c r="AG243" s="290" t="s">
        <v>1</v>
      </c>
      <c r="AH243" s="286" cm="1">
        <f t="array" aca="1" ref="AH243" ca="1">INDIRECT("'"&amp;$C243&amp;"'!"&amp;"$"&amp;$D243&amp;$AH$1&amp;"")</f>
        <v>3.8</v>
      </c>
      <c r="AI243" s="289">
        <v>13.92</v>
      </c>
      <c r="AJ243" s="289">
        <v>0.93</v>
      </c>
      <c r="AK243" s="287">
        <v>1.42</v>
      </c>
      <c r="AL243" s="286">
        <v>11.9</v>
      </c>
      <c r="AM243" s="290">
        <v>70.599999999999994</v>
      </c>
      <c r="AN243" s="286" t="str" cm="1">
        <f t="array" aca="1" ref="AN243" ca="1">INDIRECT("'"&amp;$C243&amp;"'!"&amp;"$"&amp;$D243&amp;$AL$1&amp;"")</f>
        <v>CMS</v>
      </c>
      <c r="AO243" s="289" t="s">
        <v>1</v>
      </c>
      <c r="AP243" s="287" t="s">
        <v>1</v>
      </c>
      <c r="AQ243" s="288" cm="1">
        <f t="array" aca="1" ref="AQ243" ca="1">INDIRECT("'"&amp;$C243&amp;"'!"&amp;"$"&amp;$D243&amp;$AQ$1&amp;"")</f>
        <v>3.8</v>
      </c>
      <c r="AR243" s="289">
        <v>0.9</v>
      </c>
      <c r="AS243" s="287">
        <v>1.8</v>
      </c>
      <c r="AT243" s="289" cm="1">
        <f t="array" aca="1" ref="AT243" ca="1">INDIRECT("'"&amp;$C243&amp;"'!"&amp;"$"&amp;$D243&amp;$AT$1&amp;"")</f>
        <v>7.1</v>
      </c>
      <c r="AU243" s="288">
        <v>13.8</v>
      </c>
      <c r="AV243" s="289">
        <v>0.9</v>
      </c>
      <c r="AW243" s="287">
        <v>2.2000000000000002</v>
      </c>
      <c r="AX243" s="291">
        <v>14.33</v>
      </c>
      <c r="AY243" s="290">
        <v>71.75</v>
      </c>
      <c r="AZ243" s="291" cm="1">
        <f t="array" aca="1" ref="AZ243" ca="1">INDIRECT("'"&amp;$C243&amp;"'!"&amp;"$"&amp;$D243&amp;$AZ$1&amp;"")</f>
        <v>14.3</v>
      </c>
      <c r="BA243" s="289">
        <v>0.96</v>
      </c>
      <c r="BB243" s="287">
        <v>4.5999999999999996</v>
      </c>
      <c r="BC243" s="292">
        <v>67.3</v>
      </c>
      <c r="BD243" s="286" cm="1">
        <f t="array" aca="1" ref="BD243" ca="1">INDIRECT("'"&amp;$C243&amp;"'!"&amp;"$"&amp;$D243&amp;$BC$1&amp;"")</f>
        <v>5</v>
      </c>
      <c r="BE243" s="288">
        <v>0.95</v>
      </c>
      <c r="BF243" s="287">
        <v>1.5</v>
      </c>
      <c r="BG243" s="291" cm="1">
        <f t="array" aca="1" ref="BG243" ca="1">INDIRECT("'"&amp;$C243&amp;"'!"&amp;"$"&amp;$D243&amp;$BG$1&amp;"")</f>
        <v>1.51</v>
      </c>
      <c r="BH243" s="289"/>
      <c r="BI243" s="289">
        <v>0.99</v>
      </c>
      <c r="BJ243" s="287">
        <v>0.22</v>
      </c>
      <c r="BK243" s="292" cm="1">
        <f t="array" aca="1" ref="BK243" ca="1">INDIRECT("'"&amp;$C243&amp;"'!"&amp;"$"&amp;$D243&amp;$BK$1&amp;"")</f>
        <v>0.86</v>
      </c>
      <c r="BL243" s="289"/>
      <c r="BM243" s="289">
        <v>0.96</v>
      </c>
      <c r="BN243" s="287">
        <v>0.25</v>
      </c>
      <c r="BO243" s="292" cm="1">
        <f t="array" aca="1" ref="BO243" ca="1">INDIRECT("'"&amp;$C243&amp;"'!"&amp;"$"&amp;$D243&amp;74&amp;"")</f>
        <v>0</v>
      </c>
      <c r="BP243" s="289"/>
      <c r="BQ243" s="289" t="s">
        <v>1</v>
      </c>
      <c r="BR243" s="287" t="s">
        <v>1</v>
      </c>
    </row>
    <row r="244" spans="1:70">
      <c r="A244" s="361">
        <v>45757</v>
      </c>
      <c r="B244" s="358">
        <v>0.58333333333333404</v>
      </c>
      <c r="C244" s="313">
        <f t="shared" si="8"/>
        <v>10</v>
      </c>
      <c r="D244" s="314" t="s">
        <v>141</v>
      </c>
      <c r="E244" s="293">
        <v>14.1</v>
      </c>
      <c r="F244" s="294">
        <v>69.16</v>
      </c>
      <c r="G244" s="295" cm="1">
        <f t="array" aca="1" ref="G244" ca="1">INDIRECT("'"&amp;$C244&amp;"'!"&amp;"$"&amp;$D244&amp;$E$1&amp;"")</f>
        <v>6.7</v>
      </c>
      <c r="H244" s="296">
        <v>0.91</v>
      </c>
      <c r="I244" s="294">
        <v>3.09</v>
      </c>
      <c r="J244" s="295" cm="1">
        <f t="array" aca="1" ref="J244" ca="1">INDIRECT("'"&amp;$C244&amp;"'!"&amp;"$"&amp;$D244&amp;$J$1&amp;"")</f>
        <v>6.7</v>
      </c>
      <c r="K244" s="296"/>
      <c r="L244" s="296">
        <v>0.91</v>
      </c>
      <c r="M244" s="294">
        <v>3.05</v>
      </c>
      <c r="N244" s="295" cm="1">
        <f t="array" aca="1" ref="N244" ca="1">INDIRECT("'"&amp;$C244&amp;"'!"&amp;"$"&amp;$D244&amp;$N$1&amp;"")</f>
        <v>6.7</v>
      </c>
      <c r="O244" s="296"/>
      <c r="P244" s="296">
        <v>0.91</v>
      </c>
      <c r="Q244" s="294">
        <v>3.07</v>
      </c>
      <c r="R244" s="295" cm="1">
        <f t="array" aca="1" ref="R244" ca="1">INDIRECT("'"&amp;$C244&amp;"'!"&amp;"$"&amp;$D244&amp;$R$1&amp;"")</f>
        <v>6.7</v>
      </c>
      <c r="S244" s="296"/>
      <c r="T244" s="296">
        <v>0.91</v>
      </c>
      <c r="U244" s="294">
        <v>3.05</v>
      </c>
      <c r="V244" s="295" cm="1">
        <f t="array" aca="1" ref="V244" ca="1">INDIRECT("'"&amp;$C244&amp;"'!"&amp;"$"&amp;$D244&amp;$V$1&amp;"")</f>
        <v>2.8</v>
      </c>
      <c r="W244" s="296">
        <v>13.1</v>
      </c>
      <c r="X244" s="296">
        <v>0.9</v>
      </c>
      <c r="Y244" s="297">
        <v>1.3</v>
      </c>
      <c r="Z244" s="293" cm="1">
        <f t="array" aca="1" ref="Z244" ca="1">INDIRECT("'"&amp;$C244&amp;"'!"&amp;"$"&amp;$D244&amp;$Z$1&amp;"")</f>
        <v>0</v>
      </c>
      <c r="AA244" s="296" t="s">
        <v>1</v>
      </c>
      <c r="AB244" s="296" t="s">
        <v>1</v>
      </c>
      <c r="AC244" s="294" t="s">
        <v>1</v>
      </c>
      <c r="AD244" s="295" t="str" cm="1">
        <f t="array" aca="1" ref="AD244" ca="1">INDIRECT("'"&amp;$C244&amp;"'!"&amp;"$"&amp;$D244&amp;$AD$1&amp;"")</f>
        <v>CMS</v>
      </c>
      <c r="AE244" s="296" t="s">
        <v>1</v>
      </c>
      <c r="AF244" s="296" t="s">
        <v>1</v>
      </c>
      <c r="AG244" s="297" t="s">
        <v>1</v>
      </c>
      <c r="AH244" s="293" cm="1">
        <f t="array" aca="1" ref="AH244" ca="1">INDIRECT("'"&amp;$C244&amp;"'!"&amp;"$"&amp;$D244&amp;$AH$1&amp;"")</f>
        <v>3.8</v>
      </c>
      <c r="AI244" s="296">
        <v>14.04</v>
      </c>
      <c r="AJ244" s="296">
        <v>0.94</v>
      </c>
      <c r="AK244" s="294">
        <v>1.22</v>
      </c>
      <c r="AL244" s="293">
        <v>11.9</v>
      </c>
      <c r="AM244" s="297">
        <v>70.8</v>
      </c>
      <c r="AN244" s="293" t="str" cm="1">
        <f t="array" aca="1" ref="AN244" ca="1">INDIRECT("'"&amp;$C244&amp;"'!"&amp;"$"&amp;$D244&amp;$AL$1&amp;"")</f>
        <v>CMS</v>
      </c>
      <c r="AO244" s="296" t="s">
        <v>1</v>
      </c>
      <c r="AP244" s="294" t="s">
        <v>1</v>
      </c>
      <c r="AQ244" s="295" cm="1">
        <f t="array" aca="1" ref="AQ244" ca="1">INDIRECT("'"&amp;$C244&amp;"'!"&amp;"$"&amp;$D244&amp;$AQ$1&amp;"")</f>
        <v>3.8</v>
      </c>
      <c r="AR244" s="296">
        <v>0.92</v>
      </c>
      <c r="AS244" s="294">
        <v>1.6</v>
      </c>
      <c r="AT244" s="296" cm="1">
        <f t="array" aca="1" ref="AT244" ca="1">INDIRECT("'"&amp;$C244&amp;"'!"&amp;"$"&amp;$D244&amp;$AT$1&amp;"")</f>
        <v>7.2</v>
      </c>
      <c r="AU244" s="295">
        <v>13.8</v>
      </c>
      <c r="AV244" s="296">
        <v>0.92</v>
      </c>
      <c r="AW244" s="294">
        <v>0.21</v>
      </c>
      <c r="AX244" s="298">
        <v>14.32</v>
      </c>
      <c r="AY244" s="297">
        <v>71.760000000000005</v>
      </c>
      <c r="AZ244" s="298" cm="1">
        <f t="array" aca="1" ref="AZ244" ca="1">INDIRECT("'"&amp;$C244&amp;"'!"&amp;"$"&amp;$D244&amp;$AZ$1&amp;"")</f>
        <v>14.28</v>
      </c>
      <c r="BA244" s="296">
        <v>0.96</v>
      </c>
      <c r="BB244" s="294">
        <v>4.5999999999999996</v>
      </c>
      <c r="BC244" s="299">
        <v>67.3</v>
      </c>
      <c r="BD244" s="293" cm="1">
        <f t="array" aca="1" ref="BD244" ca="1">INDIRECT("'"&amp;$C244&amp;"'!"&amp;"$"&amp;$D244&amp;$BC$1&amp;"")</f>
        <v>7.2000000000000011</v>
      </c>
      <c r="BE244" s="295">
        <v>0.96</v>
      </c>
      <c r="BF244" s="294">
        <v>2</v>
      </c>
      <c r="BG244" s="298" cm="1">
        <f t="array" aca="1" ref="BG244" ca="1">INDIRECT("'"&amp;$C244&amp;"'!"&amp;"$"&amp;$D244&amp;$BG$1&amp;"")</f>
        <v>1.51</v>
      </c>
      <c r="BH244" s="296"/>
      <c r="BI244" s="296">
        <v>0.99</v>
      </c>
      <c r="BJ244" s="294">
        <v>0.21</v>
      </c>
      <c r="BK244" s="299" cm="1">
        <f t="array" aca="1" ref="BK244" ca="1">INDIRECT("'"&amp;$C244&amp;"'!"&amp;"$"&amp;$D244&amp;$BK$1&amp;"")</f>
        <v>0.86</v>
      </c>
      <c r="BL244" s="296"/>
      <c r="BM244" s="296">
        <v>0.96</v>
      </c>
      <c r="BN244" s="294">
        <v>0.24</v>
      </c>
      <c r="BO244" s="299" cm="1">
        <f t="array" aca="1" ref="BO244" ca="1">INDIRECT("'"&amp;$C244&amp;"'!"&amp;"$"&amp;$D244&amp;74&amp;"")</f>
        <v>0</v>
      </c>
      <c r="BP244" s="296"/>
      <c r="BQ244" s="296" t="s">
        <v>1</v>
      </c>
      <c r="BR244" s="294" t="s">
        <v>1</v>
      </c>
    </row>
    <row r="245" spans="1:70">
      <c r="A245" s="361">
        <v>45757</v>
      </c>
      <c r="B245" s="358">
        <v>0.625</v>
      </c>
      <c r="C245" s="313">
        <f t="shared" si="8"/>
        <v>10</v>
      </c>
      <c r="D245" s="314" t="s">
        <v>142</v>
      </c>
      <c r="E245" s="286">
        <v>14.1</v>
      </c>
      <c r="F245" s="287">
        <v>69.23</v>
      </c>
      <c r="G245" s="288" cm="1">
        <f t="array" aca="1" ref="G245" ca="1">INDIRECT("'"&amp;$C245&amp;"'!"&amp;"$"&amp;$D245&amp;$E$1&amp;"")</f>
        <v>6.6</v>
      </c>
      <c r="H245" s="289">
        <v>0.92</v>
      </c>
      <c r="I245" s="287">
        <v>2.91</v>
      </c>
      <c r="J245" s="288" cm="1">
        <f t="array" aca="1" ref="J245" ca="1">INDIRECT("'"&amp;$C245&amp;"'!"&amp;"$"&amp;$D245&amp;$J$1&amp;"")</f>
        <v>6.7</v>
      </c>
      <c r="K245" s="289"/>
      <c r="L245" s="289">
        <v>0.92</v>
      </c>
      <c r="M245" s="287">
        <v>2.95</v>
      </c>
      <c r="N245" s="288" cm="1">
        <f t="array" aca="1" ref="N245" ca="1">INDIRECT("'"&amp;$C245&amp;"'!"&amp;"$"&amp;$D245&amp;$N$1&amp;"")</f>
        <v>6.7</v>
      </c>
      <c r="O245" s="289"/>
      <c r="P245" s="289">
        <v>0.92</v>
      </c>
      <c r="Q245" s="287">
        <v>2.97</v>
      </c>
      <c r="R245" s="288" cm="1">
        <f t="array" aca="1" ref="R245" ca="1">INDIRECT("'"&amp;$C245&amp;"'!"&amp;"$"&amp;$D245&amp;$R$1&amp;"")</f>
        <v>6.6</v>
      </c>
      <c r="S245" s="289"/>
      <c r="T245" s="289">
        <v>0.92</v>
      </c>
      <c r="U245" s="287">
        <v>2.9</v>
      </c>
      <c r="V245" s="288" cm="1">
        <f t="array" aca="1" ref="V245" ca="1">INDIRECT("'"&amp;$C245&amp;"'!"&amp;"$"&amp;$D245&amp;$V$1&amp;"")</f>
        <v>2.8</v>
      </c>
      <c r="W245" s="289">
        <v>13.1</v>
      </c>
      <c r="X245" s="289">
        <v>0.9</v>
      </c>
      <c r="Y245" s="290">
        <v>1.3</v>
      </c>
      <c r="Z245" s="286" cm="1">
        <f t="array" aca="1" ref="Z245" ca="1">INDIRECT("'"&amp;$C245&amp;"'!"&amp;"$"&amp;$D245&amp;$Z$1&amp;"")</f>
        <v>0</v>
      </c>
      <c r="AA245" s="289" t="s">
        <v>1</v>
      </c>
      <c r="AB245" s="289" t="s">
        <v>1</v>
      </c>
      <c r="AC245" s="287" t="s">
        <v>1</v>
      </c>
      <c r="AD245" s="288" t="str" cm="1">
        <f t="array" aca="1" ref="AD245" ca="1">INDIRECT("'"&amp;$C245&amp;"'!"&amp;"$"&amp;$D245&amp;$AD$1&amp;"")</f>
        <v>CMS</v>
      </c>
      <c r="AE245" s="289" t="s">
        <v>1</v>
      </c>
      <c r="AF245" s="289" t="s">
        <v>1</v>
      </c>
      <c r="AG245" s="290" t="s">
        <v>1</v>
      </c>
      <c r="AH245" s="286" cm="1">
        <f t="array" aca="1" ref="AH245" ca="1">INDIRECT("'"&amp;$C245&amp;"'!"&amp;"$"&amp;$D245&amp;$AH$1&amp;"")</f>
        <v>3.8</v>
      </c>
      <c r="AI245" s="289">
        <v>14.08</v>
      </c>
      <c r="AJ245" s="289">
        <v>0.97</v>
      </c>
      <c r="AK245" s="287">
        <v>0.95799999999999996</v>
      </c>
      <c r="AL245" s="286">
        <v>11.9</v>
      </c>
      <c r="AM245" s="290">
        <v>70.8</v>
      </c>
      <c r="AN245" s="286" t="str" cm="1">
        <f t="array" aca="1" ref="AN245" ca="1">INDIRECT("'"&amp;$C245&amp;"'!"&amp;"$"&amp;$D245&amp;$AL$1&amp;"")</f>
        <v>CMS</v>
      </c>
      <c r="AO245" s="289" t="s">
        <v>1</v>
      </c>
      <c r="AP245" s="287" t="s">
        <v>1</v>
      </c>
      <c r="AQ245" s="288" cm="1">
        <f t="array" aca="1" ref="AQ245" ca="1">INDIRECT("'"&amp;$C245&amp;"'!"&amp;"$"&amp;$D245&amp;$AQ$1&amp;"")</f>
        <v>4.2</v>
      </c>
      <c r="AR245" s="289">
        <v>0.9</v>
      </c>
      <c r="AS245" s="287">
        <v>1.8</v>
      </c>
      <c r="AT245" s="289" cm="1">
        <f t="array" aca="1" ref="AT245" ca="1">INDIRECT("'"&amp;$C245&amp;"'!"&amp;"$"&amp;$D245&amp;$AT$1&amp;"")</f>
        <v>7</v>
      </c>
      <c r="AU245" s="288">
        <v>13.9</v>
      </c>
      <c r="AV245" s="289">
        <v>0.96</v>
      </c>
      <c r="AW245" s="287">
        <v>0.2</v>
      </c>
      <c r="AX245" s="291">
        <v>14.16</v>
      </c>
      <c r="AY245" s="290">
        <v>71.98</v>
      </c>
      <c r="AZ245" s="291" cm="1">
        <f t="array" aca="1" ref="AZ245" ca="1">INDIRECT("'"&amp;$C245&amp;"'!"&amp;"$"&amp;$D245&amp;$AZ$1&amp;"")</f>
        <v>14.32</v>
      </c>
      <c r="BA245" s="289">
        <v>0.96</v>
      </c>
      <c r="BB245" s="287">
        <v>4.5999999999999996</v>
      </c>
      <c r="BC245" s="292">
        <v>67.400000000000006</v>
      </c>
      <c r="BD245" s="286" cm="1">
        <f t="array" aca="1" ref="BD245" ca="1">INDIRECT("'"&amp;$C245&amp;"'!"&amp;"$"&amp;$D245&amp;$BC$1&amp;"")</f>
        <v>7.1000000000000014</v>
      </c>
      <c r="BE245" s="288">
        <v>0.96</v>
      </c>
      <c r="BF245" s="287">
        <v>1.9</v>
      </c>
      <c r="BG245" s="291" cm="1">
        <f t="array" aca="1" ref="BG245" ca="1">INDIRECT("'"&amp;$C245&amp;"'!"&amp;"$"&amp;$D245&amp;$BG$1&amp;"")</f>
        <v>1.51</v>
      </c>
      <c r="BH245" s="289"/>
      <c r="BI245" s="289">
        <v>0.99</v>
      </c>
      <c r="BJ245" s="287">
        <v>0.21</v>
      </c>
      <c r="BK245" s="292" cm="1">
        <f t="array" aca="1" ref="BK245" ca="1">INDIRECT("'"&amp;$C245&amp;"'!"&amp;"$"&amp;$D245&amp;$BK$1&amp;"")</f>
        <v>0.88</v>
      </c>
      <c r="BL245" s="289"/>
      <c r="BM245" s="289">
        <v>0.96</v>
      </c>
      <c r="BN245" s="287">
        <v>0.26</v>
      </c>
      <c r="BO245" s="292" cm="1">
        <f t="array" aca="1" ref="BO245" ca="1">INDIRECT("'"&amp;$C245&amp;"'!"&amp;"$"&amp;$D245&amp;74&amp;"")</f>
        <v>0</v>
      </c>
      <c r="BP245" s="289"/>
      <c r="BQ245" s="289" t="s">
        <v>1</v>
      </c>
      <c r="BR245" s="287" t="s">
        <v>1</v>
      </c>
    </row>
    <row r="246" spans="1:70">
      <c r="A246" s="361">
        <v>45757</v>
      </c>
      <c r="B246" s="358">
        <v>0.66666666666666696</v>
      </c>
      <c r="C246" s="313">
        <f t="shared" si="8"/>
        <v>10</v>
      </c>
      <c r="D246" s="314" t="s">
        <v>143</v>
      </c>
      <c r="E246" s="293">
        <v>14.1</v>
      </c>
      <c r="F246" s="294">
        <v>68.989999999999995</v>
      </c>
      <c r="G246" s="295" cm="1">
        <f t="array" aca="1" ref="G246" ca="1">INDIRECT("'"&amp;$C246&amp;"'!"&amp;"$"&amp;$D246&amp;$E$1&amp;"")</f>
        <v>6.7</v>
      </c>
      <c r="H246" s="296">
        <v>0.9</v>
      </c>
      <c r="I246" s="294">
        <v>3.23</v>
      </c>
      <c r="J246" s="295" cm="1">
        <f t="array" aca="1" ref="J246" ca="1">INDIRECT("'"&amp;$C246&amp;"'!"&amp;"$"&amp;$D246&amp;$J$1&amp;"")</f>
        <v>6.7</v>
      </c>
      <c r="K246" s="296"/>
      <c r="L246" s="296">
        <v>0.9</v>
      </c>
      <c r="M246" s="294">
        <v>3.2</v>
      </c>
      <c r="N246" s="295" cm="1">
        <f t="array" aca="1" ref="N246" ca="1">INDIRECT("'"&amp;$C246&amp;"'!"&amp;"$"&amp;$D246&amp;$N$1&amp;"")</f>
        <v>6.7</v>
      </c>
      <c r="O246" s="296"/>
      <c r="P246" s="296">
        <v>0.9</v>
      </c>
      <c r="Q246" s="294">
        <v>3.2</v>
      </c>
      <c r="R246" s="295" cm="1">
        <f t="array" aca="1" ref="R246" ca="1">INDIRECT("'"&amp;$C246&amp;"'!"&amp;"$"&amp;$D246&amp;$R$1&amp;"")</f>
        <v>6.7</v>
      </c>
      <c r="S246" s="296"/>
      <c r="T246" s="296">
        <v>0.9</v>
      </c>
      <c r="U246" s="294">
        <v>3.22</v>
      </c>
      <c r="V246" s="295" cm="1">
        <f t="array" aca="1" ref="V246" ca="1">INDIRECT("'"&amp;$C246&amp;"'!"&amp;"$"&amp;$D246&amp;$V$1&amp;"")</f>
        <v>2.8</v>
      </c>
      <c r="W246" s="296">
        <f>3.8*3.37</f>
        <v>12.805999999999999</v>
      </c>
      <c r="X246" s="296">
        <v>0.9</v>
      </c>
      <c r="Y246" s="297">
        <v>1.27</v>
      </c>
      <c r="Z246" s="293" cm="1">
        <f t="array" aca="1" ref="Z246" ca="1">INDIRECT("'"&amp;$C246&amp;"'!"&amp;"$"&amp;$D246&amp;$Z$1&amp;"")</f>
        <v>0</v>
      </c>
      <c r="AA246" s="296" t="s">
        <v>1</v>
      </c>
      <c r="AB246" s="296" t="s">
        <v>1</v>
      </c>
      <c r="AC246" s="294" t="s">
        <v>1</v>
      </c>
      <c r="AD246" s="295" t="str" cm="1">
        <f t="array" aca="1" ref="AD246" ca="1">INDIRECT("'"&amp;$C246&amp;"'!"&amp;"$"&amp;$D246&amp;$AD$1&amp;"")</f>
        <v>CMS</v>
      </c>
      <c r="AE246" s="296" t="s">
        <v>1</v>
      </c>
      <c r="AF246" s="296" t="s">
        <v>1</v>
      </c>
      <c r="AG246" s="297" t="s">
        <v>1</v>
      </c>
      <c r="AH246" s="293" cm="1">
        <f t="array" aca="1" ref="AH246" ca="1">INDIRECT("'"&amp;$C246&amp;"'!"&amp;"$"&amp;$D246&amp;$AH$1&amp;"")</f>
        <v>3.8</v>
      </c>
      <c r="AI246" s="296">
        <v>14.04</v>
      </c>
      <c r="AJ246" s="296">
        <v>0.98</v>
      </c>
      <c r="AK246" s="294">
        <v>0.503</v>
      </c>
      <c r="AL246" s="293">
        <v>11.9</v>
      </c>
      <c r="AM246" s="297">
        <v>70.8</v>
      </c>
      <c r="AN246" s="293" t="str" cm="1">
        <f t="array" aca="1" ref="AN246" ca="1">INDIRECT("'"&amp;$C246&amp;"'!"&amp;"$"&amp;$D246&amp;$AL$1&amp;"")</f>
        <v>CMS</v>
      </c>
      <c r="AO246" s="296" t="s">
        <v>1</v>
      </c>
      <c r="AP246" s="294" t="s">
        <v>1</v>
      </c>
      <c r="AQ246" s="295" cm="1">
        <f t="array" aca="1" ref="AQ246" ca="1">INDIRECT("'"&amp;$C246&amp;"'!"&amp;"$"&amp;$D246&amp;$AQ$1&amp;"")</f>
        <v>4.2</v>
      </c>
      <c r="AR246" s="296">
        <v>0.9</v>
      </c>
      <c r="AS246" s="294">
        <v>1.8</v>
      </c>
      <c r="AT246" s="296" cm="1">
        <f t="array" aca="1" ref="AT246" ca="1">INDIRECT("'"&amp;$C246&amp;"'!"&amp;"$"&amp;$D246&amp;$AT$1&amp;"")</f>
        <v>7</v>
      </c>
      <c r="AU246" s="295">
        <v>13.9</v>
      </c>
      <c r="AV246" s="296">
        <v>0.96</v>
      </c>
      <c r="AW246" s="294">
        <v>2</v>
      </c>
      <c r="AX246" s="298">
        <v>14.38</v>
      </c>
      <c r="AY246" s="297">
        <v>71.930000000000007</v>
      </c>
      <c r="AZ246" s="298" cm="1">
        <f t="array" aca="1" ref="AZ246" ca="1">INDIRECT("'"&amp;$C246&amp;"'!"&amp;"$"&amp;$D246&amp;$AZ$1&amp;"")</f>
        <v>14.29</v>
      </c>
      <c r="BA246" s="296">
        <v>0.96</v>
      </c>
      <c r="BB246" s="294">
        <v>4.5999999999999996</v>
      </c>
      <c r="BC246" s="299">
        <v>67.099999999999994</v>
      </c>
      <c r="BD246" s="293" cm="1">
        <f t="array" aca="1" ref="BD246" ca="1">INDIRECT("'"&amp;$C246&amp;"'!"&amp;"$"&amp;$D246&amp;$BC$1&amp;"")</f>
        <v>5.7000000000000011</v>
      </c>
      <c r="BE246" s="295">
        <v>0.96</v>
      </c>
      <c r="BF246" s="294">
        <v>1.5</v>
      </c>
      <c r="BG246" s="298" cm="1">
        <f t="array" aca="1" ref="BG246" ca="1">INDIRECT("'"&amp;$C246&amp;"'!"&amp;"$"&amp;$D246&amp;$BG$1&amp;"")</f>
        <v>1.4</v>
      </c>
      <c r="BH246" s="296"/>
      <c r="BI246" s="296">
        <v>0.99</v>
      </c>
      <c r="BJ246" s="294">
        <v>0.19</v>
      </c>
      <c r="BK246" s="299" cm="1">
        <f t="array" aca="1" ref="BK246" ca="1">INDIRECT("'"&amp;$C246&amp;"'!"&amp;"$"&amp;$D246&amp;$BK$1&amp;"")</f>
        <v>0.88</v>
      </c>
      <c r="BL246" s="296"/>
      <c r="BM246" s="296">
        <v>0.96</v>
      </c>
      <c r="BN246" s="294">
        <v>0.26</v>
      </c>
      <c r="BO246" s="299" cm="1">
        <f t="array" aca="1" ref="BO246" ca="1">INDIRECT("'"&amp;$C246&amp;"'!"&amp;"$"&amp;$D246&amp;74&amp;"")</f>
        <v>0</v>
      </c>
      <c r="BP246" s="296"/>
      <c r="BQ246" s="296" t="s">
        <v>1</v>
      </c>
      <c r="BR246" s="294" t="s">
        <v>1</v>
      </c>
    </row>
    <row r="247" spans="1:70">
      <c r="A247" s="361">
        <v>45757</v>
      </c>
      <c r="B247" s="358">
        <v>0.70833333333333404</v>
      </c>
      <c r="C247" s="313">
        <f t="shared" si="8"/>
        <v>10</v>
      </c>
      <c r="D247" s="314" t="s">
        <v>144</v>
      </c>
      <c r="E247" s="286">
        <v>14.1</v>
      </c>
      <c r="F247" s="287">
        <v>69.13</v>
      </c>
      <c r="G247" s="288" cm="1">
        <f t="array" aca="1" ref="G247" ca="1">INDIRECT("'"&amp;$C247&amp;"'!"&amp;"$"&amp;$D247&amp;$E$1&amp;"")</f>
        <v>6.4</v>
      </c>
      <c r="H247" s="289">
        <v>0.91</v>
      </c>
      <c r="I247" s="287">
        <v>2.91</v>
      </c>
      <c r="J247" s="288" cm="1">
        <f t="array" aca="1" ref="J247" ca="1">INDIRECT("'"&amp;$C247&amp;"'!"&amp;"$"&amp;$D247&amp;$J$1&amp;"")</f>
        <v>6.4</v>
      </c>
      <c r="K247" s="289"/>
      <c r="L247" s="289">
        <v>0.91</v>
      </c>
      <c r="M247" s="287">
        <v>2.94</v>
      </c>
      <c r="N247" s="288" cm="1">
        <f t="array" aca="1" ref="N247" ca="1">INDIRECT("'"&amp;$C247&amp;"'!"&amp;"$"&amp;$D247&amp;$N$1&amp;"")</f>
        <v>6.4</v>
      </c>
      <c r="O247" s="289"/>
      <c r="P247" s="289">
        <v>0.91</v>
      </c>
      <c r="Q247" s="287">
        <v>2.9</v>
      </c>
      <c r="R247" s="288" cm="1">
        <f t="array" aca="1" ref="R247" ca="1">INDIRECT("'"&amp;$C247&amp;"'!"&amp;"$"&amp;$D247&amp;$R$1&amp;"")</f>
        <v>6.4</v>
      </c>
      <c r="S247" s="289"/>
      <c r="T247" s="289">
        <v>0.91</v>
      </c>
      <c r="U247" s="287">
        <v>2.95</v>
      </c>
      <c r="V247" s="288" cm="1">
        <f t="array" aca="1" ref="V247" ca="1">INDIRECT("'"&amp;$C247&amp;"'!"&amp;"$"&amp;$D247&amp;$V$1&amp;"")</f>
        <v>2.8</v>
      </c>
      <c r="W247" s="289">
        <f>3.8*3.4</f>
        <v>12.92</v>
      </c>
      <c r="X247" s="289">
        <v>0.91</v>
      </c>
      <c r="Y247" s="290">
        <v>1.19</v>
      </c>
      <c r="Z247" s="286" cm="1">
        <f t="array" aca="1" ref="Z247" ca="1">INDIRECT("'"&amp;$C247&amp;"'!"&amp;"$"&amp;$D247&amp;$Z$1&amp;"")</f>
        <v>0</v>
      </c>
      <c r="AA247" s="289" t="s">
        <v>1</v>
      </c>
      <c r="AB247" s="289" t="s">
        <v>1</v>
      </c>
      <c r="AC247" s="287" t="s">
        <v>1</v>
      </c>
      <c r="AD247" s="288" t="str" cm="1">
        <f t="array" aca="1" ref="AD247" ca="1">INDIRECT("'"&amp;$C247&amp;"'!"&amp;"$"&amp;$D247&amp;$AD$1&amp;"")</f>
        <v>CMS</v>
      </c>
      <c r="AE247" s="289" t="s">
        <v>1</v>
      </c>
      <c r="AF247" s="289" t="s">
        <v>1</v>
      </c>
      <c r="AG247" s="290" t="s">
        <v>1</v>
      </c>
      <c r="AH247" s="286" cm="1">
        <f t="array" aca="1" ref="AH247" ca="1">INDIRECT("'"&amp;$C247&amp;"'!"&amp;"$"&amp;$D247&amp;$AH$1&amp;"")</f>
        <v>3.8</v>
      </c>
      <c r="AI247" s="289">
        <v>14.08</v>
      </c>
      <c r="AJ247" s="289">
        <v>0.99</v>
      </c>
      <c r="AK247" s="287">
        <v>0.219</v>
      </c>
      <c r="AL247" s="286">
        <v>11.9</v>
      </c>
      <c r="AM247" s="290">
        <v>71</v>
      </c>
      <c r="AN247" s="286" t="str" cm="1">
        <f t="array" aca="1" ref="AN247" ca="1">INDIRECT("'"&amp;$C247&amp;"'!"&amp;"$"&amp;$D247&amp;$AL$1&amp;"")</f>
        <v>CMS</v>
      </c>
      <c r="AO247" s="289" t="s">
        <v>1</v>
      </c>
      <c r="AP247" s="287" t="s">
        <v>1</v>
      </c>
      <c r="AQ247" s="288" cm="1">
        <f t="array" aca="1" ref="AQ247" ca="1">INDIRECT("'"&amp;$C247&amp;"'!"&amp;"$"&amp;$D247&amp;$AQ$1&amp;"")</f>
        <v>3.8</v>
      </c>
      <c r="AR247" s="289">
        <v>0.9</v>
      </c>
      <c r="AS247" s="287">
        <v>1.7</v>
      </c>
      <c r="AT247" s="289" cm="1">
        <f t="array" aca="1" ref="AT247" ca="1">INDIRECT("'"&amp;$C247&amp;"'!"&amp;"$"&amp;$D247&amp;$AT$1&amp;"")</f>
        <v>6.6</v>
      </c>
      <c r="AU247" s="288">
        <v>13.9</v>
      </c>
      <c r="AV247" s="289">
        <v>0.96</v>
      </c>
      <c r="AW247" s="287">
        <v>1.8</v>
      </c>
      <c r="AX247" s="291">
        <v>14.48</v>
      </c>
      <c r="AY247" s="290">
        <v>72.38</v>
      </c>
      <c r="AZ247" s="291" cm="1">
        <f t="array" aca="1" ref="AZ247" ca="1">INDIRECT("'"&amp;$C247&amp;"'!"&amp;"$"&amp;$D247&amp;$AZ$1&amp;"")</f>
        <v>14.32</v>
      </c>
      <c r="BA247" s="289">
        <v>0.96</v>
      </c>
      <c r="BB247" s="287">
        <v>4.5999999999999996</v>
      </c>
      <c r="BC247" s="292">
        <v>67.400000000000006</v>
      </c>
      <c r="BD247" s="286" cm="1">
        <f t="array" aca="1" ref="BD247" ca="1">INDIRECT("'"&amp;$C247&amp;"'!"&amp;"$"&amp;$D247&amp;$BC$1&amp;"")</f>
        <v>2.8000000000000003</v>
      </c>
      <c r="BE247" s="288">
        <v>0.96</v>
      </c>
      <c r="BF247" s="287">
        <v>0.8</v>
      </c>
      <c r="BG247" s="291" cm="1">
        <f t="array" aca="1" ref="BG247" ca="1">INDIRECT("'"&amp;$C247&amp;"'!"&amp;"$"&amp;$D247&amp;$BG$1&amp;"")</f>
        <v>1.36</v>
      </c>
      <c r="BH247" s="289"/>
      <c r="BI247" s="289">
        <v>0.99</v>
      </c>
      <c r="BJ247" s="287">
        <v>0.2</v>
      </c>
      <c r="BK247" s="292" cm="1">
        <f t="array" aca="1" ref="BK247" ca="1">INDIRECT("'"&amp;$C247&amp;"'!"&amp;"$"&amp;$D247&amp;$BK$1&amp;"")</f>
        <v>0.87</v>
      </c>
      <c r="BL247" s="289"/>
      <c r="BM247" s="289">
        <v>0.99</v>
      </c>
      <c r="BN247" s="287">
        <v>0.26</v>
      </c>
      <c r="BO247" s="292" cm="1">
        <f t="array" aca="1" ref="BO247" ca="1">INDIRECT("'"&amp;$C247&amp;"'!"&amp;"$"&amp;$D247&amp;74&amp;"")</f>
        <v>0</v>
      </c>
      <c r="BP247" s="289"/>
      <c r="BQ247" s="289" t="s">
        <v>1</v>
      </c>
      <c r="BR247" s="287" t="s">
        <v>1</v>
      </c>
    </row>
    <row r="248" spans="1:70">
      <c r="A248" s="361">
        <v>45757</v>
      </c>
      <c r="B248" s="358">
        <v>0.750000000000001</v>
      </c>
      <c r="C248" s="313">
        <f t="shared" si="8"/>
        <v>10</v>
      </c>
      <c r="D248" s="314" t="s">
        <v>145</v>
      </c>
      <c r="E248" s="293">
        <v>14.1</v>
      </c>
      <c r="F248" s="294">
        <v>69.209999999999994</v>
      </c>
      <c r="G248" s="295" cm="1">
        <f t="array" aca="1" ref="G248" ca="1">INDIRECT("'"&amp;$C248&amp;"'!"&amp;"$"&amp;$D248&amp;$E$1&amp;"")</f>
        <v>6.6</v>
      </c>
      <c r="H248" s="296">
        <v>0.93</v>
      </c>
      <c r="I248" s="294">
        <v>2.59</v>
      </c>
      <c r="J248" s="295" cm="1">
        <f t="array" aca="1" ref="J248" ca="1">INDIRECT("'"&amp;$C248&amp;"'!"&amp;"$"&amp;$D248&amp;$J$1&amp;"")</f>
        <v>6.6</v>
      </c>
      <c r="K248" s="296"/>
      <c r="L248" s="296">
        <v>0.93</v>
      </c>
      <c r="M248" s="294">
        <v>2.61</v>
      </c>
      <c r="N248" s="295" cm="1">
        <f t="array" aca="1" ref="N248" ca="1">INDIRECT("'"&amp;$C248&amp;"'!"&amp;"$"&amp;$D248&amp;$N$1&amp;"")</f>
        <v>6.6</v>
      </c>
      <c r="O248" s="296"/>
      <c r="P248" s="296">
        <v>0.93</v>
      </c>
      <c r="Q248" s="294">
        <v>2.63</v>
      </c>
      <c r="R248" s="295" cm="1">
        <f t="array" aca="1" ref="R248" ca="1">INDIRECT("'"&amp;$C248&amp;"'!"&amp;"$"&amp;$D248&amp;$R$1&amp;"")</f>
        <v>6.6</v>
      </c>
      <c r="S248" s="296"/>
      <c r="T248" s="296">
        <v>0.93</v>
      </c>
      <c r="U248" s="294">
        <v>2.58</v>
      </c>
      <c r="V248" s="295" cm="1">
        <f t="array" aca="1" ref="V248" ca="1">INDIRECT("'"&amp;$C248&amp;"'!"&amp;"$"&amp;$D248&amp;$V$1&amp;"")</f>
        <v>2.8</v>
      </c>
      <c r="W248" s="296">
        <f>3.8*3.41</f>
        <v>12.958</v>
      </c>
      <c r="X248" s="296">
        <v>0.92</v>
      </c>
      <c r="Y248" s="297">
        <v>0.1</v>
      </c>
      <c r="Z248" s="293" cm="1">
        <f t="array" aca="1" ref="Z248" ca="1">INDIRECT("'"&amp;$C248&amp;"'!"&amp;"$"&amp;$D248&amp;$Z$1&amp;"")</f>
        <v>0</v>
      </c>
      <c r="AA248" s="296" t="s">
        <v>1</v>
      </c>
      <c r="AB248" s="296" t="s">
        <v>1</v>
      </c>
      <c r="AC248" s="294" t="s">
        <v>1</v>
      </c>
      <c r="AD248" s="295" t="str" cm="1">
        <f t="array" aca="1" ref="AD248" ca="1">INDIRECT("'"&amp;$C248&amp;"'!"&amp;"$"&amp;$D248&amp;$AD$1&amp;"")</f>
        <v>CMS</v>
      </c>
      <c r="AE248" s="296" t="s">
        <v>1</v>
      </c>
      <c r="AF248" s="296" t="s">
        <v>1</v>
      </c>
      <c r="AG248" s="297" t="s">
        <v>1</v>
      </c>
      <c r="AH248" s="293" cm="1">
        <f t="array" aca="1" ref="AH248" ca="1">INDIRECT("'"&amp;$C248&amp;"'!"&amp;"$"&amp;$D248&amp;$AH$1&amp;"")</f>
        <v>3</v>
      </c>
      <c r="AI248" s="296">
        <v>14.04</v>
      </c>
      <c r="AJ248" s="296">
        <v>0.97</v>
      </c>
      <c r="AK248" s="294">
        <v>0.60799999999999998</v>
      </c>
      <c r="AL248" s="293">
        <v>11.9</v>
      </c>
      <c r="AM248" s="297">
        <v>70.7</v>
      </c>
      <c r="AN248" s="293" t="str" cm="1">
        <f t="array" aca="1" ref="AN248" ca="1">INDIRECT("'"&amp;$C248&amp;"'!"&amp;"$"&amp;$D248&amp;$AL$1&amp;"")</f>
        <v>CMS</v>
      </c>
      <c r="AO248" s="296" t="s">
        <v>1</v>
      </c>
      <c r="AP248" s="294" t="s">
        <v>1</v>
      </c>
      <c r="AQ248" s="295" cm="1">
        <f t="array" aca="1" ref="AQ248" ca="1">INDIRECT("'"&amp;$C248&amp;"'!"&amp;"$"&amp;$D248&amp;$AQ$1&amp;"")</f>
        <v>4.2</v>
      </c>
      <c r="AR248" s="296">
        <v>0.92</v>
      </c>
      <c r="AS248" s="294">
        <v>1.6</v>
      </c>
      <c r="AT248" s="296" cm="1">
        <f t="array" aca="1" ref="AT248" ca="1">INDIRECT("'"&amp;$C248&amp;"'!"&amp;"$"&amp;$D248&amp;$AT$1&amp;"")</f>
        <v>4.9000000000000004</v>
      </c>
      <c r="AU248" s="295">
        <v>13.8</v>
      </c>
      <c r="AV248" s="296">
        <v>0.92</v>
      </c>
      <c r="AW248" s="294">
        <v>2</v>
      </c>
      <c r="AX248" s="298">
        <v>14.3</v>
      </c>
      <c r="AY248" s="297">
        <v>72.95</v>
      </c>
      <c r="AZ248" s="298" cm="1">
        <f t="array" aca="1" ref="AZ248" ca="1">INDIRECT("'"&amp;$C248&amp;"'!"&amp;"$"&amp;$D248&amp;$AZ$1&amp;"")</f>
        <v>14.31</v>
      </c>
      <c r="BA248" s="296">
        <v>0.98</v>
      </c>
      <c r="BB248" s="294">
        <v>3.5</v>
      </c>
      <c r="BC248" s="299">
        <v>67.5</v>
      </c>
      <c r="BD248" s="293" cm="1">
        <f t="array" aca="1" ref="BD248" ca="1">INDIRECT("'"&amp;$C248&amp;"'!"&amp;"$"&amp;$D248&amp;$BC$1&amp;"")</f>
        <v>2.8000000000000003</v>
      </c>
      <c r="BE248" s="295">
        <v>0.96</v>
      </c>
      <c r="BF248" s="294">
        <v>0.78</v>
      </c>
      <c r="BG248" s="298" cm="1">
        <f t="array" aca="1" ref="BG248" ca="1">INDIRECT("'"&amp;$C248&amp;"'!"&amp;"$"&amp;$D248&amp;$BG$1&amp;"")</f>
        <v>6.5</v>
      </c>
      <c r="BH248" s="296"/>
      <c r="BI248" s="296" t="s">
        <v>1</v>
      </c>
      <c r="BJ248" s="294" t="s">
        <v>1</v>
      </c>
      <c r="BK248" s="299" cm="1">
        <f t="array" aca="1" ref="BK248" ca="1">INDIRECT("'"&amp;$C248&amp;"'!"&amp;"$"&amp;$D248&amp;$BK$1&amp;"")</f>
        <v>0.82</v>
      </c>
      <c r="BL248" s="296"/>
      <c r="BM248" s="296">
        <v>0.99</v>
      </c>
      <c r="BN248" s="294">
        <v>0.26</v>
      </c>
      <c r="BO248" s="299" cm="1">
        <f t="array" aca="1" ref="BO248" ca="1">INDIRECT("'"&amp;$C248&amp;"'!"&amp;"$"&amp;$D248&amp;74&amp;"")</f>
        <v>0</v>
      </c>
      <c r="BP248" s="296"/>
      <c r="BQ248" s="296" t="s">
        <v>1</v>
      </c>
      <c r="BR248" s="294" t="s">
        <v>1</v>
      </c>
    </row>
    <row r="249" spans="1:70">
      <c r="A249" s="361">
        <v>45757</v>
      </c>
      <c r="B249" s="358">
        <v>0.79166666666666696</v>
      </c>
      <c r="C249" s="313">
        <f t="shared" si="8"/>
        <v>10</v>
      </c>
      <c r="D249" s="314" t="s">
        <v>146</v>
      </c>
      <c r="E249" s="286">
        <v>14.2</v>
      </c>
      <c r="F249" s="287">
        <v>69.27</v>
      </c>
      <c r="G249" s="288" cm="1">
        <f t="array" aca="1" ref="G249" ca="1">INDIRECT("'"&amp;$C249&amp;"'!"&amp;"$"&amp;$D249&amp;$E$1&amp;"")</f>
        <v>6.8</v>
      </c>
      <c r="H249" s="289">
        <v>0.94</v>
      </c>
      <c r="I249" s="287">
        <v>2.36</v>
      </c>
      <c r="J249" s="288" cm="1">
        <f t="array" aca="1" ref="J249" ca="1">INDIRECT("'"&amp;$C249&amp;"'!"&amp;"$"&amp;$D249&amp;$J$1&amp;"")</f>
        <v>6.8</v>
      </c>
      <c r="K249" s="300"/>
      <c r="L249" s="289">
        <v>0.94</v>
      </c>
      <c r="M249" s="287">
        <v>2.37</v>
      </c>
      <c r="N249" s="288" cm="1">
        <f t="array" aca="1" ref="N249" ca="1">INDIRECT("'"&amp;$C249&amp;"'!"&amp;"$"&amp;$D249&amp;$N$1&amp;"")</f>
        <v>6.8</v>
      </c>
      <c r="O249" s="289"/>
      <c r="P249" s="289">
        <v>0.94</v>
      </c>
      <c r="Q249" s="287">
        <v>2.35</v>
      </c>
      <c r="R249" s="288" cm="1">
        <f t="array" aca="1" ref="R249" ca="1">INDIRECT("'"&amp;$C249&amp;"'!"&amp;"$"&amp;$D249&amp;$R$1&amp;"")</f>
        <v>6.8</v>
      </c>
      <c r="S249" s="289"/>
      <c r="T249" s="289">
        <v>0.94</v>
      </c>
      <c r="U249" s="287">
        <v>2.36</v>
      </c>
      <c r="V249" s="288" cm="1">
        <f t="array" aca="1" ref="V249" ca="1">INDIRECT("'"&amp;$C249&amp;"'!"&amp;"$"&amp;$D249&amp;$V$1&amp;"")</f>
        <v>2.8</v>
      </c>
      <c r="W249" s="289">
        <f>3.8*3.42</f>
        <v>12.995999999999999</v>
      </c>
      <c r="X249" s="289">
        <v>0.92</v>
      </c>
      <c r="Y249" s="290">
        <v>1.1000000000000001</v>
      </c>
      <c r="Z249" s="286" cm="1">
        <f t="array" aca="1" ref="Z249" ca="1">INDIRECT("'"&amp;$C249&amp;"'!"&amp;"$"&amp;$D249&amp;$Z$1&amp;"")</f>
        <v>0</v>
      </c>
      <c r="AA249" s="289" t="s">
        <v>1</v>
      </c>
      <c r="AB249" s="289" t="s">
        <v>1</v>
      </c>
      <c r="AC249" s="287" t="s">
        <v>1</v>
      </c>
      <c r="AD249" s="288" t="str" cm="1">
        <f t="array" aca="1" ref="AD249" ca="1">INDIRECT("'"&amp;$C249&amp;"'!"&amp;"$"&amp;$D249&amp;$AD$1&amp;"")</f>
        <v>CMS</v>
      </c>
      <c r="AE249" s="289" t="s">
        <v>1</v>
      </c>
      <c r="AF249" s="289" t="s">
        <v>1</v>
      </c>
      <c r="AG249" s="290" t="s">
        <v>1</v>
      </c>
      <c r="AH249" s="286" cm="1">
        <f t="array" aca="1" ref="AH249" ca="1">INDIRECT("'"&amp;$C249&amp;"'!"&amp;"$"&amp;$D249&amp;$AH$1&amp;"")</f>
        <v>3.8</v>
      </c>
      <c r="AI249" s="289">
        <v>14</v>
      </c>
      <c r="AJ249" s="289">
        <v>0.97</v>
      </c>
      <c r="AK249" s="287">
        <v>0.65100000000000002</v>
      </c>
      <c r="AL249" s="286">
        <v>11.9</v>
      </c>
      <c r="AM249" s="290">
        <v>70.7</v>
      </c>
      <c r="AN249" s="286" t="str" cm="1">
        <f t="array" aca="1" ref="AN249" ca="1">INDIRECT("'"&amp;$C249&amp;"'!"&amp;"$"&amp;$D249&amp;$AL$1&amp;"")</f>
        <v>CMS</v>
      </c>
      <c r="AO249" s="289" t="s">
        <v>1</v>
      </c>
      <c r="AP249" s="287" t="s">
        <v>1</v>
      </c>
      <c r="AQ249" s="288" cm="1">
        <f t="array" aca="1" ref="AQ249" ca="1">INDIRECT("'"&amp;$C249&amp;"'!"&amp;"$"&amp;$D249&amp;$AQ$1&amp;"")</f>
        <v>4.5</v>
      </c>
      <c r="AR249" s="289">
        <v>0.94</v>
      </c>
      <c r="AS249" s="287">
        <v>1.5</v>
      </c>
      <c r="AT249" s="289" cm="1">
        <f t="array" aca="1" ref="AT249" ca="1">INDIRECT("'"&amp;$C249&amp;"'!"&amp;"$"&amp;$D249&amp;$AT$1&amp;"")</f>
        <v>7</v>
      </c>
      <c r="AU249" s="288">
        <v>13.9</v>
      </c>
      <c r="AV249" s="289">
        <v>0.96</v>
      </c>
      <c r="AW249" s="287">
        <v>2</v>
      </c>
      <c r="AX249" s="291">
        <v>14.23</v>
      </c>
      <c r="AY249" s="290">
        <v>71.599999999999994</v>
      </c>
      <c r="AZ249" s="291" cm="1">
        <f t="array" aca="1" ref="AZ249" ca="1">INDIRECT("'"&amp;$C249&amp;"'!"&amp;"$"&amp;$D249&amp;$AZ$1&amp;"")</f>
        <v>14.28</v>
      </c>
      <c r="BA249" s="289">
        <v>0.98</v>
      </c>
      <c r="BB249" s="287">
        <v>3.5</v>
      </c>
      <c r="BC249" s="292">
        <v>67.599999999999994</v>
      </c>
      <c r="BD249" s="286" cm="1">
        <f t="array" aca="1" ref="BD249" ca="1">INDIRECT("'"&amp;$C249&amp;"'!"&amp;"$"&amp;$D249&amp;$BC$1&amp;"")</f>
        <v>2.8000000000000003</v>
      </c>
      <c r="BE249" s="288">
        <v>0.96</v>
      </c>
      <c r="BF249" s="287">
        <v>0.77</v>
      </c>
      <c r="BG249" s="291" cm="1">
        <f t="array" aca="1" ref="BG249" ca="1">INDIRECT("'"&amp;$C249&amp;"'!"&amp;"$"&amp;$D249&amp;$BG$1&amp;"")</f>
        <v>1.65</v>
      </c>
      <c r="BH249" s="289"/>
      <c r="BI249" s="289">
        <v>0.99</v>
      </c>
      <c r="BJ249" s="287">
        <v>0.19</v>
      </c>
      <c r="BK249" s="292" cm="1">
        <f t="array" aca="1" ref="BK249" ca="1">INDIRECT("'"&amp;$C249&amp;"'!"&amp;"$"&amp;$D249&amp;$BK$1&amp;"")</f>
        <v>0.93</v>
      </c>
      <c r="BL249" s="289"/>
      <c r="BM249" s="289">
        <v>0.96599999999999997</v>
      </c>
      <c r="BN249" s="287">
        <v>0.23</v>
      </c>
      <c r="BO249" s="292" cm="1">
        <f t="array" aca="1" ref="BO249" ca="1">INDIRECT("'"&amp;$C249&amp;"'!"&amp;"$"&amp;$D249&amp;74&amp;"")</f>
        <v>0</v>
      </c>
      <c r="BP249" s="289"/>
      <c r="BQ249" s="289" t="s">
        <v>1</v>
      </c>
      <c r="BR249" s="287" t="s">
        <v>1</v>
      </c>
    </row>
    <row r="250" spans="1:70">
      <c r="A250" s="361">
        <v>45757</v>
      </c>
      <c r="B250" s="358">
        <v>0.83333333333333337</v>
      </c>
      <c r="C250" s="313">
        <f t="shared" si="8"/>
        <v>10</v>
      </c>
      <c r="D250" s="314" t="s">
        <v>147</v>
      </c>
      <c r="E250" s="293">
        <v>14</v>
      </c>
      <c r="F250" s="294">
        <v>69.17</v>
      </c>
      <c r="G250" s="295" cm="1">
        <f t="array" aca="1" ref="G250" ca="1">INDIRECT("'"&amp;$C250&amp;"'!"&amp;"$"&amp;$D250&amp;$E$1&amp;"")</f>
        <v>6.9</v>
      </c>
      <c r="H250" s="296">
        <v>0.94</v>
      </c>
      <c r="I250" s="294">
        <v>2</v>
      </c>
      <c r="J250" s="295" cm="1">
        <f t="array" aca="1" ref="J250" ca="1">INDIRECT("'"&amp;$C250&amp;"'!"&amp;"$"&amp;$D250&amp;$J$1&amp;"")</f>
        <v>6.3</v>
      </c>
      <c r="K250" s="296"/>
      <c r="L250" s="296">
        <v>0.94</v>
      </c>
      <c r="M250" s="294">
        <v>2.4</v>
      </c>
      <c r="N250" s="295" cm="1">
        <f t="array" aca="1" ref="N250" ca="1">INDIRECT("'"&amp;$C250&amp;"'!"&amp;"$"&amp;$D250&amp;$N$1&amp;"")</f>
        <v>6.3</v>
      </c>
      <c r="O250" s="296"/>
      <c r="P250" s="296">
        <v>0.94</v>
      </c>
      <c r="Q250" s="294">
        <v>2.4</v>
      </c>
      <c r="R250" s="295" cm="1">
        <f t="array" aca="1" ref="R250" ca="1">INDIRECT("'"&amp;$C250&amp;"'!"&amp;"$"&amp;$D250&amp;$R$1&amp;"")</f>
        <v>6.3</v>
      </c>
      <c r="S250" s="296"/>
      <c r="T250" s="296">
        <v>0.94</v>
      </c>
      <c r="U250" s="294">
        <v>2.4</v>
      </c>
      <c r="V250" s="295" cm="1">
        <f t="array" aca="1" ref="V250" ca="1">INDIRECT("'"&amp;$C250&amp;"'!"&amp;"$"&amp;$D250&amp;$V$1&amp;"")</f>
        <v>2.8</v>
      </c>
      <c r="W250" s="296">
        <f>3.8*3.44</f>
        <v>13.071999999999999</v>
      </c>
      <c r="X250" s="296">
        <v>0.92</v>
      </c>
      <c r="Y250" s="297">
        <v>1.1100000000000001</v>
      </c>
      <c r="Z250" s="293" cm="1">
        <f t="array" aca="1" ref="Z250" ca="1">INDIRECT("'"&amp;$C250&amp;"'!"&amp;"$"&amp;$D250&amp;$Z$1&amp;"")</f>
        <v>0</v>
      </c>
      <c r="AA250" s="296" t="s">
        <v>1</v>
      </c>
      <c r="AB250" s="296" t="s">
        <v>1</v>
      </c>
      <c r="AC250" s="294" t="s">
        <v>1</v>
      </c>
      <c r="AD250" s="295" t="str" cm="1">
        <f t="array" aca="1" ref="AD250" ca="1">INDIRECT("'"&amp;$C250&amp;"'!"&amp;"$"&amp;$D250&amp;$AD$1&amp;"")</f>
        <v>CMS</v>
      </c>
      <c r="AE250" s="296" t="s">
        <v>1</v>
      </c>
      <c r="AF250" s="296" t="s">
        <v>1</v>
      </c>
      <c r="AG250" s="297" t="s">
        <v>1</v>
      </c>
      <c r="AH250" s="293" cm="1">
        <f t="array" aca="1" ref="AH250" ca="1">INDIRECT("'"&amp;$C250&amp;"'!"&amp;"$"&amp;$D250&amp;$AH$1&amp;"")</f>
        <v>3.8</v>
      </c>
      <c r="AI250" s="296">
        <v>14</v>
      </c>
      <c r="AJ250" s="296">
        <v>0.98</v>
      </c>
      <c r="AK250" s="294">
        <v>0.51</v>
      </c>
      <c r="AL250" s="293">
        <v>11.9</v>
      </c>
      <c r="AM250" s="297">
        <v>70.7</v>
      </c>
      <c r="AN250" s="293" t="str" cm="1">
        <f t="array" aca="1" ref="AN250" ca="1">INDIRECT("'"&amp;$C250&amp;"'!"&amp;"$"&amp;$D250&amp;$AL$1&amp;"")</f>
        <v>CMS</v>
      </c>
      <c r="AO250" s="296" t="s">
        <v>1</v>
      </c>
      <c r="AP250" s="294" t="s">
        <v>1</v>
      </c>
      <c r="AQ250" s="295" cm="1">
        <f t="array" aca="1" ref="AQ250" ca="1">INDIRECT("'"&amp;$C250&amp;"'!"&amp;"$"&amp;$D250&amp;$AQ$1&amp;"")</f>
        <v>4.5</v>
      </c>
      <c r="AR250" s="296">
        <v>0.94</v>
      </c>
      <c r="AS250" s="294">
        <v>1.5</v>
      </c>
      <c r="AT250" s="296" cm="1">
        <f t="array" aca="1" ref="AT250" ca="1">INDIRECT("'"&amp;$C250&amp;"'!"&amp;"$"&amp;$D250&amp;$AT$1&amp;"")</f>
        <v>5</v>
      </c>
      <c r="AU250" s="295">
        <v>13.9</v>
      </c>
      <c r="AV250" s="296">
        <v>0.94</v>
      </c>
      <c r="AW250" s="294">
        <v>1.8</v>
      </c>
      <c r="AX250" s="298">
        <v>14.27</v>
      </c>
      <c r="AY250" s="297">
        <v>71.790000000000006</v>
      </c>
      <c r="AZ250" s="298" cm="1">
        <f t="array" aca="1" ref="AZ250" ca="1">INDIRECT("'"&amp;$C250&amp;"'!"&amp;"$"&amp;$D250&amp;$AZ$1&amp;"")</f>
        <v>14.31</v>
      </c>
      <c r="BA250" s="296">
        <v>0.98</v>
      </c>
      <c r="BB250" s="294">
        <v>3.5</v>
      </c>
      <c r="BC250" s="299">
        <v>67.900000000000006</v>
      </c>
      <c r="BD250" s="293" cm="1">
        <f t="array" aca="1" ref="BD250" ca="1">INDIRECT("'"&amp;$C250&amp;"'!"&amp;"$"&amp;$D250&amp;$BC$1&amp;"")</f>
        <v>2.8000000000000003</v>
      </c>
      <c r="BE250" s="295">
        <v>0.97</v>
      </c>
      <c r="BF250" s="294">
        <v>0.73</v>
      </c>
      <c r="BG250" s="298" cm="1">
        <f t="array" aca="1" ref="BG250" ca="1">INDIRECT("'"&amp;$C250&amp;"'!"&amp;"$"&amp;$D250&amp;$BG$1&amp;"")</f>
        <v>1.33</v>
      </c>
      <c r="BH250" s="296"/>
      <c r="BI250" s="296">
        <v>0.99</v>
      </c>
      <c r="BJ250" s="294">
        <v>0.11</v>
      </c>
      <c r="BK250" s="299" cm="1">
        <f t="array" aca="1" ref="BK250" ca="1">INDIRECT("'"&amp;$C250&amp;"'!"&amp;"$"&amp;$D250&amp;$BK$1&amp;"")</f>
        <v>0.93</v>
      </c>
      <c r="BL250" s="296"/>
      <c r="BM250" s="296">
        <v>0.96</v>
      </c>
      <c r="BN250" s="294">
        <v>0.25</v>
      </c>
      <c r="BO250" s="299" cm="1">
        <f t="array" aca="1" ref="BO250" ca="1">INDIRECT("'"&amp;$C250&amp;"'!"&amp;"$"&amp;$D250&amp;74&amp;"")</f>
        <v>0</v>
      </c>
      <c r="BP250" s="296"/>
      <c r="BQ250" s="296" t="s">
        <v>1</v>
      </c>
      <c r="BR250" s="294" t="s">
        <v>1</v>
      </c>
    </row>
    <row r="251" spans="1:70">
      <c r="A251" s="361">
        <v>45757</v>
      </c>
      <c r="B251" s="358">
        <v>0.875000000000001</v>
      </c>
      <c r="C251" s="313">
        <f t="shared" si="8"/>
        <v>10</v>
      </c>
      <c r="D251" s="314" t="s">
        <v>148</v>
      </c>
      <c r="E251" s="286">
        <v>14.1</v>
      </c>
      <c r="F251" s="287">
        <v>69.34</v>
      </c>
      <c r="G251" s="288" cm="1">
        <f t="array" aca="1" ref="G251" ca="1">INDIRECT("'"&amp;$C251&amp;"'!"&amp;"$"&amp;$D251&amp;$E$1&amp;"")</f>
        <v>6.9</v>
      </c>
      <c r="H251" s="289">
        <v>0.96</v>
      </c>
      <c r="I251" s="287">
        <v>1.8</v>
      </c>
      <c r="J251" s="288" cm="1">
        <f t="array" aca="1" ref="J251" ca="1">INDIRECT("'"&amp;$C251&amp;"'!"&amp;"$"&amp;$D251&amp;$J$1&amp;"")</f>
        <v>6</v>
      </c>
      <c r="K251" s="289"/>
      <c r="L251" s="289">
        <v>0.96</v>
      </c>
      <c r="M251" s="287">
        <v>1.4</v>
      </c>
      <c r="N251" s="288" cm="1">
        <f t="array" aca="1" ref="N251" ca="1">INDIRECT("'"&amp;$C251&amp;"'!"&amp;"$"&amp;$D251&amp;$N$1&amp;"")</f>
        <v>6</v>
      </c>
      <c r="O251" s="289"/>
      <c r="P251" s="289">
        <v>0.96</v>
      </c>
      <c r="Q251" s="287">
        <v>1.4</v>
      </c>
      <c r="R251" s="288" cm="1">
        <f t="array" aca="1" ref="R251" ca="1">INDIRECT("'"&amp;$C251&amp;"'!"&amp;"$"&amp;$D251&amp;$R$1&amp;"")</f>
        <v>6</v>
      </c>
      <c r="S251" s="289"/>
      <c r="T251" s="289">
        <v>0.94</v>
      </c>
      <c r="U251" s="287">
        <v>1.4</v>
      </c>
      <c r="V251" s="288" cm="1">
        <f t="array" aca="1" ref="V251" ca="1">INDIRECT("'"&amp;$C251&amp;"'!"&amp;"$"&amp;$D251&amp;$V$1&amp;"")</f>
        <v>2.8</v>
      </c>
      <c r="W251" s="289">
        <f>3.8*3.48</f>
        <v>13.224</v>
      </c>
      <c r="X251" s="289">
        <v>0.92</v>
      </c>
      <c r="Y251" s="290">
        <v>1.0900000000000001</v>
      </c>
      <c r="Z251" s="286" cm="1">
        <f t="array" aca="1" ref="Z251" ca="1">INDIRECT("'"&amp;$C251&amp;"'!"&amp;"$"&amp;$D251&amp;$Z$1&amp;"")</f>
        <v>0</v>
      </c>
      <c r="AA251" s="289" t="s">
        <v>1</v>
      </c>
      <c r="AB251" s="289" t="s">
        <v>1</v>
      </c>
      <c r="AC251" s="287" t="s">
        <v>1</v>
      </c>
      <c r="AD251" s="288" t="str" cm="1">
        <f t="array" aca="1" ref="AD251" ca="1">INDIRECT("'"&amp;$C251&amp;"'!"&amp;"$"&amp;$D251&amp;$AD$1&amp;"")</f>
        <v>CMS</v>
      </c>
      <c r="AE251" s="289" t="s">
        <v>1</v>
      </c>
      <c r="AF251" s="289" t="s">
        <v>1</v>
      </c>
      <c r="AG251" s="290" t="s">
        <v>1</v>
      </c>
      <c r="AH251" s="286" cm="1">
        <f t="array" aca="1" ref="AH251" ca="1">INDIRECT("'"&amp;$C251&amp;"'!"&amp;"$"&amp;$D251&amp;$AH$1&amp;"")</f>
        <v>3.8</v>
      </c>
      <c r="AI251" s="289">
        <v>14</v>
      </c>
      <c r="AJ251" s="289">
        <v>0.97</v>
      </c>
      <c r="AK251" s="287">
        <v>0.67</v>
      </c>
      <c r="AL251" s="286">
        <v>11.9</v>
      </c>
      <c r="AM251" s="290">
        <v>70.7</v>
      </c>
      <c r="AN251" s="286" t="str" cm="1">
        <f t="array" aca="1" ref="AN251" ca="1">INDIRECT("'"&amp;$C251&amp;"'!"&amp;"$"&amp;$D251&amp;$AL$1&amp;"")</f>
        <v>CMS</v>
      </c>
      <c r="AO251" s="289" t="s">
        <v>1</v>
      </c>
      <c r="AP251" s="287" t="s">
        <v>1</v>
      </c>
      <c r="AQ251" s="288" cm="1">
        <f t="array" aca="1" ref="AQ251" ca="1">INDIRECT("'"&amp;$C251&amp;"'!"&amp;"$"&amp;$D251&amp;$AQ$1&amp;"")</f>
        <v>4.2</v>
      </c>
      <c r="AR251" s="289">
        <v>0.99</v>
      </c>
      <c r="AS251" s="287">
        <v>0.71</v>
      </c>
      <c r="AT251" s="289" cm="1">
        <f t="array" aca="1" ref="AT251" ca="1">INDIRECT("'"&amp;$C251&amp;"'!"&amp;"$"&amp;$D251&amp;$AT$1&amp;"")</f>
        <v>4.8</v>
      </c>
      <c r="AU251" s="288">
        <v>13.9</v>
      </c>
      <c r="AV251" s="289">
        <v>0.92</v>
      </c>
      <c r="AW251" s="287">
        <v>2</v>
      </c>
      <c r="AX251" s="291">
        <v>14.13</v>
      </c>
      <c r="AY251" s="290">
        <v>71.430000000000007</v>
      </c>
      <c r="AZ251" s="291" cm="1">
        <f t="array" aca="1" ref="AZ251" ca="1">INDIRECT("'"&amp;$C251&amp;"'!"&amp;"$"&amp;$D251&amp;$AZ$1&amp;"")</f>
        <v>14.28</v>
      </c>
      <c r="BA251" s="289">
        <v>0.99</v>
      </c>
      <c r="BB251" s="287">
        <v>2.5</v>
      </c>
      <c r="BC251" s="292">
        <v>67.900000000000006</v>
      </c>
      <c r="BD251" s="286" cm="1">
        <f t="array" aca="1" ref="BD251" ca="1">INDIRECT("'"&amp;$C251&amp;"'!"&amp;"$"&amp;$D251&amp;$BC$1&amp;"")</f>
        <v>2.8000000000000003</v>
      </c>
      <c r="BE251" s="288">
        <v>0.97</v>
      </c>
      <c r="BF251" s="287">
        <v>0.71</v>
      </c>
      <c r="BG251" s="291" cm="1">
        <f t="array" aca="1" ref="BG251" ca="1">INDIRECT("'"&amp;$C251&amp;"'!"&amp;"$"&amp;$D251&amp;$BG$1&amp;"")</f>
        <v>1.21</v>
      </c>
      <c r="BH251" s="289"/>
      <c r="BI251" s="289">
        <v>0.99</v>
      </c>
      <c r="BJ251" s="287">
        <v>0.13</v>
      </c>
      <c r="BK251" s="292" cm="1">
        <f t="array" aca="1" ref="BK251" ca="1">INDIRECT("'"&amp;$C251&amp;"'!"&amp;"$"&amp;$D251&amp;$BK$1&amp;"")</f>
        <v>0.91</v>
      </c>
      <c r="BL251" s="289"/>
      <c r="BM251" s="289">
        <v>0.96</v>
      </c>
      <c r="BN251" s="287">
        <v>0.25</v>
      </c>
      <c r="BO251" s="292" cm="1">
        <f t="array" aca="1" ref="BO251" ca="1">INDIRECT("'"&amp;$C251&amp;"'!"&amp;"$"&amp;$D251&amp;74&amp;"")</f>
        <v>0</v>
      </c>
      <c r="BP251" s="289"/>
      <c r="BQ251" s="289" t="s">
        <v>1</v>
      </c>
      <c r="BR251" s="287" t="s">
        <v>1</v>
      </c>
    </row>
    <row r="252" spans="1:70">
      <c r="A252" s="361">
        <v>45757</v>
      </c>
      <c r="B252" s="358">
        <v>0.91666666666666696</v>
      </c>
      <c r="C252" s="313">
        <f t="shared" si="8"/>
        <v>10</v>
      </c>
      <c r="D252" s="314" t="s">
        <v>149</v>
      </c>
      <c r="E252" s="293">
        <v>14.1</v>
      </c>
      <c r="F252" s="294">
        <v>69.47</v>
      </c>
      <c r="G252" s="295" cm="1">
        <f t="array" aca="1" ref="G252" ca="1">INDIRECT("'"&amp;$C252&amp;"'!"&amp;"$"&amp;$D252&amp;$E$1&amp;"")</f>
        <v>0</v>
      </c>
      <c r="H252" s="296" t="s">
        <v>1</v>
      </c>
      <c r="I252" s="294" t="s">
        <v>1</v>
      </c>
      <c r="J252" s="295" cm="1">
        <f t="array" aca="1" ref="J252" ca="1">INDIRECT("'"&amp;$C252&amp;"'!"&amp;"$"&amp;$D252&amp;$J$1&amp;"")</f>
        <v>6.5</v>
      </c>
      <c r="K252" s="296"/>
      <c r="L252" s="296">
        <v>0.96</v>
      </c>
      <c r="M252" s="294">
        <v>1.9</v>
      </c>
      <c r="N252" s="295" cm="1">
        <f t="array" aca="1" ref="N252" ca="1">INDIRECT("'"&amp;$C252&amp;"'!"&amp;"$"&amp;$D252&amp;$N$1&amp;"")</f>
        <v>6.5</v>
      </c>
      <c r="O252" s="296"/>
      <c r="P252" s="296">
        <v>0.96</v>
      </c>
      <c r="Q252" s="294">
        <v>1.9</v>
      </c>
      <c r="R252" s="295" cm="1">
        <f t="array" aca="1" ref="R252" ca="1">INDIRECT("'"&amp;$C252&amp;"'!"&amp;"$"&amp;$D252&amp;$R$1&amp;"")</f>
        <v>6.5</v>
      </c>
      <c r="S252" s="296"/>
      <c r="T252" s="296">
        <v>0.96</v>
      </c>
      <c r="U252" s="294">
        <v>1.9</v>
      </c>
      <c r="V252" s="295" cm="1">
        <f t="array" aca="1" ref="V252" ca="1">INDIRECT("'"&amp;$C252&amp;"'!"&amp;"$"&amp;$D252&amp;$V$1&amp;"")</f>
        <v>2.8</v>
      </c>
      <c r="W252" s="296">
        <f>3.49*3.8</f>
        <v>13.262</v>
      </c>
      <c r="X252" s="296">
        <v>0.96</v>
      </c>
      <c r="Y252" s="297">
        <v>1.21</v>
      </c>
      <c r="Z252" s="293" cm="1">
        <f t="array" aca="1" ref="Z252" ca="1">INDIRECT("'"&amp;$C252&amp;"'!"&amp;"$"&amp;$D252&amp;$Z$1&amp;"")</f>
        <v>0</v>
      </c>
      <c r="AA252" s="296" t="s">
        <v>1</v>
      </c>
      <c r="AB252" s="296" t="s">
        <v>1</v>
      </c>
      <c r="AC252" s="294" t="s">
        <v>1</v>
      </c>
      <c r="AD252" s="295" cm="1">
        <f t="array" aca="1" ref="AD252" ca="1">INDIRECT("'"&amp;$C252&amp;"'!"&amp;"$"&amp;$D252&amp;$AD$1&amp;"")</f>
        <v>0</v>
      </c>
      <c r="AE252" s="296" t="s">
        <v>1</v>
      </c>
      <c r="AF252" s="296" t="s">
        <v>1</v>
      </c>
      <c r="AG252" s="297" t="s">
        <v>1</v>
      </c>
      <c r="AH252" s="293" cm="1">
        <f t="array" aca="1" ref="AH252" ca="1">INDIRECT("'"&amp;$C252&amp;"'!"&amp;"$"&amp;$D252&amp;$AH$1&amp;"")</f>
        <v>3.8</v>
      </c>
      <c r="AI252" s="296">
        <v>14</v>
      </c>
      <c r="AJ252" s="296">
        <v>0.98</v>
      </c>
      <c r="AK252" s="294">
        <v>0.438</v>
      </c>
      <c r="AL252" s="293">
        <v>11.9</v>
      </c>
      <c r="AM252" s="297">
        <v>70.900000000000006</v>
      </c>
      <c r="AN252" s="293" t="str" cm="1">
        <f t="array" aca="1" ref="AN252" ca="1">INDIRECT("'"&amp;$C252&amp;"'!"&amp;"$"&amp;$D252&amp;$AL$1&amp;"")</f>
        <v>CMS</v>
      </c>
      <c r="AO252" s="296" t="s">
        <v>1</v>
      </c>
      <c r="AP252" s="294" t="s">
        <v>1</v>
      </c>
      <c r="AQ252" s="295" cm="1">
        <f t="array" aca="1" ref="AQ252" ca="1">INDIRECT("'"&amp;$C252&amp;"'!"&amp;"$"&amp;$D252&amp;$AQ$1&amp;"")</f>
        <v>4.4000000000000004</v>
      </c>
      <c r="AR252" s="296">
        <v>0.95</v>
      </c>
      <c r="AS252" s="294">
        <v>1.3</v>
      </c>
      <c r="AT252" s="296" cm="1">
        <f t="array" aca="1" ref="AT252" ca="1">INDIRECT("'"&amp;$C252&amp;"'!"&amp;"$"&amp;$D252&amp;$AT$1&amp;"")</f>
        <v>5.5</v>
      </c>
      <c r="AU252" s="295">
        <v>13.9</v>
      </c>
      <c r="AV252" s="296">
        <v>0.97</v>
      </c>
      <c r="AW252" s="294">
        <v>1.2</v>
      </c>
      <c r="AX252" s="298">
        <v>14.28</v>
      </c>
      <c r="AY252" s="297">
        <v>71.959999999999994</v>
      </c>
      <c r="AZ252" s="298" cm="1">
        <f t="array" aca="1" ref="AZ252" ca="1">INDIRECT("'"&amp;$C252&amp;"'!"&amp;"$"&amp;$D252&amp;$AZ$1&amp;"")</f>
        <v>14.3</v>
      </c>
      <c r="BA252" s="296">
        <v>0.99</v>
      </c>
      <c r="BB252" s="294">
        <v>2.5099999999999998</v>
      </c>
      <c r="BC252" s="299">
        <v>68.3</v>
      </c>
      <c r="BD252" s="293" cm="1">
        <f t="array" aca="1" ref="BD252" ca="1">INDIRECT("'"&amp;$C252&amp;"'!"&amp;"$"&amp;$D252&amp;$BC$1&amp;"")</f>
        <v>2.8000000000000003</v>
      </c>
      <c r="BE252" s="295">
        <v>0.97</v>
      </c>
      <c r="BF252" s="294">
        <v>0.72</v>
      </c>
      <c r="BG252" s="298" cm="1">
        <f t="array" aca="1" ref="BG252" ca="1">INDIRECT("'"&amp;$C252&amp;"'!"&amp;"$"&amp;$D252&amp;$BG$1&amp;"")</f>
        <v>1.33</v>
      </c>
      <c r="BH252" s="296"/>
      <c r="BI252" s="296">
        <v>0.99</v>
      </c>
      <c r="BJ252" s="294">
        <v>0.17</v>
      </c>
      <c r="BK252" s="299" cm="1">
        <f t="array" aca="1" ref="BK252" ca="1">INDIRECT("'"&amp;$C252&amp;"'!"&amp;"$"&amp;$D252&amp;$BK$1&amp;"")</f>
        <v>0.86</v>
      </c>
      <c r="BL252" s="296"/>
      <c r="BM252" s="296">
        <v>0.96</v>
      </c>
      <c r="BN252" s="294">
        <v>0.24</v>
      </c>
      <c r="BO252" s="299" cm="1">
        <f t="array" aca="1" ref="BO252" ca="1">INDIRECT("'"&amp;$C252&amp;"'!"&amp;"$"&amp;$D252&amp;74&amp;"")</f>
        <v>0</v>
      </c>
      <c r="BP252" s="296"/>
      <c r="BQ252" s="296" t="s">
        <v>1</v>
      </c>
      <c r="BR252" s="294" t="s">
        <v>1</v>
      </c>
    </row>
    <row r="253" spans="1:70" ht="14.45" thickBot="1">
      <c r="A253" s="362">
        <v>45757</v>
      </c>
      <c r="B253" s="359">
        <v>0.95833333333333404</v>
      </c>
      <c r="C253" s="315">
        <f t="shared" si="8"/>
        <v>10</v>
      </c>
      <c r="D253" s="316" t="s">
        <v>150</v>
      </c>
      <c r="E253" s="301">
        <v>14.1</v>
      </c>
      <c r="F253" s="302">
        <v>69.73</v>
      </c>
      <c r="G253" s="303" cm="1">
        <f t="array" aca="1" ref="G253" ca="1">INDIRECT("'"&amp;$C253&amp;"'!"&amp;"$"&amp;$D253&amp;$E$1&amp;"")</f>
        <v>0</v>
      </c>
      <c r="H253" s="304" t="s">
        <v>1</v>
      </c>
      <c r="I253" s="302" t="s">
        <v>1</v>
      </c>
      <c r="J253" s="303" cm="1">
        <f t="array" aca="1" ref="J253" ca="1">INDIRECT("'"&amp;$C253&amp;"'!"&amp;"$"&amp;$D253&amp;$J$1&amp;"")</f>
        <v>6.7</v>
      </c>
      <c r="K253" s="304"/>
      <c r="L253" s="304">
        <v>0.97</v>
      </c>
      <c r="M253" s="302">
        <v>1.6</v>
      </c>
      <c r="N253" s="303" cm="1">
        <f t="array" aca="1" ref="N253" ca="1">INDIRECT("'"&amp;$C253&amp;"'!"&amp;"$"&amp;$D253&amp;$N$1&amp;"")</f>
        <v>6.7</v>
      </c>
      <c r="O253" s="304"/>
      <c r="P253" s="304">
        <v>0.97</v>
      </c>
      <c r="Q253" s="302">
        <v>1.6</v>
      </c>
      <c r="R253" s="303" cm="1">
        <f t="array" aca="1" ref="R253" ca="1">INDIRECT("'"&amp;$C253&amp;"'!"&amp;"$"&amp;$D253&amp;$R$1&amp;"")</f>
        <v>6.7</v>
      </c>
      <c r="S253" s="304"/>
      <c r="T253" s="304">
        <v>0.97</v>
      </c>
      <c r="U253" s="302">
        <v>1.6</v>
      </c>
      <c r="V253" s="303" cm="1">
        <f t="array" aca="1" ref="V253" ca="1">INDIRECT("'"&amp;$C253&amp;"'!"&amp;"$"&amp;$D253&amp;$V$1&amp;"")</f>
        <v>2.8</v>
      </c>
      <c r="W253" s="304">
        <v>13.337999999999999</v>
      </c>
      <c r="X253" s="304">
        <v>0.96</v>
      </c>
      <c r="Y253" s="305">
        <v>0.74</v>
      </c>
      <c r="Z253" s="301" cm="1">
        <f t="array" aca="1" ref="Z253" ca="1">INDIRECT("'"&amp;$C253&amp;"'!"&amp;"$"&amp;$D253&amp;$Z$1&amp;"")</f>
        <v>0</v>
      </c>
      <c r="AA253" s="304" t="s">
        <v>1</v>
      </c>
      <c r="AB253" s="304" t="s">
        <v>1</v>
      </c>
      <c r="AC253" s="302" t="s">
        <v>1</v>
      </c>
      <c r="AD253" s="303" cm="1">
        <f t="array" aca="1" ref="AD253" ca="1">INDIRECT("'"&amp;$C253&amp;"'!"&amp;"$"&amp;$D253&amp;$AD$1&amp;"")</f>
        <v>0</v>
      </c>
      <c r="AE253" s="304" t="s">
        <v>1</v>
      </c>
      <c r="AF253" s="304" t="s">
        <v>1</v>
      </c>
      <c r="AG253" s="305" t="s">
        <v>1</v>
      </c>
      <c r="AH253" s="301" cm="1">
        <f t="array" aca="1" ref="AH253" ca="1">INDIRECT("'"&amp;$C253&amp;"'!"&amp;"$"&amp;$D253&amp;$AH$1&amp;"")</f>
        <v>3.8</v>
      </c>
      <c r="AI253" s="304">
        <v>14</v>
      </c>
      <c r="AJ253" s="304">
        <v>0.99</v>
      </c>
      <c r="AK253" s="302">
        <v>0.32100000000000001</v>
      </c>
      <c r="AL253" s="301">
        <v>11.9</v>
      </c>
      <c r="AM253" s="305">
        <v>70.599999999999994</v>
      </c>
      <c r="AN253" s="301" t="str" cm="1">
        <f t="array" aca="1" ref="AN253" ca="1">INDIRECT("'"&amp;$C253&amp;"'!"&amp;"$"&amp;$D253&amp;$AL$1&amp;"")</f>
        <v>CMS</v>
      </c>
      <c r="AO253" s="304" t="s">
        <v>1</v>
      </c>
      <c r="AP253" s="302" t="s">
        <v>1</v>
      </c>
      <c r="AQ253" s="303" cm="1">
        <f t="array" aca="1" ref="AQ253" ca="1">INDIRECT("'"&amp;$C253&amp;"'!"&amp;"$"&amp;$D253&amp;$AQ$1&amp;"")</f>
        <v>4.5</v>
      </c>
      <c r="AR253" s="304">
        <v>0.95</v>
      </c>
      <c r="AS253" s="302">
        <v>1.3</v>
      </c>
      <c r="AT253" s="304" cm="1">
        <f t="array" aca="1" ref="AT253" ca="1">INDIRECT("'"&amp;$C253&amp;"'!"&amp;"$"&amp;$D253&amp;$AT$1&amp;"")</f>
        <v>0</v>
      </c>
      <c r="AU253" s="303" t="s">
        <v>1</v>
      </c>
      <c r="AV253" s="304" t="s">
        <v>1</v>
      </c>
      <c r="AW253" s="302" t="s">
        <v>1</v>
      </c>
      <c r="AX253" s="306">
        <v>14.13</v>
      </c>
      <c r="AY253" s="305">
        <v>71.61</v>
      </c>
      <c r="AZ253" s="306" cm="1">
        <f t="array" aca="1" ref="AZ253" ca="1">INDIRECT("'"&amp;$C253&amp;"'!"&amp;"$"&amp;$D253&amp;$AZ$1&amp;"")</f>
        <v>14.14</v>
      </c>
      <c r="BA253" s="304">
        <v>0.99</v>
      </c>
      <c r="BB253" s="302">
        <v>2.4</v>
      </c>
      <c r="BC253" s="307">
        <v>68.7</v>
      </c>
      <c r="BD253" s="301" cm="1">
        <f t="array" aca="1" ref="BD253" ca="1">INDIRECT("'"&amp;$C253&amp;"'!"&amp;"$"&amp;$D253&amp;$BC$1&amp;"")</f>
        <v>4.2</v>
      </c>
      <c r="BE253" s="303">
        <v>0.97</v>
      </c>
      <c r="BF253" s="302">
        <v>1</v>
      </c>
      <c r="BG253" s="306" cm="1">
        <f t="array" aca="1" ref="BG253" ca="1">INDIRECT("'"&amp;$C253&amp;"'!"&amp;"$"&amp;$D253&amp;$BG$1&amp;"")</f>
        <v>1.23</v>
      </c>
      <c r="BH253" s="304"/>
      <c r="BI253" s="304">
        <v>0.99</v>
      </c>
      <c r="BJ253" s="302">
        <v>0.16</v>
      </c>
      <c r="BK253" s="307" cm="1">
        <f t="array" aca="1" ref="BK253" ca="1">INDIRECT("'"&amp;$C253&amp;"'!"&amp;"$"&amp;$D253&amp;$BK$1&amp;"")</f>
        <v>0.81</v>
      </c>
      <c r="BL253" s="304"/>
      <c r="BM253" s="304">
        <v>0.96</v>
      </c>
      <c r="BN253" s="302">
        <v>0.23</v>
      </c>
      <c r="BO253" s="307" cm="1">
        <f t="array" aca="1" ref="BO253" ca="1">INDIRECT("'"&amp;$C253&amp;"'!"&amp;"$"&amp;$D253&amp;74&amp;"")</f>
        <v>0</v>
      </c>
      <c r="BP253" s="304"/>
      <c r="BQ253" s="304" t="s">
        <v>1</v>
      </c>
      <c r="BR253" s="302" t="s">
        <v>1</v>
      </c>
    </row>
    <row r="254" spans="1:70" ht="14.45" thickBot="1"/>
    <row r="255" spans="1:70">
      <c r="A255" s="360">
        <v>45758</v>
      </c>
      <c r="B255" s="357">
        <v>0</v>
      </c>
      <c r="C255" s="310">
        <f>C230+1</f>
        <v>11</v>
      </c>
      <c r="D255" s="311" t="s">
        <v>127</v>
      </c>
      <c r="E255" s="280">
        <v>14.1</v>
      </c>
      <c r="F255" s="281">
        <v>69.650000000000006</v>
      </c>
      <c r="G255" s="282" cm="1">
        <f t="array" aca="1" ref="G255" ca="1">INDIRECT("'"&amp;$C255&amp;"'!"&amp;"$"&amp;$D255&amp;$E$1&amp;"")</f>
        <v>0</v>
      </c>
      <c r="H255" s="283" t="s">
        <v>1</v>
      </c>
      <c r="I255" s="281" t="s">
        <v>1</v>
      </c>
      <c r="J255" s="282" cm="1">
        <f t="array" aca="1" ref="J255" ca="1">INDIRECT("'"&amp;$C255&amp;"'!"&amp;"$"&amp;$D255&amp;$J$1&amp;"")</f>
        <v>6.6</v>
      </c>
      <c r="K255" s="283"/>
      <c r="L255" s="283">
        <v>0.97</v>
      </c>
      <c r="M255" s="281">
        <v>1.61</v>
      </c>
      <c r="N255" s="282" cm="1">
        <f t="array" aca="1" ref="N255" ca="1">INDIRECT("'"&amp;$C255&amp;"'!"&amp;"$"&amp;$D255&amp;$N$1&amp;"")</f>
        <v>6.6</v>
      </c>
      <c r="O255" s="283"/>
      <c r="P255" s="283">
        <v>0.97</v>
      </c>
      <c r="Q255" s="281">
        <v>1.61</v>
      </c>
      <c r="R255" s="282" cm="1">
        <f t="array" aca="1" ref="R255" ca="1">INDIRECT("'"&amp;$C255&amp;"'!"&amp;"$"&amp;$D255&amp;$R$1&amp;"")</f>
        <v>6.6</v>
      </c>
      <c r="S255" s="283"/>
      <c r="T255" s="283">
        <v>0.97</v>
      </c>
      <c r="U255" s="281">
        <v>1.61</v>
      </c>
      <c r="V255" s="282" cm="1">
        <f t="array" aca="1" ref="V255" ca="1">INDIRECT("'"&amp;$C255&amp;"'!"&amp;"$"&amp;$D255&amp;$V$1&amp;"")</f>
        <v>0</v>
      </c>
      <c r="W255" s="283" t="s">
        <v>1</v>
      </c>
      <c r="X255" s="283" t="s">
        <v>1</v>
      </c>
      <c r="Y255" s="284" t="s">
        <v>1</v>
      </c>
      <c r="Z255" s="280" cm="1">
        <f t="array" aca="1" ref="Z255" ca="1">INDIRECT("'"&amp;$C255&amp;"'!"&amp;"$"&amp;$D255&amp;$Z$1&amp;"")</f>
        <v>0</v>
      </c>
      <c r="AA255" s="283" t="s">
        <v>1</v>
      </c>
      <c r="AB255" s="283" t="s">
        <v>1</v>
      </c>
      <c r="AC255" s="281" t="s">
        <v>1</v>
      </c>
      <c r="AD255" s="282" cm="1">
        <f t="array" aca="1" ref="AD255" ca="1">INDIRECT("'"&amp;$C255&amp;"'!"&amp;"$"&amp;$D255&amp;$AD$1&amp;"")</f>
        <v>0</v>
      </c>
      <c r="AE255" s="283" t="s">
        <v>1</v>
      </c>
      <c r="AF255" s="283" t="s">
        <v>1</v>
      </c>
      <c r="AG255" s="281" t="s">
        <v>1</v>
      </c>
      <c r="AH255" s="280" cm="1">
        <f t="array" aca="1" ref="AH255" ca="1">INDIRECT("'"&amp;$C255&amp;"'!"&amp;"$"&amp;$D255&amp;$AH$1&amp;"")</f>
        <v>3.8</v>
      </c>
      <c r="AI255" s="283">
        <v>14</v>
      </c>
      <c r="AJ255" s="283">
        <v>0.99</v>
      </c>
      <c r="AK255" s="281">
        <v>0.29399999999999998</v>
      </c>
      <c r="AL255" s="280">
        <v>11.9</v>
      </c>
      <c r="AM255" s="284">
        <v>70.599999999999994</v>
      </c>
      <c r="AN255" s="280" t="str" cm="1">
        <f t="array" aca="1" ref="AN255" ca="1">INDIRECT("'"&amp;$C255&amp;"'!"&amp;"$"&amp;$D255&amp;$AL$1&amp;"")</f>
        <v>CMS</v>
      </c>
      <c r="AO255" s="283" t="s">
        <v>1</v>
      </c>
      <c r="AP255" s="281" t="s">
        <v>1</v>
      </c>
      <c r="AQ255" s="282" cm="1">
        <f t="array" aca="1" ref="AQ255" ca="1">INDIRECT("'"&amp;$C255&amp;"'!"&amp;"$"&amp;$D255&amp;$AQ$1&amp;"")</f>
        <v>4.4000000000000004</v>
      </c>
      <c r="AR255" s="283">
        <v>0.96</v>
      </c>
      <c r="AS255" s="281">
        <v>1.2</v>
      </c>
      <c r="AT255" s="283" cm="1">
        <f t="array" aca="1" ref="AT255" ca="1">INDIRECT("'"&amp;$C255&amp;"'!"&amp;"$"&amp;$D255&amp;$AT$1&amp;"")</f>
        <v>0</v>
      </c>
      <c r="AU255" s="282" t="s">
        <v>1</v>
      </c>
      <c r="AV255" s="283" t="s">
        <v>1</v>
      </c>
      <c r="AW255" s="281" t="s">
        <v>1</v>
      </c>
      <c r="AX255" s="285">
        <v>14.19</v>
      </c>
      <c r="AY255" s="284">
        <v>71.900000000000006</v>
      </c>
      <c r="AZ255" s="285" cm="1">
        <f t="array" aca="1" ref="AZ255" ca="1">INDIRECT("'"&amp;$C255&amp;"'!"&amp;"$"&amp;$D255&amp;$AZ$1&amp;"")</f>
        <v>14.27</v>
      </c>
      <c r="BA255" s="283">
        <v>0.99</v>
      </c>
      <c r="BB255" s="281">
        <v>2.4</v>
      </c>
      <c r="BC255" s="281">
        <v>68.5</v>
      </c>
      <c r="BD255" s="280" cm="1">
        <f t="array" aca="1" ref="BD255" ca="1">INDIRECT("'"&amp;$C255&amp;"'!"&amp;"$"&amp;$D255&amp;$BC$1&amp;"")</f>
        <v>2.8000000000000003</v>
      </c>
      <c r="BE255" s="282">
        <v>0.97</v>
      </c>
      <c r="BF255" s="281">
        <v>0.71</v>
      </c>
      <c r="BG255" s="285" cm="1">
        <f t="array" aca="1" ref="BG255" ca="1">INDIRECT("'"&amp;$C255&amp;"'!"&amp;"$"&amp;$D255&amp;$BG$1&amp;"")</f>
        <v>1</v>
      </c>
      <c r="BH255" s="283"/>
      <c r="BI255" s="283">
        <v>0.99</v>
      </c>
      <c r="BJ255" s="281">
        <v>0.14000000000000001</v>
      </c>
      <c r="BK255" s="285" cm="1">
        <f t="array" aca="1" ref="BK255" ca="1">INDIRECT("'"&amp;$C255&amp;"'!"&amp;"$"&amp;$D255&amp;$BK$1&amp;"")</f>
        <v>0.77</v>
      </c>
      <c r="BL255" s="283"/>
      <c r="BM255" s="283">
        <v>0.96</v>
      </c>
      <c r="BN255" s="281">
        <v>0.22</v>
      </c>
      <c r="BO255" s="373" cm="1">
        <f t="array" aca="1" ref="BO255" ca="1">INDIRECT("'"&amp;$C255&amp;"'!"&amp;"$"&amp;$D255&amp;74&amp;"")</f>
        <v>0</v>
      </c>
      <c r="BP255" s="283"/>
      <c r="BQ255" s="283" t="s">
        <v>1</v>
      </c>
      <c r="BR255" s="281" t="s">
        <v>1</v>
      </c>
    </row>
    <row r="256" spans="1:70">
      <c r="A256" s="361">
        <v>45758</v>
      </c>
      <c r="B256" s="358">
        <v>4.1666666666666699E-2</v>
      </c>
      <c r="C256" s="313">
        <f t="shared" ref="C256:C278" si="9">C231+1</f>
        <v>11</v>
      </c>
      <c r="D256" s="314" t="s">
        <v>128</v>
      </c>
      <c r="E256" s="286">
        <v>14.2</v>
      </c>
      <c r="F256" s="287">
        <v>70.44</v>
      </c>
      <c r="G256" s="288" cm="1">
        <f t="array" aca="1" ref="G256" ca="1">INDIRECT("'"&amp;$C256&amp;"'!"&amp;"$"&amp;$D256&amp;$E$1&amp;"")</f>
        <v>1.5</v>
      </c>
      <c r="H256" s="289">
        <v>0.95</v>
      </c>
      <c r="I256" s="287">
        <v>0.51</v>
      </c>
      <c r="J256" s="288" cm="1">
        <f t="array" aca="1" ref="J256" ca="1">INDIRECT("'"&amp;$C256&amp;"'!"&amp;"$"&amp;$D256&amp;$J$1&amp;"")</f>
        <v>6.1</v>
      </c>
      <c r="K256" s="289"/>
      <c r="L256" s="289">
        <v>0.98</v>
      </c>
      <c r="M256" s="287">
        <v>1.3</v>
      </c>
      <c r="N256" s="288" cm="1">
        <f t="array" aca="1" ref="N256" ca="1">INDIRECT("'"&amp;$C256&amp;"'!"&amp;"$"&amp;$D256&amp;$N$1&amp;"")</f>
        <v>6.1</v>
      </c>
      <c r="O256" s="289"/>
      <c r="P256" s="289">
        <v>0.98</v>
      </c>
      <c r="Q256" s="287">
        <v>1.3</v>
      </c>
      <c r="R256" s="288" cm="1">
        <f t="array" aca="1" ref="R256" ca="1">INDIRECT("'"&amp;$C256&amp;"'!"&amp;"$"&amp;$D256&amp;$R$1&amp;"")</f>
        <v>6.1</v>
      </c>
      <c r="S256" s="289"/>
      <c r="T256" s="289">
        <v>0.98</v>
      </c>
      <c r="U256" s="287">
        <v>1.3</v>
      </c>
      <c r="V256" s="288" cm="1">
        <f t="array" aca="1" ref="V256" ca="1">INDIRECT("'"&amp;$C256&amp;"'!"&amp;"$"&amp;$D256&amp;$V$1&amp;"")</f>
        <v>0</v>
      </c>
      <c r="W256" s="289" t="s">
        <v>1</v>
      </c>
      <c r="X256" s="289" t="s">
        <v>1</v>
      </c>
      <c r="Y256" s="290" t="s">
        <v>1</v>
      </c>
      <c r="Z256" s="286" cm="1">
        <f t="array" aca="1" ref="Z256" ca="1">INDIRECT("'"&amp;$C256&amp;"'!"&amp;"$"&amp;$D256&amp;$Z$1&amp;"")</f>
        <v>0</v>
      </c>
      <c r="AA256" s="289" t="s">
        <v>1</v>
      </c>
      <c r="AB256" s="289" t="s">
        <v>1</v>
      </c>
      <c r="AC256" s="287" t="s">
        <v>1</v>
      </c>
      <c r="AD256" s="288" cm="1">
        <f t="array" aca="1" ref="AD256" ca="1">INDIRECT("'"&amp;$C256&amp;"'!"&amp;"$"&amp;$D256&amp;$AD$1&amp;"")</f>
        <v>0</v>
      </c>
      <c r="AE256" s="289" t="s">
        <v>1</v>
      </c>
      <c r="AF256" s="289" t="s">
        <v>1</v>
      </c>
      <c r="AG256" s="290" t="s">
        <v>1</v>
      </c>
      <c r="AH256" s="286" cm="1">
        <f t="array" aca="1" ref="AH256" ca="1">INDIRECT("'"&amp;$C256&amp;"'!"&amp;"$"&amp;$D256&amp;$AH$1&amp;"")</f>
        <v>0</v>
      </c>
      <c r="AI256" s="289" t="s">
        <v>1</v>
      </c>
      <c r="AJ256" s="289" t="s">
        <v>1</v>
      </c>
      <c r="AK256" s="287" t="s">
        <v>1</v>
      </c>
      <c r="AL256" s="286">
        <v>11.8</v>
      </c>
      <c r="AM256" s="290">
        <v>70.599999999999994</v>
      </c>
      <c r="AN256" s="286" t="str" cm="1">
        <f t="array" aca="1" ref="AN256" ca="1">INDIRECT("'"&amp;$C256&amp;"'!"&amp;"$"&amp;$D256&amp;$AL$1&amp;"")</f>
        <v>CMS</v>
      </c>
      <c r="AO256" s="289" t="s">
        <v>1</v>
      </c>
      <c r="AP256" s="287" t="s">
        <v>1</v>
      </c>
      <c r="AQ256" s="288" cm="1">
        <f t="array" aca="1" ref="AQ256" ca="1">INDIRECT("'"&amp;$C256&amp;"'!"&amp;"$"&amp;$D256&amp;$AQ$1&amp;"")</f>
        <v>4.2</v>
      </c>
      <c r="AR256" s="289">
        <v>0.96</v>
      </c>
      <c r="AS256" s="287">
        <v>1.3</v>
      </c>
      <c r="AT256" s="289" cm="1">
        <f t="array" aca="1" ref="AT256" ca="1">INDIRECT("'"&amp;$C256&amp;"'!"&amp;"$"&amp;$D256&amp;$AT$1&amp;"")</f>
        <v>0</v>
      </c>
      <c r="AU256" s="288" t="s">
        <v>1</v>
      </c>
      <c r="AV256" s="289" t="s">
        <v>1</v>
      </c>
      <c r="AW256" s="287" t="s">
        <v>1</v>
      </c>
      <c r="AX256" s="291">
        <v>14.16</v>
      </c>
      <c r="AY256" s="290">
        <v>71.709999999999994</v>
      </c>
      <c r="AZ256" s="291" cm="1">
        <f t="array" aca="1" ref="AZ256" ca="1">INDIRECT("'"&amp;$C256&amp;"'!"&amp;"$"&amp;$D256&amp;$AZ$1&amp;"")</f>
        <v>14.23</v>
      </c>
      <c r="BA256" s="289">
        <v>0.99</v>
      </c>
      <c r="BB256" s="287">
        <v>2.4</v>
      </c>
      <c r="BC256" s="292">
        <v>68.900000000000006</v>
      </c>
      <c r="BD256" s="286" cm="1">
        <f t="array" aca="1" ref="BD256" ca="1">INDIRECT("'"&amp;$C256&amp;"'!"&amp;"$"&amp;$D256&amp;$BC$1&amp;"")</f>
        <v>3.5</v>
      </c>
      <c r="BE256" s="288">
        <v>0.98</v>
      </c>
      <c r="BF256" s="287">
        <v>0.7</v>
      </c>
      <c r="BG256" s="291" cm="1">
        <f t="array" aca="1" ref="BG256" ca="1">INDIRECT("'"&amp;$C256&amp;"'!"&amp;"$"&amp;$D256&amp;$BG$1&amp;"")</f>
        <v>0.93</v>
      </c>
      <c r="BH256" s="289"/>
      <c r="BI256" s="289">
        <v>0.99</v>
      </c>
      <c r="BJ256" s="287">
        <v>0.12</v>
      </c>
      <c r="BK256" s="291" cm="1">
        <f t="array" aca="1" ref="BK256" ca="1">INDIRECT("'"&amp;$C256&amp;"'!"&amp;"$"&amp;$D256&amp;$BK$1&amp;"")</f>
        <v>0.73</v>
      </c>
      <c r="BL256" s="289"/>
      <c r="BM256" s="289">
        <v>0.96</v>
      </c>
      <c r="BN256" s="287">
        <v>0.21</v>
      </c>
      <c r="BO256" s="292" cm="1">
        <f t="array" aca="1" ref="BO256" ca="1">INDIRECT("'"&amp;$C256&amp;"'!"&amp;"$"&amp;$D256&amp;74&amp;"")</f>
        <v>0</v>
      </c>
      <c r="BP256" s="289"/>
      <c r="BQ256" s="289" t="s">
        <v>1</v>
      </c>
      <c r="BR256" s="287" t="s">
        <v>1</v>
      </c>
    </row>
    <row r="257" spans="1:70">
      <c r="A257" s="361">
        <v>45758</v>
      </c>
      <c r="B257" s="358">
        <v>8.3333333333333301E-2</v>
      </c>
      <c r="C257" s="313">
        <f t="shared" si="9"/>
        <v>11</v>
      </c>
      <c r="D257" s="314" t="s">
        <v>129</v>
      </c>
      <c r="E257" s="293">
        <v>14.2</v>
      </c>
      <c r="F257" s="294">
        <v>70.430000000000007</v>
      </c>
      <c r="G257" s="295" cm="1">
        <f t="array" aca="1" ref="G257" ca="1">INDIRECT("'"&amp;$C257&amp;"'!"&amp;"$"&amp;$D257&amp;$E$1&amp;"")</f>
        <v>6.4</v>
      </c>
      <c r="H257" s="296">
        <v>0.98</v>
      </c>
      <c r="I257" s="294">
        <v>1.1599999999999999</v>
      </c>
      <c r="J257" s="295" cm="1">
        <f t="array" aca="1" ref="J257" ca="1">INDIRECT("'"&amp;$C257&amp;"'!"&amp;"$"&amp;$D257&amp;$J$1&amp;"")</f>
        <v>6.4</v>
      </c>
      <c r="K257" s="296"/>
      <c r="L257" s="296">
        <v>0.98</v>
      </c>
      <c r="M257" s="294">
        <v>1.1599999999999999</v>
      </c>
      <c r="N257" s="295" cm="1">
        <f t="array" aca="1" ref="N257" ca="1">INDIRECT("'"&amp;$C257&amp;"'!"&amp;"$"&amp;$D257&amp;$N$1&amp;"")</f>
        <v>0</v>
      </c>
      <c r="O257" s="296"/>
      <c r="P257" s="296" t="s">
        <v>1</v>
      </c>
      <c r="Q257" s="294" t="s">
        <v>1</v>
      </c>
      <c r="R257" s="295" cm="1">
        <f t="array" aca="1" ref="R257" ca="1">INDIRECT("'"&amp;$C257&amp;"'!"&amp;"$"&amp;$D257&amp;$R$1&amp;"")</f>
        <v>6.4</v>
      </c>
      <c r="S257" s="296"/>
      <c r="T257" s="296">
        <v>0.98</v>
      </c>
      <c r="U257" s="294">
        <v>1.1599999999999999</v>
      </c>
      <c r="V257" s="295" cm="1">
        <f t="array" aca="1" ref="V257" ca="1">INDIRECT("'"&amp;$C257&amp;"'!"&amp;"$"&amp;$D257&amp;$V$1&amp;"")</f>
        <v>0</v>
      </c>
      <c r="W257" s="296" t="s">
        <v>1</v>
      </c>
      <c r="X257" s="296" t="s">
        <v>1</v>
      </c>
      <c r="Y257" s="297" t="s">
        <v>1</v>
      </c>
      <c r="Z257" s="293" cm="1">
        <f t="array" aca="1" ref="Z257" ca="1">INDIRECT("'"&amp;$C257&amp;"'!"&amp;"$"&amp;$D257&amp;$Z$1&amp;"")</f>
        <v>0</v>
      </c>
      <c r="AA257" s="296" t="s">
        <v>1</v>
      </c>
      <c r="AB257" s="296" t="s">
        <v>1</v>
      </c>
      <c r="AC257" s="294" t="s">
        <v>1</v>
      </c>
      <c r="AD257" s="295" cm="1">
        <f t="array" aca="1" ref="AD257" ca="1">INDIRECT("'"&amp;$C257&amp;"'!"&amp;"$"&amp;$D257&amp;$AD$1&amp;"")</f>
        <v>0</v>
      </c>
      <c r="AE257" s="296" t="s">
        <v>1</v>
      </c>
      <c r="AF257" s="296" t="s">
        <v>1</v>
      </c>
      <c r="AG257" s="297" t="s">
        <v>1</v>
      </c>
      <c r="AH257" s="293" cm="1">
        <f t="array" aca="1" ref="AH257" ca="1">INDIRECT("'"&amp;$C257&amp;"'!"&amp;"$"&amp;$D257&amp;$AH$1&amp;"")</f>
        <v>0</v>
      </c>
      <c r="AI257" s="296" t="s">
        <v>1</v>
      </c>
      <c r="AJ257" s="296" t="s">
        <v>1</v>
      </c>
      <c r="AK257" s="297" t="s">
        <v>1</v>
      </c>
      <c r="AL257" s="293">
        <v>11.8</v>
      </c>
      <c r="AM257" s="297">
        <v>70.599999999999994</v>
      </c>
      <c r="AN257" s="293" t="str" cm="1">
        <f t="array" aca="1" ref="AN257" ca="1">INDIRECT("'"&amp;$C257&amp;"'!"&amp;"$"&amp;$D257&amp;$AL$1&amp;"")</f>
        <v>CMS</v>
      </c>
      <c r="AO257" s="296" t="s">
        <v>1</v>
      </c>
      <c r="AP257" s="294" t="s">
        <v>1</v>
      </c>
      <c r="AQ257" s="295" cm="1">
        <f t="array" aca="1" ref="AQ257" ca="1">INDIRECT("'"&amp;$C257&amp;"'!"&amp;"$"&amp;$D257&amp;$AQ$1&amp;"")</f>
        <v>4.0999999999999996</v>
      </c>
      <c r="AR257" s="296">
        <v>0.96</v>
      </c>
      <c r="AS257" s="294">
        <v>1.2</v>
      </c>
      <c r="AT257" s="296" cm="1">
        <f t="array" aca="1" ref="AT257" ca="1">INDIRECT("'"&amp;$C257&amp;"'!"&amp;"$"&amp;$D257&amp;$AT$1&amp;"")</f>
        <v>0</v>
      </c>
      <c r="AU257" s="295" t="s">
        <v>1</v>
      </c>
      <c r="AV257" s="296" t="s">
        <v>1</v>
      </c>
      <c r="AW257" s="294" t="s">
        <v>1</v>
      </c>
      <c r="AX257" s="298">
        <v>14.03</v>
      </c>
      <c r="AY257" s="297">
        <v>71.44</v>
      </c>
      <c r="AZ257" s="298" cm="1">
        <f t="array" aca="1" ref="AZ257" ca="1">INDIRECT("'"&amp;$C257&amp;"'!"&amp;"$"&amp;$D257&amp;$AZ$1&amp;"")</f>
        <v>13.34</v>
      </c>
      <c r="BA257" s="296">
        <v>1</v>
      </c>
      <c r="BB257" s="294">
        <v>1.3</v>
      </c>
      <c r="BC257" s="299">
        <v>69.3</v>
      </c>
      <c r="BD257" s="293" cm="1">
        <f t="array" aca="1" ref="BD257" ca="1">INDIRECT("'"&amp;$C257&amp;"'!"&amp;"$"&amp;$D257&amp;$BC$1&amp;"")</f>
        <v>2.8000000000000003</v>
      </c>
      <c r="BE257" s="295">
        <v>0.98</v>
      </c>
      <c r="BF257" s="294">
        <v>0.55000000000000004</v>
      </c>
      <c r="BG257" s="298" cm="1">
        <f t="array" aca="1" ref="BG257" ca="1">INDIRECT("'"&amp;$C257&amp;"'!"&amp;"$"&amp;$D257&amp;$BG$1&amp;"")</f>
        <v>0.86</v>
      </c>
      <c r="BH257" s="296"/>
      <c r="BI257" s="296">
        <v>0.99</v>
      </c>
      <c r="BJ257" s="294">
        <v>0.11</v>
      </c>
      <c r="BK257" s="298" cm="1">
        <f t="array" aca="1" ref="BK257" ca="1">INDIRECT("'"&amp;$C257&amp;"'!"&amp;"$"&amp;$D257&amp;$BK$1&amp;"")</f>
        <v>0.71</v>
      </c>
      <c r="BL257" s="296"/>
      <c r="BM257" s="296">
        <v>0.96</v>
      </c>
      <c r="BN257" s="294">
        <v>0.21</v>
      </c>
      <c r="BO257" s="299" cm="1">
        <f t="array" aca="1" ref="BO257" ca="1">INDIRECT("'"&amp;$C257&amp;"'!"&amp;"$"&amp;$D257&amp;74&amp;"")</f>
        <v>0</v>
      </c>
      <c r="BP257" s="296"/>
      <c r="BQ257" s="296" t="s">
        <v>1</v>
      </c>
      <c r="BR257" s="294" t="s">
        <v>1</v>
      </c>
    </row>
    <row r="258" spans="1:70">
      <c r="A258" s="361">
        <v>45758</v>
      </c>
      <c r="B258" s="358">
        <v>0.125</v>
      </c>
      <c r="C258" s="313">
        <f t="shared" si="9"/>
        <v>11</v>
      </c>
      <c r="D258" s="314" t="s">
        <v>130</v>
      </c>
      <c r="E258" s="286">
        <v>14.1</v>
      </c>
      <c r="F258" s="287">
        <v>70.17</v>
      </c>
      <c r="G258" s="288" cm="1">
        <f t="array" aca="1" ref="G258" ca="1">INDIRECT("'"&amp;$C258&amp;"'!"&amp;"$"&amp;$D258&amp;$E$1&amp;"")</f>
        <v>6.7</v>
      </c>
      <c r="H258" s="289">
        <v>0.97</v>
      </c>
      <c r="I258" s="287">
        <v>1.7</v>
      </c>
      <c r="J258" s="288" cm="1">
        <f t="array" aca="1" ref="J258" ca="1">INDIRECT("'"&amp;$C258&amp;"'!"&amp;"$"&amp;$D258&amp;$J$1&amp;"")</f>
        <v>6.7</v>
      </c>
      <c r="K258" s="289"/>
      <c r="L258" s="289">
        <v>0.97</v>
      </c>
      <c r="M258" s="287">
        <v>1.7</v>
      </c>
      <c r="N258" s="288" cm="1">
        <f t="array" aca="1" ref="N258" ca="1">INDIRECT("'"&amp;$C258&amp;"'!"&amp;"$"&amp;$D258&amp;$N$1&amp;"")</f>
        <v>0</v>
      </c>
      <c r="O258" s="289"/>
      <c r="P258" s="289" t="s">
        <v>1</v>
      </c>
      <c r="Q258" s="287" t="s">
        <v>1</v>
      </c>
      <c r="R258" s="288" cm="1">
        <f t="array" aca="1" ref="R258" ca="1">INDIRECT("'"&amp;$C258&amp;"'!"&amp;"$"&amp;$D258&amp;$R$1&amp;"")</f>
        <v>6.7</v>
      </c>
      <c r="S258" s="289"/>
      <c r="T258" s="289">
        <v>0.97</v>
      </c>
      <c r="U258" s="287">
        <v>1.7</v>
      </c>
      <c r="V258" s="288" cm="1">
        <f t="array" aca="1" ref="V258" ca="1">INDIRECT("'"&amp;$C258&amp;"'!"&amp;"$"&amp;$D258&amp;$V$1&amp;"")</f>
        <v>0</v>
      </c>
      <c r="W258" s="289" t="s">
        <v>1</v>
      </c>
      <c r="X258" s="289" t="s">
        <v>1</v>
      </c>
      <c r="Y258" s="290" t="s">
        <v>1</v>
      </c>
      <c r="Z258" s="286" cm="1">
        <f t="array" aca="1" ref="Z258" ca="1">INDIRECT("'"&amp;$C258&amp;"'!"&amp;"$"&amp;$D258&amp;$Z$1&amp;"")</f>
        <v>0</v>
      </c>
      <c r="AA258" s="289" t="s">
        <v>1</v>
      </c>
      <c r="AB258" s="289" t="s">
        <v>1</v>
      </c>
      <c r="AC258" s="287" t="s">
        <v>1</v>
      </c>
      <c r="AD258" s="288" cm="1">
        <f t="array" aca="1" ref="AD258" ca="1">INDIRECT("'"&amp;$C258&amp;"'!"&amp;"$"&amp;$D258&amp;$AD$1&amp;"")</f>
        <v>0</v>
      </c>
      <c r="AE258" s="289" t="s">
        <v>1</v>
      </c>
      <c r="AF258" s="289" t="s">
        <v>1</v>
      </c>
      <c r="AG258" s="290" t="s">
        <v>1</v>
      </c>
      <c r="AH258" s="286" cm="1">
        <f t="array" aca="1" ref="AH258" ca="1">INDIRECT("'"&amp;$C258&amp;"'!"&amp;"$"&amp;$D258&amp;$AH$1&amp;"")</f>
        <v>0</v>
      </c>
      <c r="AI258" s="289" t="s">
        <v>1</v>
      </c>
      <c r="AJ258" s="289" t="s">
        <v>1</v>
      </c>
      <c r="AK258" s="287" t="s">
        <v>1</v>
      </c>
      <c r="AL258" s="286">
        <v>11.9</v>
      </c>
      <c r="AM258" s="290">
        <v>70.599999999999994</v>
      </c>
      <c r="AN258" s="286" t="str" cm="1">
        <f t="array" aca="1" ref="AN258" ca="1">INDIRECT("'"&amp;$C258&amp;"'!"&amp;"$"&amp;$D258&amp;$AL$1&amp;"")</f>
        <v>CMS</v>
      </c>
      <c r="AO258" s="289" t="s">
        <v>1</v>
      </c>
      <c r="AP258" s="287" t="s">
        <v>1</v>
      </c>
      <c r="AQ258" s="288" cm="1">
        <f t="array" aca="1" ref="AQ258" ca="1">INDIRECT("'"&amp;$C258&amp;"'!"&amp;"$"&amp;$D258&amp;$AQ$1&amp;"")</f>
        <v>4.3</v>
      </c>
      <c r="AR258" s="289">
        <v>0.96</v>
      </c>
      <c r="AS258" s="287">
        <v>1.3</v>
      </c>
      <c r="AT258" s="289" cm="1">
        <f t="array" aca="1" ref="AT258" ca="1">INDIRECT("'"&amp;$C258&amp;"'!"&amp;"$"&amp;$D258&amp;$AT$1&amp;"")</f>
        <v>0</v>
      </c>
      <c r="AU258" s="288" t="s">
        <v>1</v>
      </c>
      <c r="AV258" s="289" t="s">
        <v>1</v>
      </c>
      <c r="AW258" s="287" t="s">
        <v>1</v>
      </c>
      <c r="AX258" s="291">
        <v>14.03</v>
      </c>
      <c r="AY258" s="290">
        <v>71.41</v>
      </c>
      <c r="AZ258" s="291" cm="1">
        <f t="array" aca="1" ref="AZ258" ca="1">INDIRECT("'"&amp;$C258&amp;"'!"&amp;"$"&amp;$D258&amp;$AZ$1&amp;"")</f>
        <v>13.37</v>
      </c>
      <c r="BA258" s="289">
        <v>1</v>
      </c>
      <c r="BB258" s="287">
        <v>1.2</v>
      </c>
      <c r="BC258" s="292">
        <v>69</v>
      </c>
      <c r="BD258" s="286" cm="1">
        <f t="array" aca="1" ref="BD258" ca="1">INDIRECT("'"&amp;$C258&amp;"'!"&amp;"$"&amp;$D258&amp;$BC$1&amp;"")</f>
        <v>0.7</v>
      </c>
      <c r="BE258" s="288">
        <v>0.98</v>
      </c>
      <c r="BF258" s="287">
        <v>0.15</v>
      </c>
      <c r="BG258" s="291" cm="1">
        <f t="array" aca="1" ref="BG258" ca="1">INDIRECT("'"&amp;$C258&amp;"'!"&amp;"$"&amp;$D258&amp;$BG$1&amp;"")</f>
        <v>0.84</v>
      </c>
      <c r="BH258" s="289"/>
      <c r="BI258" s="289">
        <v>0.99</v>
      </c>
      <c r="BJ258" s="287">
        <v>0.1</v>
      </c>
      <c r="BK258" s="291" cm="1">
        <f t="array" aca="1" ref="BK258" ca="1">INDIRECT("'"&amp;$C258&amp;"'!"&amp;"$"&amp;$D258&amp;$BK$1&amp;"")</f>
        <v>0.68</v>
      </c>
      <c r="BL258" s="289"/>
      <c r="BM258" s="289">
        <v>0.96</v>
      </c>
      <c r="BN258" s="287">
        <v>0.2</v>
      </c>
      <c r="BO258" s="292" cm="1">
        <f t="array" aca="1" ref="BO258" ca="1">INDIRECT("'"&amp;$C258&amp;"'!"&amp;"$"&amp;$D258&amp;74&amp;"")</f>
        <v>0</v>
      </c>
      <c r="BP258" s="289"/>
      <c r="BQ258" s="289" t="s">
        <v>1</v>
      </c>
      <c r="BR258" s="287" t="s">
        <v>1</v>
      </c>
    </row>
    <row r="259" spans="1:70">
      <c r="A259" s="361">
        <v>45758</v>
      </c>
      <c r="B259" s="358">
        <v>0.16666666666666699</v>
      </c>
      <c r="C259" s="313">
        <f t="shared" si="9"/>
        <v>11</v>
      </c>
      <c r="D259" s="314" t="s">
        <v>131</v>
      </c>
      <c r="E259" s="293">
        <v>14.1</v>
      </c>
      <c r="F259" s="294">
        <v>70.2</v>
      </c>
      <c r="G259" s="295" cm="1">
        <f t="array" aca="1" ref="G259" ca="1">INDIRECT("'"&amp;$C259&amp;"'!"&amp;"$"&amp;$D259&amp;$E$1&amp;"")</f>
        <v>6.4</v>
      </c>
      <c r="H259" s="296">
        <v>0.98</v>
      </c>
      <c r="I259" s="294">
        <v>1.17</v>
      </c>
      <c r="J259" s="295" cm="1">
        <f t="array" aca="1" ref="J259" ca="1">INDIRECT("'"&amp;$C259&amp;"'!"&amp;"$"&amp;$D259&amp;$J$1&amp;"")</f>
        <v>6.4</v>
      </c>
      <c r="K259" s="296"/>
      <c r="L259" s="296">
        <v>0.98</v>
      </c>
      <c r="M259" s="294">
        <v>1.17</v>
      </c>
      <c r="N259" s="295" cm="1">
        <f t="array" aca="1" ref="N259" ca="1">INDIRECT("'"&amp;$C259&amp;"'!"&amp;"$"&amp;$D259&amp;$N$1&amp;"")</f>
        <v>0</v>
      </c>
      <c r="O259" s="296"/>
      <c r="P259" s="296" t="s">
        <v>1</v>
      </c>
      <c r="Q259" s="294" t="s">
        <v>1</v>
      </c>
      <c r="R259" s="295" cm="1">
        <f t="array" aca="1" ref="R259" ca="1">INDIRECT("'"&amp;$C259&amp;"'!"&amp;"$"&amp;$D259&amp;$R$1&amp;"")</f>
        <v>6.4</v>
      </c>
      <c r="S259" s="296"/>
      <c r="T259" s="296">
        <v>0.98</v>
      </c>
      <c r="U259" s="294">
        <v>1.17</v>
      </c>
      <c r="V259" s="295" cm="1">
        <f t="array" aca="1" ref="V259" ca="1">INDIRECT("'"&amp;$C259&amp;"'!"&amp;"$"&amp;$D259&amp;$V$1&amp;"")</f>
        <v>0</v>
      </c>
      <c r="W259" s="296" t="s">
        <v>1</v>
      </c>
      <c r="X259" s="296" t="s">
        <v>1</v>
      </c>
      <c r="Y259" s="297" t="s">
        <v>1</v>
      </c>
      <c r="Z259" s="293" cm="1">
        <f t="array" aca="1" ref="Z259" ca="1">INDIRECT("'"&amp;$C259&amp;"'!"&amp;"$"&amp;$D259&amp;$Z$1&amp;"")</f>
        <v>0</v>
      </c>
      <c r="AA259" s="296" t="s">
        <v>1</v>
      </c>
      <c r="AB259" s="296" t="s">
        <v>1</v>
      </c>
      <c r="AC259" s="294" t="s">
        <v>1</v>
      </c>
      <c r="AD259" s="295" cm="1">
        <f t="array" aca="1" ref="AD259" ca="1">INDIRECT("'"&amp;$C259&amp;"'!"&amp;"$"&amp;$D259&amp;$AD$1&amp;"")</f>
        <v>0</v>
      </c>
      <c r="AE259" s="296" t="s">
        <v>1</v>
      </c>
      <c r="AF259" s="296" t="s">
        <v>1</v>
      </c>
      <c r="AG259" s="297" t="s">
        <v>1</v>
      </c>
      <c r="AH259" s="293" cm="1">
        <f t="array" aca="1" ref="AH259" ca="1">INDIRECT("'"&amp;$C259&amp;"'!"&amp;"$"&amp;$D259&amp;$AH$1&amp;"")</f>
        <v>0</v>
      </c>
      <c r="AI259" s="296" t="s">
        <v>1</v>
      </c>
      <c r="AJ259" s="296" t="s">
        <v>1</v>
      </c>
      <c r="AK259" s="297" t="s">
        <v>1</v>
      </c>
      <c r="AL259" s="293">
        <v>11.9</v>
      </c>
      <c r="AM259" s="297">
        <v>70.599999999999994</v>
      </c>
      <c r="AN259" s="293" t="str" cm="1">
        <f t="array" aca="1" ref="AN259" ca="1">INDIRECT("'"&amp;$C259&amp;"'!"&amp;"$"&amp;$D259&amp;$AL$1&amp;"")</f>
        <v>CMS</v>
      </c>
      <c r="AO259" s="296" t="s">
        <v>1</v>
      </c>
      <c r="AP259" s="294" t="s">
        <v>1</v>
      </c>
      <c r="AQ259" s="295" cm="1">
        <f t="array" aca="1" ref="AQ259" ca="1">INDIRECT("'"&amp;$C259&amp;"'!"&amp;"$"&amp;$D259&amp;$AQ$1&amp;"")</f>
        <v>3.8</v>
      </c>
      <c r="AR259" s="296">
        <v>0.96</v>
      </c>
      <c r="AS259" s="294">
        <v>1.22</v>
      </c>
      <c r="AT259" s="296" cm="1">
        <f t="array" aca="1" ref="AT259" ca="1">INDIRECT("'"&amp;$C259&amp;"'!"&amp;"$"&amp;$D259&amp;$AT$1&amp;"")</f>
        <v>0</v>
      </c>
      <c r="AU259" s="295" t="s">
        <v>1</v>
      </c>
      <c r="AV259" s="296" t="s">
        <v>1</v>
      </c>
      <c r="AW259" s="294" t="s">
        <v>1</v>
      </c>
      <c r="AX259" s="298">
        <v>14.06</v>
      </c>
      <c r="AY259" s="297">
        <v>71.52</v>
      </c>
      <c r="AZ259" s="298" cm="1">
        <f t="array" aca="1" ref="AZ259" ca="1">INDIRECT("'"&amp;$C259&amp;"'!"&amp;"$"&amp;$D259&amp;$AZ$1&amp;"")</f>
        <v>13.34</v>
      </c>
      <c r="BA259" s="296">
        <v>1</v>
      </c>
      <c r="BB259" s="294">
        <v>1.2</v>
      </c>
      <c r="BC259" s="299">
        <v>69.2</v>
      </c>
      <c r="BD259" s="293" cm="1">
        <f t="array" aca="1" ref="BD259" ca="1">INDIRECT("'"&amp;$C259&amp;"'!"&amp;"$"&amp;$D259&amp;$BC$1&amp;"")</f>
        <v>0.7</v>
      </c>
      <c r="BE259" s="295">
        <v>0.98</v>
      </c>
      <c r="BF259" s="294">
        <v>0.15</v>
      </c>
      <c r="BG259" s="298" cm="1">
        <f t="array" aca="1" ref="BG259" ca="1">INDIRECT("'"&amp;$C259&amp;"'!"&amp;"$"&amp;$D259&amp;$BG$1&amp;"")</f>
        <v>0.82</v>
      </c>
      <c r="BH259" s="296"/>
      <c r="BI259" s="296">
        <v>0.99</v>
      </c>
      <c r="BJ259" s="294">
        <v>0.1</v>
      </c>
      <c r="BK259" s="298" cm="1">
        <f t="array" aca="1" ref="BK259" ca="1">INDIRECT("'"&amp;$C259&amp;"'!"&amp;"$"&amp;$D259&amp;$BK$1&amp;"")</f>
        <v>0.67</v>
      </c>
      <c r="BL259" s="296"/>
      <c r="BM259" s="296">
        <v>0.96</v>
      </c>
      <c r="BN259" s="294">
        <v>0.2</v>
      </c>
      <c r="BO259" s="299" cm="1">
        <f t="array" aca="1" ref="BO259" ca="1">INDIRECT("'"&amp;$C259&amp;"'!"&amp;"$"&amp;$D259&amp;74&amp;"")</f>
        <v>0</v>
      </c>
      <c r="BP259" s="296"/>
      <c r="BQ259" s="296" t="s">
        <v>1</v>
      </c>
      <c r="BR259" s="294" t="s">
        <v>1</v>
      </c>
    </row>
    <row r="260" spans="1:70">
      <c r="A260" s="361">
        <v>45758</v>
      </c>
      <c r="B260" s="358">
        <v>0.20833333333333301</v>
      </c>
      <c r="C260" s="313">
        <f t="shared" si="9"/>
        <v>11</v>
      </c>
      <c r="D260" s="314" t="s">
        <v>132</v>
      </c>
      <c r="E260" s="286">
        <v>14.1</v>
      </c>
      <c r="F260" s="287">
        <v>70.069999999999993</v>
      </c>
      <c r="G260" s="288" cm="1">
        <f t="array" aca="1" ref="G260" ca="1">INDIRECT("'"&amp;$C260&amp;"'!"&amp;"$"&amp;$D260&amp;$E$1&amp;"")</f>
        <v>6.5</v>
      </c>
      <c r="H260" s="289">
        <v>0.97</v>
      </c>
      <c r="I260" s="287">
        <v>1.7</v>
      </c>
      <c r="J260" s="288" cm="1">
        <f t="array" aca="1" ref="J260" ca="1">INDIRECT("'"&amp;$C260&amp;"'!"&amp;"$"&amp;$D260&amp;$J$1&amp;"")</f>
        <v>6.5</v>
      </c>
      <c r="K260" s="289"/>
      <c r="L260" s="289">
        <v>0.97</v>
      </c>
      <c r="M260" s="287">
        <v>1.7</v>
      </c>
      <c r="N260" s="288" cm="1">
        <f t="array" aca="1" ref="N260" ca="1">INDIRECT("'"&amp;$C260&amp;"'!"&amp;"$"&amp;$D260&amp;$N$1&amp;"")</f>
        <v>0</v>
      </c>
      <c r="O260" s="289"/>
      <c r="P260" s="289" t="s">
        <v>1</v>
      </c>
      <c r="Q260" s="287" t="s">
        <v>1</v>
      </c>
      <c r="R260" s="288" cm="1">
        <f t="array" aca="1" ref="R260" ca="1">INDIRECT("'"&amp;$C260&amp;"'!"&amp;"$"&amp;$D260&amp;$R$1&amp;"")</f>
        <v>6.5</v>
      </c>
      <c r="S260" s="289"/>
      <c r="T260" s="289">
        <v>0.97</v>
      </c>
      <c r="U260" s="287">
        <v>1.7</v>
      </c>
      <c r="V260" s="288" cm="1">
        <f t="array" aca="1" ref="V260" ca="1">INDIRECT("'"&amp;$C260&amp;"'!"&amp;"$"&amp;$D260&amp;$V$1&amp;"")</f>
        <v>0</v>
      </c>
      <c r="W260" s="289" t="s">
        <v>1</v>
      </c>
      <c r="X260" s="289" t="s">
        <v>1</v>
      </c>
      <c r="Y260" s="290" t="s">
        <v>1</v>
      </c>
      <c r="Z260" s="286" cm="1">
        <f t="array" aca="1" ref="Z260" ca="1">INDIRECT("'"&amp;$C260&amp;"'!"&amp;"$"&amp;$D260&amp;$Z$1&amp;"")</f>
        <v>0</v>
      </c>
      <c r="AA260" s="289" t="s">
        <v>1</v>
      </c>
      <c r="AB260" s="289" t="s">
        <v>1</v>
      </c>
      <c r="AC260" s="287" t="s">
        <v>1</v>
      </c>
      <c r="AD260" s="288" cm="1">
        <f t="array" aca="1" ref="AD260" ca="1">INDIRECT("'"&amp;$C260&amp;"'!"&amp;"$"&amp;$D260&amp;$AD$1&amp;"")</f>
        <v>0</v>
      </c>
      <c r="AE260" s="289" t="s">
        <v>1</v>
      </c>
      <c r="AF260" s="289" t="s">
        <v>1</v>
      </c>
      <c r="AG260" s="290" t="s">
        <v>1</v>
      </c>
      <c r="AH260" s="286" cm="1">
        <f t="array" aca="1" ref="AH260" ca="1">INDIRECT("'"&amp;$C260&amp;"'!"&amp;"$"&amp;$D260&amp;$AH$1&amp;"")</f>
        <v>0</v>
      </c>
      <c r="AI260" s="289" t="s">
        <v>1</v>
      </c>
      <c r="AJ260" s="289" t="s">
        <v>1</v>
      </c>
      <c r="AK260" s="287" t="s">
        <v>1</v>
      </c>
      <c r="AL260" s="286">
        <v>11.9</v>
      </c>
      <c r="AM260" s="290">
        <v>70.599999999999994</v>
      </c>
      <c r="AN260" s="286" t="str" cm="1">
        <f t="array" aca="1" ref="AN260" ca="1">INDIRECT("'"&amp;$C260&amp;"'!"&amp;"$"&amp;$D260&amp;$AL$1&amp;"")</f>
        <v>CMS</v>
      </c>
      <c r="AO260" s="289" t="s">
        <v>1</v>
      </c>
      <c r="AP260" s="287" t="s">
        <v>1</v>
      </c>
      <c r="AQ260" s="288" cm="1">
        <f t="array" aca="1" ref="AQ260" ca="1">INDIRECT("'"&amp;$C260&amp;"'!"&amp;"$"&amp;$D260&amp;$AQ$1&amp;"")</f>
        <v>3.9</v>
      </c>
      <c r="AR260" s="289">
        <v>0.95</v>
      </c>
      <c r="AS260" s="287">
        <v>1.3</v>
      </c>
      <c r="AT260" s="289" cm="1">
        <f t="array" aca="1" ref="AT260" ca="1">INDIRECT("'"&amp;$C260&amp;"'!"&amp;"$"&amp;$D260&amp;$AT$1&amp;"")</f>
        <v>0</v>
      </c>
      <c r="AU260" s="288" t="s">
        <v>1</v>
      </c>
      <c r="AV260" s="289" t="s">
        <v>1</v>
      </c>
      <c r="AW260" s="287" t="s">
        <v>1</v>
      </c>
      <c r="AX260" s="291">
        <v>14.02</v>
      </c>
      <c r="AY260" s="290">
        <v>71.400000000000006</v>
      </c>
      <c r="AZ260" s="291" cm="1">
        <f t="array" aca="1" ref="AZ260" ca="1">INDIRECT("'"&amp;$C260&amp;"'!"&amp;"$"&amp;$D260&amp;$AZ$1&amp;"")</f>
        <v>13.37</v>
      </c>
      <c r="BA260" s="289">
        <v>1</v>
      </c>
      <c r="BB260" s="287">
        <v>1.3</v>
      </c>
      <c r="BC260" s="292">
        <v>69.099999999999994</v>
      </c>
      <c r="BD260" s="286" cm="1">
        <f t="array" aca="1" ref="BD260" ca="1">INDIRECT("'"&amp;$C260&amp;"'!"&amp;"$"&amp;$D260&amp;$BC$1&amp;"")</f>
        <v>0.7</v>
      </c>
      <c r="BE260" s="288">
        <v>0.98</v>
      </c>
      <c r="BF260" s="287">
        <v>0.15</v>
      </c>
      <c r="BG260" s="291" cm="1">
        <f t="array" aca="1" ref="BG260" ca="1">INDIRECT("'"&amp;$C260&amp;"'!"&amp;"$"&amp;$D260&amp;$BG$1&amp;"")</f>
        <v>0.84</v>
      </c>
      <c r="BH260" s="289"/>
      <c r="BI260" s="289">
        <v>0.99</v>
      </c>
      <c r="BJ260" s="287">
        <v>0.09</v>
      </c>
      <c r="BK260" s="291" cm="1">
        <f t="array" aca="1" ref="BK260" ca="1">INDIRECT("'"&amp;$C260&amp;"'!"&amp;"$"&amp;$D260&amp;$BK$1&amp;"")</f>
        <v>0.68</v>
      </c>
      <c r="BL260" s="289"/>
      <c r="BM260" s="289">
        <v>0.96</v>
      </c>
      <c r="BN260" s="287">
        <v>0.2</v>
      </c>
      <c r="BO260" s="292" cm="1">
        <f t="array" aca="1" ref="BO260" ca="1">INDIRECT("'"&amp;$C260&amp;"'!"&amp;"$"&amp;$D260&amp;74&amp;"")</f>
        <v>0</v>
      </c>
      <c r="BP260" s="289"/>
      <c r="BQ260" s="289" t="s">
        <v>1</v>
      </c>
      <c r="BR260" s="287" t="s">
        <v>1</v>
      </c>
    </row>
    <row r="261" spans="1:70">
      <c r="A261" s="361">
        <v>45758</v>
      </c>
      <c r="B261" s="358">
        <v>0.25</v>
      </c>
      <c r="C261" s="313">
        <f t="shared" si="9"/>
        <v>11</v>
      </c>
      <c r="D261" s="314" t="s">
        <v>133</v>
      </c>
      <c r="E261" s="293">
        <v>14.2</v>
      </c>
      <c r="F261" s="294">
        <v>70.400000000000006</v>
      </c>
      <c r="G261" s="295" cm="1">
        <f t="array" aca="1" ref="G261" ca="1">INDIRECT("'"&amp;$C261&amp;"'!"&amp;"$"&amp;$D261&amp;$E$1&amp;"")</f>
        <v>6.7</v>
      </c>
      <c r="H261" s="296">
        <v>0.98</v>
      </c>
      <c r="I261" s="294">
        <v>1.28</v>
      </c>
      <c r="J261" s="295" cm="1">
        <f t="array" aca="1" ref="J261" ca="1">INDIRECT("'"&amp;$C261&amp;"'!"&amp;"$"&amp;$D261&amp;$J$1&amp;"")</f>
        <v>6.7</v>
      </c>
      <c r="K261" s="296"/>
      <c r="L261" s="296">
        <v>0.98</v>
      </c>
      <c r="M261" s="294">
        <v>1.28</v>
      </c>
      <c r="N261" s="295" cm="1">
        <f t="array" aca="1" ref="N261" ca="1">INDIRECT("'"&amp;$C261&amp;"'!"&amp;"$"&amp;$D261&amp;$N$1&amp;"")</f>
        <v>0</v>
      </c>
      <c r="O261" s="296"/>
      <c r="P261" s="296" t="s">
        <v>1</v>
      </c>
      <c r="Q261" s="294" t="s">
        <v>1</v>
      </c>
      <c r="R261" s="295" cm="1">
        <f t="array" aca="1" ref="R261" ca="1">INDIRECT("'"&amp;$C261&amp;"'!"&amp;"$"&amp;$D261&amp;$R$1&amp;"")</f>
        <v>6.7</v>
      </c>
      <c r="S261" s="296"/>
      <c r="T261" s="296">
        <v>0.98</v>
      </c>
      <c r="U261" s="294">
        <v>1.28</v>
      </c>
      <c r="V261" s="295" cm="1">
        <f t="array" aca="1" ref="V261" ca="1">INDIRECT("'"&amp;$C261&amp;"'!"&amp;"$"&amp;$D261&amp;$V$1&amp;"")</f>
        <v>0</v>
      </c>
      <c r="W261" s="296" t="s">
        <v>1</v>
      </c>
      <c r="X261" s="296" t="s">
        <v>1</v>
      </c>
      <c r="Y261" s="297" t="s">
        <v>1</v>
      </c>
      <c r="Z261" s="293" cm="1">
        <f t="array" aca="1" ref="Z261" ca="1">INDIRECT("'"&amp;$C261&amp;"'!"&amp;"$"&amp;$D261&amp;$Z$1&amp;"")</f>
        <v>0</v>
      </c>
      <c r="AA261" s="296" t="s">
        <v>1</v>
      </c>
      <c r="AB261" s="296" t="s">
        <v>1</v>
      </c>
      <c r="AC261" s="294" t="s">
        <v>1</v>
      </c>
      <c r="AD261" s="295" cm="1">
        <f t="array" aca="1" ref="AD261" ca="1">INDIRECT("'"&amp;$C261&amp;"'!"&amp;"$"&amp;$D261&amp;$AD$1&amp;"")</f>
        <v>0</v>
      </c>
      <c r="AE261" s="296" t="s">
        <v>1</v>
      </c>
      <c r="AF261" s="296" t="s">
        <v>1</v>
      </c>
      <c r="AG261" s="297" t="s">
        <v>1</v>
      </c>
      <c r="AH261" s="293" cm="1">
        <f t="array" aca="1" ref="AH261" ca="1">INDIRECT("'"&amp;$C261&amp;"'!"&amp;"$"&amp;$D261&amp;$AH$1&amp;"")</f>
        <v>0</v>
      </c>
      <c r="AI261" s="296" t="s">
        <v>1</v>
      </c>
      <c r="AJ261" s="296" t="s">
        <v>1</v>
      </c>
      <c r="AK261" s="297" t="s">
        <v>1</v>
      </c>
      <c r="AL261" s="293">
        <v>11.9</v>
      </c>
      <c r="AM261" s="297">
        <v>70.8</v>
      </c>
      <c r="AN261" s="293" t="str" cm="1">
        <f t="array" aca="1" ref="AN261" ca="1">INDIRECT("'"&amp;$C261&amp;"'!"&amp;"$"&amp;$D261&amp;$AL$1&amp;"")</f>
        <v>CMS</v>
      </c>
      <c r="AO261" s="296" t="s">
        <v>1</v>
      </c>
      <c r="AP261" s="294" t="s">
        <v>1</v>
      </c>
      <c r="AQ261" s="295" cm="1">
        <f t="array" aca="1" ref="AQ261" ca="1">INDIRECT("'"&amp;$C261&amp;"'!"&amp;"$"&amp;$D261&amp;$AQ$1&amp;"")</f>
        <v>3.9</v>
      </c>
      <c r="AR261" s="296">
        <v>0.97</v>
      </c>
      <c r="AS261" s="294">
        <v>0.8</v>
      </c>
      <c r="AT261" s="296" cm="1">
        <f t="array" aca="1" ref="AT261" ca="1">INDIRECT("'"&amp;$C261&amp;"'!"&amp;"$"&amp;$D261&amp;$AT$1&amp;"")</f>
        <v>0</v>
      </c>
      <c r="AU261" s="295" t="s">
        <v>1</v>
      </c>
      <c r="AV261" s="296" t="s">
        <v>1</v>
      </c>
      <c r="AW261" s="294" t="s">
        <v>1</v>
      </c>
      <c r="AX261" s="298">
        <v>14.16</v>
      </c>
      <c r="AY261" s="297">
        <v>71.680000000000007</v>
      </c>
      <c r="AZ261" s="298" cm="1">
        <f t="array" aca="1" ref="AZ261" ca="1">INDIRECT("'"&amp;$C261&amp;"'!"&amp;"$"&amp;$D261&amp;$AZ$1&amp;"")</f>
        <v>14.18</v>
      </c>
      <c r="BA261" s="296">
        <v>0.99</v>
      </c>
      <c r="BB261" s="294">
        <v>2.4</v>
      </c>
      <c r="BC261" s="299">
        <v>69.3</v>
      </c>
      <c r="BD261" s="293" cm="1">
        <f t="array" aca="1" ref="BD261" ca="1">INDIRECT("'"&amp;$C261&amp;"'!"&amp;"$"&amp;$D261&amp;$BC$1&amp;"")</f>
        <v>2.8</v>
      </c>
      <c r="BE261" s="295">
        <v>0.98</v>
      </c>
      <c r="BF261" s="294">
        <v>0.55000000000000004</v>
      </c>
      <c r="BG261" s="298" cm="1">
        <f t="array" aca="1" ref="BG261" ca="1">INDIRECT("'"&amp;$C261&amp;"'!"&amp;"$"&amp;$D261&amp;$BG$1&amp;"")</f>
        <v>0.98</v>
      </c>
      <c r="BH261" s="296"/>
      <c r="BI261" s="296">
        <v>0.99</v>
      </c>
      <c r="BJ261" s="294">
        <v>0.12</v>
      </c>
      <c r="BK261" s="298" cm="1">
        <f t="array" aca="1" ref="BK261" ca="1">INDIRECT("'"&amp;$C261&amp;"'!"&amp;"$"&amp;$D261&amp;$BK$1&amp;"")</f>
        <v>0.75</v>
      </c>
      <c r="BL261" s="296"/>
      <c r="BM261" s="296">
        <v>0.96</v>
      </c>
      <c r="BN261" s="294">
        <v>0.2</v>
      </c>
      <c r="BO261" s="299" cm="1">
        <f t="array" aca="1" ref="BO261" ca="1">INDIRECT("'"&amp;$C261&amp;"'!"&amp;"$"&amp;$D261&amp;74&amp;"")</f>
        <v>0</v>
      </c>
      <c r="BP261" s="296"/>
      <c r="BQ261" s="296" t="s">
        <v>1</v>
      </c>
      <c r="BR261" s="294" t="s">
        <v>1</v>
      </c>
    </row>
    <row r="262" spans="1:70">
      <c r="A262" s="361">
        <v>45758</v>
      </c>
      <c r="B262" s="358">
        <v>0.29166666666666702</v>
      </c>
      <c r="C262" s="313">
        <f t="shared" si="9"/>
        <v>11</v>
      </c>
      <c r="D262" s="314" t="s">
        <v>134</v>
      </c>
      <c r="E262" s="286">
        <v>14</v>
      </c>
      <c r="F262" s="287">
        <v>69.67</v>
      </c>
      <c r="G262" s="288" cm="1">
        <f t="array" aca="1" ref="G262" ca="1">INDIRECT("'"&amp;$C262&amp;"'!"&amp;"$"&amp;$D262&amp;$E$1&amp;"")</f>
        <v>6.6</v>
      </c>
      <c r="H262" s="289">
        <v>0.98</v>
      </c>
      <c r="I262" s="287">
        <v>1.36</v>
      </c>
      <c r="J262" s="288" cm="1">
        <f t="array" aca="1" ref="J262" ca="1">INDIRECT("'"&amp;$C262&amp;"'!"&amp;"$"&amp;$D262&amp;$J$1&amp;"")</f>
        <v>6.6</v>
      </c>
      <c r="K262" s="289"/>
      <c r="L262" s="289">
        <v>0.98</v>
      </c>
      <c r="M262" s="287">
        <v>1.36</v>
      </c>
      <c r="N262" s="288" cm="1">
        <f t="array" aca="1" ref="N262" ca="1">INDIRECT("'"&amp;$C262&amp;"'!"&amp;"$"&amp;$D262&amp;$N$1&amp;"")</f>
        <v>0</v>
      </c>
      <c r="O262" s="289"/>
      <c r="P262" s="289" t="s">
        <v>1</v>
      </c>
      <c r="Q262" s="287" t="s">
        <v>1</v>
      </c>
      <c r="R262" s="288" cm="1">
        <f t="array" aca="1" ref="R262" ca="1">INDIRECT("'"&amp;$C262&amp;"'!"&amp;"$"&amp;$D262&amp;$R$1&amp;"")</f>
        <v>6.6</v>
      </c>
      <c r="S262" s="289"/>
      <c r="T262" s="289">
        <v>0.98</v>
      </c>
      <c r="U262" s="287">
        <v>1.36</v>
      </c>
      <c r="V262" s="288" cm="1">
        <f t="array" aca="1" ref="V262" ca="1">INDIRECT("'"&amp;$C262&amp;"'!"&amp;"$"&amp;$D262&amp;$V$1&amp;"")</f>
        <v>0</v>
      </c>
      <c r="W262" s="289" t="s">
        <v>1</v>
      </c>
      <c r="X262" s="289" t="s">
        <v>1</v>
      </c>
      <c r="Y262" s="290" t="s">
        <v>1</v>
      </c>
      <c r="Z262" s="286" cm="1">
        <f t="array" aca="1" ref="Z262" ca="1">INDIRECT("'"&amp;$C262&amp;"'!"&amp;"$"&amp;$D262&amp;$Z$1&amp;"")</f>
        <v>0</v>
      </c>
      <c r="AA262" s="289" t="s">
        <v>1</v>
      </c>
      <c r="AB262" s="289" t="s">
        <v>1</v>
      </c>
      <c r="AC262" s="287" t="s">
        <v>1</v>
      </c>
      <c r="AD262" s="288" cm="1">
        <f t="array" aca="1" ref="AD262" ca="1">INDIRECT("'"&amp;$C262&amp;"'!"&amp;"$"&amp;$D262&amp;$AD$1&amp;"")</f>
        <v>1.5</v>
      </c>
      <c r="AE262" s="289">
        <f>3.8*3.53</f>
        <v>13.413999999999998</v>
      </c>
      <c r="AF262" s="289">
        <v>0.99</v>
      </c>
      <c r="AG262" s="290">
        <v>1.89</v>
      </c>
      <c r="AH262" s="286" cm="1">
        <f t="array" aca="1" ref="AH262" ca="1">INDIRECT("'"&amp;$C262&amp;"'!"&amp;"$"&amp;$D262&amp;$AH$1&amp;"")</f>
        <v>0</v>
      </c>
      <c r="AI262" s="289" t="s">
        <v>1</v>
      </c>
      <c r="AJ262" s="289" t="s">
        <v>1</v>
      </c>
      <c r="AK262" s="287" t="s">
        <v>1</v>
      </c>
      <c r="AL262" s="286">
        <v>11.8</v>
      </c>
      <c r="AM262" s="290">
        <v>70.400000000000006</v>
      </c>
      <c r="AN262" s="286" t="str" cm="1">
        <f t="array" aca="1" ref="AN262" ca="1">INDIRECT("'"&amp;$C262&amp;"'!"&amp;"$"&amp;$D262&amp;$AL$1&amp;"")</f>
        <v>CMS</v>
      </c>
      <c r="AO262" s="289" t="s">
        <v>1</v>
      </c>
      <c r="AP262" s="287" t="s">
        <v>1</v>
      </c>
      <c r="AQ262" s="288" cm="1">
        <f t="array" aca="1" ref="AQ262" ca="1">INDIRECT("'"&amp;$C262&amp;"'!"&amp;"$"&amp;$D262&amp;$AQ$1&amp;"")</f>
        <v>3.9</v>
      </c>
      <c r="AR262" s="289">
        <v>0.97</v>
      </c>
      <c r="AS262" s="287">
        <v>1.2</v>
      </c>
      <c r="AT262" s="289" cm="1">
        <f t="array" aca="1" ref="AT262" ca="1">INDIRECT("'"&amp;$C262&amp;"'!"&amp;"$"&amp;$D262&amp;$AT$1&amp;"")</f>
        <v>0</v>
      </c>
      <c r="AU262" s="288" t="s">
        <v>1</v>
      </c>
      <c r="AV262" s="289" t="s">
        <v>1</v>
      </c>
      <c r="AW262" s="287" t="s">
        <v>1</v>
      </c>
      <c r="AX262" s="291">
        <v>14.15</v>
      </c>
      <c r="AY262" s="290">
        <v>71.63</v>
      </c>
      <c r="AZ262" s="291" cm="1">
        <f t="array" aca="1" ref="AZ262" ca="1">INDIRECT("'"&amp;$C262&amp;"'!"&amp;"$"&amp;$D262&amp;$AZ$1&amp;"")</f>
        <v>14.33</v>
      </c>
      <c r="BA262" s="289">
        <v>0.99</v>
      </c>
      <c r="BB262" s="287">
        <v>2.4</v>
      </c>
      <c r="BC262" s="292">
        <v>68.8</v>
      </c>
      <c r="BD262" s="286" cm="1">
        <f t="array" aca="1" ref="BD262" ca="1">INDIRECT("'"&amp;$C262&amp;"'!"&amp;"$"&amp;$D262&amp;$BC$1&amp;"")</f>
        <v>0.7</v>
      </c>
      <c r="BE262" s="288">
        <v>0.98</v>
      </c>
      <c r="BF262" s="287">
        <v>0.16</v>
      </c>
      <c r="BG262" s="291" cm="1">
        <f t="array" aca="1" ref="BG262" ca="1">INDIRECT("'"&amp;$C262&amp;"'!"&amp;"$"&amp;$D262&amp;$BG$1&amp;"")</f>
        <v>0</v>
      </c>
      <c r="BH262" s="289"/>
      <c r="BI262" s="289" t="s">
        <v>1</v>
      </c>
      <c r="BJ262" s="287" t="s">
        <v>1</v>
      </c>
      <c r="BK262" s="292" cm="1">
        <f t="array" aca="1" ref="BK262" ca="1">INDIRECT("'"&amp;$C262&amp;"'!"&amp;"$"&amp;$D262&amp;$BK$1&amp;"")</f>
        <v>0.71</v>
      </c>
      <c r="BL262" s="289"/>
      <c r="BM262" s="289">
        <v>0.96</v>
      </c>
      <c r="BN262" s="287">
        <v>0.2</v>
      </c>
      <c r="BO262" s="292" cm="1">
        <f t="array" aca="1" ref="BO262" ca="1">INDIRECT("'"&amp;$C262&amp;"'!"&amp;"$"&amp;$D262&amp;74&amp;"")</f>
        <v>0</v>
      </c>
      <c r="BP262" s="289"/>
      <c r="BQ262" s="289" t="s">
        <v>1</v>
      </c>
      <c r="BR262" s="287" t="s">
        <v>1</v>
      </c>
    </row>
    <row r="263" spans="1:70">
      <c r="A263" s="361">
        <v>45758</v>
      </c>
      <c r="B263" s="358">
        <v>0.33333333333333398</v>
      </c>
      <c r="C263" s="313">
        <f t="shared" si="9"/>
        <v>11</v>
      </c>
      <c r="D263" s="314" t="s">
        <v>135</v>
      </c>
      <c r="E263" s="293">
        <v>14.2</v>
      </c>
      <c r="F263" s="294">
        <v>69.510000000000005</v>
      </c>
      <c r="G263" s="295" cm="1">
        <f t="array" aca="1" ref="G263" ca="1">INDIRECT("'"&amp;$C263&amp;"'!"&amp;"$"&amp;$D263&amp;$E$1&amp;"")</f>
        <v>6.7</v>
      </c>
      <c r="H263" s="296">
        <v>0.97</v>
      </c>
      <c r="I263" s="294">
        <v>1.6</v>
      </c>
      <c r="J263" s="295" cm="1">
        <f t="array" aca="1" ref="J263" ca="1">INDIRECT("'"&amp;$C263&amp;"'!"&amp;"$"&amp;$D263&amp;$J$1&amp;"")</f>
        <v>6.8</v>
      </c>
      <c r="K263" s="296"/>
      <c r="L263" s="296">
        <v>0.97</v>
      </c>
      <c r="M263" s="294">
        <v>1.66</v>
      </c>
      <c r="N263" s="295" cm="1">
        <f t="array" aca="1" ref="N263" ca="1">INDIRECT("'"&amp;$C263&amp;"'!"&amp;"$"&amp;$D263&amp;$N$1&amp;"")</f>
        <v>0</v>
      </c>
      <c r="O263" s="296"/>
      <c r="P263" s="296" t="s">
        <v>1</v>
      </c>
      <c r="Q263" s="294" t="s">
        <v>1</v>
      </c>
      <c r="R263" s="295" cm="1">
        <f t="array" aca="1" ref="R263" ca="1">INDIRECT("'"&amp;$C263&amp;"'!"&amp;"$"&amp;$D263&amp;$R$1&amp;"")</f>
        <v>6.7</v>
      </c>
      <c r="S263" s="296"/>
      <c r="T263" s="296">
        <v>0.94</v>
      </c>
      <c r="U263" s="294">
        <v>2.5</v>
      </c>
      <c r="V263" s="295" cm="1">
        <f t="array" aca="1" ref="V263" ca="1">INDIRECT("'"&amp;$C263&amp;"'!"&amp;"$"&amp;$D263&amp;$V$1&amp;"")</f>
        <v>0</v>
      </c>
      <c r="W263" s="296" t="s">
        <v>1</v>
      </c>
      <c r="X263" s="296" t="s">
        <v>1</v>
      </c>
      <c r="Y263" s="297" t="s">
        <v>1</v>
      </c>
      <c r="Z263" s="293" cm="1">
        <f t="array" aca="1" ref="Z263" ca="1">INDIRECT("'"&amp;$C263&amp;"'!"&amp;"$"&amp;$D263&amp;$Z$1&amp;"")</f>
        <v>0</v>
      </c>
      <c r="AA263" s="296" t="s">
        <v>1</v>
      </c>
      <c r="AB263" s="296" t="s">
        <v>1</v>
      </c>
      <c r="AC263" s="294" t="s">
        <v>1</v>
      </c>
      <c r="AD263" s="295" cm="1">
        <f t="array" aca="1" ref="AD263" ca="1">INDIRECT("'"&amp;$C263&amp;"'!"&amp;"$"&amp;$D263&amp;$AD$1&amp;"")</f>
        <v>3.8</v>
      </c>
      <c r="AE263" s="296">
        <f>3.8*3.53</f>
        <v>13.413999999999998</v>
      </c>
      <c r="AF263" s="296">
        <v>0.95</v>
      </c>
      <c r="AG263" s="297">
        <v>1.19</v>
      </c>
      <c r="AH263" s="293" cm="1">
        <f t="array" aca="1" ref="AH263" ca="1">INDIRECT("'"&amp;$C263&amp;"'!"&amp;"$"&amp;$D263&amp;$AH$1&amp;"")</f>
        <v>2</v>
      </c>
      <c r="AI263" s="296">
        <v>13.92</v>
      </c>
      <c r="AJ263" s="296">
        <v>0.96</v>
      </c>
      <c r="AK263" s="294">
        <v>0.51</v>
      </c>
      <c r="AL263" s="293">
        <v>11.8</v>
      </c>
      <c r="AM263" s="297">
        <v>70</v>
      </c>
      <c r="AN263" s="293" t="str" cm="1">
        <f t="array" aca="1" ref="AN263" ca="1">INDIRECT("'"&amp;$C263&amp;"'!"&amp;"$"&amp;$D263&amp;$AL$1&amp;"")</f>
        <v>CMS</v>
      </c>
      <c r="AO263" s="296" t="s">
        <v>1</v>
      </c>
      <c r="AP263" s="294" t="s">
        <v>1</v>
      </c>
      <c r="AQ263" s="295" cm="1">
        <f t="array" aca="1" ref="AQ263" ca="1">INDIRECT("'"&amp;$C263&amp;"'!"&amp;"$"&amp;$D263&amp;$AQ$1&amp;"")</f>
        <v>4</v>
      </c>
      <c r="AR263" s="296">
        <v>0.92</v>
      </c>
      <c r="AS263" s="294">
        <v>1.6</v>
      </c>
      <c r="AT263" s="296" cm="1">
        <f t="array" aca="1" ref="AT263" ca="1">INDIRECT("'"&amp;$C263&amp;"'!"&amp;"$"&amp;$D263&amp;$AT$1&amp;"")</f>
        <v>0</v>
      </c>
      <c r="AU263" s="295" t="s">
        <v>1</v>
      </c>
      <c r="AV263" s="296" t="s">
        <v>1</v>
      </c>
      <c r="AW263" s="294" t="s">
        <v>1</v>
      </c>
      <c r="AX263" s="298">
        <v>14.1</v>
      </c>
      <c r="AY263" s="297">
        <v>71.16</v>
      </c>
      <c r="AZ263" s="298" cm="1">
        <f t="array" aca="1" ref="AZ263" ca="1">INDIRECT("'"&amp;$C263&amp;"'!"&amp;"$"&amp;$D263&amp;$AZ$1&amp;"")</f>
        <v>14.29</v>
      </c>
      <c r="BA263" s="296">
        <v>0.99</v>
      </c>
      <c r="BB263" s="294">
        <v>2.4</v>
      </c>
      <c r="BC263" s="299">
        <v>68.099999999999994</v>
      </c>
      <c r="BD263" s="293" cm="1">
        <f t="array" aca="1" ref="BD263" ca="1">INDIRECT("'"&amp;$C263&amp;"'!"&amp;"$"&amp;$D263&amp;$BC$1&amp;"")</f>
        <v>2</v>
      </c>
      <c r="BE263" s="295">
        <v>0.97</v>
      </c>
      <c r="BF263" s="294">
        <v>0.49</v>
      </c>
      <c r="BG263" s="298" cm="1">
        <f t="array" aca="1" ref="BG263" ca="1">INDIRECT("'"&amp;$C263&amp;"'!"&amp;"$"&amp;$D263&amp;$BG$1&amp;"")</f>
        <v>1.1599999999999999</v>
      </c>
      <c r="BH263" s="296"/>
      <c r="BI263" s="296">
        <v>0.98</v>
      </c>
      <c r="BJ263" s="294">
        <v>0.19</v>
      </c>
      <c r="BK263" s="299" cm="1">
        <f t="array" aca="1" ref="BK263" ca="1">INDIRECT("'"&amp;$C263&amp;"'!"&amp;"$"&amp;$D263&amp;$BK$1&amp;"")</f>
        <v>0.71</v>
      </c>
      <c r="BL263" s="296"/>
      <c r="BM263" s="296">
        <v>0.96</v>
      </c>
      <c r="BN263" s="294">
        <v>0.22</v>
      </c>
      <c r="BO263" s="299" cm="1">
        <f t="array" aca="1" ref="BO263" ca="1">INDIRECT("'"&amp;$C263&amp;"'!"&amp;"$"&amp;$D263&amp;74&amp;"")</f>
        <v>0</v>
      </c>
      <c r="BP263" s="296"/>
      <c r="BQ263" s="296" t="s">
        <v>1</v>
      </c>
      <c r="BR263" s="294" t="s">
        <v>1</v>
      </c>
    </row>
    <row r="264" spans="1:70">
      <c r="A264" s="361">
        <v>45758</v>
      </c>
      <c r="B264" s="358">
        <v>0.375</v>
      </c>
      <c r="C264" s="313">
        <f t="shared" si="9"/>
        <v>11</v>
      </c>
      <c r="D264" s="314" t="s">
        <v>136</v>
      </c>
      <c r="E264" s="286">
        <v>14.2</v>
      </c>
      <c r="F264" s="287">
        <v>69.56</v>
      </c>
      <c r="G264" s="288" cm="1">
        <f t="array" aca="1" ref="G264" ca="1">INDIRECT("'"&amp;$C264&amp;"'!"&amp;"$"&amp;$D264&amp;$E$1&amp;"")</f>
        <v>6.9</v>
      </c>
      <c r="H264" s="289">
        <v>0.96</v>
      </c>
      <c r="I264" s="287">
        <v>1.91</v>
      </c>
      <c r="J264" s="288" cm="1">
        <f t="array" aca="1" ref="J264" ca="1">INDIRECT("'"&amp;$C264&amp;"'!"&amp;"$"&amp;$D264&amp;$J$1&amp;"")</f>
        <v>6.8</v>
      </c>
      <c r="K264" s="289"/>
      <c r="L264" s="289">
        <v>0.96</v>
      </c>
      <c r="M264" s="287">
        <v>1.97</v>
      </c>
      <c r="N264" s="288" cm="1">
        <f t="array" aca="1" ref="N264" ca="1">INDIRECT("'"&amp;$C264&amp;"'!"&amp;"$"&amp;$D264&amp;$N$1&amp;"")</f>
        <v>0</v>
      </c>
      <c r="O264" s="289"/>
      <c r="P264" s="289" t="s">
        <v>1</v>
      </c>
      <c r="Q264" s="287" t="s">
        <v>1</v>
      </c>
      <c r="R264" s="288" cm="1">
        <f t="array" aca="1" ref="R264" ca="1">INDIRECT("'"&amp;$C264&amp;"'!"&amp;"$"&amp;$D264&amp;$R$1&amp;"")</f>
        <v>6.9</v>
      </c>
      <c r="S264" s="289"/>
      <c r="T264" s="289">
        <v>0.96</v>
      </c>
      <c r="U264" s="287">
        <v>1.82</v>
      </c>
      <c r="V264" s="288" cm="1">
        <f t="array" aca="1" ref="V264" ca="1">INDIRECT("'"&amp;$C264&amp;"'!"&amp;"$"&amp;$D264&amp;$V$1&amp;"")</f>
        <v>2.8</v>
      </c>
      <c r="W264" s="289">
        <f>3.8*3.51</f>
        <v>13.337999999999999</v>
      </c>
      <c r="X264" s="289">
        <v>0.95</v>
      </c>
      <c r="Y264" s="290">
        <v>0.83</v>
      </c>
      <c r="Z264" s="286" cm="1">
        <f t="array" aca="1" ref="Z264" ca="1">INDIRECT("'"&amp;$C264&amp;"'!"&amp;"$"&amp;$D264&amp;$Z$1&amp;"")</f>
        <v>0</v>
      </c>
      <c r="AA264" s="289" t="s">
        <v>1</v>
      </c>
      <c r="AB264" s="289" t="s">
        <v>1</v>
      </c>
      <c r="AC264" s="287" t="s">
        <v>1</v>
      </c>
      <c r="AD264" s="288" cm="1">
        <f t="array" aca="1" ref="AD264" ca="1">INDIRECT("'"&amp;$C264&amp;"'!"&amp;"$"&amp;$D264&amp;$AD$1&amp;"")</f>
        <v>3.8</v>
      </c>
      <c r="AE264" s="289">
        <f>3.8*3.51</f>
        <v>13.337999999999999</v>
      </c>
      <c r="AF264" s="289">
        <v>0.95</v>
      </c>
      <c r="AG264" s="290">
        <v>1.2</v>
      </c>
      <c r="AH264" s="286" cm="1">
        <f t="array" aca="1" ref="AH264" ca="1">INDIRECT("'"&amp;$C264&amp;"'!"&amp;"$"&amp;$D264&amp;$AH$1&amp;"")</f>
        <v>3.8</v>
      </c>
      <c r="AI264" s="289">
        <v>14.04</v>
      </c>
      <c r="AJ264" s="289">
        <v>0.96</v>
      </c>
      <c r="AK264" s="287">
        <v>1.25</v>
      </c>
      <c r="AL264" s="286">
        <v>11.8</v>
      </c>
      <c r="AM264" s="290">
        <v>70.400000000000006</v>
      </c>
      <c r="AN264" s="286" t="str" cm="1">
        <f t="array" aca="1" ref="AN264" ca="1">INDIRECT("'"&amp;$C264&amp;"'!"&amp;"$"&amp;$D264&amp;$AL$1&amp;"")</f>
        <v>CMS</v>
      </c>
      <c r="AO264" s="289" t="s">
        <v>1</v>
      </c>
      <c r="AP264" s="287" t="s">
        <v>1</v>
      </c>
      <c r="AQ264" s="288" cm="1">
        <f t="array" aca="1" ref="AQ264" ca="1">INDIRECT("'"&amp;$C264&amp;"'!"&amp;"$"&amp;$D264&amp;$AQ$1&amp;"")</f>
        <v>4.2</v>
      </c>
      <c r="AR264" s="289">
        <v>0.92</v>
      </c>
      <c r="AS264" s="287">
        <v>1.7</v>
      </c>
      <c r="AT264" s="289" cm="1">
        <f t="array" aca="1" ref="AT264" ca="1">INDIRECT("'"&amp;$C264&amp;"'!"&amp;"$"&amp;$D264&amp;$AT$1&amp;"")</f>
        <v>0</v>
      </c>
      <c r="AU264" s="288" t="s">
        <v>1</v>
      </c>
      <c r="AV264" s="289" t="s">
        <v>1</v>
      </c>
      <c r="AW264" s="287" t="s">
        <v>1</v>
      </c>
      <c r="AX264" s="291">
        <v>14.29</v>
      </c>
      <c r="AY264" s="290">
        <v>71.709999999999994</v>
      </c>
      <c r="AZ264" s="291" cm="1">
        <f t="array" aca="1" ref="AZ264" ca="1">INDIRECT("'"&amp;$C264&amp;"'!"&amp;"$"&amp;$D264&amp;$AZ$1&amp;"")</f>
        <v>14.31</v>
      </c>
      <c r="BA264" s="289">
        <v>0.98</v>
      </c>
      <c r="BB264" s="287">
        <v>3.3</v>
      </c>
      <c r="BC264" s="292">
        <v>68.400000000000006</v>
      </c>
      <c r="BD264" s="286" cm="1">
        <f t="array" aca="1" ref="BD264" ca="1">INDIRECT("'"&amp;$C264&amp;"'!"&amp;"$"&amp;$D264&amp;$BC$1&amp;"")</f>
        <v>5.7000000000000011</v>
      </c>
      <c r="BE264" s="288">
        <v>0.96</v>
      </c>
      <c r="BF264" s="287">
        <v>1.6</v>
      </c>
      <c r="BG264" s="291" cm="1">
        <f t="array" aca="1" ref="BG264" ca="1">INDIRECT("'"&amp;$C264&amp;"'!"&amp;"$"&amp;$D264&amp;$BG$1&amp;"")</f>
        <v>1.33</v>
      </c>
      <c r="BH264" s="289"/>
      <c r="BI264" s="289">
        <v>0.98</v>
      </c>
      <c r="BJ264" s="287">
        <v>0.19</v>
      </c>
      <c r="BK264" s="292" cm="1">
        <f t="array" aca="1" ref="BK264" ca="1">INDIRECT("'"&amp;$C264&amp;"'!"&amp;"$"&amp;$D264&amp;$BK$1&amp;"")</f>
        <v>0.73</v>
      </c>
      <c r="BL264" s="289"/>
      <c r="BM264" s="289">
        <v>0.96</v>
      </c>
      <c r="BN264" s="287">
        <v>0.22</v>
      </c>
      <c r="BO264" s="292" cm="1">
        <f t="array" aca="1" ref="BO264" ca="1">INDIRECT("'"&amp;$C264&amp;"'!"&amp;"$"&amp;$D264&amp;74&amp;"")</f>
        <v>0</v>
      </c>
      <c r="BP264" s="289"/>
      <c r="BQ264" s="289" t="s">
        <v>1</v>
      </c>
      <c r="BR264" s="287" t="s">
        <v>1</v>
      </c>
    </row>
    <row r="265" spans="1:70">
      <c r="A265" s="361">
        <v>45758</v>
      </c>
      <c r="B265" s="358">
        <v>0.41666666666666702</v>
      </c>
      <c r="C265" s="313">
        <f t="shared" si="9"/>
        <v>11</v>
      </c>
      <c r="D265" s="314" t="s">
        <v>137</v>
      </c>
      <c r="E265" s="293">
        <v>14.1</v>
      </c>
      <c r="F265" s="294">
        <v>68.900000000000006</v>
      </c>
      <c r="G265" s="295" cm="1">
        <f t="array" aca="1" ref="G265" ca="1">INDIRECT("'"&amp;$C265&amp;"'!"&amp;"$"&amp;$D265&amp;$E$1&amp;"")</f>
        <v>7.1</v>
      </c>
      <c r="H265" s="296">
        <v>0.95</v>
      </c>
      <c r="I265" s="294">
        <v>2.37</v>
      </c>
      <c r="J265" s="295" cm="1">
        <f t="array" aca="1" ref="J265" ca="1">INDIRECT("'"&amp;$C265&amp;"'!"&amp;"$"&amp;$D265&amp;$J$1&amp;"")</f>
        <v>7.1</v>
      </c>
      <c r="K265" s="296"/>
      <c r="L265" s="296">
        <v>0.95</v>
      </c>
      <c r="M265" s="294">
        <v>2.4</v>
      </c>
      <c r="N265" s="295" cm="1">
        <f t="array" aca="1" ref="N265" ca="1">INDIRECT("'"&amp;$C265&amp;"'!"&amp;"$"&amp;$D265&amp;$N$1&amp;"")</f>
        <v>0</v>
      </c>
      <c r="O265" s="296"/>
      <c r="P265" s="296" t="s">
        <v>1</v>
      </c>
      <c r="Q265" s="294" t="s">
        <v>1</v>
      </c>
      <c r="R265" s="295" cm="1">
        <f t="array" aca="1" ref="R265" ca="1">INDIRECT("'"&amp;$C265&amp;"'!"&amp;"$"&amp;$D265&amp;$R$1&amp;"")</f>
        <v>7</v>
      </c>
      <c r="S265" s="296"/>
      <c r="T265" s="296">
        <v>0.94</v>
      </c>
      <c r="U265" s="294">
        <v>2.6</v>
      </c>
      <c r="V265" s="295" cm="1">
        <f t="array" aca="1" ref="V265" ca="1">INDIRECT("'"&amp;$C265&amp;"'!"&amp;"$"&amp;$D265&amp;$V$1&amp;"")</f>
        <v>2.9</v>
      </c>
      <c r="W265" s="296">
        <f>3.8*3.47</f>
        <v>13.186</v>
      </c>
      <c r="X265" s="296">
        <v>0.94</v>
      </c>
      <c r="Y265" s="297">
        <v>0.98</v>
      </c>
      <c r="Z265" s="293" cm="1">
        <f t="array" aca="1" ref="Z265" ca="1">INDIRECT("'"&amp;$C265&amp;"'!"&amp;"$"&amp;$D265&amp;$Z$1&amp;"")</f>
        <v>0</v>
      </c>
      <c r="AA265" s="296" t="s">
        <v>1</v>
      </c>
      <c r="AB265" s="296" t="s">
        <v>1</v>
      </c>
      <c r="AC265" s="294" t="s">
        <v>1</v>
      </c>
      <c r="AD265" s="295" cm="1">
        <f t="array" aca="1" ref="AD265" ca="1">INDIRECT("'"&amp;$C265&amp;"'!"&amp;"$"&amp;$D265&amp;$AD$1&amp;"")</f>
        <v>4</v>
      </c>
      <c r="AE265" s="296">
        <f>3.8*3.47</f>
        <v>13.186</v>
      </c>
      <c r="AF265" s="296">
        <v>0.93</v>
      </c>
      <c r="AG265" s="297">
        <v>1.48</v>
      </c>
      <c r="AH265" s="293" cm="1">
        <f t="array" aca="1" ref="AH265" ca="1">INDIRECT("'"&amp;$C265&amp;"'!"&amp;"$"&amp;$D265&amp;$AH$1&amp;"")</f>
        <v>3.8</v>
      </c>
      <c r="AI265" s="296">
        <v>14.08</v>
      </c>
      <c r="AJ265" s="296">
        <v>0.96</v>
      </c>
      <c r="AK265" s="294">
        <v>1.35</v>
      </c>
      <c r="AL265" s="293">
        <v>11.95</v>
      </c>
      <c r="AM265" s="297">
        <v>70.8</v>
      </c>
      <c r="AN265" s="293" t="str" cm="1">
        <f t="array" aca="1" ref="AN265" ca="1">INDIRECT("'"&amp;$C265&amp;"'!"&amp;"$"&amp;$D265&amp;$AL$1&amp;"")</f>
        <v>CMS</v>
      </c>
      <c r="AO265" s="296" t="s">
        <v>1</v>
      </c>
      <c r="AP265" s="294" t="s">
        <v>1</v>
      </c>
      <c r="AQ265" s="295" cm="1">
        <f t="array" aca="1" ref="AQ265" ca="1">INDIRECT("'"&amp;$C265&amp;"'!"&amp;"$"&amp;$D265&amp;$AQ$1&amp;"")</f>
        <v>4.2</v>
      </c>
      <c r="AR265" s="296">
        <v>0.92</v>
      </c>
      <c r="AS265" s="294">
        <v>1.6</v>
      </c>
      <c r="AT265" s="296" cm="1">
        <f t="array" aca="1" ref="AT265" ca="1">INDIRECT("'"&amp;$C265&amp;"'!"&amp;"$"&amp;$D265&amp;$AT$1&amp;"")</f>
        <v>7.2</v>
      </c>
      <c r="AU265" s="295">
        <v>13.9</v>
      </c>
      <c r="AV265" s="296">
        <v>0.95</v>
      </c>
      <c r="AW265" s="294">
        <v>1.3</v>
      </c>
      <c r="AX265" s="298">
        <v>14.45</v>
      </c>
      <c r="AY265" s="297">
        <v>71.760000000000005</v>
      </c>
      <c r="AZ265" s="298" cm="1">
        <f t="array" aca="1" ref="AZ265" ca="1">INDIRECT("'"&amp;$C265&amp;"'!"&amp;"$"&amp;$D265&amp;$AZ$1&amp;"")</f>
        <v>14.28</v>
      </c>
      <c r="BA265" s="296">
        <v>0.96</v>
      </c>
      <c r="BB265" s="294">
        <v>4.5999999999999996</v>
      </c>
      <c r="BC265" s="299">
        <v>67.5</v>
      </c>
      <c r="BD265" s="293" cm="1">
        <f t="array" aca="1" ref="BD265" ca="1">INDIRECT("'"&amp;$C265&amp;"'!"&amp;"$"&amp;$D265&amp;$BC$1&amp;"")</f>
        <v>2.8</v>
      </c>
      <c r="BE265" s="295">
        <v>0.96</v>
      </c>
      <c r="BF265" s="294">
        <v>0.81</v>
      </c>
      <c r="BG265" s="298" cm="1">
        <f t="array" aca="1" ref="BG265" ca="1">INDIRECT("'"&amp;$C265&amp;"'!"&amp;"$"&amp;$D265&amp;$BG$1&amp;"")</f>
        <v>1.45</v>
      </c>
      <c r="BH265" s="296"/>
      <c r="BI265" s="296">
        <v>0.99</v>
      </c>
      <c r="BJ265" s="294">
        <v>0.22</v>
      </c>
      <c r="BK265" s="299" cm="1">
        <f t="array" aca="1" ref="BK265" ca="1">INDIRECT("'"&amp;$C265&amp;"'!"&amp;"$"&amp;$D265&amp;$BK$1&amp;"")</f>
        <v>0.76</v>
      </c>
      <c r="BL265" s="296"/>
      <c r="BM265" s="296">
        <v>0.96</v>
      </c>
      <c r="BN265" s="294">
        <v>0.22</v>
      </c>
      <c r="BO265" s="299" cm="1">
        <f t="array" aca="1" ref="BO265" ca="1">INDIRECT("'"&amp;$C265&amp;"'!"&amp;"$"&amp;$D265&amp;74&amp;"")</f>
        <v>0</v>
      </c>
      <c r="BP265" s="296"/>
      <c r="BQ265" s="296" t="s">
        <v>1</v>
      </c>
      <c r="BR265" s="294" t="s">
        <v>1</v>
      </c>
    </row>
    <row r="266" spans="1:70">
      <c r="A266" s="361">
        <v>45758</v>
      </c>
      <c r="B266" s="358">
        <v>0.45833333333333398</v>
      </c>
      <c r="C266" s="313">
        <f t="shared" si="9"/>
        <v>11</v>
      </c>
      <c r="D266" s="314" t="s">
        <v>138</v>
      </c>
      <c r="E266" s="286">
        <v>14.2</v>
      </c>
      <c r="F266" s="287">
        <v>69.180000000000007</v>
      </c>
      <c r="G266" s="288" cm="1">
        <f t="array" aca="1" ref="G266" ca="1">INDIRECT("'"&amp;$C266&amp;"'!"&amp;"$"&amp;$D266&amp;$E$1&amp;"")</f>
        <v>6.5</v>
      </c>
      <c r="H266" s="289">
        <v>0.94</v>
      </c>
      <c r="I266" s="287">
        <v>2.39</v>
      </c>
      <c r="J266" s="288" cm="1">
        <f t="array" aca="1" ref="J266" ca="1">INDIRECT("'"&amp;$C266&amp;"'!"&amp;"$"&amp;$D266&amp;$J$1&amp;"")</f>
        <v>6.6</v>
      </c>
      <c r="K266" s="289"/>
      <c r="L266" s="289">
        <v>0.94</v>
      </c>
      <c r="M266" s="287">
        <v>2.4700000000000002</v>
      </c>
      <c r="N266" s="288" cm="1">
        <f t="array" aca="1" ref="N266" ca="1">INDIRECT("'"&amp;$C266&amp;"'!"&amp;"$"&amp;$D266&amp;$N$1&amp;"")</f>
        <v>5.9</v>
      </c>
      <c r="O266" s="289"/>
      <c r="P266" s="289">
        <v>0.94</v>
      </c>
      <c r="Q266" s="287">
        <v>2.16</v>
      </c>
      <c r="R266" s="288" cm="1">
        <f t="array" aca="1" ref="R266" ca="1">INDIRECT("'"&amp;$C266&amp;"'!"&amp;"$"&amp;$D266&amp;$R$1&amp;"")</f>
        <v>6.7</v>
      </c>
      <c r="S266" s="289"/>
      <c r="T266" s="289">
        <v>0.96</v>
      </c>
      <c r="U266" s="287">
        <v>1.92</v>
      </c>
      <c r="V266" s="288" cm="1">
        <f t="array" aca="1" ref="V266" ca="1">INDIRECT("'"&amp;$C266&amp;"'!"&amp;"$"&amp;$D266&amp;$V$1&amp;"")</f>
        <v>2.8</v>
      </c>
      <c r="W266" s="289">
        <f>3.8*3.48</f>
        <v>13.224</v>
      </c>
      <c r="X266" s="289">
        <v>0.92</v>
      </c>
      <c r="Y266" s="290">
        <v>1.1399999999999999</v>
      </c>
      <c r="Z266" s="286" cm="1">
        <f t="array" aca="1" ref="Z266" ca="1">INDIRECT("'"&amp;$C266&amp;"'!"&amp;"$"&amp;$D266&amp;$Z$1&amp;"")</f>
        <v>0</v>
      </c>
      <c r="AA266" s="289" t="s">
        <v>1</v>
      </c>
      <c r="AB266" s="289" t="s">
        <v>1</v>
      </c>
      <c r="AC266" s="287" t="s">
        <v>1</v>
      </c>
      <c r="AD266" s="288" cm="1">
        <f t="array" aca="1" ref="AD266" ca="1">INDIRECT("'"&amp;$C266&amp;"'!"&amp;"$"&amp;$D266&amp;$AD$1&amp;"")</f>
        <v>3.8</v>
      </c>
      <c r="AE266" s="289">
        <v>13.22</v>
      </c>
      <c r="AF266" s="289">
        <v>0.92</v>
      </c>
      <c r="AG266" s="290">
        <v>1.6</v>
      </c>
      <c r="AH266" s="286" cm="1">
        <f t="array" aca="1" ref="AH266" ca="1">INDIRECT("'"&amp;$C266&amp;"'!"&amp;"$"&amp;$D266&amp;$AH$1&amp;"")</f>
        <v>3.8</v>
      </c>
      <c r="AI266" s="289">
        <v>14.08</v>
      </c>
      <c r="AJ266" s="289">
        <v>0.96</v>
      </c>
      <c r="AK266" s="287">
        <v>1.24</v>
      </c>
      <c r="AL266" s="286">
        <v>11.9</v>
      </c>
      <c r="AM266" s="290">
        <v>70.900000000000006</v>
      </c>
      <c r="AN266" s="286" t="str" cm="1">
        <f t="array" aca="1" ref="AN266" ca="1">INDIRECT("'"&amp;$C266&amp;"'!"&amp;"$"&amp;$D266&amp;$AL$1&amp;"")</f>
        <v>CMS</v>
      </c>
      <c r="AO266" s="289" t="s">
        <v>1</v>
      </c>
      <c r="AP266" s="287" t="s">
        <v>1</v>
      </c>
      <c r="AQ266" s="288" cm="1">
        <f t="array" aca="1" ref="AQ266" ca="1">INDIRECT("'"&amp;$C266&amp;"'!"&amp;"$"&amp;$D266&amp;$AQ$1&amp;"")</f>
        <v>4.5</v>
      </c>
      <c r="AR266" s="289">
        <v>0.94</v>
      </c>
      <c r="AS266" s="287">
        <v>1.5</v>
      </c>
      <c r="AT266" s="289" cm="1">
        <f t="array" aca="1" ref="AT266" ca="1">INDIRECT("'"&amp;$C266&amp;"'!"&amp;"$"&amp;$D266&amp;$AT$1&amp;"")</f>
        <v>6</v>
      </c>
      <c r="AU266" s="288">
        <v>13.9</v>
      </c>
      <c r="AV266" s="289">
        <v>0.95</v>
      </c>
      <c r="AW266" s="287">
        <v>1.3</v>
      </c>
      <c r="AX266" s="291">
        <v>14.43</v>
      </c>
      <c r="AY266" s="290">
        <v>71.540000000000006</v>
      </c>
      <c r="AZ266" s="291" cm="1">
        <f t="array" aca="1" ref="AZ266" ca="1">INDIRECT("'"&amp;$C266&amp;"'!"&amp;"$"&amp;$D266&amp;$AZ$1&amp;"")</f>
        <v>14.43</v>
      </c>
      <c r="BA266" s="289">
        <v>0.96</v>
      </c>
      <c r="BB266" s="287">
        <v>4.5</v>
      </c>
      <c r="BC266" s="292">
        <v>67.7</v>
      </c>
      <c r="BD266" s="286" cm="1">
        <f t="array" aca="1" ref="BD266" ca="1">INDIRECT("'"&amp;$C266&amp;"'!"&amp;"$"&amp;$D266&amp;$BC$1&amp;"")</f>
        <v>1.4</v>
      </c>
      <c r="BE266" s="288">
        <v>0.94</v>
      </c>
      <c r="BF266" s="287">
        <v>0.5</v>
      </c>
      <c r="BG266" s="291" cm="1">
        <f t="array" aca="1" ref="BG266" ca="1">INDIRECT("'"&amp;$C266&amp;"'!"&amp;"$"&amp;$D266&amp;$BG$1&amp;"")</f>
        <v>1.55</v>
      </c>
      <c r="BH266" s="289"/>
      <c r="BI266" s="289">
        <v>0.99</v>
      </c>
      <c r="BJ266" s="287">
        <v>0.22</v>
      </c>
      <c r="BK266" s="292" cm="1">
        <f t="array" aca="1" ref="BK266" ca="1">INDIRECT("'"&amp;$C266&amp;"'!"&amp;"$"&amp;$D266&amp;$BK$1&amp;"")</f>
        <v>0.83</v>
      </c>
      <c r="BL266" s="289"/>
      <c r="BM266" s="289">
        <v>0.96</v>
      </c>
      <c r="BN266" s="287">
        <v>0.24</v>
      </c>
      <c r="BO266" s="292" cm="1">
        <f t="array" aca="1" ref="BO266" ca="1">INDIRECT("'"&amp;$C266&amp;"'!"&amp;"$"&amp;$D266&amp;74&amp;"")</f>
        <v>0</v>
      </c>
      <c r="BP266" s="289"/>
      <c r="BQ266" s="289" t="s">
        <v>1</v>
      </c>
      <c r="BR266" s="287" t="s">
        <v>1</v>
      </c>
    </row>
    <row r="267" spans="1:70">
      <c r="A267" s="361">
        <v>45758</v>
      </c>
      <c r="B267" s="358">
        <v>0.5</v>
      </c>
      <c r="C267" s="313">
        <f t="shared" si="9"/>
        <v>11</v>
      </c>
      <c r="D267" s="314" t="s">
        <v>139</v>
      </c>
      <c r="E267" s="293">
        <v>14.3</v>
      </c>
      <c r="F267" s="294">
        <v>69.38</v>
      </c>
      <c r="G267" s="295" cm="1">
        <f t="array" aca="1" ref="G267" ca="1">INDIRECT("'"&amp;$C267&amp;"'!"&amp;"$"&amp;$D267&amp;$E$1&amp;"")</f>
        <v>6.5</v>
      </c>
      <c r="H267" s="296">
        <v>0.94</v>
      </c>
      <c r="I267" s="294">
        <v>2.38</v>
      </c>
      <c r="J267" s="295" cm="1">
        <f t="array" aca="1" ref="J267" ca="1">INDIRECT("'"&amp;$C267&amp;"'!"&amp;"$"&amp;$D267&amp;$J$1&amp;"")</f>
        <v>6.6</v>
      </c>
      <c r="K267" s="296"/>
      <c r="L267" s="296">
        <v>0.94</v>
      </c>
      <c r="M267" s="294">
        <v>2.38</v>
      </c>
      <c r="N267" s="295" cm="1">
        <f t="array" aca="1" ref="N267" ca="1">INDIRECT("'"&amp;$C267&amp;"'!"&amp;"$"&amp;$D267&amp;$N$1&amp;"")</f>
        <v>6.5</v>
      </c>
      <c r="O267" s="296"/>
      <c r="P267" s="296">
        <v>0.94</v>
      </c>
      <c r="Q267" s="294">
        <v>2.37</v>
      </c>
      <c r="R267" s="295" cm="1">
        <f t="array" aca="1" ref="R267" ca="1">INDIRECT("'"&amp;$C267&amp;"'!"&amp;"$"&amp;$D267&amp;$R$1&amp;"")</f>
        <v>6.6</v>
      </c>
      <c r="S267" s="296"/>
      <c r="T267" s="296">
        <v>0.94</v>
      </c>
      <c r="U267" s="294">
        <v>1.99</v>
      </c>
      <c r="V267" s="295" cm="1">
        <f t="array" aca="1" ref="V267" ca="1">INDIRECT("'"&amp;$C267&amp;"'!"&amp;"$"&amp;$D267&amp;$V$1&amp;"")</f>
        <v>2.8</v>
      </c>
      <c r="W267" s="296">
        <f>3.8*3.48</f>
        <v>13.224</v>
      </c>
      <c r="X267" s="296">
        <v>0.93</v>
      </c>
      <c r="Y267" s="297">
        <v>1.02</v>
      </c>
      <c r="Z267" s="293" cm="1">
        <f t="array" aca="1" ref="Z267" ca="1">INDIRECT("'"&amp;$C267&amp;"'!"&amp;"$"&amp;$D267&amp;$Z$1&amp;"")</f>
        <v>0</v>
      </c>
      <c r="AA267" s="296" t="s">
        <v>1</v>
      </c>
      <c r="AB267" s="296" t="s">
        <v>1</v>
      </c>
      <c r="AC267" s="294" t="s">
        <v>1</v>
      </c>
      <c r="AD267" s="295" cm="1">
        <f t="array" aca="1" ref="AD267" ca="1">INDIRECT("'"&amp;$C267&amp;"'!"&amp;"$"&amp;$D267&amp;$AD$1&amp;"")</f>
        <v>3.8</v>
      </c>
      <c r="AE267" s="296">
        <v>13.22</v>
      </c>
      <c r="AF267" s="296">
        <v>0.92</v>
      </c>
      <c r="AG267" s="297">
        <v>1.61</v>
      </c>
      <c r="AH267" s="293" cm="1">
        <f t="array" aca="1" ref="AH267" ca="1">INDIRECT("'"&amp;$C267&amp;"'!"&amp;"$"&amp;$D267&amp;$AH$1&amp;"")</f>
        <v>3.8</v>
      </c>
      <c r="AI267" s="296">
        <v>14.08</v>
      </c>
      <c r="AJ267" s="296">
        <v>0.95</v>
      </c>
      <c r="AK267" s="294">
        <v>1.38</v>
      </c>
      <c r="AL267" s="293">
        <v>11.9</v>
      </c>
      <c r="AM267" s="297">
        <v>70.900000000000006</v>
      </c>
      <c r="AN267" s="293" t="str" cm="1">
        <f t="array" aca="1" ref="AN267" ca="1">INDIRECT("'"&amp;$C267&amp;"'!"&amp;"$"&amp;$D267&amp;$AL$1&amp;"")</f>
        <v>CMS</v>
      </c>
      <c r="AO267" s="296" t="s">
        <v>1</v>
      </c>
      <c r="AP267" s="294" t="s">
        <v>1</v>
      </c>
      <c r="AQ267" s="295" cm="1">
        <f t="array" aca="1" ref="AQ267" ca="1">INDIRECT("'"&amp;$C267&amp;"'!"&amp;"$"&amp;$D267&amp;$AQ$1&amp;"")</f>
        <v>4.5</v>
      </c>
      <c r="AR267" s="296">
        <v>0.94</v>
      </c>
      <c r="AS267" s="294">
        <v>1.4</v>
      </c>
      <c r="AT267" s="296" cm="1">
        <f t="array" aca="1" ref="AT267" ca="1">INDIRECT("'"&amp;$C267&amp;"'!"&amp;"$"&amp;$D267&amp;$AT$1&amp;"")</f>
        <v>5.5</v>
      </c>
      <c r="AU267" s="295">
        <v>13.9</v>
      </c>
      <c r="AV267" s="296">
        <v>0.95</v>
      </c>
      <c r="AW267" s="294">
        <v>1.2</v>
      </c>
      <c r="AX267" s="298">
        <v>14.46</v>
      </c>
      <c r="AY267" s="297">
        <v>72.22</v>
      </c>
      <c r="AZ267" s="298" cm="1">
        <f t="array" aca="1" ref="AZ267" ca="1">INDIRECT("'"&amp;$C267&amp;"'!"&amp;"$"&amp;$D267&amp;$AZ$1&amp;"")</f>
        <v>14.31</v>
      </c>
      <c r="BA267" s="296">
        <v>0.96</v>
      </c>
      <c r="BB267" s="294">
        <v>4.5999999999999996</v>
      </c>
      <c r="BC267" s="299">
        <v>68</v>
      </c>
      <c r="BD267" s="293" cm="1">
        <f t="array" aca="1" ref="BD267" ca="1">INDIRECT("'"&amp;$C267&amp;"'!"&amp;"$"&amp;$D267&amp;$BC$1&amp;"")</f>
        <v>1.4</v>
      </c>
      <c r="BE267" s="295">
        <v>0.94</v>
      </c>
      <c r="BF267" s="294">
        <v>0.51</v>
      </c>
      <c r="BG267" s="298" cm="1">
        <f t="array" aca="1" ref="BG267" ca="1">INDIRECT("'"&amp;$C267&amp;"'!"&amp;"$"&amp;$D267&amp;$BG$1&amp;"")</f>
        <v>1.52</v>
      </c>
      <c r="BH267" s="296"/>
      <c r="BI267" s="296">
        <v>0.99</v>
      </c>
      <c r="BJ267" s="294">
        <v>0.22</v>
      </c>
      <c r="BK267" s="299" cm="1">
        <f t="array" aca="1" ref="BK267" ca="1">INDIRECT("'"&amp;$C267&amp;"'!"&amp;"$"&amp;$D267&amp;$BK$1&amp;"")</f>
        <v>0.84</v>
      </c>
      <c r="BL267" s="296"/>
      <c r="BM267" s="296">
        <v>0.96</v>
      </c>
      <c r="BN267" s="294">
        <v>0.24</v>
      </c>
      <c r="BO267" s="299" cm="1">
        <f t="array" aca="1" ref="BO267" ca="1">INDIRECT("'"&amp;$C267&amp;"'!"&amp;"$"&amp;$D267&amp;74&amp;"")</f>
        <v>0</v>
      </c>
      <c r="BP267" s="296"/>
      <c r="BQ267" s="296" t="s">
        <v>1</v>
      </c>
      <c r="BR267" s="294" t="s">
        <v>1</v>
      </c>
    </row>
    <row r="268" spans="1:70">
      <c r="A268" s="361">
        <v>45758</v>
      </c>
      <c r="B268" s="358">
        <v>0.54166666666666696</v>
      </c>
      <c r="C268" s="313">
        <f t="shared" si="9"/>
        <v>11</v>
      </c>
      <c r="D268" s="314" t="s">
        <v>140</v>
      </c>
      <c r="E268" s="286">
        <v>14.3</v>
      </c>
      <c r="F268" s="287">
        <v>69.290000000000006</v>
      </c>
      <c r="G268" s="288" cm="1">
        <f t="array" aca="1" ref="G268" ca="1">INDIRECT("'"&amp;$C268&amp;"'!"&amp;"$"&amp;$D268&amp;$E$1&amp;"")</f>
        <v>6.5</v>
      </c>
      <c r="H268" s="289">
        <v>0.94</v>
      </c>
      <c r="I268" s="287">
        <v>2.4</v>
      </c>
      <c r="J268" s="288" cm="1">
        <f t="array" aca="1" ref="J268" ca="1">INDIRECT("'"&amp;$C268&amp;"'!"&amp;"$"&amp;$D268&amp;$J$1&amp;"")</f>
        <v>6.7</v>
      </c>
      <c r="K268" s="289"/>
      <c r="L268" s="289">
        <v>0.94</v>
      </c>
      <c r="M268" s="287">
        <v>2.48</v>
      </c>
      <c r="N268" s="288" cm="1">
        <f t="array" aca="1" ref="N268" ca="1">INDIRECT("'"&amp;$C268&amp;"'!"&amp;"$"&amp;$D268&amp;$N$1&amp;"")</f>
        <v>6.6</v>
      </c>
      <c r="O268" s="289"/>
      <c r="P268" s="289">
        <v>0.94</v>
      </c>
      <c r="Q268" s="287">
        <v>2.41</v>
      </c>
      <c r="R268" s="288" cm="1">
        <f t="array" aca="1" ref="R268" ca="1">INDIRECT("'"&amp;$C268&amp;"'!"&amp;"$"&amp;$D268&amp;$R$1&amp;"")</f>
        <v>6.6</v>
      </c>
      <c r="S268" s="289"/>
      <c r="T268" s="289">
        <v>0.95</v>
      </c>
      <c r="U268" s="287">
        <v>2.21</v>
      </c>
      <c r="V268" s="288" cm="1">
        <f t="array" aca="1" ref="V268" ca="1">INDIRECT("'"&amp;$C268&amp;"'!"&amp;"$"&amp;$D268&amp;$V$1&amp;"")</f>
        <v>2.8</v>
      </c>
      <c r="W268" s="289">
        <f>3.8*3.48</f>
        <v>13.224</v>
      </c>
      <c r="X268" s="289">
        <v>0.93</v>
      </c>
      <c r="Y268" s="290">
        <v>1.04</v>
      </c>
      <c r="Z268" s="286" cm="1">
        <f t="array" aca="1" ref="Z268" ca="1">INDIRECT("'"&amp;$C268&amp;"'!"&amp;"$"&amp;$D268&amp;$Z$1&amp;"")</f>
        <v>0</v>
      </c>
      <c r="AA268" s="289" t="s">
        <v>1</v>
      </c>
      <c r="AB268" s="289" t="s">
        <v>1</v>
      </c>
      <c r="AC268" s="287" t="s">
        <v>1</v>
      </c>
      <c r="AD268" s="288" cm="1">
        <f t="array" aca="1" ref="AD268" ca="1">INDIRECT("'"&amp;$C268&amp;"'!"&amp;"$"&amp;$D268&amp;$AD$1&amp;"")</f>
        <v>3.8</v>
      </c>
      <c r="AE268" s="289">
        <v>13.22</v>
      </c>
      <c r="AF268" s="289">
        <v>0.93</v>
      </c>
      <c r="AG268" s="290">
        <v>1.6</v>
      </c>
      <c r="AH268" s="286" cm="1">
        <f t="array" aca="1" ref="AH268" ca="1">INDIRECT("'"&amp;$C268&amp;"'!"&amp;"$"&amp;$D268&amp;$AH$1&amp;"")</f>
        <v>3.8</v>
      </c>
      <c r="AI268" s="289">
        <v>14.08</v>
      </c>
      <c r="AJ268" s="289">
        <v>0.95</v>
      </c>
      <c r="AK268" s="287">
        <v>1.41</v>
      </c>
      <c r="AL268" s="286">
        <v>11.9</v>
      </c>
      <c r="AM268" s="290">
        <v>70.900000000000006</v>
      </c>
      <c r="AN268" s="286" t="str" cm="1">
        <f t="array" aca="1" ref="AN268" ca="1">INDIRECT("'"&amp;$C268&amp;"'!"&amp;"$"&amp;$D268&amp;$AL$1&amp;"")</f>
        <v>CMS</v>
      </c>
      <c r="AO268" s="289" t="s">
        <v>1</v>
      </c>
      <c r="AP268" s="287" t="s">
        <v>1</v>
      </c>
      <c r="AQ268" s="288" cm="1">
        <f t="array" aca="1" ref="AQ268" ca="1">INDIRECT("'"&amp;$C268&amp;"'!"&amp;"$"&amp;$D268&amp;$AQ$1&amp;"")</f>
        <v>4.5</v>
      </c>
      <c r="AR268" s="289">
        <v>0.94</v>
      </c>
      <c r="AS268" s="287">
        <v>0.5</v>
      </c>
      <c r="AT268" s="289" cm="1">
        <f t="array" aca="1" ref="AT268" ca="1">INDIRECT("'"&amp;$C268&amp;"'!"&amp;"$"&amp;$D268&amp;$AT$1&amp;"")</f>
        <v>5.6</v>
      </c>
      <c r="AU268" s="288">
        <v>13.9</v>
      </c>
      <c r="AV268" s="289">
        <v>0.95</v>
      </c>
      <c r="AW268" s="287">
        <v>1.2</v>
      </c>
      <c r="AX268" s="291">
        <v>14.44</v>
      </c>
      <c r="AY268" s="290">
        <v>72.209999999999994</v>
      </c>
      <c r="AZ268" s="291" cm="1">
        <f t="array" aca="1" ref="AZ268" ca="1">INDIRECT("'"&amp;$C268&amp;"'!"&amp;"$"&amp;$D268&amp;$AZ$1&amp;"")</f>
        <v>14.27</v>
      </c>
      <c r="BA268" s="289">
        <v>0.96</v>
      </c>
      <c r="BB268" s="287">
        <v>4.5</v>
      </c>
      <c r="BC268" s="292">
        <v>67.900000000000006</v>
      </c>
      <c r="BD268" s="286" cm="1">
        <f t="array" aca="1" ref="BD268" ca="1">INDIRECT("'"&amp;$C268&amp;"'!"&amp;"$"&amp;$D268&amp;$BC$1&amp;"")</f>
        <v>1.4</v>
      </c>
      <c r="BE268" s="288">
        <v>0.94</v>
      </c>
      <c r="BF268" s="287">
        <v>0.5</v>
      </c>
      <c r="BG268" s="291" cm="1">
        <f t="array" aca="1" ref="BG268" ca="1">INDIRECT("'"&amp;$C268&amp;"'!"&amp;"$"&amp;$D268&amp;$BG$1&amp;"")</f>
        <v>0</v>
      </c>
      <c r="BH268" s="289"/>
      <c r="BI268" s="289" t="s">
        <v>1</v>
      </c>
      <c r="BJ268" s="287" t="s">
        <v>1</v>
      </c>
      <c r="BK268" s="292" cm="1">
        <f t="array" aca="1" ref="BK268" ca="1">INDIRECT("'"&amp;$C268&amp;"'!"&amp;"$"&amp;$D268&amp;$BK$1&amp;"")</f>
        <v>0.94</v>
      </c>
      <c r="BL268" s="289"/>
      <c r="BM268" s="289">
        <v>0.96</v>
      </c>
      <c r="BN268" s="287">
        <v>0.25</v>
      </c>
      <c r="BO268" s="292" cm="1">
        <f t="array" aca="1" ref="BO268" ca="1">INDIRECT("'"&amp;$C268&amp;"'!"&amp;"$"&amp;$D268&amp;74&amp;"")</f>
        <v>0</v>
      </c>
      <c r="BP268" s="289"/>
      <c r="BQ268" s="289" t="s">
        <v>1</v>
      </c>
      <c r="BR268" s="287" t="s">
        <v>1</v>
      </c>
    </row>
    <row r="269" spans="1:70">
      <c r="A269" s="361">
        <v>45758</v>
      </c>
      <c r="B269" s="358">
        <v>0.58333333333333404</v>
      </c>
      <c r="C269" s="313">
        <f t="shared" si="9"/>
        <v>11</v>
      </c>
      <c r="D269" s="314" t="s">
        <v>141</v>
      </c>
      <c r="E269" s="293">
        <v>14.3</v>
      </c>
      <c r="F269" s="294">
        <v>69.17</v>
      </c>
      <c r="G269" s="295" cm="1">
        <f t="array" aca="1" ref="G269" ca="1">INDIRECT("'"&amp;$C269&amp;"'!"&amp;"$"&amp;$D269&amp;$E$1&amp;"")</f>
        <v>6.5</v>
      </c>
      <c r="H269" s="296">
        <v>0.94</v>
      </c>
      <c r="I269" s="294">
        <v>1.38</v>
      </c>
      <c r="J269" s="295" cm="1">
        <f t="array" aca="1" ref="J269" ca="1">INDIRECT("'"&amp;$C269&amp;"'!"&amp;"$"&amp;$D269&amp;$J$1&amp;"")</f>
        <v>6.5</v>
      </c>
      <c r="K269" s="296"/>
      <c r="L269" s="296">
        <v>0.94</v>
      </c>
      <c r="M269" s="294">
        <v>1.41</v>
      </c>
      <c r="N269" s="295" cm="1">
        <f t="array" aca="1" ref="N269" ca="1">INDIRECT("'"&amp;$C269&amp;"'!"&amp;"$"&amp;$D269&amp;$N$1&amp;"")</f>
        <v>6.5</v>
      </c>
      <c r="O269" s="296"/>
      <c r="P269" s="296">
        <v>0.94</v>
      </c>
      <c r="Q269" s="294">
        <v>1.41</v>
      </c>
      <c r="R269" s="295" cm="1">
        <f t="array" aca="1" ref="R269" ca="1">INDIRECT("'"&amp;$C269&amp;"'!"&amp;"$"&amp;$D269&amp;$R$1&amp;"")</f>
        <v>6.5</v>
      </c>
      <c r="S269" s="296"/>
      <c r="T269" s="296">
        <v>0.94</v>
      </c>
      <c r="U269" s="294">
        <v>1.39</v>
      </c>
      <c r="V269" s="295" cm="1">
        <f t="array" aca="1" ref="V269" ca="1">INDIRECT("'"&amp;$C269&amp;"'!"&amp;"$"&amp;$D269&amp;$V$1&amp;"")</f>
        <v>2.8</v>
      </c>
      <c r="W269" s="296">
        <f>3.8*3.47</f>
        <v>13.186</v>
      </c>
      <c r="X269" s="296">
        <v>0.93</v>
      </c>
      <c r="Y269" s="297">
        <v>1.01</v>
      </c>
      <c r="Z269" s="293" cm="1">
        <f t="array" aca="1" ref="Z269" ca="1">INDIRECT("'"&amp;$C269&amp;"'!"&amp;"$"&amp;$D269&amp;$Z$1&amp;"")</f>
        <v>0</v>
      </c>
      <c r="AA269" s="296" t="s">
        <v>1</v>
      </c>
      <c r="AB269" s="296" t="s">
        <v>1</v>
      </c>
      <c r="AC269" s="294" t="s">
        <v>1</v>
      </c>
      <c r="AD269" s="295" cm="1">
        <f t="array" aca="1" ref="AD269" ca="1">INDIRECT("'"&amp;$C269&amp;"'!"&amp;"$"&amp;$D269&amp;$AD$1&amp;"")</f>
        <v>3.8</v>
      </c>
      <c r="AE269" s="296">
        <f>3.8*3.47</f>
        <v>13.186</v>
      </c>
      <c r="AF269" s="296">
        <v>0.92</v>
      </c>
      <c r="AG269" s="297">
        <v>1.61</v>
      </c>
      <c r="AH269" s="293" cm="1">
        <f t="array" aca="1" ref="AH269" ca="1">INDIRECT("'"&amp;$C269&amp;"'!"&amp;"$"&amp;$D269&amp;$AH$1&amp;"")</f>
        <v>3.8</v>
      </c>
      <c r="AI269" s="296">
        <v>14.08</v>
      </c>
      <c r="AJ269" s="296">
        <v>0.95</v>
      </c>
      <c r="AK269" s="294">
        <v>1.38</v>
      </c>
      <c r="AL269" s="293">
        <v>11.9</v>
      </c>
      <c r="AM269" s="297">
        <v>70.900000000000006</v>
      </c>
      <c r="AN269" s="293" t="str" cm="1">
        <f t="array" aca="1" ref="AN269" ca="1">INDIRECT("'"&amp;$C269&amp;"'!"&amp;"$"&amp;$D269&amp;$AL$1&amp;"")</f>
        <v>CMS</v>
      </c>
      <c r="AO269" s="296" t="s">
        <v>1</v>
      </c>
      <c r="AP269" s="294" t="s">
        <v>1</v>
      </c>
      <c r="AQ269" s="295" cm="1">
        <f t="array" aca="1" ref="AQ269" ca="1">INDIRECT("'"&amp;$C269&amp;"'!"&amp;"$"&amp;$D269&amp;$AQ$1&amp;"")</f>
        <v>4.5</v>
      </c>
      <c r="AR269" s="296">
        <v>0.94</v>
      </c>
      <c r="AS269" s="294">
        <v>1.6</v>
      </c>
      <c r="AT269" s="296" cm="1">
        <f t="array" aca="1" ref="AT269" ca="1">INDIRECT("'"&amp;$C269&amp;"'!"&amp;"$"&amp;$D269&amp;$AT$1&amp;"")</f>
        <v>6.6</v>
      </c>
      <c r="AU269" s="295">
        <v>13.9</v>
      </c>
      <c r="AV269" s="296">
        <v>0.95</v>
      </c>
      <c r="AW269" s="294">
        <v>1.5</v>
      </c>
      <c r="AX269" s="298">
        <v>14.41</v>
      </c>
      <c r="AY269" s="297">
        <v>71.989999999999995</v>
      </c>
      <c r="AZ269" s="298" cm="1">
        <f t="array" aca="1" ref="AZ269" ca="1">INDIRECT("'"&amp;$C269&amp;"'!"&amp;"$"&amp;$D269&amp;$AZ$1&amp;"")</f>
        <v>14.29</v>
      </c>
      <c r="BA269" s="296">
        <v>0.96</v>
      </c>
      <c r="BB269" s="294">
        <v>4.5999999999999996</v>
      </c>
      <c r="BC269" s="299">
        <v>68</v>
      </c>
      <c r="BD269" s="293" cm="1">
        <f t="array" aca="1" ref="BD269" ca="1">INDIRECT("'"&amp;$C269&amp;"'!"&amp;"$"&amp;$D269&amp;$BC$1&amp;"")</f>
        <v>2.0999999999999996</v>
      </c>
      <c r="BE269" s="295">
        <v>0.94</v>
      </c>
      <c r="BF269" s="294">
        <v>0.75</v>
      </c>
      <c r="BG269" s="298" cm="1">
        <f t="array" aca="1" ref="BG269" ca="1">INDIRECT("'"&amp;$C269&amp;"'!"&amp;"$"&amp;$D269&amp;$BG$1&amp;"")</f>
        <v>0.84</v>
      </c>
      <c r="BH269" s="296"/>
      <c r="BI269" s="296">
        <v>0.99</v>
      </c>
      <c r="BJ269" s="294">
        <v>0.1</v>
      </c>
      <c r="BK269" s="299" cm="1">
        <f t="array" aca="1" ref="BK269" ca="1">INDIRECT("'"&amp;$C269&amp;"'!"&amp;"$"&amp;$D269&amp;$BK$1&amp;"")</f>
        <v>0.95</v>
      </c>
      <c r="BL269" s="296"/>
      <c r="BM269" s="296">
        <v>0.96</v>
      </c>
      <c r="BN269" s="294">
        <v>0.25</v>
      </c>
      <c r="BO269" s="299" cm="1">
        <f t="array" aca="1" ref="BO269" ca="1">INDIRECT("'"&amp;$C269&amp;"'!"&amp;"$"&amp;$D269&amp;74&amp;"")</f>
        <v>0</v>
      </c>
      <c r="BP269" s="296"/>
      <c r="BQ269" s="296" t="s">
        <v>1</v>
      </c>
      <c r="BR269" s="294" t="s">
        <v>1</v>
      </c>
    </row>
    <row r="270" spans="1:70">
      <c r="A270" s="361">
        <v>45758</v>
      </c>
      <c r="B270" s="358">
        <v>0.625</v>
      </c>
      <c r="C270" s="313">
        <f t="shared" si="9"/>
        <v>11</v>
      </c>
      <c r="D270" s="314" t="s">
        <v>142</v>
      </c>
      <c r="E270" s="286">
        <v>14.3</v>
      </c>
      <c r="F270" s="287">
        <v>69.17</v>
      </c>
      <c r="G270" s="288" cm="1">
        <f t="array" aca="1" ref="G270" ca="1">INDIRECT("'"&amp;$C270&amp;"'!"&amp;"$"&amp;$D270&amp;$E$1&amp;"")</f>
        <v>6.6</v>
      </c>
      <c r="H270" s="289">
        <v>0.94</v>
      </c>
      <c r="I270" s="287">
        <v>2.4300000000000002</v>
      </c>
      <c r="J270" s="288" cm="1">
        <f t="array" aca="1" ref="J270" ca="1">INDIRECT("'"&amp;$C270&amp;"'!"&amp;"$"&amp;$D270&amp;$J$1&amp;"")</f>
        <v>6.7</v>
      </c>
      <c r="K270" s="289"/>
      <c r="L270" s="289">
        <v>0.94</v>
      </c>
      <c r="M270" s="287">
        <v>2.4900000000000002</v>
      </c>
      <c r="N270" s="288" cm="1">
        <f t="array" aca="1" ref="N270" ca="1">INDIRECT("'"&amp;$C270&amp;"'!"&amp;"$"&amp;$D270&amp;$N$1&amp;"")</f>
        <v>6.5</v>
      </c>
      <c r="O270" s="289"/>
      <c r="P270" s="289">
        <v>0.94</v>
      </c>
      <c r="Q270" s="287">
        <v>2.41</v>
      </c>
      <c r="R270" s="288" cm="1">
        <f t="array" aca="1" ref="R270" ca="1">INDIRECT("'"&amp;$C270&amp;"'!"&amp;"$"&amp;$D270&amp;$R$1&amp;"")</f>
        <v>6.7</v>
      </c>
      <c r="S270" s="289"/>
      <c r="T270" s="289">
        <v>0.94</v>
      </c>
      <c r="U270" s="287">
        <v>2.48</v>
      </c>
      <c r="V270" s="288" cm="1">
        <f t="array" aca="1" ref="V270" ca="1">INDIRECT("'"&amp;$C270&amp;"'!"&amp;"$"&amp;$D270&amp;$V$1&amp;"")</f>
        <v>2.8</v>
      </c>
      <c r="W270" s="289">
        <f>3.8*3.46</f>
        <v>13.148</v>
      </c>
      <c r="X270" s="289">
        <v>0.93</v>
      </c>
      <c r="Y270" s="290">
        <v>1.02</v>
      </c>
      <c r="Z270" s="286" cm="1">
        <f t="array" aca="1" ref="Z270" ca="1">INDIRECT("'"&amp;$C270&amp;"'!"&amp;"$"&amp;$D270&amp;$Z$1&amp;"")</f>
        <v>0</v>
      </c>
      <c r="AA270" s="289" t="s">
        <v>1</v>
      </c>
      <c r="AB270" s="289" t="s">
        <v>1</v>
      </c>
      <c r="AC270" s="287" t="s">
        <v>1</v>
      </c>
      <c r="AD270" s="288" cm="1">
        <f t="array" aca="1" ref="AD270" ca="1">INDIRECT("'"&amp;$C270&amp;"'!"&amp;"$"&amp;$D270&amp;$AD$1&amp;"")</f>
        <v>3.8</v>
      </c>
      <c r="AE270" s="289">
        <f>3.8*3.46</f>
        <v>13.148</v>
      </c>
      <c r="AF270" s="289">
        <v>0.92</v>
      </c>
      <c r="AG270" s="290">
        <v>1.63</v>
      </c>
      <c r="AH270" s="286" cm="1">
        <f t="array" aca="1" ref="AH270" ca="1">INDIRECT("'"&amp;$C270&amp;"'!"&amp;"$"&amp;$D270&amp;$AH$1&amp;"")</f>
        <v>3.8</v>
      </c>
      <c r="AI270" s="289">
        <v>14.08</v>
      </c>
      <c r="AJ270" s="289">
        <v>0.96</v>
      </c>
      <c r="AK270" s="287">
        <v>1.1100000000000001</v>
      </c>
      <c r="AL270" s="286">
        <v>11.9</v>
      </c>
      <c r="AM270" s="290">
        <v>70.900000000000006</v>
      </c>
      <c r="AN270" s="286" t="str" cm="1">
        <f t="array" aca="1" ref="AN270" ca="1">INDIRECT("'"&amp;$C270&amp;"'!"&amp;"$"&amp;$D270&amp;$AL$1&amp;"")</f>
        <v>CMS</v>
      </c>
      <c r="AO270" s="289" t="s">
        <v>1</v>
      </c>
      <c r="AP270" s="287" t="s">
        <v>1</v>
      </c>
      <c r="AQ270" s="288" cm="1">
        <f t="array" aca="1" ref="AQ270" ca="1">INDIRECT("'"&amp;$C270&amp;"'!"&amp;"$"&amp;$D270&amp;$AQ$1&amp;"")</f>
        <v>4.5</v>
      </c>
      <c r="AR270" s="289">
        <v>0.94</v>
      </c>
      <c r="AS270" s="287">
        <v>1.6</v>
      </c>
      <c r="AT270" s="289" cm="1">
        <f t="array" aca="1" ref="AT270" ca="1">INDIRECT("'"&amp;$C270&amp;"'!"&amp;"$"&amp;$D270&amp;$AT$1&amp;"")</f>
        <v>6.8</v>
      </c>
      <c r="AU270" s="288">
        <v>13.9</v>
      </c>
      <c r="AV270" s="289">
        <v>0.95</v>
      </c>
      <c r="AW270" s="287">
        <v>1.4</v>
      </c>
      <c r="AX270" s="291">
        <v>14.43</v>
      </c>
      <c r="AY270" s="290">
        <v>72.09</v>
      </c>
      <c r="AZ270" s="291" cm="1">
        <f t="array" aca="1" ref="AZ270" ca="1">INDIRECT("'"&amp;$C270&amp;"'!"&amp;"$"&amp;$D270&amp;$AZ$1&amp;"")</f>
        <v>14.32</v>
      </c>
      <c r="BA270" s="289">
        <v>0.96</v>
      </c>
      <c r="BB270" s="287">
        <v>4.5</v>
      </c>
      <c r="BC270" s="292">
        <v>67.7</v>
      </c>
      <c r="BD270" s="286" cm="1">
        <f t="array" aca="1" ref="BD270" ca="1">INDIRECT("'"&amp;$C270&amp;"'!"&amp;"$"&amp;$D270&amp;$BC$1&amp;"")</f>
        <v>2.9000000000000004</v>
      </c>
      <c r="BE270" s="288">
        <v>0.94</v>
      </c>
      <c r="BF270" s="287">
        <v>1</v>
      </c>
      <c r="BG270" s="291" cm="1">
        <f t="array" aca="1" ref="BG270" ca="1">INDIRECT("'"&amp;$C270&amp;"'!"&amp;"$"&amp;$D270&amp;$BG$1&amp;"")</f>
        <v>0.63</v>
      </c>
      <c r="BH270" s="289"/>
      <c r="BI270" s="289">
        <v>0.99</v>
      </c>
      <c r="BJ270" s="287">
        <v>0.06</v>
      </c>
      <c r="BK270" s="292" cm="1">
        <f t="array" aca="1" ref="BK270" ca="1">INDIRECT("'"&amp;$C270&amp;"'!"&amp;"$"&amp;$D270&amp;$BK$1&amp;"")</f>
        <v>0.94</v>
      </c>
      <c r="BL270" s="289"/>
      <c r="BM270" s="289">
        <v>0.96</v>
      </c>
      <c r="BN270" s="287">
        <v>0.26</v>
      </c>
      <c r="BO270" s="292" cm="1">
        <f t="array" aca="1" ref="BO270" ca="1">INDIRECT("'"&amp;$C270&amp;"'!"&amp;"$"&amp;$D270&amp;74&amp;"")</f>
        <v>0</v>
      </c>
      <c r="BP270" s="289"/>
      <c r="BQ270" s="289" t="s">
        <v>1</v>
      </c>
      <c r="BR270" s="287" t="s">
        <v>1</v>
      </c>
    </row>
    <row r="271" spans="1:70">
      <c r="A271" s="361">
        <v>45758</v>
      </c>
      <c r="B271" s="358">
        <v>0.66666666666666696</v>
      </c>
      <c r="C271" s="313">
        <f t="shared" si="9"/>
        <v>11</v>
      </c>
      <c r="D271" s="314" t="s">
        <v>143</v>
      </c>
      <c r="E271" s="293">
        <v>14.3</v>
      </c>
      <c r="F271" s="294">
        <v>69.2</v>
      </c>
      <c r="G271" s="295" cm="1">
        <f t="array" aca="1" ref="G271" ca="1">INDIRECT("'"&amp;$C271&amp;"'!"&amp;"$"&amp;$D271&amp;$E$1&amp;"")</f>
        <v>6.7</v>
      </c>
      <c r="H271" s="296">
        <v>0.94</v>
      </c>
      <c r="I271" s="294">
        <v>2.4300000000000002</v>
      </c>
      <c r="J271" s="295" cm="1">
        <f t="array" aca="1" ref="J271" ca="1">INDIRECT("'"&amp;$C271&amp;"'!"&amp;"$"&amp;$D271&amp;$J$1&amp;"")</f>
        <v>6.7</v>
      </c>
      <c r="K271" s="296"/>
      <c r="L271" s="296">
        <v>0.94</v>
      </c>
      <c r="M271" s="294">
        <v>2.5099999999999998</v>
      </c>
      <c r="N271" s="295" cm="1">
        <f t="array" aca="1" ref="N271" ca="1">INDIRECT("'"&amp;$C271&amp;"'!"&amp;"$"&amp;$D271&amp;$N$1&amp;"")</f>
        <v>6.6</v>
      </c>
      <c r="O271" s="296"/>
      <c r="P271" s="296">
        <v>0.94</v>
      </c>
      <c r="Q271" s="294">
        <v>2.42</v>
      </c>
      <c r="R271" s="295" cm="1">
        <f t="array" aca="1" ref="R271" ca="1">INDIRECT("'"&amp;$C271&amp;"'!"&amp;"$"&amp;$D271&amp;$R$1&amp;"")</f>
        <v>6.7</v>
      </c>
      <c r="S271" s="296"/>
      <c r="T271" s="296">
        <v>0.94</v>
      </c>
      <c r="U271" s="294">
        <v>2.44</v>
      </c>
      <c r="V271" s="295" cm="1">
        <f t="array" aca="1" ref="V271" ca="1">INDIRECT("'"&amp;$C271&amp;"'!"&amp;"$"&amp;$D271&amp;$V$1&amp;"")</f>
        <v>2.8</v>
      </c>
      <c r="W271" s="296">
        <f>3.8*3.46</f>
        <v>13.148</v>
      </c>
      <c r="X271" s="296">
        <v>0.93</v>
      </c>
      <c r="Y271" s="297">
        <v>1.01</v>
      </c>
      <c r="Z271" s="293" cm="1">
        <f t="array" aca="1" ref="Z271" ca="1">INDIRECT("'"&amp;$C271&amp;"'!"&amp;"$"&amp;$D271&amp;$Z$1&amp;"")</f>
        <v>0</v>
      </c>
      <c r="AA271" s="296" t="s">
        <v>1</v>
      </c>
      <c r="AB271" s="296" t="s">
        <v>1</v>
      </c>
      <c r="AC271" s="294" t="s">
        <v>1</v>
      </c>
      <c r="AD271" s="295" cm="1">
        <f t="array" aca="1" ref="AD271" ca="1">INDIRECT("'"&amp;$C271&amp;"'!"&amp;"$"&amp;$D271&amp;$AD$1&amp;"")</f>
        <v>3.8</v>
      </c>
      <c r="AE271" s="296">
        <f>3.8*3.46</f>
        <v>13.148</v>
      </c>
      <c r="AF271" s="296">
        <v>0.93</v>
      </c>
      <c r="AG271" s="297">
        <v>1.47</v>
      </c>
      <c r="AH271" s="293" cm="1">
        <f t="array" aca="1" ref="AH271" ca="1">INDIRECT("'"&amp;$C271&amp;"'!"&amp;"$"&amp;$D271&amp;$AH$1&amp;"")</f>
        <v>3.8</v>
      </c>
      <c r="AI271" s="296">
        <v>14.08</v>
      </c>
      <c r="AJ271" s="296">
        <v>0.97</v>
      </c>
      <c r="AK271" s="294">
        <v>0.93</v>
      </c>
      <c r="AL271" s="293">
        <v>11.9</v>
      </c>
      <c r="AM271" s="297">
        <v>70.8</v>
      </c>
      <c r="AN271" s="293" t="str" cm="1">
        <f t="array" aca="1" ref="AN271" ca="1">INDIRECT("'"&amp;$C271&amp;"'!"&amp;"$"&amp;$D271&amp;$AL$1&amp;"")</f>
        <v>CMS</v>
      </c>
      <c r="AO271" s="296" t="s">
        <v>1</v>
      </c>
      <c r="AP271" s="294" t="s">
        <v>1</v>
      </c>
      <c r="AQ271" s="295" cm="1">
        <f t="array" aca="1" ref="AQ271" ca="1">INDIRECT("'"&amp;$C271&amp;"'!"&amp;"$"&amp;$D271&amp;$AQ$1&amp;"")</f>
        <v>4.5</v>
      </c>
      <c r="AR271" s="296">
        <v>0.94</v>
      </c>
      <c r="AS271" s="294">
        <v>1.6</v>
      </c>
      <c r="AT271" s="296" cm="1">
        <f t="array" aca="1" ref="AT271" ca="1">INDIRECT("'"&amp;$C271&amp;"'!"&amp;"$"&amp;$D271&amp;$AT$1&amp;"")</f>
        <v>6.8</v>
      </c>
      <c r="AU271" s="295">
        <v>13.9</v>
      </c>
      <c r="AV271" s="296">
        <v>0.95</v>
      </c>
      <c r="AW271" s="294">
        <v>1.4</v>
      </c>
      <c r="AX271" s="298">
        <v>14.42</v>
      </c>
      <c r="AY271" s="297">
        <v>72.02</v>
      </c>
      <c r="AZ271" s="298" cm="1">
        <f t="array" aca="1" ref="AZ271" ca="1">INDIRECT("'"&amp;$C271&amp;"'!"&amp;"$"&amp;$D271&amp;$AZ$1&amp;"")</f>
        <v>14.33</v>
      </c>
      <c r="BA271" s="296">
        <v>0.96</v>
      </c>
      <c r="BB271" s="294">
        <v>4.5</v>
      </c>
      <c r="BC271" s="299">
        <v>67.7</v>
      </c>
      <c r="BD271" s="293" cm="1">
        <f t="array" aca="1" ref="BD271" ca="1">INDIRECT("'"&amp;$C271&amp;"'!"&amp;"$"&amp;$D271&amp;$BC$1&amp;"")</f>
        <v>2.9000000000000004</v>
      </c>
      <c r="BE271" s="295">
        <v>0.95</v>
      </c>
      <c r="BF271" s="294">
        <v>0.92</v>
      </c>
      <c r="BG271" s="298" cm="1">
        <f t="array" aca="1" ref="BG271" ca="1">INDIRECT("'"&amp;$C271&amp;"'!"&amp;"$"&amp;$D271&amp;$BG$1&amp;"")</f>
        <v>0.63</v>
      </c>
      <c r="BH271" s="296"/>
      <c r="BI271" s="296">
        <v>0.99</v>
      </c>
      <c r="BJ271" s="294">
        <v>0.06</v>
      </c>
      <c r="BK271" s="299" cm="1">
        <f t="array" aca="1" ref="BK271" ca="1">INDIRECT("'"&amp;$C271&amp;"'!"&amp;"$"&amp;$D271&amp;$BK$1&amp;"")</f>
        <v>0.93</v>
      </c>
      <c r="BL271" s="296"/>
      <c r="BM271" s="296">
        <v>0.96</v>
      </c>
      <c r="BN271" s="294">
        <v>0.25</v>
      </c>
      <c r="BO271" s="299" cm="1">
        <f t="array" aca="1" ref="BO271" ca="1">INDIRECT("'"&amp;$C271&amp;"'!"&amp;"$"&amp;$D271&amp;74&amp;"")</f>
        <v>0</v>
      </c>
      <c r="BP271" s="296"/>
      <c r="BQ271" s="296" t="s">
        <v>1</v>
      </c>
      <c r="BR271" s="294" t="s">
        <v>1</v>
      </c>
    </row>
    <row r="272" spans="1:70">
      <c r="A272" s="361">
        <v>45758</v>
      </c>
      <c r="B272" s="358">
        <v>0.70833333333333404</v>
      </c>
      <c r="C272" s="313">
        <f t="shared" si="9"/>
        <v>11</v>
      </c>
      <c r="D272" s="314" t="s">
        <v>144</v>
      </c>
      <c r="E272" s="286">
        <v>14.3</v>
      </c>
      <c r="F272" s="287">
        <v>69.569999999999993</v>
      </c>
      <c r="G272" s="288" cm="1">
        <f t="array" aca="1" ref="G272" ca="1">INDIRECT("'"&amp;$C272&amp;"'!"&amp;"$"&amp;$D272&amp;$E$1&amp;"")</f>
        <v>6.4</v>
      </c>
      <c r="H272" s="289">
        <v>0.94</v>
      </c>
      <c r="I272" s="287">
        <v>2.35</v>
      </c>
      <c r="J272" s="288" cm="1">
        <f t="array" aca="1" ref="J272" ca="1">INDIRECT("'"&amp;$C272&amp;"'!"&amp;"$"&amp;$D272&amp;$J$1&amp;"")</f>
        <v>6.3</v>
      </c>
      <c r="K272" s="289"/>
      <c r="L272" s="289">
        <v>0.94</v>
      </c>
      <c r="M272" s="287">
        <v>2.2999999999999998</v>
      </c>
      <c r="N272" s="288" cm="1">
        <f t="array" aca="1" ref="N272" ca="1">INDIRECT("'"&amp;$C272&amp;"'!"&amp;"$"&amp;$D272&amp;$N$1&amp;"")</f>
        <v>6.3</v>
      </c>
      <c r="O272" s="289"/>
      <c r="P272" s="289">
        <v>0.94</v>
      </c>
      <c r="Q272" s="287">
        <v>2.31</v>
      </c>
      <c r="R272" s="288" cm="1">
        <f t="array" aca="1" ref="R272" ca="1">INDIRECT("'"&amp;$C272&amp;"'!"&amp;"$"&amp;$D272&amp;$R$1&amp;"")</f>
        <v>6.5</v>
      </c>
      <c r="S272" s="289"/>
      <c r="T272" s="289">
        <v>0.96</v>
      </c>
      <c r="U272" s="287">
        <v>1.19</v>
      </c>
      <c r="V272" s="288" cm="1">
        <f t="array" aca="1" ref="V272" ca="1">INDIRECT("'"&amp;$C272&amp;"'!"&amp;"$"&amp;$D272&amp;$V$1&amp;"")</f>
        <v>2.8</v>
      </c>
      <c r="W272" s="289">
        <f>3.8*3.5</f>
        <v>13.299999999999999</v>
      </c>
      <c r="X272" s="289">
        <v>0.94</v>
      </c>
      <c r="Y272" s="290">
        <v>0.97</v>
      </c>
      <c r="Z272" s="286" cm="1">
        <f t="array" aca="1" ref="Z272" ca="1">INDIRECT("'"&amp;$C272&amp;"'!"&amp;"$"&amp;$D272&amp;$Z$1&amp;"")</f>
        <v>0</v>
      </c>
      <c r="AA272" s="289" t="s">
        <v>1</v>
      </c>
      <c r="AB272" s="289" t="s">
        <v>1</v>
      </c>
      <c r="AC272" s="287" t="s">
        <v>1</v>
      </c>
      <c r="AD272" s="288" cm="1">
        <f t="array" aca="1" ref="AD272" ca="1">INDIRECT("'"&amp;$C272&amp;"'!"&amp;"$"&amp;$D272&amp;$AD$1&amp;"")</f>
        <v>3.8</v>
      </c>
      <c r="AE272" s="289">
        <f>3.8*3.5</f>
        <v>13.299999999999999</v>
      </c>
      <c r="AF272" s="289">
        <v>0.94</v>
      </c>
      <c r="AG272" s="290">
        <v>1.33</v>
      </c>
      <c r="AH272" s="286" cm="1">
        <f t="array" aca="1" ref="AH272" ca="1">INDIRECT("'"&amp;$C272&amp;"'!"&amp;"$"&amp;$D272&amp;$AH$1&amp;"")</f>
        <v>3.8</v>
      </c>
      <c r="AI272" s="289">
        <v>14.08</v>
      </c>
      <c r="AJ272" s="289">
        <v>0.97</v>
      </c>
      <c r="AK272" s="287">
        <v>0.755</v>
      </c>
      <c r="AL272" s="286">
        <v>11.9</v>
      </c>
      <c r="AM272" s="290">
        <v>70.8</v>
      </c>
      <c r="AN272" s="286" cm="1">
        <f t="array" aca="1" ref="AN272" ca="1">INDIRECT("'"&amp;$C272&amp;"'!"&amp;"$"&amp;$D272&amp;$AL$1&amp;"")</f>
        <v>1.8</v>
      </c>
      <c r="AO272" s="289">
        <v>0.97</v>
      </c>
      <c r="AP272" s="287">
        <v>0.78</v>
      </c>
      <c r="AQ272" s="288" cm="1">
        <f t="array" aca="1" ref="AQ272" ca="1">INDIRECT("'"&amp;$C272&amp;"'!"&amp;"$"&amp;$D272&amp;$AQ$1&amp;"")</f>
        <v>2.8</v>
      </c>
      <c r="AR272" s="289">
        <v>0.97</v>
      </c>
      <c r="AS272" s="287">
        <v>2.8</v>
      </c>
      <c r="AT272" s="289" cm="1">
        <f t="array" aca="1" ref="AT272" ca="1">INDIRECT("'"&amp;$C272&amp;"'!"&amp;"$"&amp;$D272&amp;$AT$1&amp;"")</f>
        <v>3.2</v>
      </c>
      <c r="AU272" s="288">
        <v>13.9</v>
      </c>
      <c r="AV272" s="289">
        <v>0.9</v>
      </c>
      <c r="AW272" s="287">
        <v>1.6</v>
      </c>
      <c r="AX272" s="291">
        <v>14.5</v>
      </c>
      <c r="AY272" s="290">
        <v>72.22</v>
      </c>
      <c r="AZ272" s="291" cm="1">
        <f t="array" aca="1" ref="AZ272" ca="1">INDIRECT("'"&amp;$C272&amp;"'!"&amp;"$"&amp;$D272&amp;$AZ$1&amp;"")</f>
        <v>14.28</v>
      </c>
      <c r="BA272" s="289">
        <v>0.96</v>
      </c>
      <c r="BB272" s="287">
        <v>4.5999999999999996</v>
      </c>
      <c r="BC272" s="292">
        <v>68.099999999999994</v>
      </c>
      <c r="BD272" s="286" cm="1">
        <f t="array" aca="1" ref="BD272" ca="1">INDIRECT("'"&amp;$C272&amp;"'!"&amp;"$"&amp;$D272&amp;$BC$1&amp;"")</f>
        <v>2.0999999999999996</v>
      </c>
      <c r="BE272" s="288">
        <v>0.95</v>
      </c>
      <c r="BF272" s="287">
        <v>0.68</v>
      </c>
      <c r="BG272" s="291" cm="1">
        <f t="array" aca="1" ref="BG272" ca="1">INDIRECT("'"&amp;$C272&amp;"'!"&amp;"$"&amp;$D272&amp;$BG$1&amp;"")</f>
        <v>0.62</v>
      </c>
      <c r="BH272" s="289"/>
      <c r="BI272" s="289">
        <v>0.99</v>
      </c>
      <c r="BJ272" s="287">
        <v>0.06</v>
      </c>
      <c r="BK272" s="292" cm="1">
        <f t="array" aca="1" ref="BK272" ca="1">INDIRECT("'"&amp;$C272&amp;"'!"&amp;"$"&amp;$D272&amp;$BK$1&amp;"")</f>
        <v>0.92</v>
      </c>
      <c r="BL272" s="289"/>
      <c r="BM272" s="289">
        <v>0.96</v>
      </c>
      <c r="BN272" s="287">
        <v>0.25</v>
      </c>
      <c r="BO272" s="292" cm="1">
        <f t="array" aca="1" ref="BO272" ca="1">INDIRECT("'"&amp;$C272&amp;"'!"&amp;"$"&amp;$D272&amp;74&amp;"")</f>
        <v>0</v>
      </c>
      <c r="BP272" s="289"/>
      <c r="BQ272" s="289" t="s">
        <v>1</v>
      </c>
      <c r="BR272" s="287" t="s">
        <v>1</v>
      </c>
    </row>
    <row r="273" spans="1:70">
      <c r="A273" s="361">
        <v>45758</v>
      </c>
      <c r="B273" s="358">
        <v>0.750000000000001</v>
      </c>
      <c r="C273" s="313">
        <f t="shared" si="9"/>
        <v>11</v>
      </c>
      <c r="D273" s="314" t="s">
        <v>145</v>
      </c>
      <c r="E273" s="293">
        <v>14.2</v>
      </c>
      <c r="F273" s="294">
        <v>69.16</v>
      </c>
      <c r="G273" s="295" cm="1">
        <f t="array" aca="1" ref="G273" ca="1">INDIRECT("'"&amp;$C273&amp;"'!"&amp;"$"&amp;$D273&amp;$E$1&amp;"")</f>
        <v>7</v>
      </c>
      <c r="H273" s="296">
        <v>0.93</v>
      </c>
      <c r="I273" s="294">
        <v>2.74</v>
      </c>
      <c r="J273" s="295" cm="1">
        <f t="array" aca="1" ref="J273" ca="1">INDIRECT("'"&amp;$C273&amp;"'!"&amp;"$"&amp;$D273&amp;$J$1&amp;"")</f>
        <v>0</v>
      </c>
      <c r="K273" s="296"/>
      <c r="L273" s="296" t="s">
        <v>1</v>
      </c>
      <c r="M273" s="294" t="s">
        <v>1</v>
      </c>
      <c r="N273" s="295" cm="1">
        <f t="array" aca="1" ref="N273" ca="1">INDIRECT("'"&amp;$C273&amp;"'!"&amp;"$"&amp;$D273&amp;$N$1&amp;"")</f>
        <v>7.1</v>
      </c>
      <c r="O273" s="296"/>
      <c r="P273" s="296">
        <v>0.93</v>
      </c>
      <c r="Q273" s="294">
        <v>2.67</v>
      </c>
      <c r="R273" s="295" cm="1">
        <f t="array" aca="1" ref="R273" ca="1">INDIRECT("'"&amp;$C273&amp;"'!"&amp;"$"&amp;$D273&amp;$R$1&amp;"")</f>
        <v>7.1</v>
      </c>
      <c r="S273" s="296"/>
      <c r="T273" s="296">
        <v>0.93</v>
      </c>
      <c r="U273" s="294">
        <v>2.8</v>
      </c>
      <c r="V273" s="295" cm="1">
        <f t="array" aca="1" ref="V273" ca="1">INDIRECT("'"&amp;$C273&amp;"'!"&amp;"$"&amp;$D273&amp;$V$1&amp;"")</f>
        <v>2.8</v>
      </c>
      <c r="W273" s="296">
        <f>3.8*3.49</f>
        <v>13.262</v>
      </c>
      <c r="X273" s="296">
        <v>0.94</v>
      </c>
      <c r="Y273" s="297">
        <v>0.96</v>
      </c>
      <c r="Z273" s="293" cm="1">
        <f t="array" aca="1" ref="Z273" ca="1">INDIRECT("'"&amp;$C273&amp;"'!"&amp;"$"&amp;$D273&amp;$Z$1&amp;"")</f>
        <v>0</v>
      </c>
      <c r="AA273" s="296" t="s">
        <v>1</v>
      </c>
      <c r="AB273" s="296" t="s">
        <v>1</v>
      </c>
      <c r="AC273" s="294" t="s">
        <v>1</v>
      </c>
      <c r="AD273" s="295" cm="1">
        <f t="array" aca="1" ref="AD273" ca="1">INDIRECT("'"&amp;$C273&amp;"'!"&amp;"$"&amp;$D273&amp;$AD$1&amp;"")</f>
        <v>3.8</v>
      </c>
      <c r="AE273" s="296">
        <f>3.8*3.49</f>
        <v>13.262</v>
      </c>
      <c r="AF273" s="296">
        <v>0.94</v>
      </c>
      <c r="AG273" s="297">
        <v>1.31</v>
      </c>
      <c r="AH273" s="293" cm="1">
        <f t="array" aca="1" ref="AH273" ca="1">INDIRECT("'"&amp;$C273&amp;"'!"&amp;"$"&amp;$D273&amp;$AH$1&amp;"")</f>
        <v>3.8</v>
      </c>
      <c r="AI273" s="296">
        <v>14.08</v>
      </c>
      <c r="AJ273" s="296">
        <v>0.99</v>
      </c>
      <c r="AK273" s="294">
        <v>0.57099999999999995</v>
      </c>
      <c r="AL273" s="293">
        <v>11.9</v>
      </c>
      <c r="AM273" s="297">
        <v>70.8</v>
      </c>
      <c r="AN273" s="293" cm="1">
        <f t="array" aca="1" ref="AN273" ca="1">INDIRECT("'"&amp;$C273&amp;"'!"&amp;"$"&amp;$D273&amp;$AL$1&amp;"")</f>
        <v>2.7</v>
      </c>
      <c r="AO273" s="296">
        <v>0.97</v>
      </c>
      <c r="AP273" s="294">
        <v>0.46</v>
      </c>
      <c r="AQ273" s="295" cm="1">
        <f t="array" aca="1" ref="AQ273" ca="1">INDIRECT("'"&amp;$C273&amp;"'!"&amp;"$"&amp;$D273&amp;$AQ$1&amp;"")</f>
        <v>2.2000000000000002</v>
      </c>
      <c r="AR273" s="296">
        <v>0.97</v>
      </c>
      <c r="AS273" s="294">
        <v>0.46</v>
      </c>
      <c r="AT273" s="296" cm="1">
        <f t="array" aca="1" ref="AT273" ca="1">INDIRECT("'"&amp;$C273&amp;"'!"&amp;"$"&amp;$D273&amp;$AT$1&amp;"")</f>
        <v>6.5</v>
      </c>
      <c r="AU273" s="295">
        <v>13.9</v>
      </c>
      <c r="AV273" s="296">
        <v>0.97</v>
      </c>
      <c r="AW273" s="294">
        <v>1.6</v>
      </c>
      <c r="AX273" s="298">
        <v>14.32</v>
      </c>
      <c r="AY273" s="297">
        <v>72.06</v>
      </c>
      <c r="AZ273" s="298" cm="1">
        <f t="array" aca="1" ref="AZ273" ca="1">INDIRECT("'"&amp;$C273&amp;"'!"&amp;"$"&amp;$D273&amp;$AZ$1&amp;"")</f>
        <v>14.31</v>
      </c>
      <c r="BA273" s="296">
        <v>0.98</v>
      </c>
      <c r="BB273" s="294">
        <v>3.5</v>
      </c>
      <c r="BC273" s="299">
        <v>67.7</v>
      </c>
      <c r="BD273" s="293" cm="1">
        <f t="array" aca="1" ref="BD273" ca="1">INDIRECT("'"&amp;$C273&amp;"'!"&amp;"$"&amp;$D273&amp;$BC$1&amp;"")</f>
        <v>1.4</v>
      </c>
      <c r="BE273" s="295">
        <v>0.96</v>
      </c>
      <c r="BF273" s="294">
        <v>0.4</v>
      </c>
      <c r="BG273" s="298" cm="1">
        <f t="array" aca="1" ref="BG273" ca="1">INDIRECT("'"&amp;$C273&amp;"'!"&amp;"$"&amp;$D273&amp;$BG$1&amp;"")</f>
        <v>0.49</v>
      </c>
      <c r="BH273" s="296"/>
      <c r="BI273" s="296">
        <v>0.99</v>
      </c>
      <c r="BJ273" s="294">
        <v>0.04</v>
      </c>
      <c r="BK273" s="299" cm="1">
        <f t="array" aca="1" ref="BK273" ca="1">INDIRECT("'"&amp;$C273&amp;"'!"&amp;"$"&amp;$D273&amp;$BK$1&amp;"")</f>
        <v>0.89</v>
      </c>
      <c r="BL273" s="296"/>
      <c r="BM273" s="296">
        <v>0.96</v>
      </c>
      <c r="BN273" s="294">
        <v>0.24</v>
      </c>
      <c r="BO273" s="299" cm="1">
        <f t="array" aca="1" ref="BO273" ca="1">INDIRECT("'"&amp;$C273&amp;"'!"&amp;"$"&amp;$D273&amp;74&amp;"")</f>
        <v>0</v>
      </c>
      <c r="BP273" s="296"/>
      <c r="BQ273" s="296" t="s">
        <v>1</v>
      </c>
      <c r="BR273" s="294" t="s">
        <v>1</v>
      </c>
    </row>
    <row r="274" spans="1:70">
      <c r="A274" s="361">
        <v>45758</v>
      </c>
      <c r="B274" s="358">
        <v>0.79166666666666696</v>
      </c>
      <c r="C274" s="313">
        <f t="shared" si="9"/>
        <v>11</v>
      </c>
      <c r="D274" s="314" t="s">
        <v>146</v>
      </c>
      <c r="E274" s="286">
        <v>14.3</v>
      </c>
      <c r="F274" s="287">
        <v>70.599999999999994</v>
      </c>
      <c r="G274" s="288" cm="1">
        <f t="array" aca="1" ref="G274" ca="1">INDIRECT("'"&amp;$C274&amp;"'!"&amp;"$"&amp;$D274&amp;$E$1&amp;"")</f>
        <v>5.7</v>
      </c>
      <c r="H274" s="289">
        <v>0.99</v>
      </c>
      <c r="I274" s="287">
        <v>0.87</v>
      </c>
      <c r="J274" s="288" cm="1">
        <f t="array" aca="1" ref="J274" ca="1">INDIRECT("'"&amp;$C274&amp;"'!"&amp;"$"&amp;$D274&amp;$J$1&amp;"")</f>
        <v>0</v>
      </c>
      <c r="K274" s="300"/>
      <c r="L274" s="289" t="s">
        <v>1</v>
      </c>
      <c r="M274" s="287" t="s">
        <v>1</v>
      </c>
      <c r="N274" s="288" cm="1">
        <f t="array" aca="1" ref="N274" ca="1">INDIRECT("'"&amp;$C274&amp;"'!"&amp;"$"&amp;$D274&amp;$N$1&amp;"")</f>
        <v>5.7</v>
      </c>
      <c r="O274" s="289"/>
      <c r="P274" s="289">
        <v>0.99</v>
      </c>
      <c r="Q274" s="287">
        <v>0.86</v>
      </c>
      <c r="R274" s="288" cm="1">
        <f t="array" aca="1" ref="R274" ca="1">INDIRECT("'"&amp;$C274&amp;"'!"&amp;"$"&amp;$D274&amp;$R$1&amp;"")</f>
        <v>5.7</v>
      </c>
      <c r="S274" s="289"/>
      <c r="T274" s="289">
        <v>0.99</v>
      </c>
      <c r="U274" s="287">
        <v>0.81</v>
      </c>
      <c r="V274" s="288" cm="1">
        <f t="array" aca="1" ref="V274" ca="1">INDIRECT("'"&amp;$C274&amp;"'!"&amp;"$"&amp;$D274&amp;$V$1&amp;"")</f>
        <v>2</v>
      </c>
      <c r="W274" s="289">
        <f>3.8*3.62</f>
        <v>13.756</v>
      </c>
      <c r="X274" s="289">
        <v>0.98</v>
      </c>
      <c r="Y274" s="290">
        <v>0.49</v>
      </c>
      <c r="Z274" s="286" cm="1">
        <f t="array" aca="1" ref="Z274" ca="1">INDIRECT("'"&amp;$C274&amp;"'!"&amp;"$"&amp;$D274&amp;$Z$1&amp;"")</f>
        <v>0</v>
      </c>
      <c r="AA274" s="289" t="s">
        <v>1</v>
      </c>
      <c r="AB274" s="289" t="s">
        <v>1</v>
      </c>
      <c r="AC274" s="287" t="s">
        <v>1</v>
      </c>
      <c r="AD274" s="288" cm="1">
        <f t="array" aca="1" ref="AD274" ca="1">INDIRECT("'"&amp;$C274&amp;"'!"&amp;"$"&amp;$D274&amp;$AD$1&amp;"")</f>
        <v>3</v>
      </c>
      <c r="AE274" s="289">
        <f>3.62*3.8</f>
        <v>13.756</v>
      </c>
      <c r="AF274" s="289">
        <v>0.98</v>
      </c>
      <c r="AG274" s="290">
        <v>0.52</v>
      </c>
      <c r="AH274" s="286" cm="1">
        <f t="array" aca="1" ref="AH274" ca="1">INDIRECT("'"&amp;$C274&amp;"'!"&amp;"$"&amp;$D274&amp;$AH$1&amp;"")</f>
        <v>3.2</v>
      </c>
      <c r="AI274" s="289">
        <v>14.08</v>
      </c>
      <c r="AJ274" s="289">
        <v>0.99</v>
      </c>
      <c r="AK274" s="287">
        <v>0.38900000000000001</v>
      </c>
      <c r="AL274" s="286">
        <v>11.9</v>
      </c>
      <c r="AM274" s="290">
        <v>71</v>
      </c>
      <c r="AN274" s="286" cm="1">
        <f t="array" aca="1" ref="AN274" ca="1">INDIRECT("'"&amp;$C274&amp;"'!"&amp;"$"&amp;$D274&amp;$AL$1&amp;"")</f>
        <v>2.2000000000000002</v>
      </c>
      <c r="AO274" s="289">
        <v>0.99</v>
      </c>
      <c r="AP274" s="287">
        <v>0.33</v>
      </c>
      <c r="AQ274" s="288" cm="1">
        <f t="array" aca="1" ref="AQ274" ca="1">INDIRECT("'"&amp;$C274&amp;"'!"&amp;"$"&amp;$D274&amp;$AQ$1&amp;"")</f>
        <v>1.2</v>
      </c>
      <c r="AR274" s="289">
        <v>0.99</v>
      </c>
      <c r="AS274" s="287">
        <v>0.33</v>
      </c>
      <c r="AT274" s="289" t="str" cm="1">
        <f t="array" aca="1" ref="AT274" ca="1">INDIRECT("'"&amp;$C274&amp;"'!"&amp;"$"&amp;$D274&amp;$AT$1&amp;"")</f>
        <v>CMS</v>
      </c>
      <c r="AU274" s="288" t="s">
        <v>1</v>
      </c>
      <c r="AV274" s="289" t="s">
        <v>1</v>
      </c>
      <c r="AW274" s="287" t="s">
        <v>1</v>
      </c>
      <c r="AX274" s="291">
        <v>14.34</v>
      </c>
      <c r="AY274" s="290">
        <v>72.16</v>
      </c>
      <c r="AZ274" s="291" cm="1">
        <f t="array" aca="1" ref="AZ274" ca="1">INDIRECT("'"&amp;$C274&amp;"'!"&amp;"$"&amp;$D274&amp;$AZ$1&amp;"")</f>
        <v>14.31</v>
      </c>
      <c r="BA274" s="289">
        <v>0.98</v>
      </c>
      <c r="BB274" s="287">
        <v>3.5</v>
      </c>
      <c r="BC274" s="292">
        <v>69.8</v>
      </c>
      <c r="BD274" s="286" cm="1">
        <f t="array" aca="1" ref="BD274" ca="1">INDIRECT("'"&amp;$C274&amp;"'!"&amp;"$"&amp;$D274&amp;$BC$1&amp;"")</f>
        <v>5.6000000000000005</v>
      </c>
      <c r="BE274" s="288">
        <v>0.97</v>
      </c>
      <c r="BF274" s="287">
        <v>1.4</v>
      </c>
      <c r="BG274" s="291" cm="1">
        <f t="array" aca="1" ref="BG274" ca="1">INDIRECT("'"&amp;$C274&amp;"'!"&amp;"$"&amp;$D274&amp;$BG$1&amp;"")</f>
        <v>0.54</v>
      </c>
      <c r="BH274" s="289"/>
      <c r="BI274" s="289">
        <v>0.99</v>
      </c>
      <c r="BJ274" s="287">
        <v>0.04</v>
      </c>
      <c r="BK274" s="292" cm="1">
        <f t="array" aca="1" ref="BK274" ca="1">INDIRECT("'"&amp;$C274&amp;"'!"&amp;"$"&amp;$D274&amp;$BK$1&amp;"")</f>
        <v>0.99</v>
      </c>
      <c r="BL274" s="289"/>
      <c r="BM274" s="289">
        <v>0.97</v>
      </c>
      <c r="BN274" s="287">
        <v>0.26</v>
      </c>
      <c r="BO274" s="292" cm="1">
        <f t="array" aca="1" ref="BO274" ca="1">INDIRECT("'"&amp;$C274&amp;"'!"&amp;"$"&amp;$D274&amp;74&amp;"")</f>
        <v>0</v>
      </c>
      <c r="BP274" s="289"/>
      <c r="BQ274" s="289" t="s">
        <v>1</v>
      </c>
      <c r="BR274" s="287" t="s">
        <v>1</v>
      </c>
    </row>
    <row r="275" spans="1:70">
      <c r="A275" s="361">
        <v>45758</v>
      </c>
      <c r="B275" s="358">
        <v>0.83333333333333337</v>
      </c>
      <c r="C275" s="313">
        <f t="shared" si="9"/>
        <v>11</v>
      </c>
      <c r="D275" s="314" t="s">
        <v>147</v>
      </c>
      <c r="E275" s="293">
        <v>14.2</v>
      </c>
      <c r="F275" s="294">
        <v>70.760000000000005</v>
      </c>
      <c r="G275" s="295" cm="1">
        <f t="array" aca="1" ref="G275" ca="1">INDIRECT("'"&amp;$C275&amp;"'!"&amp;"$"&amp;$D275&amp;$E$1&amp;"")</f>
        <v>6.6</v>
      </c>
      <c r="H275" s="296">
        <v>0.97</v>
      </c>
      <c r="I275" s="294">
        <v>1.67</v>
      </c>
      <c r="J275" s="295" cm="1">
        <f t="array" aca="1" ref="J275" ca="1">INDIRECT("'"&amp;$C275&amp;"'!"&amp;"$"&amp;$D275&amp;$J$1&amp;"")</f>
        <v>0</v>
      </c>
      <c r="K275" s="296"/>
      <c r="L275" s="296" t="s">
        <v>1</v>
      </c>
      <c r="M275" s="294" t="s">
        <v>1</v>
      </c>
      <c r="N275" s="295" cm="1">
        <f t="array" aca="1" ref="N275" ca="1">INDIRECT("'"&amp;$C275&amp;"'!"&amp;"$"&amp;$D275&amp;$N$1&amp;"")</f>
        <v>6.6</v>
      </c>
      <c r="O275" s="296"/>
      <c r="P275" s="296">
        <v>0.97</v>
      </c>
      <c r="Q275" s="294">
        <v>1.68</v>
      </c>
      <c r="R275" s="295" cm="1">
        <f t="array" aca="1" ref="R275" ca="1">INDIRECT("'"&amp;$C275&amp;"'!"&amp;"$"&amp;$D275&amp;$R$1&amp;"")</f>
        <v>6.6</v>
      </c>
      <c r="S275" s="296"/>
      <c r="T275" s="296">
        <v>0.97</v>
      </c>
      <c r="U275" s="294">
        <v>1.65</v>
      </c>
      <c r="V275" s="295" cm="1">
        <f t="array" aca="1" ref="V275" ca="1">INDIRECT("'"&amp;$C275&amp;"'!"&amp;"$"&amp;$D275&amp;$V$1&amp;"")</f>
        <v>2.8</v>
      </c>
      <c r="W275" s="296">
        <f>3.8*3.55</f>
        <v>13.489999999999998</v>
      </c>
      <c r="X275" s="296">
        <v>0.98</v>
      </c>
      <c r="Y275" s="297">
        <v>0.38</v>
      </c>
      <c r="Z275" s="293" cm="1">
        <f t="array" aca="1" ref="Z275" ca="1">INDIRECT("'"&amp;$C275&amp;"'!"&amp;"$"&amp;$D275&amp;$Z$1&amp;"")</f>
        <v>0</v>
      </c>
      <c r="AA275" s="296" t="s">
        <v>1</v>
      </c>
      <c r="AB275" s="296" t="s">
        <v>1</v>
      </c>
      <c r="AC275" s="294" t="s">
        <v>1</v>
      </c>
      <c r="AD275" s="295" cm="1">
        <f t="array" aca="1" ref="AD275" ca="1">INDIRECT("'"&amp;$C275&amp;"'!"&amp;"$"&amp;$D275&amp;$AD$1&amp;"")</f>
        <v>3.8</v>
      </c>
      <c r="AE275" s="296">
        <f>3.8*3.55</f>
        <v>13.489999999999998</v>
      </c>
      <c r="AF275" s="296">
        <v>0.98</v>
      </c>
      <c r="AG275" s="297">
        <v>0.73</v>
      </c>
      <c r="AH275" s="293" cm="1">
        <f t="array" aca="1" ref="AH275" ca="1">INDIRECT("'"&amp;$C275&amp;"'!"&amp;"$"&amp;$D275&amp;$AH$1&amp;"")</f>
        <v>3.8</v>
      </c>
      <c r="AI275" s="296">
        <v>14.08</v>
      </c>
      <c r="AJ275" s="296">
        <v>0.99</v>
      </c>
      <c r="AK275" s="294">
        <v>0.34899999999999998</v>
      </c>
      <c r="AL275" s="293">
        <v>11.9</v>
      </c>
      <c r="AM275" s="297">
        <v>70.900000000000006</v>
      </c>
      <c r="AN275" s="293" cm="1">
        <f t="array" aca="1" ref="AN275" ca="1">INDIRECT("'"&amp;$C275&amp;"'!"&amp;"$"&amp;$D275&amp;$AL$1&amp;"")</f>
        <v>3.8</v>
      </c>
      <c r="AO275" s="296">
        <v>0.99</v>
      </c>
      <c r="AP275" s="294">
        <v>0.57999999999999996</v>
      </c>
      <c r="AQ275" s="295" cm="1">
        <f t="array" aca="1" ref="AQ275" ca="1">INDIRECT("'"&amp;$C275&amp;"'!"&amp;"$"&amp;$D275&amp;$AQ$1&amp;"")</f>
        <v>2.6</v>
      </c>
      <c r="AR275" s="296">
        <v>0.99</v>
      </c>
      <c r="AS275" s="294">
        <v>0.57999999999999996</v>
      </c>
      <c r="AT275" s="296" t="str" cm="1">
        <f t="array" aca="1" ref="AT275" ca="1">INDIRECT("'"&amp;$C275&amp;"'!"&amp;"$"&amp;$D275&amp;$AT$1&amp;"")</f>
        <v>CMS</v>
      </c>
      <c r="AU275" s="295" t="s">
        <v>1</v>
      </c>
      <c r="AV275" s="296" t="s">
        <v>1</v>
      </c>
      <c r="AW275" s="294" t="s">
        <v>1</v>
      </c>
      <c r="AX275" s="298">
        <v>14.32</v>
      </c>
      <c r="AY275" s="297">
        <v>72.02</v>
      </c>
      <c r="AZ275" s="298" cm="1">
        <f t="array" aca="1" ref="AZ275" ca="1">INDIRECT("'"&amp;$C275&amp;"'!"&amp;"$"&amp;$D275&amp;$AZ$1&amp;"")</f>
        <v>14.32</v>
      </c>
      <c r="BA275" s="296">
        <v>0.98</v>
      </c>
      <c r="BB275" s="294">
        <v>3.5</v>
      </c>
      <c r="BC275" s="299">
        <v>69.400000000000006</v>
      </c>
      <c r="BD275" s="293" cm="1">
        <f t="array" aca="1" ref="BD275" ca="1">INDIRECT("'"&amp;$C275&amp;"'!"&amp;"$"&amp;$D275&amp;$BC$1&amp;"")</f>
        <v>6.4000000000000012</v>
      </c>
      <c r="BE275" s="295">
        <v>0.97</v>
      </c>
      <c r="BF275" s="294">
        <v>1.6</v>
      </c>
      <c r="BG275" s="298" cm="1">
        <f t="array" aca="1" ref="BG275" ca="1">INDIRECT("'"&amp;$C275&amp;"'!"&amp;"$"&amp;$D275&amp;$BG$1&amp;"")</f>
        <v>0.72</v>
      </c>
      <c r="BH275" s="296"/>
      <c r="BI275" s="296">
        <v>0.99</v>
      </c>
      <c r="BJ275" s="294">
        <v>7.0000000000000007E-2</v>
      </c>
      <c r="BK275" s="299" cm="1">
        <f t="array" aca="1" ref="BK275" ca="1">INDIRECT("'"&amp;$C275&amp;"'!"&amp;"$"&amp;$D275&amp;$BK$1&amp;"")</f>
        <v>1</v>
      </c>
      <c r="BL275" s="296"/>
      <c r="BM275" s="296">
        <v>0.97</v>
      </c>
      <c r="BN275" s="294">
        <v>0.26</v>
      </c>
      <c r="BO275" s="299" cm="1">
        <f t="array" aca="1" ref="BO275" ca="1">INDIRECT("'"&amp;$C275&amp;"'!"&amp;"$"&amp;$D275&amp;74&amp;"")</f>
        <v>0</v>
      </c>
      <c r="BP275" s="296"/>
      <c r="BQ275" s="296" t="s">
        <v>1</v>
      </c>
      <c r="BR275" s="294" t="s">
        <v>1</v>
      </c>
    </row>
    <row r="276" spans="1:70">
      <c r="A276" s="361">
        <v>45758</v>
      </c>
      <c r="B276" s="358">
        <v>0.875000000000001</v>
      </c>
      <c r="C276" s="313">
        <f t="shared" si="9"/>
        <v>11</v>
      </c>
      <c r="D276" s="314" t="s">
        <v>148</v>
      </c>
      <c r="E276" s="286">
        <v>14.1</v>
      </c>
      <c r="F276" s="287">
        <v>69.63</v>
      </c>
      <c r="G276" s="288" cm="1">
        <f t="array" aca="1" ref="G276" ca="1">INDIRECT("'"&amp;$C276&amp;"'!"&amp;"$"&amp;$D276&amp;$E$1&amp;"")</f>
        <v>6.8</v>
      </c>
      <c r="H276" s="289">
        <v>0.97</v>
      </c>
      <c r="I276" s="287">
        <v>1.79</v>
      </c>
      <c r="J276" s="288" cm="1">
        <f t="array" aca="1" ref="J276" ca="1">INDIRECT("'"&amp;$C276&amp;"'!"&amp;"$"&amp;$D276&amp;$J$1&amp;"")</f>
        <v>0</v>
      </c>
      <c r="K276" s="289"/>
      <c r="L276" s="289" t="s">
        <v>1</v>
      </c>
      <c r="M276" s="287" t="s">
        <v>1</v>
      </c>
      <c r="N276" s="288" cm="1">
        <f t="array" aca="1" ref="N276" ca="1">INDIRECT("'"&amp;$C276&amp;"'!"&amp;"$"&amp;$D276&amp;$N$1&amp;"")</f>
        <v>6.8</v>
      </c>
      <c r="O276" s="289"/>
      <c r="P276" s="289">
        <v>0.97</v>
      </c>
      <c r="Q276" s="287">
        <v>1.76</v>
      </c>
      <c r="R276" s="288" cm="1">
        <f t="array" aca="1" ref="R276" ca="1">INDIRECT("'"&amp;$C276&amp;"'!"&amp;"$"&amp;$D276&amp;$R$1&amp;"")</f>
        <v>6.8</v>
      </c>
      <c r="S276" s="289"/>
      <c r="T276" s="289">
        <v>0.97</v>
      </c>
      <c r="U276" s="287">
        <v>1.78</v>
      </c>
      <c r="V276" s="288" cm="1">
        <f t="array" aca="1" ref="V276" ca="1">INDIRECT("'"&amp;$C276&amp;"'!"&amp;"$"&amp;$D276&amp;$V$1&amp;"")</f>
        <v>2.8</v>
      </c>
      <c r="W276" s="289">
        <f>3.8*3.54</f>
        <v>13.452</v>
      </c>
      <c r="X276" s="289">
        <v>0.98</v>
      </c>
      <c r="Y276" s="290">
        <v>0.49</v>
      </c>
      <c r="Z276" s="286" cm="1">
        <f t="array" aca="1" ref="Z276" ca="1">INDIRECT("'"&amp;$C276&amp;"'!"&amp;"$"&amp;$D276&amp;$Z$1&amp;"")</f>
        <v>0</v>
      </c>
      <c r="AA276" s="289" t="s">
        <v>1</v>
      </c>
      <c r="AB276" s="289" t="s">
        <v>1</v>
      </c>
      <c r="AC276" s="287" t="s">
        <v>1</v>
      </c>
      <c r="AD276" s="288" cm="1">
        <f t="array" aca="1" ref="AD276" ca="1">INDIRECT("'"&amp;$C276&amp;"'!"&amp;"$"&amp;$D276&amp;$AD$1&amp;"")</f>
        <v>3.8</v>
      </c>
      <c r="AE276" s="289">
        <f>3.8*3.54</f>
        <v>13.452</v>
      </c>
      <c r="AF276" s="289">
        <v>0.98</v>
      </c>
      <c r="AG276" s="290">
        <v>0.71</v>
      </c>
      <c r="AH276" s="286" cm="1">
        <f t="array" aca="1" ref="AH276" ca="1">INDIRECT("'"&amp;$C276&amp;"'!"&amp;"$"&amp;$D276&amp;$AH$1&amp;"")</f>
        <v>3.8</v>
      </c>
      <c r="AI276" s="289">
        <v>14.08</v>
      </c>
      <c r="AJ276" s="289">
        <v>0.99</v>
      </c>
      <c r="AK276" s="287">
        <v>0.42499999999999999</v>
      </c>
      <c r="AL276" s="286">
        <v>11.9</v>
      </c>
      <c r="AM276" s="290">
        <v>70.900000000000006</v>
      </c>
      <c r="AN276" s="286" cm="1">
        <f t="array" aca="1" ref="AN276" ca="1">INDIRECT("'"&amp;$C276&amp;"'!"&amp;"$"&amp;$D276&amp;$AL$1&amp;"")</f>
        <v>4</v>
      </c>
      <c r="AO276" s="289">
        <v>0.99</v>
      </c>
      <c r="AP276" s="287">
        <v>0.4</v>
      </c>
      <c r="AQ276" s="288" cm="1">
        <f t="array" aca="1" ref="AQ276" ca="1">INDIRECT("'"&amp;$C276&amp;"'!"&amp;"$"&amp;$D276&amp;$AQ$1&amp;"")</f>
        <v>3</v>
      </c>
      <c r="AR276" s="289">
        <v>0.99</v>
      </c>
      <c r="AS276" s="287">
        <v>0.3</v>
      </c>
      <c r="AT276" s="289" cm="1">
        <f t="array" aca="1" ref="AT276" ca="1">INDIRECT("'"&amp;$C276&amp;"'!"&amp;"$"&amp;$D276&amp;$AT$1&amp;"")</f>
        <v>0</v>
      </c>
      <c r="AU276" s="288" t="s">
        <v>1</v>
      </c>
      <c r="AV276" s="289" t="s">
        <v>1</v>
      </c>
      <c r="AW276" s="287" t="s">
        <v>1</v>
      </c>
      <c r="AX276" s="291">
        <v>14.32</v>
      </c>
      <c r="AY276" s="290">
        <v>72.06</v>
      </c>
      <c r="AZ276" s="291" cm="1">
        <f t="array" aca="1" ref="AZ276" ca="1">INDIRECT("'"&amp;$C276&amp;"'!"&amp;"$"&amp;$D276&amp;$AZ$1&amp;"")</f>
        <v>14.28</v>
      </c>
      <c r="BA276" s="289">
        <v>0.98</v>
      </c>
      <c r="BB276" s="287">
        <v>3.5</v>
      </c>
      <c r="BC276" s="292">
        <v>69.099999999999994</v>
      </c>
      <c r="BD276" s="286" cm="1">
        <f t="array" aca="1" ref="BD276" ca="1">INDIRECT("'"&amp;$C276&amp;"'!"&amp;"$"&amp;$D276&amp;$BC$1&amp;"")</f>
        <v>6.4000000000000012</v>
      </c>
      <c r="BE276" s="288">
        <v>0.98</v>
      </c>
      <c r="BF276" s="287">
        <v>1.2</v>
      </c>
      <c r="BG276" s="291" cm="1">
        <f t="array" aca="1" ref="BG276" ca="1">INDIRECT("'"&amp;$C276&amp;"'!"&amp;"$"&amp;$D276&amp;$BG$1&amp;"")</f>
        <v>0.67</v>
      </c>
      <c r="BH276" s="289"/>
      <c r="BI276" s="289">
        <v>0.99</v>
      </c>
      <c r="BJ276" s="287">
        <v>0.05</v>
      </c>
      <c r="BK276" s="292" cm="1">
        <f t="array" aca="1" ref="BK276" ca="1">INDIRECT("'"&amp;$C276&amp;"'!"&amp;"$"&amp;$D276&amp;$BK$1&amp;"")</f>
        <v>1</v>
      </c>
      <c r="BL276" s="289"/>
      <c r="BM276" s="289">
        <v>0.97</v>
      </c>
      <c r="BN276" s="287">
        <v>0.25</v>
      </c>
      <c r="BO276" s="292" cm="1">
        <f t="array" aca="1" ref="BO276" ca="1">INDIRECT("'"&amp;$C276&amp;"'!"&amp;"$"&amp;$D276&amp;74&amp;"")</f>
        <v>0</v>
      </c>
      <c r="BP276" s="289"/>
      <c r="BQ276" s="289" t="s">
        <v>1</v>
      </c>
      <c r="BR276" s="287" t="s">
        <v>1</v>
      </c>
    </row>
    <row r="277" spans="1:70">
      <c r="A277" s="361">
        <v>45758</v>
      </c>
      <c r="B277" s="358">
        <v>0.91666666666666696</v>
      </c>
      <c r="C277" s="313">
        <f t="shared" si="9"/>
        <v>11</v>
      </c>
      <c r="D277" s="314" t="s">
        <v>149</v>
      </c>
      <c r="E277" s="293">
        <v>14.1</v>
      </c>
      <c r="F277" s="294">
        <v>69.73</v>
      </c>
      <c r="G277" s="295" cm="1">
        <f t="array" aca="1" ref="G277" ca="1">INDIRECT("'"&amp;$C277&amp;"'!"&amp;"$"&amp;$D277&amp;$E$1&amp;"")</f>
        <v>6.9</v>
      </c>
      <c r="H277" s="296">
        <v>0.98</v>
      </c>
      <c r="I277" s="294">
        <v>1.37</v>
      </c>
      <c r="J277" s="295" cm="1">
        <f t="array" aca="1" ref="J277" ca="1">INDIRECT("'"&amp;$C277&amp;"'!"&amp;"$"&amp;$D277&amp;$J$1&amp;"")</f>
        <v>0</v>
      </c>
      <c r="K277" s="296"/>
      <c r="L277" s="296" t="s">
        <v>1</v>
      </c>
      <c r="M277" s="294" t="s">
        <v>1</v>
      </c>
      <c r="N277" s="295" cm="1">
        <f t="array" aca="1" ref="N277" ca="1">INDIRECT("'"&amp;$C277&amp;"'!"&amp;"$"&amp;$D277&amp;$N$1&amp;"")</f>
        <v>6.9</v>
      </c>
      <c r="O277" s="296"/>
      <c r="P277" s="296">
        <v>0.93</v>
      </c>
      <c r="Q277" s="294">
        <v>2.72</v>
      </c>
      <c r="R277" s="295" cm="1">
        <f t="array" aca="1" ref="R277" ca="1">INDIRECT("'"&amp;$C277&amp;"'!"&amp;"$"&amp;$D277&amp;$R$1&amp;"")</f>
        <v>6.9</v>
      </c>
      <c r="S277" s="296"/>
      <c r="T277" s="296">
        <v>0.93</v>
      </c>
      <c r="U277" s="294">
        <v>2.69</v>
      </c>
      <c r="V277" s="295" cm="1">
        <f t="array" aca="1" ref="V277" ca="1">INDIRECT("'"&amp;$C277&amp;"'!"&amp;"$"&amp;$D277&amp;$V$1&amp;"")</f>
        <v>2.8</v>
      </c>
      <c r="W277" s="296">
        <f>3.8*3.54</f>
        <v>13.452</v>
      </c>
      <c r="X277" s="296">
        <v>0.98</v>
      </c>
      <c r="Y277" s="297">
        <v>0.72</v>
      </c>
      <c r="Z277" s="293" cm="1">
        <f t="array" aca="1" ref="Z277" ca="1">INDIRECT("'"&amp;$C277&amp;"'!"&amp;"$"&amp;$D277&amp;$Z$1&amp;"")</f>
        <v>0</v>
      </c>
      <c r="AA277" s="296" t="s">
        <v>1</v>
      </c>
      <c r="AB277" s="296" t="s">
        <v>1</v>
      </c>
      <c r="AC277" s="294" t="s">
        <v>1</v>
      </c>
      <c r="AD277" s="295" cm="1">
        <f t="array" aca="1" ref="AD277" ca="1">INDIRECT("'"&amp;$C277&amp;"'!"&amp;"$"&amp;$D277&amp;$AD$1&amp;"")</f>
        <v>3.8</v>
      </c>
      <c r="AE277" s="296">
        <f>3.8*3.54</f>
        <v>13.452</v>
      </c>
      <c r="AF277" s="296">
        <v>0.98</v>
      </c>
      <c r="AG277" s="297">
        <v>0.72</v>
      </c>
      <c r="AH277" s="293" cm="1">
        <f t="array" aca="1" ref="AH277" ca="1">INDIRECT("'"&amp;$C277&amp;"'!"&amp;"$"&amp;$D277&amp;$AH$1&amp;"")</f>
        <v>3.8</v>
      </c>
      <c r="AI277" s="296">
        <v>14.04</v>
      </c>
      <c r="AJ277" s="296">
        <v>0.98</v>
      </c>
      <c r="AK277" s="294">
        <v>0.71499999999999997</v>
      </c>
      <c r="AL277" s="293">
        <v>11.9</v>
      </c>
      <c r="AM277" s="297">
        <v>70.900000000000006</v>
      </c>
      <c r="AN277" s="293" cm="1">
        <f t="array" aca="1" ref="AN277" ca="1">INDIRECT("'"&amp;$C277&amp;"'!"&amp;"$"&amp;$D277&amp;$AL$1&amp;"")</f>
        <v>4.0999999999999996</v>
      </c>
      <c r="AO277" s="296">
        <v>0.98</v>
      </c>
      <c r="AP277" s="294">
        <v>0.7</v>
      </c>
      <c r="AQ277" s="295" cm="1">
        <f t="array" aca="1" ref="AQ277" ca="1">INDIRECT("'"&amp;$C277&amp;"'!"&amp;"$"&amp;$D277&amp;$AQ$1&amp;"")</f>
        <v>4.2</v>
      </c>
      <c r="AR277" s="296">
        <v>0.98</v>
      </c>
      <c r="AS277" s="294">
        <v>0.6</v>
      </c>
      <c r="AT277" s="296" cm="1">
        <f t="array" aca="1" ref="AT277" ca="1">INDIRECT("'"&amp;$C277&amp;"'!"&amp;"$"&amp;$D277&amp;$AT$1&amp;"")</f>
        <v>0</v>
      </c>
      <c r="AU277" s="295" t="s">
        <v>1</v>
      </c>
      <c r="AV277" s="296" t="s">
        <v>1</v>
      </c>
      <c r="AW277" s="294" t="s">
        <v>1</v>
      </c>
      <c r="AX277" s="298">
        <v>14.15</v>
      </c>
      <c r="AY277" s="297">
        <v>71.48</v>
      </c>
      <c r="AZ277" s="298" cm="1">
        <f t="array" aca="1" ref="AZ277" ca="1">INDIRECT("'"&amp;$C277&amp;"'!"&amp;"$"&amp;$D277&amp;$AZ$1&amp;"")</f>
        <v>14.31</v>
      </c>
      <c r="BA277" s="296">
        <v>0.99</v>
      </c>
      <c r="BB277" s="294">
        <v>2.4</v>
      </c>
      <c r="BC277" s="299">
        <v>68.3</v>
      </c>
      <c r="BD277" s="293" cm="1">
        <f t="array" aca="1" ref="BD277" ca="1">INDIRECT("'"&amp;$C277&amp;"'!"&amp;"$"&amp;$D277&amp;$BC$1&amp;"")</f>
        <v>0</v>
      </c>
      <c r="BE277" s="295" t="s">
        <v>1</v>
      </c>
      <c r="BF277" s="294" t="s">
        <v>1</v>
      </c>
      <c r="BG277" s="298" cm="1">
        <f t="array" aca="1" ref="BG277" ca="1">INDIRECT("'"&amp;$C277&amp;"'!"&amp;"$"&amp;$D277&amp;$BG$1&amp;"")</f>
        <v>0.64</v>
      </c>
      <c r="BH277" s="296"/>
      <c r="BI277" s="296">
        <v>0.99</v>
      </c>
      <c r="BJ277" s="294">
        <v>0.06</v>
      </c>
      <c r="BK277" s="299" cm="1">
        <f t="array" aca="1" ref="BK277" ca="1">INDIRECT("'"&amp;$C277&amp;"'!"&amp;"$"&amp;$D277&amp;$BK$1&amp;"")</f>
        <v>0.96</v>
      </c>
      <c r="BL277" s="296"/>
      <c r="BM277" s="296">
        <v>0.97</v>
      </c>
      <c r="BN277" s="294">
        <v>0.24</v>
      </c>
      <c r="BO277" s="299" cm="1">
        <f t="array" aca="1" ref="BO277" ca="1">INDIRECT("'"&amp;$C277&amp;"'!"&amp;"$"&amp;$D277&amp;74&amp;"")</f>
        <v>0</v>
      </c>
      <c r="BP277" s="296"/>
      <c r="BQ277" s="296" t="s">
        <v>1</v>
      </c>
      <c r="BR277" s="294" t="s">
        <v>1</v>
      </c>
    </row>
    <row r="278" spans="1:70" ht="14.45" thickBot="1">
      <c r="A278" s="362">
        <v>45758</v>
      </c>
      <c r="B278" s="359">
        <v>0.95833333333333404</v>
      </c>
      <c r="C278" s="315">
        <f t="shared" si="9"/>
        <v>11</v>
      </c>
      <c r="D278" s="316" t="s">
        <v>150</v>
      </c>
      <c r="E278" s="301">
        <v>14.1</v>
      </c>
      <c r="F278" s="302">
        <v>69.41</v>
      </c>
      <c r="G278" s="303" cm="1">
        <f t="array" aca="1" ref="G278" ca="1">INDIRECT("'"&amp;$C278&amp;"'!"&amp;"$"&amp;$D278&amp;$E$1&amp;"")</f>
        <v>6.6</v>
      </c>
      <c r="H278" s="304">
        <v>0.98</v>
      </c>
      <c r="I278" s="302">
        <v>1.27</v>
      </c>
      <c r="J278" s="303" cm="1">
        <f t="array" aca="1" ref="J278" ca="1">INDIRECT("'"&amp;$C278&amp;"'!"&amp;"$"&amp;$D278&amp;$J$1&amp;"")</f>
        <v>0</v>
      </c>
      <c r="K278" s="304"/>
      <c r="L278" s="304" t="s">
        <v>1</v>
      </c>
      <c r="M278" s="302" t="s">
        <v>1</v>
      </c>
      <c r="N278" s="303" cm="1">
        <f t="array" aca="1" ref="N278" ca="1">INDIRECT("'"&amp;$C278&amp;"'!"&amp;"$"&amp;$D278&amp;$N$1&amp;"")</f>
        <v>6.6</v>
      </c>
      <c r="O278" s="304"/>
      <c r="P278" s="304">
        <v>0.92</v>
      </c>
      <c r="Q278" s="302">
        <v>2.87</v>
      </c>
      <c r="R278" s="303" cm="1">
        <f t="array" aca="1" ref="R278" ca="1">INDIRECT("'"&amp;$C278&amp;"'!"&amp;"$"&amp;$D278&amp;$R$1&amp;"")</f>
        <v>6.6</v>
      </c>
      <c r="S278" s="304"/>
      <c r="T278" s="304">
        <v>0.92</v>
      </c>
      <c r="U278" s="302">
        <v>2.85</v>
      </c>
      <c r="V278" s="303" cm="1">
        <f t="array" aca="1" ref="V278" ca="1">INDIRECT("'"&amp;$C278&amp;"'!"&amp;"$"&amp;$D278&amp;$V$1&amp;"")</f>
        <v>0</v>
      </c>
      <c r="W278" s="304" t="s">
        <v>1</v>
      </c>
      <c r="X278" s="304" t="s">
        <v>1</v>
      </c>
      <c r="Y278" s="305" t="s">
        <v>1</v>
      </c>
      <c r="Z278" s="301" cm="1">
        <f t="array" aca="1" ref="Z278" ca="1">INDIRECT("'"&amp;$C278&amp;"'!"&amp;"$"&amp;$D278&amp;$Z$1&amp;"")</f>
        <v>0</v>
      </c>
      <c r="AA278" s="304" t="s">
        <v>1</v>
      </c>
      <c r="AB278" s="304" t="s">
        <v>1</v>
      </c>
      <c r="AC278" s="302" t="s">
        <v>1</v>
      </c>
      <c r="AD278" s="303" cm="1">
        <f t="array" aca="1" ref="AD278" ca="1">INDIRECT("'"&amp;$C278&amp;"'!"&amp;"$"&amp;$D278&amp;$AD$1&amp;"")</f>
        <v>3.5</v>
      </c>
      <c r="AE278" s="304">
        <f>3.52*3.8</f>
        <v>13.375999999999999</v>
      </c>
      <c r="AF278" s="304">
        <v>0.98</v>
      </c>
      <c r="AG278" s="305">
        <v>0.68</v>
      </c>
      <c r="AH278" s="301" cm="1">
        <f t="array" aca="1" ref="AH278" ca="1">INDIRECT("'"&amp;$C278&amp;"'!"&amp;"$"&amp;$D278&amp;$AH$1&amp;"")</f>
        <v>3</v>
      </c>
      <c r="AI278" s="304">
        <v>14.04</v>
      </c>
      <c r="AJ278" s="304">
        <v>0.98</v>
      </c>
      <c r="AK278" s="302">
        <v>0.70899999999999996</v>
      </c>
      <c r="AL278" s="301">
        <v>11.8</v>
      </c>
      <c r="AM278" s="305">
        <v>70.3</v>
      </c>
      <c r="AN278" s="301" cm="1">
        <f t="array" aca="1" ref="AN278" ca="1">INDIRECT("'"&amp;$C278&amp;"'!"&amp;"$"&amp;$D278&amp;$AL$1&amp;"")</f>
        <v>4</v>
      </c>
      <c r="AO278" s="304">
        <v>0.98</v>
      </c>
      <c r="AP278" s="302">
        <v>0.5</v>
      </c>
      <c r="AQ278" s="303" cm="1">
        <f t="array" aca="1" ref="AQ278" ca="1">INDIRECT("'"&amp;$C278&amp;"'!"&amp;"$"&amp;$D278&amp;$AQ$1&amp;"")</f>
        <v>4</v>
      </c>
      <c r="AR278" s="304">
        <v>0.98</v>
      </c>
      <c r="AS278" s="302">
        <v>0.6</v>
      </c>
      <c r="AT278" s="304" cm="1">
        <f t="array" aca="1" ref="AT278" ca="1">INDIRECT("'"&amp;$C278&amp;"'!"&amp;"$"&amp;$D278&amp;$AT$1&amp;"")</f>
        <v>0</v>
      </c>
      <c r="AU278" s="303" t="s">
        <v>1</v>
      </c>
      <c r="AV278" s="304" t="s">
        <v>1</v>
      </c>
      <c r="AW278" s="302" t="s">
        <v>1</v>
      </c>
      <c r="AX278" s="306">
        <v>14.09</v>
      </c>
      <c r="AY278" s="305">
        <v>71.36</v>
      </c>
      <c r="AZ278" s="306" cm="1">
        <f t="array" aca="1" ref="AZ278" ca="1">INDIRECT("'"&amp;$C278&amp;"'!"&amp;"$"&amp;$D278&amp;$AZ$1&amp;"")</f>
        <v>14.32</v>
      </c>
      <c r="BA278" s="304">
        <v>0.99</v>
      </c>
      <c r="BB278" s="302">
        <v>2.4</v>
      </c>
      <c r="BC278" s="307">
        <v>68</v>
      </c>
      <c r="BD278" s="301" cm="1">
        <f t="array" aca="1" ref="BD278" ca="1">INDIRECT("'"&amp;$C278&amp;"'!"&amp;"$"&amp;$D278&amp;$BC$1&amp;"")</f>
        <v>0</v>
      </c>
      <c r="BE278" s="303" t="s">
        <v>1</v>
      </c>
      <c r="BF278" s="302" t="s">
        <v>1</v>
      </c>
      <c r="BG278" s="306" cm="1">
        <f t="array" aca="1" ref="BG278" ca="1">INDIRECT("'"&amp;$C278&amp;"'!"&amp;"$"&amp;$D278&amp;$BG$1&amp;"")</f>
        <v>1.3</v>
      </c>
      <c r="BH278" s="304"/>
      <c r="BI278" s="304">
        <v>0.99</v>
      </c>
      <c r="BJ278" s="302">
        <v>0.17</v>
      </c>
      <c r="BK278" s="307" cm="1">
        <f t="array" aca="1" ref="BK278" ca="1">INDIRECT("'"&amp;$C278&amp;"'!"&amp;"$"&amp;$D278&amp;$BK$1&amp;"")</f>
        <v>0.9</v>
      </c>
      <c r="BL278" s="304"/>
      <c r="BM278" s="304">
        <v>0.97</v>
      </c>
      <c r="BN278" s="302">
        <v>0.23</v>
      </c>
      <c r="BO278" s="307" cm="1">
        <f t="array" aca="1" ref="BO278" ca="1">INDIRECT("'"&amp;$C278&amp;"'!"&amp;"$"&amp;$D278&amp;74&amp;"")</f>
        <v>0</v>
      </c>
      <c r="BP278" s="304"/>
      <c r="BQ278" s="304" t="s">
        <v>1</v>
      </c>
      <c r="BR278" s="302" t="s">
        <v>1</v>
      </c>
    </row>
    <row r="279" spans="1:70" ht="14.45" thickBot="1"/>
    <row r="280" spans="1:70">
      <c r="A280" s="360">
        <v>45759</v>
      </c>
      <c r="B280" s="357">
        <v>0</v>
      </c>
      <c r="C280" s="310">
        <f>C255+1</f>
        <v>12</v>
      </c>
      <c r="D280" s="311" t="s">
        <v>127</v>
      </c>
      <c r="E280" s="280">
        <v>14</v>
      </c>
      <c r="F280" s="281">
        <v>70.31</v>
      </c>
      <c r="G280" s="282" cm="1">
        <f t="array" aca="1" ref="G280" ca="1">INDIRECT("'"&amp;$C280&amp;"'!"&amp;"$"&amp;$D280&amp;$E$1&amp;"")</f>
        <v>6.6</v>
      </c>
      <c r="H280" s="283">
        <v>0.96</v>
      </c>
      <c r="I280" s="281">
        <v>1.56</v>
      </c>
      <c r="J280" s="282" cm="1">
        <f t="array" aca="1" ref="J280" ca="1">INDIRECT("'"&amp;$C280&amp;"'!"&amp;"$"&amp;$D280&amp;$J$1&amp;"")</f>
        <v>0</v>
      </c>
      <c r="K280" s="283"/>
      <c r="L280" s="283" t="s">
        <v>1</v>
      </c>
      <c r="M280" s="281" t="s">
        <v>1</v>
      </c>
      <c r="N280" s="282" cm="1">
        <f t="array" aca="1" ref="N280" ca="1">INDIRECT("'"&amp;$C280&amp;"'!"&amp;"$"&amp;$D280&amp;$N$1&amp;"")</f>
        <v>6.6</v>
      </c>
      <c r="O280" s="283"/>
      <c r="P280" s="283">
        <v>0.97</v>
      </c>
      <c r="Q280" s="281">
        <v>1.59</v>
      </c>
      <c r="R280" s="282" cm="1">
        <f t="array" aca="1" ref="R280" ca="1">INDIRECT("'"&amp;$C280&amp;"'!"&amp;"$"&amp;$D280&amp;$R$1&amp;"")</f>
        <v>6.6</v>
      </c>
      <c r="S280" s="283"/>
      <c r="T280" s="283">
        <v>0.97</v>
      </c>
      <c r="U280" s="281">
        <v>1.57</v>
      </c>
      <c r="V280" s="282" cm="1">
        <f t="array" aca="1" ref="V280" ca="1">INDIRECT("'"&amp;$C280&amp;"'!"&amp;"$"&amp;$D280&amp;$V$1&amp;"")</f>
        <v>0</v>
      </c>
      <c r="W280" s="283" t="s">
        <v>1</v>
      </c>
      <c r="X280" s="283" t="s">
        <v>1</v>
      </c>
      <c r="Y280" s="284" t="s">
        <v>1</v>
      </c>
      <c r="Z280" s="280" cm="1">
        <f t="array" aca="1" ref="Z280" ca="1">INDIRECT("'"&amp;$C280&amp;"'!"&amp;"$"&amp;$D280&amp;$Z$1&amp;"")</f>
        <v>0</v>
      </c>
      <c r="AA280" s="283" t="s">
        <v>1</v>
      </c>
      <c r="AB280" s="283" t="s">
        <v>1</v>
      </c>
      <c r="AC280" s="281" t="s">
        <v>1</v>
      </c>
      <c r="AD280" s="282" cm="1">
        <f t="array" aca="1" ref="AD280" ca="1">INDIRECT("'"&amp;$C280&amp;"'!"&amp;"$"&amp;$D280&amp;$AD$1&amp;"")</f>
        <v>3</v>
      </c>
      <c r="AE280" s="283">
        <f>3.57*3.8</f>
        <v>13.565999999999999</v>
      </c>
      <c r="AF280" s="283">
        <v>0.98</v>
      </c>
      <c r="AG280" s="281">
        <v>0.51</v>
      </c>
      <c r="AH280" s="280" cm="1">
        <f t="array" aca="1" ref="AH280" ca="1">INDIRECT("'"&amp;$C280&amp;"'!"&amp;"$"&amp;$D280&amp;$AH$1&amp;"")</f>
        <v>0</v>
      </c>
      <c r="AI280" s="283" t="s">
        <v>1</v>
      </c>
      <c r="AJ280" s="283" t="s">
        <v>1</v>
      </c>
      <c r="AK280" s="281" t="s">
        <v>1</v>
      </c>
      <c r="AL280" s="280">
        <v>11.9</v>
      </c>
      <c r="AM280" s="284">
        <v>70.599999999999994</v>
      </c>
      <c r="AN280" s="280" cm="1">
        <f t="array" aca="1" ref="AN280" ca="1">INDIRECT("'"&amp;$C280&amp;"'!"&amp;"$"&amp;$D280&amp;$AL$1&amp;"")</f>
        <v>3.9</v>
      </c>
      <c r="AO280" s="283">
        <v>0.99</v>
      </c>
      <c r="AP280" s="281">
        <v>0.3</v>
      </c>
      <c r="AQ280" s="282" cm="1">
        <f t="array" aca="1" ref="AQ280" ca="1">INDIRECT("'"&amp;$C280&amp;"'!"&amp;"$"&amp;$D280&amp;$AQ$1&amp;"")</f>
        <v>3.9</v>
      </c>
      <c r="AR280" s="283">
        <v>0.99</v>
      </c>
      <c r="AS280" s="281">
        <v>0.3</v>
      </c>
      <c r="AT280" s="283" cm="1">
        <f t="array" aca="1" ref="AT280" ca="1">INDIRECT("'"&amp;$C280&amp;"'!"&amp;"$"&amp;$D280&amp;$AT$1&amp;"")</f>
        <v>0</v>
      </c>
      <c r="AU280" s="282" t="s">
        <v>1</v>
      </c>
      <c r="AV280" s="283" t="s">
        <v>1</v>
      </c>
      <c r="AW280" s="281" t="s">
        <v>1</v>
      </c>
      <c r="AX280" s="285">
        <v>14.12</v>
      </c>
      <c r="AY280" s="284">
        <v>71.44</v>
      </c>
      <c r="AZ280" s="285" cm="1">
        <f t="array" aca="1" ref="AZ280" ca="1">INDIRECT("'"&amp;$C280&amp;"'!"&amp;"$"&amp;$D280&amp;$AZ$1&amp;"")</f>
        <v>14.32</v>
      </c>
      <c r="BA280" s="283">
        <v>0.99</v>
      </c>
      <c r="BB280" s="281">
        <v>2.4</v>
      </c>
      <c r="BC280" s="281">
        <v>68.900000000000006</v>
      </c>
      <c r="BD280" s="280" cm="1">
        <f t="array" aca="1" ref="BD280" ca="1">INDIRECT("'"&amp;$C280&amp;"'!"&amp;"$"&amp;$D280&amp;$BC$1&amp;"")</f>
        <v>0</v>
      </c>
      <c r="BE280" s="282" t="s">
        <v>1</v>
      </c>
      <c r="BF280" s="281" t="s">
        <v>1</v>
      </c>
      <c r="BG280" s="285" cm="1">
        <f t="array" aca="1" ref="BG280" ca="1">INDIRECT("'"&amp;$C280&amp;"'!"&amp;"$"&amp;$D280&amp;$BG$1&amp;"")</f>
        <v>1.18</v>
      </c>
      <c r="BH280" s="283"/>
      <c r="BI280" s="283">
        <v>0.99</v>
      </c>
      <c r="BJ280" s="281">
        <v>0.16</v>
      </c>
      <c r="BK280" s="285" cm="1">
        <f t="array" aca="1" ref="BK280" ca="1">INDIRECT("'"&amp;$C280&amp;"'!"&amp;"$"&amp;$D280&amp;$BK$1&amp;"")</f>
        <v>0.85</v>
      </c>
      <c r="BL280" s="283"/>
      <c r="BM280" s="283">
        <v>0.96</v>
      </c>
      <c r="BN280" s="281">
        <v>0.22</v>
      </c>
      <c r="BO280" s="373" cm="1">
        <f t="array" aca="1" ref="BO280" ca="1">INDIRECT("'"&amp;$C280&amp;"'!"&amp;"$"&amp;$D280&amp;74&amp;"")</f>
        <v>0</v>
      </c>
      <c r="BP280" s="283"/>
      <c r="BQ280" s="283" t="s">
        <v>1</v>
      </c>
      <c r="BR280" s="281" t="s">
        <v>1</v>
      </c>
    </row>
    <row r="281" spans="1:70">
      <c r="A281" s="361">
        <v>45759</v>
      </c>
      <c r="B281" s="358">
        <v>4.1666666666666699E-2</v>
      </c>
      <c r="C281" s="313">
        <f t="shared" ref="C281:C303" si="10">C256+1</f>
        <v>12</v>
      </c>
      <c r="D281" s="314" t="s">
        <v>128</v>
      </c>
      <c r="E281" s="286">
        <v>14.1</v>
      </c>
      <c r="F281" s="287">
        <v>69.95</v>
      </c>
      <c r="G281" s="288" cm="1">
        <f t="array" aca="1" ref="G281" ca="1">INDIRECT("'"&amp;$C281&amp;"'!"&amp;"$"&amp;$D281&amp;$E$1&amp;"")</f>
        <v>6.7</v>
      </c>
      <c r="H281" s="289">
        <v>0.96</v>
      </c>
      <c r="I281" s="287">
        <v>2.06</v>
      </c>
      <c r="J281" s="288" cm="1">
        <f t="array" aca="1" ref="J281" ca="1">INDIRECT("'"&amp;$C281&amp;"'!"&amp;"$"&amp;$D281&amp;$J$1&amp;"")</f>
        <v>0</v>
      </c>
      <c r="K281" s="289"/>
      <c r="L281" s="289" t="s">
        <v>1</v>
      </c>
      <c r="M281" s="287" t="s">
        <v>1</v>
      </c>
      <c r="N281" s="288" cm="1">
        <f t="array" aca="1" ref="N281" ca="1">INDIRECT("'"&amp;$C281&amp;"'!"&amp;"$"&amp;$D281&amp;$N$1&amp;"")</f>
        <v>6.7</v>
      </c>
      <c r="O281" s="289"/>
      <c r="P281" s="289">
        <v>0.96</v>
      </c>
      <c r="Q281" s="287">
        <v>2.08</v>
      </c>
      <c r="R281" s="288" cm="1">
        <f t="array" aca="1" ref="R281" ca="1">INDIRECT("'"&amp;$C281&amp;"'!"&amp;"$"&amp;$D281&amp;$R$1&amp;"")</f>
        <v>6.7</v>
      </c>
      <c r="S281" s="289"/>
      <c r="T281" s="289">
        <v>0.96</v>
      </c>
      <c r="U281" s="287">
        <v>2.08</v>
      </c>
      <c r="V281" s="288" cm="1">
        <f t="array" aca="1" ref="V281" ca="1">INDIRECT("'"&amp;$C281&amp;"'!"&amp;"$"&amp;$D281&amp;$V$1&amp;"")</f>
        <v>0</v>
      </c>
      <c r="W281" s="289" t="s">
        <v>1</v>
      </c>
      <c r="X281" s="289" t="s">
        <v>1</v>
      </c>
      <c r="Y281" s="290" t="s">
        <v>1</v>
      </c>
      <c r="Z281" s="286" cm="1">
        <f t="array" aca="1" ref="Z281" ca="1">INDIRECT("'"&amp;$C281&amp;"'!"&amp;"$"&amp;$D281&amp;$Z$1&amp;"")</f>
        <v>0</v>
      </c>
      <c r="AA281" s="289" t="s">
        <v>1</v>
      </c>
      <c r="AB281" s="289" t="s">
        <v>1</v>
      </c>
      <c r="AC281" s="287" t="s">
        <v>1</v>
      </c>
      <c r="AD281" s="288" cm="1">
        <f t="array" aca="1" ref="AD281" ca="1">INDIRECT("'"&amp;$C281&amp;"'!"&amp;"$"&amp;$D281&amp;$AD$1&amp;"")</f>
        <v>0</v>
      </c>
      <c r="AE281" s="289" t="s">
        <v>1</v>
      </c>
      <c r="AF281" s="289" t="s">
        <v>1</v>
      </c>
      <c r="AG281" s="290" t="s">
        <v>1</v>
      </c>
      <c r="AH281" s="286" cm="1">
        <f t="array" aca="1" ref="AH281" ca="1">INDIRECT("'"&amp;$C281&amp;"'!"&amp;"$"&amp;$D281&amp;$AH$1&amp;"")</f>
        <v>0</v>
      </c>
      <c r="AI281" s="289" t="s">
        <v>1</v>
      </c>
      <c r="AJ281" s="289" t="s">
        <v>1</v>
      </c>
      <c r="AK281" s="287" t="s">
        <v>1</v>
      </c>
      <c r="AL281" s="286">
        <v>11.8</v>
      </c>
      <c r="AM281" s="290">
        <v>70.400000000000006</v>
      </c>
      <c r="AN281" s="286" cm="1">
        <f t="array" aca="1" ref="AN281" ca="1">INDIRECT("'"&amp;$C281&amp;"'!"&amp;"$"&amp;$D281&amp;$AL$1&amp;"")</f>
        <v>4</v>
      </c>
      <c r="AO281" s="289">
        <v>0.99</v>
      </c>
      <c r="AP281" s="287">
        <v>0.6</v>
      </c>
      <c r="AQ281" s="288" cm="1">
        <f t="array" aca="1" ref="AQ281" ca="1">INDIRECT("'"&amp;$C281&amp;"'!"&amp;"$"&amp;$D281&amp;$AQ$1&amp;"")</f>
        <v>4.2</v>
      </c>
      <c r="AR281" s="289">
        <v>0.99</v>
      </c>
      <c r="AS281" s="287">
        <v>0.5</v>
      </c>
      <c r="AT281" s="289" cm="1">
        <f t="array" aca="1" ref="AT281" ca="1">INDIRECT("'"&amp;$C281&amp;"'!"&amp;"$"&amp;$D281&amp;$AT$1&amp;"")</f>
        <v>0</v>
      </c>
      <c r="AU281" s="288" t="s">
        <v>1</v>
      </c>
      <c r="AV281" s="289" t="s">
        <v>1</v>
      </c>
      <c r="AW281" s="287" t="s">
        <v>1</v>
      </c>
      <c r="AX281" s="291">
        <v>14.1</v>
      </c>
      <c r="AY281" s="290">
        <v>71.319999999999993</v>
      </c>
      <c r="AZ281" s="291" cm="1">
        <f t="array" aca="1" ref="AZ281" ca="1">INDIRECT("'"&amp;$C281&amp;"'!"&amp;"$"&amp;$D281&amp;$AZ$1&amp;"")</f>
        <v>14.31</v>
      </c>
      <c r="BA281" s="289">
        <v>0.99</v>
      </c>
      <c r="BB281" s="287">
        <v>2.4</v>
      </c>
      <c r="BC281" s="292">
        <v>68.5</v>
      </c>
      <c r="BD281" s="286" cm="1">
        <f t="array" aca="1" ref="BD281" ca="1">INDIRECT("'"&amp;$C281&amp;"'!"&amp;"$"&amp;$D281&amp;$BC$1&amp;"")</f>
        <v>0</v>
      </c>
      <c r="BE281" s="288" t="s">
        <v>1</v>
      </c>
      <c r="BF281" s="287" t="s">
        <v>1</v>
      </c>
      <c r="BG281" s="291" cm="1">
        <f t="array" aca="1" ref="BG281" ca="1">INDIRECT("'"&amp;$C281&amp;"'!"&amp;"$"&amp;$D281&amp;$BG$1&amp;"")</f>
        <v>1</v>
      </c>
      <c r="BH281" s="289"/>
      <c r="BI281" s="289">
        <v>0.99</v>
      </c>
      <c r="BJ281" s="287">
        <v>0.16</v>
      </c>
      <c r="BK281" s="291" cm="1">
        <f t="array" aca="1" ref="BK281" ca="1">INDIRECT("'"&amp;$C281&amp;"'!"&amp;"$"&amp;$D281&amp;$BK$1&amp;"")</f>
        <v>0.82</v>
      </c>
      <c r="BL281" s="289"/>
      <c r="BM281" s="289">
        <v>0.96</v>
      </c>
      <c r="BN281" s="287">
        <v>0.22</v>
      </c>
      <c r="BO281" s="292" cm="1">
        <f t="array" aca="1" ref="BO281" ca="1">INDIRECT("'"&amp;$C281&amp;"'!"&amp;"$"&amp;$D281&amp;74&amp;"")</f>
        <v>0</v>
      </c>
      <c r="BP281" s="289"/>
      <c r="BQ281" s="289" t="s">
        <v>1</v>
      </c>
      <c r="BR281" s="287" t="s">
        <v>1</v>
      </c>
    </row>
    <row r="282" spans="1:70">
      <c r="A282" s="361">
        <v>45759</v>
      </c>
      <c r="B282" s="358">
        <v>8.3333333333333301E-2</v>
      </c>
      <c r="C282" s="313">
        <f t="shared" si="10"/>
        <v>12</v>
      </c>
      <c r="D282" s="314" t="s">
        <v>129</v>
      </c>
      <c r="E282" s="293">
        <v>14.1</v>
      </c>
      <c r="F282" s="294">
        <v>70.34</v>
      </c>
      <c r="G282" s="295" cm="1">
        <f t="array" aca="1" ref="G282" ca="1">INDIRECT("'"&amp;$C282&amp;"'!"&amp;"$"&amp;$D282&amp;$E$1&amp;"")</f>
        <v>6.7</v>
      </c>
      <c r="H282" s="296">
        <v>0.97</v>
      </c>
      <c r="I282" s="294">
        <v>1.7</v>
      </c>
      <c r="J282" s="295" cm="1">
        <f t="array" aca="1" ref="J282" ca="1">INDIRECT("'"&amp;$C282&amp;"'!"&amp;"$"&amp;$D282&amp;$J$1&amp;"")</f>
        <v>0</v>
      </c>
      <c r="K282" s="296"/>
      <c r="L282" s="296" t="s">
        <v>1</v>
      </c>
      <c r="M282" s="294" t="s">
        <v>1</v>
      </c>
      <c r="N282" s="295" cm="1">
        <f t="array" aca="1" ref="N282" ca="1">INDIRECT("'"&amp;$C282&amp;"'!"&amp;"$"&amp;$D282&amp;$N$1&amp;"")</f>
        <v>6.7</v>
      </c>
      <c r="O282" s="296"/>
      <c r="P282" s="296">
        <v>0.97</v>
      </c>
      <c r="Q282" s="294">
        <v>1.68</v>
      </c>
      <c r="R282" s="295" cm="1">
        <f t="array" aca="1" ref="R282" ca="1">INDIRECT("'"&amp;$C282&amp;"'!"&amp;"$"&amp;$D282&amp;$R$1&amp;"")</f>
        <v>6.7</v>
      </c>
      <c r="S282" s="296"/>
      <c r="T282" s="296">
        <v>0.97</v>
      </c>
      <c r="U282" s="294">
        <v>1.7</v>
      </c>
      <c r="V282" s="295" cm="1">
        <f t="array" aca="1" ref="V282" ca="1">INDIRECT("'"&amp;$C282&amp;"'!"&amp;"$"&amp;$D282&amp;$V$1&amp;"")</f>
        <v>0</v>
      </c>
      <c r="W282" s="296" t="s">
        <v>1</v>
      </c>
      <c r="X282" s="296" t="s">
        <v>1</v>
      </c>
      <c r="Y282" s="297" t="s">
        <v>1</v>
      </c>
      <c r="Z282" s="293" cm="1">
        <f t="array" aca="1" ref="Z282" ca="1">INDIRECT("'"&amp;$C282&amp;"'!"&amp;"$"&amp;$D282&amp;$Z$1&amp;"")</f>
        <v>0</v>
      </c>
      <c r="AA282" s="296" t="s">
        <v>1</v>
      </c>
      <c r="AB282" s="296" t="s">
        <v>1</v>
      </c>
      <c r="AC282" s="294" t="s">
        <v>1</v>
      </c>
      <c r="AD282" s="295" cm="1">
        <f t="array" aca="1" ref="AD282" ca="1">INDIRECT("'"&amp;$C282&amp;"'!"&amp;"$"&amp;$D282&amp;$AD$1&amp;"")</f>
        <v>0</v>
      </c>
      <c r="AE282" s="296" t="s">
        <v>1</v>
      </c>
      <c r="AF282" s="296" t="s">
        <v>1</v>
      </c>
      <c r="AG282" s="297" t="s">
        <v>1</v>
      </c>
      <c r="AH282" s="293" cm="1">
        <f t="array" aca="1" ref="AH282" ca="1">INDIRECT("'"&amp;$C282&amp;"'!"&amp;"$"&amp;$D282&amp;$AH$1&amp;"")</f>
        <v>0</v>
      </c>
      <c r="AI282" s="296" t="s">
        <v>1</v>
      </c>
      <c r="AJ282" s="296" t="s">
        <v>1</v>
      </c>
      <c r="AK282" s="297" t="s">
        <v>1</v>
      </c>
      <c r="AL282" s="293">
        <v>11.9</v>
      </c>
      <c r="AM282" s="297">
        <v>70.7</v>
      </c>
      <c r="AN282" s="293" cm="1">
        <f t="array" aca="1" ref="AN282" ca="1">INDIRECT("'"&amp;$C282&amp;"'!"&amp;"$"&amp;$D282&amp;$AL$1&amp;"")</f>
        <v>3</v>
      </c>
      <c r="AO282" s="296">
        <v>0.99</v>
      </c>
      <c r="AP282" s="294">
        <v>0.4</v>
      </c>
      <c r="AQ282" s="295" cm="1">
        <f t="array" aca="1" ref="AQ282" ca="1">INDIRECT("'"&amp;$C282&amp;"'!"&amp;"$"&amp;$D282&amp;$AQ$1&amp;"")</f>
        <v>3</v>
      </c>
      <c r="AR282" s="296">
        <v>0.99</v>
      </c>
      <c r="AS282" s="294">
        <v>0.4</v>
      </c>
      <c r="AT282" s="296" cm="1">
        <f t="array" aca="1" ref="AT282" ca="1">INDIRECT("'"&amp;$C282&amp;"'!"&amp;"$"&amp;$D282&amp;$AT$1&amp;"")</f>
        <v>0</v>
      </c>
      <c r="AU282" s="295" t="s">
        <v>1</v>
      </c>
      <c r="AV282" s="296" t="s">
        <v>1</v>
      </c>
      <c r="AW282" s="294" t="s">
        <v>1</v>
      </c>
      <c r="AX282" s="298">
        <v>14.14</v>
      </c>
      <c r="AY282" s="297">
        <v>71.569999999999993</v>
      </c>
      <c r="AZ282" s="298" cm="1">
        <f t="array" aca="1" ref="AZ282" ca="1">INDIRECT("'"&amp;$C282&amp;"'!"&amp;"$"&amp;$D282&amp;$AZ$1&amp;"")</f>
        <v>13.32</v>
      </c>
      <c r="BA282" s="296">
        <v>0.99</v>
      </c>
      <c r="BB282" s="294">
        <v>2.2999999999999998</v>
      </c>
      <c r="BC282" s="299">
        <v>68.900000000000006</v>
      </c>
      <c r="BD282" s="293" cm="1">
        <f t="array" aca="1" ref="BD282" ca="1">INDIRECT("'"&amp;$C282&amp;"'!"&amp;"$"&amp;$D282&amp;$BC$1&amp;"")</f>
        <v>0</v>
      </c>
      <c r="BE282" s="295" t="s">
        <v>1</v>
      </c>
      <c r="BF282" s="294" t="s">
        <v>1</v>
      </c>
      <c r="BG282" s="298" cm="1">
        <f t="array" aca="1" ref="BG282" ca="1">INDIRECT("'"&amp;$C282&amp;"'!"&amp;"$"&amp;$D282&amp;$BG$1&amp;"")</f>
        <v>0.99</v>
      </c>
      <c r="BH282" s="296"/>
      <c r="BI282" s="296">
        <v>0.99</v>
      </c>
      <c r="BJ282" s="294">
        <v>0.51</v>
      </c>
      <c r="BK282" s="298" cm="1">
        <f t="array" aca="1" ref="BK282" ca="1">INDIRECT("'"&amp;$C282&amp;"'!"&amp;"$"&amp;$D282&amp;$BK$1&amp;"")</f>
        <v>0.79</v>
      </c>
      <c r="BL282" s="296"/>
      <c r="BM282" s="296">
        <v>0.96</v>
      </c>
      <c r="BN282" s="294">
        <v>0.21</v>
      </c>
      <c r="BO282" s="299" cm="1">
        <f t="array" aca="1" ref="BO282" ca="1">INDIRECT("'"&amp;$C282&amp;"'!"&amp;"$"&amp;$D282&amp;74&amp;"")</f>
        <v>0</v>
      </c>
      <c r="BP282" s="296"/>
      <c r="BQ282" s="296" t="s">
        <v>1</v>
      </c>
      <c r="BR282" s="294" t="s">
        <v>1</v>
      </c>
    </row>
    <row r="283" spans="1:70">
      <c r="A283" s="361">
        <v>45759</v>
      </c>
      <c r="B283" s="358">
        <v>0.125</v>
      </c>
      <c r="C283" s="313">
        <f t="shared" si="10"/>
        <v>12</v>
      </c>
      <c r="D283" s="314" t="s">
        <v>130</v>
      </c>
      <c r="E283" s="286">
        <v>14.1</v>
      </c>
      <c r="F283" s="287">
        <v>70.48</v>
      </c>
      <c r="G283" s="288" cm="1">
        <f t="array" aca="1" ref="G283" ca="1">INDIRECT("'"&amp;$C283&amp;"'!"&amp;"$"&amp;$D283&amp;$E$1&amp;"")</f>
        <v>6.4</v>
      </c>
      <c r="H283" s="289">
        <v>0.9</v>
      </c>
      <c r="I283" s="287">
        <v>1.46</v>
      </c>
      <c r="J283" s="288" cm="1">
        <f t="array" aca="1" ref="J283" ca="1">INDIRECT("'"&amp;$C283&amp;"'!"&amp;"$"&amp;$D283&amp;$J$1&amp;"")</f>
        <v>0</v>
      </c>
      <c r="K283" s="289"/>
      <c r="L283" s="289" t="s">
        <v>1</v>
      </c>
      <c r="M283" s="287" t="s">
        <v>1</v>
      </c>
      <c r="N283" s="288" cm="1">
        <f t="array" aca="1" ref="N283" ca="1">INDIRECT("'"&amp;$C283&amp;"'!"&amp;"$"&amp;$D283&amp;$N$1&amp;"")</f>
        <v>6.4</v>
      </c>
      <c r="O283" s="289"/>
      <c r="P283" s="289">
        <v>0.9</v>
      </c>
      <c r="Q283" s="287">
        <v>1.48</v>
      </c>
      <c r="R283" s="288" cm="1">
        <f t="array" aca="1" ref="R283" ca="1">INDIRECT("'"&amp;$C283&amp;"'!"&amp;"$"&amp;$D283&amp;$R$1&amp;"")</f>
        <v>6.4</v>
      </c>
      <c r="S283" s="289"/>
      <c r="T283" s="289">
        <v>0.9</v>
      </c>
      <c r="U283" s="287">
        <v>1.45</v>
      </c>
      <c r="V283" s="288" cm="1">
        <f t="array" aca="1" ref="V283" ca="1">INDIRECT("'"&amp;$C283&amp;"'!"&amp;"$"&amp;$D283&amp;$V$1&amp;"")</f>
        <v>0</v>
      </c>
      <c r="W283" s="289" t="s">
        <v>1</v>
      </c>
      <c r="X283" s="289" t="s">
        <v>1</v>
      </c>
      <c r="Y283" s="290" t="s">
        <v>1</v>
      </c>
      <c r="Z283" s="286" cm="1">
        <f t="array" aca="1" ref="Z283" ca="1">INDIRECT("'"&amp;$C283&amp;"'!"&amp;"$"&amp;$D283&amp;$Z$1&amp;"")</f>
        <v>0</v>
      </c>
      <c r="AA283" s="289" t="s">
        <v>1</v>
      </c>
      <c r="AB283" s="289" t="s">
        <v>1</v>
      </c>
      <c r="AC283" s="287" t="s">
        <v>1</v>
      </c>
      <c r="AD283" s="288" cm="1">
        <f t="array" aca="1" ref="AD283" ca="1">INDIRECT("'"&amp;$C283&amp;"'!"&amp;"$"&amp;$D283&amp;$AD$1&amp;"")</f>
        <v>0</v>
      </c>
      <c r="AE283" s="289" t="s">
        <v>1</v>
      </c>
      <c r="AF283" s="289" t="s">
        <v>1</v>
      </c>
      <c r="AG283" s="290" t="s">
        <v>1</v>
      </c>
      <c r="AH283" s="286" cm="1">
        <f t="array" aca="1" ref="AH283" ca="1">INDIRECT("'"&amp;$C283&amp;"'!"&amp;"$"&amp;$D283&amp;$AH$1&amp;"")</f>
        <v>0</v>
      </c>
      <c r="AI283" s="289" t="s">
        <v>1</v>
      </c>
      <c r="AJ283" s="289" t="s">
        <v>1</v>
      </c>
      <c r="AK283" s="287" t="s">
        <v>1</v>
      </c>
      <c r="AL283" s="286">
        <v>11.9</v>
      </c>
      <c r="AM283" s="290">
        <v>70.8</v>
      </c>
      <c r="AN283" s="286" cm="1">
        <f t="array" aca="1" ref="AN283" ca="1">INDIRECT("'"&amp;$C283&amp;"'!"&amp;"$"&amp;$D283&amp;$AL$1&amp;"")</f>
        <v>3</v>
      </c>
      <c r="AO283" s="289">
        <v>0.99</v>
      </c>
      <c r="AP283" s="287">
        <v>0.3</v>
      </c>
      <c r="AQ283" s="288" cm="1">
        <f t="array" aca="1" ref="AQ283" ca="1">INDIRECT("'"&amp;$C283&amp;"'!"&amp;"$"&amp;$D283&amp;$AQ$1&amp;"")</f>
        <v>3</v>
      </c>
      <c r="AR283" s="289">
        <v>0.99</v>
      </c>
      <c r="AS283" s="287">
        <v>0.3</v>
      </c>
      <c r="AT283" s="289" cm="1">
        <f t="array" aca="1" ref="AT283" ca="1">INDIRECT("'"&amp;$C283&amp;"'!"&amp;"$"&amp;$D283&amp;$AT$1&amp;"")</f>
        <v>0</v>
      </c>
      <c r="AU283" s="288" t="s">
        <v>1</v>
      </c>
      <c r="AV283" s="289" t="s">
        <v>1</v>
      </c>
      <c r="AW283" s="287" t="s">
        <v>1</v>
      </c>
      <c r="AX283" s="291">
        <v>14.1</v>
      </c>
      <c r="AY283" s="290">
        <v>70.48</v>
      </c>
      <c r="AZ283" s="291" cm="1">
        <f t="array" aca="1" ref="AZ283" ca="1">INDIRECT("'"&amp;$C283&amp;"'!"&amp;"$"&amp;$D283&amp;$AZ$1&amp;"")</f>
        <v>12.82</v>
      </c>
      <c r="BA283" s="289">
        <v>0.99</v>
      </c>
      <c r="BB283" s="287">
        <v>2.2999999999999998</v>
      </c>
      <c r="BC283" s="292">
        <v>68.900000000000006</v>
      </c>
      <c r="BD283" s="286" cm="1">
        <f t="array" aca="1" ref="BD283" ca="1">INDIRECT("'"&amp;$C283&amp;"'!"&amp;"$"&amp;$D283&amp;$BC$1&amp;"")</f>
        <v>0</v>
      </c>
      <c r="BE283" s="288" t="s">
        <v>1</v>
      </c>
      <c r="BF283" s="287" t="s">
        <v>1</v>
      </c>
      <c r="BG283" s="291" cm="1">
        <f t="array" aca="1" ref="BG283" ca="1">INDIRECT("'"&amp;$C283&amp;"'!"&amp;"$"&amp;$D283&amp;$BG$1&amp;"")</f>
        <v>0.98</v>
      </c>
      <c r="BH283" s="289"/>
      <c r="BI283" s="289">
        <v>0.99</v>
      </c>
      <c r="BJ283" s="287">
        <v>0.14000000000000001</v>
      </c>
      <c r="BK283" s="291" cm="1">
        <f t="array" aca="1" ref="BK283" ca="1">INDIRECT("'"&amp;$C283&amp;"'!"&amp;"$"&amp;$D283&amp;$BK$1&amp;"")</f>
        <v>0.77</v>
      </c>
      <c r="BL283" s="289"/>
      <c r="BM283" s="289">
        <v>0.96</v>
      </c>
      <c r="BN283" s="287">
        <v>0.21</v>
      </c>
      <c r="BO283" s="292" cm="1">
        <f t="array" aca="1" ref="BO283" ca="1">INDIRECT("'"&amp;$C283&amp;"'!"&amp;"$"&amp;$D283&amp;74&amp;"")</f>
        <v>0</v>
      </c>
      <c r="BP283" s="289"/>
      <c r="BQ283" s="289" t="s">
        <v>1</v>
      </c>
      <c r="BR283" s="287" t="s">
        <v>1</v>
      </c>
    </row>
    <row r="284" spans="1:70">
      <c r="A284" s="361">
        <v>45759</v>
      </c>
      <c r="B284" s="358">
        <v>0.16666666666666699</v>
      </c>
      <c r="C284" s="313">
        <f t="shared" si="10"/>
        <v>12</v>
      </c>
      <c r="D284" s="314" t="s">
        <v>131</v>
      </c>
      <c r="E284" s="293">
        <v>14.2</v>
      </c>
      <c r="F284" s="294">
        <v>70.48</v>
      </c>
      <c r="G284" s="295" cm="1">
        <f t="array" aca="1" ref="G284" ca="1">INDIRECT("'"&amp;$C284&amp;"'!"&amp;"$"&amp;$D284&amp;$E$1&amp;"")</f>
        <v>0</v>
      </c>
      <c r="H284" s="296" t="s">
        <v>1</v>
      </c>
      <c r="I284" s="294" t="s">
        <v>1</v>
      </c>
      <c r="J284" s="295" cm="1">
        <f t="array" aca="1" ref="J284" ca="1">INDIRECT("'"&amp;$C284&amp;"'!"&amp;"$"&amp;$D284&amp;$J$1&amp;"")</f>
        <v>0</v>
      </c>
      <c r="K284" s="296"/>
      <c r="L284" s="296" t="s">
        <v>1</v>
      </c>
      <c r="M284" s="294" t="s">
        <v>1</v>
      </c>
      <c r="N284" s="295" cm="1">
        <f t="array" aca="1" ref="N284" ca="1">INDIRECT("'"&amp;$C284&amp;"'!"&amp;"$"&amp;$D284&amp;$N$1&amp;"")</f>
        <v>6.9</v>
      </c>
      <c r="O284" s="296"/>
      <c r="P284" s="296">
        <v>0.97</v>
      </c>
      <c r="Q284" s="294">
        <v>1.78</v>
      </c>
      <c r="R284" s="295" cm="1">
        <f t="array" aca="1" ref="R284" ca="1">INDIRECT("'"&amp;$C284&amp;"'!"&amp;"$"&amp;$D284&amp;$R$1&amp;"")</f>
        <v>6.9</v>
      </c>
      <c r="S284" s="296"/>
      <c r="T284" s="296">
        <v>0.97</v>
      </c>
      <c r="U284" s="294">
        <v>1.82</v>
      </c>
      <c r="V284" s="295" cm="1">
        <f t="array" aca="1" ref="V284" ca="1">INDIRECT("'"&amp;$C284&amp;"'!"&amp;"$"&amp;$D284&amp;$V$1&amp;"")</f>
        <v>0</v>
      </c>
      <c r="W284" s="296" t="s">
        <v>1</v>
      </c>
      <c r="X284" s="296" t="s">
        <v>1</v>
      </c>
      <c r="Y284" s="297" t="s">
        <v>1</v>
      </c>
      <c r="Z284" s="293" cm="1">
        <f t="array" aca="1" ref="Z284" ca="1">INDIRECT("'"&amp;$C284&amp;"'!"&amp;"$"&amp;$D284&amp;$Z$1&amp;"")</f>
        <v>0</v>
      </c>
      <c r="AA284" s="296" t="s">
        <v>1</v>
      </c>
      <c r="AB284" s="296" t="s">
        <v>1</v>
      </c>
      <c r="AC284" s="294" t="s">
        <v>1</v>
      </c>
      <c r="AD284" s="295" cm="1">
        <f t="array" aca="1" ref="AD284" ca="1">INDIRECT("'"&amp;$C284&amp;"'!"&amp;"$"&amp;$D284&amp;$AD$1&amp;"")</f>
        <v>0</v>
      </c>
      <c r="AE284" s="296" t="s">
        <v>1</v>
      </c>
      <c r="AF284" s="296" t="s">
        <v>1</v>
      </c>
      <c r="AG284" s="297" t="s">
        <v>1</v>
      </c>
      <c r="AH284" s="293" cm="1">
        <f t="array" aca="1" ref="AH284" ca="1">INDIRECT("'"&amp;$C284&amp;"'!"&amp;"$"&amp;$D284&amp;$AH$1&amp;"")</f>
        <v>0</v>
      </c>
      <c r="AI284" s="296" t="s">
        <v>1</v>
      </c>
      <c r="AJ284" s="296" t="s">
        <v>1</v>
      </c>
      <c r="AK284" s="297" t="s">
        <v>1</v>
      </c>
      <c r="AL284" s="293">
        <v>11.9</v>
      </c>
      <c r="AM284" s="297">
        <v>70.8</v>
      </c>
      <c r="AN284" s="293" cm="1">
        <f t="array" aca="1" ref="AN284" ca="1">INDIRECT("'"&amp;$C284&amp;"'!"&amp;"$"&amp;$D284&amp;$AL$1&amp;"")</f>
        <v>4.4000000000000004</v>
      </c>
      <c r="AO284" s="296">
        <v>0.99</v>
      </c>
      <c r="AP284" s="294">
        <v>0.2</v>
      </c>
      <c r="AQ284" s="295" cm="1">
        <f t="array" aca="1" ref="AQ284" ca="1">INDIRECT("'"&amp;$C284&amp;"'!"&amp;"$"&amp;$D284&amp;$AQ$1&amp;"")</f>
        <v>4.4000000000000004</v>
      </c>
      <c r="AR284" s="296">
        <v>0.99</v>
      </c>
      <c r="AS284" s="294">
        <v>0.2</v>
      </c>
      <c r="AT284" s="296" cm="1">
        <f t="array" aca="1" ref="AT284" ca="1">INDIRECT("'"&amp;$C284&amp;"'!"&amp;"$"&amp;$D284&amp;$AT$1&amp;"")</f>
        <v>0</v>
      </c>
      <c r="AU284" s="295" t="s">
        <v>1</v>
      </c>
      <c r="AV284" s="296" t="s">
        <v>1</v>
      </c>
      <c r="AW284" s="294" t="s">
        <v>1</v>
      </c>
      <c r="AX284" s="298">
        <v>14.2</v>
      </c>
      <c r="AY284" s="297">
        <v>71.83</v>
      </c>
      <c r="AZ284" s="298" cm="1">
        <f t="array" aca="1" ref="AZ284" ca="1">INDIRECT("'"&amp;$C284&amp;"'!"&amp;"$"&amp;$D284&amp;$AZ$1&amp;"")</f>
        <v>14.24</v>
      </c>
      <c r="BA284" s="296">
        <v>0.99</v>
      </c>
      <c r="BB284" s="294">
        <v>2.4</v>
      </c>
      <c r="BC284" s="299">
        <v>69.2</v>
      </c>
      <c r="BD284" s="293" cm="1">
        <f t="array" aca="1" ref="BD284" ca="1">INDIRECT("'"&amp;$C284&amp;"'!"&amp;"$"&amp;$D284&amp;$BC$1&amp;"")</f>
        <v>2</v>
      </c>
      <c r="BE284" s="295">
        <v>0.98</v>
      </c>
      <c r="BF284" s="294">
        <v>0.39</v>
      </c>
      <c r="BG284" s="298" cm="1">
        <f t="array" aca="1" ref="BG284" ca="1">INDIRECT("'"&amp;$C284&amp;"'!"&amp;"$"&amp;$D284&amp;$BG$1&amp;"")</f>
        <v>0.88</v>
      </c>
      <c r="BH284" s="296"/>
      <c r="BI284" s="296">
        <v>0.99</v>
      </c>
      <c r="BJ284" s="294">
        <v>0.12</v>
      </c>
      <c r="BK284" s="298" cm="1">
        <f t="array" aca="1" ref="BK284" ca="1">INDIRECT("'"&amp;$C284&amp;"'!"&amp;"$"&amp;$D284&amp;$BK$1&amp;"")</f>
        <v>0.76</v>
      </c>
      <c r="BL284" s="296"/>
      <c r="BM284" s="296">
        <v>0.96</v>
      </c>
      <c r="BN284" s="294">
        <v>0.21</v>
      </c>
      <c r="BO284" s="299" cm="1">
        <f t="array" aca="1" ref="BO284" ca="1">INDIRECT("'"&amp;$C284&amp;"'!"&amp;"$"&amp;$D284&amp;74&amp;"")</f>
        <v>0</v>
      </c>
      <c r="BP284" s="296"/>
      <c r="BQ284" s="296" t="s">
        <v>1</v>
      </c>
      <c r="BR284" s="294" t="s">
        <v>1</v>
      </c>
    </row>
    <row r="285" spans="1:70">
      <c r="A285" s="361">
        <v>45759</v>
      </c>
      <c r="B285" s="358">
        <v>0.20833333333333301</v>
      </c>
      <c r="C285" s="313">
        <f t="shared" si="10"/>
        <v>12</v>
      </c>
      <c r="D285" s="314" t="s">
        <v>132</v>
      </c>
      <c r="E285" s="286">
        <v>14.2</v>
      </c>
      <c r="F285" s="287">
        <v>70.290000000000006</v>
      </c>
      <c r="G285" s="288" cm="1">
        <f t="array" aca="1" ref="G285" ca="1">INDIRECT("'"&amp;$C285&amp;"'!"&amp;"$"&amp;$D285&amp;$E$1&amp;"")</f>
        <v>0</v>
      </c>
      <c r="H285" s="289" t="s">
        <v>1</v>
      </c>
      <c r="I285" s="287" t="s">
        <v>1</v>
      </c>
      <c r="J285" s="288" cm="1">
        <f t="array" aca="1" ref="J285" ca="1">INDIRECT("'"&amp;$C285&amp;"'!"&amp;"$"&amp;$D285&amp;$J$1&amp;"")</f>
        <v>0</v>
      </c>
      <c r="K285" s="289"/>
      <c r="L285" s="289" t="s">
        <v>1</v>
      </c>
      <c r="M285" s="287" t="s">
        <v>1</v>
      </c>
      <c r="N285" s="288" cm="1">
        <f t="array" aca="1" ref="N285" ca="1">INDIRECT("'"&amp;$C285&amp;"'!"&amp;"$"&amp;$D285&amp;$N$1&amp;"")</f>
        <v>6.9</v>
      </c>
      <c r="O285" s="289"/>
      <c r="P285" s="289">
        <v>0.96</v>
      </c>
      <c r="Q285" s="287">
        <v>2.14</v>
      </c>
      <c r="R285" s="288" cm="1">
        <f t="array" aca="1" ref="R285" ca="1">INDIRECT("'"&amp;$C285&amp;"'!"&amp;"$"&amp;$D285&amp;$R$1&amp;"")</f>
        <v>6.9</v>
      </c>
      <c r="S285" s="289"/>
      <c r="T285" s="289">
        <v>0.96</v>
      </c>
      <c r="U285" s="287">
        <v>2.14</v>
      </c>
      <c r="V285" s="288" cm="1">
        <f t="array" aca="1" ref="V285" ca="1">INDIRECT("'"&amp;$C285&amp;"'!"&amp;"$"&amp;$D285&amp;$V$1&amp;"")</f>
        <v>2.8</v>
      </c>
      <c r="W285" s="289">
        <f>3.55*3.8</f>
        <v>13.489999999999998</v>
      </c>
      <c r="X285" s="289">
        <v>0.98</v>
      </c>
      <c r="Y285" s="290">
        <v>0.51</v>
      </c>
      <c r="Z285" s="286" cm="1">
        <f t="array" aca="1" ref="Z285" ca="1">INDIRECT("'"&amp;$C285&amp;"'!"&amp;"$"&amp;$D285&amp;$Z$1&amp;"")</f>
        <v>0</v>
      </c>
      <c r="AA285" s="289" t="s">
        <v>1</v>
      </c>
      <c r="AB285" s="289" t="s">
        <v>1</v>
      </c>
      <c r="AC285" s="287" t="s">
        <v>1</v>
      </c>
      <c r="AD285" s="288" cm="1">
        <f t="array" aca="1" ref="AD285" ca="1">INDIRECT("'"&amp;$C285&amp;"'!"&amp;"$"&amp;$D285&amp;$AD$1&amp;"")</f>
        <v>0</v>
      </c>
      <c r="AE285" s="289" t="s">
        <v>1</v>
      </c>
      <c r="AF285" s="289" t="s">
        <v>1</v>
      </c>
      <c r="AG285" s="290" t="s">
        <v>1</v>
      </c>
      <c r="AH285" s="286" cm="1">
        <f t="array" aca="1" ref="AH285" ca="1">INDIRECT("'"&amp;$C285&amp;"'!"&amp;"$"&amp;$D285&amp;$AH$1&amp;"")</f>
        <v>0</v>
      </c>
      <c r="AI285" s="289" t="s">
        <v>1</v>
      </c>
      <c r="AJ285" s="289" t="s">
        <v>1</v>
      </c>
      <c r="AK285" s="287" t="s">
        <v>1</v>
      </c>
      <c r="AL285" s="286">
        <v>11.9</v>
      </c>
      <c r="AM285" s="290">
        <v>70.599999999999994</v>
      </c>
      <c r="AN285" s="286" cm="1">
        <f t="array" aca="1" ref="AN285" ca="1">INDIRECT("'"&amp;$C285&amp;"'!"&amp;"$"&amp;$D285&amp;$AL$1&amp;"")</f>
        <v>4.2</v>
      </c>
      <c r="AO285" s="289">
        <v>0.99</v>
      </c>
      <c r="AP285" s="287">
        <v>0.3</v>
      </c>
      <c r="AQ285" s="288" cm="1">
        <f t="array" aca="1" ref="AQ285" ca="1">INDIRECT("'"&amp;$C285&amp;"'!"&amp;"$"&amp;$D285&amp;$AQ$1&amp;"")</f>
        <v>4.2</v>
      </c>
      <c r="AR285" s="289">
        <v>0.99</v>
      </c>
      <c r="AS285" s="287">
        <v>0.3</v>
      </c>
      <c r="AT285" s="289" cm="1">
        <f t="array" aca="1" ref="AT285" ca="1">INDIRECT("'"&amp;$C285&amp;"'!"&amp;"$"&amp;$D285&amp;$AT$1&amp;"")</f>
        <v>0</v>
      </c>
      <c r="AU285" s="288" t="s">
        <v>1</v>
      </c>
      <c r="AV285" s="289" t="s">
        <v>1</v>
      </c>
      <c r="AW285" s="287" t="s">
        <v>1</v>
      </c>
      <c r="AX285" s="291">
        <v>14.16</v>
      </c>
      <c r="AY285" s="290">
        <v>71.58</v>
      </c>
      <c r="AZ285" s="291" cm="1">
        <f t="array" aca="1" ref="AZ285" ca="1">INDIRECT("'"&amp;$C285&amp;"'!"&amp;"$"&amp;$D285&amp;$AZ$1&amp;"")</f>
        <v>14.26</v>
      </c>
      <c r="BA285" s="289">
        <v>0.99</v>
      </c>
      <c r="BB285" s="287">
        <v>2.4</v>
      </c>
      <c r="BC285" s="292">
        <v>69</v>
      </c>
      <c r="BD285" s="286" cm="1">
        <f t="array" aca="1" ref="BD285" ca="1">INDIRECT("'"&amp;$C285&amp;"'!"&amp;"$"&amp;$D285&amp;$BC$1&amp;"")</f>
        <v>0</v>
      </c>
      <c r="BE285" s="288" t="s">
        <v>1</v>
      </c>
      <c r="BF285" s="287" t="s">
        <v>1</v>
      </c>
      <c r="BG285" s="291" cm="1">
        <f t="array" aca="1" ref="BG285" ca="1">INDIRECT("'"&amp;$C285&amp;"'!"&amp;"$"&amp;$D285&amp;$BG$1&amp;"")</f>
        <v>0.87</v>
      </c>
      <c r="BH285" s="289"/>
      <c r="BI285" s="289">
        <v>0.99</v>
      </c>
      <c r="BJ285" s="287">
        <v>0.12</v>
      </c>
      <c r="BK285" s="291" cm="1">
        <f t="array" aca="1" ref="BK285" ca="1">INDIRECT("'"&amp;$C285&amp;"'!"&amp;"$"&amp;$D285&amp;$BK$1&amp;"")</f>
        <v>0.77</v>
      </c>
      <c r="BL285" s="289"/>
      <c r="BM285" s="289">
        <v>0.96</v>
      </c>
      <c r="BN285" s="287">
        <v>0.21</v>
      </c>
      <c r="BO285" s="292" cm="1">
        <f t="array" aca="1" ref="BO285" ca="1">INDIRECT("'"&amp;$C285&amp;"'!"&amp;"$"&amp;$D285&amp;74&amp;"")</f>
        <v>0</v>
      </c>
      <c r="BP285" s="289"/>
      <c r="BQ285" s="289" t="s">
        <v>1</v>
      </c>
      <c r="BR285" s="287" t="s">
        <v>1</v>
      </c>
    </row>
    <row r="286" spans="1:70">
      <c r="A286" s="361">
        <v>45759</v>
      </c>
      <c r="B286" s="358">
        <v>0.25</v>
      </c>
      <c r="C286" s="313">
        <f t="shared" si="10"/>
        <v>12</v>
      </c>
      <c r="D286" s="314" t="s">
        <v>133</v>
      </c>
      <c r="E286" s="293">
        <v>14.2</v>
      </c>
      <c r="F286" s="294">
        <v>70.48</v>
      </c>
      <c r="G286" s="295" cm="1">
        <f t="array" aca="1" ref="G286" ca="1">INDIRECT("'"&amp;$C286&amp;"'!"&amp;"$"&amp;$D286&amp;$E$1&amp;"")</f>
        <v>0</v>
      </c>
      <c r="H286" s="296" t="s">
        <v>1</v>
      </c>
      <c r="I286" s="294" t="s">
        <v>1</v>
      </c>
      <c r="J286" s="295" cm="1">
        <f t="array" aca="1" ref="J286" ca="1">INDIRECT("'"&amp;$C286&amp;"'!"&amp;"$"&amp;$D286&amp;$J$1&amp;"")</f>
        <v>1.5</v>
      </c>
      <c r="K286" s="296"/>
      <c r="L286" s="296">
        <v>0.96</v>
      </c>
      <c r="M286" s="294">
        <v>0.46</v>
      </c>
      <c r="N286" s="295" cm="1">
        <f t="array" aca="1" ref="N286" ca="1">INDIRECT("'"&amp;$C286&amp;"'!"&amp;"$"&amp;$D286&amp;$N$1&amp;"")</f>
        <v>6</v>
      </c>
      <c r="O286" s="296"/>
      <c r="P286" s="296">
        <v>0.97</v>
      </c>
      <c r="Q286" s="294">
        <v>1.6</v>
      </c>
      <c r="R286" s="295" cm="1">
        <f t="array" aca="1" ref="R286" ca="1">INDIRECT("'"&amp;$C286&amp;"'!"&amp;"$"&amp;$D286&amp;$R$1&amp;"")</f>
        <v>6</v>
      </c>
      <c r="S286" s="296"/>
      <c r="T286" s="296">
        <v>0.97</v>
      </c>
      <c r="U286" s="294">
        <v>1.61</v>
      </c>
      <c r="V286" s="295" cm="1">
        <f t="array" aca="1" ref="V286" ca="1">INDIRECT("'"&amp;$C286&amp;"'!"&amp;"$"&amp;$D286&amp;$V$1&amp;"")</f>
        <v>2.8</v>
      </c>
      <c r="W286" s="296">
        <f>3.56*3.8</f>
        <v>13.527999999999999</v>
      </c>
      <c r="X286" s="296">
        <v>0.98</v>
      </c>
      <c r="Y286" s="297">
        <v>0.52</v>
      </c>
      <c r="Z286" s="293" cm="1">
        <f t="array" aca="1" ref="Z286" ca="1">INDIRECT("'"&amp;$C286&amp;"'!"&amp;"$"&amp;$D286&amp;$Z$1&amp;"")</f>
        <v>0</v>
      </c>
      <c r="AA286" s="296" t="s">
        <v>1</v>
      </c>
      <c r="AB286" s="296" t="s">
        <v>1</v>
      </c>
      <c r="AC286" s="294" t="s">
        <v>1</v>
      </c>
      <c r="AD286" s="295" cm="1">
        <f t="array" aca="1" ref="AD286" ca="1">INDIRECT("'"&amp;$C286&amp;"'!"&amp;"$"&amp;$D286&amp;$AD$1&amp;"")</f>
        <v>0</v>
      </c>
      <c r="AE286" s="296" t="s">
        <v>1</v>
      </c>
      <c r="AF286" s="296" t="s">
        <v>1</v>
      </c>
      <c r="AG286" s="297" t="s">
        <v>1</v>
      </c>
      <c r="AH286" s="293" cm="1">
        <f t="array" aca="1" ref="AH286" ca="1">INDIRECT("'"&amp;$C286&amp;"'!"&amp;"$"&amp;$D286&amp;$AH$1&amp;"")</f>
        <v>0</v>
      </c>
      <c r="AI286" s="296" t="s">
        <v>1</v>
      </c>
      <c r="AJ286" s="296" t="s">
        <v>1</v>
      </c>
      <c r="AK286" s="297" t="s">
        <v>1</v>
      </c>
      <c r="AL286" s="293">
        <v>11.9</v>
      </c>
      <c r="AM286" s="297">
        <v>70.599999999999994</v>
      </c>
      <c r="AN286" s="293" cm="1">
        <f t="array" aca="1" ref="AN286" ca="1">INDIRECT("'"&amp;$C286&amp;"'!"&amp;"$"&amp;$D286&amp;$AL$1&amp;"")</f>
        <v>4</v>
      </c>
      <c r="AO286" s="296">
        <v>0.99</v>
      </c>
      <c r="AP286" s="294">
        <v>0.35</v>
      </c>
      <c r="AQ286" s="295" cm="1">
        <f t="array" aca="1" ref="AQ286" ca="1">INDIRECT("'"&amp;$C286&amp;"'!"&amp;"$"&amp;$D286&amp;$AQ$1&amp;"")</f>
        <v>4</v>
      </c>
      <c r="AR286" s="296">
        <v>0.99</v>
      </c>
      <c r="AS286" s="294">
        <v>0.35</v>
      </c>
      <c r="AT286" s="296" cm="1">
        <f t="array" aca="1" ref="AT286" ca="1">INDIRECT("'"&amp;$C286&amp;"'!"&amp;"$"&amp;$D286&amp;$AT$1&amp;"")</f>
        <v>0</v>
      </c>
      <c r="AU286" s="295" t="s">
        <v>1</v>
      </c>
      <c r="AV286" s="296" t="s">
        <v>1</v>
      </c>
      <c r="AW286" s="294" t="s">
        <v>1</v>
      </c>
      <c r="AX286" s="298">
        <v>14.09</v>
      </c>
      <c r="AY286" s="297">
        <v>71.39</v>
      </c>
      <c r="AZ286" s="298" cm="1">
        <f t="array" aca="1" ref="AZ286" ca="1">INDIRECT("'"&amp;$C286&amp;"'!"&amp;"$"&amp;$D286&amp;$AZ$1&amp;"")</f>
        <v>14.29</v>
      </c>
      <c r="BA286" s="296">
        <v>0.99</v>
      </c>
      <c r="BB286" s="294">
        <v>2.4</v>
      </c>
      <c r="BC286" s="299">
        <v>69.2</v>
      </c>
      <c r="BD286" s="293" cm="1">
        <f t="array" aca="1" ref="BD286" ca="1">INDIRECT("'"&amp;$C286&amp;"'!"&amp;"$"&amp;$D286&amp;$BC$1&amp;"")</f>
        <v>2</v>
      </c>
      <c r="BE286" s="295">
        <v>0.98</v>
      </c>
      <c r="BF286" s="294">
        <v>0.4</v>
      </c>
      <c r="BG286" s="298" cm="1">
        <f t="array" aca="1" ref="BG286" ca="1">INDIRECT("'"&amp;$C286&amp;"'!"&amp;"$"&amp;$D286&amp;$BG$1&amp;"")</f>
        <v>0.95</v>
      </c>
      <c r="BH286" s="296"/>
      <c r="BI286" s="296">
        <v>0.99</v>
      </c>
      <c r="BJ286" s="294">
        <v>0.12</v>
      </c>
      <c r="BK286" s="298" cm="1">
        <f t="array" aca="1" ref="BK286" ca="1">INDIRECT("'"&amp;$C286&amp;"'!"&amp;"$"&amp;$D286&amp;$BK$1&amp;"")</f>
        <v>0.78</v>
      </c>
      <c r="BL286" s="296"/>
      <c r="BM286" s="296">
        <v>0.96</v>
      </c>
      <c r="BN286" s="294">
        <v>0.2</v>
      </c>
      <c r="BO286" s="299" cm="1">
        <f t="array" aca="1" ref="BO286" ca="1">INDIRECT("'"&amp;$C286&amp;"'!"&amp;"$"&amp;$D286&amp;74&amp;"")</f>
        <v>0</v>
      </c>
      <c r="BP286" s="296"/>
      <c r="BQ286" s="296" t="s">
        <v>1</v>
      </c>
      <c r="BR286" s="294" t="s">
        <v>1</v>
      </c>
    </row>
    <row r="287" spans="1:70">
      <c r="A287" s="361">
        <v>45759</v>
      </c>
      <c r="B287" s="358">
        <v>0.29166666666666702</v>
      </c>
      <c r="C287" s="313">
        <f t="shared" si="10"/>
        <v>12</v>
      </c>
      <c r="D287" s="314" t="s">
        <v>134</v>
      </c>
      <c r="E287" s="286">
        <v>14.2</v>
      </c>
      <c r="F287" s="287">
        <v>70.16</v>
      </c>
      <c r="G287" s="288" cm="1">
        <f t="array" aca="1" ref="G287" ca="1">INDIRECT("'"&amp;$C287&amp;"'!"&amp;"$"&amp;$D287&amp;$E$1&amp;"")</f>
        <v>0</v>
      </c>
      <c r="H287" s="289" t="s">
        <v>1</v>
      </c>
      <c r="I287" s="287" t="s">
        <v>1</v>
      </c>
      <c r="J287" s="288" t="str" cm="1">
        <f t="array" aca="1" ref="J287" ca="1">INDIRECT("'"&amp;$C287&amp;"'!"&amp;"$"&amp;$D287&amp;$J$1&amp;"")</f>
        <v>CMS</v>
      </c>
      <c r="K287" s="289"/>
      <c r="L287" s="289" t="s">
        <v>1</v>
      </c>
      <c r="M287" s="287" t="s">
        <v>1</v>
      </c>
      <c r="N287" s="288" cm="1">
        <f t="array" aca="1" ref="N287" ca="1">INDIRECT("'"&amp;$C287&amp;"'!"&amp;"$"&amp;$D287&amp;$N$1&amp;"")</f>
        <v>6.8</v>
      </c>
      <c r="O287" s="289"/>
      <c r="P287" s="289">
        <v>0.94</v>
      </c>
      <c r="Q287" s="287">
        <v>2.39</v>
      </c>
      <c r="R287" s="288" cm="1">
        <f t="array" aca="1" ref="R287" ca="1">INDIRECT("'"&amp;$C287&amp;"'!"&amp;"$"&amp;$D287&amp;$R$1&amp;"")</f>
        <v>6.8</v>
      </c>
      <c r="S287" s="289"/>
      <c r="T287" s="289">
        <v>0.94</v>
      </c>
      <c r="U287" s="287">
        <v>2.37</v>
      </c>
      <c r="V287" s="288" cm="1">
        <f t="array" aca="1" ref="V287" ca="1">INDIRECT("'"&amp;$C287&amp;"'!"&amp;"$"&amp;$D287&amp;$V$1&amp;"")</f>
        <v>2.8</v>
      </c>
      <c r="W287" s="289">
        <f>3.8*3.53</f>
        <v>13.413999999999998</v>
      </c>
      <c r="X287" s="289">
        <v>0.98</v>
      </c>
      <c r="Y287" s="290">
        <v>0.53</v>
      </c>
      <c r="Z287" s="286" cm="1">
        <f t="array" aca="1" ref="Z287" ca="1">INDIRECT("'"&amp;$C287&amp;"'!"&amp;"$"&amp;$D287&amp;$Z$1&amp;"")</f>
        <v>0</v>
      </c>
      <c r="AA287" s="289" t="s">
        <v>1</v>
      </c>
      <c r="AB287" s="289" t="s">
        <v>1</v>
      </c>
      <c r="AC287" s="287" t="s">
        <v>1</v>
      </c>
      <c r="AD287" s="288" cm="1">
        <f t="array" aca="1" ref="AD287" ca="1">INDIRECT("'"&amp;$C287&amp;"'!"&amp;"$"&amp;$D287&amp;$AD$1&amp;"")</f>
        <v>0</v>
      </c>
      <c r="AE287" s="289" t="s">
        <v>1</v>
      </c>
      <c r="AF287" s="289" t="s">
        <v>1</v>
      </c>
      <c r="AG287" s="290" t="s">
        <v>1</v>
      </c>
      <c r="AH287" s="286" cm="1">
        <f t="array" aca="1" ref="AH287" ca="1">INDIRECT("'"&amp;$C287&amp;"'!"&amp;"$"&amp;$D287&amp;$AH$1&amp;"")</f>
        <v>0</v>
      </c>
      <c r="AI287" s="289" t="s">
        <v>1</v>
      </c>
      <c r="AJ287" s="289" t="s">
        <v>1</v>
      </c>
      <c r="AK287" s="287" t="s">
        <v>1</v>
      </c>
      <c r="AL287" s="286">
        <v>11.9</v>
      </c>
      <c r="AM287" s="290">
        <v>70.400000000000006</v>
      </c>
      <c r="AN287" s="286" cm="1">
        <f t="array" aca="1" ref="AN287" ca="1">INDIRECT("'"&amp;$C287&amp;"'!"&amp;"$"&amp;$D287&amp;$AL$1&amp;"")</f>
        <v>4</v>
      </c>
      <c r="AO287" s="289">
        <v>0.99</v>
      </c>
      <c r="AP287" s="287">
        <v>0.54</v>
      </c>
      <c r="AQ287" s="288" cm="1">
        <f t="array" aca="1" ref="AQ287" ca="1">INDIRECT("'"&amp;$C287&amp;"'!"&amp;"$"&amp;$D287&amp;$AQ$1&amp;"")</f>
        <v>4</v>
      </c>
      <c r="AR287" s="289">
        <v>0.99</v>
      </c>
      <c r="AS287" s="287">
        <v>0.54</v>
      </c>
      <c r="AT287" s="289" cm="1">
        <f t="array" aca="1" ref="AT287" ca="1">INDIRECT("'"&amp;$C287&amp;"'!"&amp;"$"&amp;$D287&amp;$AT$1&amp;"")</f>
        <v>0</v>
      </c>
      <c r="AU287" s="288" t="s">
        <v>1</v>
      </c>
      <c r="AV287" s="289" t="s">
        <v>1</v>
      </c>
      <c r="AW287" s="287" t="s">
        <v>1</v>
      </c>
      <c r="AX287" s="291">
        <v>14.11</v>
      </c>
      <c r="AY287" s="290">
        <v>71.260000000000005</v>
      </c>
      <c r="AZ287" s="291" cm="1">
        <f t="array" aca="1" ref="AZ287" ca="1">INDIRECT("'"&amp;$C287&amp;"'!"&amp;"$"&amp;$D287&amp;$AZ$1&amp;"")</f>
        <v>14.31</v>
      </c>
      <c r="BA287" s="289">
        <v>0.99</v>
      </c>
      <c r="BB287" s="287">
        <v>2.4</v>
      </c>
      <c r="BC287" s="292">
        <v>68.7</v>
      </c>
      <c r="BD287" s="286" cm="1">
        <f t="array" aca="1" ref="BD287" ca="1">INDIRECT("'"&amp;$C287&amp;"'!"&amp;"$"&amp;$D287&amp;$BC$1&amp;"")</f>
        <v>1.3</v>
      </c>
      <c r="BE287" s="288">
        <v>0.98</v>
      </c>
      <c r="BF287" s="287">
        <v>0.26</v>
      </c>
      <c r="BG287" s="291" cm="1">
        <f t="array" aca="1" ref="BG287" ca="1">INDIRECT("'"&amp;$C287&amp;"'!"&amp;"$"&amp;$D287&amp;$BG$1&amp;"")</f>
        <v>1.1000000000000001</v>
      </c>
      <c r="BH287" s="289"/>
      <c r="BI287" s="289">
        <v>0.99</v>
      </c>
      <c r="BJ287" s="287">
        <v>0.17</v>
      </c>
      <c r="BK287" s="292" cm="1">
        <f t="array" aca="1" ref="BK287" ca="1">INDIRECT("'"&amp;$C287&amp;"'!"&amp;"$"&amp;$D287&amp;$BK$1&amp;"")</f>
        <v>0.8</v>
      </c>
      <c r="BL287" s="289"/>
      <c r="BM287" s="289">
        <v>0.9</v>
      </c>
      <c r="BN287" s="287">
        <v>0.21</v>
      </c>
      <c r="BO287" s="292" cm="1">
        <f t="array" aca="1" ref="BO287" ca="1">INDIRECT("'"&amp;$C287&amp;"'!"&amp;"$"&amp;$D287&amp;74&amp;"")</f>
        <v>0</v>
      </c>
      <c r="BP287" s="289"/>
      <c r="BQ287" s="289" t="s">
        <v>1</v>
      </c>
      <c r="BR287" s="287" t="s">
        <v>1</v>
      </c>
    </row>
    <row r="288" spans="1:70">
      <c r="A288" s="361">
        <v>45759</v>
      </c>
      <c r="B288" s="358">
        <v>0.33333333333333398</v>
      </c>
      <c r="C288" s="313">
        <f t="shared" si="10"/>
        <v>12</v>
      </c>
      <c r="D288" s="314" t="s">
        <v>135</v>
      </c>
      <c r="E288" s="293">
        <v>14.1</v>
      </c>
      <c r="F288" s="294">
        <v>69.64</v>
      </c>
      <c r="G288" s="295" cm="1">
        <f t="array" aca="1" ref="G288" ca="1">INDIRECT("'"&amp;$C288&amp;"'!"&amp;"$"&amp;$D288&amp;$E$1&amp;"")</f>
        <v>0</v>
      </c>
      <c r="H288" s="296" t="s">
        <v>1</v>
      </c>
      <c r="I288" s="294" t="s">
        <v>1</v>
      </c>
      <c r="J288" s="295" t="str" cm="1">
        <f t="array" aca="1" ref="J288" ca="1">INDIRECT("'"&amp;$C288&amp;"'!"&amp;"$"&amp;$D288&amp;$J$1&amp;"")</f>
        <v>CMS</v>
      </c>
      <c r="K288" s="296"/>
      <c r="L288" s="296" t="s">
        <v>1</v>
      </c>
      <c r="M288" s="294" t="s">
        <v>1</v>
      </c>
      <c r="N288" s="295" cm="1">
        <f t="array" aca="1" ref="N288" ca="1">INDIRECT("'"&amp;$C288&amp;"'!"&amp;"$"&amp;$D288&amp;$N$1&amp;"")</f>
        <v>6.8</v>
      </c>
      <c r="O288" s="296"/>
      <c r="P288" s="296">
        <v>0.91</v>
      </c>
      <c r="Q288" s="294">
        <v>3.1</v>
      </c>
      <c r="R288" s="295" cm="1">
        <f t="array" aca="1" ref="R288" ca="1">INDIRECT("'"&amp;$C288&amp;"'!"&amp;"$"&amp;$D288&amp;$R$1&amp;"")</f>
        <v>6.8</v>
      </c>
      <c r="S288" s="296"/>
      <c r="T288" s="296">
        <v>0.91</v>
      </c>
      <c r="U288" s="294">
        <v>3.09</v>
      </c>
      <c r="V288" s="295" cm="1">
        <f t="array" aca="1" ref="V288" ca="1">INDIRECT("'"&amp;$C288&amp;"'!"&amp;"$"&amp;$D288&amp;$V$1&amp;"")</f>
        <v>2.8</v>
      </c>
      <c r="W288" s="296">
        <f>3.8*3.55</f>
        <v>13.489999999999998</v>
      </c>
      <c r="X288" s="296">
        <v>0.98</v>
      </c>
      <c r="Y288" s="297">
        <v>0.84</v>
      </c>
      <c r="Z288" s="293" cm="1">
        <f t="array" aca="1" ref="Z288" ca="1">INDIRECT("'"&amp;$C288&amp;"'!"&amp;"$"&amp;$D288&amp;$Z$1&amp;"")</f>
        <v>0</v>
      </c>
      <c r="AA288" s="296" t="s">
        <v>1</v>
      </c>
      <c r="AB288" s="296" t="s">
        <v>1</v>
      </c>
      <c r="AC288" s="294" t="s">
        <v>1</v>
      </c>
      <c r="AD288" s="295" cm="1">
        <f t="array" aca="1" ref="AD288" ca="1">INDIRECT("'"&amp;$C288&amp;"'!"&amp;"$"&amp;$D288&amp;$AD$1&amp;"")</f>
        <v>2.8</v>
      </c>
      <c r="AE288" s="296">
        <f>3.8*3.55</f>
        <v>13.489999999999998</v>
      </c>
      <c r="AF288" s="296">
        <v>0.95</v>
      </c>
      <c r="AG288" s="297">
        <v>0.86</v>
      </c>
      <c r="AH288" s="293" cm="1">
        <f t="array" aca="1" ref="AH288" ca="1">INDIRECT("'"&amp;$C288&amp;"'!"&amp;"$"&amp;$D288&amp;$AH$1&amp;"")</f>
        <v>3.8</v>
      </c>
      <c r="AI288" s="296">
        <v>13.88</v>
      </c>
      <c r="AJ288" s="296">
        <v>0.97</v>
      </c>
      <c r="AK288" s="294">
        <v>0.52900000000000003</v>
      </c>
      <c r="AL288" s="293">
        <v>11.9</v>
      </c>
      <c r="AM288" s="297">
        <v>70.099999999999994</v>
      </c>
      <c r="AN288" s="293" cm="1">
        <f t="array" aca="1" ref="AN288" ca="1">INDIRECT("'"&amp;$C288&amp;"'!"&amp;"$"&amp;$D288&amp;$AL$1&amp;"")</f>
        <v>4</v>
      </c>
      <c r="AO288" s="296">
        <v>0.95</v>
      </c>
      <c r="AP288" s="294">
        <v>1.28</v>
      </c>
      <c r="AQ288" s="295" cm="1">
        <f t="array" aca="1" ref="AQ288" ca="1">INDIRECT("'"&amp;$C288&amp;"'!"&amp;"$"&amp;$D288&amp;$AQ$1&amp;"")</f>
        <v>4</v>
      </c>
      <c r="AR288" s="296">
        <v>0.95</v>
      </c>
      <c r="AS288" s="294">
        <v>1.28</v>
      </c>
      <c r="AT288" s="296" cm="1">
        <f t="array" aca="1" ref="AT288" ca="1">INDIRECT("'"&amp;$C288&amp;"'!"&amp;"$"&amp;$D288&amp;$AT$1&amp;"")</f>
        <v>0</v>
      </c>
      <c r="AU288" s="295" t="s">
        <v>1</v>
      </c>
      <c r="AV288" s="296" t="s">
        <v>1</v>
      </c>
      <c r="AW288" s="294" t="s">
        <v>1</v>
      </c>
      <c r="AX288" s="298">
        <v>13.96</v>
      </c>
      <c r="AY288" s="297">
        <v>70.92</v>
      </c>
      <c r="AZ288" s="298" cm="1">
        <f t="array" aca="1" ref="AZ288" ca="1">INDIRECT("'"&amp;$C288&amp;"'!"&amp;"$"&amp;$D288&amp;$AZ$1&amp;"")</f>
        <v>14.28</v>
      </c>
      <c r="BA288" s="296">
        <v>1</v>
      </c>
      <c r="BB288" s="294">
        <v>1.3</v>
      </c>
      <c r="BC288" s="299">
        <v>68.2</v>
      </c>
      <c r="BD288" s="293" cm="1">
        <f t="array" aca="1" ref="BD288" ca="1">INDIRECT("'"&amp;$C288&amp;"'!"&amp;"$"&amp;$D288&amp;$BC$1&amp;"")</f>
        <v>0</v>
      </c>
      <c r="BE288" s="295" t="s">
        <v>1</v>
      </c>
      <c r="BF288" s="294" t="s">
        <v>1</v>
      </c>
      <c r="BG288" s="298" cm="1">
        <f t="array" aca="1" ref="BG288" ca="1">INDIRECT("'"&amp;$C288&amp;"'!"&amp;"$"&amp;$D288&amp;$BG$1&amp;"")</f>
        <v>1.1100000000000001</v>
      </c>
      <c r="BH288" s="296"/>
      <c r="BI288" s="296">
        <v>0.99</v>
      </c>
      <c r="BJ288" s="294">
        <v>0.19</v>
      </c>
      <c r="BK288" s="299" cm="1">
        <f t="array" aca="1" ref="BK288" ca="1">INDIRECT("'"&amp;$C288&amp;"'!"&amp;"$"&amp;$D288&amp;$BK$1&amp;"")</f>
        <v>0.78</v>
      </c>
      <c r="BL288" s="296"/>
      <c r="BM288" s="296">
        <v>0.96</v>
      </c>
      <c r="BN288" s="294">
        <v>0.22</v>
      </c>
      <c r="BO288" s="299" cm="1">
        <f t="array" aca="1" ref="BO288" ca="1">INDIRECT("'"&amp;$C288&amp;"'!"&amp;"$"&amp;$D288&amp;74&amp;"")</f>
        <v>0</v>
      </c>
      <c r="BP288" s="296"/>
      <c r="BQ288" s="296" t="s">
        <v>1</v>
      </c>
      <c r="BR288" s="294" t="s">
        <v>1</v>
      </c>
    </row>
    <row r="289" spans="1:70">
      <c r="A289" s="361">
        <v>45759</v>
      </c>
      <c r="B289" s="358">
        <v>0.375</v>
      </c>
      <c r="C289" s="313">
        <f t="shared" si="10"/>
        <v>12</v>
      </c>
      <c r="D289" s="314" t="s">
        <v>136</v>
      </c>
      <c r="E289" s="286">
        <v>14.2</v>
      </c>
      <c r="F289" s="287">
        <v>69.52</v>
      </c>
      <c r="G289" s="288" cm="1">
        <f t="array" aca="1" ref="G289" ca="1">INDIRECT("'"&amp;$C289&amp;"'!"&amp;"$"&amp;$D289&amp;$E$1&amp;"")</f>
        <v>6.3</v>
      </c>
      <c r="H289" s="289">
        <v>0.93</v>
      </c>
      <c r="I289" s="287">
        <v>2.4300000000000002</v>
      </c>
      <c r="J289" s="288" cm="1">
        <f t="array" aca="1" ref="J289" ca="1">INDIRECT("'"&amp;$C289&amp;"'!"&amp;"$"&amp;$D289&amp;$J$1&amp;"")</f>
        <v>0.5</v>
      </c>
      <c r="K289" s="289"/>
      <c r="L289" s="289">
        <v>0.9</v>
      </c>
      <c r="M289" s="287">
        <v>0.24</v>
      </c>
      <c r="N289" s="288" cm="1">
        <f t="array" aca="1" ref="N289" ca="1">INDIRECT("'"&amp;$C289&amp;"'!"&amp;"$"&amp;$D289&amp;$N$1&amp;"")</f>
        <v>6.3</v>
      </c>
      <c r="O289" s="289"/>
      <c r="P289" s="289">
        <v>0.93</v>
      </c>
      <c r="Q289" s="287">
        <v>2.4300000000000002</v>
      </c>
      <c r="R289" s="288" cm="1">
        <f t="array" aca="1" ref="R289" ca="1">INDIRECT("'"&amp;$C289&amp;"'!"&amp;"$"&amp;$D289&amp;$R$1&amp;"")</f>
        <v>6.3</v>
      </c>
      <c r="S289" s="289"/>
      <c r="T289" s="289">
        <v>0.93</v>
      </c>
      <c r="U289" s="287">
        <v>2.4300000000000002</v>
      </c>
      <c r="V289" s="288" cm="1">
        <f t="array" aca="1" ref="V289" ca="1">INDIRECT("'"&amp;$C289&amp;"'!"&amp;"$"&amp;$D289&amp;$V$1&amp;"")</f>
        <v>2.8</v>
      </c>
      <c r="W289" s="289">
        <f>3.8*3.47</f>
        <v>13.186</v>
      </c>
      <c r="X289" s="289">
        <v>0.94</v>
      </c>
      <c r="Y289" s="290">
        <v>0.93</v>
      </c>
      <c r="Z289" s="286" cm="1">
        <f t="array" aca="1" ref="Z289" ca="1">INDIRECT("'"&amp;$C289&amp;"'!"&amp;"$"&amp;$D289&amp;$Z$1&amp;"")</f>
        <v>0</v>
      </c>
      <c r="AA289" s="289" t="s">
        <v>1</v>
      </c>
      <c r="AB289" s="289" t="s">
        <v>1</v>
      </c>
      <c r="AC289" s="287" t="s">
        <v>1</v>
      </c>
      <c r="AD289" s="288" t="str" cm="1">
        <f t="array" aca="1" ref="AD289" ca="1">INDIRECT("'"&amp;$C289&amp;"'!"&amp;"$"&amp;$D289&amp;$AD$1&amp;"")</f>
        <v>CMS</v>
      </c>
      <c r="AE289" s="289" t="s">
        <v>1</v>
      </c>
      <c r="AF289" s="289" t="s">
        <v>1</v>
      </c>
      <c r="AG289" s="290" t="s">
        <v>1</v>
      </c>
      <c r="AH289" s="286" cm="1">
        <f t="array" aca="1" ref="AH289" ca="1">INDIRECT("'"&amp;$C289&amp;"'!"&amp;"$"&amp;$D289&amp;$AH$1&amp;"")</f>
        <v>3.8</v>
      </c>
      <c r="AI289" s="289">
        <v>13.84</v>
      </c>
      <c r="AJ289" s="289">
        <v>0.98</v>
      </c>
      <c r="AK289" s="287">
        <v>0.49299999999999999</v>
      </c>
      <c r="AL289" s="286">
        <v>11.9</v>
      </c>
      <c r="AM289" s="290">
        <v>70.400000000000006</v>
      </c>
      <c r="AN289" s="286" cm="1">
        <f t="array" aca="1" ref="AN289" ca="1">INDIRECT("'"&amp;$C289&amp;"'!"&amp;"$"&amp;$D289&amp;$AL$1&amp;"")</f>
        <v>3.7</v>
      </c>
      <c r="AO289" s="289">
        <v>0.95</v>
      </c>
      <c r="AP289" s="287">
        <v>1.01</v>
      </c>
      <c r="AQ289" s="288" cm="1">
        <f t="array" aca="1" ref="AQ289" ca="1">INDIRECT("'"&amp;$C289&amp;"'!"&amp;"$"&amp;$D289&amp;$AQ$1&amp;"")</f>
        <v>3.7</v>
      </c>
      <c r="AR289" s="289">
        <v>0.95</v>
      </c>
      <c r="AS289" s="287">
        <v>1.1000000000000001</v>
      </c>
      <c r="AT289" s="289" cm="1">
        <f t="array" aca="1" ref="AT289" ca="1">INDIRECT("'"&amp;$C289&amp;"'!"&amp;"$"&amp;$D289&amp;$AT$1&amp;"")</f>
        <v>0</v>
      </c>
      <c r="AU289" s="288" t="s">
        <v>1</v>
      </c>
      <c r="AV289" s="289" t="s">
        <v>1</v>
      </c>
      <c r="AW289" s="287" t="s">
        <v>1</v>
      </c>
      <c r="AX289" s="291">
        <v>14.18</v>
      </c>
      <c r="AY289" s="290">
        <v>71.16</v>
      </c>
      <c r="AZ289" s="291" cm="1">
        <f t="array" aca="1" ref="AZ289" ca="1">INDIRECT("'"&amp;$C289&amp;"'!"&amp;"$"&amp;$D289&amp;$AZ$1&amp;"")</f>
        <v>14.31</v>
      </c>
      <c r="BA289" s="289">
        <v>0.98</v>
      </c>
      <c r="BB289" s="287">
        <v>3.5</v>
      </c>
      <c r="BC289" s="292">
        <v>68.400000000000006</v>
      </c>
      <c r="BD289" s="286" cm="1">
        <f t="array" aca="1" ref="BD289" ca="1">INDIRECT("'"&amp;$C289&amp;"'!"&amp;"$"&amp;$D289&amp;$BC$1&amp;"")</f>
        <v>3.5</v>
      </c>
      <c r="BE289" s="288">
        <v>0.96</v>
      </c>
      <c r="BF289" s="287">
        <v>1</v>
      </c>
      <c r="BG289" s="291" cm="1">
        <f t="array" aca="1" ref="BG289" ca="1">INDIRECT("'"&amp;$C289&amp;"'!"&amp;"$"&amp;$D289&amp;$BG$1&amp;"")</f>
        <v>1.28</v>
      </c>
      <c r="BH289" s="289"/>
      <c r="BI289" s="289">
        <v>0.99</v>
      </c>
      <c r="BJ289" s="287">
        <v>0.2</v>
      </c>
      <c r="BK289" s="292" cm="1">
        <f t="array" aca="1" ref="BK289" ca="1">INDIRECT("'"&amp;$C289&amp;"'!"&amp;"$"&amp;$D289&amp;$BK$1&amp;"")</f>
        <v>0.82</v>
      </c>
      <c r="BL289" s="289"/>
      <c r="BM289" s="289">
        <v>0.96</v>
      </c>
      <c r="BN289" s="287">
        <v>0.22</v>
      </c>
      <c r="BO289" s="292" cm="1">
        <f t="array" aca="1" ref="BO289" ca="1">INDIRECT("'"&amp;$C289&amp;"'!"&amp;"$"&amp;$D289&amp;74&amp;"")</f>
        <v>0</v>
      </c>
      <c r="BP289" s="289"/>
      <c r="BQ289" s="289" t="s">
        <v>1</v>
      </c>
      <c r="BR289" s="287" t="s">
        <v>1</v>
      </c>
    </row>
    <row r="290" spans="1:70">
      <c r="A290" s="361">
        <v>45759</v>
      </c>
      <c r="B290" s="358">
        <v>0.41666666666666702</v>
      </c>
      <c r="C290" s="313">
        <f t="shared" si="10"/>
        <v>12</v>
      </c>
      <c r="D290" s="314" t="s">
        <v>137</v>
      </c>
      <c r="E290" s="293">
        <v>14.2</v>
      </c>
      <c r="F290" s="294">
        <v>69.56</v>
      </c>
      <c r="G290" s="295" cm="1">
        <f t="array" aca="1" ref="G290" ca="1">INDIRECT("'"&amp;$C290&amp;"'!"&amp;"$"&amp;$D290&amp;$E$1&amp;"")</f>
        <v>5.3</v>
      </c>
      <c r="H290" s="296">
        <v>0.93</v>
      </c>
      <c r="I290" s="294">
        <v>1.76</v>
      </c>
      <c r="J290" s="295" cm="1">
        <f t="array" aca="1" ref="J290" ca="1">INDIRECT("'"&amp;$C290&amp;"'!"&amp;"$"&amp;$D290&amp;$J$1&amp;"")</f>
        <v>4.3</v>
      </c>
      <c r="K290" s="296"/>
      <c r="L290" s="296">
        <v>0.93</v>
      </c>
      <c r="M290" s="294">
        <v>1.76</v>
      </c>
      <c r="N290" s="295" cm="1">
        <f t="array" aca="1" ref="N290" ca="1">INDIRECT("'"&amp;$C290&amp;"'!"&amp;"$"&amp;$D290&amp;$N$1&amp;"")</f>
        <v>5.3</v>
      </c>
      <c r="O290" s="296"/>
      <c r="P290" s="296">
        <v>0.93</v>
      </c>
      <c r="Q290" s="294">
        <v>2.08</v>
      </c>
      <c r="R290" s="295" cm="1">
        <f t="array" aca="1" ref="R290" ca="1">INDIRECT("'"&amp;$C290&amp;"'!"&amp;"$"&amp;$D290&amp;$R$1&amp;"")</f>
        <v>5.3</v>
      </c>
      <c r="S290" s="296"/>
      <c r="T290" s="296">
        <v>0.93</v>
      </c>
      <c r="U290" s="294">
        <v>2.08</v>
      </c>
      <c r="V290" s="295" cm="1">
        <f t="array" aca="1" ref="V290" ca="1">INDIRECT("'"&amp;$C290&amp;"'!"&amp;"$"&amp;$D290&amp;$V$1&amp;"")</f>
        <v>2.8</v>
      </c>
      <c r="W290" s="296">
        <f>3.8*3.52</f>
        <v>13.375999999999999</v>
      </c>
      <c r="X290" s="296">
        <v>0.94</v>
      </c>
      <c r="Y290" s="297">
        <v>0.92</v>
      </c>
      <c r="Z290" s="293" cm="1">
        <f t="array" aca="1" ref="Z290" ca="1">INDIRECT("'"&amp;$C290&amp;"'!"&amp;"$"&amp;$D290&amp;$Z$1&amp;"")</f>
        <v>0</v>
      </c>
      <c r="AA290" s="296" t="s">
        <v>1</v>
      </c>
      <c r="AB290" s="296" t="s">
        <v>1</v>
      </c>
      <c r="AC290" s="294" t="s">
        <v>1</v>
      </c>
      <c r="AD290" s="295" cm="1">
        <f t="array" aca="1" ref="AD290" ca="1">INDIRECT("'"&amp;$C290&amp;"'!"&amp;"$"&amp;$D290&amp;$AD$1&amp;"")</f>
        <v>3.6</v>
      </c>
      <c r="AE290" s="296">
        <f>3.8*3.52</f>
        <v>13.375999999999999</v>
      </c>
      <c r="AF290" s="296">
        <v>0.96</v>
      </c>
      <c r="AG290" s="297">
        <v>1.45</v>
      </c>
      <c r="AH290" s="293" cm="1">
        <f t="array" aca="1" ref="AH290" ca="1">INDIRECT("'"&amp;$C290&amp;"'!"&amp;"$"&amp;$D290&amp;$AH$1&amp;"")</f>
        <v>3.8</v>
      </c>
      <c r="AI290" s="296">
        <v>13.96</v>
      </c>
      <c r="AJ290" s="296">
        <v>0.99</v>
      </c>
      <c r="AK290" s="294">
        <v>0.19600000000000001</v>
      </c>
      <c r="AL290" s="293">
        <v>11.9</v>
      </c>
      <c r="AM290" s="297">
        <v>71</v>
      </c>
      <c r="AN290" s="293" cm="1">
        <f t="array" aca="1" ref="AN290" ca="1">INDIRECT("'"&amp;$C290&amp;"'!"&amp;"$"&amp;$D290&amp;$AL$1&amp;"")</f>
        <v>3.9</v>
      </c>
      <c r="AO290" s="296">
        <v>0.97</v>
      </c>
      <c r="AP290" s="294">
        <v>1.01</v>
      </c>
      <c r="AQ290" s="295" t="str" cm="1">
        <f t="array" aca="1" ref="AQ290" ca="1">INDIRECT("'"&amp;$C290&amp;"'!"&amp;"$"&amp;$D290&amp;$AQ$1&amp;"")</f>
        <v>CMS</v>
      </c>
      <c r="AR290" s="296" t="s">
        <v>1</v>
      </c>
      <c r="AS290" s="294" t="s">
        <v>1</v>
      </c>
      <c r="AT290" s="296" cm="1">
        <f t="array" aca="1" ref="AT290" ca="1">INDIRECT("'"&amp;$C290&amp;"'!"&amp;"$"&amp;$D290&amp;$AT$1&amp;"")</f>
        <v>5.7</v>
      </c>
      <c r="AU290" s="295">
        <v>13.9</v>
      </c>
      <c r="AV290" s="296">
        <v>0.95</v>
      </c>
      <c r="AW290" s="294">
        <v>1.9</v>
      </c>
      <c r="AX290" s="298">
        <v>14.41</v>
      </c>
      <c r="AY290" s="297">
        <v>72.08</v>
      </c>
      <c r="AZ290" s="298" cm="1">
        <f t="array" aca="1" ref="AZ290" ca="1">INDIRECT("'"&amp;$C290&amp;"'!"&amp;"$"&amp;$D290&amp;$AZ$1&amp;"")</f>
        <v>14.29</v>
      </c>
      <c r="BA290" s="296">
        <v>0.96</v>
      </c>
      <c r="BB290" s="294">
        <v>4.5999999999999996</v>
      </c>
      <c r="BC290" s="299">
        <v>68.400000000000006</v>
      </c>
      <c r="BD290" s="293" cm="1">
        <f t="array" aca="1" ref="BD290" ca="1">INDIRECT("'"&amp;$C290&amp;"'!"&amp;"$"&amp;$D290&amp;$BC$1&amp;"")</f>
        <v>2.8</v>
      </c>
      <c r="BE290" s="295">
        <v>0.95</v>
      </c>
      <c r="BF290" s="294">
        <v>0.9</v>
      </c>
      <c r="BG290" s="298" cm="1">
        <f t="array" aca="1" ref="BG290" ca="1">INDIRECT("'"&amp;$C290&amp;"'!"&amp;"$"&amp;$D290&amp;$BG$1&amp;"")</f>
        <v>1.36</v>
      </c>
      <c r="BH290" s="296"/>
      <c r="BI290" s="296">
        <v>0.99</v>
      </c>
      <c r="BJ290" s="294">
        <v>0.24</v>
      </c>
      <c r="BK290" s="299" cm="1">
        <f t="array" aca="1" ref="BK290" ca="1">INDIRECT("'"&amp;$C290&amp;"'!"&amp;"$"&amp;$D290&amp;$BK$1&amp;"")</f>
        <v>0.84</v>
      </c>
      <c r="BL290" s="296"/>
      <c r="BM290" s="296">
        <v>0.96</v>
      </c>
      <c r="BN290" s="294">
        <v>0.24</v>
      </c>
      <c r="BO290" s="299" cm="1">
        <f t="array" aca="1" ref="BO290" ca="1">INDIRECT("'"&amp;$C290&amp;"'!"&amp;"$"&amp;$D290&amp;74&amp;"")</f>
        <v>0</v>
      </c>
      <c r="BP290" s="296"/>
      <c r="BQ290" s="296" t="s">
        <v>1</v>
      </c>
      <c r="BR290" s="294" t="s">
        <v>1</v>
      </c>
    </row>
    <row r="291" spans="1:70">
      <c r="A291" s="361">
        <v>45759</v>
      </c>
      <c r="B291" s="358">
        <v>0.45833333333333398</v>
      </c>
      <c r="C291" s="313">
        <f t="shared" si="10"/>
        <v>12</v>
      </c>
      <c r="D291" s="314" t="s">
        <v>138</v>
      </c>
      <c r="E291" s="286">
        <v>14.3</v>
      </c>
      <c r="F291" s="287">
        <v>69.510000000000005</v>
      </c>
      <c r="G291" s="288" cm="1">
        <f t="array" aca="1" ref="G291" ca="1">INDIRECT("'"&amp;$C291&amp;"'!"&amp;"$"&amp;$D291&amp;$E$1&amp;"")</f>
        <v>6.6</v>
      </c>
      <c r="H291" s="289">
        <v>0.93</v>
      </c>
      <c r="I291" s="287">
        <v>2.66</v>
      </c>
      <c r="J291" s="288" cm="1">
        <f t="array" aca="1" ref="J291" ca="1">INDIRECT("'"&amp;$C291&amp;"'!"&amp;"$"&amp;$D291&amp;$J$1&amp;"")</f>
        <v>1.5</v>
      </c>
      <c r="K291" s="289"/>
      <c r="L291" s="289">
        <v>0.94</v>
      </c>
      <c r="M291" s="287">
        <v>0.51</v>
      </c>
      <c r="N291" s="288" cm="1">
        <f t="array" aca="1" ref="N291" ca="1">INDIRECT("'"&amp;$C291&amp;"'!"&amp;"$"&amp;$D291&amp;$N$1&amp;"")</f>
        <v>6.6</v>
      </c>
      <c r="O291" s="289"/>
      <c r="P291" s="289">
        <v>0.93</v>
      </c>
      <c r="Q291" s="287">
        <v>2.66</v>
      </c>
      <c r="R291" s="288" cm="1">
        <f t="array" aca="1" ref="R291" ca="1">INDIRECT("'"&amp;$C291&amp;"'!"&amp;"$"&amp;$D291&amp;$R$1&amp;"")</f>
        <v>6.6</v>
      </c>
      <c r="S291" s="289"/>
      <c r="T291" s="289">
        <v>0.93</v>
      </c>
      <c r="U291" s="287">
        <v>2.66</v>
      </c>
      <c r="V291" s="288" cm="1">
        <f t="array" aca="1" ref="V291" ca="1">INDIRECT("'"&amp;$C291&amp;"'!"&amp;"$"&amp;$D291&amp;$V$1&amp;"")</f>
        <v>2.8</v>
      </c>
      <c r="W291" s="289">
        <f>3.8*3.51</f>
        <v>13.337999999999999</v>
      </c>
      <c r="X291" s="289">
        <v>0.94</v>
      </c>
      <c r="Y291" s="290">
        <v>0.93</v>
      </c>
      <c r="Z291" s="286" cm="1">
        <f t="array" aca="1" ref="Z291" ca="1">INDIRECT("'"&amp;$C291&amp;"'!"&amp;"$"&amp;$D291&amp;$Z$1&amp;"")</f>
        <v>0</v>
      </c>
      <c r="AA291" s="289" t="s">
        <v>1</v>
      </c>
      <c r="AB291" s="289" t="s">
        <v>1</v>
      </c>
      <c r="AC291" s="287" t="s">
        <v>1</v>
      </c>
      <c r="AD291" s="288" cm="1">
        <f t="array" aca="1" ref="AD291" ca="1">INDIRECT("'"&amp;$C291&amp;"'!"&amp;"$"&amp;$D291&amp;$AD$1&amp;"")</f>
        <v>3.8</v>
      </c>
      <c r="AE291" s="289">
        <f>3.8*3.51</f>
        <v>13.337999999999999</v>
      </c>
      <c r="AF291" s="289">
        <v>0.93</v>
      </c>
      <c r="AG291" s="290">
        <v>1.48</v>
      </c>
      <c r="AH291" s="286" cm="1">
        <f t="array" aca="1" ref="AH291" ca="1">INDIRECT("'"&amp;$C291&amp;"'!"&amp;"$"&amp;$D291&amp;$AH$1&amp;"")</f>
        <v>3.8</v>
      </c>
      <c r="AI291" s="289">
        <v>13.96</v>
      </c>
      <c r="AJ291" s="289">
        <v>0.99</v>
      </c>
      <c r="AK291" s="287">
        <v>0.36</v>
      </c>
      <c r="AL291" s="286">
        <v>11.9</v>
      </c>
      <c r="AM291" s="290">
        <v>70.7</v>
      </c>
      <c r="AN291" s="286" cm="1">
        <f t="array" aca="1" ref="AN291" ca="1">INDIRECT("'"&amp;$C291&amp;"'!"&amp;"$"&amp;$D291&amp;$AL$1&amp;"")</f>
        <v>4</v>
      </c>
      <c r="AO291" s="289">
        <v>0.95</v>
      </c>
      <c r="AP291" s="287">
        <v>1.23</v>
      </c>
      <c r="AQ291" s="288" t="str" cm="1">
        <f t="array" aca="1" ref="AQ291" ca="1">INDIRECT("'"&amp;$C291&amp;"'!"&amp;"$"&amp;$D291&amp;$AQ$1&amp;"")</f>
        <v>CMS</v>
      </c>
      <c r="AR291" s="289" t="s">
        <v>1</v>
      </c>
      <c r="AS291" s="287" t="s">
        <v>1</v>
      </c>
      <c r="AT291" s="289" cm="1">
        <f t="array" aca="1" ref="AT291" ca="1">INDIRECT("'"&amp;$C291&amp;"'!"&amp;"$"&amp;$D291&amp;$AT$1&amp;"")</f>
        <v>6.5</v>
      </c>
      <c r="AU291" s="288">
        <v>13.9</v>
      </c>
      <c r="AV291" s="289">
        <v>0.96</v>
      </c>
      <c r="AW291" s="287">
        <v>1.9</v>
      </c>
      <c r="AX291" s="291">
        <v>14.31</v>
      </c>
      <c r="AY291" s="290">
        <v>71.748000000000005</v>
      </c>
      <c r="AZ291" s="291" cm="1">
        <f t="array" aca="1" ref="AZ291" ca="1">INDIRECT("'"&amp;$C291&amp;"'!"&amp;"$"&amp;$D291&amp;$AZ$1&amp;"")</f>
        <v>14.33</v>
      </c>
      <c r="BA291" s="289">
        <v>0.96</v>
      </c>
      <c r="BB291" s="287">
        <v>4.5999999999999996</v>
      </c>
      <c r="BC291" s="292">
        <v>68</v>
      </c>
      <c r="BD291" s="286" cm="1">
        <f t="array" aca="1" ref="BD291" ca="1">INDIRECT("'"&amp;$C291&amp;"'!"&amp;"$"&amp;$D291&amp;$BC$1&amp;"")</f>
        <v>2.0999999999999996</v>
      </c>
      <c r="BE291" s="288">
        <v>0.95</v>
      </c>
      <c r="BF291" s="287">
        <v>0.63</v>
      </c>
      <c r="BG291" s="291" cm="1">
        <f t="array" aca="1" ref="BG291" ca="1">INDIRECT("'"&amp;$C291&amp;"'!"&amp;"$"&amp;$D291&amp;$BG$1&amp;"")</f>
        <v>1.42</v>
      </c>
      <c r="BH291" s="289"/>
      <c r="BI291" s="289">
        <v>0.98</v>
      </c>
      <c r="BJ291" s="287">
        <v>0.26</v>
      </c>
      <c r="BK291" s="292" cm="1">
        <f t="array" aca="1" ref="BK291" ca="1">INDIRECT("'"&amp;$C291&amp;"'!"&amp;"$"&amp;$D291&amp;$BK$1&amp;"")</f>
        <v>0.86</v>
      </c>
      <c r="BL291" s="289"/>
      <c r="BM291" s="289">
        <v>0.96</v>
      </c>
      <c r="BN291" s="287">
        <v>0.25</v>
      </c>
      <c r="BO291" s="292" cm="1">
        <f t="array" aca="1" ref="BO291" ca="1">INDIRECT("'"&amp;$C291&amp;"'!"&amp;"$"&amp;$D291&amp;74&amp;"")</f>
        <v>0</v>
      </c>
      <c r="BP291" s="289"/>
      <c r="BQ291" s="289" t="s">
        <v>1</v>
      </c>
      <c r="BR291" s="287" t="s">
        <v>1</v>
      </c>
    </row>
    <row r="292" spans="1:70">
      <c r="A292" s="361">
        <v>45759</v>
      </c>
      <c r="B292" s="358">
        <v>0.5</v>
      </c>
      <c r="C292" s="313">
        <f t="shared" si="10"/>
        <v>12</v>
      </c>
      <c r="D292" s="314" t="s">
        <v>139</v>
      </c>
      <c r="E292" s="293">
        <v>14.3</v>
      </c>
      <c r="F292" s="294">
        <v>69.66</v>
      </c>
      <c r="G292" s="295" cm="1">
        <f t="array" aca="1" ref="G292" ca="1">INDIRECT("'"&amp;$C292&amp;"'!"&amp;"$"&amp;$D292&amp;$E$1&amp;"")</f>
        <v>6.6</v>
      </c>
      <c r="H292" s="296">
        <v>0.93</v>
      </c>
      <c r="I292" s="294">
        <v>2.59</v>
      </c>
      <c r="J292" s="295" cm="1">
        <f t="array" aca="1" ref="J292" ca="1">INDIRECT("'"&amp;$C292&amp;"'!"&amp;"$"&amp;$D292&amp;$J$1&amp;"")</f>
        <v>0</v>
      </c>
      <c r="K292" s="296"/>
      <c r="L292" s="296" t="s">
        <v>1</v>
      </c>
      <c r="M292" s="294" t="s">
        <v>1</v>
      </c>
      <c r="N292" s="295" cm="1">
        <f t="array" aca="1" ref="N292" ca="1">INDIRECT("'"&amp;$C292&amp;"'!"&amp;"$"&amp;$D292&amp;$N$1&amp;"")</f>
        <v>6.6</v>
      </c>
      <c r="O292" s="296"/>
      <c r="P292" s="296">
        <v>0.93</v>
      </c>
      <c r="Q292" s="294">
        <v>2.59</v>
      </c>
      <c r="R292" s="295" cm="1">
        <f t="array" aca="1" ref="R292" ca="1">INDIRECT("'"&amp;$C292&amp;"'!"&amp;"$"&amp;$D292&amp;$R$1&amp;"")</f>
        <v>6.6</v>
      </c>
      <c r="S292" s="296"/>
      <c r="T292" s="296">
        <v>0.93</v>
      </c>
      <c r="U292" s="294">
        <v>2.59</v>
      </c>
      <c r="V292" s="295" cm="1">
        <f t="array" aca="1" ref="V292" ca="1">INDIRECT("'"&amp;$C292&amp;"'!"&amp;"$"&amp;$D292&amp;$V$1&amp;"")</f>
        <v>2.8</v>
      </c>
      <c r="W292" s="296">
        <f>3.8*3.52</f>
        <v>13.375999999999999</v>
      </c>
      <c r="X292" s="296">
        <v>0.94</v>
      </c>
      <c r="Y292" s="297">
        <v>0.91</v>
      </c>
      <c r="Z292" s="293" cm="1">
        <f t="array" aca="1" ref="Z292" ca="1">INDIRECT("'"&amp;$C292&amp;"'!"&amp;"$"&amp;$D292&amp;$Z$1&amp;"")</f>
        <v>0</v>
      </c>
      <c r="AA292" s="296" t="s">
        <v>1</v>
      </c>
      <c r="AB292" s="296" t="s">
        <v>1</v>
      </c>
      <c r="AC292" s="294" t="s">
        <v>1</v>
      </c>
      <c r="AD292" s="295" cm="1">
        <f t="array" aca="1" ref="AD292" ca="1">INDIRECT("'"&amp;$C292&amp;"'!"&amp;"$"&amp;$D292&amp;$AD$1&amp;"")</f>
        <v>3.8</v>
      </c>
      <c r="AE292" s="296">
        <f>3.8*3.52</f>
        <v>13.375999999999999</v>
      </c>
      <c r="AF292" s="296">
        <v>0.93</v>
      </c>
      <c r="AG292" s="297">
        <v>1.47</v>
      </c>
      <c r="AH292" s="293" cm="1">
        <f t="array" aca="1" ref="AH292" ca="1">INDIRECT("'"&amp;$C292&amp;"'!"&amp;"$"&amp;$D292&amp;$AH$1&amp;"")</f>
        <v>3.8</v>
      </c>
      <c r="AI292" s="296">
        <v>13.96</v>
      </c>
      <c r="AJ292" s="296">
        <v>0.99</v>
      </c>
      <c r="AK292" s="294">
        <v>0.23200000000000001</v>
      </c>
      <c r="AL292" s="293">
        <v>11.9</v>
      </c>
      <c r="AM292" s="297">
        <v>70.900000000000006</v>
      </c>
      <c r="AN292" s="293" cm="1">
        <f t="array" aca="1" ref="AN292" ca="1">INDIRECT("'"&amp;$C292&amp;"'!"&amp;"$"&amp;$D292&amp;$AL$1&amp;"")</f>
        <v>4.0999999999999996</v>
      </c>
      <c r="AO292" s="296">
        <v>0.96</v>
      </c>
      <c r="AP292" s="294">
        <v>1.0449999999999999</v>
      </c>
      <c r="AQ292" s="295" t="str" cm="1">
        <f t="array" aca="1" ref="AQ292" ca="1">INDIRECT("'"&amp;$C292&amp;"'!"&amp;"$"&amp;$D292&amp;$AQ$1&amp;"")</f>
        <v>CMS</v>
      </c>
      <c r="AR292" s="296" t="s">
        <v>1</v>
      </c>
      <c r="AS292" s="294" t="s">
        <v>1</v>
      </c>
      <c r="AT292" s="296" cm="1">
        <f t="array" aca="1" ref="AT292" ca="1">INDIRECT("'"&amp;$C292&amp;"'!"&amp;"$"&amp;$D292&amp;$AT$1&amp;"")</f>
        <v>6.8</v>
      </c>
      <c r="AU292" s="295">
        <v>13.9</v>
      </c>
      <c r="AV292" s="296">
        <v>0.97</v>
      </c>
      <c r="AW292" s="294">
        <v>1.78</v>
      </c>
      <c r="AX292" s="298">
        <v>14.4</v>
      </c>
      <c r="AY292" s="297">
        <v>72.05</v>
      </c>
      <c r="AZ292" s="298" cm="1">
        <f t="array" aca="1" ref="AZ292" ca="1">INDIRECT("'"&amp;$C292&amp;"'!"&amp;"$"&amp;$D292&amp;$AZ$1&amp;"")</f>
        <v>14.31</v>
      </c>
      <c r="BA292" s="296">
        <v>0.96</v>
      </c>
      <c r="BB292" s="294">
        <v>4.5</v>
      </c>
      <c r="BC292" s="299">
        <v>68.3</v>
      </c>
      <c r="BD292" s="293" cm="1">
        <f t="array" aca="1" ref="BD292" ca="1">INDIRECT("'"&amp;$C292&amp;"'!"&amp;"$"&amp;$D292&amp;$BC$1&amp;"")</f>
        <v>3.5</v>
      </c>
      <c r="BE292" s="295">
        <v>0.95</v>
      </c>
      <c r="BF292" s="294">
        <v>1</v>
      </c>
      <c r="BG292" s="298" cm="1">
        <f t="array" aca="1" ref="BG292" ca="1">INDIRECT("'"&amp;$C292&amp;"'!"&amp;"$"&amp;$D292&amp;$BG$1&amp;"")</f>
        <v>1.41</v>
      </c>
      <c r="BH292" s="296"/>
      <c r="BI292" s="296">
        <v>0.98</v>
      </c>
      <c r="BJ292" s="294">
        <v>0.23</v>
      </c>
      <c r="BK292" s="299" cm="1">
        <f t="array" aca="1" ref="BK292" ca="1">INDIRECT("'"&amp;$C292&amp;"'!"&amp;"$"&amp;$D292&amp;$BK$1&amp;"")</f>
        <v>0.91</v>
      </c>
      <c r="BL292" s="296"/>
      <c r="BM292" s="296">
        <v>0.96</v>
      </c>
      <c r="BN292" s="294">
        <v>0.26</v>
      </c>
      <c r="BO292" s="299" cm="1">
        <f t="array" aca="1" ref="BO292" ca="1">INDIRECT("'"&amp;$C292&amp;"'!"&amp;"$"&amp;$D292&amp;74&amp;"")</f>
        <v>0</v>
      </c>
      <c r="BP292" s="296"/>
      <c r="BQ292" s="296" t="s">
        <v>1</v>
      </c>
      <c r="BR292" s="294" t="s">
        <v>1</v>
      </c>
    </row>
    <row r="293" spans="1:70">
      <c r="A293" s="361">
        <v>45759</v>
      </c>
      <c r="B293" s="358">
        <v>0.54166666666666696</v>
      </c>
      <c r="C293" s="313">
        <f t="shared" si="10"/>
        <v>12</v>
      </c>
      <c r="D293" s="314" t="s">
        <v>140</v>
      </c>
      <c r="E293" s="286">
        <v>14.3</v>
      </c>
      <c r="F293" s="287">
        <v>69.63</v>
      </c>
      <c r="G293" s="288" cm="1">
        <f t="array" aca="1" ref="G293" ca="1">INDIRECT("'"&amp;$C293&amp;"'!"&amp;"$"&amp;$D293&amp;$E$1&amp;"")</f>
        <v>6.6</v>
      </c>
      <c r="H293" s="289">
        <v>0.93</v>
      </c>
      <c r="I293" s="287">
        <v>2.66</v>
      </c>
      <c r="J293" s="288" cm="1">
        <f t="array" aca="1" ref="J293" ca="1">INDIRECT("'"&amp;$C293&amp;"'!"&amp;"$"&amp;$D293&amp;$J$1&amp;"")</f>
        <v>0</v>
      </c>
      <c r="K293" s="289"/>
      <c r="L293" s="289" t="s">
        <v>1</v>
      </c>
      <c r="M293" s="287" t="s">
        <v>1</v>
      </c>
      <c r="N293" s="288" cm="1">
        <f t="array" aca="1" ref="N293" ca="1">INDIRECT("'"&amp;$C293&amp;"'!"&amp;"$"&amp;$D293&amp;$N$1&amp;"")</f>
        <v>6.6</v>
      </c>
      <c r="O293" s="289"/>
      <c r="P293" s="289">
        <v>0.93</v>
      </c>
      <c r="Q293" s="287">
        <v>2.66</v>
      </c>
      <c r="R293" s="288" cm="1">
        <f t="array" aca="1" ref="R293" ca="1">INDIRECT("'"&amp;$C293&amp;"'!"&amp;"$"&amp;$D293&amp;$R$1&amp;"")</f>
        <v>6.6</v>
      </c>
      <c r="S293" s="289"/>
      <c r="T293" s="289">
        <v>0.93</v>
      </c>
      <c r="U293" s="287">
        <v>2.66</v>
      </c>
      <c r="V293" s="288" cm="1">
        <f t="array" aca="1" ref="V293" ca="1">INDIRECT("'"&amp;$C293&amp;"'!"&amp;"$"&amp;$D293&amp;$V$1&amp;"")</f>
        <v>2.8</v>
      </c>
      <c r="W293" s="289">
        <f>3.8*3.51</f>
        <v>13.337999999999999</v>
      </c>
      <c r="X293" s="289">
        <v>0.94</v>
      </c>
      <c r="Y293" s="290">
        <v>0.91</v>
      </c>
      <c r="Z293" s="286" cm="1">
        <f t="array" aca="1" ref="Z293" ca="1">INDIRECT("'"&amp;$C293&amp;"'!"&amp;"$"&amp;$D293&amp;$Z$1&amp;"")</f>
        <v>0</v>
      </c>
      <c r="AA293" s="289" t="s">
        <v>1</v>
      </c>
      <c r="AB293" s="289" t="s">
        <v>1</v>
      </c>
      <c r="AC293" s="287" t="s">
        <v>1</v>
      </c>
      <c r="AD293" s="288" cm="1">
        <f t="array" aca="1" ref="AD293" ca="1">INDIRECT("'"&amp;$C293&amp;"'!"&amp;"$"&amp;$D293&amp;$AD$1&amp;"")</f>
        <v>3.8</v>
      </c>
      <c r="AE293" s="289">
        <f>3.8*3.51</f>
        <v>13.337999999999999</v>
      </c>
      <c r="AF293" s="289">
        <v>0.93</v>
      </c>
      <c r="AG293" s="290">
        <v>1.48</v>
      </c>
      <c r="AH293" s="286" cm="1">
        <f t="array" aca="1" ref="AH293" ca="1">INDIRECT("'"&amp;$C293&amp;"'!"&amp;"$"&amp;$D293&amp;$AH$1&amp;"")</f>
        <v>3.8</v>
      </c>
      <c r="AI293" s="289">
        <v>13.96</v>
      </c>
      <c r="AJ293" s="289">
        <v>0.99</v>
      </c>
      <c r="AK293" s="287">
        <v>0.16</v>
      </c>
      <c r="AL293" s="286">
        <v>11.9</v>
      </c>
      <c r="AM293" s="290">
        <v>71</v>
      </c>
      <c r="AN293" s="286" cm="1">
        <f t="array" aca="1" ref="AN293" ca="1">INDIRECT("'"&amp;$C293&amp;"'!"&amp;"$"&amp;$D293&amp;$AL$1&amp;"")</f>
        <v>4.4000000000000004</v>
      </c>
      <c r="AO293" s="289">
        <v>0.97</v>
      </c>
      <c r="AP293" s="287">
        <v>1.038</v>
      </c>
      <c r="AQ293" s="288" t="str" cm="1">
        <f t="array" aca="1" ref="AQ293" ca="1">INDIRECT("'"&amp;$C293&amp;"'!"&amp;"$"&amp;$D293&amp;$AQ$1&amp;"")</f>
        <v>CMS</v>
      </c>
      <c r="AR293" s="289" t="s">
        <v>1</v>
      </c>
      <c r="AS293" s="287" t="s">
        <v>1</v>
      </c>
      <c r="AT293" s="289" cm="1">
        <f t="array" aca="1" ref="AT293" ca="1">INDIRECT("'"&amp;$C293&amp;"'!"&amp;"$"&amp;$D293&amp;$AT$1&amp;"")</f>
        <v>7.1</v>
      </c>
      <c r="AU293" s="288">
        <v>13.9</v>
      </c>
      <c r="AV293" s="289">
        <v>0.97</v>
      </c>
      <c r="AW293" s="287">
        <v>1.8</v>
      </c>
      <c r="AX293" s="291">
        <v>14.4</v>
      </c>
      <c r="AY293" s="290">
        <v>72.06</v>
      </c>
      <c r="AZ293" s="291" cm="1">
        <f t="array" aca="1" ref="AZ293" ca="1">INDIRECT("'"&amp;$C293&amp;"'!"&amp;"$"&amp;$D293&amp;$AZ$1&amp;"")</f>
        <v>14.3</v>
      </c>
      <c r="BA293" s="289">
        <v>0.96</v>
      </c>
      <c r="BB293" s="287">
        <v>4.5</v>
      </c>
      <c r="BC293" s="292">
        <v>68.2</v>
      </c>
      <c r="BD293" s="286" cm="1">
        <f t="array" aca="1" ref="BD293" ca="1">INDIRECT("'"&amp;$C293&amp;"'!"&amp;"$"&amp;$D293&amp;$BC$1&amp;"")</f>
        <v>2.8</v>
      </c>
      <c r="BE293" s="288">
        <v>0.95</v>
      </c>
      <c r="BF293" s="287">
        <v>0.91</v>
      </c>
      <c r="BG293" s="291" cm="1">
        <f t="array" aca="1" ref="BG293" ca="1">INDIRECT("'"&amp;$C293&amp;"'!"&amp;"$"&amp;$D293&amp;$BG$1&amp;"")</f>
        <v>1.24</v>
      </c>
      <c r="BH293" s="289"/>
      <c r="BI293" s="289">
        <v>0.98</v>
      </c>
      <c r="BJ293" s="287">
        <v>0.2</v>
      </c>
      <c r="BK293" s="292" cm="1">
        <f t="array" aca="1" ref="BK293" ca="1">INDIRECT("'"&amp;$C293&amp;"'!"&amp;"$"&amp;$D293&amp;$BK$1&amp;"")</f>
        <v>0.89</v>
      </c>
      <c r="BL293" s="289"/>
      <c r="BM293" s="289">
        <v>0.96</v>
      </c>
      <c r="BN293" s="287">
        <v>0.25</v>
      </c>
      <c r="BO293" s="292" cm="1">
        <f t="array" aca="1" ref="BO293" ca="1">INDIRECT("'"&amp;$C293&amp;"'!"&amp;"$"&amp;$D293&amp;74&amp;"")</f>
        <v>0</v>
      </c>
      <c r="BP293" s="289"/>
      <c r="BQ293" s="289" t="s">
        <v>1</v>
      </c>
      <c r="BR293" s="287" t="s">
        <v>1</v>
      </c>
    </row>
    <row r="294" spans="1:70">
      <c r="A294" s="361">
        <v>45759</v>
      </c>
      <c r="B294" s="358">
        <v>0.58333333333333404</v>
      </c>
      <c r="C294" s="313">
        <f t="shared" si="10"/>
        <v>12</v>
      </c>
      <c r="D294" s="314" t="s">
        <v>141</v>
      </c>
      <c r="E294" s="293">
        <v>14.3</v>
      </c>
      <c r="F294" s="294">
        <v>69.73</v>
      </c>
      <c r="G294" s="295" cm="1">
        <f t="array" aca="1" ref="G294" ca="1">INDIRECT("'"&amp;$C294&amp;"'!"&amp;"$"&amp;$D294&amp;$E$1&amp;"")</f>
        <v>6.5</v>
      </c>
      <c r="H294" s="296">
        <v>0.93</v>
      </c>
      <c r="I294" s="294">
        <v>2.6</v>
      </c>
      <c r="J294" s="295" cm="1">
        <f t="array" aca="1" ref="J294" ca="1">INDIRECT("'"&amp;$C294&amp;"'!"&amp;"$"&amp;$D294&amp;$J$1&amp;"")</f>
        <v>0</v>
      </c>
      <c r="K294" s="296"/>
      <c r="L294" s="296" t="s">
        <v>1</v>
      </c>
      <c r="M294" s="294" t="s">
        <v>1</v>
      </c>
      <c r="N294" s="295" cm="1">
        <f t="array" aca="1" ref="N294" ca="1">INDIRECT("'"&amp;$C294&amp;"'!"&amp;"$"&amp;$D294&amp;$N$1&amp;"")</f>
        <v>6.5</v>
      </c>
      <c r="O294" s="296"/>
      <c r="P294" s="296">
        <v>0.93</v>
      </c>
      <c r="Q294" s="294">
        <v>2.6</v>
      </c>
      <c r="R294" s="295" cm="1">
        <f t="array" aca="1" ref="R294" ca="1">INDIRECT("'"&amp;$C294&amp;"'!"&amp;"$"&amp;$D294&amp;$R$1&amp;"")</f>
        <v>6.5</v>
      </c>
      <c r="S294" s="296"/>
      <c r="T294" s="296">
        <v>0.93</v>
      </c>
      <c r="U294" s="294">
        <v>2.6</v>
      </c>
      <c r="V294" s="295" cm="1">
        <f t="array" aca="1" ref="V294" ca="1">INDIRECT("'"&amp;$C294&amp;"'!"&amp;"$"&amp;$D294&amp;$V$1&amp;"")</f>
        <v>2.8</v>
      </c>
      <c r="W294" s="296">
        <f>3.8*3.51</f>
        <v>13.337999999999999</v>
      </c>
      <c r="X294" s="296">
        <v>0.93</v>
      </c>
      <c r="Y294" s="297">
        <v>1.06</v>
      </c>
      <c r="Z294" s="293" cm="1">
        <f t="array" aca="1" ref="Z294" ca="1">INDIRECT("'"&amp;$C294&amp;"'!"&amp;"$"&amp;$D294&amp;$Z$1&amp;"")</f>
        <v>0</v>
      </c>
      <c r="AA294" s="296" t="s">
        <v>1</v>
      </c>
      <c r="AB294" s="296" t="s">
        <v>1</v>
      </c>
      <c r="AC294" s="294" t="s">
        <v>1</v>
      </c>
      <c r="AD294" s="295" cm="1">
        <f t="array" aca="1" ref="AD294" ca="1">INDIRECT("'"&amp;$C294&amp;"'!"&amp;"$"&amp;$D294&amp;$AD$1&amp;"")</f>
        <v>3.8</v>
      </c>
      <c r="AE294" s="296">
        <f>3.8*3.51</f>
        <v>13.337999999999999</v>
      </c>
      <c r="AF294" s="296">
        <v>0.93</v>
      </c>
      <c r="AG294" s="297">
        <v>1.46</v>
      </c>
      <c r="AH294" s="293" cm="1">
        <f t="array" aca="1" ref="AH294" ca="1">INDIRECT("'"&amp;$C294&amp;"'!"&amp;"$"&amp;$D294&amp;$AH$1&amp;"")</f>
        <v>3.8</v>
      </c>
      <c r="AI294" s="296">
        <v>13.96</v>
      </c>
      <c r="AJ294" s="296">
        <v>0.99</v>
      </c>
      <c r="AK294" s="294">
        <v>0.17599999999999999</v>
      </c>
      <c r="AL294" s="293">
        <v>11.9</v>
      </c>
      <c r="AM294" s="297">
        <v>71.099999999999994</v>
      </c>
      <c r="AN294" s="293" cm="1">
        <f t="array" aca="1" ref="AN294" ca="1">INDIRECT("'"&amp;$C294&amp;"'!"&amp;"$"&amp;$D294&amp;$AL$1&amp;"")</f>
        <v>4.0999999999999996</v>
      </c>
      <c r="AO294" s="296">
        <v>0.97</v>
      </c>
      <c r="AP294" s="294">
        <v>0.84199999999999997</v>
      </c>
      <c r="AQ294" s="295" t="str" cm="1">
        <f t="array" aca="1" ref="AQ294" ca="1">INDIRECT("'"&amp;$C294&amp;"'!"&amp;"$"&amp;$D294&amp;$AQ$1&amp;"")</f>
        <v>CMS</v>
      </c>
      <c r="AR294" s="296" t="s">
        <v>1</v>
      </c>
      <c r="AS294" s="294" t="s">
        <v>1</v>
      </c>
      <c r="AT294" s="296" cm="1">
        <f t="array" aca="1" ref="AT294" ca="1">INDIRECT("'"&amp;$C294&amp;"'!"&amp;"$"&amp;$D294&amp;$AT$1&amp;"")</f>
        <v>6.6</v>
      </c>
      <c r="AU294" s="295">
        <v>13.9</v>
      </c>
      <c r="AV294" s="296">
        <v>0.97</v>
      </c>
      <c r="AW294" s="294">
        <v>1.6</v>
      </c>
      <c r="AX294" s="298">
        <v>14.41</v>
      </c>
      <c r="AY294" s="297">
        <v>72.08</v>
      </c>
      <c r="AZ294" s="298" cm="1">
        <f t="array" aca="1" ref="AZ294" ca="1">INDIRECT("'"&amp;$C294&amp;"'!"&amp;"$"&amp;$D294&amp;$AZ$1&amp;"")</f>
        <v>14.29</v>
      </c>
      <c r="BA294" s="296">
        <v>0.96</v>
      </c>
      <c r="BB294" s="294">
        <v>4.5999999999999996</v>
      </c>
      <c r="BC294" s="299">
        <v>68.599999999999994</v>
      </c>
      <c r="BD294" s="293" cm="1">
        <f t="array" aca="1" ref="BD294" ca="1">INDIRECT("'"&amp;$C294&amp;"'!"&amp;"$"&amp;$D294&amp;$BC$1&amp;"")</f>
        <v>6.4000000000000012</v>
      </c>
      <c r="BE294" s="295">
        <v>0.95</v>
      </c>
      <c r="BF294" s="294">
        <v>2</v>
      </c>
      <c r="BG294" s="298" cm="1">
        <f t="array" aca="1" ref="BG294" ca="1">INDIRECT("'"&amp;$C294&amp;"'!"&amp;"$"&amp;$D294&amp;$BG$1&amp;"")</f>
        <v>1.24</v>
      </c>
      <c r="BH294" s="296"/>
      <c r="BI294" s="296">
        <v>0.98</v>
      </c>
      <c r="BJ294" s="294">
        <v>0.23</v>
      </c>
      <c r="BK294" s="299" cm="1">
        <f t="array" aca="1" ref="BK294" ca="1">INDIRECT("'"&amp;$C294&amp;"'!"&amp;"$"&amp;$D294&amp;$BK$1&amp;"")</f>
        <v>0.89</v>
      </c>
      <c r="BL294" s="296"/>
      <c r="BM294" s="296">
        <v>0.96</v>
      </c>
      <c r="BN294" s="294">
        <v>0.25</v>
      </c>
      <c r="BO294" s="299" cm="1">
        <f t="array" aca="1" ref="BO294" ca="1">INDIRECT("'"&amp;$C294&amp;"'!"&amp;"$"&amp;$D294&amp;74&amp;"")</f>
        <v>0</v>
      </c>
      <c r="BP294" s="296"/>
      <c r="BQ294" s="296" t="s">
        <v>1</v>
      </c>
      <c r="BR294" s="294" t="s">
        <v>1</v>
      </c>
    </row>
    <row r="295" spans="1:70">
      <c r="A295" s="361">
        <v>45759</v>
      </c>
      <c r="B295" s="358">
        <v>0.625</v>
      </c>
      <c r="C295" s="313">
        <f t="shared" si="10"/>
        <v>12</v>
      </c>
      <c r="D295" s="314" t="s">
        <v>142</v>
      </c>
      <c r="E295" s="286">
        <v>14.2</v>
      </c>
      <c r="F295" s="287">
        <v>69.3</v>
      </c>
      <c r="G295" s="288" cm="1">
        <f t="array" aca="1" ref="G295" ca="1">INDIRECT("'"&amp;$C295&amp;"'!"&amp;"$"&amp;$D295&amp;$E$1&amp;"")</f>
        <v>6.7</v>
      </c>
      <c r="H295" s="289">
        <v>0.93</v>
      </c>
      <c r="I295" s="287">
        <v>2.56</v>
      </c>
      <c r="J295" s="288" cm="1">
        <f t="array" aca="1" ref="J295" ca="1">INDIRECT("'"&amp;$C295&amp;"'!"&amp;"$"&amp;$D295&amp;$J$1&amp;"")</f>
        <v>0</v>
      </c>
      <c r="K295" s="289"/>
      <c r="L295" s="289" t="s">
        <v>1</v>
      </c>
      <c r="M295" s="287" t="s">
        <v>1</v>
      </c>
      <c r="N295" s="288" cm="1">
        <f t="array" aca="1" ref="N295" ca="1">INDIRECT("'"&amp;$C295&amp;"'!"&amp;"$"&amp;$D295&amp;$N$1&amp;"")</f>
        <v>6.7</v>
      </c>
      <c r="O295" s="289"/>
      <c r="P295" s="289">
        <v>0.93</v>
      </c>
      <c r="Q295" s="287">
        <v>2.5499999999999998</v>
      </c>
      <c r="R295" s="288" cm="1">
        <f t="array" aca="1" ref="R295" ca="1">INDIRECT("'"&amp;$C295&amp;"'!"&amp;"$"&amp;$D295&amp;$R$1&amp;"")</f>
        <v>6.7</v>
      </c>
      <c r="S295" s="289"/>
      <c r="T295" s="289">
        <v>0.92</v>
      </c>
      <c r="U295" s="287">
        <v>2.83</v>
      </c>
      <c r="V295" s="288" cm="1">
        <f t="array" aca="1" ref="V295" ca="1">INDIRECT("'"&amp;$C295&amp;"'!"&amp;"$"&amp;$D295&amp;$V$1&amp;"")</f>
        <v>2.8</v>
      </c>
      <c r="W295" s="289">
        <f>3.8*3.49</f>
        <v>13.262</v>
      </c>
      <c r="X295" s="289">
        <v>0.93</v>
      </c>
      <c r="Y295" s="290">
        <v>1.07</v>
      </c>
      <c r="Z295" s="286" cm="1">
        <f t="array" aca="1" ref="Z295" ca="1">INDIRECT("'"&amp;$C295&amp;"'!"&amp;"$"&amp;$D295&amp;$Z$1&amp;"")</f>
        <v>0</v>
      </c>
      <c r="AA295" s="289" t="s">
        <v>1</v>
      </c>
      <c r="AB295" s="289" t="s">
        <v>1</v>
      </c>
      <c r="AC295" s="287" t="s">
        <v>1</v>
      </c>
      <c r="AD295" s="288" cm="1">
        <f t="array" aca="1" ref="AD295" ca="1">INDIRECT("'"&amp;$C295&amp;"'!"&amp;"$"&amp;$D295&amp;$AD$1&amp;"")</f>
        <v>3.8</v>
      </c>
      <c r="AE295" s="289">
        <v>13.26</v>
      </c>
      <c r="AF295" s="289">
        <v>0.93</v>
      </c>
      <c r="AG295" s="290">
        <v>1.47</v>
      </c>
      <c r="AH295" s="286" cm="1">
        <f t="array" aca="1" ref="AH295" ca="1">INDIRECT("'"&amp;$C295&amp;"'!"&amp;"$"&amp;$D295&amp;$AH$1&amp;"")</f>
        <v>3.8</v>
      </c>
      <c r="AI295" s="289">
        <v>13.96</v>
      </c>
      <c r="AJ295" s="289">
        <v>0.99</v>
      </c>
      <c r="AK295" s="287">
        <v>1.47</v>
      </c>
      <c r="AL295" s="286">
        <v>11.9</v>
      </c>
      <c r="AM295" s="290">
        <v>70.900000000000006</v>
      </c>
      <c r="AN295" s="286" cm="1">
        <f t="array" aca="1" ref="AN295" ca="1">INDIRECT("'"&amp;$C295&amp;"'!"&amp;"$"&amp;$D295&amp;$AL$1&amp;"")</f>
        <v>4.4000000000000004</v>
      </c>
      <c r="AO295" s="289">
        <v>0.97</v>
      </c>
      <c r="AP295" s="287">
        <v>1.0509999999999999</v>
      </c>
      <c r="AQ295" s="288" t="str" cm="1">
        <f t="array" aca="1" ref="AQ295" ca="1">INDIRECT("'"&amp;$C295&amp;"'!"&amp;"$"&amp;$D295&amp;$AQ$1&amp;"")</f>
        <v>CMS</v>
      </c>
      <c r="AR295" s="289" t="s">
        <v>1</v>
      </c>
      <c r="AS295" s="287" t="s">
        <v>1</v>
      </c>
      <c r="AT295" s="289" cm="1">
        <f t="array" aca="1" ref="AT295" ca="1">INDIRECT("'"&amp;$C295&amp;"'!"&amp;"$"&amp;$D295&amp;$AT$1&amp;"")</f>
        <v>7</v>
      </c>
      <c r="AU295" s="288">
        <v>13.9</v>
      </c>
      <c r="AV295" s="289">
        <v>0.97</v>
      </c>
      <c r="AW295" s="287">
        <v>2</v>
      </c>
      <c r="AX295" s="291">
        <v>14.43</v>
      </c>
      <c r="AY295" s="290">
        <v>72.150000000000006</v>
      </c>
      <c r="AZ295" s="291" cm="1">
        <f t="array" aca="1" ref="AZ295" ca="1">INDIRECT("'"&amp;$C295&amp;"'!"&amp;"$"&amp;$D295&amp;$AZ$1&amp;"")</f>
        <v>14.28</v>
      </c>
      <c r="BA295" s="289">
        <v>0.96</v>
      </c>
      <c r="BB295" s="287">
        <v>4.5</v>
      </c>
      <c r="BC295" s="292">
        <v>68</v>
      </c>
      <c r="BD295" s="286" cm="1">
        <f t="array" aca="1" ref="BD295" ca="1">INDIRECT("'"&amp;$C295&amp;"'!"&amp;"$"&amp;$D295&amp;$BC$1&amp;"")</f>
        <v>3.5</v>
      </c>
      <c r="BE295" s="288">
        <v>0.95</v>
      </c>
      <c r="BF295" s="287">
        <v>1.1000000000000001</v>
      </c>
      <c r="BG295" s="291" cm="1">
        <f t="array" aca="1" ref="BG295" ca="1">INDIRECT("'"&amp;$C295&amp;"'!"&amp;"$"&amp;$D295&amp;$BG$1&amp;"")</f>
        <v>1.34</v>
      </c>
      <c r="BH295" s="289"/>
      <c r="BI295" s="289">
        <v>0.98</v>
      </c>
      <c r="BJ295" s="287">
        <v>0.23</v>
      </c>
      <c r="BK295" s="292" cm="1">
        <f t="array" aca="1" ref="BK295" ca="1">INDIRECT("'"&amp;$C295&amp;"'!"&amp;"$"&amp;$D295&amp;$BK$1&amp;"")</f>
        <v>0.88</v>
      </c>
      <c r="BL295" s="289"/>
      <c r="BM295" s="289">
        <v>0.96</v>
      </c>
      <c r="BN295" s="287">
        <v>0.25</v>
      </c>
      <c r="BO295" s="292" cm="1">
        <f t="array" aca="1" ref="BO295" ca="1">INDIRECT("'"&amp;$C295&amp;"'!"&amp;"$"&amp;$D295&amp;74&amp;"")</f>
        <v>0</v>
      </c>
      <c r="BP295" s="289"/>
      <c r="BQ295" s="289" t="s">
        <v>1</v>
      </c>
      <c r="BR295" s="287" t="s">
        <v>1</v>
      </c>
    </row>
    <row r="296" spans="1:70">
      <c r="A296" s="361">
        <v>45759</v>
      </c>
      <c r="B296" s="358">
        <v>0.66666666666666696</v>
      </c>
      <c r="C296" s="313">
        <f t="shared" si="10"/>
        <v>12</v>
      </c>
      <c r="D296" s="314" t="s">
        <v>143</v>
      </c>
      <c r="E296" s="293">
        <v>14.2</v>
      </c>
      <c r="F296" s="294">
        <v>69.260000000000005</v>
      </c>
      <c r="G296" s="295" cm="1">
        <f t="array" aca="1" ref="G296" ca="1">INDIRECT("'"&amp;$C296&amp;"'!"&amp;"$"&amp;$D296&amp;$E$1&amp;"")</f>
        <v>6.5</v>
      </c>
      <c r="H296" s="296">
        <v>0.94</v>
      </c>
      <c r="I296" s="294">
        <v>2.42</v>
      </c>
      <c r="J296" s="295" cm="1">
        <f t="array" aca="1" ref="J296" ca="1">INDIRECT("'"&amp;$C296&amp;"'!"&amp;"$"&amp;$D296&amp;$J$1&amp;"")</f>
        <v>0</v>
      </c>
      <c r="K296" s="296"/>
      <c r="L296" s="296" t="s">
        <v>1</v>
      </c>
      <c r="M296" s="294" t="s">
        <v>1</v>
      </c>
      <c r="N296" s="295" cm="1">
        <f t="array" aca="1" ref="N296" ca="1">INDIRECT("'"&amp;$C296&amp;"'!"&amp;"$"&amp;$D296&amp;$N$1&amp;"")</f>
        <v>6.4</v>
      </c>
      <c r="O296" s="296"/>
      <c r="P296" s="296">
        <v>0.94</v>
      </c>
      <c r="Q296" s="294">
        <v>2.36</v>
      </c>
      <c r="R296" s="295" cm="1">
        <f t="array" aca="1" ref="R296" ca="1">INDIRECT("'"&amp;$C296&amp;"'!"&amp;"$"&amp;$D296&amp;$R$1&amp;"")</f>
        <v>6.4</v>
      </c>
      <c r="S296" s="296"/>
      <c r="T296" s="296">
        <v>0.92</v>
      </c>
      <c r="U296" s="294">
        <v>2.77</v>
      </c>
      <c r="V296" s="295" cm="1">
        <f t="array" aca="1" ref="V296" ca="1">INDIRECT("'"&amp;$C296&amp;"'!"&amp;"$"&amp;$D296&amp;$V$1&amp;"")</f>
        <v>2.8</v>
      </c>
      <c r="W296" s="296">
        <f>3.8*3.49</f>
        <v>13.262</v>
      </c>
      <c r="X296" s="296">
        <v>0.93</v>
      </c>
      <c r="Y296" s="297">
        <v>1.05</v>
      </c>
      <c r="Z296" s="293" cm="1">
        <f t="array" aca="1" ref="Z296" ca="1">INDIRECT("'"&amp;$C296&amp;"'!"&amp;"$"&amp;$D296&amp;$Z$1&amp;"")</f>
        <v>0</v>
      </c>
      <c r="AA296" s="296" t="s">
        <v>1</v>
      </c>
      <c r="AB296" s="296" t="s">
        <v>1</v>
      </c>
      <c r="AC296" s="294" t="s">
        <v>1</v>
      </c>
      <c r="AD296" s="295" cm="1">
        <f t="array" aca="1" ref="AD296" ca="1">INDIRECT("'"&amp;$C296&amp;"'!"&amp;"$"&amp;$D296&amp;$AD$1&amp;"")</f>
        <v>3.8</v>
      </c>
      <c r="AE296" s="296">
        <v>13.26</v>
      </c>
      <c r="AF296" s="296">
        <v>0.93</v>
      </c>
      <c r="AG296" s="297">
        <v>1.48</v>
      </c>
      <c r="AH296" s="293" cm="1">
        <f t="array" aca="1" ref="AH296" ca="1">INDIRECT("'"&amp;$C296&amp;"'!"&amp;"$"&amp;$D296&amp;$AH$1&amp;"")</f>
        <v>3.8</v>
      </c>
      <c r="AI296" s="296">
        <v>14</v>
      </c>
      <c r="AJ296" s="296">
        <v>1</v>
      </c>
      <c r="AK296" s="294">
        <v>0.26</v>
      </c>
      <c r="AL296" s="293">
        <v>11.9</v>
      </c>
      <c r="AM296" s="297">
        <v>71</v>
      </c>
      <c r="AN296" s="293" cm="1">
        <f t="array" aca="1" ref="AN296" ca="1">INDIRECT("'"&amp;$C296&amp;"'!"&amp;"$"&amp;$D296&amp;$AL$1&amp;"")</f>
        <v>4.2</v>
      </c>
      <c r="AO296" s="296">
        <v>0.97</v>
      </c>
      <c r="AP296" s="294">
        <v>0.99199999999999999</v>
      </c>
      <c r="AQ296" s="295" t="str" cm="1">
        <f t="array" aca="1" ref="AQ296" ca="1">INDIRECT("'"&amp;$C296&amp;"'!"&amp;"$"&amp;$D296&amp;$AQ$1&amp;"")</f>
        <v>CMS</v>
      </c>
      <c r="AR296" s="296" t="s">
        <v>1</v>
      </c>
      <c r="AS296" s="294" t="s">
        <v>1</v>
      </c>
      <c r="AT296" s="296" cm="1">
        <f t="array" aca="1" ref="AT296" ca="1">INDIRECT("'"&amp;$C296&amp;"'!"&amp;"$"&amp;$D296&amp;$AT$1&amp;"")</f>
        <v>6.8</v>
      </c>
      <c r="AU296" s="295">
        <v>13.9</v>
      </c>
      <c r="AV296" s="296">
        <v>0.97</v>
      </c>
      <c r="AW296" s="294">
        <v>1.8</v>
      </c>
      <c r="AX296" s="298">
        <v>14.44</v>
      </c>
      <c r="AY296" s="297">
        <v>72.239999999999995</v>
      </c>
      <c r="AZ296" s="298" cm="1">
        <f t="array" aca="1" ref="AZ296" ca="1">INDIRECT("'"&amp;$C296&amp;"'!"&amp;"$"&amp;$D296&amp;$AZ$1&amp;"")</f>
        <v>14.31</v>
      </c>
      <c r="BA296" s="296">
        <v>0.96</v>
      </c>
      <c r="BB296" s="294">
        <v>4.5999999999999996</v>
      </c>
      <c r="BC296" s="299">
        <v>68</v>
      </c>
      <c r="BD296" s="293" cm="1">
        <f t="array" aca="1" ref="BD296" ca="1">INDIRECT("'"&amp;$C296&amp;"'!"&amp;"$"&amp;$D296&amp;$BC$1&amp;"")</f>
        <v>4.2</v>
      </c>
      <c r="BE296" s="295">
        <v>0.95</v>
      </c>
      <c r="BF296" s="294">
        <v>1.2</v>
      </c>
      <c r="BG296" s="298" cm="1">
        <f t="array" aca="1" ref="BG296" ca="1">INDIRECT("'"&amp;$C296&amp;"'!"&amp;"$"&amp;$D296&amp;$BG$1&amp;"")</f>
        <v>1.26</v>
      </c>
      <c r="BH296" s="296"/>
      <c r="BI296" s="296">
        <v>0.98</v>
      </c>
      <c r="BJ296" s="294">
        <v>0.19</v>
      </c>
      <c r="BK296" s="299" cm="1">
        <f t="array" aca="1" ref="BK296" ca="1">INDIRECT("'"&amp;$C296&amp;"'!"&amp;"$"&amp;$D296&amp;$BK$1&amp;"")</f>
        <v>0.88</v>
      </c>
      <c r="BL296" s="296"/>
      <c r="BM296" s="296">
        <v>0.96</v>
      </c>
      <c r="BN296" s="294">
        <v>0.25</v>
      </c>
      <c r="BO296" s="299" cm="1">
        <f t="array" aca="1" ref="BO296" ca="1">INDIRECT("'"&amp;$C296&amp;"'!"&amp;"$"&amp;$D296&amp;74&amp;"")</f>
        <v>0</v>
      </c>
      <c r="BP296" s="296"/>
      <c r="BQ296" s="296" t="s">
        <v>1</v>
      </c>
      <c r="BR296" s="294" t="s">
        <v>1</v>
      </c>
    </row>
    <row r="297" spans="1:70">
      <c r="A297" s="361">
        <v>45759</v>
      </c>
      <c r="B297" s="358">
        <v>0.70833333333333404</v>
      </c>
      <c r="C297" s="313">
        <f t="shared" si="10"/>
        <v>12</v>
      </c>
      <c r="D297" s="314" t="s">
        <v>144</v>
      </c>
      <c r="E297" s="286">
        <v>14.2</v>
      </c>
      <c r="F297" s="287">
        <v>69.13</v>
      </c>
      <c r="G297" s="288" cm="1">
        <f t="array" aca="1" ref="G297" ca="1">INDIRECT("'"&amp;$C297&amp;"'!"&amp;"$"&amp;$D297&amp;$E$1&amp;"")</f>
        <v>6.7</v>
      </c>
      <c r="H297" s="289">
        <v>0.94</v>
      </c>
      <c r="I297" s="287">
        <v>2.46</v>
      </c>
      <c r="J297" s="288" cm="1">
        <f t="array" aca="1" ref="J297" ca="1">INDIRECT("'"&amp;$C297&amp;"'!"&amp;"$"&amp;$D297&amp;$J$1&amp;"")</f>
        <v>0</v>
      </c>
      <c r="K297" s="289"/>
      <c r="L297" s="289" t="s">
        <v>1</v>
      </c>
      <c r="M297" s="287" t="s">
        <v>1</v>
      </c>
      <c r="N297" s="288" cm="1">
        <f t="array" aca="1" ref="N297" ca="1">INDIRECT("'"&amp;$C297&amp;"'!"&amp;"$"&amp;$D297&amp;$N$1&amp;"")</f>
        <v>6.6</v>
      </c>
      <c r="O297" s="289"/>
      <c r="P297" s="289">
        <v>0.94</v>
      </c>
      <c r="Q297" s="287">
        <v>2.4500000000000002</v>
      </c>
      <c r="R297" s="288" cm="1">
        <f t="array" aca="1" ref="R297" ca="1">INDIRECT("'"&amp;$C297&amp;"'!"&amp;"$"&amp;$D297&amp;$R$1&amp;"")</f>
        <v>6.6</v>
      </c>
      <c r="S297" s="289"/>
      <c r="T297" s="289">
        <v>0.91</v>
      </c>
      <c r="U297" s="287">
        <v>2.99</v>
      </c>
      <c r="V297" s="288" cm="1">
        <f t="array" aca="1" ref="V297" ca="1">INDIRECT("'"&amp;$C297&amp;"'!"&amp;"$"&amp;$D297&amp;$V$1&amp;"")</f>
        <v>2.8</v>
      </c>
      <c r="W297" s="289">
        <f>3.8*3.49</f>
        <v>13.262</v>
      </c>
      <c r="X297" s="289">
        <v>0.94</v>
      </c>
      <c r="Y297" s="290">
        <v>0.95</v>
      </c>
      <c r="Z297" s="286" cm="1">
        <f t="array" aca="1" ref="Z297" ca="1">INDIRECT("'"&amp;$C297&amp;"'!"&amp;"$"&amp;$D297&amp;$Z$1&amp;"")</f>
        <v>0</v>
      </c>
      <c r="AA297" s="289" t="s">
        <v>1</v>
      </c>
      <c r="AB297" s="289" t="s">
        <v>1</v>
      </c>
      <c r="AC297" s="287" t="s">
        <v>1</v>
      </c>
      <c r="AD297" s="288" cm="1">
        <f t="array" aca="1" ref="AD297" ca="1">INDIRECT("'"&amp;$C297&amp;"'!"&amp;"$"&amp;$D297&amp;$AD$1&amp;"")</f>
        <v>3.8</v>
      </c>
      <c r="AE297" s="289">
        <v>13.226000000000001</v>
      </c>
      <c r="AF297" s="289">
        <v>0.94</v>
      </c>
      <c r="AG297" s="290">
        <v>1.31</v>
      </c>
      <c r="AH297" s="286" cm="1">
        <f t="array" aca="1" ref="AH297" ca="1">INDIRECT("'"&amp;$C297&amp;"'!"&amp;"$"&amp;$D297&amp;$AH$1&amp;"")</f>
        <v>3.8</v>
      </c>
      <c r="AI297" s="289">
        <v>14.04</v>
      </c>
      <c r="AJ297" s="289">
        <v>1</v>
      </c>
      <c r="AK297" s="287">
        <v>2.3E-2</v>
      </c>
      <c r="AL297" s="286">
        <v>11.9</v>
      </c>
      <c r="AM297" s="290">
        <v>70.900000000000006</v>
      </c>
      <c r="AN297" s="286" cm="1">
        <f t="array" aca="1" ref="AN297" ca="1">INDIRECT("'"&amp;$C297&amp;"'!"&amp;"$"&amp;$D297&amp;$AL$1&amp;"")</f>
        <v>4.3</v>
      </c>
      <c r="AO297" s="289">
        <v>0.97</v>
      </c>
      <c r="AP297" s="287">
        <v>1.032</v>
      </c>
      <c r="AQ297" s="288" t="str" cm="1">
        <f t="array" aca="1" ref="AQ297" ca="1">INDIRECT("'"&amp;$C297&amp;"'!"&amp;"$"&amp;$D297&amp;$AQ$1&amp;"")</f>
        <v>CMS</v>
      </c>
      <c r="AR297" s="289" t="s">
        <v>1</v>
      </c>
      <c r="AS297" s="287" t="s">
        <v>1</v>
      </c>
      <c r="AT297" s="289" cm="1">
        <f t="array" aca="1" ref="AT297" ca="1">INDIRECT("'"&amp;$C297&amp;"'!"&amp;"$"&amp;$D297&amp;$AT$1&amp;"")</f>
        <v>6.6</v>
      </c>
      <c r="AU297" s="288">
        <v>13.9</v>
      </c>
      <c r="AV297" s="289">
        <v>0.97</v>
      </c>
      <c r="AW297" s="287">
        <v>1.8</v>
      </c>
      <c r="AX297" s="291">
        <v>14.45</v>
      </c>
      <c r="AY297" s="290">
        <v>72.260000000000005</v>
      </c>
      <c r="AZ297" s="291" cm="1">
        <f t="array" aca="1" ref="AZ297" ca="1">INDIRECT("'"&amp;$C297&amp;"'!"&amp;"$"&amp;$D297&amp;$AZ$1&amp;"")</f>
        <v>14.33</v>
      </c>
      <c r="BA297" s="289">
        <v>0.96</v>
      </c>
      <c r="BB297" s="287">
        <v>4.5999999999999996</v>
      </c>
      <c r="BC297" s="292">
        <v>67.900000000000006</v>
      </c>
      <c r="BD297" s="286" cm="1">
        <f t="array" aca="1" ref="BD297" ca="1">INDIRECT("'"&amp;$C297&amp;"'!"&amp;"$"&amp;$D297&amp;$BC$1&amp;"")</f>
        <v>1.4</v>
      </c>
      <c r="BE297" s="288">
        <v>0.95</v>
      </c>
      <c r="BF297" s="287">
        <v>0.44</v>
      </c>
      <c r="BG297" s="291" cm="1">
        <f t="array" aca="1" ref="BG297" ca="1">INDIRECT("'"&amp;$C297&amp;"'!"&amp;"$"&amp;$D297&amp;$BG$1&amp;"")</f>
        <v>1.24</v>
      </c>
      <c r="BH297" s="289"/>
      <c r="BI297" s="289">
        <v>0.98</v>
      </c>
      <c r="BJ297" s="287">
        <v>0.17</v>
      </c>
      <c r="BK297" s="292" cm="1">
        <f t="array" aca="1" ref="BK297" ca="1">INDIRECT("'"&amp;$C297&amp;"'!"&amp;"$"&amp;$D297&amp;$BK$1&amp;"")</f>
        <v>0.89</v>
      </c>
      <c r="BL297" s="289"/>
      <c r="BM297" s="289">
        <v>0.96</v>
      </c>
      <c r="BN297" s="287">
        <v>0.27</v>
      </c>
      <c r="BO297" s="292" cm="1">
        <f t="array" aca="1" ref="BO297" ca="1">INDIRECT("'"&amp;$C297&amp;"'!"&amp;"$"&amp;$D297&amp;74&amp;"")</f>
        <v>0</v>
      </c>
      <c r="BP297" s="289"/>
      <c r="BQ297" s="289" t="s">
        <v>1</v>
      </c>
      <c r="BR297" s="287" t="s">
        <v>1</v>
      </c>
    </row>
    <row r="298" spans="1:70">
      <c r="A298" s="361">
        <v>45759</v>
      </c>
      <c r="B298" s="358">
        <v>0.750000000000001</v>
      </c>
      <c r="C298" s="313">
        <f t="shared" si="10"/>
        <v>12</v>
      </c>
      <c r="D298" s="314" t="s">
        <v>145</v>
      </c>
      <c r="E298" s="293">
        <v>14.2</v>
      </c>
      <c r="F298" s="294">
        <v>69.459999999999994</v>
      </c>
      <c r="G298" s="295" cm="1">
        <f t="array" aca="1" ref="G298" ca="1">INDIRECT("'"&amp;$C298&amp;"'!"&amp;"$"&amp;$D298&amp;$E$1&amp;"")</f>
        <v>6.5</v>
      </c>
      <c r="H298" s="296">
        <v>0.94</v>
      </c>
      <c r="I298" s="294">
        <v>2.33</v>
      </c>
      <c r="J298" s="295" cm="1">
        <f t="array" aca="1" ref="J298" ca="1">INDIRECT("'"&amp;$C298&amp;"'!"&amp;"$"&amp;$D298&amp;$J$1&amp;"")</f>
        <v>0</v>
      </c>
      <c r="K298" s="296"/>
      <c r="L298" s="296" t="s">
        <v>1</v>
      </c>
      <c r="M298" s="294" t="s">
        <v>1</v>
      </c>
      <c r="N298" s="295" cm="1">
        <f t="array" aca="1" ref="N298" ca="1">INDIRECT("'"&amp;$C298&amp;"'!"&amp;"$"&amp;$D298&amp;$N$1&amp;"")</f>
        <v>6.4</v>
      </c>
      <c r="O298" s="296"/>
      <c r="P298" s="296">
        <v>0.94</v>
      </c>
      <c r="Q298" s="294">
        <v>2.39</v>
      </c>
      <c r="R298" s="295" cm="1">
        <f t="array" aca="1" ref="R298" ca="1">INDIRECT("'"&amp;$C298&amp;"'!"&amp;"$"&amp;$D298&amp;$R$1&amp;"")</f>
        <v>6.5</v>
      </c>
      <c r="S298" s="296"/>
      <c r="T298" s="296">
        <v>0.94</v>
      </c>
      <c r="U298" s="294">
        <v>2.34</v>
      </c>
      <c r="V298" s="295" cm="1">
        <f t="array" aca="1" ref="V298" ca="1">INDIRECT("'"&amp;$C298&amp;"'!"&amp;"$"&amp;$D298&amp;$V$1&amp;"")</f>
        <v>2.8</v>
      </c>
      <c r="W298" s="296">
        <f>3.8*3.52</f>
        <v>13.375999999999999</v>
      </c>
      <c r="X298" s="296">
        <v>0.95</v>
      </c>
      <c r="Y298" s="297">
        <v>0.84</v>
      </c>
      <c r="Z298" s="293" cm="1">
        <f t="array" aca="1" ref="Z298" ca="1">INDIRECT("'"&amp;$C298&amp;"'!"&amp;"$"&amp;$D298&amp;$Z$1&amp;"")</f>
        <v>0</v>
      </c>
      <c r="AA298" s="296" t="s">
        <v>1</v>
      </c>
      <c r="AB298" s="296" t="s">
        <v>1</v>
      </c>
      <c r="AC298" s="294" t="s">
        <v>1</v>
      </c>
      <c r="AD298" s="295" cm="1">
        <f t="array" aca="1" ref="AD298" ca="1">INDIRECT("'"&amp;$C298&amp;"'!"&amp;"$"&amp;$D298&amp;$AD$1&amp;"")</f>
        <v>3.8</v>
      </c>
      <c r="AE298" s="296">
        <v>13.38</v>
      </c>
      <c r="AF298" s="296">
        <v>0.94</v>
      </c>
      <c r="AG298" s="297">
        <v>1.3</v>
      </c>
      <c r="AH298" s="293" cm="1">
        <f t="array" aca="1" ref="AH298" ca="1">INDIRECT("'"&amp;$C298&amp;"'!"&amp;"$"&amp;$D298&amp;$AH$1&amp;"")</f>
        <v>3.8</v>
      </c>
      <c r="AI298" s="296">
        <v>14.08</v>
      </c>
      <c r="AJ298" s="296">
        <v>0.99</v>
      </c>
      <c r="AK298" s="294">
        <v>0.45100000000000001</v>
      </c>
      <c r="AL298" s="293">
        <v>11.9</v>
      </c>
      <c r="AM298" s="297">
        <v>71</v>
      </c>
      <c r="AN298" s="293" cm="1">
        <f t="array" aca="1" ref="AN298" ca="1">INDIRECT("'"&amp;$C298&amp;"'!"&amp;"$"&amp;$D298&amp;$AL$1&amp;"")</f>
        <v>4.5</v>
      </c>
      <c r="AO298" s="296">
        <v>0.97</v>
      </c>
      <c r="AP298" s="294">
        <v>0.96599999999999997</v>
      </c>
      <c r="AQ298" s="295" t="str" cm="1">
        <f t="array" aca="1" ref="AQ298" ca="1">INDIRECT("'"&amp;$C298&amp;"'!"&amp;"$"&amp;$D298&amp;$AQ$1&amp;"")</f>
        <v>CMS</v>
      </c>
      <c r="AR298" s="296" t="s">
        <v>1</v>
      </c>
      <c r="AS298" s="294" t="s">
        <v>1</v>
      </c>
      <c r="AT298" s="296" cm="1">
        <f t="array" aca="1" ref="AT298" ca="1">INDIRECT("'"&amp;$C298&amp;"'!"&amp;"$"&amp;$D298&amp;$AT$1&amp;"")</f>
        <v>6.8</v>
      </c>
      <c r="AU298" s="295">
        <v>13.9</v>
      </c>
      <c r="AV298" s="296">
        <v>0.97</v>
      </c>
      <c r="AW298" s="294">
        <v>1.69</v>
      </c>
      <c r="AX298" s="298">
        <v>14.35</v>
      </c>
      <c r="AY298" s="297">
        <v>72.209999999999994</v>
      </c>
      <c r="AZ298" s="298" cm="1">
        <f t="array" aca="1" ref="AZ298" ca="1">INDIRECT("'"&amp;$C298&amp;"'!"&amp;"$"&amp;$D298&amp;$AZ$1&amp;"")</f>
        <v>14.28</v>
      </c>
      <c r="BA298" s="296">
        <v>0.98</v>
      </c>
      <c r="BB298" s="294">
        <v>3.4</v>
      </c>
      <c r="BC298" s="299">
        <v>68.3</v>
      </c>
      <c r="BD298" s="293" cm="1">
        <f t="array" aca="1" ref="BD298" ca="1">INDIRECT("'"&amp;$C298&amp;"'!"&amp;"$"&amp;$D298&amp;$BC$1&amp;"")</f>
        <v>1.4</v>
      </c>
      <c r="BE298" s="295">
        <v>0.96</v>
      </c>
      <c r="BF298" s="294">
        <v>0.39</v>
      </c>
      <c r="BG298" s="298" cm="1">
        <f t="array" aca="1" ref="BG298" ca="1">INDIRECT("'"&amp;$C298&amp;"'!"&amp;"$"&amp;$D298&amp;$BG$1&amp;"")</f>
        <v>1.3</v>
      </c>
      <c r="BH298" s="296"/>
      <c r="BI298" s="296">
        <v>0.99</v>
      </c>
      <c r="BJ298" s="294">
        <v>0.16</v>
      </c>
      <c r="BK298" s="299" cm="1">
        <f t="array" aca="1" ref="BK298" ca="1">INDIRECT("'"&amp;$C298&amp;"'!"&amp;"$"&amp;$D298&amp;$BK$1&amp;"")</f>
        <v>0.89</v>
      </c>
      <c r="BL298" s="296"/>
      <c r="BM298" s="296">
        <v>0.96</v>
      </c>
      <c r="BN298" s="294">
        <v>0.24</v>
      </c>
      <c r="BO298" s="299" cm="1">
        <f t="array" aca="1" ref="BO298" ca="1">INDIRECT("'"&amp;$C298&amp;"'!"&amp;"$"&amp;$D298&amp;74&amp;"")</f>
        <v>0</v>
      </c>
      <c r="BP298" s="296"/>
      <c r="BQ298" s="296" t="s">
        <v>1</v>
      </c>
      <c r="BR298" s="294" t="s">
        <v>1</v>
      </c>
    </row>
    <row r="299" spans="1:70">
      <c r="A299" s="361">
        <v>45759</v>
      </c>
      <c r="B299" s="358">
        <v>0.79166666666666663</v>
      </c>
      <c r="C299" s="313">
        <f t="shared" si="10"/>
        <v>12</v>
      </c>
      <c r="D299" s="314" t="s">
        <v>146</v>
      </c>
      <c r="E299" s="286">
        <v>14.2</v>
      </c>
      <c r="F299" s="287">
        <v>69.84</v>
      </c>
      <c r="G299" s="288" cm="1">
        <f t="array" aca="1" ref="G299" ca="1">INDIRECT("'"&amp;$C299&amp;"'!"&amp;"$"&amp;$D299&amp;$E$1&amp;"")</f>
        <v>6.7</v>
      </c>
      <c r="H299" s="289">
        <v>0.96</v>
      </c>
      <c r="I299" s="287">
        <v>2.0299999999999998</v>
      </c>
      <c r="J299" s="288" cm="1">
        <f t="array" aca="1" ref="J299" ca="1">INDIRECT("'"&amp;$C299&amp;"'!"&amp;"$"&amp;$D299&amp;$J$1&amp;"")</f>
        <v>0</v>
      </c>
      <c r="K299" s="300"/>
      <c r="L299" s="289" t="s">
        <v>1</v>
      </c>
      <c r="M299" s="287" t="s">
        <v>1</v>
      </c>
      <c r="N299" s="288" cm="1">
        <f t="array" aca="1" ref="N299" ca="1">INDIRECT("'"&amp;$C299&amp;"'!"&amp;"$"&amp;$D299&amp;$N$1&amp;"")</f>
        <v>6.7</v>
      </c>
      <c r="O299" s="289"/>
      <c r="P299" s="289">
        <v>0.96</v>
      </c>
      <c r="Q299" s="287">
        <v>2.02</v>
      </c>
      <c r="R299" s="288" cm="1">
        <f t="array" aca="1" ref="R299" ca="1">INDIRECT("'"&amp;$C299&amp;"'!"&amp;"$"&amp;$D299&amp;$R$1&amp;"")</f>
        <v>6.7</v>
      </c>
      <c r="S299" s="289"/>
      <c r="T299" s="289">
        <v>0.95</v>
      </c>
      <c r="U299" s="287">
        <v>2.12</v>
      </c>
      <c r="V299" s="288" cm="1">
        <f t="array" aca="1" ref="V299" ca="1">INDIRECT("'"&amp;$C299&amp;"'!"&amp;"$"&amp;$D299&amp;$V$1&amp;"")</f>
        <v>2.8</v>
      </c>
      <c r="W299" s="289">
        <f>3.8*3.53</f>
        <v>13.413999999999998</v>
      </c>
      <c r="X299" s="289">
        <v>0.96</v>
      </c>
      <c r="Y299" s="290">
        <v>0.73</v>
      </c>
      <c r="Z299" s="286" cm="1">
        <f t="array" aca="1" ref="Z299" ca="1">INDIRECT("'"&amp;$C299&amp;"'!"&amp;"$"&amp;$D299&amp;$Z$1&amp;"")</f>
        <v>0</v>
      </c>
      <c r="AA299" s="289" t="s">
        <v>1</v>
      </c>
      <c r="AB299" s="289" t="s">
        <v>1</v>
      </c>
      <c r="AC299" s="287" t="s">
        <v>1</v>
      </c>
      <c r="AD299" s="288" cm="1">
        <f t="array" aca="1" ref="AD299" ca="1">INDIRECT("'"&amp;$C299&amp;"'!"&amp;"$"&amp;$D299&amp;$AD$1&amp;"")</f>
        <v>3.8</v>
      </c>
      <c r="AE299" s="289">
        <f>3.8*3.53</f>
        <v>13.413999999999998</v>
      </c>
      <c r="AF299" s="289">
        <v>0.95</v>
      </c>
      <c r="AG299" s="290">
        <v>1.2</v>
      </c>
      <c r="AH299" s="286" cm="1">
        <f t="array" aca="1" ref="AH299" ca="1">INDIRECT("'"&amp;$C299&amp;"'!"&amp;"$"&amp;$D299&amp;$AH$1&amp;"")</f>
        <v>3.8</v>
      </c>
      <c r="AI299" s="289">
        <v>14.08</v>
      </c>
      <c r="AJ299" s="289">
        <v>0.99</v>
      </c>
      <c r="AK299" s="287">
        <v>0.48299999999999998</v>
      </c>
      <c r="AL299" s="286">
        <v>11.9</v>
      </c>
      <c r="AM299" s="290">
        <v>71.2</v>
      </c>
      <c r="AN299" s="286" cm="1">
        <f t="array" aca="1" ref="AN299" ca="1">INDIRECT("'"&amp;$C299&amp;"'!"&amp;"$"&amp;$D299&amp;$AL$1&amp;"")</f>
        <v>4.5</v>
      </c>
      <c r="AO299" s="289">
        <v>0.98</v>
      </c>
      <c r="AP299" s="287">
        <v>0.74399999999999999</v>
      </c>
      <c r="AQ299" s="288" t="str" cm="1">
        <f t="array" aca="1" ref="AQ299" ca="1">INDIRECT("'"&amp;$C299&amp;"'!"&amp;"$"&amp;$D299&amp;$AQ$1&amp;"")</f>
        <v>CMS</v>
      </c>
      <c r="AR299" s="289" t="s">
        <v>1</v>
      </c>
      <c r="AS299" s="287" t="s">
        <v>1</v>
      </c>
      <c r="AT299" s="289" cm="1">
        <f t="array" aca="1" ref="AT299" ca="1">INDIRECT("'"&amp;$C299&amp;"'!"&amp;"$"&amp;$D299&amp;$AT$1&amp;"")</f>
        <v>7.1</v>
      </c>
      <c r="AU299" s="288">
        <v>13.9</v>
      </c>
      <c r="AV299" s="289">
        <v>0.98</v>
      </c>
      <c r="AW299" s="287">
        <v>1.5</v>
      </c>
      <c r="AX299" s="291">
        <v>14.34</v>
      </c>
      <c r="AY299" s="290">
        <v>72.22</v>
      </c>
      <c r="AZ299" s="291" cm="1">
        <f t="array" aca="1" ref="AZ299" ca="1">INDIRECT("'"&amp;$C299&amp;"'!"&amp;"$"&amp;$D299&amp;$AZ$1&amp;"")</f>
        <v>14.33</v>
      </c>
      <c r="BA299" s="289">
        <v>0.98</v>
      </c>
      <c r="BB299" s="287">
        <v>3.5</v>
      </c>
      <c r="BC299" s="292">
        <v>68.7</v>
      </c>
      <c r="BD299" s="286" cm="1">
        <f t="array" aca="1" ref="BD299" ca="1">INDIRECT("'"&amp;$C299&amp;"'!"&amp;"$"&amp;$D299&amp;$BC$1&amp;"")</f>
        <v>4.2</v>
      </c>
      <c r="BE299" s="288">
        <v>0.96</v>
      </c>
      <c r="BF299" s="287">
        <v>1.1000000000000001</v>
      </c>
      <c r="BG299" s="291" cm="1">
        <f t="array" aca="1" ref="BG299" ca="1">INDIRECT("'"&amp;$C299&amp;"'!"&amp;"$"&amp;$D299&amp;$BG$1&amp;"")</f>
        <v>1.53</v>
      </c>
      <c r="BH299" s="289"/>
      <c r="BI299" s="289">
        <v>0.99</v>
      </c>
      <c r="BJ299" s="287">
        <v>0.2</v>
      </c>
      <c r="BK299" s="292" cm="1">
        <f t="array" aca="1" ref="BK299" ca="1">INDIRECT("'"&amp;$C299&amp;"'!"&amp;"$"&amp;$D299&amp;$BK$1&amp;"")</f>
        <v>0.95</v>
      </c>
      <c r="BL299" s="289"/>
      <c r="BM299" s="289">
        <v>0.97</v>
      </c>
      <c r="BN299" s="287">
        <v>0.24</v>
      </c>
      <c r="BO299" s="292" cm="1">
        <f t="array" aca="1" ref="BO299" ca="1">INDIRECT("'"&amp;$C299&amp;"'!"&amp;"$"&amp;$D299&amp;74&amp;"")</f>
        <v>0</v>
      </c>
      <c r="BP299" s="289"/>
      <c r="BQ299" s="289" t="s">
        <v>1</v>
      </c>
      <c r="BR299" s="287" t="s">
        <v>1</v>
      </c>
    </row>
    <row r="300" spans="1:70">
      <c r="A300" s="361">
        <v>45759</v>
      </c>
      <c r="B300" s="358">
        <v>0.83333333333333337</v>
      </c>
      <c r="C300" s="313">
        <f t="shared" si="10"/>
        <v>12</v>
      </c>
      <c r="D300" s="314" t="s">
        <v>147</v>
      </c>
      <c r="E300" s="293">
        <v>14</v>
      </c>
      <c r="F300" s="294">
        <v>69.709999999999994</v>
      </c>
      <c r="G300" s="295" cm="1">
        <f t="array" aca="1" ref="G300" ca="1">INDIRECT("'"&amp;$C300&amp;"'!"&amp;"$"&amp;$D300&amp;$E$1&amp;"")</f>
        <v>6.7</v>
      </c>
      <c r="H300" s="296">
        <v>0.96</v>
      </c>
      <c r="I300" s="294">
        <v>1.89</v>
      </c>
      <c r="J300" s="295" cm="1">
        <f t="array" aca="1" ref="J300" ca="1">INDIRECT("'"&amp;$C300&amp;"'!"&amp;"$"&amp;$D300&amp;$J$1&amp;"")</f>
        <v>0</v>
      </c>
      <c r="K300" s="296"/>
      <c r="L300" s="296" t="s">
        <v>1</v>
      </c>
      <c r="M300" s="294" t="s">
        <v>1</v>
      </c>
      <c r="N300" s="295" cm="1">
        <f t="array" aca="1" ref="N300" ca="1">INDIRECT("'"&amp;$C300&amp;"'!"&amp;"$"&amp;$D300&amp;$N$1&amp;"")</f>
        <v>6.7</v>
      </c>
      <c r="O300" s="296"/>
      <c r="P300" s="296">
        <v>0.96</v>
      </c>
      <c r="Q300" s="294">
        <v>1.85</v>
      </c>
      <c r="R300" s="295" cm="1">
        <f t="array" aca="1" ref="R300" ca="1">INDIRECT("'"&amp;$C300&amp;"'!"&amp;"$"&amp;$D300&amp;$R$1&amp;"")</f>
        <v>6.7</v>
      </c>
      <c r="S300" s="296"/>
      <c r="T300" s="296">
        <v>0.96</v>
      </c>
      <c r="U300" s="294">
        <v>1.87</v>
      </c>
      <c r="V300" s="295" cm="1">
        <f t="array" aca="1" ref="V300" ca="1">INDIRECT("'"&amp;$C300&amp;"'!"&amp;"$"&amp;$D300&amp;$V$1&amp;"")</f>
        <v>2.8</v>
      </c>
      <c r="W300" s="296">
        <f>3.8*3.52</f>
        <v>13.375999999999999</v>
      </c>
      <c r="X300" s="296">
        <v>0.96</v>
      </c>
      <c r="Y300" s="297">
        <v>0.73</v>
      </c>
      <c r="Z300" s="293" cm="1">
        <f t="array" aca="1" ref="Z300" ca="1">INDIRECT("'"&amp;$C300&amp;"'!"&amp;"$"&amp;$D300&amp;$Z$1&amp;"")</f>
        <v>0</v>
      </c>
      <c r="AA300" s="296" t="s">
        <v>1</v>
      </c>
      <c r="AB300" s="296" t="s">
        <v>1</v>
      </c>
      <c r="AC300" s="294" t="s">
        <v>1</v>
      </c>
      <c r="AD300" s="295" cm="1">
        <f t="array" aca="1" ref="AD300" ca="1">INDIRECT("'"&amp;$C300&amp;"'!"&amp;"$"&amp;$D300&amp;$AD$1&amp;"")</f>
        <v>3.8</v>
      </c>
      <c r="AE300" s="296">
        <f>3.8*3.52</f>
        <v>13.375999999999999</v>
      </c>
      <c r="AF300" s="296">
        <v>0.96</v>
      </c>
      <c r="AG300" s="297">
        <v>1.05</v>
      </c>
      <c r="AH300" s="293" cm="1">
        <f t="array" aca="1" ref="AH300" ca="1">INDIRECT("'"&amp;$C300&amp;"'!"&amp;"$"&amp;$D300&amp;$AH$1&amp;"")</f>
        <v>3.8</v>
      </c>
      <c r="AI300" s="296">
        <v>14.08</v>
      </c>
      <c r="AJ300" s="296">
        <v>0.99</v>
      </c>
      <c r="AK300" s="294">
        <v>0.55600000000000005</v>
      </c>
      <c r="AL300" s="293">
        <v>11.9</v>
      </c>
      <c r="AM300" s="297">
        <v>71.099999999999994</v>
      </c>
      <c r="AN300" s="293" cm="1">
        <f t="array" aca="1" ref="AN300" ca="1">INDIRECT("'"&amp;$C300&amp;"'!"&amp;"$"&amp;$D300&amp;$AL$1&amp;"")</f>
        <v>4.5</v>
      </c>
      <c r="AO300" s="296">
        <v>0.97</v>
      </c>
      <c r="AP300" s="294">
        <v>0.93400000000000005</v>
      </c>
      <c r="AQ300" s="295" t="str" cm="1">
        <f t="array" aca="1" ref="AQ300" ca="1">INDIRECT("'"&amp;$C300&amp;"'!"&amp;"$"&amp;$D300&amp;$AQ$1&amp;"")</f>
        <v>CMS</v>
      </c>
      <c r="AR300" s="296" t="s">
        <v>1</v>
      </c>
      <c r="AS300" s="294" t="s">
        <v>1</v>
      </c>
      <c r="AT300" s="296" cm="1">
        <f t="array" aca="1" ref="AT300" ca="1">INDIRECT("'"&amp;$C300&amp;"'!"&amp;"$"&amp;$D300&amp;$AT$1&amp;"")</f>
        <v>7</v>
      </c>
      <c r="AU300" s="295">
        <v>13.9</v>
      </c>
      <c r="AV300" s="296">
        <v>0.97</v>
      </c>
      <c r="AW300" s="294">
        <v>1.7</v>
      </c>
      <c r="AX300" s="298">
        <v>14.34</v>
      </c>
      <c r="AY300" s="297">
        <v>72.209999999999994</v>
      </c>
      <c r="AZ300" s="298" cm="1">
        <f t="array" aca="1" ref="AZ300" ca="1">INDIRECT("'"&amp;$C300&amp;"'!"&amp;"$"&amp;$D300&amp;$AZ$1&amp;"")</f>
        <v>14.26</v>
      </c>
      <c r="BA300" s="296">
        <v>0.98</v>
      </c>
      <c r="BB300" s="294">
        <v>3.5</v>
      </c>
      <c r="BC300" s="299">
        <v>68.3</v>
      </c>
      <c r="BD300" s="293" cm="1">
        <f t="array" aca="1" ref="BD300" ca="1">INDIRECT("'"&amp;$C300&amp;"'!"&amp;"$"&amp;$D300&amp;$BC$1&amp;"")</f>
        <v>2.8</v>
      </c>
      <c r="BE300" s="295">
        <v>0.96</v>
      </c>
      <c r="BF300" s="294">
        <v>0.79</v>
      </c>
      <c r="BG300" s="298" cm="1">
        <f t="array" aca="1" ref="BG300" ca="1">INDIRECT("'"&amp;$C300&amp;"'!"&amp;"$"&amp;$D300&amp;$BG$1&amp;"")</f>
        <v>1.47</v>
      </c>
      <c r="BH300" s="296"/>
      <c r="BI300" s="296">
        <v>0.99</v>
      </c>
      <c r="BJ300" s="294">
        <v>0.19</v>
      </c>
      <c r="BK300" s="299" cm="1">
        <f t="array" aca="1" ref="BK300" ca="1">INDIRECT("'"&amp;$C300&amp;"'!"&amp;"$"&amp;$D300&amp;$BK$1&amp;"")</f>
        <v>0.96</v>
      </c>
      <c r="BL300" s="296"/>
      <c r="BM300" s="296">
        <v>0.97</v>
      </c>
      <c r="BN300" s="294">
        <v>0.24</v>
      </c>
      <c r="BO300" s="299" cm="1">
        <f t="array" aca="1" ref="BO300" ca="1">INDIRECT("'"&amp;$C300&amp;"'!"&amp;"$"&amp;$D300&amp;74&amp;"")</f>
        <v>0</v>
      </c>
      <c r="BP300" s="296"/>
      <c r="BQ300" s="296" t="s">
        <v>1</v>
      </c>
      <c r="BR300" s="294" t="s">
        <v>1</v>
      </c>
    </row>
    <row r="301" spans="1:70">
      <c r="A301" s="361">
        <v>45759</v>
      </c>
      <c r="B301" s="358">
        <v>0.875000000000001</v>
      </c>
      <c r="C301" s="313">
        <f t="shared" si="10"/>
        <v>12</v>
      </c>
      <c r="D301" s="314" t="s">
        <v>148</v>
      </c>
      <c r="E301" s="286">
        <v>14</v>
      </c>
      <c r="F301" s="287">
        <v>69.86</v>
      </c>
      <c r="G301" s="288" cm="1">
        <f t="array" aca="1" ref="G301" ca="1">INDIRECT("'"&amp;$C301&amp;"'!"&amp;"$"&amp;$D301&amp;$E$1&amp;"")</f>
        <v>6.7</v>
      </c>
      <c r="H301" s="289">
        <v>0.95</v>
      </c>
      <c r="I301" s="287">
        <v>2.1</v>
      </c>
      <c r="J301" s="288" cm="1">
        <f t="array" aca="1" ref="J301" ca="1">INDIRECT("'"&amp;$C301&amp;"'!"&amp;"$"&amp;$D301&amp;$J$1&amp;"")</f>
        <v>0</v>
      </c>
      <c r="K301" s="289"/>
      <c r="L301" s="289" t="s">
        <v>1</v>
      </c>
      <c r="M301" s="287" t="s">
        <v>1</v>
      </c>
      <c r="N301" s="288" cm="1">
        <f t="array" aca="1" ref="N301" ca="1">INDIRECT("'"&amp;$C301&amp;"'!"&amp;"$"&amp;$D301&amp;$N$1&amp;"")</f>
        <v>6.7</v>
      </c>
      <c r="O301" s="289"/>
      <c r="P301" s="289">
        <v>0.95</v>
      </c>
      <c r="Q301" s="287">
        <v>2.09</v>
      </c>
      <c r="R301" s="288" cm="1">
        <f t="array" aca="1" ref="R301" ca="1">INDIRECT("'"&amp;$C301&amp;"'!"&amp;"$"&amp;$D301&amp;$R$1&amp;"")</f>
        <v>6.7</v>
      </c>
      <c r="S301" s="289"/>
      <c r="T301" s="289">
        <v>0.95</v>
      </c>
      <c r="U301" s="287">
        <v>2.0699999999999998</v>
      </c>
      <c r="V301" s="288" cm="1">
        <f t="array" aca="1" ref="V301" ca="1">INDIRECT("'"&amp;$C301&amp;"'!"&amp;"$"&amp;$D301&amp;$V$1&amp;"")</f>
        <v>2.8</v>
      </c>
      <c r="W301" s="289">
        <f>3.8*3.52</f>
        <v>13.375999999999999</v>
      </c>
      <c r="X301" s="289">
        <v>0.96</v>
      </c>
      <c r="Y301" s="290">
        <v>0.71</v>
      </c>
      <c r="Z301" s="286" cm="1">
        <f t="array" aca="1" ref="Z301" ca="1">INDIRECT("'"&amp;$C301&amp;"'!"&amp;"$"&amp;$D301&amp;$Z$1&amp;"")</f>
        <v>0</v>
      </c>
      <c r="AA301" s="289" t="s">
        <v>1</v>
      </c>
      <c r="AB301" s="289" t="s">
        <v>1</v>
      </c>
      <c r="AC301" s="287" t="s">
        <v>1</v>
      </c>
      <c r="AD301" s="288" cm="1">
        <f t="array" aca="1" ref="AD301" ca="1">INDIRECT("'"&amp;$C301&amp;"'!"&amp;"$"&amp;$D301&amp;$AD$1&amp;"")</f>
        <v>3.8</v>
      </c>
      <c r="AE301" s="289">
        <f>3.8*3.52</f>
        <v>13.375999999999999</v>
      </c>
      <c r="AF301" s="289">
        <v>0.96</v>
      </c>
      <c r="AG301" s="290">
        <v>1.06</v>
      </c>
      <c r="AH301" s="286" cm="1">
        <f t="array" aca="1" ref="AH301" ca="1">INDIRECT("'"&amp;$C301&amp;"'!"&amp;"$"&amp;$D301&amp;$AH$1&amp;"")</f>
        <v>3.8</v>
      </c>
      <c r="AI301" s="289">
        <v>14.08</v>
      </c>
      <c r="AJ301" s="289">
        <v>0.98</v>
      </c>
      <c r="AK301" s="287">
        <v>0.80600000000000005</v>
      </c>
      <c r="AL301" s="286">
        <v>11.9</v>
      </c>
      <c r="AM301" s="290">
        <v>70.900000000000006</v>
      </c>
      <c r="AN301" s="286" cm="1">
        <f t="array" aca="1" ref="AN301" ca="1">INDIRECT("'"&amp;$C301&amp;"'!"&amp;"$"&amp;$D301&amp;$AL$1&amp;"")</f>
        <v>4.5</v>
      </c>
      <c r="AO301" s="289">
        <v>0.96</v>
      </c>
      <c r="AP301" s="287">
        <v>1.1000000000000001</v>
      </c>
      <c r="AQ301" s="288" t="str" cm="1">
        <f t="array" aca="1" ref="AQ301" ca="1">INDIRECT("'"&amp;$C301&amp;"'!"&amp;"$"&amp;$D301&amp;$AQ$1&amp;"")</f>
        <v>CMS</v>
      </c>
      <c r="AR301" s="289" t="s">
        <v>1</v>
      </c>
      <c r="AS301" s="287" t="s">
        <v>1</v>
      </c>
      <c r="AT301" s="289" cm="1">
        <f t="array" aca="1" ref="AT301" ca="1">INDIRECT("'"&amp;$C301&amp;"'!"&amp;"$"&amp;$D301&amp;$AT$1&amp;"")</f>
        <v>7</v>
      </c>
      <c r="AU301" s="288">
        <v>13.9</v>
      </c>
      <c r="AV301" s="289">
        <v>0.96</v>
      </c>
      <c r="AW301" s="287">
        <v>2</v>
      </c>
      <c r="AX301" s="291">
        <v>14.18</v>
      </c>
      <c r="AY301" s="290">
        <v>71.7</v>
      </c>
      <c r="AZ301" s="291" cm="1">
        <f t="array" aca="1" ref="AZ301" ca="1">INDIRECT("'"&amp;$C301&amp;"'!"&amp;"$"&amp;$D301&amp;$AZ$1&amp;"")</f>
        <v>14.35</v>
      </c>
      <c r="BA301" s="289">
        <v>0.99</v>
      </c>
      <c r="BB301" s="287">
        <v>2.4</v>
      </c>
      <c r="BC301" s="292">
        <v>68.099999999999994</v>
      </c>
      <c r="BD301" s="286" cm="1">
        <f t="array" aca="1" ref="BD301" ca="1">INDIRECT("'"&amp;$C301&amp;"'!"&amp;"$"&amp;$D301&amp;$BC$1&amp;"")</f>
        <v>1.4</v>
      </c>
      <c r="BE301" s="288">
        <v>0.97</v>
      </c>
      <c r="BF301" s="287">
        <v>0.36</v>
      </c>
      <c r="BG301" s="291" cm="1">
        <f t="array" aca="1" ref="BG301" ca="1">INDIRECT("'"&amp;$C301&amp;"'!"&amp;"$"&amp;$D301&amp;$BG$1&amp;"")</f>
        <v>1.35</v>
      </c>
      <c r="BH301" s="289"/>
      <c r="BI301" s="289">
        <v>0.99</v>
      </c>
      <c r="BJ301" s="287">
        <v>0.17</v>
      </c>
      <c r="BK301" s="292" cm="1">
        <f t="array" aca="1" ref="BK301" ca="1">INDIRECT("'"&amp;$C301&amp;"'!"&amp;"$"&amp;$D301&amp;$BK$1&amp;"")</f>
        <v>0.93</v>
      </c>
      <c r="BL301" s="289"/>
      <c r="BM301" s="289">
        <v>0.97</v>
      </c>
      <c r="BN301" s="287">
        <v>0.23</v>
      </c>
      <c r="BO301" s="292" cm="1">
        <f t="array" aca="1" ref="BO301" ca="1">INDIRECT("'"&amp;$C301&amp;"'!"&amp;"$"&amp;$D301&amp;74&amp;"")</f>
        <v>0</v>
      </c>
      <c r="BP301" s="289"/>
      <c r="BQ301" s="289" t="s">
        <v>1</v>
      </c>
      <c r="BR301" s="287" t="s">
        <v>1</v>
      </c>
    </row>
    <row r="302" spans="1:70">
      <c r="A302" s="361">
        <v>45759</v>
      </c>
      <c r="B302" s="358">
        <v>0.91666666666666696</v>
      </c>
      <c r="C302" s="313">
        <f t="shared" si="10"/>
        <v>12</v>
      </c>
      <c r="D302" s="314" t="s">
        <v>149</v>
      </c>
      <c r="E302" s="293">
        <v>14.1</v>
      </c>
      <c r="F302" s="294">
        <v>69.849999999999994</v>
      </c>
      <c r="G302" s="295" cm="1">
        <f t="array" aca="1" ref="G302" ca="1">INDIRECT("'"&amp;$C302&amp;"'!"&amp;"$"&amp;$D302&amp;$E$1&amp;"")</f>
        <v>6.5</v>
      </c>
      <c r="H302" s="296">
        <v>0.97</v>
      </c>
      <c r="I302" s="294">
        <v>1.57</v>
      </c>
      <c r="J302" s="295" cm="1">
        <f t="array" aca="1" ref="J302" ca="1">INDIRECT("'"&amp;$C302&amp;"'!"&amp;"$"&amp;$D302&amp;$J$1&amp;"")</f>
        <v>6.5</v>
      </c>
      <c r="K302" s="296"/>
      <c r="L302" s="296">
        <v>0.97</v>
      </c>
      <c r="M302" s="294">
        <v>1.58</v>
      </c>
      <c r="N302" s="295" cm="1">
        <f t="array" aca="1" ref="N302" ca="1">INDIRECT("'"&amp;$C302&amp;"'!"&amp;"$"&amp;$D302&amp;$N$1&amp;"")</f>
        <v>6.5</v>
      </c>
      <c r="O302" s="296"/>
      <c r="P302" s="296">
        <v>0.97</v>
      </c>
      <c r="Q302" s="294">
        <v>1.55</v>
      </c>
      <c r="R302" s="295" cm="1">
        <f t="array" aca="1" ref="R302" ca="1">INDIRECT("'"&amp;$C302&amp;"'!"&amp;"$"&amp;$D302&amp;$R$1&amp;"")</f>
        <v>0</v>
      </c>
      <c r="S302" s="296"/>
      <c r="T302" s="296" t="s">
        <v>1</v>
      </c>
      <c r="U302" s="294" t="s">
        <v>1</v>
      </c>
      <c r="V302" s="295" cm="1">
        <f t="array" aca="1" ref="V302" ca="1">INDIRECT("'"&amp;$C302&amp;"'!"&amp;"$"&amp;$D302&amp;$V$1&amp;"")</f>
        <v>2.8</v>
      </c>
      <c r="W302" s="296">
        <f>3.8*3.55</f>
        <v>13.489999999999998</v>
      </c>
      <c r="X302" s="296">
        <v>0.98</v>
      </c>
      <c r="Y302" s="297">
        <v>0.53</v>
      </c>
      <c r="Z302" s="293" cm="1">
        <f t="array" aca="1" ref="Z302" ca="1">INDIRECT("'"&amp;$C302&amp;"'!"&amp;"$"&amp;$D302&amp;$Z$1&amp;"")</f>
        <v>0</v>
      </c>
      <c r="AA302" s="296" t="s">
        <v>1</v>
      </c>
      <c r="AB302" s="296" t="s">
        <v>1</v>
      </c>
      <c r="AC302" s="294" t="s">
        <v>1</v>
      </c>
      <c r="AD302" s="295" cm="1">
        <f t="array" aca="1" ref="AD302" ca="1">INDIRECT("'"&amp;$C302&amp;"'!"&amp;"$"&amp;$D302&amp;$AD$1&amp;"")</f>
        <v>3.8</v>
      </c>
      <c r="AE302" s="296">
        <f>3.8*3.55</f>
        <v>13.489999999999998</v>
      </c>
      <c r="AF302" s="296">
        <v>0.98</v>
      </c>
      <c r="AG302" s="297">
        <v>0.74</v>
      </c>
      <c r="AH302" s="293" cm="1">
        <f t="array" aca="1" ref="AH302" ca="1">INDIRECT("'"&amp;$C302&amp;"'!"&amp;"$"&amp;$D302&amp;$AH$1&amp;"")</f>
        <v>3.8</v>
      </c>
      <c r="AI302" s="296">
        <v>14.08</v>
      </c>
      <c r="AJ302" s="296">
        <v>0.99</v>
      </c>
      <c r="AK302" s="294">
        <v>0.55400000000000005</v>
      </c>
      <c r="AL302" s="293">
        <v>11.9</v>
      </c>
      <c r="AM302" s="297">
        <v>71</v>
      </c>
      <c r="AN302" s="293" cm="1">
        <f t="array" aca="1" ref="AN302" ca="1">INDIRECT("'"&amp;$C302&amp;"'!"&amp;"$"&amp;$D302&amp;$AL$1&amp;"")</f>
        <v>4</v>
      </c>
      <c r="AO302" s="296">
        <v>0.99</v>
      </c>
      <c r="AP302" s="294">
        <v>0.4</v>
      </c>
      <c r="AQ302" s="295" t="str" cm="1">
        <f t="array" aca="1" ref="AQ302" ca="1">INDIRECT("'"&amp;$C302&amp;"'!"&amp;"$"&amp;$D302&amp;$AQ$1&amp;"")</f>
        <v>CMS</v>
      </c>
      <c r="AR302" s="296" t="s">
        <v>1</v>
      </c>
      <c r="AS302" s="294" t="s">
        <v>1</v>
      </c>
      <c r="AT302" s="296" cm="1">
        <f t="array" aca="1" ref="AT302" ca="1">INDIRECT("'"&amp;$C302&amp;"'!"&amp;"$"&amp;$D302&amp;$AT$1&amp;"")</f>
        <v>3</v>
      </c>
      <c r="AU302" s="295">
        <v>13.8</v>
      </c>
      <c r="AV302" s="296">
        <v>0.91</v>
      </c>
      <c r="AW302" s="294">
        <v>1.2</v>
      </c>
      <c r="AX302" s="298">
        <v>14.24</v>
      </c>
      <c r="AY302" s="297">
        <v>72.02</v>
      </c>
      <c r="AZ302" s="298" cm="1">
        <f t="array" aca="1" ref="AZ302" ca="1">INDIRECT("'"&amp;$C302&amp;"'!"&amp;"$"&amp;$D302&amp;$AZ$1&amp;"")</f>
        <v>14.24</v>
      </c>
      <c r="BA302" s="296">
        <v>0.99</v>
      </c>
      <c r="BB302" s="294">
        <v>2.4</v>
      </c>
      <c r="BC302" s="299">
        <v>69</v>
      </c>
      <c r="BD302" s="293" cm="1">
        <f t="array" aca="1" ref="BD302" ca="1">INDIRECT("'"&amp;$C302&amp;"'!"&amp;"$"&amp;$D302&amp;$BC$1&amp;"")</f>
        <v>1.4</v>
      </c>
      <c r="BE302" s="295">
        <v>0.97</v>
      </c>
      <c r="BF302" s="294">
        <v>0.35</v>
      </c>
      <c r="BG302" s="298" cm="1">
        <f t="array" aca="1" ref="BG302" ca="1">INDIRECT("'"&amp;$C302&amp;"'!"&amp;"$"&amp;$D302&amp;$BG$1&amp;"")</f>
        <v>1.21</v>
      </c>
      <c r="BH302" s="296"/>
      <c r="BI302" s="296">
        <v>0.99</v>
      </c>
      <c r="BJ302" s="294">
        <v>0.17</v>
      </c>
      <c r="BK302" s="299" cm="1">
        <f t="array" aca="1" ref="BK302" ca="1">INDIRECT("'"&amp;$C302&amp;"'!"&amp;"$"&amp;$D302&amp;$BK$1&amp;"")</f>
        <v>0.89</v>
      </c>
      <c r="BL302" s="296"/>
      <c r="BM302" s="296">
        <v>0.97</v>
      </c>
      <c r="BN302" s="294">
        <v>0.22</v>
      </c>
      <c r="BO302" s="299" cm="1">
        <f t="array" aca="1" ref="BO302" ca="1">INDIRECT("'"&amp;$C302&amp;"'!"&amp;"$"&amp;$D302&amp;74&amp;"")</f>
        <v>0</v>
      </c>
      <c r="BP302" s="296"/>
      <c r="BQ302" s="296" t="s">
        <v>1</v>
      </c>
      <c r="BR302" s="294" t="s">
        <v>1</v>
      </c>
    </row>
    <row r="303" spans="1:70" ht="14.45" thickBot="1">
      <c r="A303" s="362">
        <v>45759</v>
      </c>
      <c r="B303" s="359">
        <v>0.95833333333333404</v>
      </c>
      <c r="C303" s="315">
        <f t="shared" si="10"/>
        <v>12</v>
      </c>
      <c r="D303" s="316" t="s">
        <v>150</v>
      </c>
      <c r="E303" s="301">
        <v>14.1</v>
      </c>
      <c r="F303" s="302">
        <v>69.81</v>
      </c>
      <c r="G303" s="303" cm="1">
        <f t="array" aca="1" ref="G303" ca="1">INDIRECT("'"&amp;$C303&amp;"'!"&amp;"$"&amp;$D303&amp;$E$1&amp;"")</f>
        <v>6.6</v>
      </c>
      <c r="H303" s="304">
        <v>0.96</v>
      </c>
      <c r="I303" s="302">
        <v>1.79</v>
      </c>
      <c r="J303" s="303" cm="1">
        <f t="array" aca="1" ref="J303" ca="1">INDIRECT("'"&amp;$C303&amp;"'!"&amp;"$"&amp;$D303&amp;$J$1&amp;"")</f>
        <v>6.6</v>
      </c>
      <c r="K303" s="304"/>
      <c r="L303" s="304">
        <v>0.96</v>
      </c>
      <c r="M303" s="302">
        <v>1.78</v>
      </c>
      <c r="N303" s="303" cm="1">
        <f t="array" aca="1" ref="N303" ca="1">INDIRECT("'"&amp;$C303&amp;"'!"&amp;"$"&amp;$D303&amp;$N$1&amp;"")</f>
        <v>6.6</v>
      </c>
      <c r="O303" s="304"/>
      <c r="P303" s="304">
        <v>0.96</v>
      </c>
      <c r="Q303" s="302">
        <v>1.74</v>
      </c>
      <c r="R303" s="303" cm="1">
        <f t="array" aca="1" ref="R303" ca="1">INDIRECT("'"&amp;$C303&amp;"'!"&amp;"$"&amp;$D303&amp;$R$1&amp;"")</f>
        <v>0</v>
      </c>
      <c r="S303" s="304"/>
      <c r="T303" s="304" t="s">
        <v>1</v>
      </c>
      <c r="U303" s="302" t="s">
        <v>1</v>
      </c>
      <c r="V303" s="303" cm="1">
        <f t="array" aca="1" ref="V303" ca="1">INDIRECT("'"&amp;$C303&amp;"'!"&amp;"$"&amp;$D303&amp;$V$1&amp;"")</f>
        <v>2.5</v>
      </c>
      <c r="W303" s="304">
        <f>3.55*3.8</f>
        <v>13.489999999999998</v>
      </c>
      <c r="X303" s="304">
        <v>0.98</v>
      </c>
      <c r="Y303" s="305">
        <v>0.44</v>
      </c>
      <c r="Z303" s="301" cm="1">
        <f t="array" aca="1" ref="Z303" ca="1">INDIRECT("'"&amp;$C303&amp;"'!"&amp;"$"&amp;$D303&amp;$Z$1&amp;"")</f>
        <v>0</v>
      </c>
      <c r="AA303" s="304" t="s">
        <v>1</v>
      </c>
      <c r="AB303" s="304" t="s">
        <v>1</v>
      </c>
      <c r="AC303" s="302" t="s">
        <v>1</v>
      </c>
      <c r="AD303" s="303" cm="1">
        <f t="array" aca="1" ref="AD303" ca="1">INDIRECT("'"&amp;$C303&amp;"'!"&amp;"$"&amp;$D303&amp;$AD$1&amp;"")</f>
        <v>3</v>
      </c>
      <c r="AE303" s="304">
        <v>13.489999999999998</v>
      </c>
      <c r="AF303" s="304">
        <v>0.98</v>
      </c>
      <c r="AG303" s="305">
        <v>0.54</v>
      </c>
      <c r="AH303" s="301" cm="1">
        <f t="array" aca="1" ref="AH303" ca="1">INDIRECT("'"&amp;$C303&amp;"'!"&amp;"$"&amp;$D303&amp;$AH$1&amp;"")</f>
        <v>3.8</v>
      </c>
      <c r="AI303" s="304">
        <v>14</v>
      </c>
      <c r="AJ303" s="304">
        <v>0.96</v>
      </c>
      <c r="AK303" s="302">
        <v>1.24</v>
      </c>
      <c r="AL303" s="301">
        <v>11.8</v>
      </c>
      <c r="AM303" s="305">
        <v>70.5</v>
      </c>
      <c r="AN303" s="301" cm="1">
        <f t="array" aca="1" ref="AN303" ca="1">INDIRECT("'"&amp;$C303&amp;"'!"&amp;"$"&amp;$D303&amp;$AL$1&amp;"")</f>
        <v>4.0999999999999996</v>
      </c>
      <c r="AO303" s="304">
        <v>0.96</v>
      </c>
      <c r="AP303" s="302">
        <v>1</v>
      </c>
      <c r="AQ303" s="303" t="str" cm="1">
        <f t="array" aca="1" ref="AQ303" ca="1">INDIRECT("'"&amp;$C303&amp;"'!"&amp;"$"&amp;$D303&amp;$AQ$1&amp;"")</f>
        <v>CMS</v>
      </c>
      <c r="AR303" s="304" t="s">
        <v>1</v>
      </c>
      <c r="AS303" s="302" t="s">
        <v>1</v>
      </c>
      <c r="AT303" s="304" cm="1">
        <f t="array" aca="1" ref="AT303" ca="1">INDIRECT("'"&amp;$C303&amp;"'!"&amp;"$"&amp;$D303&amp;$AT$1&amp;"")</f>
        <v>0</v>
      </c>
      <c r="AU303" s="303" t="s">
        <v>1</v>
      </c>
      <c r="AV303" s="304" t="s">
        <v>1</v>
      </c>
      <c r="AW303" s="302" t="s">
        <v>1</v>
      </c>
      <c r="AX303" s="306">
        <v>14.14</v>
      </c>
      <c r="AY303" s="305">
        <v>71.56</v>
      </c>
      <c r="AZ303" s="306" cm="1">
        <f t="array" aca="1" ref="AZ303" ca="1">INDIRECT("'"&amp;$C303&amp;"'!"&amp;"$"&amp;$D303&amp;$AZ$1&amp;"")</f>
        <v>14.19</v>
      </c>
      <c r="BA303" s="304">
        <v>0.99</v>
      </c>
      <c r="BB303" s="302">
        <v>2.4</v>
      </c>
      <c r="BC303" s="307">
        <v>68.599999999999994</v>
      </c>
      <c r="BD303" s="301" cm="1">
        <f t="array" aca="1" ref="BD303" ca="1">INDIRECT("'"&amp;$C303&amp;"'!"&amp;"$"&amp;$D303&amp;$BC$1&amp;"")</f>
        <v>1.4</v>
      </c>
      <c r="BE303" s="303">
        <v>0.97</v>
      </c>
      <c r="BF303" s="302">
        <v>0.35</v>
      </c>
      <c r="BG303" s="306" cm="1">
        <f t="array" aca="1" ref="BG303" ca="1">INDIRECT("'"&amp;$C303&amp;"'!"&amp;"$"&amp;$D303&amp;$BG$1&amp;"")</f>
        <v>1.05</v>
      </c>
      <c r="BH303" s="304"/>
      <c r="BI303" s="304">
        <v>0.99</v>
      </c>
      <c r="BJ303" s="302">
        <v>0.14000000000000001</v>
      </c>
      <c r="BK303" s="307" cm="1">
        <f t="array" aca="1" ref="BK303" ca="1">INDIRECT("'"&amp;$C303&amp;"'!"&amp;"$"&amp;$D303&amp;$BK$1&amp;"")</f>
        <v>0.86</v>
      </c>
      <c r="BL303" s="304"/>
      <c r="BM303" s="304">
        <v>0.97</v>
      </c>
      <c r="BN303" s="302">
        <v>0.22</v>
      </c>
      <c r="BO303" s="307" cm="1">
        <f t="array" aca="1" ref="BO303" ca="1">INDIRECT("'"&amp;$C303&amp;"'!"&amp;"$"&amp;$D303&amp;74&amp;"")</f>
        <v>0</v>
      </c>
      <c r="BP303" s="304"/>
      <c r="BQ303" s="304" t="s">
        <v>1</v>
      </c>
      <c r="BR303" s="302" t="s">
        <v>1</v>
      </c>
    </row>
    <row r="304" spans="1:70" ht="14.45" thickBot="1"/>
    <row r="305" spans="1:70">
      <c r="A305" s="360">
        <v>45760</v>
      </c>
      <c r="B305" s="357">
        <v>0</v>
      </c>
      <c r="C305" s="310">
        <f>C280+1</f>
        <v>13</v>
      </c>
      <c r="D305" s="311" t="s">
        <v>127</v>
      </c>
      <c r="E305" s="280">
        <v>14.1</v>
      </c>
      <c r="F305" s="281">
        <v>69.45</v>
      </c>
      <c r="G305" s="282" cm="1">
        <f t="array" aca="1" ref="G305" ca="1">INDIRECT("'"&amp;$C305&amp;"'!"&amp;"$"&amp;$D305&amp;$E$1&amp;"")</f>
        <v>6.6</v>
      </c>
      <c r="H305" s="283">
        <v>0.95</v>
      </c>
      <c r="I305" s="281">
        <v>2.04</v>
      </c>
      <c r="J305" s="282" cm="1">
        <f t="array" aca="1" ref="J305" ca="1">INDIRECT("'"&amp;$C305&amp;"'!"&amp;"$"&amp;$D305&amp;$J$1&amp;"")</f>
        <v>6.6</v>
      </c>
      <c r="K305" s="283"/>
      <c r="L305" s="283">
        <v>0.95</v>
      </c>
      <c r="M305" s="281">
        <v>2.0099999999999998</v>
      </c>
      <c r="N305" s="282" cm="1">
        <f t="array" aca="1" ref="N305" ca="1">INDIRECT("'"&amp;$C305&amp;"'!"&amp;"$"&amp;$D305&amp;$N$1&amp;"")</f>
        <v>6.6</v>
      </c>
      <c r="O305" s="283"/>
      <c r="P305" s="283">
        <v>0.95</v>
      </c>
      <c r="Q305" s="281">
        <v>2.0499999999999998</v>
      </c>
      <c r="R305" s="282" cm="1">
        <f t="array" aca="1" ref="R305" ca="1">INDIRECT("'"&amp;$C305&amp;"'!"&amp;"$"&amp;$D305&amp;$R$1&amp;"")</f>
        <v>0</v>
      </c>
      <c r="S305" s="283"/>
      <c r="T305" s="283" t="s">
        <v>1</v>
      </c>
      <c r="U305" s="281" t="s">
        <v>1</v>
      </c>
      <c r="V305" s="282" cm="1">
        <f t="array" aca="1" ref="V305" ca="1">INDIRECT("'"&amp;$C305&amp;"'!"&amp;"$"&amp;$D305&amp;$V$1&amp;"")</f>
        <v>2</v>
      </c>
      <c r="W305" s="283">
        <f>3.52*3.8</f>
        <v>13.375999999999999</v>
      </c>
      <c r="X305" s="283">
        <v>0.99</v>
      </c>
      <c r="Y305" s="284">
        <v>0.15</v>
      </c>
      <c r="Z305" s="280" cm="1">
        <f t="array" aca="1" ref="Z305" ca="1">INDIRECT("'"&amp;$C305&amp;"'!"&amp;"$"&amp;$D305&amp;$Z$1&amp;"")</f>
        <v>0</v>
      </c>
      <c r="AA305" s="283" t="s">
        <v>1</v>
      </c>
      <c r="AB305" s="283" t="s">
        <v>1</v>
      </c>
      <c r="AC305" s="281" t="s">
        <v>1</v>
      </c>
      <c r="AD305" s="282" cm="1">
        <f t="array" aca="1" ref="AD305" ca="1">INDIRECT("'"&amp;$C305&amp;"'!"&amp;"$"&amp;$D305&amp;$AD$1&amp;"")</f>
        <v>0</v>
      </c>
      <c r="AE305" s="283" t="s">
        <v>1</v>
      </c>
      <c r="AF305" s="283" t="s">
        <v>1</v>
      </c>
      <c r="AG305" s="281" t="s">
        <v>1</v>
      </c>
      <c r="AH305" s="280" cm="1">
        <f t="array" aca="1" ref="AH305" ca="1">INDIRECT("'"&amp;$C305&amp;"'!"&amp;"$"&amp;$D305&amp;$AH$1&amp;"")</f>
        <v>3</v>
      </c>
      <c r="AI305" s="283">
        <v>14</v>
      </c>
      <c r="AJ305" s="283">
        <v>0.98</v>
      </c>
      <c r="AK305" s="281">
        <v>1.24</v>
      </c>
      <c r="AL305" s="280">
        <v>11.8</v>
      </c>
      <c r="AM305" s="284">
        <v>70.5</v>
      </c>
      <c r="AN305" s="280" cm="1">
        <f t="array" aca="1" ref="AN305" ca="1">INDIRECT("'"&amp;$C305&amp;"'!"&amp;"$"&amp;$D305&amp;$AL$1&amp;"")</f>
        <v>4</v>
      </c>
      <c r="AO305" s="283">
        <v>0.97</v>
      </c>
      <c r="AP305" s="281">
        <v>1</v>
      </c>
      <c r="AQ305" s="282" t="str" cm="1">
        <f t="array" aca="1" ref="AQ305" ca="1">INDIRECT("'"&amp;$C305&amp;"'!"&amp;"$"&amp;$D305&amp;$AQ$1&amp;"")</f>
        <v>CMS</v>
      </c>
      <c r="AR305" s="283" t="s">
        <v>1</v>
      </c>
      <c r="AS305" s="281" t="s">
        <v>1</v>
      </c>
      <c r="AT305" s="283" cm="1">
        <f t="array" aca="1" ref="AT305" ca="1">INDIRECT("'"&amp;$C305&amp;"'!"&amp;"$"&amp;$D305&amp;$AT$1&amp;"")</f>
        <v>0</v>
      </c>
      <c r="AU305" s="282" t="s">
        <v>1</v>
      </c>
      <c r="AV305" s="283" t="s">
        <v>1</v>
      </c>
      <c r="AW305" s="281" t="s">
        <v>1</v>
      </c>
      <c r="AX305" s="285">
        <v>14.16</v>
      </c>
      <c r="AY305" s="284">
        <v>71.73</v>
      </c>
      <c r="AZ305" s="285" cm="1">
        <f t="array" aca="1" ref="AZ305" ca="1">INDIRECT("'"&amp;$C305&amp;"'!"&amp;"$"&amp;$D305&amp;$AZ$1&amp;"")</f>
        <v>14.33</v>
      </c>
      <c r="BA305" s="283">
        <v>0.99</v>
      </c>
      <c r="BB305" s="281">
        <v>2.5</v>
      </c>
      <c r="BC305" s="281">
        <v>68.599999999999994</v>
      </c>
      <c r="BD305" s="280" cm="1">
        <f t="array" aca="1" ref="BD305" ca="1">INDIRECT("'"&amp;$C305&amp;"'!"&amp;"$"&amp;$D305&amp;$BC$1&amp;"")</f>
        <v>1.4</v>
      </c>
      <c r="BE305" s="282">
        <v>0.97</v>
      </c>
      <c r="BF305" s="281">
        <v>0.35</v>
      </c>
      <c r="BG305" s="285" cm="1">
        <f t="array" aca="1" ref="BG305" ca="1">INDIRECT("'"&amp;$C305&amp;"'!"&amp;"$"&amp;$D305&amp;$BG$1&amp;"")</f>
        <v>0.97</v>
      </c>
      <c r="BH305" s="283"/>
      <c r="BI305" s="283">
        <v>0.99</v>
      </c>
      <c r="BJ305" s="281">
        <v>0.13</v>
      </c>
      <c r="BK305" s="285" cm="1">
        <f t="array" aca="1" ref="BK305" ca="1">INDIRECT("'"&amp;$C305&amp;"'!"&amp;"$"&amp;$D305&amp;$BK$1&amp;"")</f>
        <v>0.81</v>
      </c>
      <c r="BL305" s="283"/>
      <c r="BM305" s="283">
        <v>0.97</v>
      </c>
      <c r="BN305" s="281">
        <v>0.21</v>
      </c>
      <c r="BO305" s="373" cm="1">
        <f t="array" aca="1" ref="BO305" ca="1">INDIRECT("'"&amp;$C305&amp;"'!"&amp;"$"&amp;$D305&amp;74&amp;"")</f>
        <v>0</v>
      </c>
      <c r="BP305" s="283"/>
      <c r="BQ305" s="283" t="s">
        <v>1</v>
      </c>
      <c r="BR305" s="281" t="s">
        <v>1</v>
      </c>
    </row>
    <row r="306" spans="1:70">
      <c r="A306" s="361">
        <v>45760</v>
      </c>
      <c r="B306" s="358">
        <v>4.1666666666666699E-2</v>
      </c>
      <c r="C306" s="313">
        <f t="shared" ref="C306:C328" si="11">C281+1</f>
        <v>13</v>
      </c>
      <c r="D306" s="314" t="s">
        <v>128</v>
      </c>
      <c r="E306" s="286">
        <v>14.1</v>
      </c>
      <c r="F306" s="287">
        <v>69.75</v>
      </c>
      <c r="G306" s="288" cm="1">
        <f t="array" aca="1" ref="G306" ca="1">INDIRECT("'"&amp;$C306&amp;"'!"&amp;"$"&amp;$D306&amp;$E$1&amp;"")</f>
        <v>6.5</v>
      </c>
      <c r="H306" s="289">
        <v>0.96</v>
      </c>
      <c r="I306" s="287">
        <v>1.85</v>
      </c>
      <c r="J306" s="288" cm="1">
        <f t="array" aca="1" ref="J306" ca="1">INDIRECT("'"&amp;$C306&amp;"'!"&amp;"$"&amp;$D306&amp;$J$1&amp;"")</f>
        <v>6.5</v>
      </c>
      <c r="K306" s="289"/>
      <c r="L306" s="289">
        <v>0.96</v>
      </c>
      <c r="M306" s="287">
        <v>1.83</v>
      </c>
      <c r="N306" s="288" cm="1">
        <f t="array" aca="1" ref="N306" ca="1">INDIRECT("'"&amp;$C306&amp;"'!"&amp;"$"&amp;$D306&amp;$N$1&amp;"")</f>
        <v>6.5</v>
      </c>
      <c r="O306" s="289"/>
      <c r="P306" s="289">
        <v>0.96</v>
      </c>
      <c r="Q306" s="287">
        <v>1.87</v>
      </c>
      <c r="R306" s="288" cm="1">
        <f t="array" aca="1" ref="R306" ca="1">INDIRECT("'"&amp;$C306&amp;"'!"&amp;"$"&amp;$D306&amp;$R$1&amp;"")</f>
        <v>0</v>
      </c>
      <c r="S306" s="289"/>
      <c r="T306" s="289" t="s">
        <v>1</v>
      </c>
      <c r="U306" s="287" t="s">
        <v>1</v>
      </c>
      <c r="V306" s="288" cm="1">
        <f t="array" aca="1" ref="V306" ca="1">INDIRECT("'"&amp;$C306&amp;"'!"&amp;"$"&amp;$D306&amp;$V$1&amp;"")</f>
        <v>0</v>
      </c>
      <c r="W306" s="289" t="s">
        <v>1</v>
      </c>
      <c r="X306" s="289" t="s">
        <v>1</v>
      </c>
      <c r="Y306" s="290" t="s">
        <v>1</v>
      </c>
      <c r="Z306" s="286" cm="1">
        <f t="array" aca="1" ref="Z306" ca="1">INDIRECT("'"&amp;$C306&amp;"'!"&amp;"$"&amp;$D306&amp;$Z$1&amp;"")</f>
        <v>0</v>
      </c>
      <c r="AA306" s="289" t="s">
        <v>1</v>
      </c>
      <c r="AB306" s="289" t="s">
        <v>1</v>
      </c>
      <c r="AC306" s="287" t="s">
        <v>1</v>
      </c>
      <c r="AD306" s="288" cm="1">
        <f t="array" aca="1" ref="AD306" ca="1">INDIRECT("'"&amp;$C306&amp;"'!"&amp;"$"&amp;$D306&amp;$AD$1&amp;"")</f>
        <v>0</v>
      </c>
      <c r="AE306" s="289" t="s">
        <v>1</v>
      </c>
      <c r="AF306" s="289" t="s">
        <v>1</v>
      </c>
      <c r="AG306" s="290" t="s">
        <v>1</v>
      </c>
      <c r="AH306" s="286" cm="1">
        <f t="array" aca="1" ref="AH306" ca="1">INDIRECT("'"&amp;$C306&amp;"'!"&amp;"$"&amp;$D306&amp;$AH$1&amp;"")</f>
        <v>3</v>
      </c>
      <c r="AI306" s="289">
        <v>14.08</v>
      </c>
      <c r="AJ306" s="289">
        <v>0.98</v>
      </c>
      <c r="AK306" s="287">
        <v>0.67900000000000005</v>
      </c>
      <c r="AL306" s="286">
        <v>11.8</v>
      </c>
      <c r="AM306" s="290">
        <v>7.6</v>
      </c>
      <c r="AN306" s="286" cm="1">
        <f t="array" aca="1" ref="AN306" ca="1">INDIRECT("'"&amp;$C306&amp;"'!"&amp;"$"&amp;$D306&amp;$AL$1&amp;"")</f>
        <v>4.0999999999999996</v>
      </c>
      <c r="AO306" s="289">
        <v>0.98</v>
      </c>
      <c r="AP306" s="287">
        <v>0.8</v>
      </c>
      <c r="AQ306" s="288" t="str" cm="1">
        <f t="array" aca="1" ref="AQ306" ca="1">INDIRECT("'"&amp;$C306&amp;"'!"&amp;"$"&amp;$D306&amp;$AQ$1&amp;"")</f>
        <v>CMS</v>
      </c>
      <c r="AR306" s="289" t="s">
        <v>1</v>
      </c>
      <c r="AS306" s="287" t="s">
        <v>1</v>
      </c>
      <c r="AT306" s="289" cm="1">
        <f t="array" aca="1" ref="AT306" ca="1">INDIRECT("'"&amp;$C306&amp;"'!"&amp;"$"&amp;$D306&amp;$AT$1&amp;"")</f>
        <v>0</v>
      </c>
      <c r="AU306" s="288" t="s">
        <v>1</v>
      </c>
      <c r="AV306" s="289" t="s">
        <v>1</v>
      </c>
      <c r="AW306" s="287" t="s">
        <v>1</v>
      </c>
      <c r="AX306" s="291">
        <v>14.22</v>
      </c>
      <c r="AY306" s="290">
        <v>71.83</v>
      </c>
      <c r="AZ306" s="291" cm="1">
        <f t="array" aca="1" ref="AZ306" ca="1">INDIRECT("'"&amp;$C306&amp;"'!"&amp;"$"&amp;$D306&amp;$AZ$1&amp;"")</f>
        <v>14.28</v>
      </c>
      <c r="BA306" s="289">
        <v>0.99</v>
      </c>
      <c r="BB306" s="287">
        <v>2.4</v>
      </c>
      <c r="BC306" s="292">
        <v>68.7</v>
      </c>
      <c r="BD306" s="286" cm="1">
        <f t="array" aca="1" ref="BD306" ca="1">INDIRECT("'"&amp;$C306&amp;"'!"&amp;"$"&amp;$D306&amp;$BC$1&amp;"")</f>
        <v>1.4</v>
      </c>
      <c r="BE306" s="288">
        <v>0.97</v>
      </c>
      <c r="BF306" s="287">
        <v>0.35</v>
      </c>
      <c r="BG306" s="291" cm="1">
        <f t="array" aca="1" ref="BG306" ca="1">INDIRECT("'"&amp;$C306&amp;"'!"&amp;"$"&amp;$D306&amp;$BG$1&amp;"")</f>
        <v>0.91</v>
      </c>
      <c r="BH306" s="289"/>
      <c r="BI306" s="289">
        <v>0.99</v>
      </c>
      <c r="BJ306" s="287">
        <v>0.12</v>
      </c>
      <c r="BK306" s="291" cm="1">
        <f t="array" aca="1" ref="BK306" ca="1">INDIRECT("'"&amp;$C306&amp;"'!"&amp;"$"&amp;$D306&amp;$BK$1&amp;"")</f>
        <v>0.77</v>
      </c>
      <c r="BL306" s="289"/>
      <c r="BM306" s="289">
        <v>0.96</v>
      </c>
      <c r="BN306" s="287">
        <v>0.2</v>
      </c>
      <c r="BO306" s="292" cm="1">
        <f t="array" aca="1" ref="BO306" ca="1">INDIRECT("'"&amp;$C306&amp;"'!"&amp;"$"&amp;$D306&amp;74&amp;"")</f>
        <v>0</v>
      </c>
      <c r="BP306" s="289"/>
      <c r="BQ306" s="289" t="s">
        <v>1</v>
      </c>
      <c r="BR306" s="287" t="s">
        <v>1</v>
      </c>
    </row>
    <row r="307" spans="1:70">
      <c r="A307" s="361">
        <v>45760</v>
      </c>
      <c r="B307" s="358">
        <v>8.3333333333333301E-2</v>
      </c>
      <c r="C307" s="313">
        <f t="shared" si="11"/>
        <v>13</v>
      </c>
      <c r="D307" s="314" t="s">
        <v>129</v>
      </c>
      <c r="E307" s="293">
        <v>14.1</v>
      </c>
      <c r="F307" s="294">
        <v>70.180000000000007</v>
      </c>
      <c r="G307" s="295" cm="1">
        <f t="array" aca="1" ref="G307" ca="1">INDIRECT("'"&amp;$C307&amp;"'!"&amp;"$"&amp;$D307&amp;$E$1&amp;"")</f>
        <v>6.7</v>
      </c>
      <c r="H307" s="296">
        <v>0.98</v>
      </c>
      <c r="I307" s="294">
        <v>1.39</v>
      </c>
      <c r="J307" s="295" cm="1">
        <f t="array" aca="1" ref="J307" ca="1">INDIRECT("'"&amp;$C307&amp;"'!"&amp;"$"&amp;$D307&amp;$J$1&amp;"")</f>
        <v>6.7</v>
      </c>
      <c r="K307" s="296"/>
      <c r="L307" s="296">
        <v>0.98</v>
      </c>
      <c r="M307" s="294">
        <v>1.37</v>
      </c>
      <c r="N307" s="295" cm="1">
        <f t="array" aca="1" ref="N307" ca="1">INDIRECT("'"&amp;$C307&amp;"'!"&amp;"$"&amp;$D307&amp;$N$1&amp;"")</f>
        <v>6.7</v>
      </c>
      <c r="O307" s="296"/>
      <c r="P307" s="296">
        <v>0.98</v>
      </c>
      <c r="Q307" s="294">
        <v>1.36</v>
      </c>
      <c r="R307" s="295" cm="1">
        <f t="array" aca="1" ref="R307" ca="1">INDIRECT("'"&amp;$C307&amp;"'!"&amp;"$"&amp;$D307&amp;$R$1&amp;"")</f>
        <v>0</v>
      </c>
      <c r="S307" s="296"/>
      <c r="T307" s="296" t="s">
        <v>1</v>
      </c>
      <c r="U307" s="294" t="s">
        <v>1</v>
      </c>
      <c r="V307" s="295" cm="1">
        <f t="array" aca="1" ref="V307" ca="1">INDIRECT("'"&amp;$C307&amp;"'!"&amp;"$"&amp;$D307&amp;$V$1&amp;"")</f>
        <v>0</v>
      </c>
      <c r="W307" s="296" t="s">
        <v>1</v>
      </c>
      <c r="X307" s="296" t="s">
        <v>1</v>
      </c>
      <c r="Y307" s="297" t="s">
        <v>1</v>
      </c>
      <c r="Z307" s="293" cm="1">
        <f t="array" aca="1" ref="Z307" ca="1">INDIRECT("'"&amp;$C307&amp;"'!"&amp;"$"&amp;$D307&amp;$Z$1&amp;"")</f>
        <v>0</v>
      </c>
      <c r="AA307" s="296" t="s">
        <v>1</v>
      </c>
      <c r="AB307" s="296" t="s">
        <v>1</v>
      </c>
      <c r="AC307" s="294" t="s">
        <v>1</v>
      </c>
      <c r="AD307" s="295" cm="1">
        <f t="array" aca="1" ref="AD307" ca="1">INDIRECT("'"&amp;$C307&amp;"'!"&amp;"$"&amp;$D307&amp;$AD$1&amp;"")</f>
        <v>0</v>
      </c>
      <c r="AE307" s="296" t="s">
        <v>1</v>
      </c>
      <c r="AF307" s="296" t="s">
        <v>1</v>
      </c>
      <c r="AG307" s="297" t="s">
        <v>1</v>
      </c>
      <c r="AH307" s="293" cm="1">
        <f t="array" aca="1" ref="AH307" ca="1">INDIRECT("'"&amp;$C307&amp;"'!"&amp;"$"&amp;$D307&amp;$AH$1&amp;"")</f>
        <v>0</v>
      </c>
      <c r="AI307" s="296" t="s">
        <v>1</v>
      </c>
      <c r="AJ307" s="296" t="s">
        <v>1</v>
      </c>
      <c r="AK307" s="297" t="s">
        <v>1</v>
      </c>
      <c r="AL307" s="293">
        <v>11.8</v>
      </c>
      <c r="AM307" s="297">
        <v>70.599999999999994</v>
      </c>
      <c r="AN307" s="293" cm="1">
        <f t="array" aca="1" ref="AN307" ca="1">INDIRECT("'"&amp;$C307&amp;"'!"&amp;"$"&amp;$D307&amp;$AL$1&amp;"")</f>
        <v>4.3</v>
      </c>
      <c r="AO307" s="296">
        <v>0.98</v>
      </c>
      <c r="AP307" s="294">
        <v>0.7</v>
      </c>
      <c r="AQ307" s="295" t="str" cm="1">
        <f t="array" aca="1" ref="AQ307" ca="1">INDIRECT("'"&amp;$C307&amp;"'!"&amp;"$"&amp;$D307&amp;$AQ$1&amp;"")</f>
        <v>CMS</v>
      </c>
      <c r="AR307" s="296" t="s">
        <v>1</v>
      </c>
      <c r="AS307" s="294" t="s">
        <v>1</v>
      </c>
      <c r="AT307" s="296" cm="1">
        <f t="array" aca="1" ref="AT307" ca="1">INDIRECT("'"&amp;$C307&amp;"'!"&amp;"$"&amp;$D307&amp;$AT$1&amp;"")</f>
        <v>0</v>
      </c>
      <c r="AU307" s="295" t="s">
        <v>1</v>
      </c>
      <c r="AV307" s="296" t="s">
        <v>1</v>
      </c>
      <c r="AW307" s="294" t="s">
        <v>1</v>
      </c>
      <c r="AX307" s="298">
        <v>14.17</v>
      </c>
      <c r="AY307" s="297">
        <v>71.63</v>
      </c>
      <c r="AZ307" s="298" cm="1">
        <f t="array" aca="1" ref="AZ307" ca="1">INDIRECT("'"&amp;$C307&amp;"'!"&amp;"$"&amp;$D307&amp;$AZ$1&amp;"")</f>
        <v>14.21</v>
      </c>
      <c r="BA307" s="296">
        <v>0.99</v>
      </c>
      <c r="BB307" s="294">
        <v>2.4</v>
      </c>
      <c r="BC307" s="299">
        <v>69.3</v>
      </c>
      <c r="BD307" s="293" cm="1">
        <f t="array" aca="1" ref="BD307" ca="1">INDIRECT("'"&amp;$C307&amp;"'!"&amp;"$"&amp;$D307&amp;$BC$1&amp;"")</f>
        <v>3.5</v>
      </c>
      <c r="BE307" s="295">
        <v>0.97</v>
      </c>
      <c r="BF307" s="294">
        <v>0.56999999999999995</v>
      </c>
      <c r="BG307" s="298" cm="1">
        <f t="array" aca="1" ref="BG307" ca="1">INDIRECT("'"&amp;$C307&amp;"'!"&amp;"$"&amp;$D307&amp;$BG$1&amp;"")</f>
        <v>0.88</v>
      </c>
      <c r="BH307" s="296"/>
      <c r="BI307" s="296">
        <v>0.99</v>
      </c>
      <c r="BJ307" s="294">
        <v>0.11</v>
      </c>
      <c r="BK307" s="298" cm="1">
        <f t="array" aca="1" ref="BK307" ca="1">INDIRECT("'"&amp;$C307&amp;"'!"&amp;"$"&amp;$D307&amp;$BK$1&amp;"")</f>
        <v>0.76</v>
      </c>
      <c r="BL307" s="296"/>
      <c r="BM307" s="296">
        <v>0.96</v>
      </c>
      <c r="BN307" s="294">
        <v>0.2</v>
      </c>
      <c r="BO307" s="299" cm="1">
        <f t="array" aca="1" ref="BO307" ca="1">INDIRECT("'"&amp;$C307&amp;"'!"&amp;"$"&amp;$D307&amp;74&amp;"")</f>
        <v>0</v>
      </c>
      <c r="BP307" s="296"/>
      <c r="BQ307" s="296" t="s">
        <v>1</v>
      </c>
      <c r="BR307" s="294" t="s">
        <v>1</v>
      </c>
    </row>
    <row r="308" spans="1:70">
      <c r="A308" s="361">
        <v>45760</v>
      </c>
      <c r="B308" s="358">
        <v>0.125</v>
      </c>
      <c r="C308" s="313">
        <f t="shared" si="11"/>
        <v>13</v>
      </c>
      <c r="D308" s="314" t="s">
        <v>130</v>
      </c>
      <c r="E308" s="286">
        <v>14.2</v>
      </c>
      <c r="F308" s="287">
        <v>70.13</v>
      </c>
      <c r="G308" s="288" cm="1">
        <f t="array" aca="1" ref="G308" ca="1">INDIRECT("'"&amp;$C308&amp;"'!"&amp;"$"&amp;$D308&amp;$E$1&amp;"")</f>
        <v>6.7</v>
      </c>
      <c r="H308" s="289">
        <v>0.98</v>
      </c>
      <c r="I308" s="287">
        <v>1.39</v>
      </c>
      <c r="J308" s="288" cm="1">
        <f t="array" aca="1" ref="J308" ca="1">INDIRECT("'"&amp;$C308&amp;"'!"&amp;"$"&amp;$D308&amp;$J$1&amp;"")</f>
        <v>6.7</v>
      </c>
      <c r="K308" s="289"/>
      <c r="L308" s="289">
        <v>0.98</v>
      </c>
      <c r="M308" s="287">
        <v>1.37</v>
      </c>
      <c r="N308" s="288" cm="1">
        <f t="array" aca="1" ref="N308" ca="1">INDIRECT("'"&amp;$C308&amp;"'!"&amp;"$"&amp;$D308&amp;$N$1&amp;"")</f>
        <v>6.7</v>
      </c>
      <c r="O308" s="289"/>
      <c r="P308" s="289">
        <v>0.98</v>
      </c>
      <c r="Q308" s="287">
        <v>1.38</v>
      </c>
      <c r="R308" s="288" cm="1">
        <f t="array" aca="1" ref="R308" ca="1">INDIRECT("'"&amp;$C308&amp;"'!"&amp;"$"&amp;$D308&amp;$R$1&amp;"")</f>
        <v>0</v>
      </c>
      <c r="S308" s="289"/>
      <c r="T308" s="289" t="s">
        <v>1</v>
      </c>
      <c r="U308" s="287" t="s">
        <v>1</v>
      </c>
      <c r="V308" s="288" cm="1">
        <f t="array" aca="1" ref="V308" ca="1">INDIRECT("'"&amp;$C308&amp;"'!"&amp;"$"&amp;$D308&amp;$V$1&amp;"")</f>
        <v>0</v>
      </c>
      <c r="W308" s="289" t="s">
        <v>1</v>
      </c>
      <c r="X308" s="289" t="s">
        <v>1</v>
      </c>
      <c r="Y308" s="290" t="s">
        <v>1</v>
      </c>
      <c r="Z308" s="286" cm="1">
        <f t="array" aca="1" ref="Z308" ca="1">INDIRECT("'"&amp;$C308&amp;"'!"&amp;"$"&amp;$D308&amp;$Z$1&amp;"")</f>
        <v>0</v>
      </c>
      <c r="AA308" s="289" t="s">
        <v>1</v>
      </c>
      <c r="AB308" s="289" t="s">
        <v>1</v>
      </c>
      <c r="AC308" s="287" t="s">
        <v>1</v>
      </c>
      <c r="AD308" s="288" cm="1">
        <f t="array" aca="1" ref="AD308" ca="1">INDIRECT("'"&amp;$C308&amp;"'!"&amp;"$"&amp;$D308&amp;$AD$1&amp;"")</f>
        <v>0</v>
      </c>
      <c r="AE308" s="289" t="s">
        <v>1</v>
      </c>
      <c r="AF308" s="289" t="s">
        <v>1</v>
      </c>
      <c r="AG308" s="290" t="s">
        <v>1</v>
      </c>
      <c r="AH308" s="286" cm="1">
        <f t="array" aca="1" ref="AH308" ca="1">INDIRECT("'"&amp;$C308&amp;"'!"&amp;"$"&amp;$D308&amp;$AH$1&amp;"")</f>
        <v>0</v>
      </c>
      <c r="AI308" s="289" t="s">
        <v>1</v>
      </c>
      <c r="AJ308" s="289" t="s">
        <v>1</v>
      </c>
      <c r="AK308" s="287" t="s">
        <v>1</v>
      </c>
      <c r="AL308" s="286">
        <v>11.8</v>
      </c>
      <c r="AM308" s="290">
        <v>70.599999999999994</v>
      </c>
      <c r="AN308" s="286" cm="1">
        <f t="array" aca="1" ref="AN308" ca="1">INDIRECT("'"&amp;$C308&amp;"'!"&amp;"$"&amp;$D308&amp;$AL$1&amp;"")</f>
        <v>4.2</v>
      </c>
      <c r="AO308" s="289">
        <v>0.98</v>
      </c>
      <c r="AP308" s="287">
        <v>0.08</v>
      </c>
      <c r="AQ308" s="288" t="str" cm="1">
        <f t="array" aca="1" ref="AQ308" ca="1">INDIRECT("'"&amp;$C308&amp;"'!"&amp;"$"&amp;$D308&amp;$AQ$1&amp;"")</f>
        <v>CMS</v>
      </c>
      <c r="AR308" s="289" t="s">
        <v>1</v>
      </c>
      <c r="AS308" s="287" t="s">
        <v>1</v>
      </c>
      <c r="AT308" s="289" cm="1">
        <f t="array" aca="1" ref="AT308" ca="1">INDIRECT("'"&amp;$C308&amp;"'!"&amp;"$"&amp;$D308&amp;$AT$1&amp;"")</f>
        <v>0</v>
      </c>
      <c r="AU308" s="288" t="s">
        <v>1</v>
      </c>
      <c r="AV308" s="289" t="s">
        <v>1</v>
      </c>
      <c r="AW308" s="287" t="s">
        <v>1</v>
      </c>
      <c r="AX308" s="291">
        <v>14.19</v>
      </c>
      <c r="AY308" s="290">
        <v>71.77</v>
      </c>
      <c r="AZ308" s="291" cm="1">
        <f t="array" aca="1" ref="AZ308" ca="1">INDIRECT("'"&amp;$C308&amp;"'!"&amp;"$"&amp;$D308&amp;$AZ$1&amp;"")</f>
        <v>14.32</v>
      </c>
      <c r="BA308" s="289">
        <v>0.99</v>
      </c>
      <c r="BB308" s="287">
        <v>2.4</v>
      </c>
      <c r="BC308" s="292">
        <v>69.099999999999994</v>
      </c>
      <c r="BD308" s="286" cm="1">
        <f t="array" aca="1" ref="BD308" ca="1">INDIRECT("'"&amp;$C308&amp;"'!"&amp;"$"&amp;$D308&amp;$BC$1&amp;"")</f>
        <v>1.4</v>
      </c>
      <c r="BE308" s="288">
        <v>0.99</v>
      </c>
      <c r="BF308" s="287">
        <v>0.32</v>
      </c>
      <c r="BG308" s="291" cm="1">
        <f t="array" aca="1" ref="BG308" ca="1">INDIRECT("'"&amp;$C308&amp;"'!"&amp;"$"&amp;$D308&amp;$BG$1&amp;"")</f>
        <v>0.81</v>
      </c>
      <c r="BH308" s="289"/>
      <c r="BI308" s="289">
        <v>0.99</v>
      </c>
      <c r="BJ308" s="287">
        <v>0.1</v>
      </c>
      <c r="BK308" s="291" cm="1">
        <f t="array" aca="1" ref="BK308" ca="1">INDIRECT("'"&amp;$C308&amp;"'!"&amp;"$"&amp;$D308&amp;$BK$1&amp;"")</f>
        <v>0.74</v>
      </c>
      <c r="BL308" s="289"/>
      <c r="BM308" s="289">
        <v>0.96</v>
      </c>
      <c r="BN308" s="287">
        <v>0.19</v>
      </c>
      <c r="BO308" s="292" cm="1">
        <f t="array" aca="1" ref="BO308" ca="1">INDIRECT("'"&amp;$C308&amp;"'!"&amp;"$"&amp;$D308&amp;74&amp;"")</f>
        <v>0</v>
      </c>
      <c r="BP308" s="289"/>
      <c r="BQ308" s="289" t="s">
        <v>1</v>
      </c>
      <c r="BR308" s="287" t="s">
        <v>1</v>
      </c>
    </row>
    <row r="309" spans="1:70">
      <c r="A309" s="361">
        <v>45760</v>
      </c>
      <c r="B309" s="358">
        <v>0.16666666666666699</v>
      </c>
      <c r="C309" s="313">
        <f t="shared" si="11"/>
        <v>13</v>
      </c>
      <c r="D309" s="314" t="s">
        <v>131</v>
      </c>
      <c r="E309" s="293">
        <v>14.2</v>
      </c>
      <c r="F309" s="294">
        <v>70.23</v>
      </c>
      <c r="G309" s="295" cm="1">
        <f t="array" aca="1" ref="G309" ca="1">INDIRECT("'"&amp;$C309&amp;"'!"&amp;"$"&amp;$D309&amp;$E$1&amp;"")</f>
        <v>6.7</v>
      </c>
      <c r="H309" s="296">
        <v>0.98</v>
      </c>
      <c r="I309" s="294">
        <v>1.4</v>
      </c>
      <c r="J309" s="295" cm="1">
        <f t="array" aca="1" ref="J309" ca="1">INDIRECT("'"&amp;$C309&amp;"'!"&amp;"$"&amp;$D309&amp;$J$1&amp;"")</f>
        <v>6.7</v>
      </c>
      <c r="K309" s="296"/>
      <c r="L309" s="296">
        <v>0.98</v>
      </c>
      <c r="M309" s="294">
        <v>1.39</v>
      </c>
      <c r="N309" s="295" cm="1">
        <f t="array" aca="1" ref="N309" ca="1">INDIRECT("'"&amp;$C309&amp;"'!"&amp;"$"&amp;$D309&amp;$N$1&amp;"")</f>
        <v>6.7</v>
      </c>
      <c r="O309" s="296"/>
      <c r="P309" s="296">
        <v>0.98</v>
      </c>
      <c r="Q309" s="294">
        <v>1.39</v>
      </c>
      <c r="R309" s="295" cm="1">
        <f t="array" aca="1" ref="R309" ca="1">INDIRECT("'"&amp;$C309&amp;"'!"&amp;"$"&amp;$D309&amp;$R$1&amp;"")</f>
        <v>0</v>
      </c>
      <c r="S309" s="296"/>
      <c r="T309" s="296" t="s">
        <v>1</v>
      </c>
      <c r="U309" s="294" t="s">
        <v>1</v>
      </c>
      <c r="V309" s="295" cm="1">
        <f t="array" aca="1" ref="V309" ca="1">INDIRECT("'"&amp;$C309&amp;"'!"&amp;"$"&amp;$D309&amp;$V$1&amp;"")</f>
        <v>0</v>
      </c>
      <c r="W309" s="296" t="s">
        <v>1</v>
      </c>
      <c r="X309" s="296" t="s">
        <v>1</v>
      </c>
      <c r="Y309" s="297" t="s">
        <v>1</v>
      </c>
      <c r="Z309" s="293" cm="1">
        <f t="array" aca="1" ref="Z309" ca="1">INDIRECT("'"&amp;$C309&amp;"'!"&amp;"$"&amp;$D309&amp;$Z$1&amp;"")</f>
        <v>0</v>
      </c>
      <c r="AA309" s="296" t="s">
        <v>1</v>
      </c>
      <c r="AB309" s="296" t="s">
        <v>1</v>
      </c>
      <c r="AC309" s="294" t="s">
        <v>1</v>
      </c>
      <c r="AD309" s="295" cm="1">
        <f t="array" aca="1" ref="AD309" ca="1">INDIRECT("'"&amp;$C309&amp;"'!"&amp;"$"&amp;$D309&amp;$AD$1&amp;"")</f>
        <v>0</v>
      </c>
      <c r="AE309" s="296" t="s">
        <v>1</v>
      </c>
      <c r="AF309" s="296" t="s">
        <v>1</v>
      </c>
      <c r="AG309" s="297" t="s">
        <v>1</v>
      </c>
      <c r="AH309" s="293" cm="1">
        <f t="array" aca="1" ref="AH309" ca="1">INDIRECT("'"&amp;$C309&amp;"'!"&amp;"$"&amp;$D309&amp;$AH$1&amp;"")</f>
        <v>0</v>
      </c>
      <c r="AI309" s="296" t="s">
        <v>1</v>
      </c>
      <c r="AJ309" s="296" t="s">
        <v>1</v>
      </c>
      <c r="AK309" s="297" t="s">
        <v>1</v>
      </c>
      <c r="AL309" s="293">
        <v>11.8</v>
      </c>
      <c r="AM309" s="297">
        <v>70.599999999999994</v>
      </c>
      <c r="AN309" s="293" cm="1">
        <f t="array" aca="1" ref="AN309" ca="1">INDIRECT("'"&amp;$C309&amp;"'!"&amp;"$"&amp;$D309&amp;$AL$1&amp;"")</f>
        <v>3.4</v>
      </c>
      <c r="AO309" s="296">
        <v>0.98</v>
      </c>
      <c r="AP309" s="294">
        <v>0.08</v>
      </c>
      <c r="AQ309" s="295" t="str" cm="1">
        <f t="array" aca="1" ref="AQ309" ca="1">INDIRECT("'"&amp;$C309&amp;"'!"&amp;"$"&amp;$D309&amp;$AQ$1&amp;"")</f>
        <v>CMS</v>
      </c>
      <c r="AR309" s="296" t="s">
        <v>1</v>
      </c>
      <c r="AS309" s="294" t="s">
        <v>1</v>
      </c>
      <c r="AT309" s="296" cm="1">
        <f t="array" aca="1" ref="AT309" ca="1">INDIRECT("'"&amp;$C309&amp;"'!"&amp;"$"&amp;$D309&amp;$AT$1&amp;"")</f>
        <v>0</v>
      </c>
      <c r="AU309" s="295" t="s">
        <v>1</v>
      </c>
      <c r="AV309" s="296" t="s">
        <v>1</v>
      </c>
      <c r="AW309" s="294" t="s">
        <v>1</v>
      </c>
      <c r="AX309" s="298">
        <v>14.15</v>
      </c>
      <c r="AY309" s="297">
        <v>71.61</v>
      </c>
      <c r="AZ309" s="298" cm="1">
        <f t="array" aca="1" ref="AZ309" ca="1">INDIRECT("'"&amp;$C309&amp;"'!"&amp;"$"&amp;$D309&amp;$AZ$1&amp;"")</f>
        <v>13.79</v>
      </c>
      <c r="BA309" s="296">
        <v>0.99</v>
      </c>
      <c r="BB309" s="294">
        <v>2.2999999999999998</v>
      </c>
      <c r="BC309" s="299">
        <v>69.2</v>
      </c>
      <c r="BD309" s="293" cm="1">
        <f t="array" aca="1" ref="BD309" ca="1">INDIRECT("'"&amp;$C309&amp;"'!"&amp;"$"&amp;$D309&amp;$BC$1&amp;"")</f>
        <v>1.3</v>
      </c>
      <c r="BE309" s="295">
        <v>0.99</v>
      </c>
      <c r="BF309" s="294">
        <v>0.33</v>
      </c>
      <c r="BG309" s="298" cm="1">
        <f t="array" aca="1" ref="BG309" ca="1">INDIRECT("'"&amp;$C309&amp;"'!"&amp;"$"&amp;$D309&amp;$BG$1&amp;"")</f>
        <v>0.8</v>
      </c>
      <c r="BH309" s="296"/>
      <c r="BI309" s="296">
        <v>0.99</v>
      </c>
      <c r="BJ309" s="294">
        <v>0.1</v>
      </c>
      <c r="BK309" s="298" cm="1">
        <f t="array" aca="1" ref="BK309" ca="1">INDIRECT("'"&amp;$C309&amp;"'!"&amp;"$"&amp;$D309&amp;$BK$1&amp;"")</f>
        <v>0.73</v>
      </c>
      <c r="BL309" s="296"/>
      <c r="BM309" s="296">
        <v>0.96</v>
      </c>
      <c r="BN309" s="294">
        <v>0.19</v>
      </c>
      <c r="BO309" s="299" cm="1">
        <f t="array" aca="1" ref="BO309" ca="1">INDIRECT("'"&amp;$C309&amp;"'!"&amp;"$"&amp;$D309&amp;74&amp;"")</f>
        <v>0</v>
      </c>
      <c r="BP309" s="296"/>
      <c r="BQ309" s="296" t="s">
        <v>1</v>
      </c>
      <c r="BR309" s="294" t="s">
        <v>1</v>
      </c>
    </row>
    <row r="310" spans="1:70">
      <c r="A310" s="361">
        <v>45760</v>
      </c>
      <c r="B310" s="358">
        <v>0.20833333333333301</v>
      </c>
      <c r="C310" s="313">
        <f t="shared" si="11"/>
        <v>13</v>
      </c>
      <c r="D310" s="314" t="s">
        <v>132</v>
      </c>
      <c r="E310" s="286">
        <v>14.2</v>
      </c>
      <c r="F310" s="287">
        <v>69.98</v>
      </c>
      <c r="G310" s="288" cm="1">
        <f t="array" aca="1" ref="G310" ca="1">INDIRECT("'"&amp;$C310&amp;"'!"&amp;"$"&amp;$D310&amp;$E$1&amp;"")</f>
        <v>0</v>
      </c>
      <c r="H310" s="289" t="s">
        <v>1</v>
      </c>
      <c r="I310" s="287" t="s">
        <v>1</v>
      </c>
      <c r="J310" s="288" cm="1">
        <f t="array" aca="1" ref="J310" ca="1">INDIRECT("'"&amp;$C310&amp;"'!"&amp;"$"&amp;$D310&amp;$J$1&amp;"")</f>
        <v>6.8</v>
      </c>
      <c r="K310" s="289"/>
      <c r="L310" s="289">
        <v>0.99</v>
      </c>
      <c r="M310" s="287">
        <v>0.96</v>
      </c>
      <c r="N310" s="288" cm="1">
        <f t="array" aca="1" ref="N310" ca="1">INDIRECT("'"&amp;$C310&amp;"'!"&amp;"$"&amp;$D310&amp;$N$1&amp;"")</f>
        <v>6.8</v>
      </c>
      <c r="O310" s="289"/>
      <c r="P310" s="289">
        <v>0.97</v>
      </c>
      <c r="Q310" s="287">
        <v>1.78</v>
      </c>
      <c r="R310" s="288" cm="1">
        <f t="array" aca="1" ref="R310" ca="1">INDIRECT("'"&amp;$C310&amp;"'!"&amp;"$"&amp;$D310&amp;$R$1&amp;"")</f>
        <v>6.8</v>
      </c>
      <c r="S310" s="289"/>
      <c r="T310" s="289">
        <v>0.98</v>
      </c>
      <c r="U310" s="287">
        <v>1.38</v>
      </c>
      <c r="V310" s="288" cm="1">
        <f t="array" aca="1" ref="V310" ca="1">INDIRECT("'"&amp;$C310&amp;"'!"&amp;"$"&amp;$D310&amp;$V$1&amp;"")</f>
        <v>0</v>
      </c>
      <c r="W310" s="289" t="s">
        <v>1</v>
      </c>
      <c r="X310" s="289" t="s">
        <v>1</v>
      </c>
      <c r="Y310" s="290" t="s">
        <v>1</v>
      </c>
      <c r="Z310" s="286" cm="1">
        <f t="array" aca="1" ref="Z310" ca="1">INDIRECT("'"&amp;$C310&amp;"'!"&amp;"$"&amp;$D310&amp;$Z$1&amp;"")</f>
        <v>0</v>
      </c>
      <c r="AA310" s="289" t="s">
        <v>1</v>
      </c>
      <c r="AB310" s="289" t="s">
        <v>1</v>
      </c>
      <c r="AC310" s="287" t="s">
        <v>1</v>
      </c>
      <c r="AD310" s="288" cm="1">
        <f t="array" aca="1" ref="AD310" ca="1">INDIRECT("'"&amp;$C310&amp;"'!"&amp;"$"&amp;$D310&amp;$AD$1&amp;"")</f>
        <v>0</v>
      </c>
      <c r="AE310" s="289" t="s">
        <v>1</v>
      </c>
      <c r="AF310" s="289" t="s">
        <v>1</v>
      </c>
      <c r="AG310" s="290" t="s">
        <v>1</v>
      </c>
      <c r="AH310" s="286" cm="1">
        <f t="array" aca="1" ref="AH310" ca="1">INDIRECT("'"&amp;$C310&amp;"'!"&amp;"$"&amp;$D310&amp;$AH$1&amp;"")</f>
        <v>0</v>
      </c>
      <c r="AI310" s="289" t="s">
        <v>1</v>
      </c>
      <c r="AJ310" s="289" t="s">
        <v>1</v>
      </c>
      <c r="AK310" s="287" t="s">
        <v>1</v>
      </c>
      <c r="AL310" s="286">
        <v>11.8</v>
      </c>
      <c r="AM310" s="290">
        <v>70.400000000000006</v>
      </c>
      <c r="AN310" s="286" cm="1">
        <f t="array" aca="1" ref="AN310" ca="1">INDIRECT("'"&amp;$C310&amp;"'!"&amp;"$"&amp;$D310&amp;$AL$1&amp;"")</f>
        <v>3.8</v>
      </c>
      <c r="AO310" s="289">
        <v>0.97</v>
      </c>
      <c r="AP310" s="287">
        <v>0.8</v>
      </c>
      <c r="AQ310" s="288" t="str" cm="1">
        <f t="array" aca="1" ref="AQ310" ca="1">INDIRECT("'"&amp;$C310&amp;"'!"&amp;"$"&amp;$D310&amp;$AQ$1&amp;"")</f>
        <v>CMS</v>
      </c>
      <c r="AR310" s="289" t="s">
        <v>1</v>
      </c>
      <c r="AS310" s="287" t="s">
        <v>1</v>
      </c>
      <c r="AT310" s="289" cm="1">
        <f t="array" aca="1" ref="AT310" ca="1">INDIRECT("'"&amp;$C310&amp;"'!"&amp;"$"&amp;$D310&amp;$AT$1&amp;"")</f>
        <v>0</v>
      </c>
      <c r="AU310" s="288" t="s">
        <v>1</v>
      </c>
      <c r="AV310" s="289" t="s">
        <v>1</v>
      </c>
      <c r="AW310" s="287" t="s">
        <v>1</v>
      </c>
      <c r="AX310" s="291">
        <v>14.09</v>
      </c>
      <c r="AY310" s="290">
        <v>71.319999999999993</v>
      </c>
      <c r="AZ310" s="291" cm="1">
        <f t="array" aca="1" ref="AZ310" ca="1">INDIRECT("'"&amp;$C310&amp;"'!"&amp;"$"&amp;$D310&amp;$AZ$1&amp;"")</f>
        <v>13.77</v>
      </c>
      <c r="BA310" s="289">
        <v>0.99</v>
      </c>
      <c r="BB310" s="287">
        <v>2.4</v>
      </c>
      <c r="BC310" s="292">
        <v>69.099999999999994</v>
      </c>
      <c r="BD310" s="286" cm="1">
        <f t="array" aca="1" ref="BD310" ca="1">INDIRECT("'"&amp;$C310&amp;"'!"&amp;"$"&amp;$D310&amp;$BC$1&amp;"")</f>
        <v>1.3</v>
      </c>
      <c r="BE310" s="288">
        <v>0.99</v>
      </c>
      <c r="BF310" s="287">
        <v>0.32</v>
      </c>
      <c r="BG310" s="291" cm="1">
        <f t="array" aca="1" ref="BG310" ca="1">INDIRECT("'"&amp;$C310&amp;"'!"&amp;"$"&amp;$D310&amp;$BG$1&amp;"")</f>
        <v>0.84</v>
      </c>
      <c r="BH310" s="289"/>
      <c r="BI310" s="289">
        <v>0.99</v>
      </c>
      <c r="BJ310" s="287">
        <v>0.11</v>
      </c>
      <c r="BK310" s="291" cm="1">
        <f t="array" aca="1" ref="BK310" ca="1">INDIRECT("'"&amp;$C310&amp;"'!"&amp;"$"&amp;$D310&amp;$BK$1&amp;"")</f>
        <v>0.72</v>
      </c>
      <c r="BL310" s="289"/>
      <c r="BM310" s="289">
        <v>0.96</v>
      </c>
      <c r="BN310" s="287">
        <v>0.19</v>
      </c>
      <c r="BO310" s="292" cm="1">
        <f t="array" aca="1" ref="BO310" ca="1">INDIRECT("'"&amp;$C310&amp;"'!"&amp;"$"&amp;$D310&amp;74&amp;"")</f>
        <v>0</v>
      </c>
      <c r="BP310" s="289"/>
      <c r="BQ310" s="289" t="s">
        <v>1</v>
      </c>
      <c r="BR310" s="287" t="s">
        <v>1</v>
      </c>
    </row>
    <row r="311" spans="1:70">
      <c r="A311" s="361">
        <v>45760</v>
      </c>
      <c r="B311" s="358">
        <v>0.25</v>
      </c>
      <c r="C311" s="313">
        <f t="shared" si="11"/>
        <v>13</v>
      </c>
      <c r="D311" s="314" t="s">
        <v>133</v>
      </c>
      <c r="E311" s="293">
        <v>14.2</v>
      </c>
      <c r="F311" s="294">
        <v>70.099999999999994</v>
      </c>
      <c r="G311" s="295" cm="1">
        <f t="array" aca="1" ref="G311" ca="1">INDIRECT("'"&amp;$C311&amp;"'!"&amp;"$"&amp;$D311&amp;$E$1&amp;"")</f>
        <v>0</v>
      </c>
      <c r="H311" s="296" t="s">
        <v>1</v>
      </c>
      <c r="I311" s="294" t="s">
        <v>1</v>
      </c>
      <c r="J311" s="295" cm="1">
        <f t="array" aca="1" ref="J311" ca="1">INDIRECT("'"&amp;$C311&amp;"'!"&amp;"$"&amp;$D311&amp;$J$1&amp;"")</f>
        <v>6.7</v>
      </c>
      <c r="K311" s="296"/>
      <c r="L311" s="296">
        <v>0.97</v>
      </c>
      <c r="M311" s="294">
        <v>1.74</v>
      </c>
      <c r="N311" s="295" cm="1">
        <f t="array" aca="1" ref="N311" ca="1">INDIRECT("'"&amp;$C311&amp;"'!"&amp;"$"&amp;$D311&amp;$N$1&amp;"")</f>
        <v>6.7</v>
      </c>
      <c r="O311" s="296"/>
      <c r="P311" s="296">
        <v>0.97</v>
      </c>
      <c r="Q311" s="294">
        <v>1.73</v>
      </c>
      <c r="R311" s="295" cm="1">
        <f t="array" aca="1" ref="R311" ca="1">INDIRECT("'"&amp;$C311&amp;"'!"&amp;"$"&amp;$D311&amp;$R$1&amp;"")</f>
        <v>6.7</v>
      </c>
      <c r="S311" s="296"/>
      <c r="T311" s="296">
        <v>0.97</v>
      </c>
      <c r="U311" s="294">
        <v>1.75</v>
      </c>
      <c r="V311" s="295" cm="1">
        <f t="array" aca="1" ref="V311" ca="1">INDIRECT("'"&amp;$C311&amp;"'!"&amp;"$"&amp;$D311&amp;$V$1&amp;"")</f>
        <v>0</v>
      </c>
      <c r="W311" s="296" t="s">
        <v>1</v>
      </c>
      <c r="X311" s="296" t="s">
        <v>1</v>
      </c>
      <c r="Y311" s="297" t="s">
        <v>1</v>
      </c>
      <c r="Z311" s="293" cm="1">
        <f t="array" aca="1" ref="Z311" ca="1">INDIRECT("'"&amp;$C311&amp;"'!"&amp;"$"&amp;$D311&amp;$Z$1&amp;"")</f>
        <v>0</v>
      </c>
      <c r="AA311" s="296" t="s">
        <v>1</v>
      </c>
      <c r="AB311" s="296" t="s">
        <v>1</v>
      </c>
      <c r="AC311" s="294" t="s">
        <v>1</v>
      </c>
      <c r="AD311" s="295" cm="1">
        <f t="array" aca="1" ref="AD311" ca="1">INDIRECT("'"&amp;$C311&amp;"'!"&amp;"$"&amp;$D311&amp;$AD$1&amp;"")</f>
        <v>0</v>
      </c>
      <c r="AE311" s="296" t="s">
        <v>1</v>
      </c>
      <c r="AF311" s="296" t="s">
        <v>1</v>
      </c>
      <c r="AG311" s="297" t="s">
        <v>1</v>
      </c>
      <c r="AH311" s="293" cm="1">
        <f t="array" aca="1" ref="AH311" ca="1">INDIRECT("'"&amp;$C311&amp;"'!"&amp;"$"&amp;$D311&amp;$AH$1&amp;"")</f>
        <v>0</v>
      </c>
      <c r="AI311" s="296" t="s">
        <v>1</v>
      </c>
      <c r="AJ311" s="296" t="s">
        <v>1</v>
      </c>
      <c r="AK311" s="297" t="s">
        <v>1</v>
      </c>
      <c r="AL311" s="293">
        <v>11.8</v>
      </c>
      <c r="AM311" s="297">
        <v>70.400000000000006</v>
      </c>
      <c r="AN311" s="293" cm="1">
        <f t="array" aca="1" ref="AN311" ca="1">INDIRECT("'"&amp;$C311&amp;"'!"&amp;"$"&amp;$D311&amp;$AL$1&amp;"")</f>
        <v>4</v>
      </c>
      <c r="AO311" s="296">
        <v>0.97</v>
      </c>
      <c r="AP311" s="294">
        <v>0.8</v>
      </c>
      <c r="AQ311" s="295" t="str" cm="1">
        <f t="array" aca="1" ref="AQ311" ca="1">INDIRECT("'"&amp;$C311&amp;"'!"&amp;"$"&amp;$D311&amp;$AQ$1&amp;"")</f>
        <v>CMS</v>
      </c>
      <c r="AR311" s="296" t="s">
        <v>1</v>
      </c>
      <c r="AS311" s="294" t="s">
        <v>1</v>
      </c>
      <c r="AT311" s="296" cm="1">
        <f t="array" aca="1" ref="AT311" ca="1">INDIRECT("'"&amp;$C311&amp;"'!"&amp;"$"&amp;$D311&amp;$AT$1&amp;"")</f>
        <v>0</v>
      </c>
      <c r="AU311" s="295" t="s">
        <v>1</v>
      </c>
      <c r="AV311" s="296" t="s">
        <v>1</v>
      </c>
      <c r="AW311" s="294" t="s">
        <v>1</v>
      </c>
      <c r="AX311" s="298">
        <v>14.06</v>
      </c>
      <c r="AY311" s="297">
        <v>71.11</v>
      </c>
      <c r="AZ311" s="298" cm="1">
        <f t="array" aca="1" ref="AZ311" ca="1">INDIRECT("'"&amp;$C311&amp;"'!"&amp;"$"&amp;$D311&amp;$AZ$1&amp;"")</f>
        <v>14.18</v>
      </c>
      <c r="BA311" s="296">
        <v>0.99</v>
      </c>
      <c r="BB311" s="294">
        <v>2.5</v>
      </c>
      <c r="BC311" s="299">
        <v>68.900000000000006</v>
      </c>
      <c r="BD311" s="293" cm="1">
        <f t="array" aca="1" ref="BD311" ca="1">INDIRECT("'"&amp;$C311&amp;"'!"&amp;"$"&amp;$D311&amp;$BC$1&amp;"")</f>
        <v>2</v>
      </c>
      <c r="BE311" s="295">
        <v>0.96</v>
      </c>
      <c r="BF311" s="294">
        <v>0.57999999999999996</v>
      </c>
      <c r="BG311" s="298" cm="1">
        <f t="array" aca="1" ref="BG311" ca="1">INDIRECT("'"&amp;$C311&amp;"'!"&amp;"$"&amp;$D311&amp;$BG$1&amp;"")</f>
        <v>0.87</v>
      </c>
      <c r="BH311" s="296"/>
      <c r="BI311" s="296">
        <v>0.99</v>
      </c>
      <c r="BJ311" s="294">
        <v>0.1</v>
      </c>
      <c r="BK311" s="298" cm="1">
        <f t="array" aca="1" ref="BK311" ca="1">INDIRECT("'"&amp;$C311&amp;"'!"&amp;"$"&amp;$D311&amp;$BK$1&amp;"")</f>
        <v>0.74</v>
      </c>
      <c r="BL311" s="296"/>
      <c r="BM311" s="296">
        <v>0.97</v>
      </c>
      <c r="BN311" s="294">
        <v>0.18</v>
      </c>
      <c r="BO311" s="299" cm="1">
        <f t="array" aca="1" ref="BO311" ca="1">INDIRECT("'"&amp;$C311&amp;"'!"&amp;"$"&amp;$D311&amp;74&amp;"")</f>
        <v>0</v>
      </c>
      <c r="BP311" s="296"/>
      <c r="BQ311" s="296" t="s">
        <v>1</v>
      </c>
      <c r="BR311" s="294" t="s">
        <v>1</v>
      </c>
    </row>
    <row r="312" spans="1:70">
      <c r="A312" s="361">
        <v>45760</v>
      </c>
      <c r="B312" s="358">
        <v>0.29166666666666702</v>
      </c>
      <c r="C312" s="313">
        <f t="shared" si="11"/>
        <v>13</v>
      </c>
      <c r="D312" s="314" t="s">
        <v>134</v>
      </c>
      <c r="E312" s="286">
        <v>14.1</v>
      </c>
      <c r="F312" s="287">
        <v>69.83</v>
      </c>
      <c r="G312" s="288" cm="1">
        <f t="array" aca="1" ref="G312" ca="1">INDIRECT("'"&amp;$C312&amp;"'!"&amp;"$"&amp;$D312&amp;$E$1&amp;"")</f>
        <v>0</v>
      </c>
      <c r="H312" s="289" t="s">
        <v>1</v>
      </c>
      <c r="I312" s="287" t="s">
        <v>1</v>
      </c>
      <c r="J312" s="288" cm="1">
        <f t="array" aca="1" ref="J312" ca="1">INDIRECT("'"&amp;$C312&amp;"'!"&amp;"$"&amp;$D312&amp;$J$1&amp;"")</f>
        <v>6.6</v>
      </c>
      <c r="K312" s="289"/>
      <c r="L312" s="289">
        <v>0.95</v>
      </c>
      <c r="M312" s="287">
        <v>2.29</v>
      </c>
      <c r="N312" s="288" cm="1">
        <f t="array" aca="1" ref="N312" ca="1">INDIRECT("'"&amp;$C312&amp;"'!"&amp;"$"&amp;$D312&amp;$N$1&amp;"")</f>
        <v>6.6</v>
      </c>
      <c r="O312" s="289"/>
      <c r="P312" s="289">
        <v>0.95</v>
      </c>
      <c r="Q312" s="287">
        <v>2.27</v>
      </c>
      <c r="R312" s="288" cm="1">
        <f t="array" aca="1" ref="R312" ca="1">INDIRECT("'"&amp;$C312&amp;"'!"&amp;"$"&amp;$D312&amp;$R$1&amp;"")</f>
        <v>6.6</v>
      </c>
      <c r="S312" s="289"/>
      <c r="T312" s="289">
        <v>0.95</v>
      </c>
      <c r="U312" s="287">
        <v>2.2400000000000002</v>
      </c>
      <c r="V312" s="288" cm="1">
        <f t="array" aca="1" ref="V312" ca="1">INDIRECT("'"&amp;$C312&amp;"'!"&amp;"$"&amp;$D312&amp;$V$1&amp;"")</f>
        <v>0</v>
      </c>
      <c r="W312" s="289" t="s">
        <v>1</v>
      </c>
      <c r="X312" s="289" t="s">
        <v>1</v>
      </c>
      <c r="Y312" s="290" t="s">
        <v>1</v>
      </c>
      <c r="Z312" s="286" cm="1">
        <f t="array" aca="1" ref="Z312" ca="1">INDIRECT("'"&amp;$C312&amp;"'!"&amp;"$"&amp;$D312&amp;$Z$1&amp;"")</f>
        <v>0</v>
      </c>
      <c r="AA312" s="289" t="s">
        <v>1</v>
      </c>
      <c r="AB312" s="289" t="s">
        <v>1</v>
      </c>
      <c r="AC312" s="287" t="s">
        <v>1</v>
      </c>
      <c r="AD312" s="288" cm="1">
        <f t="array" aca="1" ref="AD312" ca="1">INDIRECT("'"&amp;$C312&amp;"'!"&amp;"$"&amp;$D312&amp;$AD$1&amp;"")</f>
        <v>0</v>
      </c>
      <c r="AE312" s="289" t="s">
        <v>1</v>
      </c>
      <c r="AF312" s="289" t="s">
        <v>1</v>
      </c>
      <c r="AG312" s="290" t="s">
        <v>1</v>
      </c>
      <c r="AH312" s="286" cm="1">
        <f t="array" aca="1" ref="AH312" ca="1">INDIRECT("'"&amp;$C312&amp;"'!"&amp;"$"&amp;$D312&amp;$AH$1&amp;"")</f>
        <v>0</v>
      </c>
      <c r="AI312" s="289" t="s">
        <v>1</v>
      </c>
      <c r="AJ312" s="289" t="s">
        <v>1</v>
      </c>
      <c r="AK312" s="287" t="s">
        <v>1</v>
      </c>
      <c r="AL312" s="286">
        <v>11.8</v>
      </c>
      <c r="AM312" s="290">
        <v>70.2</v>
      </c>
      <c r="AN312" s="286" cm="1">
        <f t="array" aca="1" ref="AN312" ca="1">INDIRECT("'"&amp;$C312&amp;"'!"&amp;"$"&amp;$D312&amp;$AL$1&amp;"")</f>
        <v>4</v>
      </c>
      <c r="AO312" s="289">
        <v>0.96</v>
      </c>
      <c r="AP312" s="287">
        <v>1.2</v>
      </c>
      <c r="AQ312" s="288" t="str" cm="1">
        <f t="array" aca="1" ref="AQ312" ca="1">INDIRECT("'"&amp;$C312&amp;"'!"&amp;"$"&amp;$D312&amp;$AQ$1&amp;"")</f>
        <v>CMS</v>
      </c>
      <c r="AR312" s="289" t="s">
        <v>1</v>
      </c>
      <c r="AS312" s="287" t="s">
        <v>1</v>
      </c>
      <c r="AT312" s="289" cm="1">
        <f t="array" aca="1" ref="AT312" ca="1">INDIRECT("'"&amp;$C312&amp;"'!"&amp;"$"&amp;$D312&amp;$AT$1&amp;"")</f>
        <v>0</v>
      </c>
      <c r="AU312" s="288" t="s">
        <v>1</v>
      </c>
      <c r="AV312" s="289" t="s">
        <v>1</v>
      </c>
      <c r="AW312" s="287" t="s">
        <v>1</v>
      </c>
      <c r="AX312" s="291">
        <v>14.04</v>
      </c>
      <c r="AY312" s="290">
        <v>70.95</v>
      </c>
      <c r="AZ312" s="291" cm="1">
        <f t="array" aca="1" ref="AZ312" ca="1">INDIRECT("'"&amp;$C312&amp;"'!"&amp;"$"&amp;$D312&amp;$AZ$1&amp;"")</f>
        <v>14.32</v>
      </c>
      <c r="BA312" s="289">
        <v>0.99</v>
      </c>
      <c r="BB312" s="287">
        <v>2.4</v>
      </c>
      <c r="BC312" s="292">
        <v>68.599999999999994</v>
      </c>
      <c r="BD312" s="286" cm="1">
        <f t="array" aca="1" ref="BD312" ca="1">INDIRECT("'"&amp;$C312&amp;"'!"&amp;"$"&amp;$D312&amp;$BC$1&amp;"")</f>
        <v>2</v>
      </c>
      <c r="BE312" s="288">
        <v>0.96</v>
      </c>
      <c r="BF312" s="287">
        <v>0.57999999999999996</v>
      </c>
      <c r="BG312" s="291" cm="1">
        <f t="array" aca="1" ref="BG312" ca="1">INDIRECT("'"&amp;$C312&amp;"'!"&amp;"$"&amp;$D312&amp;$BG$1&amp;"")</f>
        <v>0.96</v>
      </c>
      <c r="BH312" s="289"/>
      <c r="BI312" s="289">
        <v>0.99</v>
      </c>
      <c r="BJ312" s="287">
        <v>0.13</v>
      </c>
      <c r="BK312" s="292" cm="1">
        <f t="array" aca="1" ref="BK312" ca="1">INDIRECT("'"&amp;$C312&amp;"'!"&amp;"$"&amp;$D312&amp;$BK$1&amp;"")</f>
        <v>0.73</v>
      </c>
      <c r="BL312" s="289"/>
      <c r="BM312" s="289">
        <v>0.97</v>
      </c>
      <c r="BN312" s="287">
        <v>0.19</v>
      </c>
      <c r="BO312" s="292" cm="1">
        <f t="array" aca="1" ref="BO312" ca="1">INDIRECT("'"&amp;$C312&amp;"'!"&amp;"$"&amp;$D312&amp;74&amp;"")</f>
        <v>0</v>
      </c>
      <c r="BP312" s="289"/>
      <c r="BQ312" s="289" t="s">
        <v>1</v>
      </c>
      <c r="BR312" s="287" t="s">
        <v>1</v>
      </c>
    </row>
    <row r="313" spans="1:70">
      <c r="A313" s="361">
        <v>45760</v>
      </c>
      <c r="B313" s="358">
        <v>0.33333333333333398</v>
      </c>
      <c r="C313" s="313">
        <f t="shared" si="11"/>
        <v>13</v>
      </c>
      <c r="D313" s="314" t="s">
        <v>135</v>
      </c>
      <c r="E313" s="293">
        <v>14.1</v>
      </c>
      <c r="F313" s="294">
        <v>69.59</v>
      </c>
      <c r="G313" s="295" cm="1">
        <f t="array" aca="1" ref="G313" ca="1">INDIRECT("'"&amp;$C313&amp;"'!"&amp;"$"&amp;$D313&amp;$E$1&amp;"")</f>
        <v>0</v>
      </c>
      <c r="H313" s="296" t="s">
        <v>1</v>
      </c>
      <c r="I313" s="294" t="s">
        <v>1</v>
      </c>
      <c r="J313" s="295" cm="1">
        <f t="array" aca="1" ref="J313" ca="1">INDIRECT("'"&amp;$C313&amp;"'!"&amp;"$"&amp;$D313&amp;$J$1&amp;"")</f>
        <v>6.3</v>
      </c>
      <c r="K313" s="296"/>
      <c r="L313" s="296">
        <v>0.97</v>
      </c>
      <c r="M313" s="294">
        <v>1.44</v>
      </c>
      <c r="N313" s="295" cm="1">
        <f t="array" aca="1" ref="N313" ca="1">INDIRECT("'"&amp;$C313&amp;"'!"&amp;"$"&amp;$D313&amp;$N$1&amp;"")</f>
        <v>6.3</v>
      </c>
      <c r="O313" s="296"/>
      <c r="P313" s="296">
        <v>0.95</v>
      </c>
      <c r="Q313" s="294">
        <v>2.16</v>
      </c>
      <c r="R313" s="295" cm="1">
        <f t="array" aca="1" ref="R313" ca="1">INDIRECT("'"&amp;$C313&amp;"'!"&amp;"$"&amp;$D313&amp;$R$1&amp;"")</f>
        <v>6.3</v>
      </c>
      <c r="S313" s="296"/>
      <c r="T313" s="296">
        <v>0.97</v>
      </c>
      <c r="U313" s="294">
        <v>1.48</v>
      </c>
      <c r="V313" s="295" cm="1">
        <f t="array" aca="1" ref="V313" ca="1">INDIRECT("'"&amp;$C313&amp;"'!"&amp;"$"&amp;$D313&amp;$V$1&amp;"")</f>
        <v>2.8</v>
      </c>
      <c r="W313" s="296">
        <f>3.8*3.51</f>
        <v>13.337999999999999</v>
      </c>
      <c r="X313" s="296">
        <v>0.95</v>
      </c>
      <c r="Y313" s="297">
        <v>0.85</v>
      </c>
      <c r="Z313" s="293" cm="1">
        <f t="array" aca="1" ref="Z313" ca="1">INDIRECT("'"&amp;$C313&amp;"'!"&amp;"$"&amp;$D313&amp;$Z$1&amp;"")</f>
        <v>0</v>
      </c>
      <c r="AA313" s="296" t="s">
        <v>1</v>
      </c>
      <c r="AB313" s="296" t="s">
        <v>1</v>
      </c>
      <c r="AC313" s="294" t="s">
        <v>1</v>
      </c>
      <c r="AD313" s="295" cm="1">
        <f t="array" aca="1" ref="AD313" ca="1">INDIRECT("'"&amp;$C313&amp;"'!"&amp;"$"&amp;$D313&amp;$AD$1&amp;"")</f>
        <v>0</v>
      </c>
      <c r="AE313" s="296" t="s">
        <v>1</v>
      </c>
      <c r="AF313" s="296" t="s">
        <v>1</v>
      </c>
      <c r="AG313" s="297" t="s">
        <v>1</v>
      </c>
      <c r="AH313" s="293" cm="1">
        <f t="array" aca="1" ref="AH313" ca="1">INDIRECT("'"&amp;$C313&amp;"'!"&amp;"$"&amp;$D313&amp;$AH$1&amp;"")</f>
        <v>0.6</v>
      </c>
      <c r="AI313" s="296">
        <v>13.8</v>
      </c>
      <c r="AJ313" s="296">
        <v>0.98</v>
      </c>
      <c r="AK313" s="294">
        <v>8.7999999999999995E-2</v>
      </c>
      <c r="AL313" s="293">
        <v>11.8</v>
      </c>
      <c r="AM313" s="297">
        <v>70.099999999999994</v>
      </c>
      <c r="AN313" s="293" cm="1">
        <f t="array" aca="1" ref="AN313" ca="1">INDIRECT("'"&amp;$C313&amp;"'!"&amp;"$"&amp;$D313&amp;$AL$1&amp;"")</f>
        <v>4</v>
      </c>
      <c r="AO313" s="296">
        <v>0.96</v>
      </c>
      <c r="AP313" s="294">
        <v>1.2</v>
      </c>
      <c r="AQ313" s="295" t="str" cm="1">
        <f t="array" aca="1" ref="AQ313" ca="1">INDIRECT("'"&amp;$C313&amp;"'!"&amp;"$"&amp;$D313&amp;$AQ$1&amp;"")</f>
        <v>CMS</v>
      </c>
      <c r="AR313" s="296" t="s">
        <v>1</v>
      </c>
      <c r="AS313" s="294" t="s">
        <v>1</v>
      </c>
      <c r="AT313" s="296" cm="1">
        <f t="array" aca="1" ref="AT313" ca="1">INDIRECT("'"&amp;$C313&amp;"'!"&amp;"$"&amp;$D313&amp;$AT$1&amp;"")</f>
        <v>0</v>
      </c>
      <c r="AU313" s="295" t="s">
        <v>1</v>
      </c>
      <c r="AV313" s="296" t="s">
        <v>1</v>
      </c>
      <c r="AW313" s="294" t="s">
        <v>1</v>
      </c>
      <c r="AX313" s="298">
        <v>14.02</v>
      </c>
      <c r="AY313" s="297">
        <v>70.88</v>
      </c>
      <c r="AZ313" s="298" cm="1">
        <f t="array" aca="1" ref="AZ313" ca="1">INDIRECT("'"&amp;$C313&amp;"'!"&amp;"$"&amp;$D313&amp;$AZ$1&amp;"")</f>
        <v>14.29</v>
      </c>
      <c r="BA313" s="296">
        <v>0.99</v>
      </c>
      <c r="BB313" s="294">
        <v>2.4</v>
      </c>
      <c r="BC313" s="299">
        <v>68.7</v>
      </c>
      <c r="BD313" s="293" cm="1">
        <f t="array" aca="1" ref="BD313" ca="1">INDIRECT("'"&amp;$C313&amp;"'!"&amp;"$"&amp;$D313&amp;$BC$1&amp;"")</f>
        <v>1.4</v>
      </c>
      <c r="BE313" s="295">
        <v>0.95</v>
      </c>
      <c r="BF313" s="294">
        <v>0.46</v>
      </c>
      <c r="BG313" s="298" cm="1">
        <f t="array" aca="1" ref="BG313" ca="1">INDIRECT("'"&amp;$C313&amp;"'!"&amp;"$"&amp;$D313&amp;$BG$1&amp;"")</f>
        <v>1.05</v>
      </c>
      <c r="BH313" s="296"/>
      <c r="BI313" s="296">
        <v>0.99</v>
      </c>
      <c r="BJ313" s="294">
        <v>0.14000000000000001</v>
      </c>
      <c r="BK313" s="299" cm="1">
        <f t="array" aca="1" ref="BK313" ca="1">INDIRECT("'"&amp;$C313&amp;"'!"&amp;"$"&amp;$D313&amp;$BK$1&amp;"")</f>
        <v>0.72</v>
      </c>
      <c r="BL313" s="296"/>
      <c r="BM313" s="296">
        <v>0.97</v>
      </c>
      <c r="BN313" s="294">
        <v>0.19</v>
      </c>
      <c r="BO313" s="299" cm="1">
        <f t="array" aca="1" ref="BO313" ca="1">INDIRECT("'"&amp;$C313&amp;"'!"&amp;"$"&amp;$D313&amp;74&amp;"")</f>
        <v>0</v>
      </c>
      <c r="BP313" s="296"/>
      <c r="BQ313" s="296" t="s">
        <v>1</v>
      </c>
      <c r="BR313" s="294" t="s">
        <v>1</v>
      </c>
    </row>
    <row r="314" spans="1:70">
      <c r="A314" s="361">
        <v>45760</v>
      </c>
      <c r="B314" s="358">
        <v>0.375</v>
      </c>
      <c r="C314" s="313">
        <f t="shared" si="11"/>
        <v>13</v>
      </c>
      <c r="D314" s="314" t="s">
        <v>136</v>
      </c>
      <c r="E314" s="286">
        <v>14.1</v>
      </c>
      <c r="F314" s="287">
        <v>68.989999999999995</v>
      </c>
      <c r="G314" s="288" cm="1">
        <f t="array" aca="1" ref="G314" ca="1">INDIRECT("'"&amp;$C314&amp;"'!"&amp;"$"&amp;$D314&amp;$E$1&amp;"")</f>
        <v>0</v>
      </c>
      <c r="H314" s="289" t="s">
        <v>1</v>
      </c>
      <c r="I314" s="287" t="s">
        <v>1</v>
      </c>
      <c r="J314" s="288" cm="1">
        <f t="array" aca="1" ref="J314" ca="1">INDIRECT("'"&amp;$C314&amp;"'!"&amp;"$"&amp;$D314&amp;$J$1&amp;"")</f>
        <v>6.9</v>
      </c>
      <c r="K314" s="289"/>
      <c r="L314" s="289">
        <v>0.95</v>
      </c>
      <c r="M314" s="287">
        <v>2.2000000000000002</v>
      </c>
      <c r="N314" s="288" cm="1">
        <f t="array" aca="1" ref="N314" ca="1">INDIRECT("'"&amp;$C314&amp;"'!"&amp;"$"&amp;$D314&amp;$N$1&amp;"")</f>
        <v>6.9</v>
      </c>
      <c r="O314" s="289"/>
      <c r="P314" s="289">
        <v>0.95</v>
      </c>
      <c r="Q314" s="287">
        <v>2.25</v>
      </c>
      <c r="R314" s="288" cm="1">
        <f t="array" aca="1" ref="R314" ca="1">INDIRECT("'"&amp;$C314&amp;"'!"&amp;"$"&amp;$D314&amp;$R$1&amp;"")</f>
        <v>6.9</v>
      </c>
      <c r="S314" s="289"/>
      <c r="T314" s="289">
        <v>0.93</v>
      </c>
      <c r="U314" s="287">
        <v>2.79</v>
      </c>
      <c r="V314" s="288" cm="1">
        <f t="array" aca="1" ref="V314" ca="1">INDIRECT("'"&amp;$C314&amp;"'!"&amp;"$"&amp;$D314&amp;$V$1&amp;"")</f>
        <v>2.8</v>
      </c>
      <c r="W314" s="289">
        <f>3.8*3.45</f>
        <v>13.11</v>
      </c>
      <c r="X314" s="289">
        <v>0.95</v>
      </c>
      <c r="Y314" s="290">
        <v>0.83</v>
      </c>
      <c r="Z314" s="286" cm="1">
        <f t="array" aca="1" ref="Z314" ca="1">INDIRECT("'"&amp;$C314&amp;"'!"&amp;"$"&amp;$D314&amp;$Z$1&amp;"")</f>
        <v>0</v>
      </c>
      <c r="AA314" s="289" t="s">
        <v>1</v>
      </c>
      <c r="AB314" s="289" t="s">
        <v>1</v>
      </c>
      <c r="AC314" s="287" t="s">
        <v>1</v>
      </c>
      <c r="AD314" s="288" cm="1">
        <f t="array" aca="1" ref="AD314" ca="1">INDIRECT("'"&amp;$C314&amp;"'!"&amp;"$"&amp;$D314&amp;$AD$1&amp;"")</f>
        <v>0</v>
      </c>
      <c r="AE314" s="289" t="s">
        <v>1</v>
      </c>
      <c r="AF314" s="289" t="s">
        <v>1</v>
      </c>
      <c r="AG314" s="290" t="s">
        <v>1</v>
      </c>
      <c r="AH314" s="286" cm="1">
        <f t="array" aca="1" ref="AH314" ca="1">INDIRECT("'"&amp;$C314&amp;"'!"&amp;"$"&amp;$D314&amp;$AH$1&amp;"")</f>
        <v>3.8</v>
      </c>
      <c r="AI314" s="289">
        <v>13.88</v>
      </c>
      <c r="AJ314" s="289">
        <v>0.99</v>
      </c>
      <c r="AK314" s="287">
        <v>0.20899999999999999</v>
      </c>
      <c r="AL314" s="286">
        <v>11.8</v>
      </c>
      <c r="AM314" s="290">
        <v>69.900000000000006</v>
      </c>
      <c r="AN314" s="286" cm="1">
        <f t="array" aca="1" ref="AN314" ca="1">INDIRECT("'"&amp;$C314&amp;"'!"&amp;"$"&amp;$D314&amp;$AL$1&amp;"")</f>
        <v>4.0999999999999996</v>
      </c>
      <c r="AO314" s="289">
        <v>0.95</v>
      </c>
      <c r="AP314" s="287">
        <v>1.3120000000000001</v>
      </c>
      <c r="AQ314" s="288" t="str" cm="1">
        <f t="array" aca="1" ref="AQ314" ca="1">INDIRECT("'"&amp;$C314&amp;"'!"&amp;"$"&amp;$D314&amp;$AQ$1&amp;"")</f>
        <v>CMS</v>
      </c>
      <c r="AR314" s="289" t="s">
        <v>1</v>
      </c>
      <c r="AS314" s="287" t="s">
        <v>1</v>
      </c>
      <c r="AT314" s="289" cm="1">
        <f t="array" aca="1" ref="AT314" ca="1">INDIRECT("'"&amp;$C314&amp;"'!"&amp;"$"&amp;$D314&amp;$AT$1&amp;"")</f>
        <v>0</v>
      </c>
      <c r="AU314" s="288" t="s">
        <v>1</v>
      </c>
      <c r="AV314" s="289" t="s">
        <v>1</v>
      </c>
      <c r="AW314" s="287" t="s">
        <v>1</v>
      </c>
      <c r="AX314" s="291">
        <v>14.1</v>
      </c>
      <c r="AY314" s="290">
        <v>71.53</v>
      </c>
      <c r="AZ314" s="291" cm="1">
        <f t="array" aca="1" ref="AZ314" ca="1">INDIRECT("'"&amp;$C314&amp;"'!"&amp;"$"&amp;$D314&amp;$AZ$1&amp;"")</f>
        <v>14.28</v>
      </c>
      <c r="BA314" s="289">
        <v>0.98</v>
      </c>
      <c r="BB314" s="287">
        <v>3.5</v>
      </c>
      <c r="BC314" s="292">
        <v>67.900000000000006</v>
      </c>
      <c r="BD314" s="286" cm="1">
        <f t="array" aca="1" ref="BD314" ca="1">INDIRECT("'"&amp;$C314&amp;"'!"&amp;"$"&amp;$D314&amp;$BC$1&amp;"")</f>
        <v>2.8</v>
      </c>
      <c r="BE314" s="288">
        <v>0.96</v>
      </c>
      <c r="BF314" s="287">
        <v>0.81</v>
      </c>
      <c r="BG314" s="291" cm="1">
        <f t="array" aca="1" ref="BG314" ca="1">INDIRECT("'"&amp;$C314&amp;"'!"&amp;"$"&amp;$D314&amp;$BG$1&amp;"")</f>
        <v>1.1000000000000001</v>
      </c>
      <c r="BH314" s="289"/>
      <c r="BI314" s="289">
        <v>0.99</v>
      </c>
      <c r="BJ314" s="287">
        <v>0.15</v>
      </c>
      <c r="BK314" s="292" cm="1">
        <f t="array" aca="1" ref="BK314" ca="1">INDIRECT("'"&amp;$C314&amp;"'!"&amp;"$"&amp;$D314&amp;$BK$1&amp;"")</f>
        <v>0.78</v>
      </c>
      <c r="BL314" s="289"/>
      <c r="BM314" s="289">
        <v>0.96</v>
      </c>
      <c r="BN314" s="287">
        <v>0.23</v>
      </c>
      <c r="BO314" s="292" cm="1">
        <f t="array" aca="1" ref="BO314" ca="1">INDIRECT("'"&amp;$C314&amp;"'!"&amp;"$"&amp;$D314&amp;74&amp;"")</f>
        <v>0</v>
      </c>
      <c r="BP314" s="289"/>
      <c r="BQ314" s="289" t="s">
        <v>1</v>
      </c>
      <c r="BR314" s="287" t="s">
        <v>1</v>
      </c>
    </row>
    <row r="315" spans="1:70">
      <c r="A315" s="361">
        <v>45760</v>
      </c>
      <c r="B315" s="358">
        <v>0.41666666666666702</v>
      </c>
      <c r="C315" s="313">
        <f t="shared" si="11"/>
        <v>13</v>
      </c>
      <c r="D315" s="314" t="s">
        <v>137</v>
      </c>
      <c r="E315" s="293">
        <v>14.2</v>
      </c>
      <c r="F315" s="294">
        <v>68.69</v>
      </c>
      <c r="G315" s="295" cm="1">
        <f t="array" aca="1" ref="G315" ca="1">INDIRECT("'"&amp;$C315&amp;"'!"&amp;"$"&amp;$D315&amp;$E$1&amp;"")</f>
        <v>0</v>
      </c>
      <c r="H315" s="296" t="s">
        <v>1</v>
      </c>
      <c r="I315" s="294" t="s">
        <v>1</v>
      </c>
      <c r="J315" s="295" cm="1">
        <f t="array" aca="1" ref="J315" ca="1">INDIRECT("'"&amp;$C315&amp;"'!"&amp;"$"&amp;$D315&amp;$J$1&amp;"")</f>
        <v>6.4</v>
      </c>
      <c r="K315" s="296"/>
      <c r="L315" s="296">
        <v>0.94</v>
      </c>
      <c r="M315" s="294">
        <v>2.6</v>
      </c>
      <c r="N315" s="295" cm="1">
        <f t="array" aca="1" ref="N315" ca="1">INDIRECT("'"&amp;$C315&amp;"'!"&amp;"$"&amp;$D315&amp;$N$1&amp;"")</f>
        <v>6.4</v>
      </c>
      <c r="O315" s="296"/>
      <c r="P315" s="296">
        <v>0.94</v>
      </c>
      <c r="Q315" s="294">
        <v>2.36</v>
      </c>
      <c r="R315" s="295" cm="1">
        <f t="array" aca="1" ref="R315" ca="1">INDIRECT("'"&amp;$C315&amp;"'!"&amp;"$"&amp;$D315&amp;$R$1&amp;"")</f>
        <v>6.4</v>
      </c>
      <c r="S315" s="296"/>
      <c r="T315" s="296">
        <v>0.93</v>
      </c>
      <c r="U315" s="294">
        <v>2.63</v>
      </c>
      <c r="V315" s="295" cm="1">
        <f t="array" aca="1" ref="V315" ca="1">INDIRECT("'"&amp;$C315&amp;"'!"&amp;"$"&amp;$D315&amp;$V$1&amp;"")</f>
        <v>2.7</v>
      </c>
      <c r="W315" s="296">
        <f>3.8*3.41</f>
        <v>12.958</v>
      </c>
      <c r="X315" s="296">
        <v>0.94</v>
      </c>
      <c r="Y315" s="297">
        <v>0.91</v>
      </c>
      <c r="Z315" s="293" cm="1">
        <f t="array" aca="1" ref="Z315" ca="1">INDIRECT("'"&amp;$C315&amp;"'!"&amp;"$"&amp;$D315&amp;$Z$1&amp;"")</f>
        <v>0</v>
      </c>
      <c r="AA315" s="296" t="s">
        <v>1</v>
      </c>
      <c r="AB315" s="296" t="s">
        <v>1</v>
      </c>
      <c r="AC315" s="294" t="s">
        <v>1</v>
      </c>
      <c r="AD315" s="295" t="str" cm="1">
        <f t="array" aca="1" ref="AD315" ca="1">INDIRECT("'"&amp;$C315&amp;"'!"&amp;"$"&amp;$D315&amp;$AD$1&amp;"")</f>
        <v>CMS</v>
      </c>
      <c r="AE315" s="296" t="s">
        <v>1</v>
      </c>
      <c r="AF315" s="296" t="s">
        <v>1</v>
      </c>
      <c r="AG315" s="297" t="s">
        <v>1</v>
      </c>
      <c r="AH315" s="293" cm="1">
        <f t="array" aca="1" ref="AH315" ca="1">INDIRECT("'"&amp;$C315&amp;"'!"&amp;"$"&amp;$D315&amp;$AH$1&amp;"")</f>
        <v>3.8</v>
      </c>
      <c r="AI315" s="296">
        <v>13.88</v>
      </c>
      <c r="AJ315" s="296">
        <v>0.99</v>
      </c>
      <c r="AK315" s="294">
        <v>0.16300000000000001</v>
      </c>
      <c r="AL315" s="293">
        <v>11.8</v>
      </c>
      <c r="AM315" s="297">
        <v>70</v>
      </c>
      <c r="AN315" s="293" cm="1">
        <f t="array" aca="1" ref="AN315" ca="1">INDIRECT("'"&amp;$C315&amp;"'!"&amp;"$"&amp;$D315&amp;$AL$1&amp;"")</f>
        <v>3.9</v>
      </c>
      <c r="AO315" s="296">
        <v>0.94</v>
      </c>
      <c r="AP315" s="294">
        <v>1.2669999999999999</v>
      </c>
      <c r="AQ315" s="295" t="str" cm="1">
        <f t="array" aca="1" ref="AQ315" ca="1">INDIRECT("'"&amp;$C315&amp;"'!"&amp;"$"&amp;$D315&amp;$AQ$1&amp;"")</f>
        <v>CMS</v>
      </c>
      <c r="AR315" s="296" t="s">
        <v>1</v>
      </c>
      <c r="AS315" s="294" t="s">
        <v>1</v>
      </c>
      <c r="AT315" s="296" cm="1">
        <f t="array" aca="1" ref="AT315" ca="1">INDIRECT("'"&amp;$C315&amp;"'!"&amp;"$"&amp;$D315&amp;$AT$1&amp;"")</f>
        <v>1.9</v>
      </c>
      <c r="AU315" s="295">
        <v>13.8</v>
      </c>
      <c r="AV315" s="296">
        <v>0.83</v>
      </c>
      <c r="AW315" s="294">
        <v>1.2</v>
      </c>
      <c r="AX315" s="298">
        <v>14.07</v>
      </c>
      <c r="AY315" s="297">
        <v>71.14</v>
      </c>
      <c r="AZ315" s="298" cm="1">
        <f t="array" aca="1" ref="AZ315" ca="1">INDIRECT("'"&amp;$C315&amp;"'!"&amp;"$"&amp;$D315&amp;$AZ$1&amp;"")</f>
        <v>14.25</v>
      </c>
      <c r="BA315" s="296">
        <v>0.99</v>
      </c>
      <c r="BB315" s="294">
        <v>2.5</v>
      </c>
      <c r="BC315" s="299">
        <v>67.8</v>
      </c>
      <c r="BD315" s="293" cm="1">
        <f t="array" aca="1" ref="BD315" ca="1">INDIRECT("'"&amp;$C315&amp;"'!"&amp;"$"&amp;$D315&amp;$BC$1&amp;"")</f>
        <v>4.3</v>
      </c>
      <c r="BE315" s="295">
        <v>0.96</v>
      </c>
      <c r="BF315" s="294">
        <v>1.2</v>
      </c>
      <c r="BG315" s="298" cm="1">
        <f t="array" aca="1" ref="BG315" ca="1">INDIRECT("'"&amp;$C315&amp;"'!"&amp;"$"&amp;$D315&amp;$BG$1&amp;"")</f>
        <v>1.21</v>
      </c>
      <c r="BH315" s="296"/>
      <c r="BI315" s="296">
        <v>0.99</v>
      </c>
      <c r="BJ315" s="294">
        <v>0.18</v>
      </c>
      <c r="BK315" s="299" cm="1">
        <f t="array" aca="1" ref="BK315" ca="1">INDIRECT("'"&amp;$C315&amp;"'!"&amp;"$"&amp;$D315&amp;$BK$1&amp;"")</f>
        <v>0.82</v>
      </c>
      <c r="BL315" s="296"/>
      <c r="BM315" s="296">
        <v>0.97</v>
      </c>
      <c r="BN315" s="294">
        <v>0.24</v>
      </c>
      <c r="BO315" s="299" cm="1">
        <f t="array" aca="1" ref="BO315" ca="1">INDIRECT("'"&amp;$C315&amp;"'!"&amp;"$"&amp;$D315&amp;74&amp;"")</f>
        <v>0</v>
      </c>
      <c r="BP315" s="296"/>
      <c r="BQ315" s="296" t="s">
        <v>1</v>
      </c>
      <c r="BR315" s="294" t="s">
        <v>1</v>
      </c>
    </row>
    <row r="316" spans="1:70">
      <c r="A316" s="361">
        <v>45760</v>
      </c>
      <c r="B316" s="358">
        <v>0.45833333333333398</v>
      </c>
      <c r="C316" s="313">
        <f t="shared" si="11"/>
        <v>13</v>
      </c>
      <c r="D316" s="314" t="s">
        <v>138</v>
      </c>
      <c r="E316" s="286">
        <v>14.1</v>
      </c>
      <c r="F316" s="287">
        <v>69.290000000000006</v>
      </c>
      <c r="G316" s="288" cm="1">
        <f t="array" aca="1" ref="G316" ca="1">INDIRECT("'"&amp;$C316&amp;"'!"&amp;"$"&amp;$D316&amp;$E$1&amp;"")</f>
        <v>2</v>
      </c>
      <c r="H316" s="289">
        <v>0.93</v>
      </c>
      <c r="I316" s="287">
        <v>2.84</v>
      </c>
      <c r="J316" s="288" cm="1">
        <f t="array" aca="1" ref="J316" ca="1">INDIRECT("'"&amp;$C316&amp;"'!"&amp;"$"&amp;$D316&amp;$J$1&amp;"")</f>
        <v>5</v>
      </c>
      <c r="K316" s="289"/>
      <c r="L316" s="289">
        <v>0.92</v>
      </c>
      <c r="M316" s="287">
        <v>2.1</v>
      </c>
      <c r="N316" s="288" cm="1">
        <f t="array" aca="1" ref="N316" ca="1">INDIRECT("'"&amp;$C316&amp;"'!"&amp;"$"&amp;$D316&amp;$N$1&amp;"")</f>
        <v>6.5</v>
      </c>
      <c r="O316" s="289"/>
      <c r="P316" s="289">
        <v>0.93</v>
      </c>
      <c r="Q316" s="287">
        <v>2.9</v>
      </c>
      <c r="R316" s="288" cm="1">
        <f t="array" aca="1" ref="R316" ca="1">INDIRECT("'"&amp;$C316&amp;"'!"&amp;"$"&amp;$D316&amp;$R$1&amp;"")</f>
        <v>6.5</v>
      </c>
      <c r="S316" s="289"/>
      <c r="T316" s="289">
        <v>0.91</v>
      </c>
      <c r="U316" s="287">
        <v>2.99</v>
      </c>
      <c r="V316" s="288" cm="1">
        <f t="array" aca="1" ref="V316" ca="1">INDIRECT("'"&amp;$C316&amp;"'!"&amp;"$"&amp;$D316&amp;$V$1&amp;"")</f>
        <v>2.8</v>
      </c>
      <c r="W316" s="289">
        <f>3.8*3.41</f>
        <v>12.958</v>
      </c>
      <c r="X316" s="289">
        <v>0.93</v>
      </c>
      <c r="Y316" s="290">
        <v>0.98</v>
      </c>
      <c r="Z316" s="286" cm="1">
        <f t="array" aca="1" ref="Z316" ca="1">INDIRECT("'"&amp;$C316&amp;"'!"&amp;"$"&amp;$D316&amp;$Z$1&amp;"")</f>
        <v>0</v>
      </c>
      <c r="AA316" s="289" t="s">
        <v>1</v>
      </c>
      <c r="AB316" s="289" t="s">
        <v>1</v>
      </c>
      <c r="AC316" s="287" t="s">
        <v>1</v>
      </c>
      <c r="AD316" s="288" t="str" cm="1">
        <f t="array" aca="1" ref="AD316" ca="1">INDIRECT("'"&amp;$C316&amp;"'!"&amp;"$"&amp;$D316&amp;$AD$1&amp;"")</f>
        <v>CMS</v>
      </c>
      <c r="AE316" s="289" t="s">
        <v>1</v>
      </c>
      <c r="AF316" s="289" t="s">
        <v>1</v>
      </c>
      <c r="AG316" s="290" t="s">
        <v>1</v>
      </c>
      <c r="AH316" s="286" cm="1">
        <f t="array" aca="1" ref="AH316" ca="1">INDIRECT("'"&amp;$C316&amp;"'!"&amp;"$"&amp;$D316&amp;$AH$1&amp;"")</f>
        <v>3.8</v>
      </c>
      <c r="AI316" s="289">
        <v>13.88</v>
      </c>
      <c r="AJ316" s="289">
        <v>0.98</v>
      </c>
      <c r="AK316" s="287">
        <v>0.49</v>
      </c>
      <c r="AL316" s="286">
        <v>11.8</v>
      </c>
      <c r="AM316" s="290">
        <v>70</v>
      </c>
      <c r="AN316" s="286" cm="1">
        <f t="array" aca="1" ref="AN316" ca="1">INDIRECT("'"&amp;$C316&amp;"'!"&amp;"$"&amp;$D316&amp;$AL$1&amp;"")</f>
        <v>4.2</v>
      </c>
      <c r="AO316" s="289">
        <v>0.92</v>
      </c>
      <c r="AP316" s="287">
        <v>1.77</v>
      </c>
      <c r="AQ316" s="288" t="str" cm="1">
        <f t="array" aca="1" ref="AQ316" ca="1">INDIRECT("'"&amp;$C316&amp;"'!"&amp;"$"&amp;$D316&amp;$AQ$1&amp;"")</f>
        <v>CMS</v>
      </c>
      <c r="AR316" s="289" t="s">
        <v>1</v>
      </c>
      <c r="AS316" s="287" t="s">
        <v>1</v>
      </c>
      <c r="AT316" s="289" cm="1">
        <f t="array" aca="1" ref="AT316" ca="1">INDIRECT("'"&amp;$C316&amp;"'!"&amp;"$"&amp;$D316&amp;$AT$1&amp;"")</f>
        <v>4</v>
      </c>
      <c r="AU316" s="288">
        <v>13.79</v>
      </c>
      <c r="AV316" s="289">
        <v>0.92</v>
      </c>
      <c r="AW316" s="287">
        <v>0.78</v>
      </c>
      <c r="AX316" s="291">
        <v>14.03</v>
      </c>
      <c r="AY316" s="290">
        <v>70.92</v>
      </c>
      <c r="AZ316" s="291" cm="1">
        <f t="array" aca="1" ref="AZ316" ca="1">INDIRECT("'"&amp;$C316&amp;"'!"&amp;"$"&amp;$D316&amp;$AZ$1&amp;"")</f>
        <v>14.27</v>
      </c>
      <c r="BA316" s="289">
        <v>0.99</v>
      </c>
      <c r="BB316" s="287">
        <v>2.4</v>
      </c>
      <c r="BC316" s="292">
        <v>67.400000000000006</v>
      </c>
      <c r="BD316" s="286" cm="1">
        <f t="array" aca="1" ref="BD316" ca="1">INDIRECT("'"&amp;$C316&amp;"'!"&amp;"$"&amp;$D316&amp;$BC$1&amp;"")</f>
        <v>1.4</v>
      </c>
      <c r="BE316" s="288">
        <v>0.96</v>
      </c>
      <c r="BF316" s="287">
        <v>0.4</v>
      </c>
      <c r="BG316" s="291" cm="1">
        <f t="array" aca="1" ref="BG316" ca="1">INDIRECT("'"&amp;$C316&amp;"'!"&amp;"$"&amp;$D316&amp;$BG$1&amp;"")</f>
        <v>1.25</v>
      </c>
      <c r="BH316" s="289"/>
      <c r="BI316" s="289">
        <v>0.99</v>
      </c>
      <c r="BJ316" s="287">
        <v>0.18</v>
      </c>
      <c r="BK316" s="292" cm="1">
        <f t="array" aca="1" ref="BK316" ca="1">INDIRECT("'"&amp;$C316&amp;"'!"&amp;"$"&amp;$D316&amp;$BK$1&amp;"")</f>
        <v>0.83</v>
      </c>
      <c r="BL316" s="289"/>
      <c r="BM316" s="289">
        <v>0.97</v>
      </c>
      <c r="BN316" s="287">
        <v>0.25</v>
      </c>
      <c r="BO316" s="292" cm="1">
        <f t="array" aca="1" ref="BO316" ca="1">INDIRECT("'"&amp;$C316&amp;"'!"&amp;"$"&amp;$D316&amp;74&amp;"")</f>
        <v>0</v>
      </c>
      <c r="BP316" s="289"/>
      <c r="BQ316" s="289" t="s">
        <v>1</v>
      </c>
      <c r="BR316" s="287" t="s">
        <v>1</v>
      </c>
    </row>
    <row r="317" spans="1:70">
      <c r="A317" s="361">
        <v>45760</v>
      </c>
      <c r="B317" s="358">
        <v>0.5</v>
      </c>
      <c r="C317" s="313">
        <f t="shared" si="11"/>
        <v>13</v>
      </c>
      <c r="D317" s="314" t="s">
        <v>139</v>
      </c>
      <c r="E317" s="293">
        <v>14.2</v>
      </c>
      <c r="F317" s="294">
        <v>69.09</v>
      </c>
      <c r="G317" s="295" cm="1">
        <f t="array" aca="1" ref="G317" ca="1">INDIRECT("'"&amp;$C317&amp;"'!"&amp;"$"&amp;$D317&amp;$E$1&amp;"")</f>
        <v>6.5</v>
      </c>
      <c r="H317" s="296">
        <v>0.92</v>
      </c>
      <c r="I317" s="294">
        <v>2.63</v>
      </c>
      <c r="J317" s="295" t="str" cm="1">
        <f t="array" aca="1" ref="J317" ca="1">INDIRECT("'"&amp;$C317&amp;"'!"&amp;"$"&amp;$D317&amp;$J$1&amp;"")</f>
        <v>CMS</v>
      </c>
      <c r="K317" s="296"/>
      <c r="L317" s="296" t="s">
        <v>1</v>
      </c>
      <c r="M317" s="294" t="s">
        <v>1</v>
      </c>
      <c r="N317" s="295" cm="1">
        <f t="array" aca="1" ref="N317" ca="1">INDIRECT("'"&amp;$C317&amp;"'!"&amp;"$"&amp;$D317&amp;$N$1&amp;"")</f>
        <v>6.4</v>
      </c>
      <c r="O317" s="296"/>
      <c r="P317" s="296">
        <v>0.93</v>
      </c>
      <c r="Q317" s="294">
        <v>2.67</v>
      </c>
      <c r="R317" s="295" cm="1">
        <f t="array" aca="1" ref="R317" ca="1">INDIRECT("'"&amp;$C317&amp;"'!"&amp;"$"&amp;$D317&amp;$R$1&amp;"")</f>
        <v>6.7</v>
      </c>
      <c r="S317" s="296"/>
      <c r="T317" s="296">
        <v>0.95</v>
      </c>
      <c r="U317" s="294">
        <v>2.1800000000000002</v>
      </c>
      <c r="V317" s="295" cm="1">
        <f t="array" aca="1" ref="V317" ca="1">INDIRECT("'"&amp;$C317&amp;"'!"&amp;"$"&amp;$D317&amp;$V$1&amp;"")</f>
        <v>2.8</v>
      </c>
      <c r="W317" s="296">
        <f>3.8*3.49</f>
        <v>13.262</v>
      </c>
      <c r="X317" s="296">
        <v>0.91</v>
      </c>
      <c r="Y317" s="297">
        <v>1.1499999999999999</v>
      </c>
      <c r="Z317" s="293" cm="1">
        <f t="array" aca="1" ref="Z317" ca="1">INDIRECT("'"&amp;$C317&amp;"'!"&amp;"$"&amp;$D317&amp;$Z$1&amp;"")</f>
        <v>0</v>
      </c>
      <c r="AA317" s="296" t="s">
        <v>1</v>
      </c>
      <c r="AB317" s="296" t="s">
        <v>1</v>
      </c>
      <c r="AC317" s="294" t="s">
        <v>1</v>
      </c>
      <c r="AD317" s="295" cm="1">
        <f t="array" aca="1" ref="AD317" ca="1">INDIRECT("'"&amp;$C317&amp;"'!"&amp;"$"&amp;$D317&amp;$AD$1&amp;"")</f>
        <v>2.8</v>
      </c>
      <c r="AE317" s="296">
        <f>3.8*3.49</f>
        <v>13.262</v>
      </c>
      <c r="AF317" s="296">
        <v>0.92</v>
      </c>
      <c r="AG317" s="297">
        <v>1.01</v>
      </c>
      <c r="AH317" s="293" cm="1">
        <f t="array" aca="1" ref="AH317" ca="1">INDIRECT("'"&amp;$C317&amp;"'!"&amp;"$"&amp;$D317&amp;$AH$1&amp;"")</f>
        <v>3.8</v>
      </c>
      <c r="AI317" s="296">
        <v>13.96</v>
      </c>
      <c r="AJ317" s="296">
        <v>0.99</v>
      </c>
      <c r="AK317" s="294">
        <v>0.18</v>
      </c>
      <c r="AL317" s="293">
        <v>11.9</v>
      </c>
      <c r="AM317" s="297">
        <v>70.400000000000006</v>
      </c>
      <c r="AN317" s="293" cm="1">
        <f t="array" aca="1" ref="AN317" ca="1">INDIRECT("'"&amp;$C317&amp;"'!"&amp;"$"&amp;$D317&amp;$AL$1&amp;"")</f>
        <v>4</v>
      </c>
      <c r="AO317" s="296">
        <v>0.95</v>
      </c>
      <c r="AP317" s="294">
        <v>1.2729999999999999</v>
      </c>
      <c r="AQ317" s="295" t="str" cm="1">
        <f t="array" aca="1" ref="AQ317" ca="1">INDIRECT("'"&amp;$C317&amp;"'!"&amp;"$"&amp;$D317&amp;$AQ$1&amp;"")</f>
        <v>CMS</v>
      </c>
      <c r="AR317" s="296" t="s">
        <v>1</v>
      </c>
      <c r="AS317" s="294" t="s">
        <v>1</v>
      </c>
      <c r="AT317" s="296" cm="1">
        <f t="array" aca="1" ref="AT317" ca="1">INDIRECT("'"&amp;$C317&amp;"'!"&amp;"$"&amp;$D317&amp;$AT$1&amp;"")</f>
        <v>4.4000000000000004</v>
      </c>
      <c r="AU317" s="295">
        <v>13.83</v>
      </c>
      <c r="AV317" s="296">
        <v>0.97</v>
      </c>
      <c r="AW317" s="294">
        <v>1.01</v>
      </c>
      <c r="AX317" s="298">
        <v>14.22</v>
      </c>
      <c r="AY317" s="297">
        <v>71.650000000000006</v>
      </c>
      <c r="AZ317" s="298" cm="1">
        <f t="array" aca="1" ref="AZ317" ca="1">INDIRECT("'"&amp;$C317&amp;"'!"&amp;"$"&amp;$D317&amp;$AZ$1&amp;"")</f>
        <v>14.27</v>
      </c>
      <c r="BA317" s="296">
        <v>0.98</v>
      </c>
      <c r="BB317" s="294">
        <v>3.5</v>
      </c>
      <c r="BC317" s="299">
        <v>67.7</v>
      </c>
      <c r="BD317" s="293" cm="1">
        <f t="array" aca="1" ref="BD317" ca="1">INDIRECT("'"&amp;$C317&amp;"'!"&amp;"$"&amp;$D317&amp;$BC$1&amp;"")</f>
        <v>1.2999999999999998</v>
      </c>
      <c r="BE317" s="295">
        <v>0.96</v>
      </c>
      <c r="BF317" s="294">
        <v>0.37</v>
      </c>
      <c r="BG317" s="298" cm="1">
        <f t="array" aca="1" ref="BG317" ca="1">INDIRECT("'"&amp;$C317&amp;"'!"&amp;"$"&amp;$D317&amp;$BG$1&amp;"")</f>
        <v>1.08</v>
      </c>
      <c r="BH317" s="296"/>
      <c r="BI317" s="296">
        <v>0.99</v>
      </c>
      <c r="BJ317" s="294">
        <v>0.16</v>
      </c>
      <c r="BK317" s="299" cm="1">
        <f t="array" aca="1" ref="BK317" ca="1">INDIRECT("'"&amp;$C317&amp;"'!"&amp;"$"&amp;$D317&amp;$BK$1&amp;"")</f>
        <v>0.86</v>
      </c>
      <c r="BL317" s="296"/>
      <c r="BM317" s="296">
        <v>0.96</v>
      </c>
      <c r="BN317" s="294">
        <v>0.24</v>
      </c>
      <c r="BO317" s="299" cm="1">
        <f t="array" aca="1" ref="BO317" ca="1">INDIRECT("'"&amp;$C317&amp;"'!"&amp;"$"&amp;$D317&amp;74&amp;"")</f>
        <v>0</v>
      </c>
      <c r="BP317" s="296"/>
      <c r="BQ317" s="296" t="s">
        <v>1</v>
      </c>
      <c r="BR317" s="294" t="s">
        <v>1</v>
      </c>
    </row>
    <row r="318" spans="1:70">
      <c r="A318" s="361">
        <v>45760</v>
      </c>
      <c r="B318" s="358">
        <v>0.54166666666666696</v>
      </c>
      <c r="C318" s="313">
        <f t="shared" si="11"/>
        <v>13</v>
      </c>
      <c r="D318" s="314" t="s">
        <v>140</v>
      </c>
      <c r="E318" s="286">
        <v>14.2</v>
      </c>
      <c r="F318" s="287">
        <v>69.349999999999994</v>
      </c>
      <c r="G318" s="288" cm="1">
        <f t="array" aca="1" ref="G318" ca="1">INDIRECT("'"&amp;$C318&amp;"'!"&amp;"$"&amp;$D318&amp;$E$1&amp;"")</f>
        <v>6.8</v>
      </c>
      <c r="H318" s="289">
        <v>0.92</v>
      </c>
      <c r="I318" s="287">
        <v>2.82</v>
      </c>
      <c r="J318" s="288" t="str" cm="1">
        <f t="array" aca="1" ref="J318" ca="1">INDIRECT("'"&amp;$C318&amp;"'!"&amp;"$"&amp;$D318&amp;$J$1&amp;"")</f>
        <v>CMS</v>
      </c>
      <c r="K318" s="289"/>
      <c r="L318" s="289" t="s">
        <v>1</v>
      </c>
      <c r="M318" s="287" t="s">
        <v>1</v>
      </c>
      <c r="N318" s="288" cm="1">
        <f t="array" aca="1" ref="N318" ca="1">INDIRECT("'"&amp;$C318&amp;"'!"&amp;"$"&amp;$D318&amp;$N$1&amp;"")</f>
        <v>6.8</v>
      </c>
      <c r="O318" s="289"/>
      <c r="P318" s="289">
        <v>0.92</v>
      </c>
      <c r="Q318" s="287">
        <v>2.83</v>
      </c>
      <c r="R318" s="288" cm="1">
        <f t="array" aca="1" ref="R318" ca="1">INDIRECT("'"&amp;$C318&amp;"'!"&amp;"$"&amp;$D318&amp;$R$1&amp;"")</f>
        <v>6.8</v>
      </c>
      <c r="S318" s="289"/>
      <c r="T318" s="289">
        <v>0.94</v>
      </c>
      <c r="U318" s="287">
        <v>2.4700000000000002</v>
      </c>
      <c r="V318" s="288" cm="1">
        <f t="array" aca="1" ref="V318" ca="1">INDIRECT("'"&amp;$C318&amp;"'!"&amp;"$"&amp;$D318&amp;$V$1&amp;"")</f>
        <v>2.8</v>
      </c>
      <c r="W318" s="289">
        <f>3.8*3.51</f>
        <v>13.337999999999999</v>
      </c>
      <c r="X318" s="289">
        <v>0.92</v>
      </c>
      <c r="Y318" s="290">
        <v>1.0900000000000001</v>
      </c>
      <c r="Z318" s="286" cm="1">
        <f t="array" aca="1" ref="Z318" ca="1">INDIRECT("'"&amp;$C318&amp;"'!"&amp;"$"&amp;$D318&amp;$Z$1&amp;"")</f>
        <v>0</v>
      </c>
      <c r="AA318" s="289" t="s">
        <v>1</v>
      </c>
      <c r="AB318" s="289" t="s">
        <v>1</v>
      </c>
      <c r="AC318" s="287" t="s">
        <v>1</v>
      </c>
      <c r="AD318" s="288" cm="1">
        <f t="array" aca="1" ref="AD318" ca="1">INDIRECT("'"&amp;$C318&amp;"'!"&amp;"$"&amp;$D318&amp;$AD$1&amp;"")</f>
        <v>3.8</v>
      </c>
      <c r="AE318" s="289">
        <f>3.8*3.51</f>
        <v>13.337999999999999</v>
      </c>
      <c r="AF318" s="289">
        <v>0.93</v>
      </c>
      <c r="AG318" s="290">
        <v>1.48</v>
      </c>
      <c r="AH318" s="286" cm="1">
        <f t="array" aca="1" ref="AH318" ca="1">INDIRECT("'"&amp;$C318&amp;"'!"&amp;"$"&amp;$D318&amp;$AH$1&amp;"")</f>
        <v>3.8</v>
      </c>
      <c r="AI318" s="289">
        <v>13.96</v>
      </c>
      <c r="AJ318" s="289">
        <v>0.99</v>
      </c>
      <c r="AK318" s="287">
        <v>0.16300000000000001</v>
      </c>
      <c r="AL318" s="286">
        <v>11.9</v>
      </c>
      <c r="AM318" s="290">
        <v>70.5</v>
      </c>
      <c r="AN318" s="286" cm="1">
        <f t="array" aca="1" ref="AN318" ca="1">INDIRECT("'"&amp;$C318&amp;"'!"&amp;"$"&amp;$D318&amp;$AL$1&amp;"")</f>
        <v>4.2</v>
      </c>
      <c r="AO318" s="289">
        <v>0.96</v>
      </c>
      <c r="AP318" s="287">
        <v>1.1559999999999999</v>
      </c>
      <c r="AQ318" s="288" t="str" cm="1">
        <f t="array" aca="1" ref="AQ318" ca="1">INDIRECT("'"&amp;$C318&amp;"'!"&amp;"$"&amp;$D318&amp;$AQ$1&amp;"")</f>
        <v>CMS</v>
      </c>
      <c r="AR318" s="289" t="s">
        <v>1</v>
      </c>
      <c r="AS318" s="287" t="s">
        <v>1</v>
      </c>
      <c r="AT318" s="289" cm="1">
        <f t="array" aca="1" ref="AT318" ca="1">INDIRECT("'"&amp;$C318&amp;"'!"&amp;"$"&amp;$D318&amp;$AT$1&amp;"")</f>
        <v>3.6</v>
      </c>
      <c r="AU318" s="288">
        <v>13.84</v>
      </c>
      <c r="AV318" s="289">
        <v>0.96</v>
      </c>
      <c r="AW318" s="287">
        <v>0.77</v>
      </c>
      <c r="AX318" s="291">
        <v>14.25</v>
      </c>
      <c r="AY318" s="290">
        <v>71.650000000000006</v>
      </c>
      <c r="AZ318" s="291" cm="1">
        <f t="array" aca="1" ref="AZ318" ca="1">INDIRECT("'"&amp;$C318&amp;"'!"&amp;"$"&amp;$D318&amp;$AZ$1&amp;"")</f>
        <v>14.28</v>
      </c>
      <c r="BA318" s="289">
        <v>0.98</v>
      </c>
      <c r="BB318" s="287">
        <v>3.5</v>
      </c>
      <c r="BC318" s="292">
        <v>68.2</v>
      </c>
      <c r="BD318" s="286" cm="1">
        <f t="array" aca="1" ref="BD318" ca="1">INDIRECT("'"&amp;$C318&amp;"'!"&amp;"$"&amp;$D318&amp;$BC$1&amp;"")</f>
        <v>1.4</v>
      </c>
      <c r="BE318" s="288">
        <v>0.96</v>
      </c>
      <c r="BF318" s="287">
        <v>0.4</v>
      </c>
      <c r="BG318" s="291" cm="1">
        <f t="array" aca="1" ref="BG318" ca="1">INDIRECT("'"&amp;$C318&amp;"'!"&amp;"$"&amp;$D318&amp;$BG$1&amp;"")</f>
        <v>1.22</v>
      </c>
      <c r="BH318" s="289"/>
      <c r="BI318" s="289">
        <v>0.99</v>
      </c>
      <c r="BJ318" s="287">
        <v>0.18</v>
      </c>
      <c r="BK318" s="292" cm="1">
        <f t="array" aca="1" ref="BK318" ca="1">INDIRECT("'"&amp;$C318&amp;"'!"&amp;"$"&amp;$D318&amp;$BK$1&amp;"")</f>
        <v>0.82</v>
      </c>
      <c r="BL318" s="289"/>
      <c r="BM318" s="289">
        <v>0.97</v>
      </c>
      <c r="BN318" s="287">
        <v>0.25</v>
      </c>
      <c r="BO318" s="292" cm="1">
        <f t="array" aca="1" ref="BO318" ca="1">INDIRECT("'"&amp;$C318&amp;"'!"&amp;"$"&amp;$D318&amp;74&amp;"")</f>
        <v>0</v>
      </c>
      <c r="BP318" s="289"/>
      <c r="BQ318" s="289" t="s">
        <v>1</v>
      </c>
      <c r="BR318" s="287" t="s">
        <v>1</v>
      </c>
    </row>
    <row r="319" spans="1:70">
      <c r="A319" s="361">
        <v>45760</v>
      </c>
      <c r="B319" s="358">
        <v>0.58333333333333404</v>
      </c>
      <c r="C319" s="313">
        <f t="shared" si="11"/>
        <v>13</v>
      </c>
      <c r="D319" s="314" t="s">
        <v>141</v>
      </c>
      <c r="E319" s="293">
        <v>14.2</v>
      </c>
      <c r="F319" s="294">
        <v>68.97</v>
      </c>
      <c r="G319" s="295" cm="1">
        <f t="array" aca="1" ref="G319" ca="1">INDIRECT("'"&amp;$C319&amp;"'!"&amp;"$"&amp;$D319&amp;$E$1&amp;"")</f>
        <v>4.5</v>
      </c>
      <c r="H319" s="296">
        <v>0.94</v>
      </c>
      <c r="I319" s="294">
        <v>1.73</v>
      </c>
      <c r="J319" s="295" cm="1">
        <f t="array" aca="1" ref="J319" ca="1">INDIRECT("'"&amp;$C319&amp;"'!"&amp;"$"&amp;$D319&amp;$J$1&amp;"")</f>
        <v>2.8</v>
      </c>
      <c r="K319" s="296"/>
      <c r="L319" s="296">
        <v>0.94</v>
      </c>
      <c r="M319" s="294">
        <v>1.29</v>
      </c>
      <c r="N319" s="295" cm="1">
        <f t="array" aca="1" ref="N319" ca="1">INDIRECT("'"&amp;$C319&amp;"'!"&amp;"$"&amp;$D319&amp;$N$1&amp;"")</f>
        <v>6.3</v>
      </c>
      <c r="O319" s="296"/>
      <c r="P319" s="296">
        <v>0.92</v>
      </c>
      <c r="Q319" s="294">
        <v>2.61</v>
      </c>
      <c r="R319" s="295" cm="1">
        <f t="array" aca="1" ref="R319" ca="1">INDIRECT("'"&amp;$C319&amp;"'!"&amp;"$"&amp;$D319&amp;$R$1&amp;"")</f>
        <v>6.4</v>
      </c>
      <c r="S319" s="296"/>
      <c r="T319" s="296">
        <v>0.91</v>
      </c>
      <c r="U319" s="294">
        <v>2.91</v>
      </c>
      <c r="V319" s="295" cm="1">
        <f t="array" aca="1" ref="V319" ca="1">INDIRECT("'"&amp;$C319&amp;"'!"&amp;"$"&amp;$D319&amp;$V$1&amp;"")</f>
        <v>2.8</v>
      </c>
      <c r="W319" s="296">
        <f>3.8*3.48</f>
        <v>13.224</v>
      </c>
      <c r="X319" s="296">
        <v>0.92</v>
      </c>
      <c r="Y319" s="297">
        <v>1.07</v>
      </c>
      <c r="Z319" s="293" cm="1">
        <f t="array" aca="1" ref="Z319" ca="1">INDIRECT("'"&amp;$C319&amp;"'!"&amp;"$"&amp;$D319&amp;$Z$1&amp;"")</f>
        <v>0</v>
      </c>
      <c r="AA319" s="296" t="s">
        <v>1</v>
      </c>
      <c r="AB319" s="296" t="s">
        <v>1</v>
      </c>
      <c r="AC319" s="294" t="s">
        <v>1</v>
      </c>
      <c r="AD319" s="295" cm="1">
        <f t="array" aca="1" ref="AD319" ca="1">INDIRECT("'"&amp;$C319&amp;"'!"&amp;"$"&amp;$D319&amp;$AD$1&amp;"")</f>
        <v>3.8</v>
      </c>
      <c r="AE319" s="296">
        <f>3.8*3.48</f>
        <v>13.224</v>
      </c>
      <c r="AF319" s="296">
        <v>0.92</v>
      </c>
      <c r="AG319" s="297">
        <v>1.6</v>
      </c>
      <c r="AH319" s="293" cm="1">
        <f t="array" aca="1" ref="AH319" ca="1">INDIRECT("'"&amp;$C319&amp;"'!"&amp;"$"&amp;$D319&amp;$AH$1&amp;"")</f>
        <v>3.8</v>
      </c>
      <c r="AI319" s="296">
        <v>13.96</v>
      </c>
      <c r="AJ319" s="296">
        <v>0.99</v>
      </c>
      <c r="AK319" s="294">
        <v>0.157</v>
      </c>
      <c r="AL319" s="293">
        <v>11.8</v>
      </c>
      <c r="AM319" s="297">
        <v>70.400000000000006</v>
      </c>
      <c r="AN319" s="293" cm="1">
        <f t="array" aca="1" ref="AN319" ca="1">INDIRECT("'"&amp;$C319&amp;"'!"&amp;"$"&amp;$D319&amp;$AL$1&amp;"")</f>
        <v>4.0999999999999996</v>
      </c>
      <c r="AO319" s="296">
        <v>0.95</v>
      </c>
      <c r="AP319" s="294">
        <v>1.2729999999999999</v>
      </c>
      <c r="AQ319" s="295" t="str" cm="1">
        <f t="array" aca="1" ref="AQ319" ca="1">INDIRECT("'"&amp;$C319&amp;"'!"&amp;"$"&amp;$D319&amp;$AQ$1&amp;"")</f>
        <v>CMS</v>
      </c>
      <c r="AR319" s="296" t="s">
        <v>1</v>
      </c>
      <c r="AS319" s="294" t="s">
        <v>1</v>
      </c>
      <c r="AT319" s="296" cm="1">
        <f t="array" aca="1" ref="AT319" ca="1">INDIRECT("'"&amp;$C319&amp;"'!"&amp;"$"&amp;$D319&amp;$AT$1&amp;"")</f>
        <v>6.1</v>
      </c>
      <c r="AU319" s="295">
        <v>13.84</v>
      </c>
      <c r="AV319" s="296">
        <v>0.97</v>
      </c>
      <c r="AW319" s="294">
        <v>1.37</v>
      </c>
      <c r="AX319" s="298">
        <v>14.24</v>
      </c>
      <c r="AY319" s="297">
        <v>71.61</v>
      </c>
      <c r="AZ319" s="298" cm="1">
        <f t="array" aca="1" ref="AZ319" ca="1">INDIRECT("'"&amp;$C319&amp;"'!"&amp;"$"&amp;$D319&amp;$AZ$1&amp;"")</f>
        <v>14.26</v>
      </c>
      <c r="BA319" s="296">
        <v>0.98</v>
      </c>
      <c r="BB319" s="294">
        <v>3.5</v>
      </c>
      <c r="BC319" s="299">
        <v>67.7</v>
      </c>
      <c r="BD319" s="293" cm="1">
        <f t="array" aca="1" ref="BD319" ca="1">INDIRECT("'"&amp;$C319&amp;"'!"&amp;"$"&amp;$D319&amp;$BC$1&amp;"")</f>
        <v>1.4</v>
      </c>
      <c r="BE319" s="295">
        <v>0.96</v>
      </c>
      <c r="BF319" s="294">
        <v>0.41</v>
      </c>
      <c r="BG319" s="298" cm="1">
        <f t="array" aca="1" ref="BG319" ca="1">INDIRECT("'"&amp;$C319&amp;"'!"&amp;"$"&amp;$D319&amp;$BG$1&amp;"")</f>
        <v>1.21</v>
      </c>
      <c r="BH319" s="296"/>
      <c r="BI319" s="296">
        <v>0.99</v>
      </c>
      <c r="BJ319" s="294">
        <v>0.19</v>
      </c>
      <c r="BK319" s="299" cm="1">
        <f t="array" aca="1" ref="BK319" ca="1">INDIRECT("'"&amp;$C319&amp;"'!"&amp;"$"&amp;$D319&amp;$BK$1&amp;"")</f>
        <v>0.75</v>
      </c>
      <c r="BL319" s="296"/>
      <c r="BM319" s="296">
        <v>0.96</v>
      </c>
      <c r="BN319" s="294">
        <v>0.21</v>
      </c>
      <c r="BO319" s="299" cm="1">
        <f t="array" aca="1" ref="BO319" ca="1">INDIRECT("'"&amp;$C319&amp;"'!"&amp;"$"&amp;$D319&amp;74&amp;"")</f>
        <v>0</v>
      </c>
      <c r="BP319" s="296"/>
      <c r="BQ319" s="296" t="s">
        <v>1</v>
      </c>
      <c r="BR319" s="294" t="s">
        <v>1</v>
      </c>
    </row>
    <row r="320" spans="1:70">
      <c r="A320" s="361">
        <v>45760</v>
      </c>
      <c r="B320" s="358">
        <v>0.625</v>
      </c>
      <c r="C320" s="313">
        <f t="shared" si="11"/>
        <v>13</v>
      </c>
      <c r="D320" s="314" t="s">
        <v>142</v>
      </c>
      <c r="E320" s="286">
        <v>14.2</v>
      </c>
      <c r="F320" s="287">
        <v>69.069999999999993</v>
      </c>
      <c r="G320" s="288" cm="1">
        <f t="array" aca="1" ref="G320" ca="1">INDIRECT("'"&amp;$C320&amp;"'!"&amp;"$"&amp;$D320&amp;$E$1&amp;"")</f>
        <v>0</v>
      </c>
      <c r="H320" s="289" t="s">
        <v>1</v>
      </c>
      <c r="I320" s="287" t="s">
        <v>1</v>
      </c>
      <c r="J320" s="288" cm="1">
        <f t="array" aca="1" ref="J320" ca="1">INDIRECT("'"&amp;$C320&amp;"'!"&amp;"$"&amp;$D320&amp;$J$1&amp;"")</f>
        <v>6.8</v>
      </c>
      <c r="K320" s="289"/>
      <c r="L320" s="289">
        <v>0.92</v>
      </c>
      <c r="M320" s="287">
        <v>2.82</v>
      </c>
      <c r="N320" s="288" cm="1">
        <f t="array" aca="1" ref="N320" ca="1">INDIRECT("'"&amp;$C320&amp;"'!"&amp;"$"&amp;$D320&amp;$N$1&amp;"")</f>
        <v>6.8</v>
      </c>
      <c r="O320" s="289"/>
      <c r="P320" s="289">
        <v>0.92</v>
      </c>
      <c r="Q320" s="287">
        <v>2.83</v>
      </c>
      <c r="R320" s="288" cm="1">
        <f t="array" aca="1" ref="R320" ca="1">INDIRECT("'"&amp;$C320&amp;"'!"&amp;"$"&amp;$D320&amp;$R$1&amp;"")</f>
        <v>6.8</v>
      </c>
      <c r="S320" s="289"/>
      <c r="T320" s="289">
        <v>0.94</v>
      </c>
      <c r="U320" s="287">
        <v>2.42</v>
      </c>
      <c r="V320" s="288" cm="1">
        <f t="array" aca="1" ref="V320" ca="1">INDIRECT("'"&amp;$C320&amp;"'!"&amp;"$"&amp;$D320&amp;$V$1&amp;"")</f>
        <v>2.8</v>
      </c>
      <c r="W320" s="289">
        <f>3.8*3.49</f>
        <v>13.262</v>
      </c>
      <c r="X320" s="289">
        <v>0.92</v>
      </c>
      <c r="Y320" s="290">
        <v>1.08</v>
      </c>
      <c r="Z320" s="286" cm="1">
        <f t="array" aca="1" ref="Z320" ca="1">INDIRECT("'"&amp;$C320&amp;"'!"&amp;"$"&amp;$D320&amp;$Z$1&amp;"")</f>
        <v>0</v>
      </c>
      <c r="AA320" s="289" t="s">
        <v>1</v>
      </c>
      <c r="AB320" s="289" t="s">
        <v>1</v>
      </c>
      <c r="AC320" s="287" t="s">
        <v>1</v>
      </c>
      <c r="AD320" s="288" cm="1">
        <f t="array" aca="1" ref="AD320" ca="1">INDIRECT("'"&amp;$C320&amp;"'!"&amp;"$"&amp;$D320&amp;$AD$1&amp;"")</f>
        <v>3.8</v>
      </c>
      <c r="AE320" s="289">
        <f>3.8*3.49</f>
        <v>13.262</v>
      </c>
      <c r="AF320" s="289">
        <v>0.92</v>
      </c>
      <c r="AG320" s="290">
        <v>1.7</v>
      </c>
      <c r="AH320" s="286" cm="1">
        <f t="array" aca="1" ref="AH320" ca="1">INDIRECT("'"&amp;$C320&amp;"'!"&amp;"$"&amp;$D320&amp;$AH$1&amp;"")</f>
        <v>3.8</v>
      </c>
      <c r="AI320" s="289">
        <v>13.92</v>
      </c>
      <c r="AJ320" s="289">
        <v>0.99</v>
      </c>
      <c r="AK320" s="287">
        <v>0.17</v>
      </c>
      <c r="AL320" s="286">
        <v>11.9</v>
      </c>
      <c r="AM320" s="290">
        <v>70.5</v>
      </c>
      <c r="AN320" s="286" cm="1">
        <f t="array" aca="1" ref="AN320" ca="1">INDIRECT("'"&amp;$C320&amp;"'!"&amp;"$"&amp;$D320&amp;$AL$1&amp;"")</f>
        <v>4.3</v>
      </c>
      <c r="AO320" s="289">
        <v>0.95</v>
      </c>
      <c r="AP320" s="287">
        <v>1.2470000000000001</v>
      </c>
      <c r="AQ320" s="288" t="str" cm="1">
        <f t="array" aca="1" ref="AQ320" ca="1">INDIRECT("'"&amp;$C320&amp;"'!"&amp;"$"&amp;$D320&amp;$AQ$1&amp;"")</f>
        <v>CMS</v>
      </c>
      <c r="AR320" s="289" t="s">
        <v>1</v>
      </c>
      <c r="AS320" s="287" t="s">
        <v>1</v>
      </c>
      <c r="AT320" s="289" cm="1">
        <f t="array" aca="1" ref="AT320" ca="1">INDIRECT("'"&amp;$C320&amp;"'!"&amp;"$"&amp;$D320&amp;$AT$1&amp;"")</f>
        <v>5.8</v>
      </c>
      <c r="AU320" s="288">
        <v>13.84</v>
      </c>
      <c r="AV320" s="289">
        <v>0.97</v>
      </c>
      <c r="AW320" s="287">
        <v>1.37</v>
      </c>
      <c r="AX320" s="291">
        <v>14.25</v>
      </c>
      <c r="AY320" s="290">
        <v>71.67</v>
      </c>
      <c r="AZ320" s="291" cm="1">
        <f t="array" aca="1" ref="AZ320" ca="1">INDIRECT("'"&amp;$C320&amp;"'!"&amp;"$"&amp;$D320&amp;$AZ$1&amp;"")</f>
        <v>14.29</v>
      </c>
      <c r="BA320" s="289">
        <v>0.98</v>
      </c>
      <c r="BB320" s="287">
        <v>3.49</v>
      </c>
      <c r="BC320" s="292">
        <v>67.7</v>
      </c>
      <c r="BD320" s="286" cm="1">
        <f t="array" aca="1" ref="BD320" ca="1">INDIRECT("'"&amp;$C320&amp;"'!"&amp;"$"&amp;$D320&amp;$BC$1&amp;"")</f>
        <v>1.4</v>
      </c>
      <c r="BE320" s="288">
        <v>0.96</v>
      </c>
      <c r="BF320" s="287">
        <v>0.4</v>
      </c>
      <c r="BG320" s="291" cm="1">
        <f t="array" aca="1" ref="BG320" ca="1">INDIRECT("'"&amp;$C320&amp;"'!"&amp;"$"&amp;$D320&amp;$BG$1&amp;"")</f>
        <v>1.22</v>
      </c>
      <c r="BH320" s="289"/>
      <c r="BI320" s="289">
        <v>0.99</v>
      </c>
      <c r="BJ320" s="287">
        <v>0.19</v>
      </c>
      <c r="BK320" s="292" cm="1">
        <f t="array" aca="1" ref="BK320" ca="1">INDIRECT("'"&amp;$C320&amp;"'!"&amp;"$"&amp;$D320&amp;$BK$1&amp;"")</f>
        <v>0.76</v>
      </c>
      <c r="BL320" s="289"/>
      <c r="BM320" s="289">
        <v>0.96</v>
      </c>
      <c r="BN320" s="287">
        <v>0.21</v>
      </c>
      <c r="BO320" s="292" cm="1">
        <f t="array" aca="1" ref="BO320" ca="1">INDIRECT("'"&amp;$C320&amp;"'!"&amp;"$"&amp;$D320&amp;74&amp;"")</f>
        <v>0</v>
      </c>
      <c r="BP320" s="289"/>
      <c r="BQ320" s="289" t="s">
        <v>1</v>
      </c>
      <c r="BR320" s="287" t="s">
        <v>1</v>
      </c>
    </row>
    <row r="321" spans="1:70">
      <c r="A321" s="361">
        <v>45760</v>
      </c>
      <c r="B321" s="358">
        <v>0.66666666666666696</v>
      </c>
      <c r="C321" s="313">
        <f t="shared" si="11"/>
        <v>13</v>
      </c>
      <c r="D321" s="314" t="s">
        <v>143</v>
      </c>
      <c r="E321" s="293">
        <v>14.2</v>
      </c>
      <c r="F321" s="294">
        <v>68.95</v>
      </c>
      <c r="G321" s="295" cm="1">
        <f t="array" aca="1" ref="G321" ca="1">INDIRECT("'"&amp;$C321&amp;"'!"&amp;"$"&amp;$D321&amp;$E$1&amp;"")</f>
        <v>0</v>
      </c>
      <c r="H321" s="296" t="s">
        <v>1</v>
      </c>
      <c r="I321" s="294" t="s">
        <v>1</v>
      </c>
      <c r="J321" s="295" cm="1">
        <f t="array" aca="1" ref="J321" ca="1">INDIRECT("'"&amp;$C321&amp;"'!"&amp;"$"&amp;$D321&amp;$J$1&amp;"")</f>
        <v>6.8</v>
      </c>
      <c r="K321" s="296"/>
      <c r="L321" s="296">
        <v>0.92</v>
      </c>
      <c r="M321" s="294">
        <v>2.81</v>
      </c>
      <c r="N321" s="295" cm="1">
        <f t="array" aca="1" ref="N321" ca="1">INDIRECT("'"&amp;$C321&amp;"'!"&amp;"$"&amp;$D321&amp;$N$1&amp;"")</f>
        <v>6.7</v>
      </c>
      <c r="O321" s="296"/>
      <c r="P321" s="296">
        <v>0.92</v>
      </c>
      <c r="Q321" s="294">
        <v>2.78</v>
      </c>
      <c r="R321" s="295" cm="1">
        <f t="array" aca="1" ref="R321" ca="1">INDIRECT("'"&amp;$C321&amp;"'!"&amp;"$"&amp;$D321&amp;$R$1&amp;"")</f>
        <v>6.7</v>
      </c>
      <c r="S321" s="296"/>
      <c r="T321" s="296">
        <v>0.93</v>
      </c>
      <c r="U321" s="294">
        <v>2.58</v>
      </c>
      <c r="V321" s="295" cm="1">
        <f t="array" aca="1" ref="V321" ca="1">INDIRECT("'"&amp;$C321&amp;"'!"&amp;"$"&amp;$D321&amp;$V$1&amp;"")</f>
        <v>2.8</v>
      </c>
      <c r="W321" s="296">
        <f>3.8*3.48</f>
        <v>13.224</v>
      </c>
      <c r="X321" s="296">
        <v>0.9</v>
      </c>
      <c r="Y321" s="297">
        <v>1.0900000000000001</v>
      </c>
      <c r="Z321" s="293" cm="1">
        <f t="array" aca="1" ref="Z321" ca="1">INDIRECT("'"&amp;$C321&amp;"'!"&amp;"$"&amp;$D321&amp;$Z$1&amp;"")</f>
        <v>0</v>
      </c>
      <c r="AA321" s="296" t="s">
        <v>1</v>
      </c>
      <c r="AB321" s="296" t="s">
        <v>1</v>
      </c>
      <c r="AC321" s="294" t="s">
        <v>1</v>
      </c>
      <c r="AD321" s="295" cm="1">
        <f t="array" aca="1" ref="AD321" ca="1">INDIRECT("'"&amp;$C321&amp;"'!"&amp;"$"&amp;$D321&amp;$AD$1&amp;"")</f>
        <v>3.8</v>
      </c>
      <c r="AE321" s="296">
        <f>3.8*3.48</f>
        <v>13.224</v>
      </c>
      <c r="AF321" s="296">
        <v>0.92</v>
      </c>
      <c r="AG321" s="297">
        <v>1.59</v>
      </c>
      <c r="AH321" s="293" cm="1">
        <f t="array" aca="1" ref="AH321" ca="1">INDIRECT("'"&amp;$C321&amp;"'!"&amp;"$"&amp;$D321&amp;$AH$1&amp;"")</f>
        <v>3.8</v>
      </c>
      <c r="AI321" s="296">
        <v>13.96</v>
      </c>
      <c r="AJ321" s="296">
        <v>0.99</v>
      </c>
      <c r="AK321" s="294">
        <v>0.14399999999999999</v>
      </c>
      <c r="AL321" s="293">
        <v>11.9</v>
      </c>
      <c r="AM321" s="297">
        <v>70.400000000000006</v>
      </c>
      <c r="AN321" s="293" cm="1">
        <f t="array" aca="1" ref="AN321" ca="1">INDIRECT("'"&amp;$C321&amp;"'!"&amp;"$"&amp;$D321&amp;$AL$1&amp;"")</f>
        <v>4.2</v>
      </c>
      <c r="AO321" s="296">
        <v>0.95</v>
      </c>
      <c r="AP321" s="294">
        <v>1.2669999999999999</v>
      </c>
      <c r="AQ321" s="295" t="str" cm="1">
        <f t="array" aca="1" ref="AQ321" ca="1">INDIRECT("'"&amp;$C321&amp;"'!"&amp;"$"&amp;$D321&amp;$AQ$1&amp;"")</f>
        <v>CMS</v>
      </c>
      <c r="AR321" s="296" t="s">
        <v>1</v>
      </c>
      <c r="AS321" s="294" t="s">
        <v>1</v>
      </c>
      <c r="AT321" s="296" cm="1">
        <f t="array" aca="1" ref="AT321" ca="1">INDIRECT("'"&amp;$C321&amp;"'!"&amp;"$"&amp;$D321&amp;$AT$1&amp;"")</f>
        <v>5.9</v>
      </c>
      <c r="AU321" s="295">
        <v>13.84</v>
      </c>
      <c r="AV321" s="296">
        <v>0.97</v>
      </c>
      <c r="AW321" s="294">
        <v>1.43</v>
      </c>
      <c r="AX321" s="298">
        <v>14.25</v>
      </c>
      <c r="AY321" s="297">
        <v>71.69</v>
      </c>
      <c r="AZ321" s="298" cm="1">
        <f t="array" aca="1" ref="AZ321" ca="1">INDIRECT("'"&amp;$C321&amp;"'!"&amp;"$"&amp;$D321&amp;$AZ$1&amp;"")</f>
        <v>14.27</v>
      </c>
      <c r="BA321" s="296">
        <v>0.98</v>
      </c>
      <c r="BB321" s="294">
        <v>3.48</v>
      </c>
      <c r="BC321" s="299">
        <v>67.7</v>
      </c>
      <c r="BD321" s="293" cm="1">
        <f t="array" aca="1" ref="BD321" ca="1">INDIRECT("'"&amp;$C321&amp;"'!"&amp;"$"&amp;$D321&amp;$BC$1&amp;"")</f>
        <v>1.4</v>
      </c>
      <c r="BE321" s="295">
        <v>0.96</v>
      </c>
      <c r="BF321" s="294">
        <v>0.41</v>
      </c>
      <c r="BG321" s="298" cm="1">
        <f t="array" aca="1" ref="BG321" ca="1">INDIRECT("'"&amp;$C321&amp;"'!"&amp;"$"&amp;$D321&amp;$BG$1&amp;"")</f>
        <v>1.2</v>
      </c>
      <c r="BH321" s="296"/>
      <c r="BI321" s="296">
        <v>0.99</v>
      </c>
      <c r="BJ321" s="294">
        <v>0.17</v>
      </c>
      <c r="BK321" s="299" cm="1">
        <f t="array" aca="1" ref="BK321" ca="1">INDIRECT("'"&amp;$C321&amp;"'!"&amp;"$"&amp;$D321&amp;$BK$1&amp;"")</f>
        <v>0.82</v>
      </c>
      <c r="BL321" s="296"/>
      <c r="BM321" s="296">
        <v>0.96</v>
      </c>
      <c r="BN321" s="294">
        <v>0.24</v>
      </c>
      <c r="BO321" s="299" cm="1">
        <f t="array" aca="1" ref="BO321" ca="1">INDIRECT("'"&amp;$C321&amp;"'!"&amp;"$"&amp;$D321&amp;74&amp;"")</f>
        <v>0</v>
      </c>
      <c r="BP321" s="296"/>
      <c r="BQ321" s="296" t="s">
        <v>1</v>
      </c>
      <c r="BR321" s="294" t="s">
        <v>1</v>
      </c>
    </row>
    <row r="322" spans="1:70">
      <c r="A322" s="361">
        <v>45760</v>
      </c>
      <c r="B322" s="358">
        <v>0.70833333333333404</v>
      </c>
      <c r="C322" s="313">
        <f t="shared" si="11"/>
        <v>13</v>
      </c>
      <c r="D322" s="314" t="s">
        <v>144</v>
      </c>
      <c r="E322" s="286">
        <v>14.2</v>
      </c>
      <c r="F322" s="287">
        <v>69.23</v>
      </c>
      <c r="G322" s="288" cm="1">
        <f t="array" aca="1" ref="G322" ca="1">INDIRECT("'"&amp;$C322&amp;"'!"&amp;"$"&amp;$D322&amp;$E$1&amp;"")</f>
        <v>0</v>
      </c>
      <c r="H322" s="289" t="s">
        <v>1</v>
      </c>
      <c r="I322" s="287" t="s">
        <v>1</v>
      </c>
      <c r="J322" s="288" cm="1">
        <f t="array" aca="1" ref="J322" ca="1">INDIRECT("'"&amp;$C322&amp;"'!"&amp;"$"&amp;$D322&amp;$J$1&amp;"")</f>
        <v>6.6</v>
      </c>
      <c r="K322" s="289"/>
      <c r="L322" s="289">
        <v>0.93</v>
      </c>
      <c r="M322" s="287">
        <v>2.65</v>
      </c>
      <c r="N322" s="288" cm="1">
        <f t="array" aca="1" ref="N322" ca="1">INDIRECT("'"&amp;$C322&amp;"'!"&amp;"$"&amp;$D322&amp;$N$1&amp;"")</f>
        <v>6.6</v>
      </c>
      <c r="O322" s="289"/>
      <c r="P322" s="289">
        <v>0.93</v>
      </c>
      <c r="Q322" s="287">
        <v>2.66</v>
      </c>
      <c r="R322" s="288" cm="1">
        <f t="array" aca="1" ref="R322" ca="1">INDIRECT("'"&amp;$C322&amp;"'!"&amp;"$"&amp;$D322&amp;$R$1&amp;"")</f>
        <v>6.6</v>
      </c>
      <c r="S322" s="289"/>
      <c r="T322" s="289">
        <v>0.93</v>
      </c>
      <c r="U322" s="287">
        <v>2.66</v>
      </c>
      <c r="V322" s="288" cm="1">
        <f t="array" aca="1" ref="V322" ca="1">INDIRECT("'"&amp;$C322&amp;"'!"&amp;"$"&amp;$D322&amp;$V$1&amp;"")</f>
        <v>2.8</v>
      </c>
      <c r="W322" s="289">
        <f>3.8*3.49</f>
        <v>13.262</v>
      </c>
      <c r="X322" s="289">
        <v>0.93</v>
      </c>
      <c r="Y322" s="290">
        <v>0.98</v>
      </c>
      <c r="Z322" s="286" cm="1">
        <f t="array" aca="1" ref="Z322" ca="1">INDIRECT("'"&amp;$C322&amp;"'!"&amp;"$"&amp;$D322&amp;$Z$1&amp;"")</f>
        <v>0</v>
      </c>
      <c r="AA322" s="289" t="s">
        <v>1</v>
      </c>
      <c r="AB322" s="289" t="s">
        <v>1</v>
      </c>
      <c r="AC322" s="287" t="s">
        <v>1</v>
      </c>
      <c r="AD322" s="288" cm="1">
        <f t="array" aca="1" ref="AD322" ca="1">INDIRECT("'"&amp;$C322&amp;"'!"&amp;"$"&amp;$D322&amp;$AD$1&amp;"")</f>
        <v>3.8</v>
      </c>
      <c r="AE322" s="289">
        <f>3.8*3.49</f>
        <v>13.262</v>
      </c>
      <c r="AF322" s="289">
        <v>0.93</v>
      </c>
      <c r="AG322" s="290">
        <v>1.45</v>
      </c>
      <c r="AH322" s="286" cm="1">
        <f t="array" aca="1" ref="AH322" ca="1">INDIRECT("'"&amp;$C322&amp;"'!"&amp;"$"&amp;$D322&amp;$AH$1&amp;"")</f>
        <v>3.8</v>
      </c>
      <c r="AI322" s="289">
        <v>13.96</v>
      </c>
      <c r="AJ322" s="289">
        <v>1</v>
      </c>
      <c r="AK322" s="287">
        <v>4.2000000000000003E-2</v>
      </c>
      <c r="AL322" s="286">
        <v>11.9</v>
      </c>
      <c r="AM322" s="290">
        <v>70.599999999999994</v>
      </c>
      <c r="AN322" s="286" cm="1">
        <f t="array" aca="1" ref="AN322" ca="1">INDIRECT("'"&amp;$C322&amp;"'!"&amp;"$"&amp;$D322&amp;$AL$1&amp;"")</f>
        <v>4.0999999999999996</v>
      </c>
      <c r="AO322" s="289">
        <v>0.96</v>
      </c>
      <c r="AP322" s="287">
        <v>1.175</v>
      </c>
      <c r="AQ322" s="288" t="str" cm="1">
        <f t="array" aca="1" ref="AQ322" ca="1">INDIRECT("'"&amp;$C322&amp;"'!"&amp;"$"&amp;$D322&amp;$AQ$1&amp;"")</f>
        <v>CMS</v>
      </c>
      <c r="AR322" s="289" t="s">
        <v>1</v>
      </c>
      <c r="AS322" s="287" t="s">
        <v>1</v>
      </c>
      <c r="AT322" s="289" cm="1">
        <f t="array" aca="1" ref="AT322" ca="1">INDIRECT("'"&amp;$C322&amp;"'!"&amp;"$"&amp;$D322&amp;$AT$1&amp;"")</f>
        <v>4.5999999999999996</v>
      </c>
      <c r="AU322" s="288">
        <v>13.86</v>
      </c>
      <c r="AV322" s="289">
        <v>0.96</v>
      </c>
      <c r="AW322" s="287">
        <v>1.23</v>
      </c>
      <c r="AX322" s="291">
        <v>14.27</v>
      </c>
      <c r="AY322" s="290">
        <v>71.84</v>
      </c>
      <c r="AZ322" s="291" cm="1">
        <f t="array" aca="1" ref="AZ322" ca="1">INDIRECT("'"&amp;$C322&amp;"'!"&amp;"$"&amp;$D322&amp;$AZ$1&amp;"")</f>
        <v>14.29</v>
      </c>
      <c r="BA322" s="289">
        <v>0.98</v>
      </c>
      <c r="BB322" s="287">
        <v>3.52</v>
      </c>
      <c r="BC322" s="292">
        <v>68</v>
      </c>
      <c r="BD322" s="286" cm="1">
        <f t="array" aca="1" ref="BD322" ca="1">INDIRECT("'"&amp;$C322&amp;"'!"&amp;"$"&amp;$D322&amp;$BC$1&amp;"")</f>
        <v>1.3</v>
      </c>
      <c r="BE322" s="288">
        <v>0.96</v>
      </c>
      <c r="BF322" s="287">
        <v>0.37</v>
      </c>
      <c r="BG322" s="291" cm="1">
        <f t="array" aca="1" ref="BG322" ca="1">INDIRECT("'"&amp;$C322&amp;"'!"&amp;"$"&amp;$D322&amp;$BG$1&amp;"")</f>
        <v>1.22</v>
      </c>
      <c r="BH322" s="289"/>
      <c r="BI322" s="289">
        <v>0.99</v>
      </c>
      <c r="BJ322" s="287">
        <v>0.21</v>
      </c>
      <c r="BK322" s="292" cm="1">
        <f t="array" aca="1" ref="BK322" ca="1">INDIRECT("'"&amp;$C322&amp;"'!"&amp;"$"&amp;$D322&amp;$BK$1&amp;"")</f>
        <v>0.81</v>
      </c>
      <c r="BL322" s="289"/>
      <c r="BM322" s="289">
        <v>0.96</v>
      </c>
      <c r="BN322" s="287">
        <v>0.23</v>
      </c>
      <c r="BO322" s="292" cm="1">
        <f t="array" aca="1" ref="BO322" ca="1">INDIRECT("'"&amp;$C322&amp;"'!"&amp;"$"&amp;$D322&amp;74&amp;"")</f>
        <v>0</v>
      </c>
      <c r="BP322" s="289"/>
      <c r="BQ322" s="289" t="s">
        <v>1</v>
      </c>
      <c r="BR322" s="287" t="s">
        <v>1</v>
      </c>
    </row>
    <row r="323" spans="1:70">
      <c r="A323" s="361">
        <v>45760</v>
      </c>
      <c r="B323" s="358">
        <v>0.750000000000001</v>
      </c>
      <c r="C323" s="313">
        <f t="shared" si="11"/>
        <v>13</v>
      </c>
      <c r="D323" s="314" t="s">
        <v>145</v>
      </c>
      <c r="E323" s="293">
        <v>14.2</v>
      </c>
      <c r="F323" s="294">
        <v>69.27</v>
      </c>
      <c r="G323" s="295" cm="1">
        <f t="array" aca="1" ref="G323" ca="1">INDIRECT("'"&amp;$C323&amp;"'!"&amp;"$"&amp;$D323&amp;$E$1&amp;"")</f>
        <v>0</v>
      </c>
      <c r="H323" s="296" t="s">
        <v>1</v>
      </c>
      <c r="I323" s="294" t="s">
        <v>1</v>
      </c>
      <c r="J323" s="295" cm="1">
        <f t="array" aca="1" ref="J323" ca="1">INDIRECT("'"&amp;$C323&amp;"'!"&amp;"$"&amp;$D323&amp;$J$1&amp;"")</f>
        <v>6.8</v>
      </c>
      <c r="K323" s="296"/>
      <c r="L323" s="296">
        <v>0.94</v>
      </c>
      <c r="M323" s="294">
        <v>2.37</v>
      </c>
      <c r="N323" s="295" cm="1">
        <f t="array" aca="1" ref="N323" ca="1">INDIRECT("'"&amp;$C323&amp;"'!"&amp;"$"&amp;$D323&amp;$N$1&amp;"")</f>
        <v>6.8</v>
      </c>
      <c r="O323" s="296"/>
      <c r="P323" s="296">
        <v>0.94</v>
      </c>
      <c r="Q323" s="294">
        <v>2.37</v>
      </c>
      <c r="R323" s="295" cm="1">
        <f t="array" aca="1" ref="R323" ca="1">INDIRECT("'"&amp;$C323&amp;"'!"&amp;"$"&amp;$D323&amp;$R$1&amp;"")</f>
        <v>6.8</v>
      </c>
      <c r="S323" s="296"/>
      <c r="T323" s="296">
        <v>0.94</v>
      </c>
      <c r="U323" s="294">
        <v>2.37</v>
      </c>
      <c r="V323" s="295" cm="1">
        <f t="array" aca="1" ref="V323" ca="1">INDIRECT("'"&amp;$C323&amp;"'!"&amp;"$"&amp;$D323&amp;$V$1&amp;"")</f>
        <v>2.8</v>
      </c>
      <c r="W323" s="296">
        <f>3.8*3.51</f>
        <v>13.337999999999999</v>
      </c>
      <c r="X323" s="296">
        <v>0.95</v>
      </c>
      <c r="Y323" s="297">
        <v>0.84</v>
      </c>
      <c r="Z323" s="293" cm="1">
        <f t="array" aca="1" ref="Z323" ca="1">INDIRECT("'"&amp;$C323&amp;"'!"&amp;"$"&amp;$D323&amp;$Z$1&amp;"")</f>
        <v>0</v>
      </c>
      <c r="AA323" s="296" t="s">
        <v>1</v>
      </c>
      <c r="AB323" s="296" t="s">
        <v>1</v>
      </c>
      <c r="AC323" s="294" t="s">
        <v>1</v>
      </c>
      <c r="AD323" s="295" cm="1">
        <f t="array" aca="1" ref="AD323" ca="1">INDIRECT("'"&amp;$C323&amp;"'!"&amp;"$"&amp;$D323&amp;$AD$1&amp;"")</f>
        <v>3.8</v>
      </c>
      <c r="AE323" s="296">
        <f>3.8*3.51</f>
        <v>13.337999999999999</v>
      </c>
      <c r="AF323" s="296">
        <v>0.95</v>
      </c>
      <c r="AG323" s="297">
        <v>1.2</v>
      </c>
      <c r="AH323" s="293" cm="1">
        <f t="array" aca="1" ref="AH323" ca="1">INDIRECT("'"&amp;$C323&amp;"'!"&amp;"$"&amp;$D323&amp;$AH$1&amp;"")</f>
        <v>3.8</v>
      </c>
      <c r="AI323" s="296">
        <v>13.96</v>
      </c>
      <c r="AJ323" s="296">
        <v>0.99</v>
      </c>
      <c r="AK323" s="294">
        <v>0.13100000000000001</v>
      </c>
      <c r="AL323" s="293">
        <v>11.9</v>
      </c>
      <c r="AM323" s="297">
        <v>70.599999999999994</v>
      </c>
      <c r="AN323" s="293" cm="1">
        <f t="array" aca="1" ref="AN323" ca="1">INDIRECT("'"&amp;$C323&amp;"'!"&amp;"$"&amp;$D323&amp;$AL$1&amp;"")</f>
        <v>4.2</v>
      </c>
      <c r="AO323" s="296">
        <v>0.96</v>
      </c>
      <c r="AP323" s="294">
        <v>1.1619999999999999</v>
      </c>
      <c r="AQ323" s="295" t="str" cm="1">
        <f t="array" aca="1" ref="AQ323" ca="1">INDIRECT("'"&amp;$C323&amp;"'!"&amp;"$"&amp;$D323&amp;$AQ$1&amp;"")</f>
        <v>CMS</v>
      </c>
      <c r="AR323" s="296" t="s">
        <v>1</v>
      </c>
      <c r="AS323" s="294" t="s">
        <v>1</v>
      </c>
      <c r="AT323" s="296" cm="1">
        <f t="array" aca="1" ref="AT323" ca="1">INDIRECT("'"&amp;$C323&amp;"'!"&amp;"$"&amp;$D323&amp;$AT$1&amp;"")</f>
        <v>4.7</v>
      </c>
      <c r="AU323" s="295">
        <v>13.86</v>
      </c>
      <c r="AV323" s="296">
        <v>0.97</v>
      </c>
      <c r="AW323" s="294">
        <v>1.24</v>
      </c>
      <c r="AX323" s="298">
        <v>14.23</v>
      </c>
      <c r="AY323" s="297">
        <v>71.69</v>
      </c>
      <c r="AZ323" s="298" cm="1">
        <f t="array" aca="1" ref="AZ323" ca="1">INDIRECT("'"&amp;$C323&amp;"'!"&amp;"$"&amp;$D323&amp;$AZ$1&amp;"")</f>
        <v>14.28</v>
      </c>
      <c r="BA323" s="296">
        <v>0.98</v>
      </c>
      <c r="BB323" s="294">
        <v>3.47</v>
      </c>
      <c r="BC323" s="299">
        <v>68.2</v>
      </c>
      <c r="BD323" s="293" cm="1">
        <f t="array" aca="1" ref="BD323" ca="1">INDIRECT("'"&amp;$C323&amp;"'!"&amp;"$"&amp;$D323&amp;$BC$1&amp;"")</f>
        <v>1.4</v>
      </c>
      <c r="BE323" s="295">
        <v>0.96</v>
      </c>
      <c r="BF323" s="294">
        <v>0.4</v>
      </c>
      <c r="BG323" s="298" cm="1">
        <f t="array" aca="1" ref="BG323" ca="1">INDIRECT("'"&amp;$C323&amp;"'!"&amp;"$"&amp;$D323&amp;$BG$1&amp;"")</f>
        <v>1.25</v>
      </c>
      <c r="BH323" s="296"/>
      <c r="BI323" s="296">
        <v>0.99</v>
      </c>
      <c r="BJ323" s="294">
        <v>0.19</v>
      </c>
      <c r="BK323" s="299" cm="1">
        <f t="array" aca="1" ref="BK323" ca="1">INDIRECT("'"&amp;$C323&amp;"'!"&amp;"$"&amp;$D323&amp;$BK$1&amp;"")</f>
        <v>0.83</v>
      </c>
      <c r="BL323" s="296"/>
      <c r="BM323" s="296">
        <v>0.96</v>
      </c>
      <c r="BN323" s="294">
        <v>0.23</v>
      </c>
      <c r="BO323" s="299" cm="1">
        <f t="array" aca="1" ref="BO323" ca="1">INDIRECT("'"&amp;$C323&amp;"'!"&amp;"$"&amp;$D323&amp;74&amp;"")</f>
        <v>0</v>
      </c>
      <c r="BP323" s="296"/>
      <c r="BQ323" s="296" t="s">
        <v>1</v>
      </c>
      <c r="BR323" s="294" t="s">
        <v>1</v>
      </c>
    </row>
    <row r="324" spans="1:70">
      <c r="A324" s="361">
        <v>45760</v>
      </c>
      <c r="B324" s="358">
        <v>0.79166666666666663</v>
      </c>
      <c r="C324" s="313">
        <f t="shared" si="11"/>
        <v>13</v>
      </c>
      <c r="D324" s="314" t="s">
        <v>146</v>
      </c>
      <c r="E324" s="286">
        <v>14.2</v>
      </c>
      <c r="F324" s="287">
        <v>69.400000000000006</v>
      </c>
      <c r="G324" s="288" cm="1">
        <f t="array" aca="1" ref="G324" ca="1">INDIRECT("'"&amp;$C324&amp;"'!"&amp;"$"&amp;$D324&amp;$E$1&amp;"")</f>
        <v>0</v>
      </c>
      <c r="H324" s="289" t="s">
        <v>1</v>
      </c>
      <c r="I324" s="287" t="s">
        <v>1</v>
      </c>
      <c r="J324" s="288" cm="1">
        <f t="array" aca="1" ref="J324" ca="1">INDIRECT("'"&amp;$C324&amp;"'!"&amp;"$"&amp;$D324&amp;$J$1&amp;"")</f>
        <v>6.7</v>
      </c>
      <c r="K324" s="300"/>
      <c r="L324" s="289">
        <v>0.95</v>
      </c>
      <c r="M324" s="287">
        <v>2.27</v>
      </c>
      <c r="N324" s="288" cm="1">
        <f t="array" aca="1" ref="N324" ca="1">INDIRECT("'"&amp;$C324&amp;"'!"&amp;"$"&amp;$D324&amp;$N$1&amp;"")</f>
        <v>6.7</v>
      </c>
      <c r="O324" s="289"/>
      <c r="P324" s="289">
        <v>0.95</v>
      </c>
      <c r="Q324" s="287">
        <v>2.2200000000000002</v>
      </c>
      <c r="R324" s="288" cm="1">
        <f t="array" aca="1" ref="R324" ca="1">INDIRECT("'"&amp;$C324&amp;"'!"&amp;"$"&amp;$D324&amp;$R$1&amp;"")</f>
        <v>6.6</v>
      </c>
      <c r="S324" s="289"/>
      <c r="T324" s="289">
        <v>0.95</v>
      </c>
      <c r="U324" s="287">
        <v>2.21</v>
      </c>
      <c r="V324" s="288" cm="1">
        <f t="array" aca="1" ref="V324" ca="1">INDIRECT("'"&amp;$C324&amp;"'!"&amp;"$"&amp;$D324&amp;$V$1&amp;"")</f>
        <v>2.8</v>
      </c>
      <c r="W324" s="289">
        <f>3.8*3.51</f>
        <v>13.337999999999999</v>
      </c>
      <c r="X324" s="289">
        <v>0.95</v>
      </c>
      <c r="Y324" s="290">
        <v>0.81</v>
      </c>
      <c r="Z324" s="286" cm="1">
        <f t="array" aca="1" ref="Z324" ca="1">INDIRECT("'"&amp;$C324&amp;"'!"&amp;"$"&amp;$D324&amp;$Z$1&amp;"")</f>
        <v>0</v>
      </c>
      <c r="AA324" s="289" t="s">
        <v>1</v>
      </c>
      <c r="AB324" s="289" t="s">
        <v>1</v>
      </c>
      <c r="AC324" s="287" t="s">
        <v>1</v>
      </c>
      <c r="AD324" s="288" cm="1">
        <f t="array" aca="1" ref="AD324" ca="1">INDIRECT("'"&amp;$C324&amp;"'!"&amp;"$"&amp;$D324&amp;$AD$1&amp;"")</f>
        <v>3.8</v>
      </c>
      <c r="AE324" s="289">
        <v>13.34</v>
      </c>
      <c r="AF324" s="289">
        <v>0.96</v>
      </c>
      <c r="AG324" s="290">
        <v>1.05</v>
      </c>
      <c r="AH324" s="286" cm="1">
        <f t="array" aca="1" ref="AH324" ca="1">INDIRECT("'"&amp;$C324&amp;"'!"&amp;"$"&amp;$D324&amp;$AH$1&amp;"")</f>
        <v>3.8</v>
      </c>
      <c r="AI324" s="289">
        <v>13.92</v>
      </c>
      <c r="AJ324" s="289">
        <v>0.99</v>
      </c>
      <c r="AK324" s="287">
        <v>0.219</v>
      </c>
      <c r="AL324" s="286">
        <v>11.9</v>
      </c>
      <c r="AM324" s="290">
        <v>70.5</v>
      </c>
      <c r="AN324" s="286" cm="1">
        <f t="array" aca="1" ref="AN324" ca="1">INDIRECT("'"&amp;$C324&amp;"'!"&amp;"$"&amp;$D324&amp;$AL$1&amp;"")</f>
        <v>4.0999999999999996</v>
      </c>
      <c r="AO324" s="289">
        <v>0.96</v>
      </c>
      <c r="AP324" s="287">
        <v>1.1559999999999999</v>
      </c>
      <c r="AQ324" s="288" t="str" cm="1">
        <f t="array" aca="1" ref="AQ324" ca="1">INDIRECT("'"&amp;$C324&amp;"'!"&amp;"$"&amp;$D324&amp;$AQ$1&amp;"")</f>
        <v>CMS</v>
      </c>
      <c r="AR324" s="289" t="s">
        <v>1</v>
      </c>
      <c r="AS324" s="287" t="s">
        <v>1</v>
      </c>
      <c r="AT324" s="289" cm="1">
        <f t="array" aca="1" ref="AT324" ca="1">INDIRECT("'"&amp;$C324&amp;"'!"&amp;"$"&amp;$D324&amp;$AT$1&amp;"")</f>
        <v>6.8</v>
      </c>
      <c r="AU324" s="288">
        <v>13.83</v>
      </c>
      <c r="AV324" s="289">
        <v>0.99</v>
      </c>
      <c r="AW324" s="287">
        <v>0.59</v>
      </c>
      <c r="AX324" s="291">
        <v>14.21</v>
      </c>
      <c r="AY324" s="290">
        <v>71.48</v>
      </c>
      <c r="AZ324" s="291" cm="1">
        <f t="array" aca="1" ref="AZ324" ca="1">INDIRECT("'"&amp;$C324&amp;"'!"&amp;"$"&amp;$D324&amp;$AZ$1&amp;"")</f>
        <v>14.28</v>
      </c>
      <c r="BA324" s="289">
        <v>0.98</v>
      </c>
      <c r="BB324" s="287">
        <v>3.48</v>
      </c>
      <c r="BC324" s="292">
        <v>68.2</v>
      </c>
      <c r="BD324" s="286" cm="1">
        <f t="array" aca="1" ref="BD324" ca="1">INDIRECT("'"&amp;$C324&amp;"'!"&amp;"$"&amp;$D324&amp;$BC$1&amp;"")</f>
        <v>3.5999999999999996</v>
      </c>
      <c r="BE324" s="288">
        <v>0.97</v>
      </c>
      <c r="BF324" s="287">
        <v>0.9</v>
      </c>
      <c r="BG324" s="291" cm="1">
        <f t="array" aca="1" ref="BG324" ca="1">INDIRECT("'"&amp;$C324&amp;"'!"&amp;"$"&amp;$D324&amp;$BG$1&amp;"")</f>
        <v>1.62</v>
      </c>
      <c r="BH324" s="289"/>
      <c r="BI324" s="289">
        <v>0.99</v>
      </c>
      <c r="BJ324" s="287">
        <v>0.21</v>
      </c>
      <c r="BK324" s="292" cm="1">
        <f t="array" aca="1" ref="BK324" ca="1">INDIRECT("'"&amp;$C324&amp;"'!"&amp;"$"&amp;$D324&amp;$BK$1&amp;"")</f>
        <v>0.94</v>
      </c>
      <c r="BL324" s="289"/>
      <c r="BM324" s="289">
        <v>0.97</v>
      </c>
      <c r="BN324" s="287">
        <v>0.24</v>
      </c>
      <c r="BO324" s="292" cm="1">
        <f t="array" aca="1" ref="BO324" ca="1">INDIRECT("'"&amp;$C324&amp;"'!"&amp;"$"&amp;$D324&amp;74&amp;"")</f>
        <v>0</v>
      </c>
      <c r="BP324" s="289"/>
      <c r="BQ324" s="289" t="s">
        <v>1</v>
      </c>
      <c r="BR324" s="287" t="s">
        <v>1</v>
      </c>
    </row>
    <row r="325" spans="1:70">
      <c r="A325" s="361">
        <v>45760</v>
      </c>
      <c r="B325" s="358">
        <v>0.83333333333333337</v>
      </c>
      <c r="C325" s="313">
        <f t="shared" si="11"/>
        <v>13</v>
      </c>
      <c r="D325" s="314" t="s">
        <v>147</v>
      </c>
      <c r="E325" s="293">
        <v>14.2</v>
      </c>
      <c r="F325" s="294">
        <v>69.39</v>
      </c>
      <c r="G325" s="295" cm="1">
        <f t="array" aca="1" ref="G325" ca="1">INDIRECT("'"&amp;$C325&amp;"'!"&amp;"$"&amp;$D325&amp;$E$1&amp;"")</f>
        <v>0</v>
      </c>
      <c r="H325" s="296" t="s">
        <v>1</v>
      </c>
      <c r="I325" s="294" t="s">
        <v>1</v>
      </c>
      <c r="J325" s="295" cm="1">
        <f t="array" aca="1" ref="J325" ca="1">INDIRECT("'"&amp;$C325&amp;"'!"&amp;"$"&amp;$D325&amp;$J$1&amp;"")</f>
        <v>6.8</v>
      </c>
      <c r="K325" s="296"/>
      <c r="L325" s="296">
        <v>0.95</v>
      </c>
      <c r="M325" s="294">
        <v>2.19</v>
      </c>
      <c r="N325" s="295" cm="1">
        <f t="array" aca="1" ref="N325" ca="1">INDIRECT("'"&amp;$C325&amp;"'!"&amp;"$"&amp;$D325&amp;$N$1&amp;"")</f>
        <v>6.8</v>
      </c>
      <c r="O325" s="296"/>
      <c r="P325" s="296">
        <v>0.95</v>
      </c>
      <c r="Q325" s="294">
        <v>2.1800000000000002</v>
      </c>
      <c r="R325" s="295" cm="1">
        <f t="array" aca="1" ref="R325" ca="1">INDIRECT("'"&amp;$C325&amp;"'!"&amp;"$"&amp;$D325&amp;$R$1&amp;"")</f>
        <v>6.8</v>
      </c>
      <c r="S325" s="296"/>
      <c r="T325" s="296">
        <v>0.95</v>
      </c>
      <c r="U325" s="294">
        <v>2.19</v>
      </c>
      <c r="V325" s="295" cm="1">
        <f t="array" aca="1" ref="V325" ca="1">INDIRECT("'"&amp;$C325&amp;"'!"&amp;"$"&amp;$D325&amp;$V$1&amp;"")</f>
        <v>2.8</v>
      </c>
      <c r="W325" s="296">
        <f>3.8*3.51</f>
        <v>13.337999999999999</v>
      </c>
      <c r="X325" s="296">
        <v>0.95</v>
      </c>
      <c r="Y325" s="297">
        <v>0.95</v>
      </c>
      <c r="Z325" s="293" cm="1">
        <f t="array" aca="1" ref="Z325" ca="1">INDIRECT("'"&amp;$C325&amp;"'!"&amp;"$"&amp;$D325&amp;$Z$1&amp;"")</f>
        <v>0</v>
      </c>
      <c r="AA325" s="296" t="s">
        <v>1</v>
      </c>
      <c r="AB325" s="296" t="s">
        <v>1</v>
      </c>
      <c r="AC325" s="294" t="s">
        <v>1</v>
      </c>
      <c r="AD325" s="295" cm="1">
        <f t="array" aca="1" ref="AD325" ca="1">INDIRECT("'"&amp;$C325&amp;"'!"&amp;"$"&amp;$D325&amp;$AD$1&amp;"")</f>
        <v>3.5</v>
      </c>
      <c r="AE325" s="296">
        <v>13.34</v>
      </c>
      <c r="AF325" s="296">
        <v>0.96</v>
      </c>
      <c r="AG325" s="297">
        <v>0.97</v>
      </c>
      <c r="AH325" s="293" cm="1">
        <f t="array" aca="1" ref="AH325" ca="1">INDIRECT("'"&amp;$C325&amp;"'!"&amp;"$"&amp;$D325&amp;$AH$1&amp;"")</f>
        <v>3.8</v>
      </c>
      <c r="AI325" s="296">
        <v>14.04</v>
      </c>
      <c r="AJ325" s="296">
        <v>0.98</v>
      </c>
      <c r="AK325" s="294">
        <v>0.63700000000000001</v>
      </c>
      <c r="AL325" s="293">
        <v>11.9</v>
      </c>
      <c r="AM325" s="297">
        <v>70.7</v>
      </c>
      <c r="AN325" s="293" cm="1">
        <f t="array" aca="1" ref="AN325" ca="1">INDIRECT("'"&amp;$C325&amp;"'!"&amp;"$"&amp;$D325&amp;$AL$1&amp;"")</f>
        <v>4.5</v>
      </c>
      <c r="AO325" s="296">
        <v>0.97</v>
      </c>
      <c r="AP325" s="294">
        <v>1.1100000000000001</v>
      </c>
      <c r="AQ325" s="295" t="str" cm="1">
        <f t="array" aca="1" ref="AQ325" ca="1">INDIRECT("'"&amp;$C325&amp;"'!"&amp;"$"&amp;$D325&amp;$AQ$1&amp;"")</f>
        <v>CMS</v>
      </c>
      <c r="AR325" s="296" t="s">
        <v>1</v>
      </c>
      <c r="AS325" s="294" t="s">
        <v>1</v>
      </c>
      <c r="AT325" s="296" cm="1">
        <f t="array" aca="1" ref="AT325" ca="1">INDIRECT("'"&amp;$C325&amp;"'!"&amp;"$"&amp;$D325&amp;$AT$1&amp;"")</f>
        <v>6.9</v>
      </c>
      <c r="AU325" s="295">
        <v>13.86</v>
      </c>
      <c r="AV325" s="296">
        <v>0.99</v>
      </c>
      <c r="AW325" s="294">
        <v>0.76</v>
      </c>
      <c r="AX325" s="298">
        <v>14.22</v>
      </c>
      <c r="AY325" s="297">
        <v>71.569999999999993</v>
      </c>
      <c r="AZ325" s="298" cm="1">
        <f t="array" aca="1" ref="AZ325" ca="1">INDIRECT("'"&amp;$C325&amp;"'!"&amp;"$"&amp;$D325&amp;$AZ$1&amp;"")</f>
        <v>14.3</v>
      </c>
      <c r="BA325" s="296">
        <v>0.98</v>
      </c>
      <c r="BB325" s="294">
        <v>3.52</v>
      </c>
      <c r="BC325" s="299">
        <v>68.2</v>
      </c>
      <c r="BD325" s="293" cm="1">
        <f t="array" aca="1" ref="BD325" ca="1">INDIRECT("'"&amp;$C325&amp;"'!"&amp;"$"&amp;$D325&amp;$BC$1&amp;"")</f>
        <v>1.4</v>
      </c>
      <c r="BE325" s="295">
        <v>0.98</v>
      </c>
      <c r="BF325" s="294">
        <v>0.28000000000000003</v>
      </c>
      <c r="BG325" s="298" cm="1">
        <f t="array" aca="1" ref="BG325" ca="1">INDIRECT("'"&amp;$C325&amp;"'!"&amp;"$"&amp;$D325&amp;$BG$1&amp;"")</f>
        <v>1.63</v>
      </c>
      <c r="BH325" s="296"/>
      <c r="BI325" s="296">
        <v>0.99</v>
      </c>
      <c r="BJ325" s="294">
        <v>0.22</v>
      </c>
      <c r="BK325" s="299" cm="1">
        <f t="array" aca="1" ref="BK325" ca="1">INDIRECT("'"&amp;$C325&amp;"'!"&amp;"$"&amp;$D325&amp;$BK$1&amp;"")</f>
        <v>0.97</v>
      </c>
      <c r="BL325" s="296"/>
      <c r="BM325" s="296">
        <v>0.97</v>
      </c>
      <c r="BN325" s="294">
        <v>0.24</v>
      </c>
      <c r="BO325" s="299" cm="1">
        <f t="array" aca="1" ref="BO325" ca="1">INDIRECT("'"&amp;$C325&amp;"'!"&amp;"$"&amp;$D325&amp;74&amp;"")</f>
        <v>0</v>
      </c>
      <c r="BP325" s="296"/>
      <c r="BQ325" s="296" t="s">
        <v>1</v>
      </c>
      <c r="BR325" s="294" t="s">
        <v>1</v>
      </c>
    </row>
    <row r="326" spans="1:70">
      <c r="A326" s="361">
        <v>45760</v>
      </c>
      <c r="B326" s="358">
        <v>0.875000000000001</v>
      </c>
      <c r="C326" s="313">
        <f t="shared" si="11"/>
        <v>13</v>
      </c>
      <c r="D326" s="314" t="s">
        <v>148</v>
      </c>
      <c r="E326" s="286">
        <v>14.2</v>
      </c>
      <c r="F326" s="287">
        <v>69.41</v>
      </c>
      <c r="G326" s="288" cm="1">
        <f t="array" aca="1" ref="G326" ca="1">INDIRECT("'"&amp;$C326&amp;"'!"&amp;"$"&amp;$D326&amp;$E$1&amp;"")</f>
        <v>0</v>
      </c>
      <c r="H326" s="289" t="s">
        <v>1</v>
      </c>
      <c r="I326" s="287" t="s">
        <v>1</v>
      </c>
      <c r="J326" s="288" cm="1">
        <f t="array" aca="1" ref="J326" ca="1">INDIRECT("'"&amp;$C326&amp;"'!"&amp;"$"&amp;$D326&amp;$J$1&amp;"")</f>
        <v>6.8</v>
      </c>
      <c r="K326" s="289"/>
      <c r="L326" s="289">
        <v>0.96</v>
      </c>
      <c r="M326" s="287">
        <v>2.0299999999999998</v>
      </c>
      <c r="N326" s="288" cm="1">
        <f t="array" aca="1" ref="N326" ca="1">INDIRECT("'"&amp;$C326&amp;"'!"&amp;"$"&amp;$D326&amp;$N$1&amp;"")</f>
        <v>6.8</v>
      </c>
      <c r="O326" s="289"/>
      <c r="P326" s="289">
        <v>0.96</v>
      </c>
      <c r="Q326" s="287">
        <v>2.0099999999999998</v>
      </c>
      <c r="R326" s="288" cm="1">
        <f t="array" aca="1" ref="R326" ca="1">INDIRECT("'"&amp;$C326&amp;"'!"&amp;"$"&amp;$D326&amp;$R$1&amp;"")</f>
        <v>6.8</v>
      </c>
      <c r="S326" s="289"/>
      <c r="T326" s="289">
        <v>0.96</v>
      </c>
      <c r="U326" s="287">
        <v>2.04</v>
      </c>
      <c r="V326" s="288" cm="1">
        <f t="array" aca="1" ref="V326" ca="1">INDIRECT("'"&amp;$C326&amp;"'!"&amp;"$"&amp;$D326&amp;$V$1&amp;"")</f>
        <v>2.8</v>
      </c>
      <c r="W326" s="289">
        <f>3.8*3.54</f>
        <v>13.452</v>
      </c>
      <c r="X326" s="289">
        <v>0.95</v>
      </c>
      <c r="Y326" s="290">
        <v>0.84</v>
      </c>
      <c r="Z326" s="286" cm="1">
        <f t="array" aca="1" ref="Z326" ca="1">INDIRECT("'"&amp;$C326&amp;"'!"&amp;"$"&amp;$D326&amp;$Z$1&amp;"")</f>
        <v>0</v>
      </c>
      <c r="AA326" s="289" t="s">
        <v>1</v>
      </c>
      <c r="AB326" s="289" t="s">
        <v>1</v>
      </c>
      <c r="AC326" s="287" t="s">
        <v>1</v>
      </c>
      <c r="AD326" s="288" cm="1">
        <f t="array" aca="1" ref="AD326" ca="1">INDIRECT("'"&amp;$C326&amp;"'!"&amp;"$"&amp;$D326&amp;$AD$1&amp;"")</f>
        <v>3.5</v>
      </c>
      <c r="AE326" s="289">
        <v>13.45</v>
      </c>
      <c r="AF326" s="289">
        <v>0.96</v>
      </c>
      <c r="AG326" s="290">
        <v>0.95</v>
      </c>
      <c r="AH326" s="286" cm="1">
        <f t="array" aca="1" ref="AH326" ca="1">INDIRECT("'"&amp;$C326&amp;"'!"&amp;"$"&amp;$D326&amp;$AH$1&amp;"")</f>
        <v>3.8</v>
      </c>
      <c r="AI326" s="289">
        <v>14.08</v>
      </c>
      <c r="AJ326" s="289">
        <v>0.98</v>
      </c>
      <c r="AK326" s="287">
        <v>0.60099999999999998</v>
      </c>
      <c r="AL326" s="286">
        <v>11.9</v>
      </c>
      <c r="AM326" s="290">
        <v>70.599999999999994</v>
      </c>
      <c r="AN326" s="286" cm="1">
        <f t="array" aca="1" ref="AN326" ca="1">INDIRECT("'"&amp;$C326&amp;"'!"&amp;"$"&amp;$D326&amp;$AL$1&amp;"")</f>
        <v>3.5</v>
      </c>
      <c r="AO326" s="289">
        <v>0.97</v>
      </c>
      <c r="AP326" s="287">
        <v>1.1299999999999999</v>
      </c>
      <c r="AQ326" s="288" t="str" cm="1">
        <f t="array" aca="1" ref="AQ326" ca="1">INDIRECT("'"&amp;$C326&amp;"'!"&amp;"$"&amp;$D326&amp;$AQ$1&amp;"")</f>
        <v>CMS</v>
      </c>
      <c r="AR326" s="289" t="s">
        <v>1</v>
      </c>
      <c r="AS326" s="287" t="s">
        <v>1</v>
      </c>
      <c r="AT326" s="289" cm="1">
        <f t="array" aca="1" ref="AT326" ca="1">INDIRECT("'"&amp;$C326&amp;"'!"&amp;"$"&amp;$D326&amp;$AT$1&amp;"")</f>
        <v>6.7</v>
      </c>
      <c r="AU326" s="288">
        <v>13.81</v>
      </c>
      <c r="AV326" s="289">
        <v>1</v>
      </c>
      <c r="AW326" s="287">
        <v>0.38</v>
      </c>
      <c r="AX326" s="291">
        <v>14.26</v>
      </c>
      <c r="AY326" s="290">
        <v>71.75</v>
      </c>
      <c r="AZ326" s="291" cm="1">
        <f t="array" aca="1" ref="AZ326" ca="1">INDIRECT("'"&amp;$C326&amp;"'!"&amp;"$"&amp;$D326&amp;$AZ$1&amp;"")</f>
        <v>14.3</v>
      </c>
      <c r="BA326" s="289">
        <v>0.98</v>
      </c>
      <c r="BB326" s="287">
        <v>3.5</v>
      </c>
      <c r="BC326" s="292">
        <v>68.2</v>
      </c>
      <c r="BD326" s="286" cm="1">
        <f t="array" aca="1" ref="BD326" ca="1">INDIRECT("'"&amp;$C326&amp;"'!"&amp;"$"&amp;$D326&amp;$BC$1&amp;"")</f>
        <v>0.7</v>
      </c>
      <c r="BE326" s="288">
        <v>0.98</v>
      </c>
      <c r="BF326" s="287">
        <v>0.15</v>
      </c>
      <c r="BG326" s="291" cm="1">
        <f t="array" aca="1" ref="BG326" ca="1">INDIRECT("'"&amp;$C326&amp;"'!"&amp;"$"&amp;$D326&amp;$BG$1&amp;"")</f>
        <v>1.46</v>
      </c>
      <c r="BH326" s="289"/>
      <c r="BI326" s="289">
        <v>0.99</v>
      </c>
      <c r="BJ326" s="287">
        <v>0.21</v>
      </c>
      <c r="BK326" s="292" cm="1">
        <f t="array" aca="1" ref="BK326" ca="1">INDIRECT("'"&amp;$C326&amp;"'!"&amp;"$"&amp;$D326&amp;$BK$1&amp;"")</f>
        <v>0.93</v>
      </c>
      <c r="BL326" s="289"/>
      <c r="BM326" s="289">
        <v>0.97</v>
      </c>
      <c r="BN326" s="287">
        <v>0.23</v>
      </c>
      <c r="BO326" s="292" cm="1">
        <f t="array" aca="1" ref="BO326" ca="1">INDIRECT("'"&amp;$C326&amp;"'!"&amp;"$"&amp;$D326&amp;74&amp;"")</f>
        <v>0</v>
      </c>
      <c r="BP326" s="289"/>
      <c r="BQ326" s="289" t="s">
        <v>1</v>
      </c>
      <c r="BR326" s="287" t="s">
        <v>1</v>
      </c>
    </row>
    <row r="327" spans="1:70">
      <c r="A327" s="361">
        <v>45760</v>
      </c>
      <c r="B327" s="358">
        <v>0.91666666666666696</v>
      </c>
      <c r="C327" s="313">
        <f t="shared" si="11"/>
        <v>13</v>
      </c>
      <c r="D327" s="314" t="s">
        <v>149</v>
      </c>
      <c r="E327" s="293">
        <v>14.2</v>
      </c>
      <c r="F327" s="294">
        <v>70.12</v>
      </c>
      <c r="G327" s="295" cm="1">
        <f t="array" aca="1" ref="G327" ca="1">INDIRECT("'"&amp;$C327&amp;"'!"&amp;"$"&amp;$D327&amp;$E$1&amp;"")</f>
        <v>6.9</v>
      </c>
      <c r="H327" s="296">
        <v>0.98</v>
      </c>
      <c r="I327" s="294">
        <v>1.52</v>
      </c>
      <c r="J327" s="295" cm="1">
        <f t="array" aca="1" ref="J327" ca="1">INDIRECT("'"&amp;$C327&amp;"'!"&amp;"$"&amp;$D327&amp;$J$1&amp;"")</f>
        <v>6.8</v>
      </c>
      <c r="K327" s="296"/>
      <c r="L327" s="296">
        <v>0.97</v>
      </c>
      <c r="M327" s="294">
        <v>1.82</v>
      </c>
      <c r="N327" s="295" cm="1">
        <f t="array" aca="1" ref="N327" ca="1">INDIRECT("'"&amp;$C327&amp;"'!"&amp;"$"&amp;$D327&amp;$N$1&amp;"")</f>
        <v>6.9</v>
      </c>
      <c r="O327" s="296"/>
      <c r="P327" s="296">
        <v>0.97</v>
      </c>
      <c r="Q327" s="294">
        <v>1.8</v>
      </c>
      <c r="R327" s="295" cm="1">
        <f t="array" aca="1" ref="R327" ca="1">INDIRECT("'"&amp;$C327&amp;"'!"&amp;"$"&amp;$D327&amp;$R$1&amp;"")</f>
        <v>0</v>
      </c>
      <c r="S327" s="296"/>
      <c r="T327" s="296" t="s">
        <v>1</v>
      </c>
      <c r="U327" s="294" t="s">
        <v>1</v>
      </c>
      <c r="V327" s="295" cm="1">
        <f t="array" aca="1" ref="V327" ca="1">INDIRECT("'"&amp;$C327&amp;"'!"&amp;"$"&amp;$D327&amp;$V$1&amp;"")</f>
        <v>2.8</v>
      </c>
      <c r="W327" s="296">
        <f>3.8*3.57</f>
        <v>13.565999999999999</v>
      </c>
      <c r="X327" s="296">
        <v>0.96</v>
      </c>
      <c r="Y327" s="297">
        <v>0.74</v>
      </c>
      <c r="Z327" s="293" cm="1">
        <f t="array" aca="1" ref="Z327" ca="1">INDIRECT("'"&amp;$C327&amp;"'!"&amp;"$"&amp;$D327&amp;$Z$1&amp;"")</f>
        <v>0</v>
      </c>
      <c r="AA327" s="296" t="s">
        <v>1</v>
      </c>
      <c r="AB327" s="296" t="s">
        <v>1</v>
      </c>
      <c r="AC327" s="294" t="s">
        <v>1</v>
      </c>
      <c r="AD327" s="295" cm="1">
        <f t="array" aca="1" ref="AD327" ca="1">INDIRECT("'"&amp;$C327&amp;"'!"&amp;"$"&amp;$D327&amp;$AD$1&amp;"")</f>
        <v>3.5</v>
      </c>
      <c r="AE327" s="296">
        <f>3.8*3.57</f>
        <v>13.565999999999999</v>
      </c>
      <c r="AF327" s="296">
        <v>0.96</v>
      </c>
      <c r="AG327" s="297">
        <v>0.94</v>
      </c>
      <c r="AH327" s="293" cm="1">
        <f t="array" aca="1" ref="AH327" ca="1">INDIRECT("'"&amp;$C327&amp;"'!"&amp;"$"&amp;$D327&amp;$AH$1&amp;"")</f>
        <v>3.8</v>
      </c>
      <c r="AI327" s="296">
        <v>14.08</v>
      </c>
      <c r="AJ327" s="296">
        <v>0.99</v>
      </c>
      <c r="AK327" s="294">
        <v>0.46700000000000003</v>
      </c>
      <c r="AL327" s="293" t="s">
        <v>1</v>
      </c>
      <c r="AM327" s="297" t="s">
        <v>1</v>
      </c>
      <c r="AN327" s="293" t="str" cm="1">
        <f t="array" aca="1" ref="AN327" ca="1">INDIRECT("'"&amp;$C327&amp;"'!"&amp;"$"&amp;$D327&amp;$AL$1&amp;"")</f>
        <v>CMS</v>
      </c>
      <c r="AO327" s="296" t="s">
        <v>1</v>
      </c>
      <c r="AP327" s="294" t="s">
        <v>1</v>
      </c>
      <c r="AQ327" s="295" t="str" cm="1">
        <f t="array" aca="1" ref="AQ327" ca="1">INDIRECT("'"&amp;$C327&amp;"'!"&amp;"$"&amp;$D327&amp;$AQ$1&amp;"")</f>
        <v>CMS</v>
      </c>
      <c r="AR327" s="296" t="s">
        <v>1</v>
      </c>
      <c r="AS327" s="294" t="s">
        <v>1</v>
      </c>
      <c r="AT327" s="296" cm="1">
        <f t="array" aca="1" ref="AT327" ca="1">INDIRECT("'"&amp;$C327&amp;"'!"&amp;"$"&amp;$D327&amp;$AT$1&amp;"")</f>
        <v>7</v>
      </c>
      <c r="AU327" s="295">
        <v>13.8</v>
      </c>
      <c r="AV327" s="296">
        <v>1</v>
      </c>
      <c r="AW327" s="294">
        <v>0.40899999999999997</v>
      </c>
      <c r="AX327" s="298">
        <v>14.3</v>
      </c>
      <c r="AY327" s="297">
        <v>72</v>
      </c>
      <c r="AZ327" s="298" cm="1">
        <f t="array" aca="1" ref="AZ327" ca="1">INDIRECT("'"&amp;$C327&amp;"'!"&amp;"$"&amp;$D327&amp;$AZ$1&amp;"")</f>
        <v>14.24</v>
      </c>
      <c r="BA327" s="296">
        <v>0.98</v>
      </c>
      <c r="BB327" s="294">
        <v>3.5</v>
      </c>
      <c r="BC327" s="299">
        <v>69</v>
      </c>
      <c r="BD327" s="293" cm="1">
        <f t="array" aca="1" ref="BD327" ca="1">INDIRECT("'"&amp;$C327&amp;"'!"&amp;"$"&amp;$D327&amp;$BC$1&amp;"")</f>
        <v>1.4</v>
      </c>
      <c r="BE327" s="295">
        <v>0.98</v>
      </c>
      <c r="BF327" s="294">
        <v>0.3</v>
      </c>
      <c r="BG327" s="298" cm="1">
        <f t="array" aca="1" ref="BG327" ca="1">INDIRECT("'"&amp;$C327&amp;"'!"&amp;"$"&amp;$D327&amp;$BG$1&amp;"")</f>
        <v>1.29</v>
      </c>
      <c r="BH327" s="296"/>
      <c r="BI327" s="296">
        <v>0.99</v>
      </c>
      <c r="BJ327" s="294">
        <v>0.2</v>
      </c>
      <c r="BK327" s="299" cm="1">
        <f t="array" aca="1" ref="BK327" ca="1">INDIRECT("'"&amp;$C327&amp;"'!"&amp;"$"&amp;$D327&amp;$BK$1&amp;"")</f>
        <v>0.91</v>
      </c>
      <c r="BL327" s="296"/>
      <c r="BM327" s="296">
        <v>0.97</v>
      </c>
      <c r="BN327" s="294">
        <v>0.22</v>
      </c>
      <c r="BO327" s="299" cm="1">
        <f t="array" aca="1" ref="BO327" ca="1">INDIRECT("'"&amp;$C327&amp;"'!"&amp;"$"&amp;$D327&amp;74&amp;"")</f>
        <v>0</v>
      </c>
      <c r="BP327" s="296"/>
      <c r="BQ327" s="296" t="s">
        <v>1</v>
      </c>
      <c r="BR327" s="294" t="s">
        <v>1</v>
      </c>
    </row>
    <row r="328" spans="1:70" ht="14.45" thickBot="1">
      <c r="A328" s="362">
        <v>45760</v>
      </c>
      <c r="B328" s="359">
        <v>0.95833333333333404</v>
      </c>
      <c r="C328" s="315">
        <f t="shared" si="11"/>
        <v>13</v>
      </c>
      <c r="D328" s="316" t="s">
        <v>150</v>
      </c>
      <c r="E328" s="301">
        <v>14.1</v>
      </c>
      <c r="F328" s="302">
        <v>69.91</v>
      </c>
      <c r="G328" s="303" cm="1">
        <f t="array" aca="1" ref="G328" ca="1">INDIRECT("'"&amp;$C328&amp;"'!"&amp;"$"&amp;$D328&amp;$E$1&amp;"")</f>
        <v>6.7</v>
      </c>
      <c r="H328" s="304">
        <v>0.97</v>
      </c>
      <c r="I328" s="302">
        <v>1.84</v>
      </c>
      <c r="J328" s="303" cm="1">
        <f t="array" aca="1" ref="J328" ca="1">INDIRECT("'"&amp;$C328&amp;"'!"&amp;"$"&amp;$D328&amp;$J$1&amp;"")</f>
        <v>6.7</v>
      </c>
      <c r="K328" s="304"/>
      <c r="L328" s="304">
        <v>0.97</v>
      </c>
      <c r="M328" s="302">
        <v>1.84</v>
      </c>
      <c r="N328" s="303" cm="1">
        <f t="array" aca="1" ref="N328" ca="1">INDIRECT("'"&amp;$C328&amp;"'!"&amp;"$"&amp;$D328&amp;$N$1&amp;"")</f>
        <v>6.7</v>
      </c>
      <c r="O328" s="304"/>
      <c r="P328" s="304">
        <v>0.97</v>
      </c>
      <c r="Q328" s="302">
        <v>1.84</v>
      </c>
      <c r="R328" s="303" cm="1">
        <f t="array" aca="1" ref="R328" ca="1">INDIRECT("'"&amp;$C328&amp;"'!"&amp;"$"&amp;$D328&amp;$R$1&amp;"")</f>
        <v>0</v>
      </c>
      <c r="S328" s="304"/>
      <c r="T328" s="304" t="s">
        <v>1</v>
      </c>
      <c r="U328" s="302" t="s">
        <v>1</v>
      </c>
      <c r="V328" s="303" cm="1">
        <f t="array" aca="1" ref="V328" ca="1">INDIRECT("'"&amp;$C328&amp;"'!"&amp;"$"&amp;$D328&amp;$V$1&amp;"")</f>
        <v>2.8</v>
      </c>
      <c r="W328" s="304">
        <f>3.8*3.56</f>
        <v>13.527999999999999</v>
      </c>
      <c r="X328" s="304">
        <v>0.96</v>
      </c>
      <c r="Y328" s="305">
        <v>0.75</v>
      </c>
      <c r="Z328" s="301" cm="1">
        <f t="array" aca="1" ref="Z328" ca="1">INDIRECT("'"&amp;$C328&amp;"'!"&amp;"$"&amp;$D328&amp;$Z$1&amp;"")</f>
        <v>0</v>
      </c>
      <c r="AA328" s="304" t="s">
        <v>1</v>
      </c>
      <c r="AB328" s="304" t="s">
        <v>1</v>
      </c>
      <c r="AC328" s="302" t="s">
        <v>1</v>
      </c>
      <c r="AD328" s="303" cm="1">
        <f t="array" aca="1" ref="AD328" ca="1">INDIRECT("'"&amp;$C328&amp;"'!"&amp;"$"&amp;$D328&amp;$AD$1&amp;"")</f>
        <v>3.5</v>
      </c>
      <c r="AE328" s="304">
        <f>3.8*3.56</f>
        <v>13.527999999999999</v>
      </c>
      <c r="AF328" s="304">
        <v>0.96</v>
      </c>
      <c r="AG328" s="305">
        <v>0.93</v>
      </c>
      <c r="AH328" s="301" cm="1">
        <f t="array" aca="1" ref="AH328" ca="1">INDIRECT("'"&amp;$C328&amp;"'!"&amp;"$"&amp;$D328&amp;$AH$1&amp;"")</f>
        <v>3.8</v>
      </c>
      <c r="AI328" s="304">
        <v>14.04</v>
      </c>
      <c r="AJ328" s="304">
        <v>0.98</v>
      </c>
      <c r="AK328" s="302">
        <v>0.70499999999999996</v>
      </c>
      <c r="AL328" s="301" t="s">
        <v>1</v>
      </c>
      <c r="AM328" s="305" t="s">
        <v>1</v>
      </c>
      <c r="AN328" s="301" t="str" cm="1">
        <f t="array" aca="1" ref="AN328" ca="1">INDIRECT("'"&amp;$C328&amp;"'!"&amp;"$"&amp;$D328&amp;$AL$1&amp;"")</f>
        <v>CMS</v>
      </c>
      <c r="AO328" s="304" t="s">
        <v>1</v>
      </c>
      <c r="AP328" s="302" t="s">
        <v>1</v>
      </c>
      <c r="AQ328" s="303" t="str" cm="1">
        <f t="array" aca="1" ref="AQ328" ca="1">INDIRECT("'"&amp;$C328&amp;"'!"&amp;"$"&amp;$D328&amp;$AQ$1&amp;"")</f>
        <v>CMS</v>
      </c>
      <c r="AR328" s="304" t="s">
        <v>1</v>
      </c>
      <c r="AS328" s="302" t="s">
        <v>1</v>
      </c>
      <c r="AT328" s="304" cm="1">
        <f t="array" aca="1" ref="AT328" ca="1">INDIRECT("'"&amp;$C328&amp;"'!"&amp;"$"&amp;$D328&amp;$AT$1&amp;"")</f>
        <v>4.9000000000000004</v>
      </c>
      <c r="AU328" s="303">
        <v>13.8</v>
      </c>
      <c r="AV328" s="304">
        <v>0.98</v>
      </c>
      <c r="AW328" s="302">
        <v>0.93600000000000005</v>
      </c>
      <c r="AX328" s="306">
        <v>14.16</v>
      </c>
      <c r="AY328" s="305">
        <v>71.650000000000006</v>
      </c>
      <c r="AZ328" s="306" cm="1">
        <f t="array" aca="1" ref="AZ328" ca="1">INDIRECT("'"&amp;$C328&amp;"'!"&amp;"$"&amp;$D328&amp;$AZ$1&amp;"")</f>
        <v>14.27</v>
      </c>
      <c r="BA328" s="304">
        <v>0.99</v>
      </c>
      <c r="BB328" s="302">
        <v>2.5</v>
      </c>
      <c r="BC328" s="307">
        <v>68.900000000000006</v>
      </c>
      <c r="BD328" s="301" cm="1">
        <f t="array" aca="1" ref="BD328" ca="1">INDIRECT("'"&amp;$C328&amp;"'!"&amp;"$"&amp;$D328&amp;$BC$1&amp;"")</f>
        <v>0</v>
      </c>
      <c r="BE328" s="303" t="s">
        <v>1</v>
      </c>
      <c r="BF328" s="302" t="s">
        <v>1</v>
      </c>
      <c r="BG328" s="306" cm="1">
        <f t="array" aca="1" ref="BG328" ca="1">INDIRECT("'"&amp;$C328&amp;"'!"&amp;"$"&amp;$D328&amp;$BG$1&amp;"")</f>
        <v>1.5</v>
      </c>
      <c r="BH328" s="304"/>
      <c r="BI328" s="304">
        <v>0.99</v>
      </c>
      <c r="BJ328" s="302">
        <v>0.17</v>
      </c>
      <c r="BK328" s="307" cm="1">
        <f t="array" aca="1" ref="BK328" ca="1">INDIRECT("'"&amp;$C328&amp;"'!"&amp;"$"&amp;$D328&amp;$BK$1&amp;"")</f>
        <v>0.82</v>
      </c>
      <c r="BL328" s="304"/>
      <c r="BM328" s="304">
        <v>0.97</v>
      </c>
      <c r="BN328" s="302">
        <v>0.2</v>
      </c>
      <c r="BO328" s="307" cm="1">
        <f t="array" aca="1" ref="BO328" ca="1">INDIRECT("'"&amp;$C328&amp;"'!"&amp;"$"&amp;$D328&amp;74&amp;"")</f>
        <v>0</v>
      </c>
      <c r="BP328" s="304"/>
      <c r="BQ328" s="304" t="s">
        <v>1</v>
      </c>
      <c r="BR328" s="302" t="s">
        <v>1</v>
      </c>
    </row>
    <row r="329" spans="1:70" ht="14.45" thickBot="1"/>
    <row r="330" spans="1:70">
      <c r="A330" s="360">
        <v>45761</v>
      </c>
      <c r="B330" s="357">
        <v>0</v>
      </c>
      <c r="C330" s="310">
        <f>C305+1</f>
        <v>14</v>
      </c>
      <c r="D330" s="311" t="s">
        <v>127</v>
      </c>
      <c r="E330" s="280">
        <v>14</v>
      </c>
      <c r="F330" s="281">
        <v>69.569999999999993</v>
      </c>
      <c r="G330" s="282" cm="1">
        <f t="array" aca="1" ref="G330" ca="1">INDIRECT("'"&amp;$C330&amp;"'!"&amp;"$"&amp;$D330&amp;$E$1&amp;"")</f>
        <v>6.7</v>
      </c>
      <c r="H330" s="283">
        <v>0.96</v>
      </c>
      <c r="I330" s="281">
        <v>1.85</v>
      </c>
      <c r="J330" s="282" cm="1">
        <f t="array" aca="1" ref="J330" ca="1">INDIRECT("'"&amp;$C330&amp;"'!"&amp;"$"&amp;$D330&amp;$J$1&amp;"")</f>
        <v>6.7</v>
      </c>
      <c r="K330" s="283"/>
      <c r="L330" s="283">
        <v>0.96</v>
      </c>
      <c r="M330" s="281">
        <v>1.83</v>
      </c>
      <c r="N330" s="282" cm="1">
        <f t="array" aca="1" ref="N330" ca="1">INDIRECT("'"&amp;$C330&amp;"'!"&amp;"$"&amp;$D330&amp;$N$1&amp;"")</f>
        <v>0</v>
      </c>
      <c r="O330" s="283"/>
      <c r="P330" s="283" t="s">
        <v>1</v>
      </c>
      <c r="Q330" s="281" t="s">
        <v>1</v>
      </c>
      <c r="R330" s="282" cm="1">
        <f t="array" aca="1" ref="R330" ca="1">INDIRECT("'"&amp;$C330&amp;"'!"&amp;"$"&amp;$D330&amp;$R$1&amp;"")</f>
        <v>0</v>
      </c>
      <c r="S330" s="283"/>
      <c r="T330" s="283" t="s">
        <v>1</v>
      </c>
      <c r="U330" s="281" t="s">
        <v>1</v>
      </c>
      <c r="V330" s="282" cm="1">
        <f t="array" aca="1" ref="V330" ca="1">INDIRECT("'"&amp;$C330&amp;"'!"&amp;"$"&amp;$D330&amp;$V$1&amp;"")</f>
        <v>2.8</v>
      </c>
      <c r="W330" s="283">
        <f>3.8*3.56</f>
        <v>13.527999999999999</v>
      </c>
      <c r="X330" s="283">
        <v>0.98</v>
      </c>
      <c r="Y330" s="284">
        <v>0.49</v>
      </c>
      <c r="Z330" s="280" cm="1">
        <f t="array" aca="1" ref="Z330" ca="1">INDIRECT("'"&amp;$C330&amp;"'!"&amp;"$"&amp;$D330&amp;$Z$1&amp;"")</f>
        <v>0</v>
      </c>
      <c r="AA330" s="283" t="s">
        <v>1</v>
      </c>
      <c r="AB330" s="283" t="s">
        <v>1</v>
      </c>
      <c r="AC330" s="281" t="s">
        <v>1</v>
      </c>
      <c r="AD330" s="282" cm="1">
        <f t="array" aca="1" ref="AD330" ca="1">INDIRECT("'"&amp;$C330&amp;"'!"&amp;"$"&amp;$D330&amp;$AD$1&amp;"")</f>
        <v>3.5</v>
      </c>
      <c r="AE330" s="283">
        <f>3.8*3.56</f>
        <v>13.527999999999999</v>
      </c>
      <c r="AF330" s="283">
        <v>0.98</v>
      </c>
      <c r="AG330" s="281">
        <v>0.65</v>
      </c>
      <c r="AH330" s="280" cm="1">
        <f t="array" aca="1" ref="AH330" ca="1">INDIRECT("'"&amp;$C330&amp;"'!"&amp;"$"&amp;$D330&amp;$AH$1&amp;"")</f>
        <v>3.8</v>
      </c>
      <c r="AI330" s="283">
        <v>14.04</v>
      </c>
      <c r="AJ330" s="283">
        <v>0.98</v>
      </c>
      <c r="AK330" s="281">
        <v>0.66600000000000004</v>
      </c>
      <c r="AL330" s="280" t="s">
        <v>1</v>
      </c>
      <c r="AM330" s="284" t="s">
        <v>1</v>
      </c>
      <c r="AN330" s="280" t="str" cm="1">
        <f t="array" aca="1" ref="AN330" ca="1">INDIRECT("'"&amp;$C330&amp;"'!"&amp;"$"&amp;$D330&amp;$AL$1&amp;"")</f>
        <v>CMS</v>
      </c>
      <c r="AO330" s="283" t="s">
        <v>1</v>
      </c>
      <c r="AP330" s="281" t="s">
        <v>1</v>
      </c>
      <c r="AQ330" s="282" t="str" cm="1">
        <f t="array" aca="1" ref="AQ330" ca="1">INDIRECT("'"&amp;$C330&amp;"'!"&amp;"$"&amp;$D330&amp;$AQ$1&amp;"")</f>
        <v>CMS</v>
      </c>
      <c r="AR330" s="283" t="s">
        <v>1</v>
      </c>
      <c r="AS330" s="281" t="s">
        <v>1</v>
      </c>
      <c r="AT330" s="283" cm="1">
        <f t="array" aca="1" ref="AT330" ca="1">INDIRECT("'"&amp;$C330&amp;"'!"&amp;"$"&amp;$D330&amp;$AT$1&amp;"")</f>
        <v>6.9</v>
      </c>
      <c r="AU330" s="282">
        <v>13.8</v>
      </c>
      <c r="AV330" s="283">
        <v>0.99</v>
      </c>
      <c r="AW330" s="281">
        <v>0.93799999999999994</v>
      </c>
      <c r="AX330" s="285">
        <v>14.16</v>
      </c>
      <c r="AY330" s="284">
        <v>71.7</v>
      </c>
      <c r="AZ330" s="285" cm="1">
        <f t="array" aca="1" ref="AZ330" ca="1">INDIRECT("'"&amp;$C330&amp;"'!"&amp;"$"&amp;$D330&amp;$AZ$1&amp;"")</f>
        <v>14.24</v>
      </c>
      <c r="BA330" s="283">
        <v>0.99</v>
      </c>
      <c r="BB330" s="281">
        <v>2.4</v>
      </c>
      <c r="BC330" s="281">
        <v>68.599999999999994</v>
      </c>
      <c r="BD330" s="280" cm="1">
        <f t="array" aca="1" ref="BD330" ca="1">INDIRECT("'"&amp;$C330&amp;"'!"&amp;"$"&amp;$D330&amp;$BC$1&amp;"")</f>
        <v>0.7</v>
      </c>
      <c r="BE330" s="282">
        <v>0.98</v>
      </c>
      <c r="BF330" s="281">
        <v>0.14000000000000001</v>
      </c>
      <c r="BG330" s="285" cm="1">
        <f t="array" aca="1" ref="BG330" ca="1">INDIRECT("'"&amp;$C330&amp;"'!"&amp;"$"&amp;$D330&amp;$BG$1&amp;"")</f>
        <v>1.04</v>
      </c>
      <c r="BH330" s="283"/>
      <c r="BI330" s="283">
        <v>0.99</v>
      </c>
      <c r="BJ330" s="281">
        <v>0.16</v>
      </c>
      <c r="BK330" s="285" cm="1">
        <f t="array" aca="1" ref="BK330" ca="1">INDIRECT("'"&amp;$C330&amp;"'!"&amp;"$"&amp;$D330&amp;$BK$1&amp;"")</f>
        <v>0.77</v>
      </c>
      <c r="BL330" s="283"/>
      <c r="BM330" s="283">
        <v>0.97</v>
      </c>
      <c r="BN330" s="281">
        <v>0.2</v>
      </c>
      <c r="BO330" s="373" cm="1">
        <f t="array" aca="1" ref="BO330" ca="1">INDIRECT("'"&amp;$C330&amp;"'!"&amp;"$"&amp;$D330&amp;74&amp;"")</f>
        <v>0</v>
      </c>
      <c r="BP330" s="283"/>
      <c r="BQ330" s="283" t="s">
        <v>1</v>
      </c>
      <c r="BR330" s="281" t="s">
        <v>1</v>
      </c>
    </row>
    <row r="331" spans="1:70">
      <c r="A331" s="361">
        <v>45761</v>
      </c>
      <c r="B331" s="358">
        <v>4.1666666666666699E-2</v>
      </c>
      <c r="C331" s="313">
        <f t="shared" ref="C331:C353" si="12">C306+1</f>
        <v>14</v>
      </c>
      <c r="D331" s="314" t="s">
        <v>128</v>
      </c>
      <c r="E331" s="286">
        <v>14</v>
      </c>
      <c r="F331" s="287">
        <v>69.680000000000007</v>
      </c>
      <c r="G331" s="288" cm="1">
        <f t="array" aca="1" ref="G331" ca="1">INDIRECT("'"&amp;$C331&amp;"'!"&amp;"$"&amp;$D331&amp;$E$1&amp;"")</f>
        <v>6.6</v>
      </c>
      <c r="H331" s="289">
        <v>0.98</v>
      </c>
      <c r="I331" s="287">
        <v>1.39</v>
      </c>
      <c r="J331" s="288" cm="1">
        <f t="array" aca="1" ref="J331" ca="1">INDIRECT("'"&amp;$C331&amp;"'!"&amp;"$"&amp;$D331&amp;$J$1&amp;"")</f>
        <v>6.6</v>
      </c>
      <c r="K331" s="289"/>
      <c r="L331" s="289">
        <v>0.98</v>
      </c>
      <c r="M331" s="287">
        <v>1.37</v>
      </c>
      <c r="N331" s="288" cm="1">
        <f t="array" aca="1" ref="N331" ca="1">INDIRECT("'"&amp;$C331&amp;"'!"&amp;"$"&amp;$D331&amp;$N$1&amp;"")</f>
        <v>0</v>
      </c>
      <c r="O331" s="289"/>
      <c r="P331" s="289" t="s">
        <v>1</v>
      </c>
      <c r="Q331" s="287" t="s">
        <v>1</v>
      </c>
      <c r="R331" s="288" cm="1">
        <f t="array" aca="1" ref="R331" ca="1">INDIRECT("'"&amp;$C331&amp;"'!"&amp;"$"&amp;$D331&amp;$R$1&amp;"")</f>
        <v>0</v>
      </c>
      <c r="S331" s="289"/>
      <c r="T331" s="289" t="s">
        <v>1</v>
      </c>
      <c r="U331" s="287" t="s">
        <v>1</v>
      </c>
      <c r="V331" s="288" cm="1">
        <f t="array" aca="1" ref="V331" ca="1">INDIRECT("'"&amp;$C331&amp;"'!"&amp;"$"&amp;$D331&amp;$V$1&amp;"")</f>
        <v>2.8</v>
      </c>
      <c r="W331" s="289">
        <f>3.8*3.56</f>
        <v>13.527999999999999</v>
      </c>
      <c r="X331" s="289">
        <v>0.98</v>
      </c>
      <c r="Y331" s="290">
        <v>0.66</v>
      </c>
      <c r="Z331" s="286" cm="1">
        <f t="array" aca="1" ref="Z331" ca="1">INDIRECT("'"&amp;$C331&amp;"'!"&amp;"$"&amp;$D331&amp;$Z$1&amp;"")</f>
        <v>0</v>
      </c>
      <c r="AA331" s="289" t="s">
        <v>1</v>
      </c>
      <c r="AB331" s="289" t="s">
        <v>1</v>
      </c>
      <c r="AC331" s="287" t="s">
        <v>1</v>
      </c>
      <c r="AD331" s="288" cm="1">
        <f t="array" aca="1" ref="AD331" ca="1">INDIRECT("'"&amp;$C331&amp;"'!"&amp;"$"&amp;$D331&amp;$AD$1&amp;"")</f>
        <v>3.5</v>
      </c>
      <c r="AE331" s="289">
        <f>3.8*3.56</f>
        <v>13.527999999999999</v>
      </c>
      <c r="AF331" s="289">
        <v>0.98</v>
      </c>
      <c r="AG331" s="290">
        <v>0.51</v>
      </c>
      <c r="AH331" s="286" cm="1">
        <f t="array" aca="1" ref="AH331" ca="1">INDIRECT("'"&amp;$C331&amp;"'!"&amp;"$"&amp;$D331&amp;$AH$1&amp;"")</f>
        <v>3.8</v>
      </c>
      <c r="AI331" s="289">
        <v>14.04</v>
      </c>
      <c r="AJ331" s="289">
        <v>0.98</v>
      </c>
      <c r="AK331" s="287">
        <v>0.55200000000000005</v>
      </c>
      <c r="AL331" s="286" t="s">
        <v>1</v>
      </c>
      <c r="AM331" s="290" t="s">
        <v>1</v>
      </c>
      <c r="AN331" s="286" t="str" cm="1">
        <f t="array" aca="1" ref="AN331" ca="1">INDIRECT("'"&amp;$C331&amp;"'!"&amp;"$"&amp;$D331&amp;$AL$1&amp;"")</f>
        <v>CMS</v>
      </c>
      <c r="AO331" s="289" t="s">
        <v>1</v>
      </c>
      <c r="AP331" s="287" t="s">
        <v>1</v>
      </c>
      <c r="AQ331" s="288" t="str" cm="1">
        <f t="array" aca="1" ref="AQ331" ca="1">INDIRECT("'"&amp;$C331&amp;"'!"&amp;"$"&amp;$D331&amp;$AQ$1&amp;"")</f>
        <v>CMS</v>
      </c>
      <c r="AR331" s="289" t="s">
        <v>1</v>
      </c>
      <c r="AS331" s="287" t="s">
        <v>1</v>
      </c>
      <c r="AT331" s="289" cm="1">
        <f t="array" aca="1" ref="AT331" ca="1">INDIRECT("'"&amp;$C331&amp;"'!"&amp;"$"&amp;$D331&amp;$AT$1&amp;"")</f>
        <v>4.8</v>
      </c>
      <c r="AU331" s="288">
        <v>13.8</v>
      </c>
      <c r="AV331" s="289">
        <v>0.98</v>
      </c>
      <c r="AW331" s="287">
        <v>0.87</v>
      </c>
      <c r="AX331" s="291">
        <v>14.18</v>
      </c>
      <c r="AY331" s="290">
        <v>71.77</v>
      </c>
      <c r="AZ331" s="291" cm="1">
        <f t="array" aca="1" ref="AZ331" ca="1">INDIRECT("'"&amp;$C331&amp;"'!"&amp;"$"&amp;$D331&amp;$AZ$1&amp;"")</f>
        <v>14.28</v>
      </c>
      <c r="BA331" s="289">
        <v>0.99</v>
      </c>
      <c r="BB331" s="287">
        <v>2.5</v>
      </c>
      <c r="BC331" s="292">
        <v>68.900000000000006</v>
      </c>
      <c r="BD331" s="286" cm="1">
        <f t="array" aca="1" ref="BD331" ca="1">INDIRECT("'"&amp;$C331&amp;"'!"&amp;"$"&amp;$D331&amp;$BC$1&amp;"")</f>
        <v>0</v>
      </c>
      <c r="BE331" s="288" t="s">
        <v>1</v>
      </c>
      <c r="BF331" s="287" t="s">
        <v>1</v>
      </c>
      <c r="BG331" s="291" cm="1">
        <f t="array" aca="1" ref="BG331" ca="1">INDIRECT("'"&amp;$C331&amp;"'!"&amp;"$"&amp;$D331&amp;$BG$1&amp;"")</f>
        <v>0.96</v>
      </c>
      <c r="BH331" s="289"/>
      <c r="BI331" s="289">
        <v>0.99</v>
      </c>
      <c r="BJ331" s="287">
        <v>0.14000000000000001</v>
      </c>
      <c r="BK331" s="291" cm="1">
        <f t="array" aca="1" ref="BK331" ca="1">INDIRECT("'"&amp;$C331&amp;"'!"&amp;"$"&amp;$D331&amp;$BK$1&amp;"")</f>
        <v>0.75</v>
      </c>
      <c r="BL331" s="289"/>
      <c r="BM331" s="289">
        <v>0.96</v>
      </c>
      <c r="BN331" s="287">
        <v>0.19</v>
      </c>
      <c r="BO331" s="292" cm="1">
        <f t="array" aca="1" ref="BO331" ca="1">INDIRECT("'"&amp;$C331&amp;"'!"&amp;"$"&amp;$D331&amp;74&amp;"")</f>
        <v>0</v>
      </c>
      <c r="BP331" s="289"/>
      <c r="BQ331" s="289" t="s">
        <v>1</v>
      </c>
      <c r="BR331" s="287" t="s">
        <v>1</v>
      </c>
    </row>
    <row r="332" spans="1:70">
      <c r="A332" s="361">
        <v>45761</v>
      </c>
      <c r="B332" s="358">
        <v>8.3333333333333301E-2</v>
      </c>
      <c r="C332" s="313">
        <f t="shared" si="12"/>
        <v>14</v>
      </c>
      <c r="D332" s="314" t="s">
        <v>129</v>
      </c>
      <c r="E332" s="293">
        <v>14.1</v>
      </c>
      <c r="F332" s="294">
        <v>69.849999999999994</v>
      </c>
      <c r="G332" s="295" cm="1">
        <f t="array" aca="1" ref="G332" ca="1">INDIRECT("'"&amp;$C332&amp;"'!"&amp;"$"&amp;$D332&amp;$E$1&amp;"")</f>
        <v>6.5</v>
      </c>
      <c r="H332" s="296">
        <v>0.99</v>
      </c>
      <c r="I332" s="294">
        <v>0.71</v>
      </c>
      <c r="J332" s="295" cm="1">
        <f t="array" aca="1" ref="J332" ca="1">INDIRECT("'"&amp;$C332&amp;"'!"&amp;"$"&amp;$D332&amp;$J$1&amp;"")</f>
        <v>6.5</v>
      </c>
      <c r="K332" s="296"/>
      <c r="L332" s="296">
        <v>0.99</v>
      </c>
      <c r="M332" s="294">
        <v>0.71</v>
      </c>
      <c r="N332" s="295" cm="1">
        <f t="array" aca="1" ref="N332" ca="1">INDIRECT("'"&amp;$C332&amp;"'!"&amp;"$"&amp;$D332&amp;$N$1&amp;"")</f>
        <v>0</v>
      </c>
      <c r="O332" s="296"/>
      <c r="P332" s="296" t="s">
        <v>1</v>
      </c>
      <c r="Q332" s="294" t="s">
        <v>1</v>
      </c>
      <c r="R332" s="295" cm="1">
        <f t="array" aca="1" ref="R332" ca="1">INDIRECT("'"&amp;$C332&amp;"'!"&amp;"$"&amp;$D332&amp;$R$1&amp;"")</f>
        <v>0</v>
      </c>
      <c r="S332" s="296"/>
      <c r="T332" s="296" t="s">
        <v>1</v>
      </c>
      <c r="U332" s="294" t="s">
        <v>1</v>
      </c>
      <c r="V332" s="295" cm="1">
        <f t="array" aca="1" ref="V332" ca="1">INDIRECT("'"&amp;$C332&amp;"'!"&amp;"$"&amp;$D332&amp;$V$1&amp;"")</f>
        <v>2.8</v>
      </c>
      <c r="W332" s="296">
        <f>3.8*3.58</f>
        <v>13.603999999999999</v>
      </c>
      <c r="X332" s="296">
        <v>0.98</v>
      </c>
      <c r="Y332" s="297">
        <v>0.48</v>
      </c>
      <c r="Z332" s="293" cm="1">
        <f t="array" aca="1" ref="Z332" ca="1">INDIRECT("'"&amp;$C332&amp;"'!"&amp;"$"&amp;$D332&amp;$Z$1&amp;"")</f>
        <v>0</v>
      </c>
      <c r="AA332" s="296" t="s">
        <v>1</v>
      </c>
      <c r="AB332" s="296" t="s">
        <v>1</v>
      </c>
      <c r="AC332" s="294" t="s">
        <v>1</v>
      </c>
      <c r="AD332" s="295" cm="1">
        <f t="array" aca="1" ref="AD332" ca="1">INDIRECT("'"&amp;$C332&amp;"'!"&amp;"$"&amp;$D332&amp;$AD$1&amp;"")</f>
        <v>3.5</v>
      </c>
      <c r="AE332" s="296">
        <f>3.8*3.58</f>
        <v>13.603999999999999</v>
      </c>
      <c r="AF332" s="296">
        <v>0.98</v>
      </c>
      <c r="AG332" s="297">
        <v>0.64</v>
      </c>
      <c r="AH332" s="293" cm="1">
        <f t="array" aca="1" ref="AH332" ca="1">INDIRECT("'"&amp;$C332&amp;"'!"&amp;"$"&amp;$D332&amp;$AH$1&amp;"")</f>
        <v>3.8</v>
      </c>
      <c r="AI332" s="296">
        <v>14.08</v>
      </c>
      <c r="AJ332" s="296">
        <v>0.99</v>
      </c>
      <c r="AK332" s="297">
        <v>0.52900000000000003</v>
      </c>
      <c r="AL332" s="293" t="s">
        <v>1</v>
      </c>
      <c r="AM332" s="297" t="s">
        <v>1</v>
      </c>
      <c r="AN332" s="293" t="str" cm="1">
        <f t="array" aca="1" ref="AN332" ca="1">INDIRECT("'"&amp;$C332&amp;"'!"&amp;"$"&amp;$D332&amp;$AL$1&amp;"")</f>
        <v>CMS</v>
      </c>
      <c r="AO332" s="296" t="s">
        <v>1</v>
      </c>
      <c r="AP332" s="294" t="s">
        <v>1</v>
      </c>
      <c r="AQ332" s="295" t="str" cm="1">
        <f t="array" aca="1" ref="AQ332" ca="1">INDIRECT("'"&amp;$C332&amp;"'!"&amp;"$"&amp;$D332&amp;$AQ$1&amp;"")</f>
        <v>CMS</v>
      </c>
      <c r="AR332" s="296" t="s">
        <v>1</v>
      </c>
      <c r="AS332" s="294" t="s">
        <v>1</v>
      </c>
      <c r="AT332" s="296" cm="1">
        <f t="array" aca="1" ref="AT332" ca="1">INDIRECT("'"&amp;$C332&amp;"'!"&amp;"$"&amp;$D332&amp;$AT$1&amp;"")</f>
        <v>2.6</v>
      </c>
      <c r="AU332" s="295">
        <v>13.8</v>
      </c>
      <c r="AV332" s="296">
        <v>0.95</v>
      </c>
      <c r="AW332" s="294">
        <v>0.92</v>
      </c>
      <c r="AX332" s="298">
        <v>14.19</v>
      </c>
      <c r="AY332" s="297">
        <v>71.849999999999994</v>
      </c>
      <c r="AZ332" s="298" cm="1">
        <f t="array" aca="1" ref="AZ332" ca="1">INDIRECT("'"&amp;$C332&amp;"'!"&amp;"$"&amp;$D332&amp;$AZ$1&amp;"")</f>
        <v>14.26</v>
      </c>
      <c r="BA332" s="296">
        <v>0.99</v>
      </c>
      <c r="BB332" s="294">
        <v>2.5</v>
      </c>
      <c r="BC332" s="299">
        <v>69</v>
      </c>
      <c r="BD332" s="293" cm="1">
        <f t="array" aca="1" ref="BD332" ca="1">INDIRECT("'"&amp;$C332&amp;"'!"&amp;"$"&amp;$D332&amp;$BC$1&amp;"")</f>
        <v>0</v>
      </c>
      <c r="BE332" s="295" t="s">
        <v>1</v>
      </c>
      <c r="BF332" s="294" t="s">
        <v>1</v>
      </c>
      <c r="BG332" s="298" cm="1">
        <f t="array" aca="1" ref="BG332" ca="1">INDIRECT("'"&amp;$C332&amp;"'!"&amp;"$"&amp;$D332&amp;$BG$1&amp;"")</f>
        <v>0.92</v>
      </c>
      <c r="BH332" s="296"/>
      <c r="BI332" s="296">
        <v>0.99</v>
      </c>
      <c r="BJ332" s="294">
        <v>0.13</v>
      </c>
      <c r="BK332" s="298" cm="1">
        <f t="array" aca="1" ref="BK332" ca="1">INDIRECT("'"&amp;$C332&amp;"'!"&amp;"$"&amp;$D332&amp;$BK$1&amp;"")</f>
        <v>0.73</v>
      </c>
      <c r="BL332" s="296"/>
      <c r="BM332" s="296">
        <v>0.96</v>
      </c>
      <c r="BN332" s="294">
        <v>0.19</v>
      </c>
      <c r="BO332" s="299" cm="1">
        <f t="array" aca="1" ref="BO332" ca="1">INDIRECT("'"&amp;$C332&amp;"'!"&amp;"$"&amp;$D332&amp;74&amp;"")</f>
        <v>0</v>
      </c>
      <c r="BP332" s="296"/>
      <c r="BQ332" s="296" t="s">
        <v>1</v>
      </c>
      <c r="BR332" s="294" t="s">
        <v>1</v>
      </c>
    </row>
    <row r="333" spans="1:70">
      <c r="A333" s="361">
        <v>45761</v>
      </c>
      <c r="B333" s="358">
        <v>0.125</v>
      </c>
      <c r="C333" s="313">
        <f t="shared" si="12"/>
        <v>14</v>
      </c>
      <c r="D333" s="314" t="s">
        <v>130</v>
      </c>
      <c r="E333" s="286" t="s">
        <v>1</v>
      </c>
      <c r="F333" s="287">
        <v>69.23</v>
      </c>
      <c r="G333" s="288" t="str" cm="1">
        <f t="array" aca="1" ref="G333" ca="1">INDIRECT("'"&amp;$C333&amp;"'!"&amp;"$"&amp;$D333&amp;$E$1&amp;"")</f>
        <v>CMS</v>
      </c>
      <c r="H333" s="289" t="s">
        <v>1</v>
      </c>
      <c r="I333" s="287" t="s">
        <v>1</v>
      </c>
      <c r="J333" s="288" t="str" cm="1">
        <f t="array" aca="1" ref="J333" ca="1">INDIRECT("'"&amp;$C333&amp;"'!"&amp;"$"&amp;$D333&amp;$J$1&amp;"")</f>
        <v>CMS</v>
      </c>
      <c r="K333" s="289"/>
      <c r="L333" s="289" t="s">
        <v>1</v>
      </c>
      <c r="M333" s="287" t="s">
        <v>1</v>
      </c>
      <c r="N333" s="288" cm="1">
        <f t="array" aca="1" ref="N333" ca="1">INDIRECT("'"&amp;$C333&amp;"'!"&amp;"$"&amp;$D333&amp;$N$1&amp;"")</f>
        <v>0</v>
      </c>
      <c r="O333" s="289"/>
      <c r="P333" s="289" t="s">
        <v>1</v>
      </c>
      <c r="Q333" s="287" t="s">
        <v>1</v>
      </c>
      <c r="R333" s="288" cm="1">
        <f t="array" aca="1" ref="R333" ca="1">INDIRECT("'"&amp;$C333&amp;"'!"&amp;"$"&amp;$D333&amp;$R$1&amp;"")</f>
        <v>0</v>
      </c>
      <c r="S333" s="289"/>
      <c r="T333" s="289" t="s">
        <v>1</v>
      </c>
      <c r="U333" s="287" t="s">
        <v>1</v>
      </c>
      <c r="V333" s="288" cm="1">
        <f t="array" aca="1" ref="V333" ca="1">INDIRECT("'"&amp;$C333&amp;"'!"&amp;"$"&amp;$D333&amp;$V$1&amp;"")</f>
        <v>2.8</v>
      </c>
      <c r="W333" s="289">
        <f>3.56*3.8</f>
        <v>13.527999999999999</v>
      </c>
      <c r="X333" s="289">
        <v>0.98</v>
      </c>
      <c r="Y333" s="290">
        <v>0.47</v>
      </c>
      <c r="Z333" s="286" cm="1">
        <f t="array" aca="1" ref="Z333" ca="1">INDIRECT("'"&amp;$C333&amp;"'!"&amp;"$"&amp;$D333&amp;$Z$1&amp;"")</f>
        <v>0</v>
      </c>
      <c r="AA333" s="289" t="s">
        <v>1</v>
      </c>
      <c r="AB333" s="289" t="s">
        <v>1</v>
      </c>
      <c r="AC333" s="287" t="s">
        <v>1</v>
      </c>
      <c r="AD333" s="288" cm="1">
        <f t="array" aca="1" ref="AD333" ca="1">INDIRECT("'"&amp;$C333&amp;"'!"&amp;"$"&amp;$D333&amp;$AD$1&amp;"")</f>
        <v>3.4</v>
      </c>
      <c r="AE333" s="289">
        <v>13.527999999999999</v>
      </c>
      <c r="AF333" s="289">
        <v>0.98</v>
      </c>
      <c r="AG333" s="290">
        <v>0.61</v>
      </c>
      <c r="AH333" s="286" cm="1">
        <f t="array" aca="1" ref="AH333" ca="1">INDIRECT("'"&amp;$C333&amp;"'!"&amp;"$"&amp;$D333&amp;$AH$1&amp;"")</f>
        <v>3.8</v>
      </c>
      <c r="AI333" s="289">
        <v>14.08</v>
      </c>
      <c r="AJ333" s="289">
        <v>0.99</v>
      </c>
      <c r="AK333" s="287">
        <v>0.36899999999999999</v>
      </c>
      <c r="AL333" s="286">
        <v>11.9</v>
      </c>
      <c r="AM333" s="290">
        <v>70.8</v>
      </c>
      <c r="AN333" s="286" cm="1">
        <f t="array" aca="1" ref="AN333" ca="1">INDIRECT("'"&amp;$C333&amp;"'!"&amp;"$"&amp;$D333&amp;$AL$1&amp;"")</f>
        <v>3.6</v>
      </c>
      <c r="AO333" s="289">
        <v>0.98</v>
      </c>
      <c r="AP333" s="287">
        <v>0.98</v>
      </c>
      <c r="AQ333" s="288" t="str" cm="1">
        <f t="array" aca="1" ref="AQ333" ca="1">INDIRECT("'"&amp;$C333&amp;"'!"&amp;"$"&amp;$D333&amp;$AQ$1&amp;"")</f>
        <v>CMS</v>
      </c>
      <c r="AR333" s="289" t="s">
        <v>1</v>
      </c>
      <c r="AS333" s="287" t="s">
        <v>1</v>
      </c>
      <c r="AT333" s="289" cm="1">
        <f t="array" aca="1" ref="AT333" ca="1">INDIRECT("'"&amp;$C333&amp;"'!"&amp;"$"&amp;$D333&amp;$AT$1&amp;"")</f>
        <v>6.6</v>
      </c>
      <c r="AU333" s="288">
        <v>13.8</v>
      </c>
      <c r="AV333" s="289">
        <v>1</v>
      </c>
      <c r="AW333" s="287">
        <v>0.42</v>
      </c>
      <c r="AX333" s="291">
        <v>14.25</v>
      </c>
      <c r="AY333" s="290">
        <v>72.12</v>
      </c>
      <c r="AZ333" s="291" cm="1">
        <f t="array" aca="1" ref="AZ333" ca="1">INDIRECT("'"&amp;$C333&amp;"'!"&amp;"$"&amp;$D333&amp;$AZ$1&amp;"")</f>
        <v>14.3</v>
      </c>
      <c r="BA333" s="289">
        <v>0.99</v>
      </c>
      <c r="BB333" s="287">
        <v>2.4</v>
      </c>
      <c r="BC333" s="292">
        <v>68.599999999999994</v>
      </c>
      <c r="BD333" s="286" cm="1">
        <f t="array" aca="1" ref="BD333" ca="1">INDIRECT("'"&amp;$C333&amp;"'!"&amp;"$"&amp;$D333&amp;$BC$1&amp;"")</f>
        <v>4.2</v>
      </c>
      <c r="BE333" s="288">
        <v>0.98</v>
      </c>
      <c r="BF333" s="287">
        <v>0.83</v>
      </c>
      <c r="BG333" s="291" cm="1">
        <f t="array" aca="1" ref="BG333" ca="1">INDIRECT("'"&amp;$C333&amp;"'!"&amp;"$"&amp;$D333&amp;$BG$1&amp;"")</f>
        <v>0.89</v>
      </c>
      <c r="BH333" s="289"/>
      <c r="BI333" s="289">
        <v>0.99</v>
      </c>
      <c r="BJ333" s="287">
        <v>0.12</v>
      </c>
      <c r="BK333" s="291" cm="1">
        <f t="array" aca="1" ref="BK333" ca="1">INDIRECT("'"&amp;$C333&amp;"'!"&amp;"$"&amp;$D333&amp;$BK$1&amp;"")</f>
        <v>0.7</v>
      </c>
      <c r="BL333" s="289"/>
      <c r="BM333" s="289">
        <v>0.96</v>
      </c>
      <c r="BN333" s="287">
        <v>0.18</v>
      </c>
      <c r="BO333" s="292" cm="1">
        <f t="array" aca="1" ref="BO333" ca="1">INDIRECT("'"&amp;$C333&amp;"'!"&amp;"$"&amp;$D333&amp;74&amp;"")</f>
        <v>0</v>
      </c>
      <c r="BP333" s="289"/>
      <c r="BQ333" s="289" t="s">
        <v>1</v>
      </c>
      <c r="BR333" s="287" t="s">
        <v>1</v>
      </c>
    </row>
    <row r="334" spans="1:70">
      <c r="A334" s="361">
        <v>45761</v>
      </c>
      <c r="B334" s="358">
        <v>0.16666666666666699</v>
      </c>
      <c r="C334" s="313">
        <f t="shared" si="12"/>
        <v>14</v>
      </c>
      <c r="D334" s="314" t="s">
        <v>131</v>
      </c>
      <c r="E334" s="293">
        <v>13.8</v>
      </c>
      <c r="F334" s="294">
        <v>68.91</v>
      </c>
      <c r="G334" s="295" cm="1">
        <f t="array" aca="1" ref="G334" ca="1">INDIRECT("'"&amp;$C334&amp;"'!"&amp;"$"&amp;$D334&amp;$E$1&amp;"")</f>
        <v>1.5</v>
      </c>
      <c r="H334" s="296">
        <v>0.91</v>
      </c>
      <c r="I334" s="294">
        <v>0.83</v>
      </c>
      <c r="J334" s="295" cm="1">
        <f t="array" aca="1" ref="J334" ca="1">INDIRECT("'"&amp;$C334&amp;"'!"&amp;"$"&amp;$D334&amp;$J$1&amp;"")</f>
        <v>0</v>
      </c>
      <c r="K334" s="296"/>
      <c r="L334" s="296" t="s">
        <v>1</v>
      </c>
      <c r="M334" s="294" t="s">
        <v>1</v>
      </c>
      <c r="N334" s="295" cm="1">
        <f t="array" aca="1" ref="N334" ca="1">INDIRECT("'"&amp;$C334&amp;"'!"&amp;"$"&amp;$D334&amp;$N$1&amp;"")</f>
        <v>0</v>
      </c>
      <c r="O334" s="296"/>
      <c r="P334" s="296" t="s">
        <v>1</v>
      </c>
      <c r="Q334" s="294" t="s">
        <v>1</v>
      </c>
      <c r="R334" s="295" cm="1">
        <f t="array" aca="1" ref="R334" ca="1">INDIRECT("'"&amp;$C334&amp;"'!"&amp;"$"&amp;$D334&amp;$R$1&amp;"")</f>
        <v>0</v>
      </c>
      <c r="S334" s="296"/>
      <c r="T334" s="296" t="s">
        <v>1</v>
      </c>
      <c r="U334" s="294" t="s">
        <v>1</v>
      </c>
      <c r="V334" s="295" cm="1">
        <f t="array" aca="1" ref="V334" ca="1">INDIRECT("'"&amp;$C334&amp;"'!"&amp;"$"&amp;$D334&amp;$V$1&amp;"")</f>
        <v>2.8</v>
      </c>
      <c r="W334" s="296">
        <f>3.58*3.8</f>
        <v>13.603999999999999</v>
      </c>
      <c r="X334" s="296">
        <v>0.98</v>
      </c>
      <c r="Y334" s="297">
        <v>0.47</v>
      </c>
      <c r="Z334" s="293" cm="1">
        <f t="array" aca="1" ref="Z334" ca="1">INDIRECT("'"&amp;$C334&amp;"'!"&amp;"$"&amp;$D334&amp;$Z$1&amp;"")</f>
        <v>0</v>
      </c>
      <c r="AA334" s="296" t="s">
        <v>1</v>
      </c>
      <c r="AB334" s="296" t="s">
        <v>1</v>
      </c>
      <c r="AC334" s="294" t="s">
        <v>1</v>
      </c>
      <c r="AD334" s="295" cm="1">
        <f t="array" aca="1" ref="AD334" ca="1">INDIRECT("'"&amp;$C334&amp;"'!"&amp;"$"&amp;$D334&amp;$AD$1&amp;"")</f>
        <v>3.4</v>
      </c>
      <c r="AE334" s="296">
        <v>13.603999999999999</v>
      </c>
      <c r="AF334" s="296">
        <v>0.98</v>
      </c>
      <c r="AG334" s="297">
        <v>0.63</v>
      </c>
      <c r="AH334" s="293" cm="1">
        <f t="array" aca="1" ref="AH334" ca="1">INDIRECT("'"&amp;$C334&amp;"'!"&amp;"$"&amp;$D334&amp;$AH$1&amp;"")</f>
        <v>3.8</v>
      </c>
      <c r="AI334" s="296">
        <v>14.12</v>
      </c>
      <c r="AJ334" s="296">
        <v>0.99</v>
      </c>
      <c r="AK334" s="297">
        <v>0.29399999999999998</v>
      </c>
      <c r="AL334" s="293">
        <v>11.9</v>
      </c>
      <c r="AM334" s="297">
        <v>70.900000000000006</v>
      </c>
      <c r="AN334" s="293" cm="1">
        <f t="array" aca="1" ref="AN334" ca="1">INDIRECT("'"&amp;$C334&amp;"'!"&amp;"$"&amp;$D334&amp;$AL$1&amp;"")</f>
        <v>3.3</v>
      </c>
      <c r="AO334" s="296">
        <v>0.96</v>
      </c>
      <c r="AP334" s="294">
        <v>0.84</v>
      </c>
      <c r="AQ334" s="295" t="str" cm="1">
        <f t="array" aca="1" ref="AQ334" ca="1">INDIRECT("'"&amp;$C334&amp;"'!"&amp;"$"&amp;$D334&amp;$AQ$1&amp;"")</f>
        <v>CMS</v>
      </c>
      <c r="AR334" s="296" t="s">
        <v>1</v>
      </c>
      <c r="AS334" s="294" t="s">
        <v>1</v>
      </c>
      <c r="AT334" s="296" cm="1">
        <f t="array" aca="1" ref="AT334" ca="1">INDIRECT("'"&amp;$C334&amp;"'!"&amp;"$"&amp;$D334&amp;$AT$1&amp;"")</f>
        <v>5.6</v>
      </c>
      <c r="AU334" s="295">
        <v>13.8</v>
      </c>
      <c r="AV334" s="296">
        <v>1</v>
      </c>
      <c r="AW334" s="294">
        <v>0.22</v>
      </c>
      <c r="AX334" s="298">
        <v>14.26</v>
      </c>
      <c r="AY334" s="297">
        <v>72.17</v>
      </c>
      <c r="AZ334" s="298" cm="1">
        <f t="array" aca="1" ref="AZ334" ca="1">INDIRECT("'"&amp;$C334&amp;"'!"&amp;"$"&amp;$D334&amp;$AZ$1&amp;"")</f>
        <v>14.28</v>
      </c>
      <c r="BA334" s="296">
        <v>0.99</v>
      </c>
      <c r="BB334" s="294">
        <v>2.5</v>
      </c>
      <c r="BC334" s="299">
        <v>68.7</v>
      </c>
      <c r="BD334" s="293" cm="1">
        <f t="array" aca="1" ref="BD334" ca="1">INDIRECT("'"&amp;$C334&amp;"'!"&amp;"$"&amp;$D334&amp;$BC$1&amp;"")</f>
        <v>3.3999999999999995</v>
      </c>
      <c r="BE334" s="295">
        <v>0.98</v>
      </c>
      <c r="BF334" s="294">
        <v>0.7</v>
      </c>
      <c r="BG334" s="298" cm="1">
        <f t="array" aca="1" ref="BG334" ca="1">INDIRECT("'"&amp;$C334&amp;"'!"&amp;"$"&amp;$D334&amp;$BG$1&amp;"")</f>
        <v>0.87</v>
      </c>
      <c r="BH334" s="296"/>
      <c r="BI334" s="296">
        <v>0.99</v>
      </c>
      <c r="BJ334" s="294">
        <v>0.11</v>
      </c>
      <c r="BK334" s="298" cm="1">
        <f t="array" aca="1" ref="BK334" ca="1">INDIRECT("'"&amp;$C334&amp;"'!"&amp;"$"&amp;$D334&amp;$BK$1&amp;"")</f>
        <v>0.7</v>
      </c>
      <c r="BL334" s="296"/>
      <c r="BM334" s="296">
        <v>0.96</v>
      </c>
      <c r="BN334" s="294">
        <v>0.18</v>
      </c>
      <c r="BO334" s="299" cm="1">
        <f t="array" aca="1" ref="BO334" ca="1">INDIRECT("'"&amp;$C334&amp;"'!"&amp;"$"&amp;$D334&amp;74&amp;"")</f>
        <v>0</v>
      </c>
      <c r="BP334" s="296"/>
      <c r="BQ334" s="296" t="s">
        <v>1</v>
      </c>
      <c r="BR334" s="294" t="s">
        <v>1</v>
      </c>
    </row>
    <row r="335" spans="1:70">
      <c r="A335" s="361">
        <v>45761</v>
      </c>
      <c r="B335" s="358">
        <v>0.20833333333333301</v>
      </c>
      <c r="C335" s="313">
        <f t="shared" si="12"/>
        <v>14</v>
      </c>
      <c r="D335" s="314" t="s">
        <v>132</v>
      </c>
      <c r="E335" s="286">
        <v>14</v>
      </c>
      <c r="F335" s="287">
        <v>69.53</v>
      </c>
      <c r="G335" s="288" cm="1">
        <f t="array" aca="1" ref="G335" ca="1">INDIRECT("'"&amp;$C335&amp;"'!"&amp;"$"&amp;$D335&amp;$E$1&amp;"")</f>
        <v>6.8</v>
      </c>
      <c r="H335" s="289">
        <v>0.97</v>
      </c>
      <c r="I335" s="287">
        <v>1.31</v>
      </c>
      <c r="J335" s="288" cm="1">
        <f t="array" aca="1" ref="J335" ca="1">INDIRECT("'"&amp;$C335&amp;"'!"&amp;"$"&amp;$D335&amp;$J$1&amp;"")</f>
        <v>6.8</v>
      </c>
      <c r="K335" s="289"/>
      <c r="L335" s="289">
        <v>0.97</v>
      </c>
      <c r="M335" s="287">
        <v>1.39</v>
      </c>
      <c r="N335" s="288" cm="1">
        <f t="array" aca="1" ref="N335" ca="1">INDIRECT("'"&amp;$C335&amp;"'!"&amp;"$"&amp;$D335&amp;$N$1&amp;"")</f>
        <v>0</v>
      </c>
      <c r="O335" s="289"/>
      <c r="P335" s="289" t="s">
        <v>1</v>
      </c>
      <c r="Q335" s="287" t="s">
        <v>1</v>
      </c>
      <c r="R335" s="288" cm="1">
        <f t="array" aca="1" ref="R335" ca="1">INDIRECT("'"&amp;$C335&amp;"'!"&amp;"$"&amp;$D335&amp;$R$1&amp;"")</f>
        <v>0</v>
      </c>
      <c r="S335" s="289"/>
      <c r="T335" s="289" t="s">
        <v>1</v>
      </c>
      <c r="U335" s="287" t="s">
        <v>1</v>
      </c>
      <c r="V335" s="288" cm="1">
        <f t="array" aca="1" ref="V335" ca="1">INDIRECT("'"&amp;$C335&amp;"'!"&amp;"$"&amp;$D335&amp;$V$1&amp;"")</f>
        <v>2.8</v>
      </c>
      <c r="W335" s="289">
        <f>3.53*3.8</f>
        <v>13.413999999999998</v>
      </c>
      <c r="X335" s="289">
        <v>0.98</v>
      </c>
      <c r="Y335" s="290">
        <v>0.51</v>
      </c>
      <c r="Z335" s="286" cm="1">
        <f t="array" aca="1" ref="Z335" ca="1">INDIRECT("'"&amp;$C335&amp;"'!"&amp;"$"&amp;$D335&amp;$Z$1&amp;"")</f>
        <v>0</v>
      </c>
      <c r="AA335" s="289" t="s">
        <v>1</v>
      </c>
      <c r="AB335" s="289" t="s">
        <v>1</v>
      </c>
      <c r="AC335" s="287" t="s">
        <v>1</v>
      </c>
      <c r="AD335" s="288" t="str" cm="1">
        <f t="array" aca="1" ref="AD335" ca="1">INDIRECT("'"&amp;$C335&amp;"'!"&amp;"$"&amp;$D335&amp;$AD$1&amp;"")</f>
        <v>CMS</v>
      </c>
      <c r="AE335" s="289" t="s">
        <v>1</v>
      </c>
      <c r="AF335" s="289" t="s">
        <v>1</v>
      </c>
      <c r="AG335" s="290" t="s">
        <v>1</v>
      </c>
      <c r="AH335" s="286" cm="1">
        <f t="array" aca="1" ref="AH335" ca="1">INDIRECT("'"&amp;$C335&amp;"'!"&amp;"$"&amp;$D335&amp;$AH$1&amp;"")</f>
        <v>3.8</v>
      </c>
      <c r="AI335" s="289">
        <v>14.08</v>
      </c>
      <c r="AJ335" s="289">
        <v>0.99</v>
      </c>
      <c r="AK335" s="287">
        <v>0.44400000000000001</v>
      </c>
      <c r="AL335" s="286">
        <v>11.9</v>
      </c>
      <c r="AM335" s="290">
        <v>70.599999999999994</v>
      </c>
      <c r="AN335" s="286" cm="1">
        <f t="array" aca="1" ref="AN335" ca="1">INDIRECT("'"&amp;$C335&amp;"'!"&amp;"$"&amp;$D335&amp;$AL$1&amp;"")</f>
        <v>4.5</v>
      </c>
      <c r="AO335" s="289">
        <v>0.96</v>
      </c>
      <c r="AP335" s="287">
        <v>1.2</v>
      </c>
      <c r="AQ335" s="288" t="str" cm="1">
        <f t="array" aca="1" ref="AQ335" ca="1">INDIRECT("'"&amp;$C335&amp;"'!"&amp;"$"&amp;$D335&amp;$AQ$1&amp;"")</f>
        <v>CMS</v>
      </c>
      <c r="AR335" s="289" t="s">
        <v>1</v>
      </c>
      <c r="AS335" s="287" t="s">
        <v>1</v>
      </c>
      <c r="AT335" s="289" cm="1">
        <f t="array" aca="1" ref="AT335" ca="1">INDIRECT("'"&amp;$C335&amp;"'!"&amp;"$"&amp;$D335&amp;$AT$1&amp;"")</f>
        <v>0</v>
      </c>
      <c r="AU335" s="288" t="s">
        <v>1</v>
      </c>
      <c r="AV335" s="289" t="s">
        <v>1</v>
      </c>
      <c r="AW335" s="287" t="s">
        <v>1</v>
      </c>
      <c r="AX335" s="291">
        <v>14.19</v>
      </c>
      <c r="AY335" s="290">
        <v>71.73</v>
      </c>
      <c r="AZ335" s="291" cm="1">
        <f t="array" aca="1" ref="AZ335" ca="1">INDIRECT("'"&amp;$C335&amp;"'!"&amp;"$"&amp;$D335&amp;$AZ$1&amp;"")</f>
        <v>14.24</v>
      </c>
      <c r="BA335" s="289">
        <v>0.99</v>
      </c>
      <c r="BB335" s="287">
        <v>2.4</v>
      </c>
      <c r="BC335" s="292">
        <v>68.3</v>
      </c>
      <c r="BD335" s="286" cm="1">
        <f t="array" aca="1" ref="BD335" ca="1">INDIRECT("'"&amp;$C335&amp;"'!"&amp;"$"&amp;$D335&amp;$BC$1&amp;"")</f>
        <v>0</v>
      </c>
      <c r="BE335" s="288" t="s">
        <v>1</v>
      </c>
      <c r="BF335" s="287" t="s">
        <v>1</v>
      </c>
      <c r="BG335" s="291" cm="1">
        <f t="array" aca="1" ref="BG335" ca="1">INDIRECT("'"&amp;$C335&amp;"'!"&amp;"$"&amp;$D335&amp;$BG$1&amp;"")</f>
        <v>0.93</v>
      </c>
      <c r="BH335" s="289"/>
      <c r="BI335" s="289">
        <v>0.99</v>
      </c>
      <c r="BJ335" s="287">
        <v>0.11</v>
      </c>
      <c r="BK335" s="291" cm="1">
        <f t="array" aca="1" ref="BK335" ca="1">INDIRECT("'"&amp;$C335&amp;"'!"&amp;"$"&amp;$D335&amp;$BK$1&amp;"")</f>
        <v>0.72</v>
      </c>
      <c r="BL335" s="289"/>
      <c r="BM335" s="289">
        <v>0.97</v>
      </c>
      <c r="BN335" s="287">
        <v>0.18</v>
      </c>
      <c r="BO335" s="292" cm="1">
        <f t="array" aca="1" ref="BO335" ca="1">INDIRECT("'"&amp;$C335&amp;"'!"&amp;"$"&amp;$D335&amp;74&amp;"")</f>
        <v>0</v>
      </c>
      <c r="BP335" s="289"/>
      <c r="BQ335" s="289" t="s">
        <v>1</v>
      </c>
      <c r="BR335" s="287" t="s">
        <v>1</v>
      </c>
    </row>
    <row r="336" spans="1:70">
      <c r="A336" s="361">
        <v>45761</v>
      </c>
      <c r="B336" s="358">
        <v>0.25</v>
      </c>
      <c r="C336" s="313">
        <f t="shared" si="12"/>
        <v>14</v>
      </c>
      <c r="D336" s="314" t="s">
        <v>133</v>
      </c>
      <c r="E336" s="293">
        <v>14</v>
      </c>
      <c r="F336" s="294">
        <v>70.13</v>
      </c>
      <c r="G336" s="295" cm="1">
        <f t="array" aca="1" ref="G336" ca="1">INDIRECT("'"&amp;$C336&amp;"'!"&amp;"$"&amp;$D336&amp;$E$1&amp;"")</f>
        <v>6.2</v>
      </c>
      <c r="H336" s="296">
        <v>0.97</v>
      </c>
      <c r="I336" s="294">
        <v>1.45</v>
      </c>
      <c r="J336" s="295" cm="1">
        <f t="array" aca="1" ref="J336" ca="1">INDIRECT("'"&amp;$C336&amp;"'!"&amp;"$"&amp;$D336&amp;$J$1&amp;"")</f>
        <v>6.2</v>
      </c>
      <c r="K336" s="296"/>
      <c r="L336" s="296">
        <v>0.97</v>
      </c>
      <c r="M336" s="294">
        <v>1.48</v>
      </c>
      <c r="N336" s="295" cm="1">
        <f t="array" aca="1" ref="N336" ca="1">INDIRECT("'"&amp;$C336&amp;"'!"&amp;"$"&amp;$D336&amp;$N$1&amp;"")</f>
        <v>6.4</v>
      </c>
      <c r="O336" s="296"/>
      <c r="P336" s="296">
        <v>0.97</v>
      </c>
      <c r="Q336" s="294">
        <v>1.6</v>
      </c>
      <c r="R336" s="295" cm="1">
        <f t="array" aca="1" ref="R336" ca="1">INDIRECT("'"&amp;$C336&amp;"'!"&amp;"$"&amp;$D336&amp;$R$1&amp;"")</f>
        <v>0</v>
      </c>
      <c r="S336" s="296"/>
      <c r="T336" s="296" t="s">
        <v>1</v>
      </c>
      <c r="U336" s="294" t="s">
        <v>1</v>
      </c>
      <c r="V336" s="295" cm="1">
        <f t="array" aca="1" ref="V336" ca="1">INDIRECT("'"&amp;$C336&amp;"'!"&amp;"$"&amp;$D336&amp;$V$1&amp;"")</f>
        <v>0</v>
      </c>
      <c r="W336" s="296" t="s">
        <v>1</v>
      </c>
      <c r="X336" s="296" t="s">
        <v>1</v>
      </c>
      <c r="Y336" s="297" t="s">
        <v>1</v>
      </c>
      <c r="Z336" s="293" cm="1">
        <f t="array" aca="1" ref="Z336" ca="1">INDIRECT("'"&amp;$C336&amp;"'!"&amp;"$"&amp;$D336&amp;$Z$1&amp;"")</f>
        <v>0</v>
      </c>
      <c r="AA336" s="296" t="s">
        <v>1</v>
      </c>
      <c r="AB336" s="296" t="s">
        <v>1</v>
      </c>
      <c r="AC336" s="294" t="s">
        <v>1</v>
      </c>
      <c r="AD336" s="295" t="str" cm="1">
        <f t="array" aca="1" ref="AD336" ca="1">INDIRECT("'"&amp;$C336&amp;"'!"&amp;"$"&amp;$D336&amp;$AD$1&amp;"")</f>
        <v>CMS</v>
      </c>
      <c r="AE336" s="296" t="s">
        <v>1</v>
      </c>
      <c r="AF336" s="296" t="s">
        <v>1</v>
      </c>
      <c r="AG336" s="297" t="s">
        <v>1</v>
      </c>
      <c r="AH336" s="293" cm="1">
        <f t="array" aca="1" ref="AH336" ca="1">INDIRECT("'"&amp;$C336&amp;"'!"&amp;"$"&amp;$D336&amp;$AH$1&amp;"")</f>
        <v>3</v>
      </c>
      <c r="AI336" s="296">
        <v>14.09</v>
      </c>
      <c r="AJ336" s="296">
        <v>0.99</v>
      </c>
      <c r="AK336" s="297">
        <v>0.48699999999999999</v>
      </c>
      <c r="AL336" s="293">
        <v>11.9</v>
      </c>
      <c r="AM336" s="297">
        <v>70.7</v>
      </c>
      <c r="AN336" s="293" cm="1">
        <f t="array" aca="1" ref="AN336" ca="1">INDIRECT("'"&amp;$C336&amp;"'!"&amp;"$"&amp;$D336&amp;$AL$1&amp;"")</f>
        <v>4.2</v>
      </c>
      <c r="AO336" s="296">
        <v>0.96</v>
      </c>
      <c r="AP336" s="294">
        <v>0.16</v>
      </c>
      <c r="AQ336" s="295" t="str" cm="1">
        <f t="array" aca="1" ref="AQ336" ca="1">INDIRECT("'"&amp;$C336&amp;"'!"&amp;"$"&amp;$D336&amp;$AQ$1&amp;"")</f>
        <v>CMS</v>
      </c>
      <c r="AR336" s="296" t="s">
        <v>1</v>
      </c>
      <c r="AS336" s="294" t="s">
        <v>1</v>
      </c>
      <c r="AT336" s="296" cm="1">
        <f t="array" aca="1" ref="AT336" ca="1">INDIRECT("'"&amp;$C336&amp;"'!"&amp;"$"&amp;$D336&amp;$AT$1&amp;"")</f>
        <v>0</v>
      </c>
      <c r="AU336" s="295" t="s">
        <v>1</v>
      </c>
      <c r="AV336" s="296" t="s">
        <v>1</v>
      </c>
      <c r="AW336" s="294" t="s">
        <v>1</v>
      </c>
      <c r="AX336" s="298">
        <v>14.2</v>
      </c>
      <c r="AY336" s="297">
        <v>71.33</v>
      </c>
      <c r="AZ336" s="298" cm="1">
        <f t="array" aca="1" ref="AZ336" ca="1">INDIRECT("'"&amp;$C336&amp;"'!"&amp;"$"&amp;$D336&amp;$AZ$1&amp;"")</f>
        <v>13.77</v>
      </c>
      <c r="BA336" s="296">
        <v>0.99</v>
      </c>
      <c r="BB336" s="294">
        <v>2.2999999999999998</v>
      </c>
      <c r="BC336" s="299">
        <v>68.7</v>
      </c>
      <c r="BD336" s="293" cm="1">
        <f t="array" aca="1" ref="BD336" ca="1">INDIRECT("'"&amp;$C336&amp;"'!"&amp;"$"&amp;$D336&amp;$BC$1&amp;"")</f>
        <v>0.7</v>
      </c>
      <c r="BE336" s="295">
        <v>0.97</v>
      </c>
      <c r="BF336" s="294">
        <v>0.17</v>
      </c>
      <c r="BG336" s="298" cm="1">
        <f t="array" aca="1" ref="BG336" ca="1">INDIRECT("'"&amp;$C336&amp;"'!"&amp;"$"&amp;$D336&amp;$BG$1&amp;"")</f>
        <v>1.07</v>
      </c>
      <c r="BH336" s="296"/>
      <c r="BI336" s="296">
        <v>0.99</v>
      </c>
      <c r="BJ336" s="294">
        <v>0.12</v>
      </c>
      <c r="BK336" s="298" cm="1">
        <f t="array" aca="1" ref="BK336" ca="1">INDIRECT("'"&amp;$C336&amp;"'!"&amp;"$"&amp;$D336&amp;$BK$1&amp;"")</f>
        <v>0.73</v>
      </c>
      <c r="BL336" s="296"/>
      <c r="BM336" s="296">
        <v>0.97</v>
      </c>
      <c r="BN336" s="294">
        <v>0.18</v>
      </c>
      <c r="BO336" s="299" cm="1">
        <f t="array" aca="1" ref="BO336" ca="1">INDIRECT("'"&amp;$C336&amp;"'!"&amp;"$"&amp;$D336&amp;74&amp;"")</f>
        <v>0</v>
      </c>
      <c r="BP336" s="296"/>
      <c r="BQ336" s="296" t="s">
        <v>1</v>
      </c>
      <c r="BR336" s="294" t="s">
        <v>1</v>
      </c>
    </row>
    <row r="337" spans="1:70">
      <c r="A337" s="361">
        <v>45761</v>
      </c>
      <c r="B337" s="358">
        <v>0.29166666666666702</v>
      </c>
      <c r="C337" s="313">
        <f t="shared" si="12"/>
        <v>14</v>
      </c>
      <c r="D337" s="314" t="s">
        <v>134</v>
      </c>
      <c r="E337" s="286">
        <v>14.2</v>
      </c>
      <c r="F337" s="287">
        <v>70.16</v>
      </c>
      <c r="G337" s="288" cm="1">
        <f t="array" aca="1" ref="G337" ca="1">INDIRECT("'"&amp;$C337&amp;"'!"&amp;"$"&amp;$D337&amp;$E$1&amp;"")</f>
        <v>6.7</v>
      </c>
      <c r="H337" s="289">
        <v>0.95</v>
      </c>
      <c r="I337" s="287">
        <v>2.12</v>
      </c>
      <c r="J337" s="288" cm="1">
        <f t="array" aca="1" ref="J337" ca="1">INDIRECT("'"&amp;$C337&amp;"'!"&amp;"$"&amp;$D337&amp;$J$1&amp;"")</f>
        <v>6.7</v>
      </c>
      <c r="K337" s="289"/>
      <c r="L337" s="289">
        <v>0.9</v>
      </c>
      <c r="M337" s="287">
        <v>2.1</v>
      </c>
      <c r="N337" s="288" cm="1">
        <f t="array" aca="1" ref="N337" ca="1">INDIRECT("'"&amp;$C337&amp;"'!"&amp;"$"&amp;$D337&amp;$N$1&amp;"")</f>
        <v>6.7</v>
      </c>
      <c r="O337" s="289"/>
      <c r="P337" s="289">
        <v>0.95</v>
      </c>
      <c r="Q337" s="287">
        <v>2.14</v>
      </c>
      <c r="R337" s="288" cm="1">
        <f t="array" aca="1" ref="R337" ca="1">INDIRECT("'"&amp;$C337&amp;"'!"&amp;"$"&amp;$D337&amp;$R$1&amp;"")</f>
        <v>0</v>
      </c>
      <c r="S337" s="289"/>
      <c r="T337" s="289" t="s">
        <v>1</v>
      </c>
      <c r="U337" s="287" t="s">
        <v>1</v>
      </c>
      <c r="V337" s="288" cm="1">
        <f t="array" aca="1" ref="V337" ca="1">INDIRECT("'"&amp;$C337&amp;"'!"&amp;"$"&amp;$D337&amp;$V$1&amp;"")</f>
        <v>0</v>
      </c>
      <c r="W337" s="289" t="s">
        <v>1</v>
      </c>
      <c r="X337" s="289" t="s">
        <v>1</v>
      </c>
      <c r="Y337" s="290" t="s">
        <v>1</v>
      </c>
      <c r="Z337" s="286" cm="1">
        <f t="array" aca="1" ref="Z337" ca="1">INDIRECT("'"&amp;$C337&amp;"'!"&amp;"$"&amp;$D337&amp;$Z$1&amp;"")</f>
        <v>0</v>
      </c>
      <c r="AA337" s="289" t="s">
        <v>1</v>
      </c>
      <c r="AB337" s="289" t="s">
        <v>1</v>
      </c>
      <c r="AC337" s="287" t="s">
        <v>1</v>
      </c>
      <c r="AD337" s="288" cm="1">
        <f t="array" aca="1" ref="AD337" ca="1">INDIRECT("'"&amp;$C337&amp;"'!"&amp;"$"&amp;$D337&amp;$AD$1&amp;"")</f>
        <v>0</v>
      </c>
      <c r="AE337" s="289" t="s">
        <v>1</v>
      </c>
      <c r="AF337" s="289" t="s">
        <v>1</v>
      </c>
      <c r="AG337" s="290" t="s">
        <v>1</v>
      </c>
      <c r="AH337" s="286" cm="1">
        <f t="array" aca="1" ref="AH337" ca="1">INDIRECT("'"&amp;$C337&amp;"'!"&amp;"$"&amp;$D337&amp;$AH$1&amp;"")</f>
        <v>3</v>
      </c>
      <c r="AI337" s="289">
        <v>14.08</v>
      </c>
      <c r="AJ337" s="289">
        <v>0.98</v>
      </c>
      <c r="AK337" s="287">
        <v>0.59399999999999997</v>
      </c>
      <c r="AL337" s="286">
        <v>11.9</v>
      </c>
      <c r="AM337" s="290">
        <v>70.599999999999994</v>
      </c>
      <c r="AN337" s="286" cm="1">
        <f t="array" aca="1" ref="AN337" ca="1">INDIRECT("'"&amp;$C337&amp;"'!"&amp;"$"&amp;$D337&amp;$AL$1&amp;"")</f>
        <v>3.5</v>
      </c>
      <c r="AO337" s="289">
        <v>0.94</v>
      </c>
      <c r="AP337" s="287">
        <v>1.25</v>
      </c>
      <c r="AQ337" s="288" t="str" cm="1">
        <f t="array" aca="1" ref="AQ337" ca="1">INDIRECT("'"&amp;$C337&amp;"'!"&amp;"$"&amp;$D337&amp;$AQ$1&amp;"")</f>
        <v>CMS</v>
      </c>
      <c r="AR337" s="289" t="s">
        <v>1</v>
      </c>
      <c r="AS337" s="287" t="s">
        <v>1</v>
      </c>
      <c r="AT337" s="289" cm="1">
        <f t="array" aca="1" ref="AT337" ca="1">INDIRECT("'"&amp;$C337&amp;"'!"&amp;"$"&amp;$D337&amp;$AT$1&amp;"")</f>
        <v>0</v>
      </c>
      <c r="AU337" s="288" t="s">
        <v>1</v>
      </c>
      <c r="AV337" s="289" t="s">
        <v>1</v>
      </c>
      <c r="AW337" s="287" t="s">
        <v>1</v>
      </c>
      <c r="AX337" s="291">
        <v>14.17</v>
      </c>
      <c r="AY337" s="290">
        <v>71.650000000000006</v>
      </c>
      <c r="AZ337" s="291" cm="1">
        <f t="array" aca="1" ref="AZ337" ca="1">INDIRECT("'"&amp;$C337&amp;"'!"&amp;"$"&amp;$D337&amp;$AZ$1&amp;"")</f>
        <v>13.79</v>
      </c>
      <c r="BA337" s="289">
        <v>0.99</v>
      </c>
      <c r="BB337" s="287">
        <v>2.4</v>
      </c>
      <c r="BC337" s="292">
        <v>68.599999999999994</v>
      </c>
      <c r="BD337" s="286" cm="1">
        <f t="array" aca="1" ref="BD337" ca="1">INDIRECT("'"&amp;$C337&amp;"'!"&amp;"$"&amp;$D337&amp;$BC$1&amp;"")</f>
        <v>0.7</v>
      </c>
      <c r="BE337" s="288">
        <v>0.97</v>
      </c>
      <c r="BF337" s="287">
        <v>0.18</v>
      </c>
      <c r="BG337" s="291" cm="1">
        <f t="array" aca="1" ref="BG337" ca="1">INDIRECT("'"&amp;$C337&amp;"'!"&amp;"$"&amp;$D337&amp;$BG$1&amp;"")</f>
        <v>1.1399999999999999</v>
      </c>
      <c r="BH337" s="289"/>
      <c r="BI337" s="289">
        <v>0.99</v>
      </c>
      <c r="BJ337" s="287">
        <v>0.15</v>
      </c>
      <c r="BK337" s="292" cm="1">
        <f t="array" aca="1" ref="BK337" ca="1">INDIRECT("'"&amp;$C337&amp;"'!"&amp;"$"&amp;$D337&amp;$BK$1&amp;"")</f>
        <v>0.73</v>
      </c>
      <c r="BL337" s="289"/>
      <c r="BM337" s="289">
        <v>0.97</v>
      </c>
      <c r="BN337" s="287">
        <v>0.19</v>
      </c>
      <c r="BO337" s="292" cm="1">
        <f t="array" aca="1" ref="BO337" ca="1">INDIRECT("'"&amp;$C337&amp;"'!"&amp;"$"&amp;$D337&amp;74&amp;"")</f>
        <v>0</v>
      </c>
      <c r="BP337" s="289"/>
      <c r="BQ337" s="289" t="s">
        <v>1</v>
      </c>
      <c r="BR337" s="287" t="s">
        <v>1</v>
      </c>
    </row>
    <row r="338" spans="1:70">
      <c r="A338" s="361">
        <v>45761</v>
      </c>
      <c r="B338" s="358">
        <v>0.33333333333333398</v>
      </c>
      <c r="C338" s="313">
        <f t="shared" si="12"/>
        <v>14</v>
      </c>
      <c r="D338" s="314" t="s">
        <v>135</v>
      </c>
      <c r="E338" s="293">
        <v>14</v>
      </c>
      <c r="F338" s="294">
        <v>69.2</v>
      </c>
      <c r="G338" s="295" cm="1">
        <f t="array" aca="1" ref="G338" ca="1">INDIRECT("'"&amp;$C338&amp;"'!"&amp;"$"&amp;$D338&amp;$E$1&amp;"")</f>
        <v>6.8</v>
      </c>
      <c r="H338" s="296">
        <v>0.96</v>
      </c>
      <c r="I338" s="294">
        <v>2</v>
      </c>
      <c r="J338" s="295" cm="1">
        <f t="array" aca="1" ref="J338" ca="1">INDIRECT("'"&amp;$C338&amp;"'!"&amp;"$"&amp;$D338&amp;$J$1&amp;"")</f>
        <v>6.8</v>
      </c>
      <c r="K338" s="296"/>
      <c r="L338" s="296">
        <v>0.96</v>
      </c>
      <c r="M338" s="294">
        <v>2</v>
      </c>
      <c r="N338" s="295" cm="1">
        <f t="array" aca="1" ref="N338" ca="1">INDIRECT("'"&amp;$C338&amp;"'!"&amp;"$"&amp;$D338&amp;$N$1&amp;"")</f>
        <v>6.8</v>
      </c>
      <c r="O338" s="296"/>
      <c r="P338" s="296">
        <v>0.96</v>
      </c>
      <c r="Q338" s="294">
        <v>2</v>
      </c>
      <c r="R338" s="295" cm="1">
        <f t="array" aca="1" ref="R338" ca="1">INDIRECT("'"&amp;$C338&amp;"'!"&amp;"$"&amp;$D338&amp;$R$1&amp;"")</f>
        <v>0</v>
      </c>
      <c r="S338" s="296"/>
      <c r="T338" s="296" t="s">
        <v>1</v>
      </c>
      <c r="U338" s="294" t="s">
        <v>1</v>
      </c>
      <c r="V338" s="295" cm="1">
        <f t="array" aca="1" ref="V338" ca="1">INDIRECT("'"&amp;$C338&amp;"'!"&amp;"$"&amp;$D338&amp;$V$1&amp;"")</f>
        <v>0.7</v>
      </c>
      <c r="W338" s="296">
        <f>3.52*3.8</f>
        <v>13.375999999999999</v>
      </c>
      <c r="X338" s="296">
        <v>0.93</v>
      </c>
      <c r="Y338" s="297">
        <v>0.31</v>
      </c>
      <c r="Z338" s="293" cm="1">
        <f t="array" aca="1" ref="Z338" ca="1">INDIRECT("'"&amp;$C338&amp;"'!"&amp;"$"&amp;$D338&amp;$Z$1&amp;"")</f>
        <v>0</v>
      </c>
      <c r="AA338" s="296" t="s">
        <v>1</v>
      </c>
      <c r="AB338" s="296" t="s">
        <v>1</v>
      </c>
      <c r="AC338" s="294" t="s">
        <v>1</v>
      </c>
      <c r="AD338" s="295" cm="1">
        <f t="array" aca="1" ref="AD338" ca="1">INDIRECT("'"&amp;$C338&amp;"'!"&amp;"$"&amp;$D338&amp;$AD$1&amp;"")</f>
        <v>3</v>
      </c>
      <c r="AE338" s="296">
        <f>3.52*3.8</f>
        <v>13.375999999999999</v>
      </c>
      <c r="AF338" s="296">
        <v>0.93</v>
      </c>
      <c r="AG338" s="297">
        <v>0.96</v>
      </c>
      <c r="AH338" s="293" cm="1">
        <f t="array" aca="1" ref="AH338" ca="1">INDIRECT("'"&amp;$C338&amp;"'!"&amp;"$"&amp;$D338&amp;$AH$1&amp;"")</f>
        <v>3.8</v>
      </c>
      <c r="AI338" s="296">
        <v>14</v>
      </c>
      <c r="AJ338" s="296">
        <v>0.94</v>
      </c>
      <c r="AK338" s="294">
        <v>1.08</v>
      </c>
      <c r="AL338" s="293">
        <v>11.8</v>
      </c>
      <c r="AM338" s="297">
        <v>70</v>
      </c>
      <c r="AN338" s="293" cm="1">
        <f t="array" aca="1" ref="AN338" ca="1">INDIRECT("'"&amp;$C338&amp;"'!"&amp;"$"&amp;$D338&amp;$AL$1&amp;"")</f>
        <v>4</v>
      </c>
      <c r="AO338" s="296">
        <v>0.94</v>
      </c>
      <c r="AP338" s="294">
        <v>1.55</v>
      </c>
      <c r="AQ338" s="295" t="str" cm="1">
        <f t="array" aca="1" ref="AQ338" ca="1">INDIRECT("'"&amp;$C338&amp;"'!"&amp;"$"&amp;$D338&amp;$AQ$1&amp;"")</f>
        <v>CMS</v>
      </c>
      <c r="AR338" s="296" t="s">
        <v>1</v>
      </c>
      <c r="AS338" s="294" t="s">
        <v>1</v>
      </c>
      <c r="AT338" s="296" cm="1">
        <f t="array" aca="1" ref="AT338" ca="1">INDIRECT("'"&amp;$C338&amp;"'!"&amp;"$"&amp;$D338&amp;$AT$1&amp;"")</f>
        <v>0</v>
      </c>
      <c r="AU338" s="295" t="s">
        <v>1</v>
      </c>
      <c r="AV338" s="296" t="s">
        <v>1</v>
      </c>
      <c r="AW338" s="294" t="s">
        <v>1</v>
      </c>
      <c r="AX338" s="298">
        <v>14.05</v>
      </c>
      <c r="AY338" s="297">
        <v>70.92</v>
      </c>
      <c r="AZ338" s="298" cm="1">
        <f t="array" aca="1" ref="AZ338" ca="1">INDIRECT("'"&amp;$C338&amp;"'!"&amp;"$"&amp;$D338&amp;$AZ$1&amp;"")</f>
        <v>14.3</v>
      </c>
      <c r="BA338" s="296">
        <v>0.99</v>
      </c>
      <c r="BB338" s="294">
        <v>2.5</v>
      </c>
      <c r="BC338" s="299">
        <v>68</v>
      </c>
      <c r="BD338" s="293" cm="1">
        <f t="array" aca="1" ref="BD338" ca="1">INDIRECT("'"&amp;$C338&amp;"'!"&amp;"$"&amp;$D338&amp;$BC$1&amp;"")</f>
        <v>1.4</v>
      </c>
      <c r="BE338" s="295">
        <v>0.96</v>
      </c>
      <c r="BF338" s="294">
        <v>0.4</v>
      </c>
      <c r="BG338" s="298" cm="1">
        <f t="array" aca="1" ref="BG338" ca="1">INDIRECT("'"&amp;$C338&amp;"'!"&amp;"$"&amp;$D338&amp;$BG$1&amp;"")</f>
        <v>1.1599999999999999</v>
      </c>
      <c r="BH338" s="296"/>
      <c r="BI338" s="296">
        <v>0.99</v>
      </c>
      <c r="BJ338" s="294">
        <v>0.17</v>
      </c>
      <c r="BK338" s="299" cm="1">
        <f t="array" aca="1" ref="BK338" ca="1">INDIRECT("'"&amp;$C338&amp;"'!"&amp;"$"&amp;$D338&amp;$BK$1&amp;"")</f>
        <v>0.74</v>
      </c>
      <c r="BL338" s="296"/>
      <c r="BM338" s="296">
        <v>0.95</v>
      </c>
      <c r="BN338" s="294">
        <v>0.22</v>
      </c>
      <c r="BO338" s="299" cm="1">
        <f t="array" aca="1" ref="BO338" ca="1">INDIRECT("'"&amp;$C338&amp;"'!"&amp;"$"&amp;$D338&amp;74&amp;"")</f>
        <v>0</v>
      </c>
      <c r="BP338" s="296"/>
      <c r="BQ338" s="296" t="s">
        <v>1</v>
      </c>
      <c r="BR338" s="294" t="s">
        <v>1</v>
      </c>
    </row>
    <row r="339" spans="1:70">
      <c r="A339" s="361">
        <v>45761</v>
      </c>
      <c r="B339" s="358">
        <v>0.375</v>
      </c>
      <c r="C339" s="313">
        <f t="shared" si="12"/>
        <v>14</v>
      </c>
      <c r="D339" s="314" t="s">
        <v>136</v>
      </c>
      <c r="E339" s="286">
        <v>14</v>
      </c>
      <c r="F339" s="287">
        <v>69.16</v>
      </c>
      <c r="G339" s="288" cm="1">
        <f t="array" aca="1" ref="G339" ca="1">INDIRECT("'"&amp;$C339&amp;"'!"&amp;"$"&amp;$D339&amp;$E$1&amp;"")</f>
        <v>6.8</v>
      </c>
      <c r="H339" s="289">
        <v>0.93</v>
      </c>
      <c r="I339" s="287">
        <v>2</v>
      </c>
      <c r="J339" s="288" cm="1">
        <f t="array" aca="1" ref="J339" ca="1">INDIRECT("'"&amp;$C339&amp;"'!"&amp;"$"&amp;$D339&amp;$J$1&amp;"")</f>
        <v>6.8</v>
      </c>
      <c r="K339" s="289"/>
      <c r="L339" s="289">
        <v>0.93</v>
      </c>
      <c r="M339" s="287">
        <v>2</v>
      </c>
      <c r="N339" s="288" cm="1">
        <f t="array" aca="1" ref="N339" ca="1">INDIRECT("'"&amp;$C339&amp;"'!"&amp;"$"&amp;$D339&amp;$N$1&amp;"")</f>
        <v>6.8</v>
      </c>
      <c r="O339" s="289"/>
      <c r="P339" s="289">
        <v>0.93</v>
      </c>
      <c r="Q339" s="287">
        <v>2</v>
      </c>
      <c r="R339" s="288" cm="1">
        <f t="array" aca="1" ref="R339" ca="1">INDIRECT("'"&amp;$C339&amp;"'!"&amp;"$"&amp;$D339&amp;$R$1&amp;"")</f>
        <v>0</v>
      </c>
      <c r="S339" s="289"/>
      <c r="T339" s="289" t="s">
        <v>1</v>
      </c>
      <c r="U339" s="287" t="s">
        <v>1</v>
      </c>
      <c r="V339" s="288" cm="1">
        <f t="array" aca="1" ref="V339" ca="1">INDIRECT("'"&amp;$C339&amp;"'!"&amp;"$"&amp;$D339&amp;$V$1&amp;"")</f>
        <v>2.8</v>
      </c>
      <c r="W339" s="289">
        <f>3.8*3.53</f>
        <v>13.413999999999998</v>
      </c>
      <c r="X339" s="289">
        <v>0.92</v>
      </c>
      <c r="Y339" s="290">
        <v>1.1299999999999999</v>
      </c>
      <c r="Z339" s="286" cm="1">
        <f t="array" aca="1" ref="Z339" ca="1">INDIRECT("'"&amp;$C339&amp;"'!"&amp;"$"&amp;$D339&amp;$Z$1&amp;"")</f>
        <v>0</v>
      </c>
      <c r="AA339" s="289" t="s">
        <v>1</v>
      </c>
      <c r="AB339" s="289" t="s">
        <v>1</v>
      </c>
      <c r="AC339" s="287" t="s">
        <v>1</v>
      </c>
      <c r="AD339" s="288" cm="1">
        <f t="array" aca="1" ref="AD339" ca="1">INDIRECT("'"&amp;$C339&amp;"'!"&amp;"$"&amp;$D339&amp;$AD$1&amp;"")</f>
        <v>3.8</v>
      </c>
      <c r="AE339" s="289">
        <f>3.8*3.53</f>
        <v>13.413999999999998</v>
      </c>
      <c r="AF339" s="289">
        <v>0.92</v>
      </c>
      <c r="AG339" s="290">
        <v>1.65</v>
      </c>
      <c r="AH339" s="286" cm="1">
        <f t="array" aca="1" ref="AH339" ca="1">INDIRECT("'"&amp;$C339&amp;"'!"&amp;"$"&amp;$D339&amp;$AH$1&amp;"")</f>
        <v>3.8</v>
      </c>
      <c r="AI339" s="289">
        <v>14</v>
      </c>
      <c r="AJ339" s="289">
        <v>0.94</v>
      </c>
      <c r="AK339" s="287">
        <v>1.06</v>
      </c>
      <c r="AL339" s="286">
        <v>11.8</v>
      </c>
      <c r="AM339" s="290">
        <v>70.3</v>
      </c>
      <c r="AN339" s="286" cm="1">
        <f t="array" aca="1" ref="AN339" ca="1">INDIRECT("'"&amp;$C339&amp;"'!"&amp;"$"&amp;$D339&amp;$AL$1&amp;"")</f>
        <v>4.3</v>
      </c>
      <c r="AO339" s="289">
        <v>0.96</v>
      </c>
      <c r="AP339" s="287">
        <v>1.0900000000000001</v>
      </c>
      <c r="AQ339" s="288" t="str" cm="1">
        <f t="array" aca="1" ref="AQ339" ca="1">INDIRECT("'"&amp;$C339&amp;"'!"&amp;"$"&amp;$D339&amp;$AQ$1&amp;"")</f>
        <v>CMS</v>
      </c>
      <c r="AR339" s="289" t="s">
        <v>1</v>
      </c>
      <c r="AS339" s="287" t="s">
        <v>1</v>
      </c>
      <c r="AT339" s="289" cm="1">
        <f t="array" aca="1" ref="AT339" ca="1">INDIRECT("'"&amp;$C339&amp;"'!"&amp;"$"&amp;$D339&amp;$AT$1&amp;"")</f>
        <v>5.6</v>
      </c>
      <c r="AU339" s="288">
        <v>13.84</v>
      </c>
      <c r="AV339" s="289">
        <v>0.96</v>
      </c>
      <c r="AW339" s="287">
        <v>1.63</v>
      </c>
      <c r="AX339" s="291">
        <v>14.05</v>
      </c>
      <c r="AY339" s="290">
        <v>71.09</v>
      </c>
      <c r="AZ339" s="291" cm="1">
        <f t="array" aca="1" ref="AZ339" ca="1">INDIRECT("'"&amp;$C339&amp;"'!"&amp;"$"&amp;$D339&amp;$AZ$1&amp;"")</f>
        <v>14.28</v>
      </c>
      <c r="BA339" s="289">
        <v>0.99</v>
      </c>
      <c r="BB339" s="287">
        <v>2.38</v>
      </c>
      <c r="BC339" s="292">
        <v>67.900000000000006</v>
      </c>
      <c r="BD339" s="286" cm="1">
        <f t="array" aca="1" ref="BD339" ca="1">INDIRECT("'"&amp;$C339&amp;"'!"&amp;"$"&amp;$D339&amp;$BC$1&amp;"")</f>
        <v>2.0999999999999996</v>
      </c>
      <c r="BE339" s="288">
        <v>0.96</v>
      </c>
      <c r="BF339" s="287">
        <v>0.61</v>
      </c>
      <c r="BG339" s="291" cm="1">
        <f t="array" aca="1" ref="BG339" ca="1">INDIRECT("'"&amp;$C339&amp;"'!"&amp;"$"&amp;$D339&amp;$BG$1&amp;"")</f>
        <v>1.35</v>
      </c>
      <c r="BH339" s="289"/>
      <c r="BI339" s="289">
        <v>0.99</v>
      </c>
      <c r="BJ339" s="287">
        <v>0.19</v>
      </c>
      <c r="BK339" s="292" cm="1">
        <f t="array" aca="1" ref="BK339" ca="1">INDIRECT("'"&amp;$C339&amp;"'!"&amp;"$"&amp;$D339&amp;$BK$1&amp;"")</f>
        <v>0.79</v>
      </c>
      <c r="BL339" s="289"/>
      <c r="BM339" s="289">
        <v>0.96</v>
      </c>
      <c r="BN339" s="287">
        <v>0.22</v>
      </c>
      <c r="BO339" s="292" cm="1">
        <f t="array" aca="1" ref="BO339" ca="1">INDIRECT("'"&amp;$C339&amp;"'!"&amp;"$"&amp;$D339&amp;74&amp;"")</f>
        <v>0</v>
      </c>
      <c r="BP339" s="289"/>
      <c r="BQ339" s="289" t="s">
        <v>1</v>
      </c>
      <c r="BR339" s="287" t="s">
        <v>1</v>
      </c>
    </row>
    <row r="340" spans="1:70">
      <c r="A340" s="361">
        <v>45761</v>
      </c>
      <c r="B340" s="358">
        <v>0.41666666666666702</v>
      </c>
      <c r="C340" s="313">
        <f t="shared" si="12"/>
        <v>14</v>
      </c>
      <c r="D340" s="314" t="s">
        <v>137</v>
      </c>
      <c r="E340" s="293">
        <v>14.1</v>
      </c>
      <c r="F340" s="294">
        <v>68.94</v>
      </c>
      <c r="G340" s="295" cm="1">
        <f t="array" aca="1" ref="G340" ca="1">INDIRECT("'"&amp;$C340&amp;"'!"&amp;"$"&amp;$D340&amp;$E$1&amp;"")</f>
        <v>6.7</v>
      </c>
      <c r="H340" s="296">
        <v>0.94</v>
      </c>
      <c r="I340" s="294">
        <v>2.1</v>
      </c>
      <c r="J340" s="295" cm="1">
        <f t="array" aca="1" ref="J340" ca="1">INDIRECT("'"&amp;$C340&amp;"'!"&amp;"$"&amp;$D340&amp;$J$1&amp;"")</f>
        <v>6.7</v>
      </c>
      <c r="K340" s="296"/>
      <c r="L340" s="296">
        <v>0.94</v>
      </c>
      <c r="M340" s="294">
        <v>2.1</v>
      </c>
      <c r="N340" s="295" cm="1">
        <f t="array" aca="1" ref="N340" ca="1">INDIRECT("'"&amp;$C340&amp;"'!"&amp;"$"&amp;$D340&amp;$N$1&amp;"")</f>
        <v>6.7</v>
      </c>
      <c r="O340" s="296"/>
      <c r="P340" s="296">
        <v>0.94</v>
      </c>
      <c r="Q340" s="294">
        <v>2.1</v>
      </c>
      <c r="R340" s="295" cm="1">
        <f t="array" aca="1" ref="R340" ca="1">INDIRECT("'"&amp;$C340&amp;"'!"&amp;"$"&amp;$D340&amp;$R$1&amp;"")</f>
        <v>3.5</v>
      </c>
      <c r="S340" s="296"/>
      <c r="T340" s="296">
        <v>0.92</v>
      </c>
      <c r="U340" s="294">
        <v>1.4</v>
      </c>
      <c r="V340" s="295" cm="1">
        <f t="array" aca="1" ref="V340" ca="1">INDIRECT("'"&amp;$C340&amp;"'!"&amp;"$"&amp;$D340&amp;$V$1&amp;"")</f>
        <v>2.8</v>
      </c>
      <c r="W340" s="296">
        <f>3.8*3.5</f>
        <v>13.299999999999999</v>
      </c>
      <c r="X340" s="296">
        <v>0.92</v>
      </c>
      <c r="Y340" s="297">
        <v>1.1599999999999999</v>
      </c>
      <c r="Z340" s="293" cm="1">
        <f t="array" aca="1" ref="Z340" ca="1">INDIRECT("'"&amp;$C340&amp;"'!"&amp;"$"&amp;$D340&amp;$Z$1&amp;"")</f>
        <v>0</v>
      </c>
      <c r="AA340" s="296" t="s">
        <v>1</v>
      </c>
      <c r="AB340" s="296" t="s">
        <v>1</v>
      </c>
      <c r="AC340" s="294" t="s">
        <v>1</v>
      </c>
      <c r="AD340" s="295" cm="1">
        <f t="array" aca="1" ref="AD340" ca="1">INDIRECT("'"&amp;$C340&amp;"'!"&amp;"$"&amp;$D340&amp;$AD$1&amp;"")</f>
        <v>3.8</v>
      </c>
      <c r="AE340" s="296">
        <f>3.8*3.5</f>
        <v>13.299999999999999</v>
      </c>
      <c r="AF340" s="296">
        <v>0.92</v>
      </c>
      <c r="AG340" s="297">
        <v>1.63</v>
      </c>
      <c r="AH340" s="293" cm="1">
        <f t="array" aca="1" ref="AH340" ca="1">INDIRECT("'"&amp;$C340&amp;"'!"&amp;"$"&amp;$D340&amp;$AH$1&amp;"")</f>
        <v>3.8</v>
      </c>
      <c r="AI340" s="296">
        <v>14</v>
      </c>
      <c r="AJ340" s="296">
        <v>0.92</v>
      </c>
      <c r="AK340" s="294">
        <v>1.34</v>
      </c>
      <c r="AL340" s="293">
        <v>11.8</v>
      </c>
      <c r="AM340" s="297">
        <v>70.3</v>
      </c>
      <c r="AN340" s="293" cm="1">
        <f t="array" aca="1" ref="AN340" ca="1">INDIRECT("'"&amp;$C340&amp;"'!"&amp;"$"&amp;$D340&amp;$AL$1&amp;"")</f>
        <v>4.3</v>
      </c>
      <c r="AO340" s="296">
        <v>0.96</v>
      </c>
      <c r="AP340" s="294">
        <v>1.143</v>
      </c>
      <c r="AQ340" s="295" t="str" cm="1">
        <f t="array" aca="1" ref="AQ340" ca="1">INDIRECT("'"&amp;$C340&amp;"'!"&amp;"$"&amp;$D340&amp;$AQ$1&amp;"")</f>
        <v>CMS</v>
      </c>
      <c r="AR340" s="296" t="s">
        <v>1</v>
      </c>
      <c r="AS340" s="294" t="s">
        <v>1</v>
      </c>
      <c r="AT340" s="296" cm="1">
        <f t="array" aca="1" ref="AT340" ca="1">INDIRECT("'"&amp;$C340&amp;"'!"&amp;"$"&amp;$D340&amp;$AT$1&amp;"")</f>
        <v>6.63</v>
      </c>
      <c r="AU340" s="295">
        <v>13.84</v>
      </c>
      <c r="AV340" s="296">
        <v>0.95</v>
      </c>
      <c r="AW340" s="294">
        <v>1.74</v>
      </c>
      <c r="AX340" s="298">
        <v>14.16</v>
      </c>
      <c r="AY340" s="297">
        <v>71.260000000000005</v>
      </c>
      <c r="AZ340" s="298" cm="1">
        <f t="array" aca="1" ref="AZ340" ca="1">INDIRECT("'"&amp;$C340&amp;"'!"&amp;"$"&amp;$D340&amp;$AZ$1&amp;"")</f>
        <v>14.26</v>
      </c>
      <c r="BA340" s="296">
        <v>0.98</v>
      </c>
      <c r="BB340" s="294">
        <v>3.56</v>
      </c>
      <c r="BC340" s="299">
        <v>67.599999999999994</v>
      </c>
      <c r="BD340" s="293" cm="1">
        <f t="array" aca="1" ref="BD340" ca="1">INDIRECT("'"&amp;$C340&amp;"'!"&amp;"$"&amp;$D340&amp;$BC$1&amp;"")</f>
        <v>2.2000000000000002</v>
      </c>
      <c r="BE340" s="295">
        <v>0.96</v>
      </c>
      <c r="BF340" s="294">
        <v>0.64</v>
      </c>
      <c r="BG340" s="298" cm="1">
        <f t="array" aca="1" ref="BG340" ca="1">INDIRECT("'"&amp;$C340&amp;"'!"&amp;"$"&amp;$D340&amp;$BG$1&amp;"")</f>
        <v>1.39</v>
      </c>
      <c r="BH340" s="296"/>
      <c r="BI340" s="296">
        <v>0.99</v>
      </c>
      <c r="BJ340" s="294">
        <v>0.2</v>
      </c>
      <c r="BK340" s="299" cm="1">
        <f t="array" aca="1" ref="BK340" ca="1">INDIRECT("'"&amp;$C340&amp;"'!"&amp;"$"&amp;$D340&amp;$BK$1&amp;"")</f>
        <v>0.83</v>
      </c>
      <c r="BL340" s="296"/>
      <c r="BM340" s="296">
        <v>0.96</v>
      </c>
      <c r="BN340" s="294">
        <v>0.24</v>
      </c>
      <c r="BO340" s="299" cm="1">
        <f t="array" aca="1" ref="BO340" ca="1">INDIRECT("'"&amp;$C340&amp;"'!"&amp;"$"&amp;$D340&amp;74&amp;"")</f>
        <v>0</v>
      </c>
      <c r="BP340" s="296"/>
      <c r="BQ340" s="296" t="s">
        <v>1</v>
      </c>
      <c r="BR340" s="294" t="s">
        <v>1</v>
      </c>
    </row>
    <row r="341" spans="1:70">
      <c r="A341" s="361">
        <v>45761</v>
      </c>
      <c r="B341" s="358">
        <v>0.45833333333333398</v>
      </c>
      <c r="C341" s="313">
        <f t="shared" si="12"/>
        <v>14</v>
      </c>
      <c r="D341" s="314" t="s">
        <v>138</v>
      </c>
      <c r="E341" s="286">
        <v>14.2</v>
      </c>
      <c r="F341" s="287">
        <v>68.23</v>
      </c>
      <c r="G341" s="288" cm="1">
        <f t="array" aca="1" ref="G341" ca="1">INDIRECT("'"&amp;$C341&amp;"'!"&amp;"$"&amp;$D341&amp;$E$1&amp;"")</f>
        <v>6.8</v>
      </c>
      <c r="H341" s="289">
        <v>0.93</v>
      </c>
      <c r="I341" s="287">
        <v>2.6</v>
      </c>
      <c r="J341" s="288" cm="1">
        <f t="array" aca="1" ref="J341" ca="1">INDIRECT("'"&amp;$C341&amp;"'!"&amp;"$"&amp;$D341&amp;$J$1&amp;"")</f>
        <v>6.8</v>
      </c>
      <c r="K341" s="289"/>
      <c r="L341" s="289">
        <v>0.93</v>
      </c>
      <c r="M341" s="287">
        <v>2.6</v>
      </c>
      <c r="N341" s="288" cm="1">
        <f t="array" aca="1" ref="N341" ca="1">INDIRECT("'"&amp;$C341&amp;"'!"&amp;"$"&amp;$D341&amp;$N$1&amp;"")</f>
        <v>6.8</v>
      </c>
      <c r="O341" s="289"/>
      <c r="P341" s="289">
        <v>0.93</v>
      </c>
      <c r="Q341" s="287">
        <v>2.6</v>
      </c>
      <c r="R341" s="288" cm="1">
        <f t="array" aca="1" ref="R341" ca="1">INDIRECT("'"&amp;$C341&amp;"'!"&amp;"$"&amp;$D341&amp;$R$1&amp;"")</f>
        <v>6.8</v>
      </c>
      <c r="S341" s="289"/>
      <c r="T341" s="289">
        <v>0.93</v>
      </c>
      <c r="U341" s="287">
        <v>2.6</v>
      </c>
      <c r="V341" s="288" cm="1">
        <f t="array" aca="1" ref="V341" ca="1">INDIRECT("'"&amp;$C341&amp;"'!"&amp;"$"&amp;$D341&amp;$V$1&amp;"")</f>
        <v>2.8</v>
      </c>
      <c r="W341" s="289">
        <f>3.8*3.48</f>
        <v>13.224</v>
      </c>
      <c r="X341" s="289">
        <v>0.91</v>
      </c>
      <c r="Y341" s="290">
        <v>1.25</v>
      </c>
      <c r="Z341" s="286" cm="1">
        <f t="array" aca="1" ref="Z341" ca="1">INDIRECT("'"&amp;$C341&amp;"'!"&amp;"$"&amp;$D341&amp;$Z$1&amp;"")</f>
        <v>0</v>
      </c>
      <c r="AA341" s="289" t="s">
        <v>1</v>
      </c>
      <c r="AB341" s="289" t="s">
        <v>1</v>
      </c>
      <c r="AC341" s="287" t="s">
        <v>1</v>
      </c>
      <c r="AD341" s="288" cm="1">
        <f t="array" aca="1" ref="AD341" ca="1">INDIRECT("'"&amp;$C341&amp;"'!"&amp;"$"&amp;$D341&amp;$AD$1&amp;"")</f>
        <v>3.8</v>
      </c>
      <c r="AE341" s="289">
        <f>3.8*3.48</f>
        <v>13.224</v>
      </c>
      <c r="AF341" s="289">
        <v>0.91</v>
      </c>
      <c r="AG341" s="290">
        <v>1.76</v>
      </c>
      <c r="AH341" s="286" cm="1">
        <f t="array" aca="1" ref="AH341" ca="1">INDIRECT("'"&amp;$C341&amp;"'!"&amp;"$"&amp;$D341&amp;$AH$1&amp;"")</f>
        <v>3.8</v>
      </c>
      <c r="AI341" s="289">
        <v>14</v>
      </c>
      <c r="AJ341" s="289">
        <v>0.94</v>
      </c>
      <c r="AK341" s="287">
        <v>1.08</v>
      </c>
      <c r="AL341" s="286">
        <v>11.8</v>
      </c>
      <c r="AM341" s="290">
        <v>70.2</v>
      </c>
      <c r="AN341" s="286" cm="1">
        <f t="array" aca="1" ref="AN341" ca="1">INDIRECT("'"&amp;$C341&amp;"'!"&amp;"$"&amp;$D341&amp;$AL$1&amp;"")</f>
        <v>4.2</v>
      </c>
      <c r="AO341" s="289">
        <v>0.95</v>
      </c>
      <c r="AP341" s="287">
        <v>1.123</v>
      </c>
      <c r="AQ341" s="288" t="str" cm="1">
        <f t="array" aca="1" ref="AQ341" ca="1">INDIRECT("'"&amp;$C341&amp;"'!"&amp;"$"&amp;$D341&amp;$AQ$1&amp;"")</f>
        <v>CMS</v>
      </c>
      <c r="AR341" s="289" t="s">
        <v>1</v>
      </c>
      <c r="AS341" s="287" t="s">
        <v>1</v>
      </c>
      <c r="AT341" s="289" cm="1">
        <f t="array" aca="1" ref="AT341" ca="1">INDIRECT("'"&amp;$C341&amp;"'!"&amp;"$"&amp;$D341&amp;$AT$1&amp;"")</f>
        <v>6.5</v>
      </c>
      <c r="AU341" s="288">
        <v>13.85</v>
      </c>
      <c r="AV341" s="289">
        <v>0.95</v>
      </c>
      <c r="AW341" s="287">
        <v>2.0699999999999998</v>
      </c>
      <c r="AX341" s="291">
        <v>14.16</v>
      </c>
      <c r="AY341" s="290">
        <v>71.150000000000006</v>
      </c>
      <c r="AZ341" s="291" cm="1">
        <f t="array" aca="1" ref="AZ341" ca="1">INDIRECT("'"&amp;$C341&amp;"'!"&amp;"$"&amp;$D341&amp;$AZ$1&amp;"")</f>
        <v>14.29</v>
      </c>
      <c r="BA341" s="289">
        <v>0.98</v>
      </c>
      <c r="BB341" s="287">
        <v>3.56</v>
      </c>
      <c r="BC341" s="292">
        <v>67.599999999999994</v>
      </c>
      <c r="BD341" s="286" cm="1">
        <f t="array" aca="1" ref="BD341" ca="1">INDIRECT("'"&amp;$C341&amp;"'!"&amp;"$"&amp;$D341&amp;$BC$1&amp;"")</f>
        <v>0.7</v>
      </c>
      <c r="BE341" s="288">
        <v>0.96</v>
      </c>
      <c r="BF341" s="287">
        <v>0.2</v>
      </c>
      <c r="BG341" s="291" cm="1">
        <f t="array" aca="1" ref="BG341" ca="1">INDIRECT("'"&amp;$C341&amp;"'!"&amp;"$"&amp;$D341&amp;$BG$1&amp;"")</f>
        <v>1.49</v>
      </c>
      <c r="BH341" s="289"/>
      <c r="BI341" s="289">
        <v>0.99</v>
      </c>
      <c r="BJ341" s="287">
        <v>0.23</v>
      </c>
      <c r="BK341" s="292" cm="1">
        <f t="array" aca="1" ref="BK341" ca="1">INDIRECT("'"&amp;$C341&amp;"'!"&amp;"$"&amp;$D341&amp;$BK$1&amp;"")</f>
        <v>0.86</v>
      </c>
      <c r="BL341" s="289"/>
      <c r="BM341" s="289">
        <v>0.96</v>
      </c>
      <c r="BN341" s="287">
        <v>0.23</v>
      </c>
      <c r="BO341" s="292" cm="1">
        <f t="array" aca="1" ref="BO341" ca="1">INDIRECT("'"&amp;$C341&amp;"'!"&amp;"$"&amp;$D341&amp;74&amp;"")</f>
        <v>0</v>
      </c>
      <c r="BP341" s="289"/>
      <c r="BQ341" s="289" t="s">
        <v>1</v>
      </c>
      <c r="BR341" s="287" t="s">
        <v>1</v>
      </c>
    </row>
    <row r="342" spans="1:70">
      <c r="A342" s="361">
        <v>45761</v>
      </c>
      <c r="B342" s="358">
        <v>0.5</v>
      </c>
      <c r="C342" s="313">
        <f t="shared" si="12"/>
        <v>14</v>
      </c>
      <c r="D342" s="314" t="s">
        <v>139</v>
      </c>
      <c r="E342" s="293">
        <v>14.1</v>
      </c>
      <c r="F342" s="294">
        <v>69.319999999999993</v>
      </c>
      <c r="G342" s="295" cm="1">
        <f t="array" aca="1" ref="G342" ca="1">INDIRECT("'"&amp;$C342&amp;"'!"&amp;"$"&amp;$D342&amp;$E$1&amp;"")</f>
        <v>6.6</v>
      </c>
      <c r="H342" s="296">
        <v>0.93</v>
      </c>
      <c r="I342" s="294">
        <v>2.5299999999999998</v>
      </c>
      <c r="J342" s="295" cm="1">
        <f t="array" aca="1" ref="J342" ca="1">INDIRECT("'"&amp;$C342&amp;"'!"&amp;"$"&amp;$D342&amp;$J$1&amp;"")</f>
        <v>6.6</v>
      </c>
      <c r="K342" s="296"/>
      <c r="L342" s="296">
        <v>0.93</v>
      </c>
      <c r="M342" s="294">
        <v>2.5299999999999998</v>
      </c>
      <c r="N342" s="295" cm="1">
        <f t="array" aca="1" ref="N342" ca="1">INDIRECT("'"&amp;$C342&amp;"'!"&amp;"$"&amp;$D342&amp;$N$1&amp;"")</f>
        <v>6.6</v>
      </c>
      <c r="O342" s="296"/>
      <c r="P342" s="296">
        <v>0.93</v>
      </c>
      <c r="Q342" s="294">
        <v>2.5299999999999998</v>
      </c>
      <c r="R342" s="295" cm="1">
        <f t="array" aca="1" ref="R342" ca="1">INDIRECT("'"&amp;$C342&amp;"'!"&amp;"$"&amp;$D342&amp;$R$1&amp;"")</f>
        <v>6.6</v>
      </c>
      <c r="S342" s="296"/>
      <c r="T342" s="296">
        <v>0.93</v>
      </c>
      <c r="U342" s="294">
        <v>2.5299999999999998</v>
      </c>
      <c r="V342" s="295" cm="1">
        <f t="array" aca="1" ref="V342" ca="1">INDIRECT("'"&amp;$C342&amp;"'!"&amp;"$"&amp;$D342&amp;$V$1&amp;"")</f>
        <v>2.8</v>
      </c>
      <c r="W342" s="296">
        <f>3.8*3.52</f>
        <v>13.375999999999999</v>
      </c>
      <c r="X342" s="296">
        <v>0.9</v>
      </c>
      <c r="Y342" s="297">
        <v>1.32</v>
      </c>
      <c r="Z342" s="293" cm="1">
        <f t="array" aca="1" ref="Z342" ca="1">INDIRECT("'"&amp;$C342&amp;"'!"&amp;"$"&amp;$D342&amp;$Z$1&amp;"")</f>
        <v>0</v>
      </c>
      <c r="AA342" s="296" t="s">
        <v>1</v>
      </c>
      <c r="AB342" s="296" t="s">
        <v>1</v>
      </c>
      <c r="AC342" s="294" t="s">
        <v>1</v>
      </c>
      <c r="AD342" s="295" cm="1">
        <f t="array" aca="1" ref="AD342" ca="1">INDIRECT("'"&amp;$C342&amp;"'!"&amp;"$"&amp;$D342&amp;$AD$1&amp;"")</f>
        <v>3.8</v>
      </c>
      <c r="AE342" s="296">
        <f>3.8*3.52</f>
        <v>13.375999999999999</v>
      </c>
      <c r="AF342" s="296">
        <v>0.91</v>
      </c>
      <c r="AG342" s="297">
        <v>1.81</v>
      </c>
      <c r="AH342" s="293" cm="1">
        <f t="array" aca="1" ref="AH342" ca="1">INDIRECT("'"&amp;$C342&amp;"'!"&amp;"$"&amp;$D342&amp;$AH$1&amp;"")</f>
        <v>3.8</v>
      </c>
      <c r="AI342" s="296">
        <v>14</v>
      </c>
      <c r="AJ342" s="296">
        <v>0.93</v>
      </c>
      <c r="AK342" s="294">
        <v>1.17</v>
      </c>
      <c r="AL342" s="293">
        <v>11.8</v>
      </c>
      <c r="AM342" s="297">
        <v>70.5</v>
      </c>
      <c r="AN342" s="293" cm="1">
        <f t="array" aca="1" ref="AN342" ca="1">INDIRECT("'"&amp;$C342&amp;"'!"&amp;"$"&amp;$D342&amp;$AL$1&amp;"")</f>
        <v>4.2</v>
      </c>
      <c r="AO342" s="296">
        <v>0.97</v>
      </c>
      <c r="AP342" s="294">
        <v>1.0449999999999999</v>
      </c>
      <c r="AQ342" s="295" t="str" cm="1">
        <f t="array" aca="1" ref="AQ342" ca="1">INDIRECT("'"&amp;$C342&amp;"'!"&amp;"$"&amp;$D342&amp;$AQ$1&amp;"")</f>
        <v>CMS</v>
      </c>
      <c r="AR342" s="296" t="s">
        <v>1</v>
      </c>
      <c r="AS342" s="294" t="s">
        <v>1</v>
      </c>
      <c r="AT342" s="296" cm="1">
        <f t="array" aca="1" ref="AT342" ca="1">INDIRECT("'"&amp;$C342&amp;"'!"&amp;"$"&amp;$D342&amp;$AT$1&amp;"")</f>
        <v>6.51</v>
      </c>
      <c r="AU342" s="295">
        <v>13.86</v>
      </c>
      <c r="AV342" s="296">
        <v>0.95</v>
      </c>
      <c r="AW342" s="294">
        <v>1.87</v>
      </c>
      <c r="AX342" s="298">
        <v>14.13</v>
      </c>
      <c r="AY342" s="297">
        <v>71.16</v>
      </c>
      <c r="AZ342" s="298" cm="1">
        <f t="array" aca="1" ref="AZ342" ca="1">INDIRECT("'"&amp;$C342&amp;"'!"&amp;"$"&amp;$D342&amp;$AZ$1&amp;"")</f>
        <v>14.27</v>
      </c>
      <c r="BA342" s="296">
        <v>0.98</v>
      </c>
      <c r="BB342" s="294">
        <v>3.54</v>
      </c>
      <c r="BC342" s="299">
        <v>68</v>
      </c>
      <c r="BD342" s="293" cm="1">
        <f t="array" aca="1" ref="BD342" ca="1">INDIRECT("'"&amp;$C342&amp;"'!"&amp;"$"&amp;$D342&amp;$BC$1&amp;"")</f>
        <v>2.0999999999999996</v>
      </c>
      <c r="BE342" s="295">
        <v>0.96</v>
      </c>
      <c r="BF342" s="294">
        <v>0.61</v>
      </c>
      <c r="BG342" s="298" cm="1">
        <f t="array" aca="1" ref="BG342" ca="1">INDIRECT("'"&amp;$C342&amp;"'!"&amp;"$"&amp;$D342&amp;$BG$1&amp;"")</f>
        <v>1.53</v>
      </c>
      <c r="BH342" s="296"/>
      <c r="BI342" s="296">
        <v>0.99</v>
      </c>
      <c r="BJ342" s="294">
        <v>0.23</v>
      </c>
      <c r="BK342" s="299" cm="1">
        <f t="array" aca="1" ref="BK342" ca="1">INDIRECT("'"&amp;$C342&amp;"'!"&amp;"$"&amp;$D342&amp;$BK$1&amp;"")</f>
        <v>0.9</v>
      </c>
      <c r="BL342" s="296"/>
      <c r="BM342" s="296">
        <v>0.96</v>
      </c>
      <c r="BN342" s="294">
        <v>0.24</v>
      </c>
      <c r="BO342" s="299" cm="1">
        <f t="array" aca="1" ref="BO342" ca="1">INDIRECT("'"&amp;$C342&amp;"'!"&amp;"$"&amp;$D342&amp;74&amp;"")</f>
        <v>0</v>
      </c>
      <c r="BP342" s="296"/>
      <c r="BQ342" s="296" t="s">
        <v>1</v>
      </c>
      <c r="BR342" s="294" t="s">
        <v>1</v>
      </c>
    </row>
    <row r="343" spans="1:70">
      <c r="A343" s="361">
        <v>45761</v>
      </c>
      <c r="B343" s="358">
        <v>0.54166666666666696</v>
      </c>
      <c r="C343" s="313">
        <f t="shared" si="12"/>
        <v>14</v>
      </c>
      <c r="D343" s="314" t="s">
        <v>140</v>
      </c>
      <c r="E343" s="286">
        <v>14.2</v>
      </c>
      <c r="F343" s="287">
        <v>69.8</v>
      </c>
      <c r="G343" s="288" cm="1">
        <f t="array" aca="1" ref="G343" ca="1">INDIRECT("'"&amp;$C343&amp;"'!"&amp;"$"&amp;$D343&amp;$E$1&amp;"")</f>
        <v>6.8</v>
      </c>
      <c r="H343" s="289">
        <v>0.95</v>
      </c>
      <c r="I343" s="287">
        <v>2.63</v>
      </c>
      <c r="J343" s="288" cm="1">
        <f t="array" aca="1" ref="J343" ca="1">INDIRECT("'"&amp;$C343&amp;"'!"&amp;"$"&amp;$D343&amp;$J$1&amp;"")</f>
        <v>6.8</v>
      </c>
      <c r="K343" s="289"/>
      <c r="L343" s="289">
        <v>0.95</v>
      </c>
      <c r="M343" s="287">
        <v>2.63</v>
      </c>
      <c r="N343" s="288" cm="1">
        <f t="array" aca="1" ref="N343" ca="1">INDIRECT("'"&amp;$C343&amp;"'!"&amp;"$"&amp;$D343&amp;$N$1&amp;"")</f>
        <v>6.8</v>
      </c>
      <c r="O343" s="289"/>
      <c r="P343" s="289">
        <v>0.95</v>
      </c>
      <c r="Q343" s="287">
        <v>2.63</v>
      </c>
      <c r="R343" s="288" cm="1">
        <f t="array" aca="1" ref="R343" ca="1">INDIRECT("'"&amp;$C343&amp;"'!"&amp;"$"&amp;$D343&amp;$R$1&amp;"")</f>
        <v>6.8</v>
      </c>
      <c r="S343" s="289"/>
      <c r="T343" s="289">
        <v>0.95</v>
      </c>
      <c r="U343" s="287">
        <v>2.63</v>
      </c>
      <c r="V343" s="288" cm="1">
        <f t="array" aca="1" ref="V343" ca="1">INDIRECT("'"&amp;$C343&amp;"'!"&amp;"$"&amp;$D343&amp;$V$1&amp;"")</f>
        <v>2.8</v>
      </c>
      <c r="W343" s="289">
        <f>3.8*3.49</f>
        <v>13.262</v>
      </c>
      <c r="X343" s="289">
        <v>0.9</v>
      </c>
      <c r="Y343" s="290">
        <v>1.31</v>
      </c>
      <c r="Z343" s="286" cm="1">
        <f t="array" aca="1" ref="Z343" ca="1">INDIRECT("'"&amp;$C343&amp;"'!"&amp;"$"&amp;$D343&amp;$Z$1&amp;"")</f>
        <v>0</v>
      </c>
      <c r="AA343" s="289" t="s">
        <v>1</v>
      </c>
      <c r="AB343" s="289" t="s">
        <v>1</v>
      </c>
      <c r="AC343" s="287" t="s">
        <v>1</v>
      </c>
      <c r="AD343" s="288" cm="1">
        <f t="array" aca="1" ref="AD343" ca="1">INDIRECT("'"&amp;$C343&amp;"'!"&amp;"$"&amp;$D343&amp;$AD$1&amp;"")</f>
        <v>3.8</v>
      </c>
      <c r="AE343" s="289">
        <f>3.8*3.49</f>
        <v>13.262</v>
      </c>
      <c r="AF343" s="289">
        <v>0.9</v>
      </c>
      <c r="AG343" s="290">
        <v>1.91</v>
      </c>
      <c r="AH343" s="286" cm="1">
        <f t="array" aca="1" ref="AH343" ca="1">INDIRECT("'"&amp;$C343&amp;"'!"&amp;"$"&amp;$D343&amp;$AH$1&amp;"")</f>
        <v>3.8</v>
      </c>
      <c r="AI343" s="289">
        <v>14</v>
      </c>
      <c r="AJ343" s="289">
        <v>0.95</v>
      </c>
      <c r="AK343" s="287">
        <v>1.05</v>
      </c>
      <c r="AL343" s="286">
        <v>11.8</v>
      </c>
      <c r="AM343" s="290">
        <v>70.400000000000006</v>
      </c>
      <c r="AN343" s="286" cm="1">
        <f t="array" aca="1" ref="AN343" ca="1">INDIRECT("'"&amp;$C343&amp;"'!"&amp;"$"&amp;$D343&amp;$AL$1&amp;"")</f>
        <v>4.2</v>
      </c>
      <c r="AO343" s="289">
        <v>0.97</v>
      </c>
      <c r="AP343" s="287">
        <v>1</v>
      </c>
      <c r="AQ343" s="288" t="str" cm="1">
        <f t="array" aca="1" ref="AQ343" ca="1">INDIRECT("'"&amp;$C343&amp;"'!"&amp;"$"&amp;$D343&amp;$AQ$1&amp;"")</f>
        <v>CMS</v>
      </c>
      <c r="AR343" s="289" t="s">
        <v>1</v>
      </c>
      <c r="AS343" s="287" t="s">
        <v>1</v>
      </c>
      <c r="AT343" s="289" cm="1">
        <f t="array" aca="1" ref="AT343" ca="1">INDIRECT("'"&amp;$C343&amp;"'!"&amp;"$"&amp;$D343&amp;$AT$1&amp;"")</f>
        <v>6.7</v>
      </c>
      <c r="AU343" s="288">
        <v>13.85</v>
      </c>
      <c r="AV343" s="289">
        <v>0.97</v>
      </c>
      <c r="AW343" s="287">
        <v>1.64</v>
      </c>
      <c r="AX343" s="291">
        <v>14.17</v>
      </c>
      <c r="AY343" s="290">
        <v>71.31</v>
      </c>
      <c r="AZ343" s="291" cm="1">
        <f t="array" aca="1" ref="AZ343" ca="1">INDIRECT("'"&amp;$C343&amp;"'!"&amp;"$"&amp;$D343&amp;$AZ$1&amp;"")</f>
        <v>14.29</v>
      </c>
      <c r="BA343" s="289">
        <v>0.98</v>
      </c>
      <c r="BB343" s="287">
        <v>3.52</v>
      </c>
      <c r="BC343" s="292">
        <v>67.900000000000006</v>
      </c>
      <c r="BD343" s="286" cm="1">
        <f t="array" aca="1" ref="BD343" ca="1">INDIRECT("'"&amp;$C343&amp;"'!"&amp;"$"&amp;$D343&amp;$BC$1&amp;"")</f>
        <v>2.0999999999999996</v>
      </c>
      <c r="BE343" s="288">
        <v>0.96</v>
      </c>
      <c r="BF343" s="287">
        <v>0.6</v>
      </c>
      <c r="BG343" s="291" cm="1">
        <f t="array" aca="1" ref="BG343" ca="1">INDIRECT("'"&amp;$C343&amp;"'!"&amp;"$"&amp;$D343&amp;$BG$1&amp;"")</f>
        <v>1.52</v>
      </c>
      <c r="BH343" s="289"/>
      <c r="BI343" s="289">
        <v>0.99</v>
      </c>
      <c r="BJ343" s="287">
        <v>0.23</v>
      </c>
      <c r="BK343" s="292" cm="1">
        <f t="array" aca="1" ref="BK343" ca="1">INDIRECT("'"&amp;$C343&amp;"'!"&amp;"$"&amp;$D343&amp;$BK$1&amp;"")</f>
        <v>0.9</v>
      </c>
      <c r="BL343" s="289"/>
      <c r="BM343" s="289">
        <v>0.96</v>
      </c>
      <c r="BN343" s="287">
        <v>0.25</v>
      </c>
      <c r="BO343" s="292" cm="1">
        <f t="array" aca="1" ref="BO343" ca="1">INDIRECT("'"&amp;$C343&amp;"'!"&amp;"$"&amp;$D343&amp;74&amp;"")</f>
        <v>0</v>
      </c>
      <c r="BP343" s="289"/>
      <c r="BQ343" s="289" t="s">
        <v>1</v>
      </c>
      <c r="BR343" s="287" t="s">
        <v>1</v>
      </c>
    </row>
    <row r="344" spans="1:70">
      <c r="A344" s="361">
        <v>45761</v>
      </c>
      <c r="B344" s="358">
        <v>0.58333333333333404</v>
      </c>
      <c r="C344" s="313">
        <f t="shared" si="12"/>
        <v>14</v>
      </c>
      <c r="D344" s="314" t="s">
        <v>141</v>
      </c>
      <c r="E344" s="293">
        <v>14.2</v>
      </c>
      <c r="F344" s="294">
        <v>69.06</v>
      </c>
      <c r="G344" s="295" cm="1">
        <f t="array" aca="1" ref="G344" ca="1">INDIRECT("'"&amp;$C344&amp;"'!"&amp;"$"&amp;$D344&amp;$E$1&amp;"")</f>
        <v>6.7</v>
      </c>
      <c r="H344" s="296">
        <v>0.94</v>
      </c>
      <c r="I344" s="294">
        <v>2.35</v>
      </c>
      <c r="J344" s="295" cm="1">
        <f t="array" aca="1" ref="J344" ca="1">INDIRECT("'"&amp;$C344&amp;"'!"&amp;"$"&amp;$D344&amp;$J$1&amp;"")</f>
        <v>6.7</v>
      </c>
      <c r="K344" s="296"/>
      <c r="L344" s="296">
        <v>0.94</v>
      </c>
      <c r="M344" s="294">
        <v>2.35</v>
      </c>
      <c r="N344" s="295" cm="1">
        <f t="array" aca="1" ref="N344" ca="1">INDIRECT("'"&amp;$C344&amp;"'!"&amp;"$"&amp;$D344&amp;$N$1&amp;"")</f>
        <v>6.7</v>
      </c>
      <c r="O344" s="296"/>
      <c r="P344" s="296">
        <v>0.94</v>
      </c>
      <c r="Q344" s="294">
        <v>2.35</v>
      </c>
      <c r="R344" s="295" cm="1">
        <f t="array" aca="1" ref="R344" ca="1">INDIRECT("'"&amp;$C344&amp;"'!"&amp;"$"&amp;$D344&amp;$R$1&amp;"")</f>
        <v>6.7</v>
      </c>
      <c r="S344" s="296"/>
      <c r="T344" s="296">
        <v>0.94</v>
      </c>
      <c r="U344" s="294">
        <v>2.35</v>
      </c>
      <c r="V344" s="295" cm="1">
        <f t="array" aca="1" ref="V344" ca="1">INDIRECT("'"&amp;$C344&amp;"'!"&amp;"$"&amp;$D344&amp;$V$1&amp;"")</f>
        <v>2.8</v>
      </c>
      <c r="W344" s="296">
        <f>3.8*3.48</f>
        <v>13.224</v>
      </c>
      <c r="X344" s="296">
        <v>0.9</v>
      </c>
      <c r="Y344" s="297">
        <v>1.35</v>
      </c>
      <c r="Z344" s="293" cm="1">
        <f t="array" aca="1" ref="Z344" ca="1">INDIRECT("'"&amp;$C344&amp;"'!"&amp;"$"&amp;$D344&amp;$Z$1&amp;"")</f>
        <v>0</v>
      </c>
      <c r="AA344" s="296" t="s">
        <v>1</v>
      </c>
      <c r="AB344" s="296" t="s">
        <v>1</v>
      </c>
      <c r="AC344" s="294" t="s">
        <v>1</v>
      </c>
      <c r="AD344" s="295" cm="1">
        <f t="array" aca="1" ref="AD344" ca="1">INDIRECT("'"&amp;$C344&amp;"'!"&amp;"$"&amp;$D344&amp;$AD$1&amp;"")</f>
        <v>3.8</v>
      </c>
      <c r="AE344" s="296">
        <f>3.8*3.48</f>
        <v>13.224</v>
      </c>
      <c r="AF344" s="296">
        <v>0.9</v>
      </c>
      <c r="AG344" s="297">
        <v>1.93</v>
      </c>
      <c r="AH344" s="293" cm="1">
        <f t="array" aca="1" ref="AH344" ca="1">INDIRECT("'"&amp;$C344&amp;"'!"&amp;"$"&amp;$D344&amp;$AH$1&amp;"")</f>
        <v>3.8</v>
      </c>
      <c r="AI344" s="296">
        <v>14.04</v>
      </c>
      <c r="AJ344" s="296">
        <v>0.95</v>
      </c>
      <c r="AK344" s="294">
        <v>1.03</v>
      </c>
      <c r="AL344" s="293">
        <v>11.8</v>
      </c>
      <c r="AM344" s="297">
        <v>70.400000000000006</v>
      </c>
      <c r="AN344" s="293" cm="1">
        <f t="array" aca="1" ref="AN344" ca="1">INDIRECT("'"&amp;$C344&amp;"'!"&amp;"$"&amp;$D344&amp;$AL$1&amp;"")</f>
        <v>4.3</v>
      </c>
      <c r="AO344" s="296">
        <v>0.96</v>
      </c>
      <c r="AP344" s="294">
        <v>1.032</v>
      </c>
      <c r="AQ344" s="295" t="str" cm="1">
        <f t="array" aca="1" ref="AQ344" ca="1">INDIRECT("'"&amp;$C344&amp;"'!"&amp;"$"&amp;$D344&amp;$AQ$1&amp;"")</f>
        <v>CMS</v>
      </c>
      <c r="AR344" s="296" t="s">
        <v>1</v>
      </c>
      <c r="AS344" s="294" t="s">
        <v>1</v>
      </c>
      <c r="AT344" s="296" cm="1">
        <f t="array" aca="1" ref="AT344" ca="1">INDIRECT("'"&amp;$C344&amp;"'!"&amp;"$"&amp;$D344&amp;$AT$1&amp;"")</f>
        <v>7</v>
      </c>
      <c r="AU344" s="295">
        <v>13.85</v>
      </c>
      <c r="AV344" s="296">
        <v>0.97</v>
      </c>
      <c r="AW344" s="294">
        <v>1.65</v>
      </c>
      <c r="AX344" s="298">
        <v>14.16</v>
      </c>
      <c r="AY344" s="297">
        <v>71.25</v>
      </c>
      <c r="AZ344" s="298" cm="1">
        <f t="array" aca="1" ref="AZ344" ca="1">INDIRECT("'"&amp;$C344&amp;"'!"&amp;"$"&amp;$D344&amp;$AZ$1&amp;"")</f>
        <v>14.29</v>
      </c>
      <c r="BA344" s="296">
        <v>0.98</v>
      </c>
      <c r="BB344" s="294">
        <v>3.53</v>
      </c>
      <c r="BC344" s="299">
        <v>67.7</v>
      </c>
      <c r="BD344" s="293" cm="1">
        <f t="array" aca="1" ref="BD344" ca="1">INDIRECT("'"&amp;$C344&amp;"'!"&amp;"$"&amp;$D344&amp;$BC$1&amp;"")</f>
        <v>3.55</v>
      </c>
      <c r="BE344" s="295">
        <v>0.96</v>
      </c>
      <c r="BF344" s="294">
        <v>1</v>
      </c>
      <c r="BG344" s="298" cm="1">
        <f t="array" aca="1" ref="BG344" ca="1">INDIRECT("'"&amp;$C344&amp;"'!"&amp;"$"&amp;$D344&amp;$BG$1&amp;"")</f>
        <v>1.52</v>
      </c>
      <c r="BH344" s="296"/>
      <c r="BI344" s="296">
        <v>0.99</v>
      </c>
      <c r="BJ344" s="294">
        <v>0.22</v>
      </c>
      <c r="BK344" s="299" cm="1">
        <f t="array" aca="1" ref="BK344" ca="1">INDIRECT("'"&amp;$C344&amp;"'!"&amp;"$"&amp;$D344&amp;$BK$1&amp;"")</f>
        <v>0.91</v>
      </c>
      <c r="BL344" s="296"/>
      <c r="BM344" s="296">
        <v>0.96</v>
      </c>
      <c r="BN344" s="294">
        <v>0.27</v>
      </c>
      <c r="BO344" s="299" cm="1">
        <f t="array" aca="1" ref="BO344" ca="1">INDIRECT("'"&amp;$C344&amp;"'!"&amp;"$"&amp;$D344&amp;74&amp;"")</f>
        <v>0</v>
      </c>
      <c r="BP344" s="296"/>
      <c r="BQ344" s="296" t="s">
        <v>1</v>
      </c>
      <c r="BR344" s="294" t="s">
        <v>1</v>
      </c>
    </row>
    <row r="345" spans="1:70">
      <c r="A345" s="361">
        <v>45761</v>
      </c>
      <c r="B345" s="358">
        <v>0.625</v>
      </c>
      <c r="C345" s="313">
        <f t="shared" si="12"/>
        <v>14</v>
      </c>
      <c r="D345" s="314" t="s">
        <v>142</v>
      </c>
      <c r="E345" s="286">
        <v>14.2</v>
      </c>
      <c r="F345" s="287">
        <v>69.05</v>
      </c>
      <c r="G345" s="288" cm="1">
        <f t="array" aca="1" ref="G345" ca="1">INDIRECT("'"&amp;$C345&amp;"'!"&amp;"$"&amp;$D345&amp;$E$1&amp;"")</f>
        <v>6.6</v>
      </c>
      <c r="H345" s="289">
        <v>0.94</v>
      </c>
      <c r="I345" s="287">
        <v>2.48</v>
      </c>
      <c r="J345" s="288" cm="1">
        <f t="array" aca="1" ref="J345" ca="1">INDIRECT("'"&amp;$C345&amp;"'!"&amp;"$"&amp;$D345&amp;$J$1&amp;"")</f>
        <v>6.6</v>
      </c>
      <c r="K345" s="289"/>
      <c r="L345" s="289">
        <v>0.94</v>
      </c>
      <c r="M345" s="287">
        <v>2.48</v>
      </c>
      <c r="N345" s="288" cm="1">
        <f t="array" aca="1" ref="N345" ca="1">INDIRECT("'"&amp;$C345&amp;"'!"&amp;"$"&amp;$D345&amp;$N$1&amp;"")</f>
        <v>6.6</v>
      </c>
      <c r="O345" s="289"/>
      <c r="P345" s="289">
        <v>0.94</v>
      </c>
      <c r="Q345" s="287">
        <v>2.48</v>
      </c>
      <c r="R345" s="288" cm="1">
        <f t="array" aca="1" ref="R345" ca="1">INDIRECT("'"&amp;$C345&amp;"'!"&amp;"$"&amp;$D345&amp;$R$1&amp;"")</f>
        <v>6.6</v>
      </c>
      <c r="S345" s="289"/>
      <c r="T345" s="289">
        <v>0.94</v>
      </c>
      <c r="U345" s="287">
        <v>2.48</v>
      </c>
      <c r="V345" s="288" cm="1">
        <f t="array" aca="1" ref="V345" ca="1">INDIRECT("'"&amp;$C345&amp;"'!"&amp;"$"&amp;$D345&amp;$V$1&amp;"")</f>
        <v>2.8</v>
      </c>
      <c r="W345" s="289">
        <f>3.8*3.48</f>
        <v>13.224</v>
      </c>
      <c r="X345" s="289">
        <v>0.9</v>
      </c>
      <c r="Y345" s="290">
        <v>1.36</v>
      </c>
      <c r="Z345" s="286" cm="1">
        <f t="array" aca="1" ref="Z345" ca="1">INDIRECT("'"&amp;$C345&amp;"'!"&amp;"$"&amp;$D345&amp;$Z$1&amp;"")</f>
        <v>0</v>
      </c>
      <c r="AA345" s="289" t="s">
        <v>1</v>
      </c>
      <c r="AB345" s="289" t="s">
        <v>1</v>
      </c>
      <c r="AC345" s="287" t="s">
        <v>1</v>
      </c>
      <c r="AD345" s="288" cm="1">
        <f t="array" aca="1" ref="AD345" ca="1">INDIRECT("'"&amp;$C345&amp;"'!"&amp;"$"&amp;$D345&amp;$AD$1&amp;"")</f>
        <v>3.8</v>
      </c>
      <c r="AE345" s="289">
        <f>3.8*3.48</f>
        <v>13.224</v>
      </c>
      <c r="AF345" s="289">
        <v>0.9</v>
      </c>
      <c r="AG345" s="290">
        <v>1.9</v>
      </c>
      <c r="AH345" s="286" cm="1">
        <f t="array" aca="1" ref="AH345" ca="1">INDIRECT("'"&amp;$C345&amp;"'!"&amp;"$"&amp;$D345&amp;$AH$1&amp;"")</f>
        <v>3.8</v>
      </c>
      <c r="AI345" s="289">
        <v>14.04</v>
      </c>
      <c r="AJ345" s="289">
        <v>0.95</v>
      </c>
      <c r="AK345" s="287">
        <v>1.05</v>
      </c>
      <c r="AL345" s="286">
        <v>11.8</v>
      </c>
      <c r="AM345" s="290">
        <v>70.400000000000006</v>
      </c>
      <c r="AN345" s="286" cm="1">
        <f t="array" aca="1" ref="AN345" ca="1">INDIRECT("'"&amp;$C345&amp;"'!"&amp;"$"&amp;$D345&amp;$AL$1&amp;"")</f>
        <v>4.2</v>
      </c>
      <c r="AO345" s="289">
        <v>0.97</v>
      </c>
      <c r="AP345" s="287">
        <v>1.0189999999999999</v>
      </c>
      <c r="AQ345" s="288" t="str" cm="1">
        <f t="array" aca="1" ref="AQ345" ca="1">INDIRECT("'"&amp;$C345&amp;"'!"&amp;"$"&amp;$D345&amp;$AQ$1&amp;"")</f>
        <v>CMS</v>
      </c>
      <c r="AR345" s="289" t="s">
        <v>1</v>
      </c>
      <c r="AS345" s="287" t="s">
        <v>1</v>
      </c>
      <c r="AT345" s="289" cm="1">
        <f t="array" aca="1" ref="AT345" ca="1">INDIRECT("'"&amp;$C345&amp;"'!"&amp;"$"&amp;$D345&amp;$AT$1&amp;"")</f>
        <v>7.02</v>
      </c>
      <c r="AU345" s="288">
        <v>13.85</v>
      </c>
      <c r="AV345" s="289">
        <v>0.97</v>
      </c>
      <c r="AW345" s="287">
        <v>1.67</v>
      </c>
      <c r="AX345" s="291">
        <v>14.19</v>
      </c>
      <c r="AY345" s="290">
        <v>71.41</v>
      </c>
      <c r="AZ345" s="291" cm="1">
        <f t="array" aca="1" ref="AZ345" ca="1">INDIRECT("'"&amp;$C345&amp;"'!"&amp;"$"&amp;$D345&amp;$AZ$1&amp;"")</f>
        <v>14.26</v>
      </c>
      <c r="BA345" s="289">
        <v>0.98</v>
      </c>
      <c r="BB345" s="287">
        <v>3.56</v>
      </c>
      <c r="BC345" s="292">
        <v>67.8</v>
      </c>
      <c r="BD345" s="286" cm="1">
        <f t="array" aca="1" ref="BD345" ca="1">INDIRECT("'"&amp;$C345&amp;"'!"&amp;"$"&amp;$D345&amp;$BC$1&amp;"")</f>
        <v>3.5199999999999996</v>
      </c>
      <c r="BE345" s="288">
        <v>0.96</v>
      </c>
      <c r="BF345" s="287">
        <v>1</v>
      </c>
      <c r="BG345" s="291" cm="1">
        <f t="array" aca="1" ref="BG345" ca="1">INDIRECT("'"&amp;$C345&amp;"'!"&amp;"$"&amp;$D345&amp;$BG$1&amp;"")</f>
        <v>1.48</v>
      </c>
      <c r="BH345" s="289"/>
      <c r="BI345" s="289">
        <v>0.99</v>
      </c>
      <c r="BJ345" s="287">
        <v>0.22</v>
      </c>
      <c r="BK345" s="292" cm="1">
        <f t="array" aca="1" ref="BK345" ca="1">INDIRECT("'"&amp;$C345&amp;"'!"&amp;"$"&amp;$D345&amp;$BK$1&amp;"")</f>
        <v>0.87</v>
      </c>
      <c r="BL345" s="289"/>
      <c r="BM345" s="289">
        <v>0.96</v>
      </c>
      <c r="BN345" s="287">
        <v>0.25</v>
      </c>
      <c r="BO345" s="292" cm="1">
        <f t="array" aca="1" ref="BO345" ca="1">INDIRECT("'"&amp;$C345&amp;"'!"&amp;"$"&amp;$D345&amp;74&amp;"")</f>
        <v>0</v>
      </c>
      <c r="BP345" s="289"/>
      <c r="BQ345" s="289" t="s">
        <v>1</v>
      </c>
      <c r="BR345" s="287" t="s">
        <v>1</v>
      </c>
    </row>
    <row r="346" spans="1:70">
      <c r="A346" s="361">
        <v>45761</v>
      </c>
      <c r="B346" s="358">
        <v>0.66666666666666696</v>
      </c>
      <c r="C346" s="313">
        <f t="shared" si="12"/>
        <v>14</v>
      </c>
      <c r="D346" s="314" t="s">
        <v>143</v>
      </c>
      <c r="E346" s="293">
        <v>14.1</v>
      </c>
      <c r="F346" s="294">
        <v>69.02</v>
      </c>
      <c r="G346" s="295" cm="1">
        <f t="array" aca="1" ref="G346" ca="1">INDIRECT("'"&amp;$C346&amp;"'!"&amp;"$"&amp;$D346&amp;$E$1&amp;"")</f>
        <v>6.6</v>
      </c>
      <c r="H346" s="296">
        <v>0.93</v>
      </c>
      <c r="I346" s="294">
        <v>2.5</v>
      </c>
      <c r="J346" s="295" cm="1">
        <f t="array" aca="1" ref="J346" ca="1">INDIRECT("'"&amp;$C346&amp;"'!"&amp;"$"&amp;$D346&amp;$J$1&amp;"")</f>
        <v>6.6</v>
      </c>
      <c r="K346" s="296"/>
      <c r="L346" s="296">
        <v>0.93</v>
      </c>
      <c r="M346" s="294">
        <v>2.5</v>
      </c>
      <c r="N346" s="295" cm="1">
        <f t="array" aca="1" ref="N346" ca="1">INDIRECT("'"&amp;$C346&amp;"'!"&amp;"$"&amp;$D346&amp;$N$1&amp;"")</f>
        <v>6.6</v>
      </c>
      <c r="O346" s="296"/>
      <c r="P346" s="296">
        <v>0.93</v>
      </c>
      <c r="Q346" s="294">
        <v>2.5</v>
      </c>
      <c r="R346" s="295" cm="1">
        <f t="array" aca="1" ref="R346" ca="1">INDIRECT("'"&amp;$C346&amp;"'!"&amp;"$"&amp;$D346&amp;$R$1&amp;"")</f>
        <v>6.6</v>
      </c>
      <c r="S346" s="296"/>
      <c r="T346" s="296">
        <v>0.93</v>
      </c>
      <c r="U346" s="294">
        <v>2.5</v>
      </c>
      <c r="V346" s="295" cm="1">
        <f t="array" aca="1" ref="V346" ca="1">INDIRECT("'"&amp;$C346&amp;"'!"&amp;"$"&amp;$D346&amp;$V$1&amp;"")</f>
        <v>2.8</v>
      </c>
      <c r="W346" s="296">
        <f>3.8*3.48</f>
        <v>13.224</v>
      </c>
      <c r="X346" s="296">
        <v>0.9</v>
      </c>
      <c r="Y346" s="297">
        <v>1.33</v>
      </c>
      <c r="Z346" s="293" cm="1">
        <f t="array" aca="1" ref="Z346" ca="1">INDIRECT("'"&amp;$C346&amp;"'!"&amp;"$"&amp;$D346&amp;$Z$1&amp;"")</f>
        <v>0</v>
      </c>
      <c r="AA346" s="296" t="s">
        <v>1</v>
      </c>
      <c r="AB346" s="296" t="s">
        <v>1</v>
      </c>
      <c r="AC346" s="294" t="s">
        <v>1</v>
      </c>
      <c r="AD346" s="295" cm="1">
        <f t="array" aca="1" ref="AD346" ca="1">INDIRECT("'"&amp;$C346&amp;"'!"&amp;"$"&amp;$D346&amp;$AD$1&amp;"")</f>
        <v>3.8</v>
      </c>
      <c r="AE346" s="296">
        <f>3.8*3.48</f>
        <v>13.224</v>
      </c>
      <c r="AF346" s="296">
        <v>0.9</v>
      </c>
      <c r="AG346" s="297">
        <v>1.92</v>
      </c>
      <c r="AH346" s="293" cm="1">
        <f t="array" aca="1" ref="AH346" ca="1">INDIRECT("'"&amp;$C346&amp;"'!"&amp;"$"&amp;$D346&amp;$AH$1&amp;"")</f>
        <v>3.8</v>
      </c>
      <c r="AI346" s="296">
        <v>14.04</v>
      </c>
      <c r="AJ346" s="296">
        <v>0.95</v>
      </c>
      <c r="AK346" s="294">
        <v>1.03</v>
      </c>
      <c r="AL346" s="293">
        <v>11.8</v>
      </c>
      <c r="AM346" s="297">
        <v>70.400000000000006</v>
      </c>
      <c r="AN346" s="293" cm="1">
        <f t="array" aca="1" ref="AN346" ca="1">INDIRECT("'"&amp;$C346&amp;"'!"&amp;"$"&amp;$D346&amp;$AL$1&amp;"")</f>
        <v>4.4000000000000004</v>
      </c>
      <c r="AO346" s="296">
        <v>0.97</v>
      </c>
      <c r="AP346" s="294">
        <v>1</v>
      </c>
      <c r="AQ346" s="295" t="str" cm="1">
        <f t="array" aca="1" ref="AQ346" ca="1">INDIRECT("'"&amp;$C346&amp;"'!"&amp;"$"&amp;$D346&amp;$AQ$1&amp;"")</f>
        <v>CMS</v>
      </c>
      <c r="AR346" s="296" t="s">
        <v>1</v>
      </c>
      <c r="AS346" s="294" t="s">
        <v>1</v>
      </c>
      <c r="AT346" s="296" cm="1">
        <f t="array" aca="1" ref="AT346" ca="1">INDIRECT("'"&amp;$C346&amp;"'!"&amp;"$"&amp;$D346&amp;$AT$1&amp;"")</f>
        <v>7</v>
      </c>
      <c r="AU346" s="295">
        <v>13.86</v>
      </c>
      <c r="AV346" s="296">
        <v>0.97</v>
      </c>
      <c r="AW346" s="294">
        <v>1.61</v>
      </c>
      <c r="AX346" s="298">
        <v>14.19</v>
      </c>
      <c r="AY346" s="297">
        <v>71.38</v>
      </c>
      <c r="AZ346" s="298" cm="1">
        <f t="array" aca="1" ref="AZ346" ca="1">INDIRECT("'"&amp;$C346&amp;"'!"&amp;"$"&amp;$D346&amp;$AZ$1&amp;"")</f>
        <v>14.27</v>
      </c>
      <c r="BA346" s="296">
        <v>0.98</v>
      </c>
      <c r="BB346" s="294">
        <v>3.5</v>
      </c>
      <c r="BC346" s="299">
        <v>67.7</v>
      </c>
      <c r="BD346" s="293" cm="1">
        <f t="array" aca="1" ref="BD346" ca="1">INDIRECT("'"&amp;$C346&amp;"'!"&amp;"$"&amp;$D346&amp;$BC$1&amp;"")</f>
        <v>2.9</v>
      </c>
      <c r="BE346" s="295">
        <v>0.96</v>
      </c>
      <c r="BF346" s="294">
        <v>0.84</v>
      </c>
      <c r="BG346" s="298" cm="1">
        <f t="array" aca="1" ref="BG346" ca="1">INDIRECT("'"&amp;$C346&amp;"'!"&amp;"$"&amp;$D346&amp;$BG$1&amp;"")</f>
        <v>1.37</v>
      </c>
      <c r="BH346" s="296"/>
      <c r="BI346" s="296">
        <v>0.99</v>
      </c>
      <c r="BJ346" s="294">
        <v>0.19</v>
      </c>
      <c r="BK346" s="299" cm="1">
        <f t="array" aca="1" ref="BK346" ca="1">INDIRECT("'"&amp;$C346&amp;"'!"&amp;"$"&amp;$D346&amp;$BK$1&amp;"")</f>
        <v>0.89</v>
      </c>
      <c r="BL346" s="296"/>
      <c r="BM346" s="296">
        <v>0.96</v>
      </c>
      <c r="BN346" s="294">
        <v>0.25</v>
      </c>
      <c r="BO346" s="299" cm="1">
        <f t="array" aca="1" ref="BO346" ca="1">INDIRECT("'"&amp;$C346&amp;"'!"&amp;"$"&amp;$D346&amp;74&amp;"")</f>
        <v>0</v>
      </c>
      <c r="BP346" s="296"/>
      <c r="BQ346" s="296" t="s">
        <v>1</v>
      </c>
      <c r="BR346" s="294" t="s">
        <v>1</v>
      </c>
    </row>
    <row r="347" spans="1:70">
      <c r="A347" s="361">
        <v>45761</v>
      </c>
      <c r="B347" s="358">
        <v>0.70833333333333404</v>
      </c>
      <c r="C347" s="313">
        <f t="shared" si="12"/>
        <v>14</v>
      </c>
      <c r="D347" s="314" t="s">
        <v>144</v>
      </c>
      <c r="E347" s="286">
        <v>14.2</v>
      </c>
      <c r="F347" s="287">
        <v>69.08</v>
      </c>
      <c r="G347" s="288" cm="1">
        <f t="array" aca="1" ref="G347" ca="1">INDIRECT("'"&amp;$C347&amp;"'!"&amp;"$"&amp;$D347&amp;$E$1&amp;"")</f>
        <v>6.4</v>
      </c>
      <c r="H347" s="289">
        <v>0.93</v>
      </c>
      <c r="I347" s="287">
        <v>2.46</v>
      </c>
      <c r="J347" s="288" cm="1">
        <f t="array" aca="1" ref="J347" ca="1">INDIRECT("'"&amp;$C347&amp;"'!"&amp;"$"&amp;$D347&amp;$J$1&amp;"")</f>
        <v>6.4</v>
      </c>
      <c r="K347" s="289"/>
      <c r="L347" s="289">
        <v>0.93</v>
      </c>
      <c r="M347" s="287">
        <v>2.46</v>
      </c>
      <c r="N347" s="288" cm="1">
        <f t="array" aca="1" ref="N347" ca="1">INDIRECT("'"&amp;$C347&amp;"'!"&amp;"$"&amp;$D347&amp;$N$1&amp;"")</f>
        <v>6.4</v>
      </c>
      <c r="O347" s="289"/>
      <c r="P347" s="289">
        <v>0.93</v>
      </c>
      <c r="Q347" s="287">
        <v>2.46</v>
      </c>
      <c r="R347" s="288" cm="1">
        <f t="array" aca="1" ref="R347" ca="1">INDIRECT("'"&amp;$C347&amp;"'!"&amp;"$"&amp;$D347&amp;$R$1&amp;"")</f>
        <v>6.4</v>
      </c>
      <c r="S347" s="289"/>
      <c r="T347" s="289">
        <v>0.93</v>
      </c>
      <c r="U347" s="287">
        <v>2.46</v>
      </c>
      <c r="V347" s="288" cm="1">
        <f t="array" aca="1" ref="V347" ca="1">INDIRECT("'"&amp;$C347&amp;"'!"&amp;"$"&amp;$D347&amp;$V$1&amp;"")</f>
        <v>2.6</v>
      </c>
      <c r="W347" s="289">
        <f>3.8*3.51</f>
        <v>13.337999999999999</v>
      </c>
      <c r="X347" s="289">
        <v>0.91</v>
      </c>
      <c r="Y347" s="290">
        <v>1.26</v>
      </c>
      <c r="Z347" s="286" cm="1">
        <f t="array" aca="1" ref="Z347" ca="1">INDIRECT("'"&amp;$C347&amp;"'!"&amp;"$"&amp;$D347&amp;$Z$1&amp;"")</f>
        <v>0</v>
      </c>
      <c r="AA347" s="289" t="s">
        <v>1</v>
      </c>
      <c r="AB347" s="289" t="s">
        <v>1</v>
      </c>
      <c r="AC347" s="287" t="s">
        <v>1</v>
      </c>
      <c r="AD347" s="288" cm="1">
        <f t="array" aca="1" ref="AD347" ca="1">INDIRECT("'"&amp;$C347&amp;"'!"&amp;"$"&amp;$D347&amp;$AD$1&amp;"")</f>
        <v>3.5</v>
      </c>
      <c r="AE347" s="289">
        <f>3.8*3.51</f>
        <v>13.337999999999999</v>
      </c>
      <c r="AF347" s="289">
        <v>0.9</v>
      </c>
      <c r="AG347" s="290">
        <v>1.85</v>
      </c>
      <c r="AH347" s="286" cm="1">
        <f t="array" aca="1" ref="AH347" ca="1">INDIRECT("'"&amp;$C347&amp;"'!"&amp;"$"&amp;$D347&amp;$AH$1&amp;"")</f>
        <v>3.8</v>
      </c>
      <c r="AI347" s="289">
        <v>14.04</v>
      </c>
      <c r="AJ347" s="289">
        <v>0.96</v>
      </c>
      <c r="AK347" s="287">
        <v>0.84599999999999997</v>
      </c>
      <c r="AL347" s="286">
        <v>11.8</v>
      </c>
      <c r="AM347" s="290">
        <v>70.599999999999994</v>
      </c>
      <c r="AN347" s="286" cm="1">
        <f t="array" aca="1" ref="AN347" ca="1">INDIRECT("'"&amp;$C347&amp;"'!"&amp;"$"&amp;$D347&amp;$AL$1&amp;"")</f>
        <v>4.4000000000000004</v>
      </c>
      <c r="AO347" s="289">
        <v>0.97</v>
      </c>
      <c r="AP347" s="287">
        <v>0.92100000000000004</v>
      </c>
      <c r="AQ347" s="288" t="str" cm="1">
        <f t="array" aca="1" ref="AQ347" ca="1">INDIRECT("'"&amp;$C347&amp;"'!"&amp;"$"&amp;$D347&amp;$AQ$1&amp;"")</f>
        <v>CMS</v>
      </c>
      <c r="AR347" s="289" t="s">
        <v>1</v>
      </c>
      <c r="AS347" s="287" t="s">
        <v>1</v>
      </c>
      <c r="AT347" s="289" cm="1">
        <f t="array" aca="1" ref="AT347" ca="1">INDIRECT("'"&amp;$C347&amp;"'!"&amp;"$"&amp;$D347&amp;$AT$1&amp;"")</f>
        <v>6.3</v>
      </c>
      <c r="AU347" s="288">
        <v>13.87</v>
      </c>
      <c r="AV347" s="289">
        <v>0.98</v>
      </c>
      <c r="AW347" s="287">
        <v>1.43</v>
      </c>
      <c r="AX347" s="291">
        <v>14.22</v>
      </c>
      <c r="AY347" s="290">
        <v>71.53</v>
      </c>
      <c r="AZ347" s="291" cm="1">
        <f t="array" aca="1" ref="AZ347" ca="1">INDIRECT("'"&amp;$C347&amp;"'!"&amp;"$"&amp;$D347&amp;$AZ$1&amp;"")</f>
        <v>14.28</v>
      </c>
      <c r="BA347" s="289">
        <v>0.98</v>
      </c>
      <c r="BB347" s="287">
        <v>3.52</v>
      </c>
      <c r="BC347" s="292">
        <v>67.599999999999994</v>
      </c>
      <c r="BD347" s="286" cm="1">
        <f t="array" aca="1" ref="BD347" ca="1">INDIRECT("'"&amp;$C347&amp;"'!"&amp;"$"&amp;$D347&amp;$BC$1&amp;"")</f>
        <v>0.7</v>
      </c>
      <c r="BE347" s="288">
        <v>0.96</v>
      </c>
      <c r="BF347" s="287">
        <v>0.2</v>
      </c>
      <c r="BG347" s="291" cm="1">
        <f t="array" aca="1" ref="BG347" ca="1">INDIRECT("'"&amp;$C347&amp;"'!"&amp;"$"&amp;$D347&amp;$BG$1&amp;"")</f>
        <v>1.35</v>
      </c>
      <c r="BH347" s="289"/>
      <c r="BI347" s="289">
        <v>0.99</v>
      </c>
      <c r="BJ347" s="287">
        <v>0.19</v>
      </c>
      <c r="BK347" s="292" cm="1">
        <f t="array" aca="1" ref="BK347" ca="1">INDIRECT("'"&amp;$C347&amp;"'!"&amp;"$"&amp;$D347&amp;$BK$1&amp;"")</f>
        <v>0.86</v>
      </c>
      <c r="BL347" s="289"/>
      <c r="BM347" s="289">
        <v>0.96</v>
      </c>
      <c r="BN347" s="287">
        <v>0.24</v>
      </c>
      <c r="BO347" s="292" cm="1">
        <f t="array" aca="1" ref="BO347" ca="1">INDIRECT("'"&amp;$C347&amp;"'!"&amp;"$"&amp;$D347&amp;74&amp;"")</f>
        <v>0</v>
      </c>
      <c r="BP347" s="289"/>
      <c r="BQ347" s="289" t="s">
        <v>1</v>
      </c>
      <c r="BR347" s="287" t="s">
        <v>1</v>
      </c>
    </row>
    <row r="348" spans="1:70">
      <c r="A348" s="361">
        <v>45761</v>
      </c>
      <c r="B348" s="358">
        <v>0.750000000000001</v>
      </c>
      <c r="C348" s="313">
        <f t="shared" si="12"/>
        <v>14</v>
      </c>
      <c r="D348" s="314" t="s">
        <v>145</v>
      </c>
      <c r="E348" s="293">
        <v>14.1</v>
      </c>
      <c r="F348" s="294">
        <v>69.430000000000007</v>
      </c>
      <c r="G348" s="295" cm="1">
        <f t="array" aca="1" ref="G348" ca="1">INDIRECT("'"&amp;$C348&amp;"'!"&amp;"$"&amp;$D348&amp;$E$1&amp;"")</f>
        <v>6.5</v>
      </c>
      <c r="H348" s="296">
        <v>0.95</v>
      </c>
      <c r="I348" s="294">
        <v>2.2000000000000002</v>
      </c>
      <c r="J348" s="295" cm="1">
        <f t="array" aca="1" ref="J348" ca="1">INDIRECT("'"&amp;$C348&amp;"'!"&amp;"$"&amp;$D348&amp;$J$1&amp;"")</f>
        <v>6.5</v>
      </c>
      <c r="K348" s="296"/>
      <c r="L348" s="296">
        <v>0.95</v>
      </c>
      <c r="M348" s="294">
        <v>2.2000000000000002</v>
      </c>
      <c r="N348" s="295" cm="1">
        <f t="array" aca="1" ref="N348" ca="1">INDIRECT("'"&amp;$C348&amp;"'!"&amp;"$"&amp;$D348&amp;$N$1&amp;"")</f>
        <v>6.5</v>
      </c>
      <c r="O348" s="296"/>
      <c r="P348" s="296">
        <v>0.95</v>
      </c>
      <c r="Q348" s="294">
        <v>2.2000000000000002</v>
      </c>
      <c r="R348" s="295" cm="1">
        <f t="array" aca="1" ref="R348" ca="1">INDIRECT("'"&amp;$C348&amp;"'!"&amp;"$"&amp;$D348&amp;$R$1&amp;"")</f>
        <v>6.5</v>
      </c>
      <c r="S348" s="296"/>
      <c r="T348" s="296">
        <v>0.95</v>
      </c>
      <c r="U348" s="294">
        <v>2.2000000000000002</v>
      </c>
      <c r="V348" s="295" cm="1">
        <f t="array" aca="1" ref="V348" ca="1">INDIRECT("'"&amp;$C348&amp;"'!"&amp;"$"&amp;$D348&amp;$V$1&amp;"")</f>
        <v>2.1</v>
      </c>
      <c r="W348" s="296">
        <f>3.8*3.53</f>
        <v>13.413999999999998</v>
      </c>
      <c r="X348" s="296">
        <v>0.9</v>
      </c>
      <c r="Y348" s="297">
        <v>1.1499999999999999</v>
      </c>
      <c r="Z348" s="293" cm="1">
        <f t="array" aca="1" ref="Z348" ca="1">INDIRECT("'"&amp;$C348&amp;"'!"&amp;"$"&amp;$D348&amp;$Z$1&amp;"")</f>
        <v>0</v>
      </c>
      <c r="AA348" s="296" t="s">
        <v>1</v>
      </c>
      <c r="AB348" s="296" t="s">
        <v>1</v>
      </c>
      <c r="AC348" s="294" t="s">
        <v>1</v>
      </c>
      <c r="AD348" s="295" cm="1">
        <f t="array" aca="1" ref="AD348" ca="1">INDIRECT("'"&amp;$C348&amp;"'!"&amp;"$"&amp;$D348&amp;$AD$1&amp;"")</f>
        <v>3</v>
      </c>
      <c r="AE348" s="296">
        <f>3.8*3.53</f>
        <v>13.413999999999998</v>
      </c>
      <c r="AF348" s="296">
        <v>0.9</v>
      </c>
      <c r="AG348" s="297">
        <v>1.71</v>
      </c>
      <c r="AH348" s="293" cm="1">
        <f t="array" aca="1" ref="AH348" ca="1">INDIRECT("'"&amp;$C348&amp;"'!"&amp;"$"&amp;$D348&amp;$AH$1&amp;"")</f>
        <v>3.8</v>
      </c>
      <c r="AI348" s="296">
        <v>14.04</v>
      </c>
      <c r="AJ348" s="296">
        <v>0.96</v>
      </c>
      <c r="AK348" s="294">
        <v>0.83699999999999997</v>
      </c>
      <c r="AL348" s="293">
        <v>11.8</v>
      </c>
      <c r="AM348" s="297">
        <v>70.400000000000006</v>
      </c>
      <c r="AN348" s="293" cm="1">
        <f t="array" aca="1" ref="AN348" ca="1">INDIRECT("'"&amp;$C348&amp;"'!"&amp;"$"&amp;$D348&amp;$AL$1&amp;"")</f>
        <v>4.4000000000000004</v>
      </c>
      <c r="AO348" s="296">
        <v>0.97</v>
      </c>
      <c r="AP348" s="294">
        <v>1.012</v>
      </c>
      <c r="AQ348" s="295" t="str" cm="1">
        <f t="array" aca="1" ref="AQ348" ca="1">INDIRECT("'"&amp;$C348&amp;"'!"&amp;"$"&amp;$D348&amp;$AQ$1&amp;"")</f>
        <v>CMS</v>
      </c>
      <c r="AR348" s="296" t="s">
        <v>1</v>
      </c>
      <c r="AS348" s="294" t="s">
        <v>1</v>
      </c>
      <c r="AT348" s="296" cm="1">
        <f t="array" aca="1" ref="AT348" ca="1">INDIRECT("'"&amp;$C348&amp;"'!"&amp;"$"&amp;$D348&amp;$AT$1&amp;"")</f>
        <v>3</v>
      </c>
      <c r="AU348" s="295">
        <v>13.81</v>
      </c>
      <c r="AV348" s="296">
        <v>0.96</v>
      </c>
      <c r="AW348" s="294">
        <v>0.88</v>
      </c>
      <c r="AX348" s="298">
        <v>14.22</v>
      </c>
      <c r="AY348" s="297">
        <v>71.58</v>
      </c>
      <c r="AZ348" s="298" cm="1">
        <f t="array" aca="1" ref="AZ348" ca="1">INDIRECT("'"&amp;$C348&amp;"'!"&amp;"$"&amp;$D348&amp;$AZ$1&amp;"")</f>
        <v>14.29</v>
      </c>
      <c r="BA348" s="296">
        <v>0.98</v>
      </c>
      <c r="BB348" s="294">
        <v>3.6</v>
      </c>
      <c r="BC348" s="299">
        <v>68</v>
      </c>
      <c r="BD348" s="293" cm="1">
        <f t="array" aca="1" ref="BD348" ca="1">INDIRECT("'"&amp;$C348&amp;"'!"&amp;"$"&amp;$D348&amp;$BC$1&amp;"")</f>
        <v>0.7</v>
      </c>
      <c r="BE348" s="295">
        <v>0.96</v>
      </c>
      <c r="BF348" s="294">
        <v>0.21</v>
      </c>
      <c r="BG348" s="298" cm="1">
        <f t="array" aca="1" ref="BG348" ca="1">INDIRECT("'"&amp;$C348&amp;"'!"&amp;"$"&amp;$D348&amp;$BG$1&amp;"")</f>
        <v>1.25</v>
      </c>
      <c r="BH348" s="296"/>
      <c r="BI348" s="296">
        <v>0.99</v>
      </c>
      <c r="BJ348" s="294">
        <v>0.18</v>
      </c>
      <c r="BK348" s="299" cm="1">
        <f t="array" aca="1" ref="BK348" ca="1">INDIRECT("'"&amp;$C348&amp;"'!"&amp;"$"&amp;$D348&amp;$BK$1&amp;"")</f>
        <v>0.87</v>
      </c>
      <c r="BL348" s="296"/>
      <c r="BM348" s="296">
        <v>0.96</v>
      </c>
      <c r="BN348" s="294">
        <v>0.25</v>
      </c>
      <c r="BO348" s="299" cm="1">
        <f t="array" aca="1" ref="BO348" ca="1">INDIRECT("'"&amp;$C348&amp;"'!"&amp;"$"&amp;$D348&amp;74&amp;"")</f>
        <v>0</v>
      </c>
      <c r="BP348" s="296"/>
      <c r="BQ348" s="296" t="s">
        <v>1</v>
      </c>
      <c r="BR348" s="294" t="s">
        <v>1</v>
      </c>
    </row>
    <row r="349" spans="1:70">
      <c r="A349" s="361">
        <v>45761</v>
      </c>
      <c r="B349" s="358">
        <v>0.79166666666666663</v>
      </c>
      <c r="C349" s="313">
        <f t="shared" si="12"/>
        <v>14</v>
      </c>
      <c r="D349" s="314" t="s">
        <v>146</v>
      </c>
      <c r="E349" s="286">
        <v>14.2</v>
      </c>
      <c r="F349" s="287">
        <v>69.56</v>
      </c>
      <c r="G349" s="288" cm="1">
        <f t="array" aca="1" ref="G349" ca="1">INDIRECT("'"&amp;$C349&amp;"'!"&amp;"$"&amp;$D349&amp;$E$1&amp;"")</f>
        <v>6.4</v>
      </c>
      <c r="H349" s="289">
        <v>0.95</v>
      </c>
      <c r="I349" s="287">
        <v>2.2000000000000002</v>
      </c>
      <c r="J349" s="288" cm="1">
        <f t="array" aca="1" ref="J349" ca="1">INDIRECT("'"&amp;$C349&amp;"'!"&amp;"$"&amp;$D349&amp;$J$1&amp;"")</f>
        <v>6.4</v>
      </c>
      <c r="K349" s="300"/>
      <c r="L349" s="289">
        <v>0.95</v>
      </c>
      <c r="M349" s="287">
        <v>2.2000000000000002</v>
      </c>
      <c r="N349" s="288" cm="1">
        <f t="array" aca="1" ref="N349" ca="1">INDIRECT("'"&amp;$C349&amp;"'!"&amp;"$"&amp;$D349&amp;$N$1&amp;"")</f>
        <v>6.4</v>
      </c>
      <c r="O349" s="289"/>
      <c r="P349" s="289">
        <v>0.95</v>
      </c>
      <c r="Q349" s="287">
        <v>2.2000000000000002</v>
      </c>
      <c r="R349" s="288" cm="1">
        <f t="array" aca="1" ref="R349" ca="1">INDIRECT("'"&amp;$C349&amp;"'!"&amp;"$"&amp;$D349&amp;$R$1&amp;"")</f>
        <v>6.4</v>
      </c>
      <c r="S349" s="289"/>
      <c r="T349" s="289">
        <v>0.95</v>
      </c>
      <c r="U349" s="287">
        <v>2.2000000000000002</v>
      </c>
      <c r="V349" s="288" cm="1">
        <f t="array" aca="1" ref="V349" ca="1">INDIRECT("'"&amp;$C349&amp;"'!"&amp;"$"&amp;$D349&amp;$V$1&amp;"")</f>
        <v>2.8</v>
      </c>
      <c r="W349" s="289">
        <f>3.8*3.53</f>
        <v>13.413999999999998</v>
      </c>
      <c r="X349" s="289">
        <v>0.91</v>
      </c>
      <c r="Y349" s="290">
        <v>1.23</v>
      </c>
      <c r="Z349" s="286" cm="1">
        <f t="array" aca="1" ref="Z349" ca="1">INDIRECT("'"&amp;$C349&amp;"'!"&amp;"$"&amp;$D349&amp;$Z$1&amp;"")</f>
        <v>0</v>
      </c>
      <c r="AA349" s="289" t="s">
        <v>1</v>
      </c>
      <c r="AB349" s="289" t="s">
        <v>1</v>
      </c>
      <c r="AC349" s="287" t="s">
        <v>1</v>
      </c>
      <c r="AD349" s="288" cm="1">
        <f t="array" aca="1" ref="AD349" ca="1">INDIRECT("'"&amp;$C349&amp;"'!"&amp;"$"&amp;$D349&amp;$AD$1&amp;"")</f>
        <v>3.8</v>
      </c>
      <c r="AE349" s="289">
        <v>13.41</v>
      </c>
      <c r="AF349" s="289">
        <v>0.91</v>
      </c>
      <c r="AG349" s="290">
        <v>1.74</v>
      </c>
      <c r="AH349" s="286" cm="1">
        <f t="array" aca="1" ref="AH349" ca="1">INDIRECT("'"&amp;$C349&amp;"'!"&amp;"$"&amp;$D349&amp;$AH$1&amp;"")</f>
        <v>3.8</v>
      </c>
      <c r="AI349" s="289">
        <v>14.04</v>
      </c>
      <c r="AJ349" s="289">
        <v>0.96</v>
      </c>
      <c r="AK349" s="287">
        <v>0.85699999999999998</v>
      </c>
      <c r="AL349" s="286">
        <v>11.8</v>
      </c>
      <c r="AM349" s="290">
        <v>70.599999999999994</v>
      </c>
      <c r="AN349" s="286" cm="1">
        <f t="array" aca="1" ref="AN349" ca="1">INDIRECT("'"&amp;$C349&amp;"'!"&amp;"$"&amp;$D349&amp;$AL$1&amp;"")</f>
        <v>4.3</v>
      </c>
      <c r="AO349" s="289">
        <v>0.98</v>
      </c>
      <c r="AP349" s="287">
        <v>0.75</v>
      </c>
      <c r="AQ349" s="288" t="str" cm="1">
        <f t="array" aca="1" ref="AQ349" ca="1">INDIRECT("'"&amp;$C349&amp;"'!"&amp;"$"&amp;$D349&amp;$AQ$1&amp;"")</f>
        <v>CMS</v>
      </c>
      <c r="AR349" s="289" t="s">
        <v>1</v>
      </c>
      <c r="AS349" s="287" t="s">
        <v>1</v>
      </c>
      <c r="AT349" s="289" cm="1">
        <f t="array" aca="1" ref="AT349" ca="1">INDIRECT("'"&amp;$C349&amp;"'!"&amp;"$"&amp;$D349&amp;$AT$1&amp;"")</f>
        <v>6</v>
      </c>
      <c r="AU349" s="288">
        <v>13.84</v>
      </c>
      <c r="AV349" s="289">
        <v>0.98</v>
      </c>
      <c r="AW349" s="287">
        <v>1.17</v>
      </c>
      <c r="AX349" s="291">
        <v>14.21</v>
      </c>
      <c r="AY349" s="290">
        <v>71.459999999999994</v>
      </c>
      <c r="AZ349" s="291" cm="1">
        <f t="array" aca="1" ref="AZ349" ca="1">INDIRECT("'"&amp;$C349&amp;"'!"&amp;"$"&amp;$D349&amp;$AZ$1&amp;"")</f>
        <v>14.26</v>
      </c>
      <c r="BA349" s="289">
        <v>0.98</v>
      </c>
      <c r="BB349" s="287">
        <v>3.58</v>
      </c>
      <c r="BC349" s="292">
        <v>68.3</v>
      </c>
      <c r="BD349" s="286" cm="1">
        <f t="array" aca="1" ref="BD349" ca="1">INDIRECT("'"&amp;$C349&amp;"'!"&amp;"$"&amp;$D349&amp;$BC$1&amp;"")</f>
        <v>0.7</v>
      </c>
      <c r="BE349" s="288">
        <v>0.97</v>
      </c>
      <c r="BF349" s="287">
        <v>0.17</v>
      </c>
      <c r="BG349" s="291" cm="1">
        <f t="array" aca="1" ref="BG349" ca="1">INDIRECT("'"&amp;$C349&amp;"'!"&amp;"$"&amp;$D349&amp;$BG$1&amp;"")</f>
        <v>1.46</v>
      </c>
      <c r="BH349" s="289"/>
      <c r="BI349" s="289">
        <v>0.99</v>
      </c>
      <c r="BJ349" s="287">
        <v>0.19</v>
      </c>
      <c r="BK349" s="292" cm="1">
        <f t="array" aca="1" ref="BK349" ca="1">INDIRECT("'"&amp;$C349&amp;"'!"&amp;"$"&amp;$D349&amp;$BK$1&amp;"")</f>
        <v>0.97</v>
      </c>
      <c r="BL349" s="289"/>
      <c r="BM349" s="289">
        <v>0.97</v>
      </c>
      <c r="BN349" s="287">
        <v>0.25</v>
      </c>
      <c r="BO349" s="292" cm="1">
        <f t="array" aca="1" ref="BO349" ca="1">INDIRECT("'"&amp;$C349&amp;"'!"&amp;"$"&amp;$D349&amp;74&amp;"")</f>
        <v>0</v>
      </c>
      <c r="BP349" s="289"/>
      <c r="BQ349" s="289" t="s">
        <v>1</v>
      </c>
      <c r="BR349" s="287" t="s">
        <v>1</v>
      </c>
    </row>
    <row r="350" spans="1:70">
      <c r="A350" s="361">
        <v>45761</v>
      </c>
      <c r="B350" s="358">
        <v>0.83333333333333337</v>
      </c>
      <c r="C350" s="313">
        <f t="shared" si="12"/>
        <v>14</v>
      </c>
      <c r="D350" s="314" t="s">
        <v>147</v>
      </c>
      <c r="E350" s="293">
        <v>14.3</v>
      </c>
      <c r="F350" s="294">
        <v>69.64</v>
      </c>
      <c r="G350" s="295" cm="1">
        <f t="array" aca="1" ref="G350" ca="1">INDIRECT("'"&amp;$C350&amp;"'!"&amp;"$"&amp;$D350&amp;$E$1&amp;"")</f>
        <v>6.2</v>
      </c>
      <c r="H350" s="296">
        <v>0.96</v>
      </c>
      <c r="I350" s="294">
        <v>1.85</v>
      </c>
      <c r="J350" s="295" cm="1">
        <f t="array" aca="1" ref="J350" ca="1">INDIRECT("'"&amp;$C350&amp;"'!"&amp;"$"&amp;$D350&amp;$J$1&amp;"")</f>
        <v>6.9</v>
      </c>
      <c r="K350" s="296"/>
      <c r="L350" s="296">
        <v>0.96</v>
      </c>
      <c r="M350" s="294">
        <v>2.02</v>
      </c>
      <c r="N350" s="295" cm="1">
        <f t="array" aca="1" ref="N350" ca="1">INDIRECT("'"&amp;$C350&amp;"'!"&amp;"$"&amp;$D350&amp;$N$1&amp;"")</f>
        <v>6.3</v>
      </c>
      <c r="O350" s="296"/>
      <c r="P350" s="296">
        <v>0.94</v>
      </c>
      <c r="Q350" s="294">
        <v>2.29</v>
      </c>
      <c r="R350" s="295" cm="1">
        <f t="array" aca="1" ref="R350" ca="1">INDIRECT("'"&amp;$C350&amp;"'!"&amp;"$"&amp;$D350&amp;$R$1&amp;"")</f>
        <v>6.3</v>
      </c>
      <c r="S350" s="296"/>
      <c r="T350" s="296">
        <v>0.96</v>
      </c>
      <c r="U350" s="294">
        <v>1.92</v>
      </c>
      <c r="V350" s="295" cm="1">
        <f t="array" aca="1" ref="V350" ca="1">INDIRECT("'"&amp;$C350&amp;"'!"&amp;"$"&amp;$D350&amp;$V$1&amp;"")</f>
        <v>2</v>
      </c>
      <c r="W350" s="296">
        <f>3.8*3.51</f>
        <v>13.337999999999999</v>
      </c>
      <c r="X350" s="296">
        <v>0.96</v>
      </c>
      <c r="Y350" s="297">
        <v>0.52</v>
      </c>
      <c r="Z350" s="293" cm="1">
        <f t="array" aca="1" ref="Z350" ca="1">INDIRECT("'"&amp;$C350&amp;"'!"&amp;"$"&amp;$D350&amp;$Z$1&amp;"")</f>
        <v>0</v>
      </c>
      <c r="AA350" s="296" t="s">
        <v>1</v>
      </c>
      <c r="AB350" s="296" t="s">
        <v>1</v>
      </c>
      <c r="AC350" s="294" t="s">
        <v>1</v>
      </c>
      <c r="AD350" s="295" cm="1">
        <f t="array" aca="1" ref="AD350" ca="1">INDIRECT("'"&amp;$C350&amp;"'!"&amp;"$"&amp;$D350&amp;$AD$1&amp;"")</f>
        <v>3</v>
      </c>
      <c r="AE350" s="296">
        <v>13.34</v>
      </c>
      <c r="AF350" s="296">
        <v>0.95</v>
      </c>
      <c r="AG350" s="297">
        <v>0.98</v>
      </c>
      <c r="AH350" s="293" cm="1">
        <f t="array" aca="1" ref="AH350" ca="1">INDIRECT("'"&amp;$C350&amp;"'!"&amp;"$"&amp;$D350&amp;$AH$1&amp;"")</f>
        <v>3</v>
      </c>
      <c r="AI350" s="296">
        <v>14.04</v>
      </c>
      <c r="AJ350" s="296">
        <v>0.98</v>
      </c>
      <c r="AK350" s="294">
        <v>0.81299999999999994</v>
      </c>
      <c r="AL350" s="293">
        <v>11.8</v>
      </c>
      <c r="AM350" s="297">
        <v>70.5</v>
      </c>
      <c r="AN350" s="293" cm="1">
        <f t="array" aca="1" ref="AN350" ca="1">INDIRECT("'"&amp;$C350&amp;"'!"&amp;"$"&amp;$D350&amp;$AL$1&amp;"")</f>
        <v>4.4000000000000004</v>
      </c>
      <c r="AO350" s="296">
        <v>0.97</v>
      </c>
      <c r="AP350" s="294">
        <v>0.94699999999999995</v>
      </c>
      <c r="AQ350" s="295" t="str" cm="1">
        <f t="array" aca="1" ref="AQ350" ca="1">INDIRECT("'"&amp;$C350&amp;"'!"&amp;"$"&amp;$D350&amp;$AQ$1&amp;"")</f>
        <v>CMS</v>
      </c>
      <c r="AR350" s="296" t="s">
        <v>1</v>
      </c>
      <c r="AS350" s="294" t="s">
        <v>1</v>
      </c>
      <c r="AT350" s="296" cm="1">
        <f t="array" aca="1" ref="AT350" ca="1">INDIRECT("'"&amp;$C350&amp;"'!"&amp;"$"&amp;$D350&amp;$AT$1&amp;"")</f>
        <v>3.1</v>
      </c>
      <c r="AU350" s="295">
        <v>13.84</v>
      </c>
      <c r="AV350" s="296">
        <v>0.98</v>
      </c>
      <c r="AW350" s="294">
        <v>0.93</v>
      </c>
      <c r="AX350" s="298">
        <v>14.22</v>
      </c>
      <c r="AY350" s="297">
        <v>71.510000000000005</v>
      </c>
      <c r="AZ350" s="298" cm="1">
        <f t="array" aca="1" ref="AZ350" ca="1">INDIRECT("'"&amp;$C350&amp;"'!"&amp;"$"&amp;$D350&amp;$AZ$1&amp;"")</f>
        <v>14.29</v>
      </c>
      <c r="BA350" s="296">
        <v>0.98</v>
      </c>
      <c r="BB350" s="294">
        <v>3.56</v>
      </c>
      <c r="BC350" s="299">
        <v>68.3</v>
      </c>
      <c r="BD350" s="293" cm="1">
        <f t="array" aca="1" ref="BD350" ca="1">INDIRECT("'"&amp;$C350&amp;"'!"&amp;"$"&amp;$D350&amp;$BC$1&amp;"")</f>
        <v>0.7</v>
      </c>
      <c r="BE350" s="295">
        <v>0.97</v>
      </c>
      <c r="BF350" s="294">
        <v>0.16</v>
      </c>
      <c r="BG350" s="298" cm="1">
        <f t="array" aca="1" ref="BG350" ca="1">INDIRECT("'"&amp;$C350&amp;"'!"&amp;"$"&amp;$D350&amp;$BG$1&amp;"")</f>
        <v>1.46</v>
      </c>
      <c r="BH350" s="296"/>
      <c r="BI350" s="296">
        <v>0.99</v>
      </c>
      <c r="BJ350" s="294">
        <v>0.19</v>
      </c>
      <c r="BK350" s="299" cm="1">
        <f t="array" aca="1" ref="BK350" ca="1">INDIRECT("'"&amp;$C350&amp;"'!"&amp;"$"&amp;$D350&amp;$BK$1&amp;"")</f>
        <v>0.89</v>
      </c>
      <c r="BL350" s="296"/>
      <c r="BM350" s="296">
        <v>0.97</v>
      </c>
      <c r="BN350" s="294">
        <v>0.25</v>
      </c>
      <c r="BO350" s="299" cm="1">
        <f t="array" aca="1" ref="BO350" ca="1">INDIRECT("'"&amp;$C350&amp;"'!"&amp;"$"&amp;$D350&amp;74&amp;"")</f>
        <v>0</v>
      </c>
      <c r="BP350" s="296"/>
      <c r="BQ350" s="296" t="s">
        <v>1</v>
      </c>
      <c r="BR350" s="294" t="s">
        <v>1</v>
      </c>
    </row>
    <row r="351" spans="1:70">
      <c r="A351" s="361">
        <v>45761</v>
      </c>
      <c r="B351" s="358">
        <v>0.875000000000001</v>
      </c>
      <c r="C351" s="313">
        <f t="shared" si="12"/>
        <v>14</v>
      </c>
      <c r="D351" s="314" t="s">
        <v>148</v>
      </c>
      <c r="E351" s="286">
        <v>14.2</v>
      </c>
      <c r="F351" s="287">
        <v>69.59</v>
      </c>
      <c r="G351" s="288" cm="1">
        <f t="array" aca="1" ref="G351" ca="1">INDIRECT("'"&amp;$C351&amp;"'!"&amp;"$"&amp;$D351&amp;$E$1&amp;"")</f>
        <v>6.4</v>
      </c>
      <c r="H351" s="289">
        <v>0.96</v>
      </c>
      <c r="I351" s="287">
        <v>1.86</v>
      </c>
      <c r="J351" s="288" cm="1">
        <f t="array" aca="1" ref="J351" ca="1">INDIRECT("'"&amp;$C351&amp;"'!"&amp;"$"&amp;$D351&amp;$J$1&amp;"")</f>
        <v>0</v>
      </c>
      <c r="K351" s="289"/>
      <c r="L351" s="289" t="s">
        <v>1</v>
      </c>
      <c r="M351" s="287" t="s">
        <v>1</v>
      </c>
      <c r="N351" s="288" cm="1">
        <f t="array" aca="1" ref="N351" ca="1">INDIRECT("'"&amp;$C351&amp;"'!"&amp;"$"&amp;$D351&amp;$N$1&amp;"")</f>
        <v>6.5</v>
      </c>
      <c r="O351" s="289"/>
      <c r="P351" s="289">
        <v>0.96</v>
      </c>
      <c r="Q351" s="287">
        <v>1.79</v>
      </c>
      <c r="R351" s="288" cm="1">
        <f t="array" aca="1" ref="R351" ca="1">INDIRECT("'"&amp;$C351&amp;"'!"&amp;"$"&amp;$D351&amp;$R$1&amp;"")</f>
        <v>6.7</v>
      </c>
      <c r="S351" s="289"/>
      <c r="T351" s="289">
        <v>0.97</v>
      </c>
      <c r="U351" s="287">
        <v>2</v>
      </c>
      <c r="V351" s="288" cm="1">
        <f t="array" aca="1" ref="V351" ca="1">INDIRECT("'"&amp;$C351&amp;"'!"&amp;"$"&amp;$D351&amp;$V$1&amp;"")</f>
        <v>2.8</v>
      </c>
      <c r="W351" s="289">
        <f>3.8*3.53</f>
        <v>13.413999999999998</v>
      </c>
      <c r="X351" s="289">
        <v>0.96</v>
      </c>
      <c r="Y351" s="290">
        <v>0.75</v>
      </c>
      <c r="Z351" s="286" cm="1">
        <f t="array" aca="1" ref="Z351" ca="1">INDIRECT("'"&amp;$C351&amp;"'!"&amp;"$"&amp;$D351&amp;$Z$1&amp;"")</f>
        <v>0</v>
      </c>
      <c r="AA351" s="289" t="s">
        <v>1</v>
      </c>
      <c r="AB351" s="289" t="s">
        <v>1</v>
      </c>
      <c r="AC351" s="287" t="s">
        <v>1</v>
      </c>
      <c r="AD351" s="288" cm="1">
        <f t="array" aca="1" ref="AD351" ca="1">INDIRECT("'"&amp;$C351&amp;"'!"&amp;"$"&amp;$D351&amp;$AD$1&amp;"")</f>
        <v>3.8</v>
      </c>
      <c r="AE351" s="289">
        <v>13.41</v>
      </c>
      <c r="AF351" s="289">
        <v>0.96</v>
      </c>
      <c r="AG351" s="290">
        <v>1.03</v>
      </c>
      <c r="AH351" s="286" cm="1">
        <f t="array" aca="1" ref="AH351" ca="1">INDIRECT("'"&amp;$C351&amp;"'!"&amp;"$"&amp;$D351&amp;$AH$1&amp;"")</f>
        <v>3.8</v>
      </c>
      <c r="AI351" s="289">
        <v>14.04</v>
      </c>
      <c r="AJ351" s="289">
        <v>0.98</v>
      </c>
      <c r="AK351" s="287">
        <v>0.63</v>
      </c>
      <c r="AL351" s="286">
        <v>11.8</v>
      </c>
      <c r="AM351" s="290">
        <v>70.7</v>
      </c>
      <c r="AN351" s="286" cm="1">
        <f t="array" aca="1" ref="AN351" ca="1">INDIRECT("'"&amp;$C351&amp;"'!"&amp;"$"&amp;$D351&amp;$AL$1&amp;"")</f>
        <v>4</v>
      </c>
      <c r="AO351" s="289">
        <v>0.98</v>
      </c>
      <c r="AP351" s="287">
        <v>0.7</v>
      </c>
      <c r="AQ351" s="288" t="str" cm="1">
        <f t="array" aca="1" ref="AQ351" ca="1">INDIRECT("'"&amp;$C351&amp;"'!"&amp;"$"&amp;$D351&amp;$AQ$1&amp;"")</f>
        <v>CMS</v>
      </c>
      <c r="AR351" s="289" t="s">
        <v>1</v>
      </c>
      <c r="AS351" s="287" t="s">
        <v>1</v>
      </c>
      <c r="AT351" s="289" cm="1">
        <f t="array" aca="1" ref="AT351" ca="1">INDIRECT("'"&amp;$C351&amp;"'!"&amp;"$"&amp;$D351&amp;$AT$1&amp;"")</f>
        <v>7</v>
      </c>
      <c r="AU351" s="288">
        <v>13.84</v>
      </c>
      <c r="AV351" s="289">
        <v>0.99</v>
      </c>
      <c r="AW351" s="287">
        <v>0.92</v>
      </c>
      <c r="AX351" s="291">
        <v>14.28</v>
      </c>
      <c r="AY351" s="290">
        <v>71.77</v>
      </c>
      <c r="AZ351" s="291" cm="1">
        <f t="array" aca="1" ref="AZ351" ca="1">INDIRECT("'"&amp;$C351&amp;"'!"&amp;"$"&amp;$D351&amp;$AZ$1&amp;"")</f>
        <v>14.29</v>
      </c>
      <c r="BA351" s="289">
        <v>0.98</v>
      </c>
      <c r="BB351" s="287">
        <v>3.5</v>
      </c>
      <c r="BC351" s="292">
        <v>68.2</v>
      </c>
      <c r="BD351" s="286" cm="1">
        <f t="array" aca="1" ref="BD351" ca="1">INDIRECT("'"&amp;$C351&amp;"'!"&amp;"$"&amp;$D351&amp;$BC$1&amp;"")</f>
        <v>1.4</v>
      </c>
      <c r="BE351" s="288">
        <v>0.97</v>
      </c>
      <c r="BF351" s="287">
        <v>0.34</v>
      </c>
      <c r="BG351" s="291" cm="1">
        <f t="array" aca="1" ref="BG351" ca="1">INDIRECT("'"&amp;$C351&amp;"'!"&amp;"$"&amp;$D351&amp;$BG$1&amp;"")</f>
        <v>1.33</v>
      </c>
      <c r="BH351" s="289"/>
      <c r="BI351" s="289">
        <v>0.99</v>
      </c>
      <c r="BJ351" s="287">
        <v>0.17</v>
      </c>
      <c r="BK351" s="292" cm="1">
        <f t="array" aca="1" ref="BK351" ca="1">INDIRECT("'"&amp;$C351&amp;"'!"&amp;"$"&amp;$D351&amp;$BK$1&amp;"")</f>
        <v>0.94</v>
      </c>
      <c r="BL351" s="289"/>
      <c r="BM351" s="289">
        <v>0.97</v>
      </c>
      <c r="BN351" s="287">
        <v>0.23</v>
      </c>
      <c r="BO351" s="292" cm="1">
        <f t="array" aca="1" ref="BO351" ca="1">INDIRECT("'"&amp;$C351&amp;"'!"&amp;"$"&amp;$D351&amp;74&amp;"")</f>
        <v>0</v>
      </c>
      <c r="BP351" s="289"/>
      <c r="BQ351" s="289" t="s">
        <v>1</v>
      </c>
      <c r="BR351" s="287" t="s">
        <v>1</v>
      </c>
    </row>
    <row r="352" spans="1:70">
      <c r="A352" s="361">
        <v>45761</v>
      </c>
      <c r="B352" s="358">
        <v>0.91666666666666696</v>
      </c>
      <c r="C352" s="313">
        <f t="shared" si="12"/>
        <v>14</v>
      </c>
      <c r="D352" s="314" t="s">
        <v>149</v>
      </c>
      <c r="E352" s="293">
        <v>14.2</v>
      </c>
      <c r="F352" s="294">
        <v>69.760000000000005</v>
      </c>
      <c r="G352" s="295" cm="1">
        <f t="array" aca="1" ref="G352" ca="1">INDIRECT("'"&amp;$C352&amp;"'!"&amp;"$"&amp;$D352&amp;$E$1&amp;"")</f>
        <v>6.5</v>
      </c>
      <c r="H352" s="296">
        <v>0.97</v>
      </c>
      <c r="I352" s="294">
        <v>1.6</v>
      </c>
      <c r="J352" s="295" cm="1">
        <f t="array" aca="1" ref="J352" ca="1">INDIRECT("'"&amp;$C352&amp;"'!"&amp;"$"&amp;$D352&amp;$J$1&amp;"")</f>
        <v>0</v>
      </c>
      <c r="K352" s="296"/>
      <c r="L352" s="296" t="s">
        <v>1</v>
      </c>
      <c r="M352" s="294" t="s">
        <v>1</v>
      </c>
      <c r="N352" s="295" cm="1">
        <f t="array" aca="1" ref="N352" ca="1">INDIRECT("'"&amp;$C352&amp;"'!"&amp;"$"&amp;$D352&amp;$N$1&amp;"")</f>
        <v>6.5</v>
      </c>
      <c r="O352" s="296"/>
      <c r="P352" s="296">
        <v>0.97</v>
      </c>
      <c r="Q352" s="294">
        <v>1.65</v>
      </c>
      <c r="R352" s="295" cm="1">
        <f t="array" aca="1" ref="R352" ca="1">INDIRECT("'"&amp;$C352&amp;"'!"&amp;"$"&amp;$D352&amp;$R$1&amp;"")</f>
        <v>6.5</v>
      </c>
      <c r="S352" s="296"/>
      <c r="T352" s="296">
        <v>0.97</v>
      </c>
      <c r="U352" s="294">
        <v>1.64</v>
      </c>
      <c r="V352" s="295" cm="1">
        <f t="array" aca="1" ref="V352" ca="1">INDIRECT("'"&amp;$C352&amp;"'!"&amp;"$"&amp;$D352&amp;$V$1&amp;"")</f>
        <v>2.8</v>
      </c>
      <c r="W352" s="296">
        <f>3.8*3.54</f>
        <v>13.452</v>
      </c>
      <c r="X352" s="296">
        <v>0.97</v>
      </c>
      <c r="Y352" s="297">
        <v>0.65</v>
      </c>
      <c r="Z352" s="293" cm="1">
        <f t="array" aca="1" ref="Z352" ca="1">INDIRECT("'"&amp;$C352&amp;"'!"&amp;"$"&amp;$D352&amp;$Z$1&amp;"")</f>
        <v>0</v>
      </c>
      <c r="AA352" s="296" t="s">
        <v>1</v>
      </c>
      <c r="AB352" s="296" t="s">
        <v>1</v>
      </c>
      <c r="AC352" s="294" t="s">
        <v>1</v>
      </c>
      <c r="AD352" s="295" cm="1">
        <f t="array" aca="1" ref="AD352" ca="1">INDIRECT("'"&amp;$C352&amp;"'!"&amp;"$"&amp;$D352&amp;$AD$1&amp;"")</f>
        <v>3.8</v>
      </c>
      <c r="AE352" s="296">
        <v>13.45</v>
      </c>
      <c r="AF352" s="296">
        <v>0.96</v>
      </c>
      <c r="AG352" s="297">
        <v>1.05</v>
      </c>
      <c r="AH352" s="293" cm="1">
        <f t="array" aca="1" ref="AH352" ca="1">INDIRECT("'"&amp;$C352&amp;"'!"&amp;"$"&amp;$D352&amp;$AH$1&amp;"")</f>
        <v>3.8</v>
      </c>
      <c r="AI352" s="296">
        <v>14.08</v>
      </c>
      <c r="AJ352" s="296">
        <v>0.99</v>
      </c>
      <c r="AK352" s="294">
        <v>0.50600000000000001</v>
      </c>
      <c r="AL352" s="293">
        <v>11.8</v>
      </c>
      <c r="AM352" s="297">
        <v>70.8</v>
      </c>
      <c r="AN352" s="293" cm="1">
        <f t="array" aca="1" ref="AN352" ca="1">INDIRECT("'"&amp;$C352&amp;"'!"&amp;"$"&amp;$D352&amp;$AL$1&amp;"")</f>
        <v>2.7</v>
      </c>
      <c r="AO352" s="296">
        <v>0.97</v>
      </c>
      <c r="AP352" s="294">
        <v>0.79</v>
      </c>
      <c r="AQ352" s="295" cm="1">
        <f t="array" aca="1" ref="AQ352" ca="1">INDIRECT("'"&amp;$C352&amp;"'!"&amp;"$"&amp;$D352&amp;$AQ$1&amp;"")</f>
        <v>2.2000000000000002</v>
      </c>
      <c r="AR352" s="296">
        <v>0.99</v>
      </c>
      <c r="AS352" s="294">
        <v>8.5000000000000006E-2</v>
      </c>
      <c r="AT352" s="296" cm="1">
        <f t="array" aca="1" ref="AT352" ca="1">INDIRECT("'"&amp;$C352&amp;"'!"&amp;"$"&amp;$D352&amp;$AT$1&amp;"")</f>
        <v>3.5</v>
      </c>
      <c r="AU352" s="295">
        <v>13.84</v>
      </c>
      <c r="AV352" s="296">
        <v>0.96</v>
      </c>
      <c r="AW352" s="294">
        <v>0.94499999999999995</v>
      </c>
      <c r="AX352" s="298">
        <v>14.31</v>
      </c>
      <c r="AY352" s="297">
        <v>71.989999999999995</v>
      </c>
      <c r="AZ352" s="298" cm="1">
        <f t="array" aca="1" ref="AZ352" ca="1">INDIRECT("'"&amp;$C352&amp;"'!"&amp;"$"&amp;$D352&amp;$AZ$1&amp;"")</f>
        <v>14.24</v>
      </c>
      <c r="BA352" s="296">
        <v>0.98</v>
      </c>
      <c r="BB352" s="294">
        <v>3.6</v>
      </c>
      <c r="BC352" s="299">
        <v>68.599999999999994</v>
      </c>
      <c r="BD352" s="293" cm="1">
        <f t="array" aca="1" ref="BD352" ca="1">INDIRECT("'"&amp;$C352&amp;"'!"&amp;"$"&amp;$D352&amp;$BC$1&amp;"")</f>
        <v>0.7</v>
      </c>
      <c r="BE352" s="295">
        <v>0.97</v>
      </c>
      <c r="BF352" s="294">
        <v>0.15</v>
      </c>
      <c r="BG352" s="298" cm="1">
        <f t="array" aca="1" ref="BG352" ca="1">INDIRECT("'"&amp;$C352&amp;"'!"&amp;"$"&amp;$D352&amp;$BG$1&amp;"")</f>
        <v>1.18</v>
      </c>
      <c r="BH352" s="296"/>
      <c r="BI352" s="296">
        <v>0.99</v>
      </c>
      <c r="BJ352" s="294">
        <v>0.15</v>
      </c>
      <c r="BK352" s="299" cm="1">
        <f t="array" aca="1" ref="BK352" ca="1">INDIRECT("'"&amp;$C352&amp;"'!"&amp;"$"&amp;$D352&amp;$BK$1&amp;"")</f>
        <v>0.93</v>
      </c>
      <c r="BL352" s="296"/>
      <c r="BM352" s="296">
        <v>0.97</v>
      </c>
      <c r="BN352" s="294">
        <v>0.2</v>
      </c>
      <c r="BO352" s="299" cm="1">
        <f t="array" aca="1" ref="BO352" ca="1">INDIRECT("'"&amp;$C352&amp;"'!"&amp;"$"&amp;$D352&amp;74&amp;"")</f>
        <v>0</v>
      </c>
      <c r="BP352" s="296"/>
      <c r="BQ352" s="296" t="s">
        <v>1</v>
      </c>
      <c r="BR352" s="294" t="s">
        <v>1</v>
      </c>
    </row>
    <row r="353" spans="1:70" ht="14.45" thickBot="1">
      <c r="A353" s="362">
        <v>45761</v>
      </c>
      <c r="B353" s="359">
        <v>0.95833333333333404</v>
      </c>
      <c r="C353" s="315">
        <f t="shared" si="12"/>
        <v>14</v>
      </c>
      <c r="D353" s="316" t="s">
        <v>150</v>
      </c>
      <c r="E353" s="301">
        <v>14.1</v>
      </c>
      <c r="F353" s="302">
        <v>69.239999999999995</v>
      </c>
      <c r="G353" s="303" cm="1">
        <f t="array" aca="1" ref="G353" ca="1">INDIRECT("'"&amp;$C353&amp;"'!"&amp;"$"&amp;$D353&amp;$E$1&amp;"")</f>
        <v>6.7</v>
      </c>
      <c r="H353" s="304">
        <v>0.97</v>
      </c>
      <c r="I353" s="302">
        <v>1.75</v>
      </c>
      <c r="J353" s="303" cm="1">
        <f t="array" aca="1" ref="J353" ca="1">INDIRECT("'"&amp;$C353&amp;"'!"&amp;"$"&amp;$D353&amp;$J$1&amp;"")</f>
        <v>0</v>
      </c>
      <c r="K353" s="304"/>
      <c r="L353" s="304" t="s">
        <v>1</v>
      </c>
      <c r="M353" s="302" t="s">
        <v>1</v>
      </c>
      <c r="N353" s="303" cm="1">
        <f t="array" aca="1" ref="N353" ca="1">INDIRECT("'"&amp;$C353&amp;"'!"&amp;"$"&amp;$D353&amp;$N$1&amp;"")</f>
        <v>6.7</v>
      </c>
      <c r="O353" s="304"/>
      <c r="P353" s="304">
        <v>0.97</v>
      </c>
      <c r="Q353" s="302">
        <v>1.76</v>
      </c>
      <c r="R353" s="303" cm="1">
        <f t="array" aca="1" ref="R353" ca="1">INDIRECT("'"&amp;$C353&amp;"'!"&amp;"$"&amp;$D353&amp;$R$1&amp;"")</f>
        <v>6.7</v>
      </c>
      <c r="S353" s="304"/>
      <c r="T353" s="304">
        <v>0.96</v>
      </c>
      <c r="U353" s="302">
        <v>1.92</v>
      </c>
      <c r="V353" s="303" cm="1">
        <f t="array" aca="1" ref="V353" ca="1">INDIRECT("'"&amp;$C353&amp;"'!"&amp;"$"&amp;$D353&amp;$V$1&amp;"")</f>
        <v>0</v>
      </c>
      <c r="W353" s="304" t="s">
        <v>1</v>
      </c>
      <c r="X353" s="304" t="s">
        <v>1</v>
      </c>
      <c r="Y353" s="305" t="s">
        <v>1</v>
      </c>
      <c r="Z353" s="301" cm="1">
        <f t="array" aca="1" ref="Z353" ca="1">INDIRECT("'"&amp;$C353&amp;"'!"&amp;"$"&amp;$D353&amp;$Z$1&amp;"")</f>
        <v>0</v>
      </c>
      <c r="AA353" s="304" t="s">
        <v>1</v>
      </c>
      <c r="AB353" s="304" t="s">
        <v>1</v>
      </c>
      <c r="AC353" s="302" t="s">
        <v>1</v>
      </c>
      <c r="AD353" s="303" cm="1">
        <f t="array" aca="1" ref="AD353" ca="1">INDIRECT("'"&amp;$C353&amp;"'!"&amp;"$"&amp;$D353&amp;$AD$1&amp;"")</f>
        <v>3.5</v>
      </c>
      <c r="AE353" s="304">
        <f>3.52*3.8</f>
        <v>13.375999999999999</v>
      </c>
      <c r="AF353" s="304">
        <v>0.97</v>
      </c>
      <c r="AG353" s="305">
        <v>0.84</v>
      </c>
      <c r="AH353" s="301" cm="1">
        <f t="array" aca="1" ref="AH353" ca="1">INDIRECT("'"&amp;$C353&amp;"'!"&amp;"$"&amp;$D353&amp;$AH$1&amp;"")</f>
        <v>3.8</v>
      </c>
      <c r="AI353" s="304">
        <v>14.04</v>
      </c>
      <c r="AJ353" s="304">
        <v>0.98</v>
      </c>
      <c r="AK353" s="302">
        <v>0.61399999999999999</v>
      </c>
      <c r="AL353" s="301">
        <v>11.8</v>
      </c>
      <c r="AM353" s="305">
        <v>70.400000000000006</v>
      </c>
      <c r="AN353" s="301" cm="1">
        <f t="array" aca="1" ref="AN353" ca="1">INDIRECT("'"&amp;$C353&amp;"'!"&amp;"$"&amp;$D353&amp;$AL$1&amp;"")</f>
        <v>4.2</v>
      </c>
      <c r="AO353" s="304">
        <v>0.99</v>
      </c>
      <c r="AP353" s="302">
        <v>0.45</v>
      </c>
      <c r="AQ353" s="303" cm="1">
        <f t="array" aca="1" ref="AQ353" ca="1">INDIRECT("'"&amp;$C353&amp;"'!"&amp;"$"&amp;$D353&amp;$AQ$1&amp;"")</f>
        <v>4.2</v>
      </c>
      <c r="AR353" s="304">
        <v>0.99</v>
      </c>
      <c r="AS353" s="302">
        <v>0.35</v>
      </c>
      <c r="AT353" s="304" cm="1">
        <f t="array" aca="1" ref="AT353" ca="1">INDIRECT("'"&amp;$C353&amp;"'!"&amp;"$"&amp;$D353&amp;$AT$1&amp;"")</f>
        <v>0</v>
      </c>
      <c r="AU353" s="303" t="s">
        <v>1</v>
      </c>
      <c r="AV353" s="304" t="s">
        <v>1</v>
      </c>
      <c r="AW353" s="302" t="s">
        <v>1</v>
      </c>
      <c r="AX353" s="306">
        <v>14.25</v>
      </c>
      <c r="AY353" s="305">
        <v>71.72</v>
      </c>
      <c r="AZ353" s="306" cm="1">
        <f t="array" aca="1" ref="AZ353" ca="1">INDIRECT("'"&amp;$C353&amp;"'!"&amp;"$"&amp;$D353&amp;$AZ$1&amp;"")</f>
        <v>14.27</v>
      </c>
      <c r="BA353" s="304">
        <v>0.98</v>
      </c>
      <c r="BB353" s="302">
        <v>3.5</v>
      </c>
      <c r="BC353" s="307">
        <v>68.099999999999994</v>
      </c>
      <c r="BD353" s="301" cm="1">
        <f t="array" aca="1" ref="BD353" ca="1">INDIRECT("'"&amp;$C353&amp;"'!"&amp;"$"&amp;$D353&amp;$BC$1&amp;"")</f>
        <v>0</v>
      </c>
      <c r="BE353" s="303" t="s">
        <v>1</v>
      </c>
      <c r="BF353" s="302" t="s">
        <v>1</v>
      </c>
      <c r="BG353" s="306" cm="1">
        <f t="array" aca="1" ref="BG353" ca="1">INDIRECT("'"&amp;$C353&amp;"'!"&amp;"$"&amp;$D353&amp;$BG$1&amp;"")</f>
        <v>1.06</v>
      </c>
      <c r="BH353" s="304"/>
      <c r="BI353" s="304">
        <v>0.99</v>
      </c>
      <c r="BJ353" s="302">
        <v>0.14000000000000001</v>
      </c>
      <c r="BK353" s="307" cm="1">
        <f t="array" aca="1" ref="BK353" ca="1">INDIRECT("'"&amp;$C353&amp;"'!"&amp;"$"&amp;$D353&amp;$BK$1&amp;"")</f>
        <v>0.88</v>
      </c>
      <c r="BL353" s="304"/>
      <c r="BM353" s="304">
        <v>0.97</v>
      </c>
      <c r="BN353" s="302">
        <v>0.21</v>
      </c>
      <c r="BO353" s="307" cm="1">
        <f t="array" aca="1" ref="BO353" ca="1">INDIRECT("'"&amp;$C353&amp;"'!"&amp;"$"&amp;$D353&amp;74&amp;"")</f>
        <v>0</v>
      </c>
      <c r="BP353" s="304"/>
      <c r="BQ353" s="304" t="s">
        <v>1</v>
      </c>
      <c r="BR353" s="302" t="s">
        <v>1</v>
      </c>
    </row>
    <row r="354" spans="1:70" ht="14.45" thickBot="1"/>
    <row r="355" spans="1:70">
      <c r="A355" s="360">
        <v>45762</v>
      </c>
      <c r="B355" s="357">
        <v>0</v>
      </c>
      <c r="C355" s="310">
        <f>C330+1</f>
        <v>15</v>
      </c>
      <c r="D355" s="311" t="s">
        <v>127</v>
      </c>
      <c r="E355" s="280">
        <v>14.1</v>
      </c>
      <c r="F355" s="281">
        <v>69.8</v>
      </c>
      <c r="G355" s="282" cm="1">
        <f t="array" aca="1" ref="G355" ca="1">INDIRECT("'"&amp;$C355&amp;"'!"&amp;"$"&amp;$D355&amp;$E$1&amp;"")</f>
        <v>6.6</v>
      </c>
      <c r="H355" s="283">
        <v>0.97</v>
      </c>
      <c r="I355" s="281">
        <v>1.53</v>
      </c>
      <c r="J355" s="282" cm="1">
        <f t="array" aca="1" ref="J355" ca="1">INDIRECT("'"&amp;$C355&amp;"'!"&amp;"$"&amp;$D355&amp;$J$1&amp;"")</f>
        <v>0</v>
      </c>
      <c r="K355" s="283"/>
      <c r="L355" s="283" t="s">
        <v>1</v>
      </c>
      <c r="M355" s="281" t="s">
        <v>1</v>
      </c>
      <c r="N355" s="282" cm="1">
        <f t="array" aca="1" ref="N355" ca="1">INDIRECT("'"&amp;$C355&amp;"'!"&amp;"$"&amp;$D355&amp;$N$1&amp;"")</f>
        <v>6.6</v>
      </c>
      <c r="O355" s="283"/>
      <c r="P355" s="283">
        <v>0.97</v>
      </c>
      <c r="Q355" s="281">
        <v>1.56</v>
      </c>
      <c r="R355" s="282" cm="1">
        <f t="array" aca="1" ref="R355" ca="1">INDIRECT("'"&amp;$C355&amp;"'!"&amp;"$"&amp;$D355&amp;$R$1&amp;"")</f>
        <v>6.6</v>
      </c>
      <c r="S355" s="283"/>
      <c r="T355" s="283">
        <v>0.97</v>
      </c>
      <c r="U355" s="281">
        <v>1.56</v>
      </c>
      <c r="V355" s="282" cm="1">
        <f t="array" aca="1" ref="V355" ca="1">INDIRECT("'"&amp;$C355&amp;"'!"&amp;"$"&amp;$D355&amp;$V$1&amp;"")</f>
        <v>0</v>
      </c>
      <c r="W355" s="283" t="s">
        <v>1</v>
      </c>
      <c r="X355" s="283" t="s">
        <v>1</v>
      </c>
      <c r="Y355" s="284" t="s">
        <v>1</v>
      </c>
      <c r="Z355" s="280" cm="1">
        <f t="array" aca="1" ref="Z355" ca="1">INDIRECT("'"&amp;$C355&amp;"'!"&amp;"$"&amp;$D355&amp;$Z$1&amp;"")</f>
        <v>0</v>
      </c>
      <c r="AA355" s="283" t="s">
        <v>1</v>
      </c>
      <c r="AB355" s="283" t="s">
        <v>1</v>
      </c>
      <c r="AC355" s="281" t="s">
        <v>1</v>
      </c>
      <c r="AD355" s="282" cm="1">
        <f t="array" aca="1" ref="AD355" ca="1">INDIRECT("'"&amp;$C355&amp;"'!"&amp;"$"&amp;$D355&amp;$AD$1&amp;"")</f>
        <v>3.8</v>
      </c>
      <c r="AE355" s="283">
        <f>3.55*3.8</f>
        <v>13.489999999999998</v>
      </c>
      <c r="AF355" s="283">
        <v>0.97</v>
      </c>
      <c r="AG355" s="281">
        <v>0.88</v>
      </c>
      <c r="AH355" s="280" t="str" cm="1">
        <f t="array" aca="1" ref="AH355" ca="1">INDIRECT("'"&amp;$C355&amp;"'!"&amp;"$"&amp;$D355&amp;$AH$1&amp;"")</f>
        <v>CMS</v>
      </c>
      <c r="AI355" s="283" t="s">
        <v>1</v>
      </c>
      <c r="AJ355" s="283" t="s">
        <v>1</v>
      </c>
      <c r="AK355" s="281" t="s">
        <v>1</v>
      </c>
      <c r="AL355" s="280">
        <v>11.8</v>
      </c>
      <c r="AM355" s="284">
        <v>70.400000000000006</v>
      </c>
      <c r="AN355" s="280" cm="1">
        <f t="array" aca="1" ref="AN355" ca="1">INDIRECT("'"&amp;$C355&amp;"'!"&amp;"$"&amp;$D355&amp;$AL$1&amp;"")</f>
        <v>4</v>
      </c>
      <c r="AO355" s="283">
        <v>0.99</v>
      </c>
      <c r="AP355" s="281">
        <v>0.4</v>
      </c>
      <c r="AQ355" s="282" cm="1">
        <f t="array" aca="1" ref="AQ355" ca="1">INDIRECT("'"&amp;$C355&amp;"'!"&amp;"$"&amp;$D355&amp;$AQ$1&amp;"")</f>
        <v>4</v>
      </c>
      <c r="AR355" s="283">
        <v>0.99</v>
      </c>
      <c r="AS355" s="281">
        <v>0.3</v>
      </c>
      <c r="AT355" s="283" cm="1">
        <f t="array" aca="1" ref="AT355" ca="1">INDIRECT("'"&amp;$C355&amp;"'!"&amp;"$"&amp;$D355&amp;$AT$1&amp;"")</f>
        <v>0</v>
      </c>
      <c r="AU355" s="282" t="s">
        <v>1</v>
      </c>
      <c r="AV355" s="283" t="s">
        <v>1</v>
      </c>
      <c r="AW355" s="281" t="s">
        <v>1</v>
      </c>
      <c r="AX355" s="285">
        <v>14.23</v>
      </c>
      <c r="AY355" s="284">
        <v>71.59</v>
      </c>
      <c r="AZ355" s="285" cm="1">
        <f t="array" aca="1" ref="AZ355" ca="1">INDIRECT("'"&amp;$C355&amp;"'!"&amp;"$"&amp;$D355&amp;$AZ$1&amp;"")</f>
        <v>14.25</v>
      </c>
      <c r="BA355" s="283">
        <v>0.98</v>
      </c>
      <c r="BB355" s="281">
        <v>3.6</v>
      </c>
      <c r="BC355" s="281">
        <v>68.7</v>
      </c>
      <c r="BD355" s="280" cm="1">
        <f t="array" aca="1" ref="BD355" ca="1">INDIRECT("'"&amp;$C355&amp;"'!"&amp;"$"&amp;$D355&amp;$BC$1&amp;"")</f>
        <v>0</v>
      </c>
      <c r="BE355" s="282" t="s">
        <v>1</v>
      </c>
      <c r="BF355" s="281" t="s">
        <v>1</v>
      </c>
      <c r="BG355" s="285" cm="1">
        <f t="array" aca="1" ref="BG355" ca="1">INDIRECT("'"&amp;$C355&amp;"'!"&amp;"$"&amp;$D355&amp;$BG$1&amp;"")</f>
        <v>0.98</v>
      </c>
      <c r="BH355" s="283"/>
      <c r="BI355" s="283">
        <v>0.99</v>
      </c>
      <c r="BJ355" s="281">
        <v>0.57999999999999996</v>
      </c>
      <c r="BK355" s="285" cm="1">
        <f t="array" aca="1" ref="BK355" ca="1">INDIRECT("'"&amp;$C355&amp;"'!"&amp;"$"&amp;$D355&amp;$BK$1&amp;"")</f>
        <v>0.82</v>
      </c>
      <c r="BL355" s="283"/>
      <c r="BM355" s="283">
        <v>0.97</v>
      </c>
      <c r="BN355" s="281">
        <v>0.2</v>
      </c>
      <c r="BO355" s="373" cm="1">
        <f t="array" aca="1" ref="BO355" ca="1">INDIRECT("'"&amp;$C355&amp;"'!"&amp;"$"&amp;$D355&amp;74&amp;"")</f>
        <v>0</v>
      </c>
      <c r="BP355" s="283"/>
      <c r="BQ355" s="283" t="s">
        <v>1</v>
      </c>
      <c r="BR355" s="281" t="s">
        <v>1</v>
      </c>
    </row>
    <row r="356" spans="1:70">
      <c r="A356" s="361">
        <v>45762</v>
      </c>
      <c r="B356" s="358">
        <v>4.1666666666666699E-2</v>
      </c>
      <c r="C356" s="313">
        <f t="shared" ref="C356:C378" si="13">C331+1</f>
        <v>15</v>
      </c>
      <c r="D356" s="314" t="s">
        <v>128</v>
      </c>
      <c r="E356" s="286">
        <v>14.2</v>
      </c>
      <c r="F356" s="287">
        <v>70.16</v>
      </c>
      <c r="G356" s="288" cm="1">
        <f t="array" aca="1" ref="G356" ca="1">INDIRECT("'"&amp;$C356&amp;"'!"&amp;"$"&amp;$D356&amp;$E$1&amp;"")</f>
        <v>6.7</v>
      </c>
      <c r="H356" s="289">
        <v>0.98</v>
      </c>
      <c r="I356" s="287">
        <v>1.26</v>
      </c>
      <c r="J356" s="288" cm="1">
        <f t="array" aca="1" ref="J356" ca="1">INDIRECT("'"&amp;$C356&amp;"'!"&amp;"$"&amp;$D356&amp;$J$1&amp;"")</f>
        <v>0</v>
      </c>
      <c r="K356" s="289"/>
      <c r="L356" s="289" t="s">
        <v>1</v>
      </c>
      <c r="M356" s="287" t="s">
        <v>1</v>
      </c>
      <c r="N356" s="288" cm="1">
        <f t="array" aca="1" ref="N356" ca="1">INDIRECT("'"&amp;$C356&amp;"'!"&amp;"$"&amp;$D356&amp;$N$1&amp;"")</f>
        <v>6.4</v>
      </c>
      <c r="O356" s="289"/>
      <c r="P356" s="289">
        <v>0.98</v>
      </c>
      <c r="Q356" s="287">
        <v>1.19</v>
      </c>
      <c r="R356" s="288" cm="1">
        <f t="array" aca="1" ref="R356" ca="1">INDIRECT("'"&amp;$C356&amp;"'!"&amp;"$"&amp;$D356&amp;$R$1&amp;"")</f>
        <v>6.5</v>
      </c>
      <c r="S356" s="289"/>
      <c r="T356" s="289">
        <v>0.99</v>
      </c>
      <c r="U356" s="287">
        <v>1</v>
      </c>
      <c r="V356" s="288" cm="1">
        <f t="array" aca="1" ref="V356" ca="1">INDIRECT("'"&amp;$C356&amp;"'!"&amp;"$"&amp;$D356&amp;$V$1&amp;"")</f>
        <v>0</v>
      </c>
      <c r="W356" s="289" t="s">
        <v>1</v>
      </c>
      <c r="X356" s="289" t="s">
        <v>1</v>
      </c>
      <c r="Y356" s="290" t="s">
        <v>1</v>
      </c>
      <c r="Z356" s="286" cm="1">
        <f t="array" aca="1" ref="Z356" ca="1">INDIRECT("'"&amp;$C356&amp;"'!"&amp;"$"&amp;$D356&amp;$Z$1&amp;"")</f>
        <v>0</v>
      </c>
      <c r="AA356" s="289" t="s">
        <v>1</v>
      </c>
      <c r="AB356" s="289" t="s">
        <v>1</v>
      </c>
      <c r="AC356" s="287" t="s">
        <v>1</v>
      </c>
      <c r="AD356" s="288" cm="1">
        <f t="array" aca="1" ref="AD356" ca="1">INDIRECT("'"&amp;$C356&amp;"'!"&amp;"$"&amp;$D356&amp;$AD$1&amp;"")</f>
        <v>3.4</v>
      </c>
      <c r="AE356" s="289">
        <f>3.58*3.8</f>
        <v>13.603999999999999</v>
      </c>
      <c r="AF356" s="289">
        <v>0.97</v>
      </c>
      <c r="AG356" s="290">
        <v>0.84</v>
      </c>
      <c r="AH356" s="286" t="str" cm="1">
        <f t="array" aca="1" ref="AH356" ca="1">INDIRECT("'"&amp;$C356&amp;"'!"&amp;"$"&amp;$D356&amp;$AH$1&amp;"")</f>
        <v>CMS</v>
      </c>
      <c r="AI356" s="289" t="s">
        <v>1</v>
      </c>
      <c r="AJ356" s="289" t="s">
        <v>1</v>
      </c>
      <c r="AK356" s="287" t="s">
        <v>1</v>
      </c>
      <c r="AL356" s="286">
        <v>11.8</v>
      </c>
      <c r="AM356" s="290">
        <v>70.599999999999994</v>
      </c>
      <c r="AN356" s="286" cm="1">
        <f t="array" aca="1" ref="AN356" ca="1">INDIRECT("'"&amp;$C356&amp;"'!"&amp;"$"&amp;$D356&amp;$AL$1&amp;"")</f>
        <v>3.4</v>
      </c>
      <c r="AO356" s="289">
        <v>0.99</v>
      </c>
      <c r="AP356" s="287">
        <v>0.3</v>
      </c>
      <c r="AQ356" s="288" cm="1">
        <f t="array" aca="1" ref="AQ356" ca="1">INDIRECT("'"&amp;$C356&amp;"'!"&amp;"$"&amp;$D356&amp;$AQ$1&amp;"")</f>
        <v>3.4</v>
      </c>
      <c r="AR356" s="289">
        <v>0.99</v>
      </c>
      <c r="AS356" s="287">
        <v>0.2</v>
      </c>
      <c r="AT356" s="289" cm="1">
        <f t="array" aca="1" ref="AT356" ca="1">INDIRECT("'"&amp;$C356&amp;"'!"&amp;"$"&amp;$D356&amp;$AT$1&amp;"")</f>
        <v>0</v>
      </c>
      <c r="AU356" s="288" t="s">
        <v>1</v>
      </c>
      <c r="AV356" s="289" t="s">
        <v>1</v>
      </c>
      <c r="AW356" s="287" t="s">
        <v>1</v>
      </c>
      <c r="AX356" s="291">
        <v>14.22</v>
      </c>
      <c r="AY356" s="290">
        <v>71.66</v>
      </c>
      <c r="AZ356" s="291" cm="1">
        <f t="array" aca="1" ref="AZ356" ca="1">INDIRECT("'"&amp;$C356&amp;"'!"&amp;"$"&amp;$D356&amp;$AZ$1&amp;"")</f>
        <v>13.26</v>
      </c>
      <c r="BA356" s="289">
        <v>0.98</v>
      </c>
      <c r="BB356" s="287">
        <v>3.3</v>
      </c>
      <c r="BC356" s="292">
        <v>69</v>
      </c>
      <c r="BD356" s="286" cm="1">
        <f t="array" aca="1" ref="BD356" ca="1">INDIRECT("'"&amp;$C356&amp;"'!"&amp;"$"&amp;$D356&amp;$BC$1&amp;"")</f>
        <v>0</v>
      </c>
      <c r="BE356" s="288" t="s">
        <v>1</v>
      </c>
      <c r="BF356" s="287" t="s">
        <v>1</v>
      </c>
      <c r="BG356" s="291" cm="1">
        <f t="array" aca="1" ref="BG356" ca="1">INDIRECT("'"&amp;$C356&amp;"'!"&amp;"$"&amp;$D356&amp;$BG$1&amp;"")</f>
        <v>0.94</v>
      </c>
      <c r="BH356" s="289"/>
      <c r="BI356" s="289">
        <v>0.99</v>
      </c>
      <c r="BJ356" s="287">
        <v>0.12</v>
      </c>
      <c r="BK356" s="291" cm="1">
        <f t="array" aca="1" ref="BK356" ca="1">INDIRECT("'"&amp;$C356&amp;"'!"&amp;"$"&amp;$D356&amp;$BK$1&amp;"")</f>
        <v>0.79</v>
      </c>
      <c r="BL356" s="289"/>
      <c r="BM356" s="289">
        <v>0.97</v>
      </c>
      <c r="BN356" s="287">
        <v>0.2</v>
      </c>
      <c r="BO356" s="292" cm="1">
        <f t="array" aca="1" ref="BO356" ca="1">INDIRECT("'"&amp;$C356&amp;"'!"&amp;"$"&amp;$D356&amp;74&amp;"")</f>
        <v>0</v>
      </c>
      <c r="BP356" s="289"/>
      <c r="BQ356" s="289" t="s">
        <v>1</v>
      </c>
      <c r="BR356" s="287" t="s">
        <v>1</v>
      </c>
    </row>
    <row r="357" spans="1:70">
      <c r="A357" s="361">
        <v>45762</v>
      </c>
      <c r="B357" s="358">
        <v>8.3333333333333301E-2</v>
      </c>
      <c r="C357" s="313">
        <f t="shared" si="13"/>
        <v>15</v>
      </c>
      <c r="D357" s="314" t="s">
        <v>129</v>
      </c>
      <c r="E357" s="293">
        <v>14.1</v>
      </c>
      <c r="F357" s="294">
        <v>69.19</v>
      </c>
      <c r="G357" s="295" cm="1">
        <f t="array" aca="1" ref="G357" ca="1">INDIRECT("'"&amp;$C357&amp;"'!"&amp;"$"&amp;$D357&amp;$E$1&amp;"")</f>
        <v>6.7</v>
      </c>
      <c r="H357" s="296">
        <v>0.98</v>
      </c>
      <c r="I357" s="294">
        <v>1.39</v>
      </c>
      <c r="J357" s="295" cm="1">
        <f t="array" aca="1" ref="J357" ca="1">INDIRECT("'"&amp;$C357&amp;"'!"&amp;"$"&amp;$D357&amp;$J$1&amp;"")</f>
        <v>0</v>
      </c>
      <c r="K357" s="296"/>
      <c r="L357" s="296" t="s">
        <v>1</v>
      </c>
      <c r="M357" s="294" t="s">
        <v>1</v>
      </c>
      <c r="N357" s="295" cm="1">
        <f t="array" aca="1" ref="N357" ca="1">INDIRECT("'"&amp;$C357&amp;"'!"&amp;"$"&amp;$D357&amp;$N$1&amp;"")</f>
        <v>6.7</v>
      </c>
      <c r="O357" s="296"/>
      <c r="P357" s="296">
        <v>0.98</v>
      </c>
      <c r="Q357" s="294">
        <v>1.41</v>
      </c>
      <c r="R357" s="295" cm="1">
        <f t="array" aca="1" ref="R357" ca="1">INDIRECT("'"&amp;$C357&amp;"'!"&amp;"$"&amp;$D357&amp;$R$1&amp;"")</f>
        <v>6.7</v>
      </c>
      <c r="S357" s="296"/>
      <c r="T357" s="296">
        <v>0.98</v>
      </c>
      <c r="U357" s="294">
        <v>1.38</v>
      </c>
      <c r="V357" s="295" cm="1">
        <f t="array" aca="1" ref="V357" ca="1">INDIRECT("'"&amp;$C357&amp;"'!"&amp;"$"&amp;$D357&amp;$V$1&amp;"")</f>
        <v>0</v>
      </c>
      <c r="W357" s="296" t="s">
        <v>1</v>
      </c>
      <c r="X357" s="296" t="s">
        <v>1</v>
      </c>
      <c r="Y357" s="297" t="s">
        <v>1</v>
      </c>
      <c r="Z357" s="293" cm="1">
        <f t="array" aca="1" ref="Z357" ca="1">INDIRECT("'"&amp;$C357&amp;"'!"&amp;"$"&amp;$D357&amp;$Z$1&amp;"")</f>
        <v>0</v>
      </c>
      <c r="AA357" s="296" t="s">
        <v>1</v>
      </c>
      <c r="AB357" s="296" t="s">
        <v>1</v>
      </c>
      <c r="AC357" s="294" t="s">
        <v>1</v>
      </c>
      <c r="AD357" s="295" cm="1">
        <f t="array" aca="1" ref="AD357" ca="1">INDIRECT("'"&amp;$C357&amp;"'!"&amp;"$"&amp;$D357&amp;$AD$1&amp;"")</f>
        <v>0</v>
      </c>
      <c r="AE357" s="296" t="s">
        <v>1</v>
      </c>
      <c r="AF357" s="296" t="s">
        <v>1</v>
      </c>
      <c r="AG357" s="297" t="s">
        <v>1</v>
      </c>
      <c r="AH357" s="293" cm="1">
        <f t="array" aca="1" ref="AH357" ca="1">INDIRECT("'"&amp;$C357&amp;"'!"&amp;"$"&amp;$D357&amp;$AH$1&amp;"")</f>
        <v>0</v>
      </c>
      <c r="AI357" s="296" t="s">
        <v>1</v>
      </c>
      <c r="AJ357" s="296" t="s">
        <v>1</v>
      </c>
      <c r="AK357" s="297" t="s">
        <v>1</v>
      </c>
      <c r="AL357" s="293">
        <v>11.8</v>
      </c>
      <c r="AM357" s="297">
        <v>70.400000000000006</v>
      </c>
      <c r="AN357" s="293" cm="1">
        <f t="array" aca="1" ref="AN357" ca="1">INDIRECT("'"&amp;$C357&amp;"'!"&amp;"$"&amp;$D357&amp;$AL$1&amp;"")</f>
        <v>3.5</v>
      </c>
      <c r="AO357" s="296">
        <v>0.99</v>
      </c>
      <c r="AP357" s="294">
        <v>0.4</v>
      </c>
      <c r="AQ357" s="295" cm="1">
        <f t="array" aca="1" ref="AQ357" ca="1">INDIRECT("'"&amp;$C357&amp;"'!"&amp;"$"&amp;$D357&amp;$AQ$1&amp;"")</f>
        <v>3.5</v>
      </c>
      <c r="AR357" s="296">
        <v>0.99</v>
      </c>
      <c r="AS357" s="294">
        <v>0.3</v>
      </c>
      <c r="AT357" s="296" cm="1">
        <f t="array" aca="1" ref="AT357" ca="1">INDIRECT("'"&amp;$C357&amp;"'!"&amp;"$"&amp;$D357&amp;$AT$1&amp;"")</f>
        <v>0</v>
      </c>
      <c r="AU357" s="295" t="s">
        <v>1</v>
      </c>
      <c r="AV357" s="296" t="s">
        <v>1</v>
      </c>
      <c r="AW357" s="294" t="s">
        <v>1</v>
      </c>
      <c r="AX357" s="298">
        <v>14.22</v>
      </c>
      <c r="AY357" s="297">
        <v>71.569999999999993</v>
      </c>
      <c r="AZ357" s="298" cm="1">
        <f t="array" aca="1" ref="AZ357" ca="1">INDIRECT("'"&amp;$C357&amp;"'!"&amp;"$"&amp;$D357&amp;$AZ$1&amp;"")</f>
        <v>13.29</v>
      </c>
      <c r="BA357" s="296">
        <v>0.98</v>
      </c>
      <c r="BB357" s="294">
        <v>3.3</v>
      </c>
      <c r="BC357" s="299">
        <v>68.7</v>
      </c>
      <c r="BD357" s="293" cm="1">
        <f t="array" aca="1" ref="BD357" ca="1">INDIRECT("'"&amp;$C357&amp;"'!"&amp;"$"&amp;$D357&amp;$BC$1&amp;"")</f>
        <v>0</v>
      </c>
      <c r="BE357" s="295" t="s">
        <v>1</v>
      </c>
      <c r="BF357" s="294" t="s">
        <v>1</v>
      </c>
      <c r="BG357" s="298" cm="1">
        <f t="array" aca="1" ref="BG357" ca="1">INDIRECT("'"&amp;$C357&amp;"'!"&amp;"$"&amp;$D357&amp;$BG$1&amp;"")</f>
        <v>0.92</v>
      </c>
      <c r="BH357" s="296"/>
      <c r="BI357" s="296">
        <v>0.99</v>
      </c>
      <c r="BJ357" s="294">
        <v>0.12</v>
      </c>
      <c r="BK357" s="298" cm="1">
        <f t="array" aca="1" ref="BK357" ca="1">INDIRECT("'"&amp;$C357&amp;"'!"&amp;"$"&amp;$D357&amp;$BK$1&amp;"")</f>
        <v>0.78</v>
      </c>
      <c r="BL357" s="296"/>
      <c r="BM357" s="296">
        <v>0.97</v>
      </c>
      <c r="BN357" s="294">
        <v>0.2</v>
      </c>
      <c r="BO357" s="299" cm="1">
        <f t="array" aca="1" ref="BO357" ca="1">INDIRECT("'"&amp;$C357&amp;"'!"&amp;"$"&amp;$D357&amp;74&amp;"")</f>
        <v>0</v>
      </c>
      <c r="BP357" s="296"/>
      <c r="BQ357" s="296" t="s">
        <v>1</v>
      </c>
      <c r="BR357" s="294" t="s">
        <v>1</v>
      </c>
    </row>
    <row r="358" spans="1:70">
      <c r="A358" s="361">
        <v>45762</v>
      </c>
      <c r="B358" s="358">
        <v>0.125</v>
      </c>
      <c r="C358" s="313">
        <f t="shared" si="13"/>
        <v>15</v>
      </c>
      <c r="D358" s="314" t="s">
        <v>130</v>
      </c>
      <c r="E358" s="286">
        <v>14.1</v>
      </c>
      <c r="F358" s="287">
        <v>69.72</v>
      </c>
      <c r="G358" s="288" cm="1">
        <f t="array" aca="1" ref="G358" ca="1">INDIRECT("'"&amp;$C358&amp;"'!"&amp;"$"&amp;$D358&amp;$E$1&amp;"")</f>
        <v>6.7</v>
      </c>
      <c r="H358" s="289">
        <v>0.97</v>
      </c>
      <c r="I358" s="287">
        <v>1.58</v>
      </c>
      <c r="J358" s="288" cm="1">
        <f t="array" aca="1" ref="J358" ca="1">INDIRECT("'"&amp;$C358&amp;"'!"&amp;"$"&amp;$D358&amp;$J$1&amp;"")</f>
        <v>0</v>
      </c>
      <c r="K358" s="289"/>
      <c r="L358" s="289" t="s">
        <v>1</v>
      </c>
      <c r="M358" s="287" t="s">
        <v>1</v>
      </c>
      <c r="N358" s="288" cm="1">
        <f t="array" aca="1" ref="N358" ca="1">INDIRECT("'"&amp;$C358&amp;"'!"&amp;"$"&amp;$D358&amp;$N$1&amp;"")</f>
        <v>6.7</v>
      </c>
      <c r="O358" s="289"/>
      <c r="P358" s="289">
        <v>0.97</v>
      </c>
      <c r="Q358" s="287">
        <v>1.53</v>
      </c>
      <c r="R358" s="288" cm="1">
        <f t="array" aca="1" ref="R358" ca="1">INDIRECT("'"&amp;$C358&amp;"'!"&amp;"$"&amp;$D358&amp;$R$1&amp;"")</f>
        <v>0</v>
      </c>
      <c r="S358" s="289"/>
      <c r="T358" s="289" t="s">
        <v>1</v>
      </c>
      <c r="U358" s="287" t="s">
        <v>1</v>
      </c>
      <c r="V358" s="288" cm="1">
        <f t="array" aca="1" ref="V358" ca="1">INDIRECT("'"&amp;$C358&amp;"'!"&amp;"$"&amp;$D358&amp;$V$1&amp;"")</f>
        <v>0</v>
      </c>
      <c r="W358" s="289" t="s">
        <v>1</v>
      </c>
      <c r="X358" s="289" t="s">
        <v>1</v>
      </c>
      <c r="Y358" s="290" t="s">
        <v>1</v>
      </c>
      <c r="Z358" s="286" cm="1">
        <f t="array" aca="1" ref="Z358" ca="1">INDIRECT("'"&amp;$C358&amp;"'!"&amp;"$"&amp;$D358&amp;$Z$1&amp;"")</f>
        <v>0</v>
      </c>
      <c r="AA358" s="289" t="s">
        <v>1</v>
      </c>
      <c r="AB358" s="289" t="s">
        <v>1</v>
      </c>
      <c r="AC358" s="287" t="s">
        <v>1</v>
      </c>
      <c r="AD358" s="288" cm="1">
        <f t="array" aca="1" ref="AD358" ca="1">INDIRECT("'"&amp;$C358&amp;"'!"&amp;"$"&amp;$D358&amp;$AD$1&amp;"")</f>
        <v>0</v>
      </c>
      <c r="AE358" s="289" t="s">
        <v>1</v>
      </c>
      <c r="AF358" s="289" t="s">
        <v>1</v>
      </c>
      <c r="AG358" s="287" t="s">
        <v>1</v>
      </c>
      <c r="AH358" s="286" cm="1">
        <f t="array" aca="1" ref="AH358" ca="1">INDIRECT("'"&amp;$C358&amp;"'!"&amp;"$"&amp;$D358&amp;$AH$1&amp;"")</f>
        <v>0</v>
      </c>
      <c r="AI358" s="289" t="s">
        <v>1</v>
      </c>
      <c r="AJ358" s="289" t="s">
        <v>1</v>
      </c>
      <c r="AK358" s="287" t="s">
        <v>1</v>
      </c>
      <c r="AL358" s="286">
        <v>11.8</v>
      </c>
      <c r="AM358" s="290">
        <v>70.5</v>
      </c>
      <c r="AN358" s="286" cm="1">
        <f t="array" aca="1" ref="AN358" ca="1">INDIRECT("'"&amp;$C358&amp;"'!"&amp;"$"&amp;$D358&amp;$AL$1&amp;"")</f>
        <v>4</v>
      </c>
      <c r="AO358" s="289">
        <v>0.99</v>
      </c>
      <c r="AP358" s="287">
        <v>0.35</v>
      </c>
      <c r="AQ358" s="288" cm="1">
        <f t="array" aca="1" ref="AQ358" ca="1">INDIRECT("'"&amp;$C358&amp;"'!"&amp;"$"&amp;$D358&amp;$AQ$1&amp;"")</f>
        <v>4</v>
      </c>
      <c r="AR358" s="289">
        <v>0.99</v>
      </c>
      <c r="AS358" s="287">
        <v>0.26</v>
      </c>
      <c r="AT358" s="289" cm="1">
        <f t="array" aca="1" ref="AT358" ca="1">INDIRECT("'"&amp;$C358&amp;"'!"&amp;"$"&amp;$D358&amp;$AT$1&amp;"")</f>
        <v>0</v>
      </c>
      <c r="AU358" s="288" t="s">
        <v>1</v>
      </c>
      <c r="AV358" s="289" t="s">
        <v>1</v>
      </c>
      <c r="AW358" s="287" t="s">
        <v>1</v>
      </c>
      <c r="AX358" s="291">
        <v>14.14</v>
      </c>
      <c r="AY358" s="290">
        <v>71.63</v>
      </c>
      <c r="AZ358" s="291" cm="1">
        <f t="array" aca="1" ref="AZ358" ca="1">INDIRECT("'"&amp;$C358&amp;"'!"&amp;"$"&amp;$D358&amp;$AZ$1&amp;"")</f>
        <v>14.27</v>
      </c>
      <c r="BA358" s="289">
        <v>0.99</v>
      </c>
      <c r="BB358" s="287">
        <v>2.4</v>
      </c>
      <c r="BC358" s="292">
        <v>69.3</v>
      </c>
      <c r="BD358" s="286" cm="1">
        <f t="array" aca="1" ref="BD358" ca="1">INDIRECT("'"&amp;$C358&amp;"'!"&amp;"$"&amp;$D358&amp;$BC$1&amp;"")</f>
        <v>2.8</v>
      </c>
      <c r="BE358" s="288">
        <v>0.98</v>
      </c>
      <c r="BF358" s="287">
        <v>0.55000000000000004</v>
      </c>
      <c r="BG358" s="291" cm="1">
        <f t="array" aca="1" ref="BG358" ca="1">INDIRECT("'"&amp;$C358&amp;"'!"&amp;"$"&amp;$D358&amp;$BG$1&amp;"")</f>
        <v>0.88</v>
      </c>
      <c r="BH358" s="289"/>
      <c r="BI358" s="289">
        <v>0.99</v>
      </c>
      <c r="BJ358" s="287">
        <v>0.11</v>
      </c>
      <c r="BK358" s="291" cm="1">
        <f t="array" aca="1" ref="BK358" ca="1">INDIRECT("'"&amp;$C358&amp;"'!"&amp;"$"&amp;$D358&amp;$BK$1&amp;"")</f>
        <v>0.74</v>
      </c>
      <c r="BL358" s="289"/>
      <c r="BM358" s="289">
        <v>0.97</v>
      </c>
      <c r="BN358" s="287">
        <v>0.19</v>
      </c>
      <c r="BO358" s="292" cm="1">
        <f t="array" aca="1" ref="BO358" ca="1">INDIRECT("'"&amp;$C358&amp;"'!"&amp;"$"&amp;$D358&amp;74&amp;"")</f>
        <v>0</v>
      </c>
      <c r="BP358" s="289"/>
      <c r="BQ358" s="289" t="s">
        <v>1</v>
      </c>
      <c r="BR358" s="287" t="s">
        <v>1</v>
      </c>
    </row>
    <row r="359" spans="1:70">
      <c r="A359" s="361">
        <v>45762</v>
      </c>
      <c r="B359" s="358">
        <v>0.16666666666666699</v>
      </c>
      <c r="C359" s="313">
        <f t="shared" si="13"/>
        <v>15</v>
      </c>
      <c r="D359" s="314" t="s">
        <v>131</v>
      </c>
      <c r="E359" s="293">
        <v>14</v>
      </c>
      <c r="F359" s="294">
        <v>69.58</v>
      </c>
      <c r="G359" s="295" cm="1">
        <f t="array" aca="1" ref="G359" ca="1">INDIRECT("'"&amp;$C359&amp;"'!"&amp;"$"&amp;$D359&amp;$E$1&amp;"")</f>
        <v>6.8</v>
      </c>
      <c r="H359" s="296">
        <v>0.97</v>
      </c>
      <c r="I359" s="294">
        <v>1.28</v>
      </c>
      <c r="J359" s="295" cm="1">
        <f t="array" aca="1" ref="J359" ca="1">INDIRECT("'"&amp;$C359&amp;"'!"&amp;"$"&amp;$D359&amp;$J$1&amp;"")</f>
        <v>0</v>
      </c>
      <c r="K359" s="296"/>
      <c r="L359" s="296" t="s">
        <v>1</v>
      </c>
      <c r="M359" s="294" t="s">
        <v>1</v>
      </c>
      <c r="N359" s="295" cm="1">
        <f t="array" aca="1" ref="N359" ca="1">INDIRECT("'"&amp;$C359&amp;"'!"&amp;"$"&amp;$D359&amp;$N$1&amp;"")</f>
        <v>6.7</v>
      </c>
      <c r="O359" s="296"/>
      <c r="P359" s="296">
        <v>0.98</v>
      </c>
      <c r="Q359" s="294">
        <v>1.68</v>
      </c>
      <c r="R359" s="295" cm="1">
        <f t="array" aca="1" ref="R359" ca="1">INDIRECT("'"&amp;$C359&amp;"'!"&amp;"$"&amp;$D359&amp;$R$1&amp;"")</f>
        <v>0</v>
      </c>
      <c r="S359" s="296"/>
      <c r="T359" s="296" t="s">
        <v>1</v>
      </c>
      <c r="U359" s="294" t="s">
        <v>1</v>
      </c>
      <c r="V359" s="295" cm="1">
        <f t="array" aca="1" ref="V359" ca="1">INDIRECT("'"&amp;$C359&amp;"'!"&amp;"$"&amp;$D359&amp;$V$1&amp;"")</f>
        <v>0</v>
      </c>
      <c r="W359" s="296" t="s">
        <v>1</v>
      </c>
      <c r="X359" s="296" t="s">
        <v>1</v>
      </c>
      <c r="Y359" s="297" t="s">
        <v>1</v>
      </c>
      <c r="Z359" s="293" cm="1">
        <f t="array" aca="1" ref="Z359" ca="1">INDIRECT("'"&amp;$C359&amp;"'!"&amp;"$"&amp;$D359&amp;$Z$1&amp;"")</f>
        <v>0</v>
      </c>
      <c r="AA359" s="296" t="s">
        <v>1</v>
      </c>
      <c r="AB359" s="296" t="s">
        <v>1</v>
      </c>
      <c r="AC359" s="294" t="s">
        <v>1</v>
      </c>
      <c r="AD359" s="295" cm="1">
        <f t="array" aca="1" ref="AD359" ca="1">INDIRECT("'"&amp;$C359&amp;"'!"&amp;"$"&amp;$D359&amp;$AD$1&amp;"")</f>
        <v>0</v>
      </c>
      <c r="AE359" s="296" t="s">
        <v>1</v>
      </c>
      <c r="AF359" s="296" t="s">
        <v>1</v>
      </c>
      <c r="AG359" s="294" t="s">
        <v>1</v>
      </c>
      <c r="AH359" s="293" cm="1">
        <f t="array" aca="1" ref="AH359" ca="1">INDIRECT("'"&amp;$C359&amp;"'!"&amp;"$"&amp;$D359&amp;$AH$1&amp;"")</f>
        <v>0</v>
      </c>
      <c r="AI359" s="296" t="s">
        <v>1</v>
      </c>
      <c r="AJ359" s="296" t="s">
        <v>1</v>
      </c>
      <c r="AK359" s="294" t="s">
        <v>1</v>
      </c>
      <c r="AL359" s="293">
        <v>11.8</v>
      </c>
      <c r="AM359" s="297">
        <v>70.400000000000006</v>
      </c>
      <c r="AN359" s="293" cm="1">
        <f t="array" aca="1" ref="AN359" ca="1">INDIRECT("'"&amp;$C359&amp;"'!"&amp;"$"&amp;$D359&amp;$AL$1&amp;"")</f>
        <v>4</v>
      </c>
      <c r="AO359" s="296">
        <v>0.99</v>
      </c>
      <c r="AP359" s="294">
        <v>0.45</v>
      </c>
      <c r="AQ359" s="295" cm="1">
        <f t="array" aca="1" ref="AQ359" ca="1">INDIRECT("'"&amp;$C359&amp;"'!"&amp;"$"&amp;$D359&amp;$AQ$1&amp;"")</f>
        <v>4</v>
      </c>
      <c r="AR359" s="296">
        <v>0.99</v>
      </c>
      <c r="AS359" s="294">
        <v>0.35</v>
      </c>
      <c r="AT359" s="296" cm="1">
        <f t="array" aca="1" ref="AT359" ca="1">INDIRECT("'"&amp;$C359&amp;"'!"&amp;"$"&amp;$D359&amp;$AT$1&amp;"")</f>
        <v>0</v>
      </c>
      <c r="AU359" s="295" t="s">
        <v>1</v>
      </c>
      <c r="AV359" s="296" t="s">
        <v>1</v>
      </c>
      <c r="AW359" s="294" t="s">
        <v>1</v>
      </c>
      <c r="AX359" s="298">
        <v>14.03</v>
      </c>
      <c r="AY359" s="297">
        <v>71.48</v>
      </c>
      <c r="AZ359" s="298" cm="1">
        <f t="array" aca="1" ref="AZ359" ca="1">INDIRECT("'"&amp;$C359&amp;"'!"&amp;"$"&amp;$D359&amp;$AZ$1&amp;"")</f>
        <v>14.3</v>
      </c>
      <c r="BA359" s="296">
        <v>0.99</v>
      </c>
      <c r="BB359" s="294">
        <v>2.4</v>
      </c>
      <c r="BC359" s="299">
        <v>68.599999999999994</v>
      </c>
      <c r="BD359" s="293" cm="1">
        <f t="array" aca="1" ref="BD359" ca="1">INDIRECT("'"&amp;$C359&amp;"'!"&amp;"$"&amp;$D359&amp;$BC$1&amp;"")</f>
        <v>2.0999999999999996</v>
      </c>
      <c r="BE359" s="295">
        <v>0.98</v>
      </c>
      <c r="BF359" s="294">
        <v>0.41</v>
      </c>
      <c r="BG359" s="298" cm="1">
        <f t="array" aca="1" ref="BG359" ca="1">INDIRECT("'"&amp;$C359&amp;"'!"&amp;"$"&amp;$D359&amp;$BG$1&amp;"")</f>
        <v>0</v>
      </c>
      <c r="BH359" s="296"/>
      <c r="BI359" s="296" t="s">
        <v>1</v>
      </c>
      <c r="BJ359" s="294" t="s">
        <v>1</v>
      </c>
      <c r="BK359" s="298" cm="1">
        <f t="array" aca="1" ref="BK359" ca="1">INDIRECT("'"&amp;$C359&amp;"'!"&amp;"$"&amp;$D359&amp;$BK$1&amp;"")</f>
        <v>0.72</v>
      </c>
      <c r="BL359" s="296"/>
      <c r="BM359" s="296">
        <v>0.97</v>
      </c>
      <c r="BN359" s="294">
        <v>0.19</v>
      </c>
      <c r="BO359" s="299" cm="1">
        <f t="array" aca="1" ref="BO359" ca="1">INDIRECT("'"&amp;$C359&amp;"'!"&amp;"$"&amp;$D359&amp;74&amp;"")</f>
        <v>0</v>
      </c>
      <c r="BP359" s="296"/>
      <c r="BQ359" s="296" t="s">
        <v>1</v>
      </c>
      <c r="BR359" s="294" t="s">
        <v>1</v>
      </c>
    </row>
    <row r="360" spans="1:70">
      <c r="A360" s="361">
        <v>45762</v>
      </c>
      <c r="B360" s="358">
        <v>0.20833333333333301</v>
      </c>
      <c r="C360" s="313">
        <f t="shared" si="13"/>
        <v>15</v>
      </c>
      <c r="D360" s="314" t="s">
        <v>132</v>
      </c>
      <c r="E360" s="286">
        <v>14</v>
      </c>
      <c r="F360" s="287">
        <v>69.55</v>
      </c>
      <c r="G360" s="288" cm="1">
        <f t="array" aca="1" ref="G360" ca="1">INDIRECT("'"&amp;$C360&amp;"'!"&amp;"$"&amp;$D360&amp;$E$1&amp;"")</f>
        <v>6.8</v>
      </c>
      <c r="H360" s="289">
        <v>0.98</v>
      </c>
      <c r="I360" s="287">
        <v>1.28</v>
      </c>
      <c r="J360" s="288" cm="1">
        <f t="array" aca="1" ref="J360" ca="1">INDIRECT("'"&amp;$C360&amp;"'!"&amp;"$"&amp;$D360&amp;$J$1&amp;"")</f>
        <v>0</v>
      </c>
      <c r="K360" s="289"/>
      <c r="L360" s="289" t="s">
        <v>1</v>
      </c>
      <c r="M360" s="287" t="s">
        <v>1</v>
      </c>
      <c r="N360" s="288" cm="1">
        <f t="array" aca="1" ref="N360" ca="1">INDIRECT("'"&amp;$C360&amp;"'!"&amp;"$"&amp;$D360&amp;$N$1&amp;"")</f>
        <v>6.7</v>
      </c>
      <c r="O360" s="289"/>
      <c r="P360" s="289">
        <v>0.97</v>
      </c>
      <c r="Q360" s="287">
        <v>1.66</v>
      </c>
      <c r="R360" s="288" cm="1">
        <f t="array" aca="1" ref="R360" ca="1">INDIRECT("'"&amp;$C360&amp;"'!"&amp;"$"&amp;$D360&amp;$R$1&amp;"")</f>
        <v>0</v>
      </c>
      <c r="S360" s="289"/>
      <c r="T360" s="289" t="s">
        <v>1</v>
      </c>
      <c r="U360" s="287" t="s">
        <v>1</v>
      </c>
      <c r="V360" s="288" cm="1">
        <f t="array" aca="1" ref="V360" ca="1">INDIRECT("'"&amp;$C360&amp;"'!"&amp;"$"&amp;$D360&amp;$V$1&amp;"")</f>
        <v>0</v>
      </c>
      <c r="W360" s="289" t="s">
        <v>1</v>
      </c>
      <c r="X360" s="289" t="s">
        <v>1</v>
      </c>
      <c r="Y360" s="290" t="s">
        <v>1</v>
      </c>
      <c r="Z360" s="286" cm="1">
        <f t="array" aca="1" ref="Z360" ca="1">INDIRECT("'"&amp;$C360&amp;"'!"&amp;"$"&amp;$D360&amp;$Z$1&amp;"")</f>
        <v>0</v>
      </c>
      <c r="AA360" s="289" t="s">
        <v>1</v>
      </c>
      <c r="AB360" s="289" t="s">
        <v>1</v>
      </c>
      <c r="AC360" s="287" t="s">
        <v>1</v>
      </c>
      <c r="AD360" s="288" cm="1">
        <f t="array" aca="1" ref="AD360" ca="1">INDIRECT("'"&amp;$C360&amp;"'!"&amp;"$"&amp;$D360&amp;$AD$1&amp;"")</f>
        <v>0</v>
      </c>
      <c r="AE360" s="289" t="s">
        <v>1</v>
      </c>
      <c r="AF360" s="289" t="s">
        <v>1</v>
      </c>
      <c r="AG360" s="290" t="s">
        <v>1</v>
      </c>
      <c r="AH360" s="286" cm="1">
        <f t="array" aca="1" ref="AH360" ca="1">INDIRECT("'"&amp;$C360&amp;"'!"&amp;"$"&amp;$D360&amp;$AH$1&amp;"")</f>
        <v>0</v>
      </c>
      <c r="AI360" s="289" t="s">
        <v>1</v>
      </c>
      <c r="AJ360" s="289" t="s">
        <v>1</v>
      </c>
      <c r="AK360" s="290" t="s">
        <v>1</v>
      </c>
      <c r="AL360" s="286">
        <v>11.8</v>
      </c>
      <c r="AM360" s="290">
        <v>70.3</v>
      </c>
      <c r="AN360" s="286" cm="1">
        <f t="array" aca="1" ref="AN360" ca="1">INDIRECT("'"&amp;$C360&amp;"'!"&amp;"$"&amp;$D360&amp;$AL$1&amp;"")</f>
        <v>4</v>
      </c>
      <c r="AO360" s="289">
        <v>0.99</v>
      </c>
      <c r="AP360" s="287">
        <v>0.5</v>
      </c>
      <c r="AQ360" s="288" cm="1">
        <f t="array" aca="1" ref="AQ360" ca="1">INDIRECT("'"&amp;$C360&amp;"'!"&amp;"$"&amp;$D360&amp;$AQ$1&amp;"")</f>
        <v>4</v>
      </c>
      <c r="AR360" s="289">
        <v>0.99</v>
      </c>
      <c r="AS360" s="287">
        <v>0.4</v>
      </c>
      <c r="AT360" s="289" cm="1">
        <f t="array" aca="1" ref="AT360" ca="1">INDIRECT("'"&amp;$C360&amp;"'!"&amp;"$"&amp;$D360&amp;$AT$1&amp;"")</f>
        <v>0</v>
      </c>
      <c r="AU360" s="288" t="s">
        <v>1</v>
      </c>
      <c r="AV360" s="289" t="s">
        <v>1</v>
      </c>
      <c r="AW360" s="287" t="s">
        <v>1</v>
      </c>
      <c r="AX360" s="291">
        <v>14.08</v>
      </c>
      <c r="AY360" s="290">
        <v>71.3</v>
      </c>
      <c r="AZ360" s="291" cm="1">
        <f t="array" aca="1" ref="AZ360" ca="1">INDIRECT("'"&amp;$C360&amp;"'!"&amp;"$"&amp;$D360&amp;$AZ$1&amp;"")</f>
        <v>14.28</v>
      </c>
      <c r="BA360" s="289">
        <v>0.99</v>
      </c>
      <c r="BB360" s="287">
        <v>2.4</v>
      </c>
      <c r="BC360" s="292">
        <v>68.5</v>
      </c>
      <c r="BD360" s="286" cm="1">
        <f t="array" aca="1" ref="BD360" ca="1">INDIRECT("'"&amp;$C360&amp;"'!"&amp;"$"&amp;$D360&amp;$BC$1&amp;"")</f>
        <v>2.0999999999999996</v>
      </c>
      <c r="BE360" s="288">
        <v>0.97</v>
      </c>
      <c r="BF360" s="287">
        <v>0.5</v>
      </c>
      <c r="BG360" s="291" cm="1">
        <f t="array" aca="1" ref="BG360" ca="1">INDIRECT("'"&amp;$C360&amp;"'!"&amp;"$"&amp;$D360&amp;$BG$1&amp;"")</f>
        <v>0</v>
      </c>
      <c r="BH360" s="289"/>
      <c r="BI360" s="289" t="s">
        <v>1</v>
      </c>
      <c r="BJ360" s="287" t="s">
        <v>1</v>
      </c>
      <c r="BK360" s="291" cm="1">
        <f t="array" aca="1" ref="BK360" ca="1">INDIRECT("'"&amp;$C360&amp;"'!"&amp;"$"&amp;$D360&amp;$BK$1&amp;"")</f>
        <v>0.76</v>
      </c>
      <c r="BL360" s="289"/>
      <c r="BM360" s="289">
        <v>0.97</v>
      </c>
      <c r="BN360" s="287">
        <v>0.18</v>
      </c>
      <c r="BO360" s="292" cm="1">
        <f t="array" aca="1" ref="BO360" ca="1">INDIRECT("'"&amp;$C360&amp;"'!"&amp;"$"&amp;$D360&amp;74&amp;"")</f>
        <v>0</v>
      </c>
      <c r="BP360" s="289"/>
      <c r="BQ360" s="289" t="s">
        <v>1</v>
      </c>
      <c r="BR360" s="287" t="s">
        <v>1</v>
      </c>
    </row>
    <row r="361" spans="1:70">
      <c r="A361" s="361">
        <v>45762</v>
      </c>
      <c r="B361" s="358">
        <v>0.25</v>
      </c>
      <c r="C361" s="313">
        <f t="shared" si="13"/>
        <v>15</v>
      </c>
      <c r="D361" s="314" t="s">
        <v>133</v>
      </c>
      <c r="E361" s="293">
        <v>14</v>
      </c>
      <c r="F361" s="294">
        <v>69.48</v>
      </c>
      <c r="G361" s="295" cm="1">
        <f t="array" aca="1" ref="G361" ca="1">INDIRECT("'"&amp;$C361&amp;"'!"&amp;"$"&amp;$D361&amp;$E$1&amp;"")</f>
        <v>6.8</v>
      </c>
      <c r="H361" s="296">
        <v>0.97</v>
      </c>
      <c r="I361" s="294">
        <v>1.54</v>
      </c>
      <c r="J361" s="295" cm="1">
        <f t="array" aca="1" ref="J361" ca="1">INDIRECT("'"&amp;$C361&amp;"'!"&amp;"$"&amp;$D361&amp;$J$1&amp;"")</f>
        <v>0</v>
      </c>
      <c r="K361" s="296"/>
      <c r="L361" s="296" t="s">
        <v>1</v>
      </c>
      <c r="M361" s="294" t="s">
        <v>1</v>
      </c>
      <c r="N361" s="295" cm="1">
        <f t="array" aca="1" ref="N361" ca="1">INDIRECT("'"&amp;$C361&amp;"'!"&amp;"$"&amp;$D361&amp;$N$1&amp;"")</f>
        <v>6.7</v>
      </c>
      <c r="O361" s="296"/>
      <c r="P361" s="296">
        <v>0.97</v>
      </c>
      <c r="Q361" s="294">
        <v>1.48</v>
      </c>
      <c r="R361" s="295" cm="1">
        <f t="array" aca="1" ref="R361" ca="1">INDIRECT("'"&amp;$C361&amp;"'!"&amp;"$"&amp;$D361&amp;$R$1&amp;"")</f>
        <v>0</v>
      </c>
      <c r="S361" s="296"/>
      <c r="T361" s="296" t="s">
        <v>1</v>
      </c>
      <c r="U361" s="294" t="s">
        <v>1</v>
      </c>
      <c r="V361" s="295" cm="1">
        <f t="array" aca="1" ref="V361" ca="1">INDIRECT("'"&amp;$C361&amp;"'!"&amp;"$"&amp;$D361&amp;$V$1&amp;"")</f>
        <v>0</v>
      </c>
      <c r="W361" s="296" t="s">
        <v>1</v>
      </c>
      <c r="X361" s="296" t="s">
        <v>1</v>
      </c>
      <c r="Y361" s="297" t="s">
        <v>1</v>
      </c>
      <c r="Z361" s="293" cm="1">
        <f t="array" aca="1" ref="Z361" ca="1">INDIRECT("'"&amp;$C361&amp;"'!"&amp;"$"&amp;$D361&amp;$Z$1&amp;"")</f>
        <v>0</v>
      </c>
      <c r="AA361" s="296" t="s">
        <v>1</v>
      </c>
      <c r="AB361" s="296" t="s">
        <v>1</v>
      </c>
      <c r="AC361" s="294" t="s">
        <v>1</v>
      </c>
      <c r="AD361" s="295" cm="1">
        <f t="array" aca="1" ref="AD361" ca="1">INDIRECT("'"&amp;$C361&amp;"'!"&amp;"$"&amp;$D361&amp;$AD$1&amp;"")</f>
        <v>3.8</v>
      </c>
      <c r="AE361" s="296">
        <f>3.8*3.57</f>
        <v>13.565999999999999</v>
      </c>
      <c r="AF361" s="296">
        <v>0.96</v>
      </c>
      <c r="AG361" s="297">
        <v>1.05</v>
      </c>
      <c r="AH361" s="293" cm="1">
        <f t="array" aca="1" ref="AH361" ca="1">INDIRECT("'"&amp;$C361&amp;"'!"&amp;"$"&amp;$D361&amp;$AH$1&amp;"")</f>
        <v>0</v>
      </c>
      <c r="AI361" s="296" t="s">
        <v>1</v>
      </c>
      <c r="AJ361" s="296" t="s">
        <v>1</v>
      </c>
      <c r="AK361" s="297" t="s">
        <v>1</v>
      </c>
      <c r="AL361" s="293">
        <v>11.8</v>
      </c>
      <c r="AM361" s="297">
        <v>70.2</v>
      </c>
      <c r="AN361" s="293" cm="1">
        <f t="array" aca="1" ref="AN361" ca="1">INDIRECT("'"&amp;$C361&amp;"'!"&amp;"$"&amp;$D361&amp;$AL$1&amp;"")</f>
        <v>4.0999999999999996</v>
      </c>
      <c r="AO361" s="296">
        <v>0.99</v>
      </c>
      <c r="AP361" s="294">
        <v>0.52</v>
      </c>
      <c r="AQ361" s="295" cm="1">
        <f t="array" aca="1" ref="AQ361" ca="1">INDIRECT("'"&amp;$C361&amp;"'!"&amp;"$"&amp;$D361&amp;$AQ$1&amp;"")</f>
        <v>4.0999999999999996</v>
      </c>
      <c r="AR361" s="296">
        <v>0.99</v>
      </c>
      <c r="AS361" s="294">
        <v>0.52</v>
      </c>
      <c r="AT361" s="296" cm="1">
        <f t="array" aca="1" ref="AT361" ca="1">INDIRECT("'"&amp;$C361&amp;"'!"&amp;"$"&amp;$D361&amp;$AT$1&amp;"")</f>
        <v>0</v>
      </c>
      <c r="AU361" s="295" t="s">
        <v>1</v>
      </c>
      <c r="AV361" s="296" t="s">
        <v>1</v>
      </c>
      <c r="AW361" s="294" t="s">
        <v>1</v>
      </c>
      <c r="AX361" s="298">
        <v>14.06</v>
      </c>
      <c r="AY361" s="297">
        <v>71.099999999999994</v>
      </c>
      <c r="AZ361" s="298" cm="1">
        <f t="array" aca="1" ref="AZ361" ca="1">INDIRECT("'"&amp;$C361&amp;"'!"&amp;"$"&amp;$D361&amp;$AZ$1&amp;"")</f>
        <v>14.26</v>
      </c>
      <c r="BA361" s="296">
        <v>0.99</v>
      </c>
      <c r="BB361" s="294">
        <v>2.4</v>
      </c>
      <c r="BC361" s="299">
        <v>68.5</v>
      </c>
      <c r="BD361" s="293" cm="1">
        <f t="array" aca="1" ref="BD361" ca="1">INDIRECT("'"&amp;$C361&amp;"'!"&amp;"$"&amp;$D361&amp;$BC$1&amp;"")</f>
        <v>0.7</v>
      </c>
      <c r="BE361" s="295">
        <v>0.97</v>
      </c>
      <c r="BF361" s="294">
        <v>0.2</v>
      </c>
      <c r="BG361" s="298" cm="1">
        <f t="array" aca="1" ref="BG361" ca="1">INDIRECT("'"&amp;$C361&amp;"'!"&amp;"$"&amp;$D361&amp;$BG$1&amp;"")</f>
        <v>0.76</v>
      </c>
      <c r="BH361" s="296"/>
      <c r="BI361" s="296">
        <v>0.99</v>
      </c>
      <c r="BJ361" s="294">
        <v>0.09</v>
      </c>
      <c r="BK361" s="298" cm="1">
        <f t="array" aca="1" ref="BK361" ca="1">INDIRECT("'"&amp;$C361&amp;"'!"&amp;"$"&amp;$D361&amp;$BK$1&amp;"")</f>
        <v>0.77</v>
      </c>
      <c r="BL361" s="296"/>
      <c r="BM361" s="296">
        <v>0.97</v>
      </c>
      <c r="BN361" s="294">
        <v>0.18</v>
      </c>
      <c r="BO361" s="299" cm="1">
        <f t="array" aca="1" ref="BO361" ca="1">INDIRECT("'"&amp;$C361&amp;"'!"&amp;"$"&amp;$D361&amp;74&amp;"")</f>
        <v>0</v>
      </c>
      <c r="BP361" s="296"/>
      <c r="BQ361" s="296" t="s">
        <v>1</v>
      </c>
      <c r="BR361" s="294" t="s">
        <v>1</v>
      </c>
    </row>
    <row r="362" spans="1:70">
      <c r="A362" s="361">
        <v>45762</v>
      </c>
      <c r="B362" s="358">
        <v>0.29166666666666702</v>
      </c>
      <c r="C362" s="313">
        <f t="shared" si="13"/>
        <v>15</v>
      </c>
      <c r="D362" s="314" t="s">
        <v>134</v>
      </c>
      <c r="E362" s="286">
        <v>14</v>
      </c>
      <c r="F362" s="287">
        <v>69.569999999999993</v>
      </c>
      <c r="G362" s="288" cm="1">
        <f t="array" aca="1" ref="G362" ca="1">INDIRECT("'"&amp;$C362&amp;"'!"&amp;"$"&amp;$D362&amp;$E$1&amp;"")</f>
        <v>6.2</v>
      </c>
      <c r="H362" s="289">
        <v>0.97</v>
      </c>
      <c r="I362" s="287">
        <v>1.54</v>
      </c>
      <c r="J362" s="288" cm="1">
        <f t="array" aca="1" ref="J362" ca="1">INDIRECT("'"&amp;$C362&amp;"'!"&amp;"$"&amp;$D362&amp;$J$1&amp;"")</f>
        <v>0</v>
      </c>
      <c r="K362" s="289"/>
      <c r="L362" s="289" t="s">
        <v>1</v>
      </c>
      <c r="M362" s="287" t="s">
        <v>1</v>
      </c>
      <c r="N362" s="288" cm="1">
        <f t="array" aca="1" ref="N362" ca="1">INDIRECT("'"&amp;$C362&amp;"'!"&amp;"$"&amp;$D362&amp;$N$1&amp;"")</f>
        <v>6</v>
      </c>
      <c r="O362" s="289"/>
      <c r="P362" s="289">
        <v>0.97</v>
      </c>
      <c r="Q362" s="287">
        <v>1.48</v>
      </c>
      <c r="R362" s="288" cm="1">
        <f t="array" aca="1" ref="R362" ca="1">INDIRECT("'"&amp;$C362&amp;"'!"&amp;"$"&amp;$D362&amp;$R$1&amp;"")</f>
        <v>0</v>
      </c>
      <c r="S362" s="289"/>
      <c r="T362" s="289" t="s">
        <v>1</v>
      </c>
      <c r="U362" s="287"/>
      <c r="V362" s="288" cm="1">
        <f t="array" aca="1" ref="V362" ca="1">INDIRECT("'"&amp;$C362&amp;"'!"&amp;"$"&amp;$D362&amp;$V$1&amp;"")</f>
        <v>0</v>
      </c>
      <c r="W362" s="289" t="s">
        <v>1</v>
      </c>
      <c r="X362" s="289" t="s">
        <v>1</v>
      </c>
      <c r="Y362" s="290" t="s">
        <v>1</v>
      </c>
      <c r="Z362" s="286" cm="1">
        <f t="array" aca="1" ref="Z362" ca="1">INDIRECT("'"&amp;$C362&amp;"'!"&amp;"$"&amp;$D362&amp;$Z$1&amp;"")</f>
        <v>0</v>
      </c>
      <c r="AA362" s="289" t="s">
        <v>1</v>
      </c>
      <c r="AB362" s="289" t="s">
        <v>1</v>
      </c>
      <c r="AC362" s="287" t="s">
        <v>1</v>
      </c>
      <c r="AD362" s="288" cm="1">
        <f t="array" aca="1" ref="AD362" ca="1">INDIRECT("'"&amp;$C362&amp;"'!"&amp;"$"&amp;$D362&amp;$AD$1&amp;"")</f>
        <v>3.8</v>
      </c>
      <c r="AE362" s="289">
        <f>3.8*3.58</f>
        <v>13.603999999999999</v>
      </c>
      <c r="AF362" s="289">
        <v>0.96</v>
      </c>
      <c r="AG362" s="290">
        <v>1.03</v>
      </c>
      <c r="AH362" s="286" cm="1">
        <f t="array" aca="1" ref="AH362" ca="1">INDIRECT("'"&amp;$C362&amp;"'!"&amp;"$"&amp;$D362&amp;$AH$1&amp;"")</f>
        <v>0</v>
      </c>
      <c r="AI362" s="289" t="s">
        <v>1</v>
      </c>
      <c r="AJ362" s="289" t="s">
        <v>1</v>
      </c>
      <c r="AK362" s="287" t="s">
        <v>1</v>
      </c>
      <c r="AL362" s="286">
        <v>11.8</v>
      </c>
      <c r="AM362" s="290">
        <v>70</v>
      </c>
      <c r="AN362" s="286" cm="1">
        <f t="array" aca="1" ref="AN362" ca="1">INDIRECT("'"&amp;$C362&amp;"'!"&amp;"$"&amp;$D362&amp;$AL$1&amp;"")</f>
        <v>3.8</v>
      </c>
      <c r="AO362" s="289">
        <v>0.99</v>
      </c>
      <c r="AP362" s="287">
        <v>0.6</v>
      </c>
      <c r="AQ362" s="288" cm="1">
        <f t="array" aca="1" ref="AQ362" ca="1">INDIRECT("'"&amp;$C362&amp;"'!"&amp;"$"&amp;$D362&amp;$AQ$1&amp;"")</f>
        <v>3.8</v>
      </c>
      <c r="AR362" s="289">
        <v>0.99</v>
      </c>
      <c r="AS362" s="287">
        <v>0.6</v>
      </c>
      <c r="AT362" s="289" cm="1">
        <f t="array" aca="1" ref="AT362" ca="1">INDIRECT("'"&amp;$C362&amp;"'!"&amp;"$"&amp;$D362&amp;$AT$1&amp;"")</f>
        <v>0</v>
      </c>
      <c r="AU362" s="288" t="s">
        <v>1</v>
      </c>
      <c r="AV362" s="289" t="s">
        <v>1</v>
      </c>
      <c r="AW362" s="287" t="s">
        <v>1</v>
      </c>
      <c r="AX362" s="291">
        <v>14.02</v>
      </c>
      <c r="AY362" s="290">
        <v>70.84</v>
      </c>
      <c r="AZ362" s="291" cm="1">
        <f t="array" aca="1" ref="AZ362" ca="1">INDIRECT("'"&amp;$C362&amp;"'!"&amp;"$"&amp;$D362&amp;$AZ$1&amp;"")</f>
        <v>14.29</v>
      </c>
      <c r="BA362" s="289">
        <v>0.99</v>
      </c>
      <c r="BB362" s="287">
        <v>2.5</v>
      </c>
      <c r="BC362" s="292">
        <v>68.400000000000006</v>
      </c>
      <c r="BD362" s="286" cm="1">
        <f t="array" aca="1" ref="BD362" ca="1">INDIRECT("'"&amp;$C362&amp;"'!"&amp;"$"&amp;$D362&amp;$BC$1&amp;"")</f>
        <v>0</v>
      </c>
      <c r="BE362" s="288" t="s">
        <v>1</v>
      </c>
      <c r="BF362" s="287" t="s">
        <v>1</v>
      </c>
      <c r="BG362" s="291" cm="1">
        <f t="array" aca="1" ref="BG362" ca="1">INDIRECT("'"&amp;$C362&amp;"'!"&amp;"$"&amp;$D362&amp;$BG$1&amp;"")</f>
        <v>0.55000000000000004</v>
      </c>
      <c r="BH362" s="289"/>
      <c r="BI362" s="289">
        <v>0.99</v>
      </c>
      <c r="BJ362" s="287">
        <v>0.09</v>
      </c>
      <c r="BK362" s="292" cm="1">
        <f t="array" aca="1" ref="BK362" ca="1">INDIRECT("'"&amp;$C362&amp;"'!"&amp;"$"&amp;$D362&amp;$BK$1&amp;"")</f>
        <v>0.77</v>
      </c>
      <c r="BL362" s="289"/>
      <c r="BM362" s="289">
        <v>0.96</v>
      </c>
      <c r="BN362" s="287">
        <v>0.21</v>
      </c>
      <c r="BO362" s="292" cm="1">
        <f t="array" aca="1" ref="BO362" ca="1">INDIRECT("'"&amp;$C362&amp;"'!"&amp;"$"&amp;$D362&amp;74&amp;"")</f>
        <v>0</v>
      </c>
      <c r="BP362" s="289"/>
      <c r="BQ362" s="289" t="s">
        <v>1</v>
      </c>
      <c r="BR362" s="287" t="s">
        <v>1</v>
      </c>
    </row>
    <row r="363" spans="1:70">
      <c r="A363" s="361">
        <v>45762</v>
      </c>
      <c r="B363" s="358">
        <v>0.33333333333333398</v>
      </c>
      <c r="C363" s="313">
        <f t="shared" si="13"/>
        <v>15</v>
      </c>
      <c r="D363" s="314" t="s">
        <v>135</v>
      </c>
      <c r="E363" s="293">
        <v>14</v>
      </c>
      <c r="F363" s="294">
        <v>69.28</v>
      </c>
      <c r="G363" s="295" cm="1">
        <f t="array" aca="1" ref="G363" ca="1">INDIRECT("'"&amp;$C363&amp;"'!"&amp;"$"&amp;$D363&amp;$E$1&amp;"")</f>
        <v>6.7</v>
      </c>
      <c r="H363" s="296">
        <v>0.96</v>
      </c>
      <c r="I363" s="294">
        <v>2</v>
      </c>
      <c r="J363" s="295" cm="1">
        <f t="array" aca="1" ref="J363" ca="1">INDIRECT("'"&amp;$C363&amp;"'!"&amp;"$"&amp;$D363&amp;$J$1&amp;"")</f>
        <v>0</v>
      </c>
      <c r="K363" s="296"/>
      <c r="L363" s="296" t="s">
        <v>1</v>
      </c>
      <c r="M363" s="294" t="s">
        <v>1</v>
      </c>
      <c r="N363" s="295" cm="1">
        <f t="array" aca="1" ref="N363" ca="1">INDIRECT("'"&amp;$C363&amp;"'!"&amp;"$"&amp;$D363&amp;$N$1&amp;"")</f>
        <v>6.7</v>
      </c>
      <c r="O363" s="296"/>
      <c r="P363" s="296">
        <v>0.96</v>
      </c>
      <c r="Q363" s="294">
        <v>2</v>
      </c>
      <c r="R363" s="295" cm="1">
        <f t="array" aca="1" ref="R363" ca="1">INDIRECT("'"&amp;$C363&amp;"'!"&amp;"$"&amp;$D363&amp;$R$1&amp;"")</f>
        <v>5.2</v>
      </c>
      <c r="S363" s="296"/>
      <c r="T363" s="296">
        <v>0.96</v>
      </c>
      <c r="U363" s="294">
        <v>1.5</v>
      </c>
      <c r="V363" s="295" cm="1">
        <f t="array" aca="1" ref="V363" ca="1">INDIRECT("'"&amp;$C363&amp;"'!"&amp;"$"&amp;$D363&amp;$V$1&amp;"")</f>
        <v>0</v>
      </c>
      <c r="W363" s="296" t="s">
        <v>1</v>
      </c>
      <c r="X363" s="296" t="s">
        <v>1</v>
      </c>
      <c r="Y363" s="297" t="s">
        <v>1</v>
      </c>
      <c r="Z363" s="293" cm="1">
        <f t="array" aca="1" ref="Z363" ca="1">INDIRECT("'"&amp;$C363&amp;"'!"&amp;"$"&amp;$D363&amp;$Z$1&amp;"")</f>
        <v>0</v>
      </c>
      <c r="AA363" s="296" t="s">
        <v>1</v>
      </c>
      <c r="AB363" s="296" t="s">
        <v>1</v>
      </c>
      <c r="AC363" s="294" t="s">
        <v>1</v>
      </c>
      <c r="AD363" s="295" cm="1">
        <f t="array" aca="1" ref="AD363" ca="1">INDIRECT("'"&amp;$C363&amp;"'!"&amp;"$"&amp;$D363&amp;$AD$1&amp;"")</f>
        <v>3</v>
      </c>
      <c r="AE363" s="296">
        <f>3.8*3.53</f>
        <v>13.413999999999998</v>
      </c>
      <c r="AF363" s="296">
        <v>0.95</v>
      </c>
      <c r="AG363" s="297">
        <v>0.95</v>
      </c>
      <c r="AH363" s="293" cm="1">
        <f t="array" aca="1" ref="AH363" ca="1">INDIRECT("'"&amp;$C363&amp;"'!"&amp;"$"&amp;$D363&amp;$AH$1&amp;"")</f>
        <v>0</v>
      </c>
      <c r="AI363" s="296" t="s">
        <v>1</v>
      </c>
      <c r="AJ363" s="296" t="s">
        <v>1</v>
      </c>
      <c r="AK363" s="294" t="s">
        <v>1</v>
      </c>
      <c r="AL363" s="293">
        <v>11.8</v>
      </c>
      <c r="AM363" s="297">
        <v>69.900000000000006</v>
      </c>
      <c r="AN363" s="293" cm="1">
        <f t="array" aca="1" ref="AN363" ca="1">INDIRECT("'"&amp;$C363&amp;"'!"&amp;"$"&amp;$D363&amp;$AL$1&amp;"")</f>
        <v>4.2</v>
      </c>
      <c r="AO363" s="296">
        <v>0.99</v>
      </c>
      <c r="AP363" s="294">
        <v>1.3</v>
      </c>
      <c r="AQ363" s="295" cm="1">
        <f t="array" aca="1" ref="AQ363" ca="1">INDIRECT("'"&amp;$C363&amp;"'!"&amp;"$"&amp;$D363&amp;$AQ$1&amp;"")</f>
        <v>4.2</v>
      </c>
      <c r="AR363" s="296">
        <v>0.99</v>
      </c>
      <c r="AS363" s="294">
        <v>1.3</v>
      </c>
      <c r="AT363" s="296" cm="1">
        <f t="array" aca="1" ref="AT363" ca="1">INDIRECT("'"&amp;$C363&amp;"'!"&amp;"$"&amp;$D363&amp;$AT$1&amp;"")</f>
        <v>0</v>
      </c>
      <c r="AU363" s="295" t="s">
        <v>1</v>
      </c>
      <c r="AV363" s="296" t="s">
        <v>1</v>
      </c>
      <c r="AW363" s="294" t="s">
        <v>1</v>
      </c>
      <c r="AX363" s="298">
        <v>14.03</v>
      </c>
      <c r="AY363" s="297">
        <v>70.819999999999993</v>
      </c>
      <c r="AZ363" s="298" cm="1">
        <f t="array" aca="1" ref="AZ363" ca="1">INDIRECT("'"&amp;$C363&amp;"'!"&amp;"$"&amp;$D363&amp;$AZ$1&amp;"")</f>
        <v>14.3</v>
      </c>
      <c r="BA363" s="296">
        <v>0.99</v>
      </c>
      <c r="BB363" s="294">
        <v>2.5</v>
      </c>
      <c r="BC363" s="299">
        <v>68.3</v>
      </c>
      <c r="BD363" s="293" cm="1">
        <f t="array" aca="1" ref="BD363" ca="1">INDIRECT("'"&amp;$C363&amp;"'!"&amp;"$"&amp;$D363&amp;$BC$1&amp;"")</f>
        <v>0</v>
      </c>
      <c r="BE363" s="295" t="s">
        <v>1</v>
      </c>
      <c r="BF363" s="294" t="s">
        <v>1</v>
      </c>
      <c r="BG363" s="298" cm="1">
        <f t="array" aca="1" ref="BG363" ca="1">INDIRECT("'"&amp;$C363&amp;"'!"&amp;"$"&amp;$D363&amp;$BG$1&amp;"")</f>
        <v>0.61</v>
      </c>
      <c r="BH363" s="296"/>
      <c r="BI363" s="296">
        <v>0.99</v>
      </c>
      <c r="BJ363" s="294">
        <v>7.0000000000000007E-2</v>
      </c>
      <c r="BK363" s="299" cm="1">
        <f t="array" aca="1" ref="BK363" ca="1">INDIRECT("'"&amp;$C363&amp;"'!"&amp;"$"&amp;$D363&amp;$BK$1&amp;"")</f>
        <v>0.77</v>
      </c>
      <c r="BL363" s="296"/>
      <c r="BM363" s="296">
        <v>0.96</v>
      </c>
      <c r="BN363" s="294">
        <v>0.21</v>
      </c>
      <c r="BO363" s="299" cm="1">
        <f t="array" aca="1" ref="BO363" ca="1">INDIRECT("'"&amp;$C363&amp;"'!"&amp;"$"&amp;$D363&amp;74&amp;"")</f>
        <v>0</v>
      </c>
      <c r="BP363" s="296"/>
      <c r="BQ363" s="296" t="s">
        <v>1</v>
      </c>
      <c r="BR363" s="294" t="s">
        <v>1</v>
      </c>
    </row>
    <row r="364" spans="1:70">
      <c r="A364" s="361">
        <v>45762</v>
      </c>
      <c r="B364" s="358">
        <v>0.375</v>
      </c>
      <c r="C364" s="313">
        <f t="shared" si="13"/>
        <v>15</v>
      </c>
      <c r="D364" s="314" t="s">
        <v>136</v>
      </c>
      <c r="E364" s="286">
        <v>14.1</v>
      </c>
      <c r="F364" s="287">
        <v>69.2</v>
      </c>
      <c r="G364" s="288" cm="1">
        <f t="array" aca="1" ref="G364" ca="1">INDIRECT("'"&amp;$C364&amp;"'!"&amp;"$"&amp;$D364&amp;$E$1&amp;"")</f>
        <v>6.8</v>
      </c>
      <c r="H364" s="289">
        <v>0.94</v>
      </c>
      <c r="I364" s="287">
        <v>2.4</v>
      </c>
      <c r="J364" s="288" cm="1">
        <f t="array" aca="1" ref="J364" ca="1">INDIRECT("'"&amp;$C364&amp;"'!"&amp;"$"&amp;$D364&amp;$J$1&amp;"")</f>
        <v>0</v>
      </c>
      <c r="K364" s="289"/>
      <c r="L364" s="289" t="s">
        <v>1</v>
      </c>
      <c r="M364" s="287" t="s">
        <v>1</v>
      </c>
      <c r="N364" s="288" cm="1">
        <f t="array" aca="1" ref="N364" ca="1">INDIRECT("'"&amp;$C364&amp;"'!"&amp;"$"&amp;$D364&amp;$N$1&amp;"")</f>
        <v>6.8</v>
      </c>
      <c r="O364" s="289"/>
      <c r="P364" s="289">
        <v>0.94</v>
      </c>
      <c r="Q364" s="287">
        <v>2.4</v>
      </c>
      <c r="R364" s="288" cm="1">
        <f t="array" aca="1" ref="R364" ca="1">INDIRECT("'"&amp;$C364&amp;"'!"&amp;"$"&amp;$D364&amp;$R$1&amp;"")</f>
        <v>6.8</v>
      </c>
      <c r="S364" s="289"/>
      <c r="T364" s="289">
        <v>0.94</v>
      </c>
      <c r="U364" s="287">
        <v>2.4</v>
      </c>
      <c r="V364" s="288" cm="1">
        <f t="array" aca="1" ref="V364" ca="1">INDIRECT("'"&amp;$C364&amp;"'!"&amp;"$"&amp;$D364&amp;$V$1&amp;"")</f>
        <v>2.8</v>
      </c>
      <c r="W364" s="289">
        <f>3.8*3.53</f>
        <v>13.413999999999998</v>
      </c>
      <c r="X364" s="289">
        <v>0.92</v>
      </c>
      <c r="Y364" s="290">
        <v>1.1399999999999999</v>
      </c>
      <c r="Z364" s="286" cm="1">
        <f t="array" aca="1" ref="Z364" ca="1">INDIRECT("'"&amp;$C364&amp;"'!"&amp;"$"&amp;$D364&amp;$Z$1&amp;"")</f>
        <v>0</v>
      </c>
      <c r="AA364" s="289" t="s">
        <v>1</v>
      </c>
      <c r="AB364" s="289" t="s">
        <v>1</v>
      </c>
      <c r="AC364" s="287" t="s">
        <v>1</v>
      </c>
      <c r="AD364" s="288" cm="1">
        <f t="array" aca="1" ref="AD364" ca="1">INDIRECT("'"&amp;$C364&amp;"'!"&amp;"$"&amp;$D364&amp;$AD$1&amp;"")</f>
        <v>3.8</v>
      </c>
      <c r="AE364" s="289">
        <f>3.8*3.53</f>
        <v>13.413999999999998</v>
      </c>
      <c r="AF364" s="289">
        <v>0.92</v>
      </c>
      <c r="AG364" s="290">
        <v>0.17299999999999999</v>
      </c>
      <c r="AH364" s="286" cm="1">
        <f t="array" aca="1" ref="AH364" ca="1">INDIRECT("'"&amp;$C364&amp;"'!"&amp;"$"&amp;$D364&amp;$AH$1&amp;"")</f>
        <v>3.8</v>
      </c>
      <c r="AI364" s="289">
        <v>13.96</v>
      </c>
      <c r="AJ364" s="289">
        <v>0.99</v>
      </c>
      <c r="AK364" s="287">
        <v>0.17299999999999999</v>
      </c>
      <c r="AL364" s="286">
        <v>11.9</v>
      </c>
      <c r="AM364" s="290">
        <v>70.3</v>
      </c>
      <c r="AN364" s="286" cm="1">
        <f t="array" aca="1" ref="AN364" ca="1">INDIRECT("'"&amp;$C364&amp;"'!"&amp;"$"&amp;$D364&amp;$AL$1&amp;"")</f>
        <v>4.2</v>
      </c>
      <c r="AO364" s="289">
        <v>0.96</v>
      </c>
      <c r="AP364" s="287">
        <v>1.1000000000000001</v>
      </c>
      <c r="AQ364" s="288" cm="1">
        <f t="array" aca="1" ref="AQ364" ca="1">INDIRECT("'"&amp;$C364&amp;"'!"&amp;"$"&amp;$D364&amp;$AQ$1&amp;"")</f>
        <v>4.2</v>
      </c>
      <c r="AR364" s="289">
        <v>0.96</v>
      </c>
      <c r="AS364" s="287">
        <v>1</v>
      </c>
      <c r="AT364" s="289" cm="1">
        <f t="array" aca="1" ref="AT364" ca="1">INDIRECT("'"&amp;$C364&amp;"'!"&amp;"$"&amp;$D364&amp;$AT$1&amp;"")</f>
        <v>0</v>
      </c>
      <c r="AU364" s="288" t="s">
        <v>1</v>
      </c>
      <c r="AV364" s="289" t="s">
        <v>1</v>
      </c>
      <c r="AW364" s="287" t="s">
        <v>1</v>
      </c>
      <c r="AX364" s="291">
        <v>14.21</v>
      </c>
      <c r="AY364" s="290">
        <v>71.38</v>
      </c>
      <c r="AZ364" s="291" cm="1">
        <f t="array" aca="1" ref="AZ364" ca="1">INDIRECT("'"&amp;$C364&amp;"'!"&amp;"$"&amp;$D364&amp;$AZ$1&amp;"")</f>
        <v>14.32</v>
      </c>
      <c r="BA364" s="289">
        <v>0.98</v>
      </c>
      <c r="BB364" s="287">
        <v>3.6</v>
      </c>
      <c r="BC364" s="292">
        <v>68</v>
      </c>
      <c r="BD364" s="286" cm="1">
        <f t="array" aca="1" ref="BD364" ca="1">INDIRECT("'"&amp;$C364&amp;"'!"&amp;"$"&amp;$D364&amp;$BC$1&amp;"")</f>
        <v>1.5</v>
      </c>
      <c r="BE364" s="288">
        <v>0.95</v>
      </c>
      <c r="BF364" s="287">
        <v>0.49</v>
      </c>
      <c r="BG364" s="291" cm="1">
        <f t="array" aca="1" ref="BG364" ca="1">INDIRECT("'"&amp;$C364&amp;"'!"&amp;"$"&amp;$D364&amp;$BG$1&amp;"")</f>
        <v>0.79</v>
      </c>
      <c r="BH364" s="289"/>
      <c r="BI364" s="289">
        <v>0.99</v>
      </c>
      <c r="BJ364" s="287">
        <v>0.08</v>
      </c>
      <c r="BK364" s="292" cm="1">
        <f t="array" aca="1" ref="BK364" ca="1">INDIRECT("'"&amp;$C364&amp;"'!"&amp;"$"&amp;$D364&amp;$BK$1&amp;"")</f>
        <v>0.82</v>
      </c>
      <c r="BL364" s="289"/>
      <c r="BM364" s="289">
        <v>0.96</v>
      </c>
      <c r="BN364" s="287">
        <v>0.23</v>
      </c>
      <c r="BO364" s="292" cm="1">
        <f t="array" aca="1" ref="BO364" ca="1">INDIRECT("'"&amp;$C364&amp;"'!"&amp;"$"&amp;$D364&amp;74&amp;"")</f>
        <v>0</v>
      </c>
      <c r="BP364" s="289"/>
      <c r="BQ364" s="289" t="s">
        <v>1</v>
      </c>
      <c r="BR364" s="287" t="s">
        <v>1</v>
      </c>
    </row>
    <row r="365" spans="1:70">
      <c r="A365" s="361">
        <v>45762</v>
      </c>
      <c r="B365" s="358">
        <v>0.41666666666666702</v>
      </c>
      <c r="C365" s="313">
        <f t="shared" si="13"/>
        <v>15</v>
      </c>
      <c r="D365" s="314" t="s">
        <v>137</v>
      </c>
      <c r="E365" s="293">
        <v>14</v>
      </c>
      <c r="F365" s="294">
        <v>68.7</v>
      </c>
      <c r="G365" s="295" cm="1">
        <f t="array" aca="1" ref="G365" ca="1">INDIRECT("'"&amp;$C365&amp;"'!"&amp;"$"&amp;$D365&amp;$E$1&amp;"")</f>
        <v>6.7</v>
      </c>
      <c r="H365" s="296">
        <v>0.93</v>
      </c>
      <c r="I365" s="294">
        <v>2.5</v>
      </c>
      <c r="J365" s="295" cm="1">
        <f t="array" aca="1" ref="J365" ca="1">INDIRECT("'"&amp;$C365&amp;"'!"&amp;"$"&amp;$D365&amp;$J$1&amp;"")</f>
        <v>0</v>
      </c>
      <c r="K365" s="296"/>
      <c r="L365" s="296" t="s">
        <v>1</v>
      </c>
      <c r="M365" s="294" t="s">
        <v>1</v>
      </c>
      <c r="N365" s="295" cm="1">
        <f t="array" aca="1" ref="N365" ca="1">INDIRECT("'"&amp;$C365&amp;"'!"&amp;"$"&amp;$D365&amp;$N$1&amp;"")</f>
        <v>6.7</v>
      </c>
      <c r="O365" s="296"/>
      <c r="P365" s="296">
        <v>0.93</v>
      </c>
      <c r="Q365" s="294">
        <v>2.5</v>
      </c>
      <c r="R365" s="295" cm="1">
        <f t="array" aca="1" ref="R365" ca="1">INDIRECT("'"&amp;$C365&amp;"'!"&amp;"$"&amp;$D365&amp;$R$1&amp;"")</f>
        <v>6.7</v>
      </c>
      <c r="S365" s="296"/>
      <c r="T365" s="296">
        <v>0.93</v>
      </c>
      <c r="U365" s="294">
        <v>2.5</v>
      </c>
      <c r="V365" s="295" cm="1">
        <f t="array" aca="1" ref="V365" ca="1">INDIRECT("'"&amp;$C365&amp;"'!"&amp;"$"&amp;$D365&amp;$V$1&amp;"")</f>
        <v>2.8</v>
      </c>
      <c r="W365" s="296">
        <f>3.8*3.49</f>
        <v>13.262</v>
      </c>
      <c r="X365" s="296">
        <v>0.92</v>
      </c>
      <c r="Y365" s="297">
        <v>1.1299999999999999</v>
      </c>
      <c r="Z365" s="293" cm="1">
        <f t="array" aca="1" ref="Z365" ca="1">INDIRECT("'"&amp;$C365&amp;"'!"&amp;"$"&amp;$D365&amp;$Z$1&amp;"")</f>
        <v>0</v>
      </c>
      <c r="AA365" s="296" t="s">
        <v>1</v>
      </c>
      <c r="AB365" s="296" t="s">
        <v>1</v>
      </c>
      <c r="AC365" s="294" t="s">
        <v>1</v>
      </c>
      <c r="AD365" s="295" cm="1">
        <f t="array" aca="1" ref="AD365" ca="1">INDIRECT("'"&amp;$C365&amp;"'!"&amp;"$"&amp;$D365&amp;$AD$1&amp;"")</f>
        <v>3.8</v>
      </c>
      <c r="AE365" s="296">
        <f>3.8*3.49</f>
        <v>13.262</v>
      </c>
      <c r="AF365" s="296">
        <v>0.92</v>
      </c>
      <c r="AG365" s="297">
        <v>1.75</v>
      </c>
      <c r="AH365" s="293" cm="1">
        <f t="array" aca="1" ref="AH365" ca="1">INDIRECT("'"&amp;$C365&amp;"'!"&amp;"$"&amp;$D365&amp;$AH$1&amp;"")</f>
        <v>3.8</v>
      </c>
      <c r="AI365" s="296">
        <v>13.88</v>
      </c>
      <c r="AJ365" s="296">
        <v>0.99</v>
      </c>
      <c r="AK365" s="294">
        <v>0.26800000000000002</v>
      </c>
      <c r="AL365" s="293">
        <v>11.9</v>
      </c>
      <c r="AM365" s="297">
        <v>70.3</v>
      </c>
      <c r="AN365" s="293" cm="1">
        <f t="array" aca="1" ref="AN365" ca="1">INDIRECT("'"&amp;$C365&amp;"'!"&amp;"$"&amp;$D365&amp;$AL$1&amp;"")</f>
        <v>4.3</v>
      </c>
      <c r="AO365" s="296">
        <v>0.96</v>
      </c>
      <c r="AP365" s="294">
        <v>1.1599999999999999</v>
      </c>
      <c r="AQ365" s="295" cm="1">
        <f t="array" aca="1" ref="AQ365" ca="1">INDIRECT("'"&amp;$C365&amp;"'!"&amp;"$"&amp;$D365&amp;$AQ$1&amp;"")</f>
        <v>4.3</v>
      </c>
      <c r="AR365" s="296">
        <v>0.96</v>
      </c>
      <c r="AS365" s="294">
        <v>1</v>
      </c>
      <c r="AT365" s="296" cm="1">
        <f t="array" aca="1" ref="AT365" ca="1">INDIRECT("'"&amp;$C365&amp;"'!"&amp;"$"&amp;$D365&amp;$AT$1&amp;"")</f>
        <v>4.25</v>
      </c>
      <c r="AU365" s="295">
        <v>13.8</v>
      </c>
      <c r="AV365" s="296">
        <v>0.97</v>
      </c>
      <c r="AW365" s="294">
        <v>1.1299999999999999</v>
      </c>
      <c r="AX365" s="298">
        <v>14.15</v>
      </c>
      <c r="AY365" s="297">
        <v>71.14</v>
      </c>
      <c r="AZ365" s="298" cm="1">
        <f t="array" aca="1" ref="AZ365" ca="1">INDIRECT("'"&amp;$C365&amp;"'!"&amp;"$"&amp;$D365&amp;$AZ$1&amp;"")</f>
        <v>14.15</v>
      </c>
      <c r="BA365" s="296">
        <v>0.98</v>
      </c>
      <c r="BB365" s="294">
        <v>3.5</v>
      </c>
      <c r="BC365" s="299">
        <v>67.5</v>
      </c>
      <c r="BD365" s="293" cm="1">
        <f t="array" aca="1" ref="BD365" ca="1">INDIRECT("'"&amp;$C365&amp;"'!"&amp;"$"&amp;$D365&amp;$BC$1&amp;"")</f>
        <v>2.0999999999999996</v>
      </c>
      <c r="BE365" s="295">
        <v>0.95</v>
      </c>
      <c r="BF365" s="294">
        <v>0.69</v>
      </c>
      <c r="BG365" s="298" cm="1">
        <f t="array" aca="1" ref="BG365" ca="1">INDIRECT("'"&amp;$C365&amp;"'!"&amp;"$"&amp;$D365&amp;$BG$1&amp;"")</f>
        <v>0.83</v>
      </c>
      <c r="BH365" s="296"/>
      <c r="BI365" s="296">
        <v>0.99</v>
      </c>
      <c r="BJ365" s="294">
        <v>0.09</v>
      </c>
      <c r="BK365" s="299" cm="1">
        <f t="array" aca="1" ref="BK365" ca="1">INDIRECT("'"&amp;$C365&amp;"'!"&amp;"$"&amp;$D365&amp;$BK$1&amp;"")</f>
        <v>0.85</v>
      </c>
      <c r="BL365" s="296"/>
      <c r="BM365" s="296">
        <v>0.96</v>
      </c>
      <c r="BN365" s="294">
        <v>0.24</v>
      </c>
      <c r="BO365" s="299" cm="1">
        <f t="array" aca="1" ref="BO365" ca="1">INDIRECT("'"&amp;$C365&amp;"'!"&amp;"$"&amp;$D365&amp;74&amp;"")</f>
        <v>0</v>
      </c>
      <c r="BP365" s="296"/>
      <c r="BQ365" s="296" t="s">
        <v>1</v>
      </c>
      <c r="BR365" s="294" t="s">
        <v>1</v>
      </c>
    </row>
    <row r="366" spans="1:70">
      <c r="A366" s="361">
        <v>45762</v>
      </c>
      <c r="B366" s="358">
        <v>0.45833333333333398</v>
      </c>
      <c r="C366" s="313">
        <f t="shared" si="13"/>
        <v>15</v>
      </c>
      <c r="D366" s="314" t="s">
        <v>138</v>
      </c>
      <c r="E366" s="286">
        <v>14</v>
      </c>
      <c r="F366" s="287">
        <v>68.77</v>
      </c>
      <c r="G366" s="288" cm="1">
        <f t="array" aca="1" ref="G366" ca="1">INDIRECT("'"&amp;$C366&amp;"'!"&amp;"$"&amp;$D366&amp;$E$1&amp;"")</f>
        <v>6.2</v>
      </c>
      <c r="H366" s="289">
        <v>0.93</v>
      </c>
      <c r="I366" s="287">
        <v>2.4900000000000002</v>
      </c>
      <c r="J366" s="288" cm="1">
        <f t="array" aca="1" ref="J366" ca="1">INDIRECT("'"&amp;$C366&amp;"'!"&amp;"$"&amp;$D366&amp;$J$1&amp;"")</f>
        <v>6.2</v>
      </c>
      <c r="K366" s="289"/>
      <c r="L366" s="289">
        <v>0.93</v>
      </c>
      <c r="M366" s="287">
        <v>2.4900000000000002</v>
      </c>
      <c r="N366" s="288" cm="1">
        <f t="array" aca="1" ref="N366" ca="1">INDIRECT("'"&amp;$C366&amp;"'!"&amp;"$"&amp;$D366&amp;$N$1&amp;"")</f>
        <v>6.2</v>
      </c>
      <c r="O366" s="289"/>
      <c r="P366" s="289">
        <v>0.93</v>
      </c>
      <c r="Q366" s="287">
        <v>2.4900000000000002</v>
      </c>
      <c r="R366" s="288" cm="1">
        <f t="array" aca="1" ref="R366" ca="1">INDIRECT("'"&amp;$C366&amp;"'!"&amp;"$"&amp;$D366&amp;$R$1&amp;"")</f>
        <v>6.2</v>
      </c>
      <c r="S366" s="289"/>
      <c r="T366" s="289">
        <v>0.93</v>
      </c>
      <c r="U366" s="287">
        <v>2.4900000000000002</v>
      </c>
      <c r="V366" s="288" cm="1">
        <f t="array" aca="1" ref="V366" ca="1">INDIRECT("'"&amp;$C366&amp;"'!"&amp;"$"&amp;$D366&amp;$V$1&amp;"")</f>
        <v>2.5</v>
      </c>
      <c r="W366" s="289">
        <f>3.8*3.48</f>
        <v>13.224</v>
      </c>
      <c r="X366" s="289">
        <v>0.92</v>
      </c>
      <c r="Y366" s="290">
        <v>1.05</v>
      </c>
      <c r="Z366" s="286" cm="1">
        <f t="array" aca="1" ref="Z366" ca="1">INDIRECT("'"&amp;$C366&amp;"'!"&amp;"$"&amp;$D366&amp;$Z$1&amp;"")</f>
        <v>0</v>
      </c>
      <c r="AA366" s="289" t="s">
        <v>1</v>
      </c>
      <c r="AB366" s="289" t="s">
        <v>1</v>
      </c>
      <c r="AC366" s="287" t="s">
        <v>1</v>
      </c>
      <c r="AD366" s="288" cm="1">
        <f t="array" aca="1" ref="AD366" ca="1">INDIRECT("'"&amp;$C366&amp;"'!"&amp;"$"&amp;$D366&amp;$AD$1&amp;"")</f>
        <v>3</v>
      </c>
      <c r="AE366" s="289">
        <f>3.8*3.48</f>
        <v>13.224</v>
      </c>
      <c r="AF366" s="289">
        <v>0.92</v>
      </c>
      <c r="AG366" s="290">
        <v>1.61</v>
      </c>
      <c r="AH366" s="286" cm="1">
        <f t="array" aca="1" ref="AH366" ca="1">INDIRECT("'"&amp;$C366&amp;"'!"&amp;"$"&amp;$D366&amp;$AH$1&amp;"")</f>
        <v>3</v>
      </c>
      <c r="AI366" s="289">
        <v>13.88</v>
      </c>
      <c r="AJ366" s="289">
        <v>0.99</v>
      </c>
      <c r="AK366" s="287">
        <v>0.32300000000000001</v>
      </c>
      <c r="AL366" s="286">
        <v>11.9</v>
      </c>
      <c r="AM366" s="290">
        <v>70.2</v>
      </c>
      <c r="AN366" s="286" cm="1">
        <f t="array" aca="1" ref="AN366" ca="1">INDIRECT("'"&amp;$C366&amp;"'!"&amp;"$"&amp;$D366&amp;$AL$1&amp;"")</f>
        <v>4.0999999999999996</v>
      </c>
      <c r="AO366" s="289">
        <v>0.96</v>
      </c>
      <c r="AP366" s="287">
        <v>1.2</v>
      </c>
      <c r="AQ366" s="288" cm="1">
        <f t="array" aca="1" ref="AQ366" ca="1">INDIRECT("'"&amp;$C366&amp;"'!"&amp;"$"&amp;$D366&amp;$AQ$1&amp;"")</f>
        <v>4.0999999999999996</v>
      </c>
      <c r="AR366" s="289">
        <v>0.96</v>
      </c>
      <c r="AS366" s="287">
        <v>1.2</v>
      </c>
      <c r="AT366" s="289" cm="1">
        <f t="array" aca="1" ref="AT366" ca="1">INDIRECT("'"&amp;$C366&amp;"'!"&amp;"$"&amp;$D366&amp;$AT$1&amp;"")</f>
        <v>2.9</v>
      </c>
      <c r="AU366" s="288">
        <v>13.81</v>
      </c>
      <c r="AV366" s="289">
        <v>0.92</v>
      </c>
      <c r="AW366" s="287">
        <v>1.57</v>
      </c>
      <c r="AX366" s="291">
        <v>14.14</v>
      </c>
      <c r="AY366" s="290">
        <v>71.040000000000006</v>
      </c>
      <c r="AZ366" s="291" cm="1">
        <f t="array" aca="1" ref="AZ366" ca="1">INDIRECT("'"&amp;$C366&amp;"'!"&amp;"$"&amp;$D366&amp;$AZ$1&amp;"")</f>
        <v>14.31</v>
      </c>
      <c r="BA366" s="289">
        <v>0.98</v>
      </c>
      <c r="BB366" s="287">
        <v>3.6</v>
      </c>
      <c r="BC366" s="292">
        <v>67.3</v>
      </c>
      <c r="BD366" s="286" cm="1">
        <f t="array" aca="1" ref="BD366" ca="1">INDIRECT("'"&amp;$C366&amp;"'!"&amp;"$"&amp;$D366&amp;$BC$1&amp;"")</f>
        <v>0</v>
      </c>
      <c r="BE366" s="288" t="s">
        <v>1</v>
      </c>
      <c r="BF366" s="287" t="s">
        <v>1</v>
      </c>
      <c r="BG366" s="291" cm="1">
        <f t="array" aca="1" ref="BG366" ca="1">INDIRECT("'"&amp;$C366&amp;"'!"&amp;"$"&amp;$D366&amp;$BG$1&amp;"")</f>
        <v>0.8</v>
      </c>
      <c r="BH366" s="289"/>
      <c r="BI366" s="289">
        <v>0.99</v>
      </c>
      <c r="BJ366" s="287">
        <v>0.09</v>
      </c>
      <c r="BK366" s="292" cm="1">
        <f t="array" aca="1" ref="BK366" ca="1">INDIRECT("'"&amp;$C366&amp;"'!"&amp;"$"&amp;$D366&amp;$BK$1&amp;"")</f>
        <v>0.88</v>
      </c>
      <c r="BL366" s="289"/>
      <c r="BM366" s="289">
        <v>0.96</v>
      </c>
      <c r="BN366" s="287">
        <v>0.24</v>
      </c>
      <c r="BO366" s="292" cm="1">
        <f t="array" aca="1" ref="BO366" ca="1">INDIRECT("'"&amp;$C366&amp;"'!"&amp;"$"&amp;$D366&amp;74&amp;"")</f>
        <v>0</v>
      </c>
      <c r="BP366" s="289"/>
      <c r="BQ366" s="289" t="s">
        <v>1</v>
      </c>
      <c r="BR366" s="287" t="s">
        <v>1</v>
      </c>
    </row>
    <row r="367" spans="1:70">
      <c r="A367" s="361">
        <v>45762</v>
      </c>
      <c r="B367" s="358">
        <v>0.5</v>
      </c>
      <c r="C367" s="313">
        <f t="shared" si="13"/>
        <v>15</v>
      </c>
      <c r="D367" s="314" t="s">
        <v>139</v>
      </c>
      <c r="E367" s="293">
        <v>14</v>
      </c>
      <c r="F367" s="294">
        <v>68.97</v>
      </c>
      <c r="G367" s="295" cm="1">
        <f t="array" aca="1" ref="G367" ca="1">INDIRECT("'"&amp;$C367&amp;"'!"&amp;"$"&amp;$D367&amp;$E$1&amp;"")</f>
        <v>6.4</v>
      </c>
      <c r="H367" s="296">
        <v>0.93</v>
      </c>
      <c r="I367" s="294">
        <v>2.5099999999999998</v>
      </c>
      <c r="J367" s="295" cm="1">
        <f t="array" aca="1" ref="J367" ca="1">INDIRECT("'"&amp;$C367&amp;"'!"&amp;"$"&amp;$D367&amp;$J$1&amp;"")</f>
        <v>6.4</v>
      </c>
      <c r="K367" s="296"/>
      <c r="L367" s="296">
        <v>0.93</v>
      </c>
      <c r="M367" s="294">
        <v>2.5099999999999998</v>
      </c>
      <c r="N367" s="295" cm="1">
        <f t="array" aca="1" ref="N367" ca="1">INDIRECT("'"&amp;$C367&amp;"'!"&amp;"$"&amp;$D367&amp;$N$1&amp;"")</f>
        <v>6.4</v>
      </c>
      <c r="O367" s="296"/>
      <c r="P367" s="296">
        <v>0.93</v>
      </c>
      <c r="Q367" s="294">
        <v>2.5099999999999998</v>
      </c>
      <c r="R367" s="295" cm="1">
        <f t="array" aca="1" ref="R367" ca="1">INDIRECT("'"&amp;$C367&amp;"'!"&amp;"$"&amp;$D367&amp;$R$1&amp;"")</f>
        <v>6.4</v>
      </c>
      <c r="S367" s="296"/>
      <c r="T367" s="296">
        <v>0.93</v>
      </c>
      <c r="U367" s="294">
        <v>2.5099999999999998</v>
      </c>
      <c r="V367" s="295" cm="1">
        <f t="array" aca="1" ref="V367" ca="1">INDIRECT("'"&amp;$C367&amp;"'!"&amp;"$"&amp;$D367&amp;$V$1&amp;"")</f>
        <v>2.5</v>
      </c>
      <c r="W367" s="296">
        <f>3.8*3.49</f>
        <v>13.262</v>
      </c>
      <c r="X367" s="296">
        <v>0.92</v>
      </c>
      <c r="Y367" s="297">
        <v>1.1399999999999999</v>
      </c>
      <c r="Z367" s="293" cm="1">
        <f t="array" aca="1" ref="Z367" ca="1">INDIRECT("'"&amp;$C367&amp;"'!"&amp;"$"&amp;$D367&amp;$Z$1&amp;"")</f>
        <v>0</v>
      </c>
      <c r="AA367" s="296" t="s">
        <v>1</v>
      </c>
      <c r="AB367" s="296" t="s">
        <v>1</v>
      </c>
      <c r="AC367" s="294" t="s">
        <v>1</v>
      </c>
      <c r="AD367" s="295" cm="1">
        <f t="array" aca="1" ref="AD367" ca="1">INDIRECT("'"&amp;$C367&amp;"'!"&amp;"$"&amp;$D367&amp;$AD$1&amp;"")</f>
        <v>3</v>
      </c>
      <c r="AE367" s="296">
        <f>3.8*3.49</f>
        <v>13.262</v>
      </c>
      <c r="AF367" s="296">
        <v>0.92</v>
      </c>
      <c r="AG367" s="297">
        <v>1.63</v>
      </c>
      <c r="AH367" s="293" cm="1">
        <f t="array" aca="1" ref="AH367" ca="1">INDIRECT("'"&amp;$C367&amp;"'!"&amp;"$"&amp;$D367&amp;$AH$1&amp;"")</f>
        <v>3</v>
      </c>
      <c r="AI367" s="296">
        <v>13.88</v>
      </c>
      <c r="AJ367" s="296">
        <v>0.99</v>
      </c>
      <c r="AK367" s="294">
        <v>0.39100000000000001</v>
      </c>
      <c r="AL367" s="293">
        <v>11.9</v>
      </c>
      <c r="AM367" s="297">
        <v>70.2</v>
      </c>
      <c r="AN367" s="293" cm="1">
        <f t="array" aca="1" ref="AN367" ca="1">INDIRECT("'"&amp;$C367&amp;"'!"&amp;"$"&amp;$D367&amp;$AL$1&amp;"")</f>
        <v>3.8</v>
      </c>
      <c r="AO367" s="296">
        <v>0.96</v>
      </c>
      <c r="AP367" s="294">
        <v>1</v>
      </c>
      <c r="AQ367" s="295" cm="1">
        <f t="array" aca="1" ref="AQ367" ca="1">INDIRECT("'"&amp;$C367&amp;"'!"&amp;"$"&amp;$D367&amp;$AQ$1&amp;"")</f>
        <v>3.8</v>
      </c>
      <c r="AR367" s="296">
        <v>0.96</v>
      </c>
      <c r="AS367" s="294">
        <v>1</v>
      </c>
      <c r="AT367" s="296" cm="1">
        <f t="array" aca="1" ref="AT367" ca="1">INDIRECT("'"&amp;$C367&amp;"'!"&amp;"$"&amp;$D367&amp;$AT$1&amp;"")</f>
        <v>3</v>
      </c>
      <c r="AU367" s="295">
        <v>13.82</v>
      </c>
      <c r="AV367" s="296">
        <v>0.93</v>
      </c>
      <c r="AW367" s="294">
        <v>1.54</v>
      </c>
      <c r="AX367" s="298">
        <v>14.07</v>
      </c>
      <c r="AY367" s="297">
        <v>70.86</v>
      </c>
      <c r="AZ367" s="298" cm="1">
        <f t="array" aca="1" ref="AZ367" ca="1">INDIRECT("'"&amp;$C367&amp;"'!"&amp;"$"&amp;$D367&amp;$AZ$1&amp;"")</f>
        <v>13.32</v>
      </c>
      <c r="BA367" s="296">
        <v>0.98</v>
      </c>
      <c r="BB367" s="294">
        <v>3.4</v>
      </c>
      <c r="BC367" s="299">
        <v>67.599999999999994</v>
      </c>
      <c r="BD367" s="293" cm="1">
        <f t="array" aca="1" ref="BD367" ca="1">INDIRECT("'"&amp;$C367&amp;"'!"&amp;"$"&amp;$D367&amp;$BC$1&amp;"")</f>
        <v>0</v>
      </c>
      <c r="BE367" s="295" t="s">
        <v>1</v>
      </c>
      <c r="BF367" s="294" t="s">
        <v>1</v>
      </c>
      <c r="BG367" s="298" cm="1">
        <f t="array" aca="1" ref="BG367" ca="1">INDIRECT("'"&amp;$C367&amp;"'!"&amp;"$"&amp;$D367&amp;$BG$1&amp;"")</f>
        <v>0.82</v>
      </c>
      <c r="BH367" s="296"/>
      <c r="BI367" s="296">
        <v>0.99</v>
      </c>
      <c r="BJ367" s="294">
        <v>0.08</v>
      </c>
      <c r="BK367" s="299" cm="1">
        <f t="array" aca="1" ref="BK367" ca="1">INDIRECT("'"&amp;$C367&amp;"'!"&amp;"$"&amp;$D367&amp;$BK$1&amp;"")</f>
        <v>0.88</v>
      </c>
      <c r="BL367" s="296"/>
      <c r="BM367" s="296">
        <v>0.96</v>
      </c>
      <c r="BN367" s="294">
        <v>0.23</v>
      </c>
      <c r="BO367" s="299" cm="1">
        <f t="array" aca="1" ref="BO367" ca="1">INDIRECT("'"&amp;$C367&amp;"'!"&amp;"$"&amp;$D367&amp;74&amp;"")</f>
        <v>0</v>
      </c>
      <c r="BP367" s="296"/>
      <c r="BQ367" s="296" t="s">
        <v>1</v>
      </c>
      <c r="BR367" s="294" t="s">
        <v>1</v>
      </c>
    </row>
    <row r="368" spans="1:70">
      <c r="A368" s="361">
        <v>45762</v>
      </c>
      <c r="B368" s="358">
        <v>0.54166666666666696</v>
      </c>
      <c r="C368" s="313">
        <f t="shared" si="13"/>
        <v>15</v>
      </c>
      <c r="D368" s="314" t="s">
        <v>140</v>
      </c>
      <c r="E368" s="286">
        <v>14.1</v>
      </c>
      <c r="F368" s="287">
        <v>68.599999999999994</v>
      </c>
      <c r="G368" s="288" cm="1">
        <f t="array" aca="1" ref="G368" ca="1">INDIRECT("'"&amp;$C368&amp;"'!"&amp;"$"&amp;$D368&amp;$E$1&amp;"")</f>
        <v>0</v>
      </c>
      <c r="H368" s="289" t="s">
        <v>1</v>
      </c>
      <c r="I368" s="287" t="s">
        <v>1</v>
      </c>
      <c r="J368" s="288" cm="1">
        <f t="array" aca="1" ref="J368" ca="1">INDIRECT("'"&amp;$C368&amp;"'!"&amp;"$"&amp;$D368&amp;$J$1&amp;"")</f>
        <v>6.7</v>
      </c>
      <c r="K368" s="289"/>
      <c r="L368" s="289">
        <v>0.89</v>
      </c>
      <c r="M368" s="287">
        <v>3.4</v>
      </c>
      <c r="N368" s="288" cm="1">
        <f t="array" aca="1" ref="N368" ca="1">INDIRECT("'"&amp;$C368&amp;"'!"&amp;"$"&amp;$D368&amp;$N$1&amp;"")</f>
        <v>6.7</v>
      </c>
      <c r="O368" s="289"/>
      <c r="P368" s="289">
        <v>0.89</v>
      </c>
      <c r="Q368" s="287">
        <v>3.4</v>
      </c>
      <c r="R368" s="288" cm="1">
        <f t="array" aca="1" ref="R368" ca="1">INDIRECT("'"&amp;$C368&amp;"'!"&amp;"$"&amp;$D368&amp;$R$1&amp;"")</f>
        <v>6.7</v>
      </c>
      <c r="S368" s="289"/>
      <c r="T368" s="289">
        <v>0.89</v>
      </c>
      <c r="U368" s="287">
        <v>3.4</v>
      </c>
      <c r="V368" s="288" cm="1">
        <f t="array" aca="1" ref="V368" ca="1">INDIRECT("'"&amp;$C368&amp;"'!"&amp;"$"&amp;$D368&amp;$V$1&amp;"")</f>
        <v>2.8</v>
      </c>
      <c r="W368" s="289">
        <f>3.8*3.49</f>
        <v>13.262</v>
      </c>
      <c r="X368" s="289">
        <v>0.9</v>
      </c>
      <c r="Y368" s="290">
        <v>1.3</v>
      </c>
      <c r="Z368" s="286" cm="1">
        <f t="array" aca="1" ref="Z368" ca="1">INDIRECT("'"&amp;$C368&amp;"'!"&amp;"$"&amp;$D368&amp;$Z$1&amp;"")</f>
        <v>0</v>
      </c>
      <c r="AA368" s="289" t="s">
        <v>1</v>
      </c>
      <c r="AB368" s="289" t="s">
        <v>1</v>
      </c>
      <c r="AC368" s="287" t="s">
        <v>1</v>
      </c>
      <c r="AD368" s="288" cm="1">
        <f t="array" aca="1" ref="AD368" ca="1">INDIRECT("'"&amp;$C368&amp;"'!"&amp;"$"&amp;$D368&amp;$AD$1&amp;"")</f>
        <v>3.8</v>
      </c>
      <c r="AE368" s="289">
        <f>3.8*3.49</f>
        <v>13.262</v>
      </c>
      <c r="AF368" s="289">
        <v>0.9</v>
      </c>
      <c r="AG368" s="290">
        <v>1.91</v>
      </c>
      <c r="AH368" s="286" cm="1">
        <f t="array" aca="1" ref="AH368" ca="1">INDIRECT("'"&amp;$C368&amp;"'!"&amp;"$"&amp;$D368&amp;$AH$1&amp;"")</f>
        <v>3.8</v>
      </c>
      <c r="AI368" s="289">
        <v>13.96</v>
      </c>
      <c r="AJ368" s="289">
        <v>0.99</v>
      </c>
      <c r="AK368" s="287">
        <v>0.20300000000000001</v>
      </c>
      <c r="AL368" s="286">
        <v>11.9</v>
      </c>
      <c r="AM368" s="290">
        <v>70.7</v>
      </c>
      <c r="AN368" s="286" cm="1">
        <f t="array" aca="1" ref="AN368" ca="1">INDIRECT("'"&amp;$C368&amp;"'!"&amp;"$"&amp;$D368&amp;$AL$1&amp;"")</f>
        <v>4.5</v>
      </c>
      <c r="AO368" s="289">
        <v>0.99</v>
      </c>
      <c r="AP368" s="287">
        <v>0.82</v>
      </c>
      <c r="AQ368" s="288" cm="1">
        <f t="array" aca="1" ref="AQ368" ca="1">INDIRECT("'"&amp;$C368&amp;"'!"&amp;"$"&amp;$D368&amp;$AQ$1&amp;"")</f>
        <v>4.5</v>
      </c>
      <c r="AR368" s="289">
        <v>0.99</v>
      </c>
      <c r="AS368" s="287">
        <v>0.64</v>
      </c>
      <c r="AT368" s="289" cm="1">
        <f t="array" aca="1" ref="AT368" ca="1">INDIRECT("'"&amp;$C368&amp;"'!"&amp;"$"&amp;$D368&amp;$AT$1&amp;"")</f>
        <v>7.05</v>
      </c>
      <c r="AU368" s="288">
        <v>13.9</v>
      </c>
      <c r="AV368" s="289">
        <v>0.96</v>
      </c>
      <c r="AW368" s="287">
        <v>2.2799999999999998</v>
      </c>
      <c r="AX368" s="291">
        <v>14.39</v>
      </c>
      <c r="AY368" s="290">
        <v>71.87</v>
      </c>
      <c r="AZ368" s="291" cm="1">
        <f t="array" aca="1" ref="AZ368" ca="1">INDIRECT("'"&amp;$C368&amp;"'!"&amp;"$"&amp;$D368&amp;$AZ$1&amp;"")</f>
        <v>14.28</v>
      </c>
      <c r="BA368" s="289">
        <v>0.96</v>
      </c>
      <c r="BB368" s="287">
        <v>4.5999999999999996</v>
      </c>
      <c r="BC368" s="292">
        <v>67.3</v>
      </c>
      <c r="BD368" s="286" cm="1">
        <f t="array" aca="1" ref="BD368" ca="1">INDIRECT("'"&amp;$C368&amp;"'!"&amp;"$"&amp;$D368&amp;$BC$1&amp;"")</f>
        <v>1.5</v>
      </c>
      <c r="BE368" s="288">
        <v>0.95</v>
      </c>
      <c r="BF368" s="287">
        <v>0.51</v>
      </c>
      <c r="BG368" s="291" cm="1">
        <f t="array" aca="1" ref="BG368" ca="1">INDIRECT("'"&amp;$C368&amp;"'!"&amp;"$"&amp;$D368&amp;$BG$1&amp;"")</f>
        <v>0.64</v>
      </c>
      <c r="BH368" s="289"/>
      <c r="BI368" s="289">
        <v>0.99</v>
      </c>
      <c r="BJ368" s="287">
        <v>0.06</v>
      </c>
      <c r="BK368" s="292" cm="1">
        <f t="array" aca="1" ref="BK368" ca="1">INDIRECT("'"&amp;$C368&amp;"'!"&amp;"$"&amp;$D368&amp;$BK$1&amp;"")</f>
        <v>0.89</v>
      </c>
      <c r="BL368" s="289"/>
      <c r="BM368" s="289">
        <v>0.96</v>
      </c>
      <c r="BN368" s="287">
        <v>0.24</v>
      </c>
      <c r="BO368" s="292" cm="1">
        <f t="array" aca="1" ref="BO368" ca="1">INDIRECT("'"&amp;$C368&amp;"'!"&amp;"$"&amp;$D368&amp;74&amp;"")</f>
        <v>0</v>
      </c>
      <c r="BP368" s="289"/>
      <c r="BQ368" s="289" t="s">
        <v>1</v>
      </c>
      <c r="BR368" s="287" t="s">
        <v>1</v>
      </c>
    </row>
    <row r="369" spans="1:70">
      <c r="A369" s="361">
        <v>45762</v>
      </c>
      <c r="B369" s="358">
        <v>0.58333333333333404</v>
      </c>
      <c r="C369" s="313">
        <f t="shared" si="13"/>
        <v>15</v>
      </c>
      <c r="D369" s="314" t="s">
        <v>141</v>
      </c>
      <c r="E369" s="293">
        <v>14</v>
      </c>
      <c r="F369" s="294">
        <v>68.78</v>
      </c>
      <c r="G369" s="295" cm="1">
        <f t="array" aca="1" ref="G369" ca="1">INDIRECT("'"&amp;$C369&amp;"'!"&amp;"$"&amp;$D369&amp;$E$1&amp;"")</f>
        <v>0</v>
      </c>
      <c r="H369" s="296" t="s">
        <v>1</v>
      </c>
      <c r="I369" s="294" t="s">
        <v>1</v>
      </c>
      <c r="J369" s="295" cm="1">
        <f t="array" aca="1" ref="J369" ca="1">INDIRECT("'"&amp;$C369&amp;"'!"&amp;"$"&amp;$D369&amp;$J$1&amp;"")</f>
        <v>6.7</v>
      </c>
      <c r="K369" s="296"/>
      <c r="L369" s="296">
        <v>0.9</v>
      </c>
      <c r="M369" s="294">
        <v>3.2</v>
      </c>
      <c r="N369" s="295" cm="1">
        <f t="array" aca="1" ref="N369" ca="1">INDIRECT("'"&amp;$C369&amp;"'!"&amp;"$"&amp;$D369&amp;$N$1&amp;"")</f>
        <v>6.7</v>
      </c>
      <c r="O369" s="296"/>
      <c r="P369" s="296">
        <v>0.9</v>
      </c>
      <c r="Q369" s="294">
        <v>3.2</v>
      </c>
      <c r="R369" s="295" cm="1">
        <f t="array" aca="1" ref="R369" ca="1">INDIRECT("'"&amp;$C369&amp;"'!"&amp;"$"&amp;$D369&amp;$R$1&amp;"")</f>
        <v>6.7</v>
      </c>
      <c r="S369" s="296"/>
      <c r="T369" s="296">
        <v>0.9</v>
      </c>
      <c r="U369" s="294">
        <v>3.2</v>
      </c>
      <c r="V369" s="295" cm="1">
        <f t="array" aca="1" ref="V369" ca="1">INDIRECT("'"&amp;$C369&amp;"'!"&amp;"$"&amp;$D369&amp;$V$1&amp;"")</f>
        <v>2.8</v>
      </c>
      <c r="W369" s="296">
        <f>3.8*3.48</f>
        <v>13.224</v>
      </c>
      <c r="X369" s="296">
        <v>0.98</v>
      </c>
      <c r="Y369" s="297">
        <v>1.32</v>
      </c>
      <c r="Z369" s="293" cm="1">
        <f t="array" aca="1" ref="Z369" ca="1">INDIRECT("'"&amp;$C369&amp;"'!"&amp;"$"&amp;$D369&amp;$Z$1&amp;"")</f>
        <v>0</v>
      </c>
      <c r="AA369" s="296" t="s">
        <v>1</v>
      </c>
      <c r="AB369" s="296" t="s">
        <v>1</v>
      </c>
      <c r="AC369" s="294" t="s">
        <v>1</v>
      </c>
      <c r="AD369" s="295" cm="1">
        <f t="array" aca="1" ref="AD369" ca="1">INDIRECT("'"&amp;$C369&amp;"'!"&amp;"$"&amp;$D369&amp;$AD$1&amp;"")</f>
        <v>3.8</v>
      </c>
      <c r="AE369" s="296">
        <f>3.8*3.48</f>
        <v>13.224</v>
      </c>
      <c r="AF369" s="296">
        <v>0.9</v>
      </c>
      <c r="AG369" s="297">
        <v>1.93</v>
      </c>
      <c r="AH369" s="293" cm="1">
        <f t="array" aca="1" ref="AH369" ca="1">INDIRECT("'"&amp;$C369&amp;"'!"&amp;"$"&amp;$D369&amp;$AH$1&amp;"")</f>
        <v>3.8</v>
      </c>
      <c r="AI369" s="296">
        <f>3.8*3.48</f>
        <v>13.224</v>
      </c>
      <c r="AJ369" s="296">
        <v>0.9</v>
      </c>
      <c r="AK369" s="294">
        <v>3.2</v>
      </c>
      <c r="AL369" s="293">
        <v>11.9</v>
      </c>
      <c r="AM369" s="297">
        <v>70.7</v>
      </c>
      <c r="AN369" s="293" cm="1">
        <f t="array" aca="1" ref="AN369" ca="1">INDIRECT("'"&amp;$C369&amp;"'!"&amp;"$"&amp;$D369&amp;$AL$1&amp;"")</f>
        <v>4.4000000000000004</v>
      </c>
      <c r="AO369" s="296">
        <v>0.98</v>
      </c>
      <c r="AP369" s="294">
        <v>0.88</v>
      </c>
      <c r="AQ369" s="295" cm="1">
        <f t="array" aca="1" ref="AQ369" ca="1">INDIRECT("'"&amp;$C369&amp;"'!"&amp;"$"&amp;$D369&amp;$AQ$1&amp;"")</f>
        <v>4.4000000000000004</v>
      </c>
      <c r="AR369" s="296">
        <v>0.95</v>
      </c>
      <c r="AS369" s="294">
        <v>1.3</v>
      </c>
      <c r="AT369" s="296" cm="1">
        <f t="array" aca="1" ref="AT369" ca="1">INDIRECT("'"&amp;$C369&amp;"'!"&amp;"$"&amp;$D369&amp;$AT$1&amp;"")</f>
        <v>7.62</v>
      </c>
      <c r="AU369" s="295">
        <v>13.88</v>
      </c>
      <c r="AV369" s="296">
        <v>0.96</v>
      </c>
      <c r="AW369" s="294">
        <v>2.44</v>
      </c>
      <c r="AX369" s="298">
        <v>14.34</v>
      </c>
      <c r="AY369" s="297">
        <v>71.680000000000007</v>
      </c>
      <c r="AZ369" s="298" cm="1">
        <f t="array" aca="1" ref="AZ369" ca="1">INDIRECT("'"&amp;$C369&amp;"'!"&amp;"$"&amp;$D369&amp;$AZ$1&amp;"")</f>
        <v>14.29</v>
      </c>
      <c r="BA369" s="296">
        <v>0.96</v>
      </c>
      <c r="BB369" s="294">
        <v>4.7</v>
      </c>
      <c r="BC369" s="299">
        <v>67.400000000000006</v>
      </c>
      <c r="BD369" s="293" cm="1">
        <f t="array" aca="1" ref="BD369" ca="1">INDIRECT("'"&amp;$C369&amp;"'!"&amp;"$"&amp;$D369&amp;$BC$1&amp;"")</f>
        <v>4</v>
      </c>
      <c r="BE369" s="295">
        <v>0.95</v>
      </c>
      <c r="BF369" s="294">
        <v>1.3</v>
      </c>
      <c r="BG369" s="298" cm="1">
        <f t="array" aca="1" ref="BG369" ca="1">INDIRECT("'"&amp;$C369&amp;"'!"&amp;"$"&amp;$D369&amp;$BG$1&amp;"")</f>
        <v>0.62</v>
      </c>
      <c r="BH369" s="296"/>
      <c r="BI369" s="296">
        <v>0.99</v>
      </c>
      <c r="BJ369" s="294">
        <v>0.06</v>
      </c>
      <c r="BK369" s="299" cm="1">
        <f t="array" aca="1" ref="BK369" ca="1">INDIRECT("'"&amp;$C369&amp;"'!"&amp;"$"&amp;$D369&amp;$BK$1&amp;"")</f>
        <v>0.9</v>
      </c>
      <c r="BL369" s="296"/>
      <c r="BM369" s="296">
        <v>0.96</v>
      </c>
      <c r="BN369" s="294">
        <v>0.25</v>
      </c>
      <c r="BO369" s="299" cm="1">
        <f t="array" aca="1" ref="BO369" ca="1">INDIRECT("'"&amp;$C369&amp;"'!"&amp;"$"&amp;$D369&amp;74&amp;"")</f>
        <v>0</v>
      </c>
      <c r="BP369" s="296"/>
      <c r="BQ369" s="296" t="s">
        <v>1</v>
      </c>
      <c r="BR369" s="294" t="s">
        <v>1</v>
      </c>
    </row>
    <row r="370" spans="1:70">
      <c r="A370" s="361">
        <v>45762</v>
      </c>
      <c r="B370" s="358">
        <v>0.625</v>
      </c>
      <c r="C370" s="313">
        <f t="shared" si="13"/>
        <v>15</v>
      </c>
      <c r="D370" s="314" t="s">
        <v>142</v>
      </c>
      <c r="E370" s="286">
        <v>14</v>
      </c>
      <c r="F370" s="287">
        <v>68.84</v>
      </c>
      <c r="G370" s="288" cm="1">
        <f t="array" aca="1" ref="G370" ca="1">INDIRECT("'"&amp;$C370&amp;"'!"&amp;"$"&amp;$D370&amp;$E$1&amp;"")</f>
        <v>0</v>
      </c>
      <c r="H370" s="289" t="s">
        <v>1</v>
      </c>
      <c r="I370" s="287" t="s">
        <v>1</v>
      </c>
      <c r="J370" s="288" cm="1">
        <f t="array" aca="1" ref="J370" ca="1">INDIRECT("'"&amp;$C370&amp;"'!"&amp;"$"&amp;$D370&amp;$J$1&amp;"")</f>
        <v>6.6</v>
      </c>
      <c r="K370" s="289"/>
      <c r="L370" s="289">
        <v>0.9</v>
      </c>
      <c r="M370" s="287">
        <v>2.8</v>
      </c>
      <c r="N370" s="288" cm="1">
        <f t="array" aca="1" ref="N370" ca="1">INDIRECT("'"&amp;$C370&amp;"'!"&amp;"$"&amp;$D370&amp;$N$1&amp;"")</f>
        <v>6.6</v>
      </c>
      <c r="O370" s="289"/>
      <c r="P370" s="289">
        <v>0.9</v>
      </c>
      <c r="Q370" s="287">
        <v>2.8</v>
      </c>
      <c r="R370" s="288" cm="1">
        <f t="array" aca="1" ref="R370" ca="1">INDIRECT("'"&amp;$C370&amp;"'!"&amp;"$"&amp;$D370&amp;$R$1&amp;"")</f>
        <v>6.6</v>
      </c>
      <c r="S370" s="289"/>
      <c r="T370" s="289">
        <v>0.9</v>
      </c>
      <c r="U370" s="287">
        <v>2.8</v>
      </c>
      <c r="V370" s="288" cm="1">
        <f t="array" aca="1" ref="V370" ca="1">INDIRECT("'"&amp;$C370&amp;"'!"&amp;"$"&amp;$D370&amp;$V$1&amp;"")</f>
        <v>2.8</v>
      </c>
      <c r="W370" s="289">
        <v>13.262</v>
      </c>
      <c r="X370" s="289">
        <v>0.9</v>
      </c>
      <c r="Y370" s="290">
        <v>1.31</v>
      </c>
      <c r="Z370" s="286" cm="1">
        <f t="array" aca="1" ref="Z370" ca="1">INDIRECT("'"&amp;$C370&amp;"'!"&amp;"$"&amp;$D370&amp;$Z$1&amp;"")</f>
        <v>0</v>
      </c>
      <c r="AA370" s="289" t="s">
        <v>1</v>
      </c>
      <c r="AB370" s="289" t="s">
        <v>1</v>
      </c>
      <c r="AC370" s="287" t="s">
        <v>1</v>
      </c>
      <c r="AD370" s="288" cm="1">
        <f t="array" aca="1" ref="AD370" ca="1">INDIRECT("'"&amp;$C370&amp;"'!"&amp;"$"&amp;$D370&amp;$AD$1&amp;"")</f>
        <v>3.8</v>
      </c>
      <c r="AE370" s="289">
        <v>13.262</v>
      </c>
      <c r="AF370" s="289">
        <v>0.91</v>
      </c>
      <c r="AG370" s="290">
        <v>1.95</v>
      </c>
      <c r="AH370" s="286" cm="1">
        <f t="array" aca="1" ref="AH370" ca="1">INDIRECT("'"&amp;$C370&amp;"'!"&amp;"$"&amp;$D370&amp;$AH$1&amp;"")</f>
        <v>3.8</v>
      </c>
      <c r="AI370" s="289">
        <v>13.96</v>
      </c>
      <c r="AJ370" s="289">
        <v>0.99</v>
      </c>
      <c r="AK370" s="287">
        <v>0.28699999999999998</v>
      </c>
      <c r="AL370" s="286">
        <v>11.9</v>
      </c>
      <c r="AM370" s="290">
        <v>70.8</v>
      </c>
      <c r="AN370" s="286" cm="1">
        <f t="array" aca="1" ref="AN370" ca="1">INDIRECT("'"&amp;$C370&amp;"'!"&amp;"$"&amp;$D370&amp;$AL$1&amp;"")</f>
        <v>4.4000000000000004</v>
      </c>
      <c r="AO370" s="289">
        <v>0.98</v>
      </c>
      <c r="AP370" s="287">
        <v>0.86</v>
      </c>
      <c r="AQ370" s="288" cm="1">
        <f t="array" aca="1" ref="AQ370" ca="1">INDIRECT("'"&amp;$C370&amp;"'!"&amp;"$"&amp;$D370&amp;$AQ$1&amp;"")</f>
        <v>4.4000000000000004</v>
      </c>
      <c r="AR370" s="289">
        <v>0.98</v>
      </c>
      <c r="AS370" s="287">
        <v>0.86</v>
      </c>
      <c r="AT370" s="289" cm="1">
        <f t="array" aca="1" ref="AT370" ca="1">INDIRECT("'"&amp;$C370&amp;"'!"&amp;"$"&amp;$D370&amp;$AT$1&amp;"")</f>
        <v>7.6</v>
      </c>
      <c r="AU370" s="288">
        <v>13.96</v>
      </c>
      <c r="AV370" s="289">
        <v>0.95</v>
      </c>
      <c r="AW370" s="287">
        <v>2.37</v>
      </c>
      <c r="AX370" s="291">
        <v>14.35</v>
      </c>
      <c r="AY370" s="290">
        <v>71.790000000000006</v>
      </c>
      <c r="AZ370" s="291" cm="1">
        <f t="array" aca="1" ref="AZ370" ca="1">INDIRECT("'"&amp;$C370&amp;"'!"&amp;"$"&amp;$D370&amp;$AZ$1&amp;"")</f>
        <v>14.28</v>
      </c>
      <c r="BA370" s="289">
        <v>0.96</v>
      </c>
      <c r="BB370" s="287">
        <v>4.5999999999999996</v>
      </c>
      <c r="BC370" s="292">
        <v>67.599999999999994</v>
      </c>
      <c r="BD370" s="286" cm="1">
        <f t="array" aca="1" ref="BD370" ca="1">INDIRECT("'"&amp;$C370&amp;"'!"&amp;"$"&amp;$D370&amp;$BC$1&amp;"")</f>
        <v>4.4000000000000004</v>
      </c>
      <c r="BE370" s="288">
        <v>0.95</v>
      </c>
      <c r="BF370" s="287">
        <v>1.4</v>
      </c>
      <c r="BG370" s="291" cm="1">
        <f t="array" aca="1" ref="BG370" ca="1">INDIRECT("'"&amp;$C370&amp;"'!"&amp;"$"&amp;$D370&amp;$BG$1&amp;"")</f>
        <v>0.74</v>
      </c>
      <c r="BH370" s="289"/>
      <c r="BI370" s="289">
        <v>0.99</v>
      </c>
      <c r="BJ370" s="287">
        <v>0.08</v>
      </c>
      <c r="BK370" s="292" cm="1">
        <f t="array" aca="1" ref="BK370" ca="1">INDIRECT("'"&amp;$C370&amp;"'!"&amp;"$"&amp;$D370&amp;$BK$1&amp;"")</f>
        <v>0.88</v>
      </c>
      <c r="BL370" s="289"/>
      <c r="BM370" s="289">
        <v>0.96</v>
      </c>
      <c r="BN370" s="287">
        <v>0.25</v>
      </c>
      <c r="BO370" s="292" cm="1">
        <f t="array" aca="1" ref="BO370" ca="1">INDIRECT("'"&amp;$C370&amp;"'!"&amp;"$"&amp;$D370&amp;74&amp;"")</f>
        <v>0</v>
      </c>
      <c r="BP370" s="289"/>
      <c r="BQ370" s="289" t="s">
        <v>1</v>
      </c>
      <c r="BR370" s="287" t="s">
        <v>1</v>
      </c>
    </row>
    <row r="371" spans="1:70">
      <c r="A371" s="361">
        <v>45762</v>
      </c>
      <c r="B371" s="358">
        <v>0.66666666666666696</v>
      </c>
      <c r="C371" s="313">
        <f t="shared" si="13"/>
        <v>15</v>
      </c>
      <c r="D371" s="314" t="s">
        <v>143</v>
      </c>
      <c r="E371" s="293">
        <v>14.06</v>
      </c>
      <c r="F371" s="294">
        <v>69.739999999999995</v>
      </c>
      <c r="G371" s="295" cm="1">
        <f t="array" aca="1" ref="G371" ca="1">INDIRECT("'"&amp;$C371&amp;"'!"&amp;"$"&amp;$D371&amp;$E$1&amp;"")</f>
        <v>0</v>
      </c>
      <c r="H371" s="296" t="s">
        <v>1</v>
      </c>
      <c r="I371" s="294" t="s">
        <v>1</v>
      </c>
      <c r="J371" s="295" cm="1">
        <f t="array" aca="1" ref="J371" ca="1">INDIRECT("'"&amp;$C371&amp;"'!"&amp;"$"&amp;$D371&amp;$J$1&amp;"")</f>
        <v>6.5</v>
      </c>
      <c r="K371" s="296"/>
      <c r="L371" s="296">
        <v>0.9</v>
      </c>
      <c r="M371" s="294">
        <v>2.75</v>
      </c>
      <c r="N371" s="295" cm="1">
        <f t="array" aca="1" ref="N371" ca="1">INDIRECT("'"&amp;$C371&amp;"'!"&amp;"$"&amp;$D371&amp;$N$1&amp;"")</f>
        <v>6.5</v>
      </c>
      <c r="O371" s="296"/>
      <c r="P371" s="296">
        <v>0.9</v>
      </c>
      <c r="Q371" s="294">
        <v>2.75</v>
      </c>
      <c r="R371" s="295" cm="1">
        <f t="array" aca="1" ref="R371" ca="1">INDIRECT("'"&amp;$C371&amp;"'!"&amp;"$"&amp;$D371&amp;$R$1&amp;"")</f>
        <v>6.5</v>
      </c>
      <c r="S371" s="296"/>
      <c r="T371" s="296">
        <v>0.9</v>
      </c>
      <c r="U371" s="294">
        <v>2.75</v>
      </c>
      <c r="V371" s="295" cm="1">
        <f t="array" aca="1" ref="V371" ca="1">INDIRECT("'"&amp;$C371&amp;"'!"&amp;"$"&amp;$D371&amp;$V$1&amp;"")</f>
        <v>2.8</v>
      </c>
      <c r="W371" s="296">
        <v>13.224</v>
      </c>
      <c r="X371" s="296">
        <v>0.91</v>
      </c>
      <c r="Y371" s="297">
        <v>1.33</v>
      </c>
      <c r="Z371" s="293" cm="1">
        <f t="array" aca="1" ref="Z371" ca="1">INDIRECT("'"&amp;$C371&amp;"'!"&amp;"$"&amp;$D371&amp;$Z$1&amp;"")</f>
        <v>0</v>
      </c>
      <c r="AA371" s="296" t="s">
        <v>1</v>
      </c>
      <c r="AB371" s="296" t="s">
        <v>1</v>
      </c>
      <c r="AC371" s="294" t="s">
        <v>1</v>
      </c>
      <c r="AD371" s="295" cm="1">
        <f t="array" aca="1" ref="AD371" ca="1">INDIRECT("'"&amp;$C371&amp;"'!"&amp;"$"&amp;$D371&amp;$AD$1&amp;"")</f>
        <v>3.8</v>
      </c>
      <c r="AE371" s="296">
        <v>13.224</v>
      </c>
      <c r="AF371" s="296">
        <v>0.98</v>
      </c>
      <c r="AG371" s="297">
        <v>1.9</v>
      </c>
      <c r="AH371" s="293" cm="1">
        <f t="array" aca="1" ref="AH371" ca="1">INDIRECT("'"&amp;$C371&amp;"'!"&amp;"$"&amp;$D371&amp;$AH$1&amp;"")</f>
        <v>3.8</v>
      </c>
      <c r="AI371" s="296">
        <v>14</v>
      </c>
      <c r="AJ371" s="296">
        <v>0.99</v>
      </c>
      <c r="AK371" s="294">
        <v>0.21199999999999999</v>
      </c>
      <c r="AL371" s="293">
        <v>11.9</v>
      </c>
      <c r="AM371" s="297">
        <v>70.400000000000006</v>
      </c>
      <c r="AN371" s="293" cm="1">
        <f t="array" aca="1" ref="AN371" ca="1">INDIRECT("'"&amp;$C371&amp;"'!"&amp;"$"&amp;$D371&amp;$AL$1&amp;"")</f>
        <v>4.4000000000000004</v>
      </c>
      <c r="AO371" s="296">
        <v>0.98</v>
      </c>
      <c r="AP371" s="294">
        <v>0.86</v>
      </c>
      <c r="AQ371" s="295" cm="1">
        <f t="array" aca="1" ref="AQ371" ca="1">INDIRECT("'"&amp;$C371&amp;"'!"&amp;"$"&amp;$D371&amp;$AQ$1&amp;"")</f>
        <v>4.4000000000000004</v>
      </c>
      <c r="AR371" s="296">
        <v>0.98</v>
      </c>
      <c r="AS371" s="294">
        <v>0.77</v>
      </c>
      <c r="AT371" s="296" cm="1">
        <f t="array" aca="1" ref="AT371" ca="1">INDIRECT("'"&amp;$C371&amp;"'!"&amp;"$"&amp;$D371&amp;$AT$1&amp;"")</f>
        <v>7.44</v>
      </c>
      <c r="AU371" s="295">
        <v>13.89</v>
      </c>
      <c r="AV371" s="296">
        <v>0.95</v>
      </c>
      <c r="AW371" s="294">
        <v>2.37</v>
      </c>
      <c r="AX371" s="298">
        <v>14.25</v>
      </c>
      <c r="AY371" s="297">
        <v>71.53</v>
      </c>
      <c r="AZ371" s="298" cm="1">
        <f t="array" aca="1" ref="AZ371" ca="1">INDIRECT("'"&amp;$C371&amp;"'!"&amp;"$"&amp;$D371&amp;$AZ$1&amp;"")</f>
        <v>14.29</v>
      </c>
      <c r="BA371" s="296">
        <v>0.98</v>
      </c>
      <c r="BB371" s="294">
        <v>3.6</v>
      </c>
      <c r="BC371" s="299">
        <v>67.400000000000006</v>
      </c>
      <c r="BD371" s="293" cm="1">
        <f t="array" aca="1" ref="BD371" ca="1">INDIRECT("'"&amp;$C371&amp;"'!"&amp;"$"&amp;$D371&amp;$BC$1&amp;"")</f>
        <v>4.4000000000000004</v>
      </c>
      <c r="BE371" s="295">
        <v>0.95</v>
      </c>
      <c r="BF371" s="294">
        <v>1.4</v>
      </c>
      <c r="BG371" s="298" cm="1">
        <f t="array" aca="1" ref="BG371" ca="1">INDIRECT("'"&amp;$C371&amp;"'!"&amp;"$"&amp;$D371&amp;$BG$1&amp;"")</f>
        <v>0.92</v>
      </c>
      <c r="BH371" s="296"/>
      <c r="BI371" s="296">
        <v>0.99</v>
      </c>
      <c r="BJ371" s="294">
        <v>0.1</v>
      </c>
      <c r="BK371" s="299" cm="1">
        <f t="array" aca="1" ref="BK371" ca="1">INDIRECT("'"&amp;$C371&amp;"'!"&amp;"$"&amp;$D371&amp;$BK$1&amp;"")</f>
        <v>0.87</v>
      </c>
      <c r="BL371" s="296"/>
      <c r="BM371" s="296">
        <v>0.96</v>
      </c>
      <c r="BN371" s="294">
        <v>0.24</v>
      </c>
      <c r="BO371" s="299" cm="1">
        <f t="array" aca="1" ref="BO371" ca="1">INDIRECT("'"&amp;$C371&amp;"'!"&amp;"$"&amp;$D371&amp;74&amp;"")</f>
        <v>0</v>
      </c>
      <c r="BP371" s="296"/>
      <c r="BQ371" s="296" t="s">
        <v>1</v>
      </c>
      <c r="BR371" s="294" t="s">
        <v>1</v>
      </c>
    </row>
    <row r="372" spans="1:70">
      <c r="A372" s="361">
        <v>45762</v>
      </c>
      <c r="B372" s="358">
        <v>0.70833333333333404</v>
      </c>
      <c r="C372" s="313">
        <f t="shared" si="13"/>
        <v>15</v>
      </c>
      <c r="D372" s="314" t="s">
        <v>144</v>
      </c>
      <c r="E372" s="286">
        <v>14.1</v>
      </c>
      <c r="F372" s="287">
        <v>68.7</v>
      </c>
      <c r="G372" s="288" cm="1">
        <f t="array" aca="1" ref="G372" ca="1">INDIRECT("'"&amp;$C372&amp;"'!"&amp;"$"&amp;$D372&amp;$E$1&amp;"")</f>
        <v>0</v>
      </c>
      <c r="H372" s="289" t="s">
        <v>1</v>
      </c>
      <c r="I372" s="287" t="s">
        <v>1</v>
      </c>
      <c r="J372" s="288" cm="1">
        <f t="array" aca="1" ref="J372" ca="1">INDIRECT("'"&amp;$C372&amp;"'!"&amp;"$"&amp;$D372&amp;$J$1&amp;"")</f>
        <v>6.3</v>
      </c>
      <c r="K372" s="289"/>
      <c r="L372" s="289">
        <v>0.91</v>
      </c>
      <c r="M372" s="287">
        <v>2.67</v>
      </c>
      <c r="N372" s="288" cm="1">
        <f t="array" aca="1" ref="N372" ca="1">INDIRECT("'"&amp;$C372&amp;"'!"&amp;"$"&amp;$D372&amp;$N$1&amp;"")</f>
        <v>6.3</v>
      </c>
      <c r="O372" s="289"/>
      <c r="P372" s="289">
        <v>0.91</v>
      </c>
      <c r="Q372" s="287">
        <v>2.67</v>
      </c>
      <c r="R372" s="288" cm="1">
        <f t="array" aca="1" ref="R372" ca="1">INDIRECT("'"&amp;$C372&amp;"'!"&amp;"$"&amp;$D372&amp;$R$1&amp;"")</f>
        <v>6.3</v>
      </c>
      <c r="S372" s="289"/>
      <c r="T372" s="289">
        <v>0.91</v>
      </c>
      <c r="U372" s="287">
        <v>2.67</v>
      </c>
      <c r="V372" s="288" cm="1">
        <f t="array" aca="1" ref="V372" ca="1">INDIRECT("'"&amp;$C372&amp;"'!"&amp;"$"&amp;$D372&amp;$V$1&amp;"")</f>
        <v>2.6</v>
      </c>
      <c r="W372" s="289">
        <f>3.8*3.49</f>
        <v>13.262</v>
      </c>
      <c r="X372" s="289">
        <v>0.9</v>
      </c>
      <c r="Y372" s="290">
        <v>1.25</v>
      </c>
      <c r="Z372" s="286" cm="1">
        <f t="array" aca="1" ref="Z372" ca="1">INDIRECT("'"&amp;$C372&amp;"'!"&amp;"$"&amp;$D372&amp;$Z$1&amp;"")</f>
        <v>0</v>
      </c>
      <c r="AA372" s="289" t="s">
        <v>1</v>
      </c>
      <c r="AB372" s="289" t="s">
        <v>1</v>
      </c>
      <c r="AC372" s="287" t="s">
        <v>1</v>
      </c>
      <c r="AD372" s="288" cm="1">
        <f t="array" aca="1" ref="AD372" ca="1">INDIRECT("'"&amp;$C372&amp;"'!"&amp;"$"&amp;$D372&amp;$AD$1&amp;"")</f>
        <v>3.6</v>
      </c>
      <c r="AE372" s="289">
        <v>13.262</v>
      </c>
      <c r="AF372" s="289">
        <v>0.9</v>
      </c>
      <c r="AG372" s="290">
        <v>1.88</v>
      </c>
      <c r="AH372" s="286" cm="1">
        <f t="array" aca="1" ref="AH372" ca="1">INDIRECT("'"&amp;$C372&amp;"'!"&amp;"$"&amp;$D372&amp;$AH$1&amp;"")</f>
        <v>3.8</v>
      </c>
      <c r="AI372" s="289">
        <v>13.96</v>
      </c>
      <c r="AJ372" s="289">
        <v>0.99</v>
      </c>
      <c r="AK372" s="287">
        <v>0.245</v>
      </c>
      <c r="AL372" s="286">
        <v>11.9</v>
      </c>
      <c r="AM372" s="290">
        <v>70.5</v>
      </c>
      <c r="AN372" s="286" cm="1">
        <f t="array" aca="1" ref="AN372" ca="1">INDIRECT("'"&amp;$C372&amp;"'!"&amp;"$"&amp;$D372&amp;$AL$1&amp;"")</f>
        <v>4.3</v>
      </c>
      <c r="AO372" s="289">
        <v>0.98</v>
      </c>
      <c r="AP372" s="287">
        <v>0.82</v>
      </c>
      <c r="AQ372" s="288" cm="1">
        <f t="array" aca="1" ref="AQ372" ca="1">INDIRECT("'"&amp;$C372&amp;"'!"&amp;"$"&amp;$D372&amp;$AQ$1&amp;"")</f>
        <v>4.3</v>
      </c>
      <c r="AR372" s="289">
        <v>0.98</v>
      </c>
      <c r="AS372" s="287">
        <v>0.76</v>
      </c>
      <c r="AT372" s="289" cm="1">
        <f t="array" aca="1" ref="AT372" ca="1">INDIRECT("'"&amp;$C372&amp;"'!"&amp;"$"&amp;$D372&amp;$AT$1&amp;"")</f>
        <v>6.12</v>
      </c>
      <c r="AU372" s="288">
        <v>13.85</v>
      </c>
      <c r="AV372" s="289">
        <v>0.98</v>
      </c>
      <c r="AW372" s="287">
        <v>1.1299999999999999</v>
      </c>
      <c r="AX372" s="291">
        <v>14.27</v>
      </c>
      <c r="AY372" s="290">
        <v>71.63</v>
      </c>
      <c r="AZ372" s="291" cm="1">
        <f t="array" aca="1" ref="AZ372" ca="1">INDIRECT("'"&amp;$C372&amp;"'!"&amp;"$"&amp;$D372&amp;$AZ$1&amp;"")</f>
        <v>14.3</v>
      </c>
      <c r="BA372" s="289">
        <v>0.98</v>
      </c>
      <c r="BB372" s="287">
        <v>3.6</v>
      </c>
      <c r="BC372" s="292">
        <v>67.5</v>
      </c>
      <c r="BD372" s="286" cm="1">
        <f t="array" aca="1" ref="BD372" ca="1">INDIRECT("'"&amp;$C372&amp;"'!"&amp;"$"&amp;$D372&amp;$BC$1&amp;"")</f>
        <v>3.04</v>
      </c>
      <c r="BE372" s="288">
        <v>0.95</v>
      </c>
      <c r="BF372" s="287">
        <v>0.99</v>
      </c>
      <c r="BG372" s="291" cm="1">
        <f t="array" aca="1" ref="BG372" ca="1">INDIRECT("'"&amp;$C372&amp;"'!"&amp;"$"&amp;$D372&amp;$BG$1&amp;"")</f>
        <v>1.29</v>
      </c>
      <c r="BH372" s="289"/>
      <c r="BI372" s="289">
        <v>0.99</v>
      </c>
      <c r="BJ372" s="287">
        <v>0.2</v>
      </c>
      <c r="BK372" s="292" cm="1">
        <f t="array" aca="1" ref="BK372" ca="1">INDIRECT("'"&amp;$C372&amp;"'!"&amp;"$"&amp;$D372&amp;$BK$1&amp;"")</f>
        <v>0.9</v>
      </c>
      <c r="BL372" s="289"/>
      <c r="BM372" s="289">
        <v>0.96</v>
      </c>
      <c r="BN372" s="287">
        <v>0.23</v>
      </c>
      <c r="BO372" s="292" cm="1">
        <f t="array" aca="1" ref="BO372" ca="1">INDIRECT("'"&amp;$C372&amp;"'!"&amp;"$"&amp;$D372&amp;74&amp;"")</f>
        <v>0</v>
      </c>
      <c r="BP372" s="289"/>
      <c r="BQ372" s="289" t="s">
        <v>1</v>
      </c>
      <c r="BR372" s="287" t="s">
        <v>1</v>
      </c>
    </row>
    <row r="373" spans="1:70">
      <c r="A373" s="361">
        <v>45762</v>
      </c>
      <c r="B373" s="358">
        <v>0.750000000000001</v>
      </c>
      <c r="C373" s="313">
        <f t="shared" si="13"/>
        <v>15</v>
      </c>
      <c r="D373" s="314" t="s">
        <v>145</v>
      </c>
      <c r="E373" s="293">
        <v>14.1</v>
      </c>
      <c r="F373" s="294">
        <v>69.150000000000006</v>
      </c>
      <c r="G373" s="295" cm="1">
        <f t="array" aca="1" ref="G373" ca="1">INDIRECT("'"&amp;$C373&amp;"'!"&amp;"$"&amp;$D373&amp;$E$1&amp;"")</f>
        <v>0</v>
      </c>
      <c r="H373" s="296" t="s">
        <v>1</v>
      </c>
      <c r="I373" s="294" t="s">
        <v>1</v>
      </c>
      <c r="J373" s="295" cm="1">
        <f t="array" aca="1" ref="J373" ca="1">INDIRECT("'"&amp;$C373&amp;"'!"&amp;"$"&amp;$D373&amp;$J$1&amp;"")</f>
        <v>6.5</v>
      </c>
      <c r="K373" s="296"/>
      <c r="L373" s="296">
        <v>0.92</v>
      </c>
      <c r="M373" s="294">
        <v>2.7</v>
      </c>
      <c r="N373" s="295" cm="1">
        <f t="array" aca="1" ref="N373" ca="1">INDIRECT("'"&amp;$C373&amp;"'!"&amp;"$"&amp;$D373&amp;$N$1&amp;"")</f>
        <v>6.5</v>
      </c>
      <c r="O373" s="296"/>
      <c r="P373" s="296">
        <v>0.92</v>
      </c>
      <c r="Q373" s="294">
        <v>2.7</v>
      </c>
      <c r="R373" s="295" cm="1">
        <f t="array" aca="1" ref="R373" ca="1">INDIRECT("'"&amp;$C373&amp;"'!"&amp;"$"&amp;$D373&amp;$R$1&amp;"")</f>
        <v>6.5</v>
      </c>
      <c r="S373" s="296"/>
      <c r="T373" s="296">
        <v>0.92</v>
      </c>
      <c r="U373" s="294">
        <v>2.7</v>
      </c>
      <c r="V373" s="295" cm="1">
        <f t="array" aca="1" ref="V373" ca="1">INDIRECT("'"&amp;$C373&amp;"'!"&amp;"$"&amp;$D373&amp;$V$1&amp;"")</f>
        <v>2.8</v>
      </c>
      <c r="W373" s="296">
        <f>3.8*3.61</f>
        <v>13.717999999999998</v>
      </c>
      <c r="X373" s="296">
        <v>0.92</v>
      </c>
      <c r="Y373" s="297">
        <v>1.18</v>
      </c>
      <c r="Z373" s="293" cm="1">
        <f t="array" aca="1" ref="Z373" ca="1">INDIRECT("'"&amp;$C373&amp;"'!"&amp;"$"&amp;$D373&amp;$Z$1&amp;"")</f>
        <v>0</v>
      </c>
      <c r="AA373" s="296" t="s">
        <v>1</v>
      </c>
      <c r="AB373" s="296" t="s">
        <v>1</v>
      </c>
      <c r="AC373" s="294" t="s">
        <v>1</v>
      </c>
      <c r="AD373" s="295" cm="1">
        <f t="array" aca="1" ref="AD373" ca="1">INDIRECT("'"&amp;$C373&amp;"'!"&amp;"$"&amp;$D373&amp;$AD$1&amp;"")</f>
        <v>3.8</v>
      </c>
      <c r="AE373" s="296">
        <f>3.8*3.61</f>
        <v>13.717999999999998</v>
      </c>
      <c r="AF373" s="296">
        <v>0.92</v>
      </c>
      <c r="AG373" s="297">
        <v>1.7</v>
      </c>
      <c r="AH373" s="293" cm="1">
        <f t="array" aca="1" ref="AH373" ca="1">INDIRECT("'"&amp;$C373&amp;"'!"&amp;"$"&amp;$D373&amp;$AH$1&amp;"")</f>
        <v>3.8</v>
      </c>
      <c r="AI373" s="296">
        <v>13.96</v>
      </c>
      <c r="AJ373" s="296">
        <v>0.99</v>
      </c>
      <c r="AK373" s="294">
        <v>0.14699999999999999</v>
      </c>
      <c r="AL373" s="293">
        <v>11.9</v>
      </c>
      <c r="AM373" s="297">
        <v>70.599999999999994</v>
      </c>
      <c r="AN373" s="293" cm="1">
        <f t="array" aca="1" ref="AN373" ca="1">INDIRECT("'"&amp;$C373&amp;"'!"&amp;"$"&amp;$D373&amp;$AL$1&amp;"")</f>
        <v>4.4000000000000004</v>
      </c>
      <c r="AO373" s="296">
        <v>0.98</v>
      </c>
      <c r="AP373" s="294">
        <v>0.86</v>
      </c>
      <c r="AQ373" s="295" cm="1">
        <f t="array" aca="1" ref="AQ373" ca="1">INDIRECT("'"&amp;$C373&amp;"'!"&amp;"$"&amp;$D373&amp;$AQ$1&amp;"")</f>
        <v>4.4000000000000004</v>
      </c>
      <c r="AR373" s="296">
        <v>0.98</v>
      </c>
      <c r="AS373" s="294">
        <v>0.77</v>
      </c>
      <c r="AT373" s="296" cm="1">
        <f t="array" aca="1" ref="AT373" ca="1">INDIRECT("'"&amp;$C373&amp;"'!"&amp;"$"&amp;$D373&amp;$AT$1&amp;"")</f>
        <v>3.19</v>
      </c>
      <c r="AU373" s="295">
        <v>13.85</v>
      </c>
      <c r="AV373" s="296">
        <v>0.98</v>
      </c>
      <c r="AW373" s="294">
        <v>0.64</v>
      </c>
      <c r="AX373" s="298">
        <v>14.27</v>
      </c>
      <c r="AY373" s="297">
        <v>71.81</v>
      </c>
      <c r="AZ373" s="298" cm="1">
        <f t="array" aca="1" ref="AZ373" ca="1">INDIRECT("'"&amp;$C373&amp;"'!"&amp;"$"&amp;$D373&amp;$AZ$1&amp;"")</f>
        <v>14.31</v>
      </c>
      <c r="BA373" s="296">
        <v>0.98</v>
      </c>
      <c r="BB373" s="294">
        <v>3.6</v>
      </c>
      <c r="BC373" s="299">
        <v>67.8</v>
      </c>
      <c r="BD373" s="293" cm="1">
        <f t="array" aca="1" ref="BD373" ca="1">INDIRECT("'"&amp;$C373&amp;"'!"&amp;"$"&amp;$D373&amp;$BC$1&amp;"")</f>
        <v>0</v>
      </c>
      <c r="BE373" s="295" t="s">
        <v>1</v>
      </c>
      <c r="BF373" s="294" t="s">
        <v>1</v>
      </c>
      <c r="BG373" s="298" cm="1">
        <f t="array" aca="1" ref="BG373" ca="1">INDIRECT("'"&amp;$C373&amp;"'!"&amp;"$"&amp;$D373&amp;$BG$1&amp;"")</f>
        <v>1.6</v>
      </c>
      <c r="BH373" s="296"/>
      <c r="BI373" s="296">
        <v>0.99</v>
      </c>
      <c r="BJ373" s="294">
        <v>0.24</v>
      </c>
      <c r="BK373" s="299" cm="1">
        <f t="array" aca="1" ref="BK373" ca="1">INDIRECT("'"&amp;$C373&amp;"'!"&amp;"$"&amp;$D373&amp;$BK$1&amp;"")</f>
        <v>0.92</v>
      </c>
      <c r="BL373" s="296"/>
      <c r="BM373" s="296">
        <v>0.96</v>
      </c>
      <c r="BN373" s="294">
        <v>0.25</v>
      </c>
      <c r="BO373" s="299" cm="1">
        <f t="array" aca="1" ref="BO373" ca="1">INDIRECT("'"&amp;$C373&amp;"'!"&amp;"$"&amp;$D373&amp;74&amp;"")</f>
        <v>0</v>
      </c>
      <c r="BP373" s="296"/>
      <c r="BQ373" s="296" t="s">
        <v>1</v>
      </c>
      <c r="BR373" s="294" t="s">
        <v>1</v>
      </c>
    </row>
    <row r="374" spans="1:70">
      <c r="A374" s="361">
        <v>45762</v>
      </c>
      <c r="B374" s="358">
        <v>0.79166666666666663</v>
      </c>
      <c r="C374" s="313">
        <f t="shared" si="13"/>
        <v>15</v>
      </c>
      <c r="D374" s="314" t="s">
        <v>146</v>
      </c>
      <c r="E374" s="286">
        <v>14.1</v>
      </c>
      <c r="F374" s="287">
        <v>69.31</v>
      </c>
      <c r="G374" s="288" cm="1">
        <f t="array" aca="1" ref="G374" ca="1">INDIRECT("'"&amp;$C374&amp;"'!"&amp;"$"&amp;$D374&amp;$E$1&amp;"")</f>
        <v>0</v>
      </c>
      <c r="H374" s="289" t="s">
        <v>1</v>
      </c>
      <c r="I374" s="287" t="s">
        <v>1</v>
      </c>
      <c r="J374" s="288" cm="1">
        <f t="array" aca="1" ref="J374" ca="1">INDIRECT("'"&amp;$C374&amp;"'!"&amp;"$"&amp;$D374&amp;$J$1&amp;"")</f>
        <v>6.6</v>
      </c>
      <c r="K374" s="300"/>
      <c r="L374" s="289">
        <v>0.92</v>
      </c>
      <c r="M374" s="287">
        <v>2.6</v>
      </c>
      <c r="N374" s="288" cm="1">
        <f t="array" aca="1" ref="N374" ca="1">INDIRECT("'"&amp;$C374&amp;"'!"&amp;"$"&amp;$D374&amp;$N$1&amp;"")</f>
        <v>6.6</v>
      </c>
      <c r="O374" s="289"/>
      <c r="P374" s="289">
        <v>0.92</v>
      </c>
      <c r="Q374" s="287">
        <v>2.6</v>
      </c>
      <c r="R374" s="288" cm="1">
        <f t="array" aca="1" ref="R374" ca="1">INDIRECT("'"&amp;$C374&amp;"'!"&amp;"$"&amp;$D374&amp;$R$1&amp;"")</f>
        <v>6.6</v>
      </c>
      <c r="S374" s="289"/>
      <c r="T374" s="289">
        <v>0.92</v>
      </c>
      <c r="U374" s="287">
        <v>2.6</v>
      </c>
      <c r="V374" s="288" cm="1">
        <f t="array" aca="1" ref="V374" ca="1">INDIRECT("'"&amp;$C374&amp;"'!"&amp;"$"&amp;$D374&amp;$V$1&amp;"")</f>
        <v>2.8</v>
      </c>
      <c r="W374" s="289">
        <f>3.8*3.52</f>
        <v>13.375999999999999</v>
      </c>
      <c r="X374" s="289">
        <v>0.92</v>
      </c>
      <c r="Y374" s="290">
        <v>1.17</v>
      </c>
      <c r="Z374" s="286" cm="1">
        <f t="array" aca="1" ref="Z374" ca="1">INDIRECT("'"&amp;$C374&amp;"'!"&amp;"$"&amp;$D374&amp;$Z$1&amp;"")</f>
        <v>0</v>
      </c>
      <c r="AA374" s="289" t="s">
        <v>1</v>
      </c>
      <c r="AB374" s="289" t="s">
        <v>1</v>
      </c>
      <c r="AC374" s="287" t="s">
        <v>1</v>
      </c>
      <c r="AD374" s="288" cm="1">
        <f t="array" aca="1" ref="AD374" ca="1">INDIRECT("'"&amp;$C374&amp;"'!"&amp;"$"&amp;$D374&amp;$AD$1&amp;"")</f>
        <v>3.8</v>
      </c>
      <c r="AE374" s="289">
        <f>3.8*3.52</f>
        <v>13.375999999999999</v>
      </c>
      <c r="AF374" s="289">
        <v>0.92</v>
      </c>
      <c r="AG374" s="290">
        <v>1.72</v>
      </c>
      <c r="AH374" s="286" cm="1">
        <f t="array" aca="1" ref="AH374" ca="1">INDIRECT("'"&amp;$C374&amp;"'!"&amp;"$"&amp;$D374&amp;$AH$1&amp;"")</f>
        <v>3.8</v>
      </c>
      <c r="AI374" s="289">
        <v>13.96</v>
      </c>
      <c r="AJ374" s="289">
        <v>0.99</v>
      </c>
      <c r="AK374" s="287">
        <v>0.26500000000000001</v>
      </c>
      <c r="AL374" s="286">
        <v>11.9</v>
      </c>
      <c r="AM374" s="290">
        <v>70.7</v>
      </c>
      <c r="AN374" s="286" cm="1">
        <f t="array" aca="1" ref="AN374" ca="1">INDIRECT("'"&amp;$C374&amp;"'!"&amp;"$"&amp;$D374&amp;$AL$1&amp;"")</f>
        <v>4.3</v>
      </c>
      <c r="AO374" s="289">
        <v>0.98</v>
      </c>
      <c r="AP374" s="287">
        <v>0.77</v>
      </c>
      <c r="AQ374" s="288" cm="1">
        <f t="array" aca="1" ref="AQ374" ca="1">INDIRECT("'"&amp;$C374&amp;"'!"&amp;"$"&amp;$D374&amp;$AQ$1&amp;"")</f>
        <v>4.3</v>
      </c>
      <c r="AR374" s="289">
        <v>0.98</v>
      </c>
      <c r="AS374" s="287">
        <v>0.69</v>
      </c>
      <c r="AT374" s="289" cm="1">
        <f t="array" aca="1" ref="AT374" ca="1">INDIRECT("'"&amp;$C374&amp;"'!"&amp;"$"&amp;$D374&amp;$AT$1&amp;"")</f>
        <v>7.07</v>
      </c>
      <c r="AU374" s="288">
        <v>13.87</v>
      </c>
      <c r="AV374" s="289">
        <v>0.99</v>
      </c>
      <c r="AW374" s="287">
        <v>0.98</v>
      </c>
      <c r="AX374" s="291">
        <v>14.21</v>
      </c>
      <c r="AY374" s="290">
        <v>71.44</v>
      </c>
      <c r="AZ374" s="291" cm="1">
        <f t="array" aca="1" ref="AZ374" ca="1">INDIRECT("'"&amp;$C374&amp;"'!"&amp;"$"&amp;$D374&amp;$AZ$1&amp;"")</f>
        <v>14.29</v>
      </c>
      <c r="BA374" s="289">
        <v>0.98</v>
      </c>
      <c r="BB374" s="287">
        <v>3.5</v>
      </c>
      <c r="BC374" s="292">
        <v>68.099999999999994</v>
      </c>
      <c r="BD374" s="286" cm="1">
        <f t="array" aca="1" ref="BD374" ca="1">INDIRECT("'"&amp;$C374&amp;"'!"&amp;"$"&amp;$D374&amp;$BC$1&amp;"")</f>
        <v>1.5</v>
      </c>
      <c r="BE374" s="288">
        <v>0.95</v>
      </c>
      <c r="BF374" s="287">
        <v>0.61</v>
      </c>
      <c r="BG374" s="291" cm="1">
        <f t="array" aca="1" ref="BG374" ca="1">INDIRECT("'"&amp;$C374&amp;"'!"&amp;"$"&amp;$D374&amp;$BG$1&amp;"")</f>
        <v>1.62</v>
      </c>
      <c r="BH374" s="289"/>
      <c r="BI374" s="289">
        <v>0.99</v>
      </c>
      <c r="BJ374" s="287">
        <v>0.21</v>
      </c>
      <c r="BK374" s="292" cm="1">
        <f t="array" aca="1" ref="BK374" ca="1">INDIRECT("'"&amp;$C374&amp;"'!"&amp;"$"&amp;$D374&amp;$BK$1&amp;"")</f>
        <v>0.98</v>
      </c>
      <c r="BL374" s="289"/>
      <c r="BM374" s="289">
        <v>0.97</v>
      </c>
      <c r="BN374" s="287">
        <v>0.25</v>
      </c>
      <c r="BO374" s="292" cm="1">
        <f t="array" aca="1" ref="BO374" ca="1">INDIRECT("'"&amp;$C374&amp;"'!"&amp;"$"&amp;$D374&amp;74&amp;"")</f>
        <v>0</v>
      </c>
      <c r="BP374" s="289"/>
      <c r="BQ374" s="289" t="s">
        <v>1</v>
      </c>
      <c r="BR374" s="287" t="s">
        <v>1</v>
      </c>
    </row>
    <row r="375" spans="1:70">
      <c r="A375" s="361">
        <v>45762</v>
      </c>
      <c r="B375" s="358">
        <v>0.83333333333333337</v>
      </c>
      <c r="C375" s="313">
        <f t="shared" si="13"/>
        <v>15</v>
      </c>
      <c r="D375" s="314" t="s">
        <v>147</v>
      </c>
      <c r="E375" s="293">
        <v>14.2</v>
      </c>
      <c r="F375" s="294">
        <v>69.41</v>
      </c>
      <c r="G375" s="295" cm="1">
        <f t="array" aca="1" ref="G375" ca="1">INDIRECT("'"&amp;$C375&amp;"'!"&amp;"$"&amp;$D375&amp;$E$1&amp;"")</f>
        <v>0</v>
      </c>
      <c r="H375" s="296" t="s">
        <v>1</v>
      </c>
      <c r="I375" s="294" t="s">
        <v>1</v>
      </c>
      <c r="J375" s="295" cm="1">
        <f t="array" aca="1" ref="J375" ca="1">INDIRECT("'"&amp;$C375&amp;"'!"&amp;"$"&amp;$D375&amp;$J$1&amp;"")</f>
        <v>6.6</v>
      </c>
      <c r="K375" s="296"/>
      <c r="L375" s="296">
        <v>0.94</v>
      </c>
      <c r="M375" s="294">
        <v>2.48</v>
      </c>
      <c r="N375" s="295" cm="1">
        <f t="array" aca="1" ref="N375" ca="1">INDIRECT("'"&amp;$C375&amp;"'!"&amp;"$"&amp;$D375&amp;$N$1&amp;"")</f>
        <v>6.6</v>
      </c>
      <c r="O375" s="296"/>
      <c r="P375" s="296">
        <v>0.94</v>
      </c>
      <c r="Q375" s="294">
        <v>2.4700000000000002</v>
      </c>
      <c r="R375" s="295" cm="1">
        <f t="array" aca="1" ref="R375" ca="1">INDIRECT("'"&amp;$C375&amp;"'!"&amp;"$"&amp;$D375&amp;$R$1&amp;"")</f>
        <v>6.7</v>
      </c>
      <c r="S375" s="296"/>
      <c r="T375" s="296">
        <v>0.93</v>
      </c>
      <c r="U375" s="294">
        <v>2.65</v>
      </c>
      <c r="V375" s="295" cm="1">
        <f t="array" aca="1" ref="V375" ca="1">INDIRECT("'"&amp;$C375&amp;"'!"&amp;"$"&amp;$D375&amp;$V$1&amp;"")</f>
        <v>2.8</v>
      </c>
      <c r="W375" s="296">
        <f>3.8*3.52</f>
        <v>13.375999999999999</v>
      </c>
      <c r="X375" s="296">
        <v>0.95</v>
      </c>
      <c r="Y375" s="297">
        <v>0.84</v>
      </c>
      <c r="Z375" s="293" cm="1">
        <f t="array" aca="1" ref="Z375" ca="1">INDIRECT("'"&amp;$C375&amp;"'!"&amp;"$"&amp;$D375&amp;$Z$1&amp;"")</f>
        <v>0</v>
      </c>
      <c r="AA375" s="296" t="s">
        <v>1</v>
      </c>
      <c r="AB375" s="296" t="s">
        <v>1</v>
      </c>
      <c r="AC375" s="294" t="s">
        <v>1</v>
      </c>
      <c r="AD375" s="295" cm="1">
        <f t="array" aca="1" ref="AD375" ca="1">INDIRECT("'"&amp;$C375&amp;"'!"&amp;"$"&amp;$D375&amp;$AD$1&amp;"")</f>
        <v>3.8</v>
      </c>
      <c r="AE375" s="296">
        <f>3.8*3.52</f>
        <v>13.375999999999999</v>
      </c>
      <c r="AF375" s="296">
        <v>0.95</v>
      </c>
      <c r="AG375" s="297">
        <v>1.2</v>
      </c>
      <c r="AH375" s="293" cm="1">
        <f t="array" aca="1" ref="AH375" ca="1">INDIRECT("'"&amp;$C375&amp;"'!"&amp;"$"&amp;$D375&amp;$AH$1&amp;"")</f>
        <v>3.8</v>
      </c>
      <c r="AI375" s="296">
        <v>13.96</v>
      </c>
      <c r="AJ375" s="296">
        <v>1</v>
      </c>
      <c r="AK375" s="294">
        <v>0.11799999999999999</v>
      </c>
      <c r="AL375" s="293">
        <v>11.9</v>
      </c>
      <c r="AM375" s="297">
        <v>70.7</v>
      </c>
      <c r="AN375" s="293" cm="1">
        <f t="array" aca="1" ref="AN375" ca="1">INDIRECT("'"&amp;$C375&amp;"'!"&amp;"$"&amp;$D375&amp;$AL$1&amp;"")</f>
        <v>4.3</v>
      </c>
      <c r="AO375" s="296">
        <v>0.98</v>
      </c>
      <c r="AP375" s="294">
        <v>0.76</v>
      </c>
      <c r="AQ375" s="295" cm="1">
        <f t="array" aca="1" ref="AQ375" ca="1">INDIRECT("'"&amp;$C375&amp;"'!"&amp;"$"&amp;$D375&amp;$AQ$1&amp;"")</f>
        <v>4.3</v>
      </c>
      <c r="AR375" s="296">
        <v>0.98</v>
      </c>
      <c r="AS375" s="294">
        <v>0.63</v>
      </c>
      <c r="AT375" s="296" cm="1">
        <f t="array" aca="1" ref="AT375" ca="1">INDIRECT("'"&amp;$C375&amp;"'!"&amp;"$"&amp;$D375&amp;$AT$1&amp;"")</f>
        <v>4.99</v>
      </c>
      <c r="AU375" s="295">
        <v>13.86</v>
      </c>
      <c r="AV375" s="296">
        <v>0.99</v>
      </c>
      <c r="AW375" s="294">
        <v>0.72</v>
      </c>
      <c r="AX375" s="298">
        <v>14.29</v>
      </c>
      <c r="AY375" s="297">
        <v>71.73</v>
      </c>
      <c r="AZ375" s="298" cm="1">
        <f t="array" aca="1" ref="AZ375" ca="1">INDIRECT("'"&amp;$C375&amp;"'!"&amp;"$"&amp;$D375&amp;$AZ$1&amp;"")</f>
        <v>14.3</v>
      </c>
      <c r="BA375" s="296">
        <v>0.98</v>
      </c>
      <c r="BB375" s="294">
        <v>3.6</v>
      </c>
      <c r="BC375" s="299">
        <v>68.099999999999994</v>
      </c>
      <c r="BD375" s="293" cm="1">
        <f t="array" aca="1" ref="BD375" ca="1">INDIRECT("'"&amp;$C375&amp;"'!"&amp;"$"&amp;$D375&amp;$BC$1&amp;"")</f>
        <v>0</v>
      </c>
      <c r="BE375" s="295" t="s">
        <v>1</v>
      </c>
      <c r="BF375" s="294" t="s">
        <v>1</v>
      </c>
      <c r="BG375" s="298" cm="1">
        <f t="array" aca="1" ref="BG375" ca="1">INDIRECT("'"&amp;$C375&amp;"'!"&amp;"$"&amp;$D375&amp;$BG$1&amp;"")</f>
        <v>1.54</v>
      </c>
      <c r="BH375" s="296"/>
      <c r="BI375" s="296">
        <v>0.99</v>
      </c>
      <c r="BJ375" s="294">
        <v>0.2</v>
      </c>
      <c r="BK375" s="299" cm="1">
        <f t="array" aca="1" ref="BK375" ca="1">INDIRECT("'"&amp;$C375&amp;"'!"&amp;"$"&amp;$D375&amp;$BK$1&amp;"")</f>
        <v>0.94</v>
      </c>
      <c r="BL375" s="296"/>
      <c r="BM375" s="296">
        <v>0.96</v>
      </c>
      <c r="BN375" s="294">
        <v>0.25</v>
      </c>
      <c r="BO375" s="299" cm="1">
        <f t="array" aca="1" ref="BO375" ca="1">INDIRECT("'"&amp;$C375&amp;"'!"&amp;"$"&amp;$D375&amp;74&amp;"")</f>
        <v>0</v>
      </c>
      <c r="BP375" s="296"/>
      <c r="BQ375" s="296" t="s">
        <v>1</v>
      </c>
      <c r="BR375" s="294" t="s">
        <v>1</v>
      </c>
    </row>
    <row r="376" spans="1:70">
      <c r="A376" s="361">
        <v>45762</v>
      </c>
      <c r="B376" s="358">
        <v>0.875000000000001</v>
      </c>
      <c r="C376" s="313">
        <f t="shared" si="13"/>
        <v>15</v>
      </c>
      <c r="D376" s="314" t="s">
        <v>148</v>
      </c>
      <c r="E376" s="286">
        <v>14.3</v>
      </c>
      <c r="F376" s="287">
        <v>70.239999999999995</v>
      </c>
      <c r="G376" s="288" cm="1">
        <f t="array" aca="1" ref="G376" ca="1">INDIRECT("'"&amp;$C376&amp;"'!"&amp;"$"&amp;$D376&amp;$E$1&amp;"")</f>
        <v>0</v>
      </c>
      <c r="H376" s="289" t="s">
        <v>1</v>
      </c>
      <c r="I376" s="287" t="s">
        <v>1</v>
      </c>
      <c r="J376" s="288" cm="1">
        <f t="array" aca="1" ref="J376" ca="1">INDIRECT("'"&amp;$C376&amp;"'!"&amp;"$"&amp;$D376&amp;$J$1&amp;"")</f>
        <v>6.4</v>
      </c>
      <c r="K376" s="289"/>
      <c r="L376" s="289">
        <v>0.96</v>
      </c>
      <c r="M376" s="287">
        <v>1.78</v>
      </c>
      <c r="N376" s="288" cm="1">
        <f t="array" aca="1" ref="N376" ca="1">INDIRECT("'"&amp;$C376&amp;"'!"&amp;"$"&amp;$D376&amp;$N$1&amp;"")</f>
        <v>6.3</v>
      </c>
      <c r="O376" s="289"/>
      <c r="P376" s="289">
        <v>0.97</v>
      </c>
      <c r="Q376" s="287">
        <v>1.72</v>
      </c>
      <c r="R376" s="288" cm="1">
        <f t="array" aca="1" ref="R376" ca="1">INDIRECT("'"&amp;$C376&amp;"'!"&amp;"$"&amp;$D376&amp;$R$1&amp;"")</f>
        <v>6.4</v>
      </c>
      <c r="S376" s="289"/>
      <c r="T376" s="289">
        <v>0.96</v>
      </c>
      <c r="U376" s="287">
        <v>1.86</v>
      </c>
      <c r="V376" s="288" cm="1">
        <f t="array" aca="1" ref="V376" ca="1">INDIRECT("'"&amp;$C376&amp;"'!"&amp;"$"&amp;$D376&amp;$V$1&amp;"")</f>
        <v>2.8</v>
      </c>
      <c r="W376" s="289">
        <f>3.8*3.56</f>
        <v>13.527999999999999</v>
      </c>
      <c r="X376" s="289">
        <v>0.96</v>
      </c>
      <c r="Y376" s="290">
        <v>0.75</v>
      </c>
      <c r="Z376" s="286" cm="1">
        <f t="array" aca="1" ref="Z376" ca="1">INDIRECT("'"&amp;$C376&amp;"'!"&amp;"$"&amp;$D376&amp;$Z$1&amp;"")</f>
        <v>0</v>
      </c>
      <c r="AA376" s="289" t="s">
        <v>1</v>
      </c>
      <c r="AB376" s="289" t="s">
        <v>1</v>
      </c>
      <c r="AC376" s="287" t="s">
        <v>1</v>
      </c>
      <c r="AD376" s="288" cm="1">
        <f t="array" aca="1" ref="AD376" ca="1">INDIRECT("'"&amp;$C376&amp;"'!"&amp;"$"&amp;$D376&amp;$AD$1&amp;"")</f>
        <v>3.8</v>
      </c>
      <c r="AE376" s="289">
        <f>3.8*3.56</f>
        <v>13.527999999999999</v>
      </c>
      <c r="AF376" s="289">
        <v>0.96</v>
      </c>
      <c r="AG376" s="290">
        <v>1.02</v>
      </c>
      <c r="AH376" s="286" cm="1">
        <f t="array" aca="1" ref="AH376" ca="1">INDIRECT("'"&amp;$C376&amp;"'!"&amp;"$"&amp;$D376&amp;$AH$1&amp;"")</f>
        <v>3.8</v>
      </c>
      <c r="AI376" s="289">
        <v>14.12</v>
      </c>
      <c r="AJ376" s="289">
        <v>0.98</v>
      </c>
      <c r="AK376" s="287">
        <v>5.23</v>
      </c>
      <c r="AL376" s="286">
        <v>11.9</v>
      </c>
      <c r="AM376" s="290">
        <v>71</v>
      </c>
      <c r="AN376" s="286" cm="1">
        <f t="array" aca="1" ref="AN376" ca="1">INDIRECT("'"&amp;$C376&amp;"'!"&amp;"$"&amp;$D376&amp;$AL$1&amp;"")</f>
        <v>4</v>
      </c>
      <c r="AO376" s="289">
        <v>0.98</v>
      </c>
      <c r="AP376" s="287">
        <v>0.55000000000000004</v>
      </c>
      <c r="AQ376" s="288" cm="1">
        <f t="array" aca="1" ref="AQ376" ca="1">INDIRECT("'"&amp;$C376&amp;"'!"&amp;"$"&amp;$D376&amp;$AQ$1&amp;"")</f>
        <v>4</v>
      </c>
      <c r="AR376" s="289">
        <v>0.98</v>
      </c>
      <c r="AS376" s="287">
        <v>0.45</v>
      </c>
      <c r="AT376" s="289" cm="1">
        <f t="array" aca="1" ref="AT376" ca="1">INDIRECT("'"&amp;$C376&amp;"'!"&amp;"$"&amp;$D376&amp;$AT$1&amp;"")</f>
        <v>0</v>
      </c>
      <c r="AU376" s="288" t="s">
        <v>1</v>
      </c>
      <c r="AV376" s="289" t="s">
        <v>1</v>
      </c>
      <c r="AW376" s="287" t="s">
        <v>1</v>
      </c>
      <c r="AX376" s="291">
        <v>14.33</v>
      </c>
      <c r="AY376" s="290">
        <v>72</v>
      </c>
      <c r="AZ376" s="291" cm="1">
        <f t="array" aca="1" ref="AZ376" ca="1">INDIRECT("'"&amp;$C376&amp;"'!"&amp;"$"&amp;$D376&amp;$AZ$1&amp;"")</f>
        <v>14.26</v>
      </c>
      <c r="BA376" s="289">
        <v>0.98</v>
      </c>
      <c r="BB376" s="287">
        <v>3.5</v>
      </c>
      <c r="BC376" s="292">
        <v>69</v>
      </c>
      <c r="BD376" s="286" cm="1">
        <f t="array" aca="1" ref="BD376" ca="1">INDIRECT("'"&amp;$C376&amp;"'!"&amp;"$"&amp;$D376&amp;$BC$1&amp;"")</f>
        <v>3.2</v>
      </c>
      <c r="BE376" s="288">
        <v>0.97</v>
      </c>
      <c r="BF376" s="287">
        <v>0.8</v>
      </c>
      <c r="BG376" s="291" cm="1">
        <f t="array" aca="1" ref="BG376" ca="1">INDIRECT("'"&amp;$C376&amp;"'!"&amp;"$"&amp;$D376&amp;$BG$1&amp;"")</f>
        <v>1.47</v>
      </c>
      <c r="BH376" s="289"/>
      <c r="BI376" s="289">
        <v>0.99</v>
      </c>
      <c r="BJ376" s="287">
        <v>0.19</v>
      </c>
      <c r="BK376" s="292" cm="1">
        <f t="array" aca="1" ref="BK376" ca="1">INDIRECT("'"&amp;$C376&amp;"'!"&amp;"$"&amp;$D376&amp;$BK$1&amp;"")</f>
        <v>0.93</v>
      </c>
      <c r="BL376" s="289"/>
      <c r="BM376" s="289">
        <v>0.97</v>
      </c>
      <c r="BN376" s="287">
        <v>0.24</v>
      </c>
      <c r="BO376" s="292" cm="1">
        <f t="array" aca="1" ref="BO376" ca="1">INDIRECT("'"&amp;$C376&amp;"'!"&amp;"$"&amp;$D376&amp;74&amp;"")</f>
        <v>0</v>
      </c>
      <c r="BP376" s="289"/>
      <c r="BQ376" s="289" t="s">
        <v>1</v>
      </c>
      <c r="BR376" s="287" t="s">
        <v>1</v>
      </c>
    </row>
    <row r="377" spans="1:70">
      <c r="A377" s="361">
        <v>45762</v>
      </c>
      <c r="B377" s="358">
        <v>0.91666666666666696</v>
      </c>
      <c r="C377" s="313">
        <f t="shared" si="13"/>
        <v>15</v>
      </c>
      <c r="D377" s="314" t="s">
        <v>149</v>
      </c>
      <c r="E377" s="293">
        <v>14.2</v>
      </c>
      <c r="F377" s="294">
        <v>69.83</v>
      </c>
      <c r="G377" s="295" cm="1">
        <f t="array" aca="1" ref="G377" ca="1">INDIRECT("'"&amp;$C377&amp;"'!"&amp;"$"&amp;$D377&amp;$E$1&amp;"")</f>
        <v>0</v>
      </c>
      <c r="H377" s="296" t="s">
        <v>1</v>
      </c>
      <c r="I377" s="294" t="s">
        <v>1</v>
      </c>
      <c r="J377" s="295" cm="1">
        <f t="array" aca="1" ref="J377" ca="1">INDIRECT("'"&amp;$C377&amp;"'!"&amp;"$"&amp;$D377&amp;$J$1&amp;"")</f>
        <v>6.7</v>
      </c>
      <c r="K377" s="296"/>
      <c r="L377" s="296">
        <v>0.97</v>
      </c>
      <c r="M377" s="294">
        <v>1.77</v>
      </c>
      <c r="N377" s="295" cm="1">
        <f t="array" aca="1" ref="N377" ca="1">INDIRECT("'"&amp;$C377&amp;"'!"&amp;"$"&amp;$D377&amp;$N$1&amp;"")</f>
        <v>6.5</v>
      </c>
      <c r="O377" s="296"/>
      <c r="P377" s="296">
        <v>0.97</v>
      </c>
      <c r="Q377" s="294">
        <v>1.75</v>
      </c>
      <c r="R377" s="295" cm="1">
        <f t="array" aca="1" ref="R377" ca="1">INDIRECT("'"&amp;$C377&amp;"'!"&amp;"$"&amp;$D377&amp;$R$1&amp;"")</f>
        <v>6.5</v>
      </c>
      <c r="S377" s="296"/>
      <c r="T377" s="296">
        <v>0.95</v>
      </c>
      <c r="U377" s="294">
        <v>2.19</v>
      </c>
      <c r="V377" s="295" cm="1">
        <f t="array" aca="1" ref="V377" ca="1">INDIRECT("'"&amp;$C377&amp;"'!"&amp;"$"&amp;$D377&amp;$V$1&amp;"")</f>
        <v>2.2999999999999998</v>
      </c>
      <c r="W377" s="296">
        <f>3.8*3.55</f>
        <v>13.489999999999998</v>
      </c>
      <c r="X377" s="296">
        <v>0.98</v>
      </c>
      <c r="Y377" s="297">
        <v>0.43</v>
      </c>
      <c r="Z377" s="293" cm="1">
        <f t="array" aca="1" ref="Z377" ca="1">INDIRECT("'"&amp;$C377&amp;"'!"&amp;"$"&amp;$D377&amp;$Z$1&amp;"")</f>
        <v>0</v>
      </c>
      <c r="AA377" s="296" t="s">
        <v>1</v>
      </c>
      <c r="AB377" s="296" t="s">
        <v>1</v>
      </c>
      <c r="AC377" s="294" t="s">
        <v>1</v>
      </c>
      <c r="AD377" s="295" cm="1">
        <f t="array" aca="1" ref="AD377" ca="1">INDIRECT("'"&amp;$C377&amp;"'!"&amp;"$"&amp;$D377&amp;$AD$1&amp;"")</f>
        <v>3.4</v>
      </c>
      <c r="AE377" s="296">
        <f>3.8*3.55</f>
        <v>13.489999999999998</v>
      </c>
      <c r="AF377" s="296">
        <v>0.96</v>
      </c>
      <c r="AG377" s="297">
        <v>0.97</v>
      </c>
      <c r="AH377" s="293" cm="1">
        <f t="array" aca="1" ref="AH377" ca="1">INDIRECT("'"&amp;$C377&amp;"'!"&amp;"$"&amp;$D377&amp;$AH$1&amp;"")</f>
        <v>3.8</v>
      </c>
      <c r="AI377" s="296">
        <v>14.08</v>
      </c>
      <c r="AJ377" s="296">
        <v>0.98</v>
      </c>
      <c r="AK377" s="294">
        <v>0.77100000000000002</v>
      </c>
      <c r="AL377" s="293">
        <v>11.9</v>
      </c>
      <c r="AM377" s="297">
        <v>70.7</v>
      </c>
      <c r="AN377" s="293" cm="1">
        <f t="array" aca="1" ref="AN377" ca="1">INDIRECT("'"&amp;$C377&amp;"'!"&amp;"$"&amp;$D377&amp;$AL$1&amp;"")</f>
        <v>4</v>
      </c>
      <c r="AO377" s="296">
        <v>0.98</v>
      </c>
      <c r="AP377" s="294">
        <v>0.8</v>
      </c>
      <c r="AQ377" s="295" cm="1">
        <f t="array" aca="1" ref="AQ377" ca="1">INDIRECT("'"&amp;$C377&amp;"'!"&amp;"$"&amp;$D377&amp;$AQ$1&amp;"")</f>
        <v>4</v>
      </c>
      <c r="AR377" s="296">
        <v>0.98</v>
      </c>
      <c r="AS377" s="294">
        <v>0.7</v>
      </c>
      <c r="AT377" s="296" cm="1">
        <f t="array" aca="1" ref="AT377" ca="1">INDIRECT("'"&amp;$C377&amp;"'!"&amp;"$"&amp;$D377&amp;$AT$1&amp;"")</f>
        <v>0</v>
      </c>
      <c r="AU377" s="295" t="s">
        <v>1</v>
      </c>
      <c r="AV377" s="296" t="s">
        <v>1</v>
      </c>
      <c r="AW377" s="294" t="s">
        <v>1</v>
      </c>
      <c r="AX377" s="298">
        <v>14.2</v>
      </c>
      <c r="AY377" s="297">
        <v>71.739999999999995</v>
      </c>
      <c r="AZ377" s="298" cm="1">
        <f t="array" aca="1" ref="AZ377" ca="1">INDIRECT("'"&amp;$C377&amp;"'!"&amp;"$"&amp;$D377&amp;$AZ$1&amp;"")</f>
        <v>14.27</v>
      </c>
      <c r="BA377" s="296">
        <v>0.99</v>
      </c>
      <c r="BB377" s="294">
        <v>2.5</v>
      </c>
      <c r="BC377" s="299">
        <v>68.599999999999994</v>
      </c>
      <c r="BD377" s="293" cm="1">
        <f t="array" aca="1" ref="BD377" ca="1">INDIRECT("'"&amp;$C377&amp;"'!"&amp;"$"&amp;$D377&amp;$BC$1&amp;"")</f>
        <v>0</v>
      </c>
      <c r="BE377" s="295" t="s">
        <v>1</v>
      </c>
      <c r="BF377" s="294" t="s">
        <v>1</v>
      </c>
      <c r="BG377" s="298" cm="1">
        <f t="array" aca="1" ref="BG377" ca="1">INDIRECT("'"&amp;$C377&amp;"'!"&amp;"$"&amp;$D377&amp;$BG$1&amp;"")</f>
        <v>1.53</v>
      </c>
      <c r="BH377" s="296"/>
      <c r="BI377" s="296">
        <v>0.99</v>
      </c>
      <c r="BJ377" s="294">
        <v>0.22</v>
      </c>
      <c r="BK377" s="299" cm="1">
        <f t="array" aca="1" ref="BK377" ca="1">INDIRECT("'"&amp;$C377&amp;"'!"&amp;"$"&amp;$D377&amp;$BK$1&amp;"")</f>
        <v>0.89</v>
      </c>
      <c r="BL377" s="296"/>
      <c r="BM377" s="296">
        <v>0.97</v>
      </c>
      <c r="BN377" s="294">
        <v>0.23</v>
      </c>
      <c r="BO377" s="299" cm="1">
        <f t="array" aca="1" ref="BO377" ca="1">INDIRECT("'"&amp;$C377&amp;"'!"&amp;"$"&amp;$D377&amp;74&amp;"")</f>
        <v>0</v>
      </c>
      <c r="BP377" s="296"/>
      <c r="BQ377" s="296" t="s">
        <v>1</v>
      </c>
      <c r="BR377" s="294" t="s">
        <v>1</v>
      </c>
    </row>
    <row r="378" spans="1:70" ht="14.45" thickBot="1">
      <c r="A378" s="362">
        <v>45762</v>
      </c>
      <c r="B378" s="359">
        <v>0.95833333333333404</v>
      </c>
      <c r="C378" s="315">
        <f t="shared" si="13"/>
        <v>15</v>
      </c>
      <c r="D378" s="316" t="s">
        <v>150</v>
      </c>
      <c r="E378" s="301">
        <v>14.3</v>
      </c>
      <c r="F378" s="302">
        <v>70.239999999999995</v>
      </c>
      <c r="G378" s="303" cm="1">
        <f t="array" aca="1" ref="G378" ca="1">INDIRECT("'"&amp;$C378&amp;"'!"&amp;"$"&amp;$D378&amp;$E$1&amp;"")</f>
        <v>0</v>
      </c>
      <c r="H378" s="304" t="s">
        <v>1</v>
      </c>
      <c r="I378" s="302" t="s">
        <v>1</v>
      </c>
      <c r="J378" s="303" cm="1">
        <f t="array" aca="1" ref="J378" ca="1">INDIRECT("'"&amp;$C378&amp;"'!"&amp;"$"&amp;$D378&amp;$J$1&amp;"")</f>
        <v>6.7</v>
      </c>
      <c r="K378" s="304"/>
      <c r="L378" s="304">
        <v>0.97</v>
      </c>
      <c r="M378" s="302">
        <v>1.76</v>
      </c>
      <c r="N378" s="303" cm="1">
        <f t="array" aca="1" ref="N378" ca="1">INDIRECT("'"&amp;$C378&amp;"'!"&amp;"$"&amp;$D378&amp;$N$1&amp;"")</f>
        <v>6.5</v>
      </c>
      <c r="O378" s="304"/>
      <c r="P378" s="304">
        <v>0.97</v>
      </c>
      <c r="Q378" s="302">
        <v>1.73</v>
      </c>
      <c r="R378" s="303" cm="1">
        <f t="array" aca="1" ref="R378" ca="1">INDIRECT("'"&amp;$C378&amp;"'!"&amp;"$"&amp;$D378&amp;$R$1&amp;"")</f>
        <v>6.6</v>
      </c>
      <c r="S378" s="304"/>
      <c r="T378" s="304">
        <v>0.97</v>
      </c>
      <c r="U378" s="302">
        <v>1.74</v>
      </c>
      <c r="V378" s="303" cm="1">
        <f t="array" aca="1" ref="V378" ca="1">INDIRECT("'"&amp;$C378&amp;"'!"&amp;"$"&amp;$D378&amp;$V$1&amp;"")</f>
        <v>2.8</v>
      </c>
      <c r="W378" s="304">
        <f>3.8*3.57</f>
        <v>13.565999999999999</v>
      </c>
      <c r="X378" s="304">
        <v>0.98</v>
      </c>
      <c r="Y378" s="305">
        <v>0.45</v>
      </c>
      <c r="Z378" s="301" cm="1">
        <f t="array" aca="1" ref="Z378" ca="1">INDIRECT("'"&amp;$C378&amp;"'!"&amp;"$"&amp;$D378&amp;$Z$1&amp;"")</f>
        <v>0</v>
      </c>
      <c r="AA378" s="304" t="s">
        <v>1</v>
      </c>
      <c r="AB378" s="304" t="s">
        <v>1</v>
      </c>
      <c r="AC378" s="302" t="s">
        <v>1</v>
      </c>
      <c r="AD378" s="303" cm="1">
        <f t="array" aca="1" ref="AD378" ca="1">INDIRECT("'"&amp;$C378&amp;"'!"&amp;"$"&amp;$D378&amp;$AD$1&amp;"")</f>
        <v>3.8</v>
      </c>
      <c r="AE378" s="304">
        <v>13.57</v>
      </c>
      <c r="AF378" s="304">
        <v>0.97</v>
      </c>
      <c r="AG378" s="305">
        <v>0.88</v>
      </c>
      <c r="AH378" s="301" cm="1">
        <f t="array" aca="1" ref="AH378" ca="1">INDIRECT("'"&amp;$C378&amp;"'!"&amp;"$"&amp;$D378&amp;$AH$1&amp;"")</f>
        <v>0</v>
      </c>
      <c r="AI378" s="304" t="s">
        <v>1</v>
      </c>
      <c r="AJ378" s="304" t="s">
        <v>1</v>
      </c>
      <c r="AK378" s="302" t="s">
        <v>1</v>
      </c>
      <c r="AL378" s="301">
        <v>11.9</v>
      </c>
      <c r="AM378" s="305">
        <v>70.7</v>
      </c>
      <c r="AN378" s="301" cm="1">
        <f t="array" aca="1" ref="AN378" ca="1">INDIRECT("'"&amp;$C378&amp;"'!"&amp;"$"&amp;$D378&amp;$AL$1&amp;"")</f>
        <v>4</v>
      </c>
      <c r="AO378" s="304">
        <v>0.98</v>
      </c>
      <c r="AP378" s="302">
        <v>0.72</v>
      </c>
      <c r="AQ378" s="303" cm="1">
        <f t="array" aca="1" ref="AQ378" ca="1">INDIRECT("'"&amp;$C378&amp;"'!"&amp;"$"&amp;$D378&amp;$AQ$1&amp;"")</f>
        <v>4</v>
      </c>
      <c r="AR378" s="304">
        <v>0.98</v>
      </c>
      <c r="AS378" s="302">
        <v>0.72</v>
      </c>
      <c r="AT378" s="304" cm="1">
        <f t="array" aca="1" ref="AT378" ca="1">INDIRECT("'"&amp;$C378&amp;"'!"&amp;"$"&amp;$D378&amp;$AT$1&amp;"")</f>
        <v>0</v>
      </c>
      <c r="AU378" s="303" t="s">
        <v>1</v>
      </c>
      <c r="AV378" s="304" t="s">
        <v>1</v>
      </c>
      <c r="AW378" s="302" t="s">
        <v>1</v>
      </c>
      <c r="AX378" s="306">
        <v>14.12</v>
      </c>
      <c r="AY378" s="305">
        <v>71.540000000000006</v>
      </c>
      <c r="AZ378" s="306" cm="1">
        <f t="array" aca="1" ref="AZ378" ca="1">INDIRECT("'"&amp;$C378&amp;"'!"&amp;"$"&amp;$D378&amp;$AZ$1&amp;"")</f>
        <v>14.29</v>
      </c>
      <c r="BA378" s="304">
        <v>0.99</v>
      </c>
      <c r="BB378" s="302">
        <v>2.5</v>
      </c>
      <c r="BC378" s="307">
        <v>69</v>
      </c>
      <c r="BD378" s="301" cm="1">
        <f t="array" aca="1" ref="BD378" ca="1">INDIRECT("'"&amp;$C378&amp;"'!"&amp;"$"&amp;$D378&amp;$BC$1&amp;"")</f>
        <v>0</v>
      </c>
      <c r="BE378" s="303" t="s">
        <v>1</v>
      </c>
      <c r="BF378" s="302" t="s">
        <v>1</v>
      </c>
      <c r="BG378" s="306" cm="1">
        <f t="array" aca="1" ref="BG378" ca="1">INDIRECT("'"&amp;$C378&amp;"'!"&amp;"$"&amp;$D378&amp;$BG$1&amp;"")</f>
        <v>1.36</v>
      </c>
      <c r="BH378" s="304"/>
      <c r="BI378" s="304">
        <v>0.99</v>
      </c>
      <c r="BJ378" s="302">
        <v>0.22</v>
      </c>
      <c r="BK378" s="307" cm="1">
        <f t="array" aca="1" ref="BK378" ca="1">INDIRECT("'"&amp;$C378&amp;"'!"&amp;"$"&amp;$D378&amp;$BK$1&amp;"")</f>
        <v>0.86</v>
      </c>
      <c r="BL378" s="304"/>
      <c r="BM378" s="304">
        <v>0.97</v>
      </c>
      <c r="BN378" s="302">
        <v>0.22</v>
      </c>
      <c r="BO378" s="307" cm="1">
        <f t="array" aca="1" ref="BO378" ca="1">INDIRECT("'"&amp;$C378&amp;"'!"&amp;"$"&amp;$D378&amp;74&amp;"")</f>
        <v>0</v>
      </c>
      <c r="BP378" s="304"/>
      <c r="BQ378" s="304" t="s">
        <v>1</v>
      </c>
      <c r="BR378" s="302" t="s">
        <v>1</v>
      </c>
    </row>
    <row r="379" spans="1:70" ht="14.45" thickBot="1"/>
    <row r="380" spans="1:70">
      <c r="A380" s="360">
        <v>45763</v>
      </c>
      <c r="B380" s="357">
        <v>0</v>
      </c>
      <c r="C380" s="310">
        <f>C355+1</f>
        <v>16</v>
      </c>
      <c r="D380" s="311" t="s">
        <v>127</v>
      </c>
      <c r="E380" s="280">
        <v>14.3</v>
      </c>
      <c r="F380" s="281">
        <v>69.69</v>
      </c>
      <c r="G380" s="282" cm="1">
        <f t="array" aca="1" ref="G380" ca="1">INDIRECT("'"&amp;$C380&amp;"'!"&amp;"$"&amp;$D380&amp;$E$1&amp;"")</f>
        <v>0</v>
      </c>
      <c r="H380" s="283" t="s">
        <v>1</v>
      </c>
      <c r="I380" s="281" t="s">
        <v>1</v>
      </c>
      <c r="J380" s="282" cm="1">
        <f t="array" aca="1" ref="J380" ca="1">INDIRECT("'"&amp;$C380&amp;"'!"&amp;"$"&amp;$D380&amp;$J$1&amp;"")</f>
        <v>6.7</v>
      </c>
      <c r="K380" s="283"/>
      <c r="L380" s="283">
        <v>0.97</v>
      </c>
      <c r="M380" s="281">
        <v>1.97</v>
      </c>
      <c r="N380" s="282" cm="1">
        <f t="array" aca="1" ref="N380" ca="1">INDIRECT("'"&amp;$C380&amp;"'!"&amp;"$"&amp;$D380&amp;$N$1&amp;"")</f>
        <v>6.7</v>
      </c>
      <c r="O380" s="283"/>
      <c r="P380" s="283">
        <v>0.97</v>
      </c>
      <c r="Q380" s="281">
        <v>1.78</v>
      </c>
      <c r="R380" s="282" cm="1">
        <f t="array" aca="1" ref="R380" ca="1">INDIRECT("'"&amp;$C380&amp;"'!"&amp;"$"&amp;$D380&amp;$R$1&amp;"")</f>
        <v>6.7</v>
      </c>
      <c r="S380" s="283"/>
      <c r="T380" s="283">
        <v>0.97</v>
      </c>
      <c r="U380" s="281">
        <v>1.8</v>
      </c>
      <c r="V380" s="282" cm="1">
        <f t="array" aca="1" ref="V380" ca="1">INDIRECT("'"&amp;$C380&amp;"'!"&amp;"$"&amp;$D380&amp;$V$1&amp;"")</f>
        <v>0</v>
      </c>
      <c r="W380" s="283" t="s">
        <v>1</v>
      </c>
      <c r="X380" s="283" t="s">
        <v>1</v>
      </c>
      <c r="Y380" s="284" t="s">
        <v>1</v>
      </c>
      <c r="Z380" s="280" cm="1">
        <f t="array" aca="1" ref="Z380" ca="1">INDIRECT("'"&amp;$C380&amp;"'!"&amp;"$"&amp;$D380&amp;$Z$1&amp;"")</f>
        <v>0</v>
      </c>
      <c r="AA380" s="283" t="s">
        <v>1</v>
      </c>
      <c r="AB380" s="283" t="s">
        <v>1</v>
      </c>
      <c r="AC380" s="281" t="s">
        <v>1</v>
      </c>
      <c r="AD380" s="282" cm="1">
        <f t="array" aca="1" ref="AD380" ca="1">INDIRECT("'"&amp;$C380&amp;"'!"&amp;"$"&amp;$D380&amp;$AD$1&amp;"")</f>
        <v>3.8</v>
      </c>
      <c r="AE380" s="283">
        <f>3.8*3.6</f>
        <v>13.68</v>
      </c>
      <c r="AF380" s="283">
        <v>0.98</v>
      </c>
      <c r="AG380" s="281">
        <v>0.71</v>
      </c>
      <c r="AH380" s="280" cm="1">
        <f t="array" aca="1" ref="AH380" ca="1">INDIRECT("'"&amp;$C380&amp;"'!"&amp;"$"&amp;$D380&amp;$AH$1&amp;"")</f>
        <v>0</v>
      </c>
      <c r="AI380" s="283" t="s">
        <v>1</v>
      </c>
      <c r="AJ380" s="283" t="s">
        <v>1</v>
      </c>
      <c r="AK380" s="281" t="s">
        <v>1</v>
      </c>
      <c r="AL380" s="280">
        <v>11.9</v>
      </c>
      <c r="AM380" s="284">
        <v>71</v>
      </c>
      <c r="AN380" s="280" cm="1">
        <f t="array" aca="1" ref="AN380" ca="1">INDIRECT("'"&amp;$C380&amp;"'!"&amp;"$"&amp;$D380&amp;$AL$1&amp;"")</f>
        <v>3</v>
      </c>
      <c r="AO380" s="283">
        <v>0.98</v>
      </c>
      <c r="AP380" s="281">
        <v>0.55000000000000004</v>
      </c>
      <c r="AQ380" s="282" cm="1">
        <f t="array" aca="1" ref="AQ380" ca="1">INDIRECT("'"&amp;$C380&amp;"'!"&amp;"$"&amp;$D380&amp;$AQ$1&amp;"")</f>
        <v>3</v>
      </c>
      <c r="AR380" s="283">
        <v>0.98</v>
      </c>
      <c r="AS380" s="281">
        <v>0.55000000000000004</v>
      </c>
      <c r="AT380" s="283" cm="1">
        <f t="array" aca="1" ref="AT380" ca="1">INDIRECT("'"&amp;$C380&amp;"'!"&amp;"$"&amp;$D380&amp;$AT$1&amp;"")</f>
        <v>0</v>
      </c>
      <c r="AU380" s="282" t="s">
        <v>1</v>
      </c>
      <c r="AV380" s="283" t="s">
        <v>1</v>
      </c>
      <c r="AW380" s="281" t="s">
        <v>1</v>
      </c>
      <c r="AX380" s="285">
        <v>14.2</v>
      </c>
      <c r="AY380" s="284">
        <v>71.87</v>
      </c>
      <c r="AZ380" s="285" cm="1">
        <f t="array" aca="1" ref="AZ380" ca="1">INDIRECT("'"&amp;$C380&amp;"'!"&amp;"$"&amp;$D380&amp;$AZ$1&amp;"")</f>
        <v>14.27</v>
      </c>
      <c r="BA380" s="283">
        <v>0.99</v>
      </c>
      <c r="BB380" s="281">
        <v>2.5</v>
      </c>
      <c r="BC380" s="281">
        <v>69</v>
      </c>
      <c r="BD380" s="280" cm="1">
        <f t="array" aca="1" ref="BD380" ca="1">INDIRECT("'"&amp;$C380&amp;"'!"&amp;"$"&amp;$D380&amp;$BC$1&amp;"")</f>
        <v>0</v>
      </c>
      <c r="BE380" s="282" t="s">
        <v>1</v>
      </c>
      <c r="BF380" s="281" t="s">
        <v>1</v>
      </c>
      <c r="BG380" s="285" cm="1">
        <f t="array" aca="1" ref="BG380" ca="1">INDIRECT("'"&amp;$C380&amp;"'!"&amp;"$"&amp;$D380&amp;$BG$1&amp;"")</f>
        <v>1.23</v>
      </c>
      <c r="BH380" s="283"/>
      <c r="BI380" s="283">
        <v>0.98</v>
      </c>
      <c r="BJ380" s="281">
        <v>0.21</v>
      </c>
      <c r="BK380" s="285" cm="1">
        <f t="array" aca="1" ref="BK380" ca="1">INDIRECT("'"&amp;$C380&amp;"'!"&amp;"$"&amp;$D380&amp;$BK$1&amp;"")</f>
        <v>0.82</v>
      </c>
      <c r="BL380" s="283"/>
      <c r="BM380" s="283">
        <v>0.97</v>
      </c>
      <c r="BN380" s="281">
        <v>0.2</v>
      </c>
    </row>
    <row r="381" spans="1:70">
      <c r="A381" s="361">
        <v>45763</v>
      </c>
      <c r="B381" s="358">
        <v>4.1666666666666699E-2</v>
      </c>
      <c r="C381" s="313">
        <f t="shared" ref="C381:C403" si="14">C356+1</f>
        <v>16</v>
      </c>
      <c r="D381" s="314" t="s">
        <v>128</v>
      </c>
      <c r="E381" s="286">
        <v>14.3</v>
      </c>
      <c r="F381" s="287">
        <v>69.97</v>
      </c>
      <c r="G381" s="288" cm="1">
        <f t="array" aca="1" ref="G381" ca="1">INDIRECT("'"&amp;$C381&amp;"'!"&amp;"$"&amp;$D381&amp;$E$1&amp;"")</f>
        <v>6.7</v>
      </c>
      <c r="H381" s="289">
        <v>0.98</v>
      </c>
      <c r="I381" s="287">
        <v>1.28</v>
      </c>
      <c r="J381" s="288" cm="1">
        <f t="array" aca="1" ref="J381" ca="1">INDIRECT("'"&amp;$C381&amp;"'!"&amp;"$"&amp;$D381&amp;$J$1&amp;"")</f>
        <v>6.7</v>
      </c>
      <c r="K381" s="289"/>
      <c r="L381" s="289">
        <v>0.98</v>
      </c>
      <c r="M381" s="287">
        <v>1.29</v>
      </c>
      <c r="N381" s="288" cm="1">
        <f t="array" aca="1" ref="N381" ca="1">INDIRECT("'"&amp;$C381&amp;"'!"&amp;"$"&amp;$D381&amp;$N$1&amp;"")</f>
        <v>0</v>
      </c>
      <c r="O381" s="289"/>
      <c r="P381" s="289" t="s">
        <v>1</v>
      </c>
      <c r="Q381" s="287" t="s">
        <v>1</v>
      </c>
      <c r="R381" s="288" cm="1">
        <f t="array" aca="1" ref="R381" ca="1">INDIRECT("'"&amp;$C381&amp;"'!"&amp;"$"&amp;$D381&amp;$R$1&amp;"")</f>
        <v>6.7</v>
      </c>
      <c r="S381" s="289"/>
      <c r="T381" s="289">
        <v>0.95</v>
      </c>
      <c r="U381" s="287">
        <v>2.21</v>
      </c>
      <c r="V381" s="288" cm="1">
        <f t="array" aca="1" ref="V381" ca="1">INDIRECT("'"&amp;$C381&amp;"'!"&amp;"$"&amp;$D381&amp;$V$1&amp;"")</f>
        <v>0</v>
      </c>
      <c r="W381" s="289" t="s">
        <v>1</v>
      </c>
      <c r="X381" s="289" t="s">
        <v>1</v>
      </c>
      <c r="Y381" s="290" t="s">
        <v>1</v>
      </c>
      <c r="Z381" s="286" cm="1">
        <f t="array" aca="1" ref="Z381" ca="1">INDIRECT("'"&amp;$C381&amp;"'!"&amp;"$"&amp;$D381&amp;$Z$1&amp;"")</f>
        <v>0</v>
      </c>
      <c r="AA381" s="289" t="s">
        <v>1</v>
      </c>
      <c r="AB381" s="289" t="s">
        <v>1</v>
      </c>
      <c r="AC381" s="287" t="s">
        <v>1</v>
      </c>
      <c r="AD381" s="288" cm="1">
        <f t="array" aca="1" ref="AD381" ca="1">INDIRECT("'"&amp;$C381&amp;"'!"&amp;"$"&amp;$D381&amp;$AD$1&amp;"")</f>
        <v>0</v>
      </c>
      <c r="AE381" s="289" t="s">
        <v>1</v>
      </c>
      <c r="AF381" s="289" t="s">
        <v>1</v>
      </c>
      <c r="AG381" s="290" t="s">
        <v>1</v>
      </c>
      <c r="AH381" s="286" cm="1">
        <f t="array" aca="1" ref="AH381" ca="1">INDIRECT("'"&amp;$C381&amp;"'!"&amp;"$"&amp;$D381&amp;$AH$1&amp;"")</f>
        <v>0</v>
      </c>
      <c r="AI381" s="289" t="s">
        <v>1</v>
      </c>
      <c r="AJ381" s="289" t="s">
        <v>1</v>
      </c>
      <c r="AK381" s="290" t="s">
        <v>1</v>
      </c>
      <c r="AL381" s="286">
        <v>11.9</v>
      </c>
      <c r="AM381" s="290">
        <v>70.599999999999994</v>
      </c>
      <c r="AN381" s="286" cm="1">
        <f t="array" aca="1" ref="AN381" ca="1">INDIRECT("'"&amp;$C381&amp;"'!"&amp;"$"&amp;$D381&amp;$AL$1&amp;"")</f>
        <v>3.5</v>
      </c>
      <c r="AO381" s="289">
        <v>0.99</v>
      </c>
      <c r="AP381" s="287">
        <v>0.7</v>
      </c>
      <c r="AQ381" s="288" cm="1">
        <f t="array" aca="1" ref="AQ381" ca="1">INDIRECT("'"&amp;$C381&amp;"'!"&amp;"$"&amp;$D381&amp;$AQ$1&amp;"")</f>
        <v>4</v>
      </c>
      <c r="AR381" s="289">
        <v>0.99</v>
      </c>
      <c r="AS381" s="287">
        <v>0.6</v>
      </c>
      <c r="AT381" s="289" cm="1">
        <f t="array" aca="1" ref="AT381" ca="1">INDIRECT("'"&amp;$C381&amp;"'!"&amp;"$"&amp;$D381&amp;$AT$1&amp;"")</f>
        <v>0</v>
      </c>
      <c r="AU381" s="288" t="s">
        <v>1</v>
      </c>
      <c r="AV381" s="289" t="s">
        <v>1</v>
      </c>
      <c r="AW381" s="287" t="s">
        <v>1</v>
      </c>
      <c r="AX381" s="291">
        <v>14.17</v>
      </c>
      <c r="AY381" s="290">
        <v>71.709999999999994</v>
      </c>
      <c r="AZ381" s="291" cm="1">
        <f t="array" aca="1" ref="AZ381" ca="1">INDIRECT("'"&amp;$C381&amp;"'!"&amp;"$"&amp;$D381&amp;$AZ$1&amp;"")</f>
        <v>13.76</v>
      </c>
      <c r="BA381" s="289">
        <v>0.999</v>
      </c>
      <c r="BB381" s="287">
        <v>2.4</v>
      </c>
      <c r="BC381" s="292">
        <v>68.900000000000006</v>
      </c>
      <c r="BD381" s="286" cm="1">
        <f t="array" aca="1" ref="BD381" ca="1">INDIRECT("'"&amp;$C381&amp;"'!"&amp;"$"&amp;$D381&amp;$BC$1&amp;"")</f>
        <v>0</v>
      </c>
      <c r="BE381" s="288" t="s">
        <v>1</v>
      </c>
      <c r="BF381" s="287" t="s">
        <v>1</v>
      </c>
      <c r="BG381" s="291" cm="1">
        <f t="array" aca="1" ref="BG381" ca="1">INDIRECT("'"&amp;$C381&amp;"'!"&amp;"$"&amp;$D381&amp;$BG$1&amp;"")</f>
        <v>1.08</v>
      </c>
      <c r="BH381" s="289"/>
      <c r="BI381" s="289">
        <v>0.99</v>
      </c>
      <c r="BJ381" s="287">
        <v>0.19</v>
      </c>
      <c r="BK381" s="291" cm="1">
        <f t="array" aca="1" ref="BK381" ca="1">INDIRECT("'"&amp;$C381&amp;"'!"&amp;"$"&amp;$D381&amp;$BK$1&amp;"")</f>
        <v>0.78</v>
      </c>
      <c r="BL381" s="289"/>
      <c r="BM381" s="289">
        <v>0.97</v>
      </c>
      <c r="BN381" s="287">
        <v>0.2</v>
      </c>
    </row>
    <row r="382" spans="1:70">
      <c r="A382" s="361">
        <v>45763</v>
      </c>
      <c r="B382" s="358">
        <v>8.3333333333333301E-2</v>
      </c>
      <c r="C382" s="313">
        <f t="shared" si="14"/>
        <v>16</v>
      </c>
      <c r="D382" s="314" t="s">
        <v>129</v>
      </c>
      <c r="E382" s="293">
        <v>14.3</v>
      </c>
      <c r="F382" s="294">
        <v>69.510000000000005</v>
      </c>
      <c r="G382" s="295" cm="1">
        <f t="array" aca="1" ref="G382" ca="1">INDIRECT("'"&amp;$C382&amp;"'!"&amp;"$"&amp;$D382&amp;$E$1&amp;"")</f>
        <v>6.7</v>
      </c>
      <c r="H382" s="296">
        <v>0.97</v>
      </c>
      <c r="I382" s="294">
        <v>1.58</v>
      </c>
      <c r="J382" s="295" cm="1">
        <f t="array" aca="1" ref="J382" ca="1">INDIRECT("'"&amp;$C382&amp;"'!"&amp;"$"&amp;$D382&amp;$J$1&amp;"")</f>
        <v>6.6</v>
      </c>
      <c r="K382" s="296"/>
      <c r="L382" s="296">
        <v>0.98</v>
      </c>
      <c r="M382" s="294">
        <v>1.29</v>
      </c>
      <c r="N382" s="295" cm="1">
        <f t="array" aca="1" ref="N382" ca="1">INDIRECT("'"&amp;$C382&amp;"'!"&amp;"$"&amp;$D382&amp;$N$1&amp;"")</f>
        <v>0</v>
      </c>
      <c r="O382" s="296"/>
      <c r="P382" s="296" t="s">
        <v>1</v>
      </c>
      <c r="Q382" s="294" t="s">
        <v>1</v>
      </c>
      <c r="R382" s="295" cm="1">
        <f t="array" aca="1" ref="R382" ca="1">INDIRECT("'"&amp;$C382&amp;"'!"&amp;"$"&amp;$D382&amp;$R$1&amp;"")</f>
        <v>6.6</v>
      </c>
      <c r="S382" s="296"/>
      <c r="T382" s="296">
        <v>0.98</v>
      </c>
      <c r="U382" s="294">
        <v>1.3</v>
      </c>
      <c r="V382" s="295" cm="1">
        <f t="array" aca="1" ref="V382" ca="1">INDIRECT("'"&amp;$C382&amp;"'!"&amp;"$"&amp;$D382&amp;$V$1&amp;"")</f>
        <v>0</v>
      </c>
      <c r="W382" s="296" t="s">
        <v>1</v>
      </c>
      <c r="X382" s="296" t="s">
        <v>1</v>
      </c>
      <c r="Y382" s="297" t="s">
        <v>1</v>
      </c>
      <c r="Z382" s="293" cm="1">
        <f t="array" aca="1" ref="Z382" ca="1">INDIRECT("'"&amp;$C382&amp;"'!"&amp;"$"&amp;$D382&amp;$Z$1&amp;"")</f>
        <v>0</v>
      </c>
      <c r="AA382" s="296" t="s">
        <v>1</v>
      </c>
      <c r="AB382" s="296" t="s">
        <v>1</v>
      </c>
      <c r="AC382" s="294" t="s">
        <v>1</v>
      </c>
      <c r="AD382" s="295" cm="1">
        <f t="array" aca="1" ref="AD382" ca="1">INDIRECT("'"&amp;$C382&amp;"'!"&amp;"$"&amp;$D382&amp;$AD$1&amp;"")</f>
        <v>0</v>
      </c>
      <c r="AE382" s="296" t="s">
        <v>1</v>
      </c>
      <c r="AF382" s="296" t="s">
        <v>1</v>
      </c>
      <c r="AG382" s="297" t="s">
        <v>1</v>
      </c>
      <c r="AH382" s="293" cm="1">
        <f t="array" aca="1" ref="AH382" ca="1">INDIRECT("'"&amp;$C382&amp;"'!"&amp;"$"&amp;$D382&amp;$AH$1&amp;"")</f>
        <v>0</v>
      </c>
      <c r="AI382" s="296" t="s">
        <v>1</v>
      </c>
      <c r="AJ382" s="296" t="s">
        <v>1</v>
      </c>
      <c r="AK382" s="297" t="s">
        <v>1</v>
      </c>
      <c r="AL382" s="293">
        <v>11.9</v>
      </c>
      <c r="AM382" s="297">
        <v>70.900000000000006</v>
      </c>
      <c r="AN382" s="293" cm="1">
        <f t="array" aca="1" ref="AN382" ca="1">INDIRECT("'"&amp;$C382&amp;"'!"&amp;"$"&amp;$D382&amp;$AL$1&amp;"")</f>
        <v>2.9</v>
      </c>
      <c r="AO382" s="296">
        <v>0.99</v>
      </c>
      <c r="AP382" s="294">
        <v>0.2</v>
      </c>
      <c r="AQ382" s="295" cm="1">
        <f t="array" aca="1" ref="AQ382" ca="1">INDIRECT("'"&amp;$C382&amp;"'!"&amp;"$"&amp;$D382&amp;$AQ$1&amp;"")</f>
        <v>2.9</v>
      </c>
      <c r="AR382" s="296">
        <v>0.99</v>
      </c>
      <c r="AS382" s="294">
        <v>0.2</v>
      </c>
      <c r="AT382" s="296" cm="1">
        <f t="array" aca="1" ref="AT382" ca="1">INDIRECT("'"&amp;$C382&amp;"'!"&amp;"$"&amp;$D382&amp;$AT$1&amp;"")</f>
        <v>0</v>
      </c>
      <c r="AU382" s="295" t="s">
        <v>1</v>
      </c>
      <c r="AV382" s="296" t="s">
        <v>1</v>
      </c>
      <c r="AW382" s="294" t="s">
        <v>1</v>
      </c>
      <c r="AX382" s="298">
        <v>14.18</v>
      </c>
      <c r="AY382" s="297">
        <v>71.84</v>
      </c>
      <c r="AZ382" s="298" cm="1">
        <f t="array" aca="1" ref="AZ382" ca="1">INDIRECT("'"&amp;$C382&amp;"'!"&amp;"$"&amp;$D382&amp;$AZ$1&amp;"")</f>
        <v>13.29</v>
      </c>
      <c r="BA382" s="296">
        <v>0.99</v>
      </c>
      <c r="BB382" s="294">
        <v>2.2999999999999998</v>
      </c>
      <c r="BC382" s="299">
        <v>69.2</v>
      </c>
      <c r="BD382" s="293" cm="1">
        <f t="array" aca="1" ref="BD382" ca="1">INDIRECT("'"&amp;$C382&amp;"'!"&amp;"$"&amp;$D382&amp;$BC$1&amp;"")</f>
        <v>0</v>
      </c>
      <c r="BE382" s="295" t="s">
        <v>1</v>
      </c>
      <c r="BF382" s="294" t="s">
        <v>1</v>
      </c>
      <c r="BG382" s="298" cm="1">
        <f t="array" aca="1" ref="BG382" ca="1">INDIRECT("'"&amp;$C382&amp;"'!"&amp;"$"&amp;$D382&amp;$BG$1&amp;"")</f>
        <v>1.06</v>
      </c>
      <c r="BH382" s="296"/>
      <c r="BI382" s="296">
        <v>0.98</v>
      </c>
      <c r="BJ382" s="294">
        <v>0.17</v>
      </c>
      <c r="BK382" s="298" cm="1">
        <f t="array" aca="1" ref="BK382" ca="1">INDIRECT("'"&amp;$C382&amp;"'!"&amp;"$"&amp;$D382&amp;$BK$1&amp;"")</f>
        <v>0.75</v>
      </c>
      <c r="BL382" s="296"/>
      <c r="BM382" s="296">
        <v>0.97</v>
      </c>
      <c r="BN382" s="294">
        <v>0.2</v>
      </c>
    </row>
    <row r="383" spans="1:70">
      <c r="A383" s="361">
        <v>45763</v>
      </c>
      <c r="B383" s="358">
        <v>0.125</v>
      </c>
      <c r="C383" s="313">
        <f t="shared" si="14"/>
        <v>16</v>
      </c>
      <c r="D383" s="314" t="s">
        <v>130</v>
      </c>
      <c r="E383" s="286">
        <v>14.2</v>
      </c>
      <c r="F383" s="287">
        <v>70.44</v>
      </c>
      <c r="G383" s="288" cm="1">
        <f t="array" aca="1" ref="G383" ca="1">INDIRECT("'"&amp;$C383&amp;"'!"&amp;"$"&amp;$D383&amp;$E$1&amp;"")</f>
        <v>6.7</v>
      </c>
      <c r="H383" s="289">
        <v>0.97</v>
      </c>
      <c r="I383" s="287">
        <v>1.61</v>
      </c>
      <c r="J383" s="288" cm="1">
        <f t="array" aca="1" ref="J383" ca="1">INDIRECT("'"&amp;$C383&amp;"'!"&amp;"$"&amp;$D383&amp;$J$1&amp;"")</f>
        <v>0</v>
      </c>
      <c r="K383" s="289"/>
      <c r="L383" s="289" t="s">
        <v>1</v>
      </c>
      <c r="M383" s="287" t="s">
        <v>1</v>
      </c>
      <c r="N383" s="288" cm="1">
        <f t="array" aca="1" ref="N383" ca="1">INDIRECT("'"&amp;$C383&amp;"'!"&amp;"$"&amp;$D383&amp;$N$1&amp;"")</f>
        <v>0</v>
      </c>
      <c r="O383" s="289"/>
      <c r="P383" s="289" t="s">
        <v>1</v>
      </c>
      <c r="Q383" s="287" t="s">
        <v>1</v>
      </c>
      <c r="R383" s="288" cm="1">
        <f t="array" aca="1" ref="R383" ca="1">INDIRECT("'"&amp;$C383&amp;"'!"&amp;"$"&amp;$D383&amp;$R$1&amp;"")</f>
        <v>6.7</v>
      </c>
      <c r="S383" s="289"/>
      <c r="T383" s="289">
        <v>0.97</v>
      </c>
      <c r="U383" s="287">
        <v>1.6</v>
      </c>
      <c r="V383" s="288" cm="1">
        <f t="array" aca="1" ref="V383" ca="1">INDIRECT("'"&amp;$C383&amp;"'!"&amp;"$"&amp;$D383&amp;$V$1&amp;"")</f>
        <v>0</v>
      </c>
      <c r="W383" s="289" t="s">
        <v>1</v>
      </c>
      <c r="X383" s="289" t="s">
        <v>1</v>
      </c>
      <c r="Y383" s="290" t="s">
        <v>1</v>
      </c>
      <c r="Z383" s="286" cm="1">
        <f t="array" aca="1" ref="Z383" ca="1">INDIRECT("'"&amp;$C383&amp;"'!"&amp;"$"&amp;$D383&amp;$Z$1&amp;"")</f>
        <v>0</v>
      </c>
      <c r="AA383" s="289" t="s">
        <v>1</v>
      </c>
      <c r="AB383" s="289" t="s">
        <v>1</v>
      </c>
      <c r="AC383" s="287" t="s">
        <v>1</v>
      </c>
      <c r="AD383" s="288" cm="1">
        <f t="array" aca="1" ref="AD383" ca="1">INDIRECT("'"&amp;$C383&amp;"'!"&amp;"$"&amp;$D383&amp;$AD$1&amp;"")</f>
        <v>0</v>
      </c>
      <c r="AE383" s="289" t="s">
        <v>1</v>
      </c>
      <c r="AF383" s="289" t="s">
        <v>1</v>
      </c>
      <c r="AG383" s="287" t="s">
        <v>1</v>
      </c>
      <c r="AH383" s="286" cm="1">
        <f t="array" aca="1" ref="AH383" ca="1">INDIRECT("'"&amp;$C383&amp;"'!"&amp;"$"&amp;$D383&amp;$AH$1&amp;"")</f>
        <v>0</v>
      </c>
      <c r="AI383" s="289" t="s">
        <v>1</v>
      </c>
      <c r="AJ383" s="289" t="s">
        <v>1</v>
      </c>
      <c r="AK383" s="287" t="s">
        <v>1</v>
      </c>
      <c r="AL383" s="286">
        <v>11.9</v>
      </c>
      <c r="AM383" s="290">
        <v>71.099999999999994</v>
      </c>
      <c r="AN383" s="286" cm="1">
        <f t="array" aca="1" ref="AN383" ca="1">INDIRECT("'"&amp;$C383&amp;"'!"&amp;"$"&amp;$D383&amp;$AL$1&amp;"")</f>
        <v>4</v>
      </c>
      <c r="AO383" s="289">
        <v>1</v>
      </c>
      <c r="AP383" s="287">
        <v>0.1</v>
      </c>
      <c r="AQ383" s="288" cm="1">
        <f t="array" aca="1" ref="AQ383" ca="1">INDIRECT("'"&amp;$C383&amp;"'!"&amp;"$"&amp;$D383&amp;$AQ$1&amp;"")</f>
        <v>4</v>
      </c>
      <c r="AR383" s="289">
        <v>1</v>
      </c>
      <c r="AS383" s="287">
        <v>0.1</v>
      </c>
      <c r="AT383" s="289" cm="1">
        <f t="array" aca="1" ref="AT383" ca="1">INDIRECT("'"&amp;$C383&amp;"'!"&amp;"$"&amp;$D383&amp;$AT$1&amp;"")</f>
        <v>0</v>
      </c>
      <c r="AU383" s="288" t="s">
        <v>1</v>
      </c>
      <c r="AV383" s="289" t="s">
        <v>1</v>
      </c>
      <c r="AW383" s="287" t="s">
        <v>1</v>
      </c>
      <c r="AX383" s="291">
        <v>14.24</v>
      </c>
      <c r="AY383" s="290">
        <v>72.099999999999994</v>
      </c>
      <c r="AZ383" s="291" cm="1">
        <f t="array" aca="1" ref="AZ383" ca="1">INDIRECT("'"&amp;$C383&amp;"'!"&amp;"$"&amp;$D383&amp;$AZ$1&amp;"")</f>
        <v>14.28</v>
      </c>
      <c r="BA383" s="289">
        <v>0.99</v>
      </c>
      <c r="BB383" s="287">
        <v>2.4</v>
      </c>
      <c r="BC383" s="292">
        <v>69.2</v>
      </c>
      <c r="BD383" s="286" cm="1">
        <f t="array" aca="1" ref="BD383" ca="1">INDIRECT("'"&amp;$C383&amp;"'!"&amp;"$"&amp;$D383&amp;$BC$1&amp;"")</f>
        <v>1.5</v>
      </c>
      <c r="BE383" s="288">
        <v>0.98</v>
      </c>
      <c r="BF383" s="287">
        <v>0.28000000000000003</v>
      </c>
      <c r="BG383" s="291" cm="1">
        <f t="array" aca="1" ref="BG383" ca="1">INDIRECT("'"&amp;$C383&amp;"'!"&amp;"$"&amp;$D383&amp;$BG$1&amp;"")</f>
        <v>0.95</v>
      </c>
      <c r="BH383" s="289"/>
      <c r="BI383" s="289">
        <v>0.98</v>
      </c>
      <c r="BJ383" s="287">
        <v>0.15</v>
      </c>
      <c r="BK383" s="291" cm="1">
        <f t="array" aca="1" ref="BK383" ca="1">INDIRECT("'"&amp;$C383&amp;"'!"&amp;"$"&amp;$D383&amp;$BK$1&amp;"")</f>
        <v>0.72</v>
      </c>
      <c r="BL383" s="289"/>
      <c r="BM383" s="289">
        <v>0.97</v>
      </c>
      <c r="BN383" s="287">
        <v>0.19</v>
      </c>
    </row>
    <row r="384" spans="1:70">
      <c r="A384" s="361">
        <v>45763</v>
      </c>
      <c r="B384" s="358">
        <v>0.16666666666666699</v>
      </c>
      <c r="C384" s="313">
        <f t="shared" si="14"/>
        <v>16</v>
      </c>
      <c r="D384" s="314" t="s">
        <v>131</v>
      </c>
      <c r="E384" s="293">
        <v>14.2</v>
      </c>
      <c r="F384" s="294">
        <v>70.12</v>
      </c>
      <c r="G384" s="295" cm="1">
        <f t="array" aca="1" ref="G384" ca="1">INDIRECT("'"&amp;$C384&amp;"'!"&amp;"$"&amp;$D384&amp;$E$1&amp;"")</f>
        <v>6.7</v>
      </c>
      <c r="H384" s="296">
        <v>0.97</v>
      </c>
      <c r="I384" s="294">
        <v>1.6</v>
      </c>
      <c r="J384" s="295" cm="1">
        <f t="array" aca="1" ref="J384" ca="1">INDIRECT("'"&amp;$C384&amp;"'!"&amp;"$"&amp;$D384&amp;$J$1&amp;"")</f>
        <v>0</v>
      </c>
      <c r="K384" s="296"/>
      <c r="L384" s="296" t="s">
        <v>1</v>
      </c>
      <c r="M384" s="294" t="s">
        <v>1</v>
      </c>
      <c r="N384" s="295" cm="1">
        <f t="array" aca="1" ref="N384" ca="1">INDIRECT("'"&amp;$C384&amp;"'!"&amp;"$"&amp;$D384&amp;$N$1&amp;"")</f>
        <v>0</v>
      </c>
      <c r="O384" s="296"/>
      <c r="P384" s="296" t="s">
        <v>1</v>
      </c>
      <c r="Q384" s="294" t="s">
        <v>1</v>
      </c>
      <c r="R384" s="295" cm="1">
        <f t="array" aca="1" ref="R384" ca="1">INDIRECT("'"&amp;$C384&amp;"'!"&amp;"$"&amp;$D384&amp;$R$1&amp;"")</f>
        <v>6.7</v>
      </c>
      <c r="S384" s="296"/>
      <c r="T384" s="296">
        <v>0.95</v>
      </c>
      <c r="U384" s="294">
        <v>2.14</v>
      </c>
      <c r="V384" s="295" cm="1">
        <f t="array" aca="1" ref="V384" ca="1">INDIRECT("'"&amp;$C384&amp;"'!"&amp;"$"&amp;$D384&amp;$V$1&amp;"")</f>
        <v>0</v>
      </c>
      <c r="W384" s="296" t="s">
        <v>1</v>
      </c>
      <c r="X384" s="296" t="s">
        <v>1</v>
      </c>
      <c r="Y384" s="297" t="s">
        <v>1</v>
      </c>
      <c r="Z384" s="293" cm="1">
        <f t="array" aca="1" ref="Z384" ca="1">INDIRECT("'"&amp;$C384&amp;"'!"&amp;"$"&amp;$D384&amp;$Z$1&amp;"")</f>
        <v>0</v>
      </c>
      <c r="AA384" s="296" t="s">
        <v>1</v>
      </c>
      <c r="AB384" s="296" t="s">
        <v>1</v>
      </c>
      <c r="AC384" s="294" t="s">
        <v>1</v>
      </c>
      <c r="AD384" s="295" cm="1">
        <f t="array" aca="1" ref="AD384" ca="1">INDIRECT("'"&amp;$C384&amp;"'!"&amp;"$"&amp;$D384&amp;$AD$1&amp;"")</f>
        <v>0</v>
      </c>
      <c r="AE384" s="296" t="s">
        <v>1</v>
      </c>
      <c r="AF384" s="296" t="s">
        <v>1</v>
      </c>
      <c r="AG384" s="294" t="s">
        <v>1</v>
      </c>
      <c r="AH384" s="293" cm="1">
        <f t="array" aca="1" ref="AH384" ca="1">INDIRECT("'"&amp;$C384&amp;"'!"&amp;"$"&amp;$D384&amp;$AH$1&amp;"")</f>
        <v>0</v>
      </c>
      <c r="AI384" s="296" t="s">
        <v>1</v>
      </c>
      <c r="AJ384" s="296" t="s">
        <v>1</v>
      </c>
      <c r="AK384" s="294" t="s">
        <v>1</v>
      </c>
      <c r="AL384" s="293">
        <v>11.9</v>
      </c>
      <c r="AM384" s="297">
        <v>70.900000000000006</v>
      </c>
      <c r="AN384" s="293" cm="1">
        <f t="array" aca="1" ref="AN384" ca="1">INDIRECT("'"&amp;$C384&amp;"'!"&amp;"$"&amp;$D384&amp;$AL$1&amp;"")</f>
        <v>4</v>
      </c>
      <c r="AO384" s="296">
        <v>1</v>
      </c>
      <c r="AP384" s="294">
        <v>0.3</v>
      </c>
      <c r="AQ384" s="295" cm="1">
        <f t="array" aca="1" ref="AQ384" ca="1">INDIRECT("'"&amp;$C384&amp;"'!"&amp;"$"&amp;$D384&amp;$AQ$1&amp;"")</f>
        <v>4</v>
      </c>
      <c r="AR384" s="296">
        <v>1</v>
      </c>
      <c r="AS384" s="294">
        <v>0.3</v>
      </c>
      <c r="AT384" s="296" cm="1">
        <f t="array" aca="1" ref="AT384" ca="1">INDIRECT("'"&amp;$C384&amp;"'!"&amp;"$"&amp;$D384&amp;$AT$1&amp;"")</f>
        <v>0</v>
      </c>
      <c r="AU384" s="295" t="s">
        <v>1</v>
      </c>
      <c r="AV384" s="296" t="s">
        <v>1</v>
      </c>
      <c r="AW384" s="294" t="s">
        <v>1</v>
      </c>
      <c r="AX384" s="298">
        <v>14.26</v>
      </c>
      <c r="AY384" s="297">
        <v>72.14</v>
      </c>
      <c r="AZ384" s="298" cm="1">
        <f t="array" aca="1" ref="AZ384" ca="1">INDIRECT("'"&amp;$C384&amp;"'!"&amp;"$"&amp;$D384&amp;$AZ$1&amp;"")</f>
        <v>14.27</v>
      </c>
      <c r="BA384" s="296">
        <v>0.99</v>
      </c>
      <c r="BB384" s="294">
        <v>2.5</v>
      </c>
      <c r="BC384" s="299">
        <v>69.099999999999994</v>
      </c>
      <c r="BD384" s="293" cm="1">
        <f t="array" aca="1" ref="BD384" ca="1">INDIRECT("'"&amp;$C384&amp;"'!"&amp;"$"&amp;$D384&amp;$BC$1&amp;"")</f>
        <v>0.8</v>
      </c>
      <c r="BE384" s="295">
        <v>0.98</v>
      </c>
      <c r="BF384" s="294">
        <v>0.17</v>
      </c>
      <c r="BG384" s="298" cm="1">
        <f t="array" aca="1" ref="BG384" ca="1">INDIRECT("'"&amp;$C384&amp;"'!"&amp;"$"&amp;$D384&amp;$BG$1&amp;"")</f>
        <v>0.89</v>
      </c>
      <c r="BH384" s="296"/>
      <c r="BI384" s="296">
        <v>0.98</v>
      </c>
      <c r="BJ384" s="294">
        <v>0.15</v>
      </c>
      <c r="BK384" s="298" cm="1">
        <f t="array" aca="1" ref="BK384" ca="1">INDIRECT("'"&amp;$C384&amp;"'!"&amp;"$"&amp;$D384&amp;$BK$1&amp;"")</f>
        <v>0.71</v>
      </c>
      <c r="BL384" s="296"/>
      <c r="BM384" s="296">
        <v>0.97</v>
      </c>
      <c r="BN384" s="294">
        <v>0.19</v>
      </c>
    </row>
    <row r="385" spans="1:66">
      <c r="A385" s="361">
        <v>45763</v>
      </c>
      <c r="B385" s="358">
        <v>0.20833333333333301</v>
      </c>
      <c r="C385" s="313">
        <f t="shared" si="14"/>
        <v>16</v>
      </c>
      <c r="D385" s="314" t="s">
        <v>132</v>
      </c>
      <c r="E385" s="286">
        <v>14.2</v>
      </c>
      <c r="F385" s="287">
        <v>70.08</v>
      </c>
      <c r="G385" s="288" cm="1">
        <f t="array" aca="1" ref="G385" ca="1">INDIRECT("'"&amp;$C385&amp;"'!"&amp;"$"&amp;$D385&amp;$E$1&amp;"")</f>
        <v>6.6</v>
      </c>
      <c r="H385" s="289">
        <v>0.97</v>
      </c>
      <c r="I385" s="287">
        <v>1.56</v>
      </c>
      <c r="J385" s="288" cm="1">
        <f t="array" aca="1" ref="J385" ca="1">INDIRECT("'"&amp;$C385&amp;"'!"&amp;"$"&amp;$D385&amp;$J$1&amp;"")</f>
        <v>0</v>
      </c>
      <c r="K385" s="289"/>
      <c r="L385" s="289" t="s">
        <v>1</v>
      </c>
      <c r="M385" s="287" t="s">
        <v>1</v>
      </c>
      <c r="N385" s="288" cm="1">
        <f t="array" aca="1" ref="N385" ca="1">INDIRECT("'"&amp;$C385&amp;"'!"&amp;"$"&amp;$D385&amp;$N$1&amp;"")</f>
        <v>0</v>
      </c>
      <c r="O385" s="289"/>
      <c r="P385" s="289" t="s">
        <v>1</v>
      </c>
      <c r="Q385" s="287" t="s">
        <v>1</v>
      </c>
      <c r="R385" s="288" cm="1">
        <f t="array" aca="1" ref="R385" ca="1">INDIRECT("'"&amp;$C385&amp;"'!"&amp;"$"&amp;$D385&amp;$R$1&amp;"")</f>
        <v>6.7</v>
      </c>
      <c r="S385" s="289"/>
      <c r="T385" s="289">
        <v>0.95</v>
      </c>
      <c r="U385" s="287">
        <v>2.11</v>
      </c>
      <c r="V385" s="288" cm="1">
        <f t="array" aca="1" ref="V385" ca="1">INDIRECT("'"&amp;$C385&amp;"'!"&amp;"$"&amp;$D385&amp;$V$1&amp;"")</f>
        <v>0</v>
      </c>
      <c r="W385" s="289" t="s">
        <v>1</v>
      </c>
      <c r="X385" s="289" t="s">
        <v>1</v>
      </c>
      <c r="Y385" s="290" t="s">
        <v>1</v>
      </c>
      <c r="Z385" s="286" cm="1">
        <f t="array" aca="1" ref="Z385" ca="1">INDIRECT("'"&amp;$C385&amp;"'!"&amp;"$"&amp;$D385&amp;$Z$1&amp;"")</f>
        <v>0</v>
      </c>
      <c r="AA385" s="289" t="s">
        <v>1</v>
      </c>
      <c r="AB385" s="289" t="s">
        <v>1</v>
      </c>
      <c r="AC385" s="287" t="s">
        <v>1</v>
      </c>
      <c r="AD385" s="288" cm="1">
        <f t="array" aca="1" ref="AD385" ca="1">INDIRECT("'"&amp;$C385&amp;"'!"&amp;"$"&amp;$D385&amp;$AD$1&amp;"")</f>
        <v>0</v>
      </c>
      <c r="AE385" s="289" t="s">
        <v>1</v>
      </c>
      <c r="AF385" s="289" t="s">
        <v>1</v>
      </c>
      <c r="AG385" s="290" t="s">
        <v>1</v>
      </c>
      <c r="AH385" s="286" cm="1">
        <f t="array" aca="1" ref="AH385" ca="1">INDIRECT("'"&amp;$C385&amp;"'!"&amp;"$"&amp;$D385&amp;$AH$1&amp;"")</f>
        <v>0</v>
      </c>
      <c r="AI385" s="289" t="s">
        <v>1</v>
      </c>
      <c r="AJ385" s="289" t="s">
        <v>1</v>
      </c>
      <c r="AK385" s="290" t="s">
        <v>1</v>
      </c>
      <c r="AL385" s="286">
        <v>11.9</v>
      </c>
      <c r="AM385" s="290">
        <v>70.900000000000006</v>
      </c>
      <c r="AN385" s="286" cm="1">
        <f t="array" aca="1" ref="AN385" ca="1">INDIRECT("'"&amp;$C385&amp;"'!"&amp;"$"&amp;$D385&amp;$AL$1&amp;"")</f>
        <v>4</v>
      </c>
      <c r="AO385" s="289">
        <v>1</v>
      </c>
      <c r="AP385" s="287">
        <v>0.25</v>
      </c>
      <c r="AQ385" s="288" cm="1">
        <f t="array" aca="1" ref="AQ385" ca="1">INDIRECT("'"&amp;$C385&amp;"'!"&amp;"$"&amp;$D385&amp;$AQ$1&amp;"")</f>
        <v>4</v>
      </c>
      <c r="AR385" s="289">
        <v>1</v>
      </c>
      <c r="AS385" s="287">
        <v>0.25</v>
      </c>
      <c r="AT385" s="289" cm="1">
        <f t="array" aca="1" ref="AT385" ca="1">INDIRECT("'"&amp;$C385&amp;"'!"&amp;"$"&amp;$D385&amp;$AT$1&amp;"")</f>
        <v>0</v>
      </c>
      <c r="AU385" s="288" t="s">
        <v>1</v>
      </c>
      <c r="AV385" s="289" t="s">
        <v>1</v>
      </c>
      <c r="AW385" s="287" t="s">
        <v>1</v>
      </c>
      <c r="AX385" s="291">
        <v>14.25</v>
      </c>
      <c r="AY385" s="290">
        <v>72.14</v>
      </c>
      <c r="AZ385" s="291" cm="1">
        <f t="array" aca="1" ref="AZ385" ca="1">INDIRECT("'"&amp;$C385&amp;"'!"&amp;"$"&amp;$D385&amp;$AZ$1&amp;"")</f>
        <v>14.3</v>
      </c>
      <c r="BA385" s="289">
        <v>0.99</v>
      </c>
      <c r="BB385" s="287">
        <v>2.5</v>
      </c>
      <c r="BC385" s="292">
        <v>69.099999999999994</v>
      </c>
      <c r="BD385" s="286" cm="1">
        <f t="array" aca="1" ref="BD385" ca="1">INDIRECT("'"&amp;$C385&amp;"'!"&amp;"$"&amp;$D385&amp;$BC$1&amp;"")</f>
        <v>1.5</v>
      </c>
      <c r="BE385" s="288">
        <v>0.98</v>
      </c>
      <c r="BF385" s="287">
        <v>0.28999999999999998</v>
      </c>
      <c r="BG385" s="291" cm="1">
        <f t="array" aca="1" ref="BG385" ca="1">INDIRECT("'"&amp;$C385&amp;"'!"&amp;"$"&amp;$D385&amp;$BG$1&amp;"")</f>
        <v>0.87</v>
      </c>
      <c r="BH385" s="289"/>
      <c r="BI385" s="289">
        <v>0.98</v>
      </c>
      <c r="BJ385" s="287">
        <v>0.13</v>
      </c>
      <c r="BK385" s="291" cm="1">
        <f t="array" aca="1" ref="BK385" ca="1">INDIRECT("'"&amp;$C385&amp;"'!"&amp;"$"&amp;$D385&amp;$BK$1&amp;"")</f>
        <v>0.73</v>
      </c>
      <c r="BL385" s="289"/>
      <c r="BM385" s="289">
        <v>0.97</v>
      </c>
      <c r="BN385" s="287">
        <v>0.18</v>
      </c>
    </row>
    <row r="386" spans="1:66">
      <c r="A386" s="361">
        <v>45763</v>
      </c>
      <c r="B386" s="358">
        <v>0.25</v>
      </c>
      <c r="C386" s="313">
        <f t="shared" si="14"/>
        <v>16</v>
      </c>
      <c r="D386" s="314" t="s">
        <v>133</v>
      </c>
      <c r="E386" s="293">
        <v>14.2</v>
      </c>
      <c r="F386" s="294">
        <v>70.38</v>
      </c>
      <c r="G386" s="295" cm="1">
        <f t="array" aca="1" ref="G386" ca="1">INDIRECT("'"&amp;$C386&amp;"'!"&amp;"$"&amp;$D386&amp;$E$1&amp;"")</f>
        <v>6.7</v>
      </c>
      <c r="H386" s="296">
        <v>0.97</v>
      </c>
      <c r="I386" s="294">
        <v>1.56</v>
      </c>
      <c r="J386" s="295" cm="1">
        <f t="array" aca="1" ref="J386" ca="1">INDIRECT("'"&amp;$C386&amp;"'!"&amp;"$"&amp;$D386&amp;$J$1&amp;"")</f>
        <v>0</v>
      </c>
      <c r="K386" s="296"/>
      <c r="L386" s="296" t="s">
        <v>1</v>
      </c>
      <c r="M386" s="294" t="s">
        <v>1</v>
      </c>
      <c r="N386" s="295" cm="1">
        <f t="array" aca="1" ref="N386" ca="1">INDIRECT("'"&amp;$C386&amp;"'!"&amp;"$"&amp;$D386&amp;$N$1&amp;"")</f>
        <v>0</v>
      </c>
      <c r="O386" s="296"/>
      <c r="P386" s="296" t="s">
        <v>1</v>
      </c>
      <c r="Q386" s="294" t="s">
        <v>1</v>
      </c>
      <c r="R386" s="295" cm="1">
        <f t="array" aca="1" ref="R386" ca="1">INDIRECT("'"&amp;$C386&amp;"'!"&amp;"$"&amp;$D386&amp;$R$1&amp;"")</f>
        <v>6.8</v>
      </c>
      <c r="S386" s="296"/>
      <c r="T386" s="296">
        <v>0.98</v>
      </c>
      <c r="U386" s="294">
        <v>1.59</v>
      </c>
      <c r="V386" s="295" cm="1">
        <f t="array" aca="1" ref="V386" ca="1">INDIRECT("'"&amp;$C386&amp;"'!"&amp;"$"&amp;$D386&amp;$V$1&amp;"")</f>
        <v>0</v>
      </c>
      <c r="W386" s="296" t="s">
        <v>1</v>
      </c>
      <c r="X386" s="296" t="s">
        <v>1</v>
      </c>
      <c r="Y386" s="297" t="s">
        <v>1</v>
      </c>
      <c r="Z386" s="293" cm="1">
        <f t="array" aca="1" ref="Z386" ca="1">INDIRECT("'"&amp;$C386&amp;"'!"&amp;"$"&amp;$D386&amp;$Z$1&amp;"")</f>
        <v>0</v>
      </c>
      <c r="AA386" s="296" t="s">
        <v>1</v>
      </c>
      <c r="AB386" s="296" t="s">
        <v>1</v>
      </c>
      <c r="AC386" s="294" t="s">
        <v>1</v>
      </c>
      <c r="AD386" s="295" cm="1">
        <f t="array" aca="1" ref="AD386" ca="1">INDIRECT("'"&amp;$C386&amp;"'!"&amp;"$"&amp;$D386&amp;$AD$1&amp;"")</f>
        <v>3</v>
      </c>
      <c r="AE386" s="296">
        <f>3.8*3.6</f>
        <v>13.68</v>
      </c>
      <c r="AF386" s="296">
        <v>0.96</v>
      </c>
      <c r="AG386" s="297">
        <v>0.91</v>
      </c>
      <c r="AH386" s="293" cm="1">
        <f t="array" aca="1" ref="AH386" ca="1">INDIRECT("'"&amp;$C386&amp;"'!"&amp;"$"&amp;$D386&amp;$AH$1&amp;"")</f>
        <v>0</v>
      </c>
      <c r="AI386" s="296" t="s">
        <v>1</v>
      </c>
      <c r="AJ386" s="296" t="s">
        <v>1</v>
      </c>
      <c r="AK386" s="297" t="s">
        <v>1</v>
      </c>
      <c r="AL386" s="293">
        <v>11.9</v>
      </c>
      <c r="AM386" s="297">
        <v>70.900000000000006</v>
      </c>
      <c r="AN386" s="293" cm="1">
        <f t="array" aca="1" ref="AN386" ca="1">INDIRECT("'"&amp;$C386&amp;"'!"&amp;"$"&amp;$D386&amp;$AL$1&amp;"")</f>
        <v>3.8</v>
      </c>
      <c r="AO386" s="296">
        <v>0.99</v>
      </c>
      <c r="AP386" s="294">
        <v>0.25</v>
      </c>
      <c r="AQ386" s="295" cm="1">
        <f t="array" aca="1" ref="AQ386" ca="1">INDIRECT("'"&amp;$C386&amp;"'!"&amp;"$"&amp;$D386&amp;$AQ$1&amp;"")</f>
        <v>3.8</v>
      </c>
      <c r="AR386" s="296">
        <v>0.99</v>
      </c>
      <c r="AS386" s="294">
        <v>0.25</v>
      </c>
      <c r="AT386" s="296" cm="1">
        <f t="array" aca="1" ref="AT386" ca="1">INDIRECT("'"&amp;$C386&amp;"'!"&amp;"$"&amp;$D386&amp;$AT$1&amp;"")</f>
        <v>0</v>
      </c>
      <c r="AU386" s="295" t="s">
        <v>1</v>
      </c>
      <c r="AV386" s="296" t="s">
        <v>1</v>
      </c>
      <c r="AW386" s="294" t="s">
        <v>1</v>
      </c>
      <c r="AX386" s="298">
        <v>14.25</v>
      </c>
      <c r="AY386" s="297">
        <v>71.95</v>
      </c>
      <c r="AZ386" s="298" cm="1">
        <f t="array" aca="1" ref="AZ386" ca="1">INDIRECT("'"&amp;$C386&amp;"'!"&amp;"$"&amp;$D386&amp;$AZ$1&amp;"")</f>
        <v>14.27</v>
      </c>
      <c r="BA386" s="296">
        <v>0.99</v>
      </c>
      <c r="BB386" s="294">
        <v>2.5</v>
      </c>
      <c r="BC386" s="299">
        <v>69.3</v>
      </c>
      <c r="BD386" s="293" cm="1">
        <f t="array" aca="1" ref="BD386" ca="1">INDIRECT("'"&amp;$C386&amp;"'!"&amp;"$"&amp;$D386&amp;$BC$1&amp;"")</f>
        <v>0.8</v>
      </c>
      <c r="BE386" s="295">
        <v>0.98</v>
      </c>
      <c r="BF386" s="294">
        <v>0.16</v>
      </c>
      <c r="BG386" s="298" cm="1">
        <f t="array" aca="1" ref="BG386" ca="1">INDIRECT("'"&amp;$C386&amp;"'!"&amp;"$"&amp;$D386&amp;$BG$1&amp;"")</f>
        <v>1</v>
      </c>
      <c r="BH386" s="296"/>
      <c r="BI386" s="296">
        <v>0.99</v>
      </c>
      <c r="BJ386" s="294">
        <v>0.13</v>
      </c>
      <c r="BK386" s="298" cm="1">
        <f t="array" aca="1" ref="BK386" ca="1">INDIRECT("'"&amp;$C386&amp;"'!"&amp;"$"&amp;$D386&amp;$BK$1&amp;"")</f>
        <v>0.75</v>
      </c>
      <c r="BL386" s="296"/>
      <c r="BM386" s="296">
        <v>0.97</v>
      </c>
      <c r="BN386" s="294">
        <v>0.18</v>
      </c>
    </row>
    <row r="387" spans="1:66">
      <c r="A387" s="361">
        <v>45763</v>
      </c>
      <c r="B387" s="358">
        <v>0.29166666666666702</v>
      </c>
      <c r="C387" s="313">
        <f t="shared" si="14"/>
        <v>16</v>
      </c>
      <c r="D387" s="314" t="s">
        <v>134</v>
      </c>
      <c r="E387" s="286">
        <v>14.2</v>
      </c>
      <c r="F387" s="287">
        <v>70.17</v>
      </c>
      <c r="G387" s="288" cm="1">
        <f t="array" aca="1" ref="G387" ca="1">INDIRECT("'"&amp;$C387&amp;"'!"&amp;"$"&amp;$D387&amp;$E$1&amp;"")</f>
        <v>6.7</v>
      </c>
      <c r="H387" s="289">
        <v>0.97</v>
      </c>
      <c r="I387" s="287">
        <v>1.62</v>
      </c>
      <c r="J387" s="288" cm="1">
        <f t="array" aca="1" ref="J387" ca="1">INDIRECT("'"&amp;$C387&amp;"'!"&amp;"$"&amp;$D387&amp;$J$1&amp;"")</f>
        <v>0</v>
      </c>
      <c r="K387" s="289"/>
      <c r="L387" s="289" t="s">
        <v>1</v>
      </c>
      <c r="M387" s="287" t="s">
        <v>1</v>
      </c>
      <c r="N387" s="288" cm="1">
        <f t="array" aca="1" ref="N387" ca="1">INDIRECT("'"&amp;$C387&amp;"'!"&amp;"$"&amp;$D387&amp;$N$1&amp;"")</f>
        <v>0</v>
      </c>
      <c r="O387" s="289"/>
      <c r="P387" s="289" t="s">
        <v>1</v>
      </c>
      <c r="Q387" s="287" t="s">
        <v>1</v>
      </c>
      <c r="R387" s="288" cm="1">
        <f t="array" aca="1" ref="R387" ca="1">INDIRECT("'"&amp;$C387&amp;"'!"&amp;"$"&amp;$D387&amp;$R$1&amp;"")</f>
        <v>6.8</v>
      </c>
      <c r="S387" s="289"/>
      <c r="T387" s="289">
        <v>0.96</v>
      </c>
      <c r="U387" s="287">
        <v>1.92</v>
      </c>
      <c r="V387" s="288" cm="1">
        <f t="array" aca="1" ref="V387" ca="1">INDIRECT("'"&amp;$C387&amp;"'!"&amp;"$"&amp;$D387&amp;$V$1&amp;"")</f>
        <v>0</v>
      </c>
      <c r="W387" s="289" t="s">
        <v>1</v>
      </c>
      <c r="X387" s="289" t="s">
        <v>1</v>
      </c>
      <c r="Y387" s="290" t="s">
        <v>1</v>
      </c>
      <c r="Z387" s="286" cm="1">
        <f t="array" aca="1" ref="Z387" ca="1">INDIRECT("'"&amp;$C387&amp;"'!"&amp;"$"&amp;$D387&amp;$Z$1&amp;"")</f>
        <v>0</v>
      </c>
      <c r="AA387" s="289" t="s">
        <v>1</v>
      </c>
      <c r="AB387" s="289" t="s">
        <v>1</v>
      </c>
      <c r="AC387" s="287" t="s">
        <v>1</v>
      </c>
      <c r="AD387" s="288" cm="1">
        <f t="array" aca="1" ref="AD387" ca="1">INDIRECT("'"&amp;$C387&amp;"'!"&amp;"$"&amp;$D387&amp;$AD$1&amp;"")</f>
        <v>3</v>
      </c>
      <c r="AE387" s="289">
        <f>3.8*3.62</f>
        <v>13.756</v>
      </c>
      <c r="AF387" s="289">
        <v>0.96</v>
      </c>
      <c r="AG387" s="290">
        <v>0.99</v>
      </c>
      <c r="AH387" s="286" cm="1">
        <f t="array" aca="1" ref="AH387" ca="1">INDIRECT("'"&amp;$C387&amp;"'!"&amp;"$"&amp;$D387&amp;$AH$1&amp;"")</f>
        <v>0</v>
      </c>
      <c r="AI387" s="289" t="s">
        <v>1</v>
      </c>
      <c r="AJ387" s="289" t="s">
        <v>1</v>
      </c>
      <c r="AK387" s="287" t="s">
        <v>1</v>
      </c>
      <c r="AL387" s="286">
        <v>11.9</v>
      </c>
      <c r="AM387" s="290">
        <v>70.8</v>
      </c>
      <c r="AN387" s="286" cm="1">
        <f t="array" aca="1" ref="AN387" ca="1">INDIRECT("'"&amp;$C387&amp;"'!"&amp;"$"&amp;$D387&amp;$AL$1&amp;"")</f>
        <v>3.2</v>
      </c>
      <c r="AO387" s="289">
        <v>0.99</v>
      </c>
      <c r="AP387" s="287">
        <v>0.35</v>
      </c>
      <c r="AQ387" s="288" cm="1">
        <f t="array" aca="1" ref="AQ387" ca="1">INDIRECT("'"&amp;$C387&amp;"'!"&amp;"$"&amp;$D387&amp;$AQ$1&amp;"")</f>
        <v>3.2</v>
      </c>
      <c r="AR387" s="289">
        <v>0.99</v>
      </c>
      <c r="AS387" s="287">
        <v>0.35</v>
      </c>
      <c r="AT387" s="289" cm="1">
        <f t="array" aca="1" ref="AT387" ca="1">INDIRECT("'"&amp;$C387&amp;"'!"&amp;"$"&amp;$D387&amp;$AT$1&amp;"")</f>
        <v>0</v>
      </c>
      <c r="AU387" s="288" t="s">
        <v>1</v>
      </c>
      <c r="AV387" s="289" t="s">
        <v>1</v>
      </c>
      <c r="AW387" s="287" t="s">
        <v>1</v>
      </c>
      <c r="AX387" s="291">
        <v>14.25</v>
      </c>
      <c r="AY387" s="290">
        <v>71.95</v>
      </c>
      <c r="AZ387" s="291" cm="1">
        <f t="array" aca="1" ref="AZ387" ca="1">INDIRECT("'"&amp;$C387&amp;"'!"&amp;"$"&amp;$D387&amp;$AZ$1&amp;"")</f>
        <v>14.27</v>
      </c>
      <c r="BA387" s="289">
        <v>0.99</v>
      </c>
      <c r="BB387" s="287">
        <v>2.5</v>
      </c>
      <c r="BC387" s="292">
        <v>69.3</v>
      </c>
      <c r="BD387" s="286" cm="1">
        <f t="array" aca="1" ref="BD387" ca="1">INDIRECT("'"&amp;$C387&amp;"'!"&amp;"$"&amp;$D387&amp;$BC$1&amp;"")</f>
        <v>0</v>
      </c>
      <c r="BE387" s="288" t="s">
        <v>1</v>
      </c>
      <c r="BF387" s="287" t="s">
        <v>1</v>
      </c>
      <c r="BG387" s="291" cm="1">
        <f t="array" aca="1" ref="BG387" ca="1">INDIRECT("'"&amp;$C387&amp;"'!"&amp;"$"&amp;$D387&amp;$BG$1&amp;"")</f>
        <v>1.1100000000000001</v>
      </c>
      <c r="BH387" s="289"/>
      <c r="BI387" s="289">
        <v>0.99</v>
      </c>
      <c r="BJ387" s="287">
        <v>0.17</v>
      </c>
      <c r="BK387" s="292" cm="1">
        <f t="array" aca="1" ref="BK387" ca="1">INDIRECT("'"&amp;$C387&amp;"'!"&amp;"$"&amp;$D387&amp;$BK$1&amp;"")</f>
        <v>0.72</v>
      </c>
      <c r="BL387" s="289"/>
      <c r="BM387" s="289">
        <v>0.96</v>
      </c>
      <c r="BN387" s="287">
        <v>0.2</v>
      </c>
    </row>
    <row r="388" spans="1:66">
      <c r="A388" s="361">
        <v>45763</v>
      </c>
      <c r="B388" s="358">
        <v>0.33333333333333398</v>
      </c>
      <c r="C388" s="313">
        <f t="shared" si="14"/>
        <v>16</v>
      </c>
      <c r="D388" s="314" t="s">
        <v>135</v>
      </c>
      <c r="E388" s="293">
        <v>14</v>
      </c>
      <c r="F388" s="294">
        <v>69.55</v>
      </c>
      <c r="G388" s="295" cm="1">
        <f t="array" aca="1" ref="G388" ca="1">INDIRECT("'"&amp;$C388&amp;"'!"&amp;"$"&amp;$D388&amp;$E$1&amp;"")</f>
        <v>6.8</v>
      </c>
      <c r="H388" s="296">
        <v>0.92</v>
      </c>
      <c r="I388" s="294">
        <v>2.95</v>
      </c>
      <c r="J388" s="295" cm="1">
        <f t="array" aca="1" ref="J388" ca="1">INDIRECT("'"&amp;$C388&amp;"'!"&amp;"$"&amp;$D388&amp;$J$1&amp;"")</f>
        <v>0</v>
      </c>
      <c r="K388" s="296"/>
      <c r="L388" s="296" t="s">
        <v>1</v>
      </c>
      <c r="M388" s="294" t="s">
        <v>1</v>
      </c>
      <c r="N388" s="295" cm="1">
        <f t="array" aca="1" ref="N388" ca="1">INDIRECT("'"&amp;$C388&amp;"'!"&amp;"$"&amp;$D388&amp;$N$1&amp;"")</f>
        <v>0</v>
      </c>
      <c r="O388" s="296"/>
      <c r="P388" s="296" t="s">
        <v>1</v>
      </c>
      <c r="Q388" s="294" t="s">
        <v>1</v>
      </c>
      <c r="R388" s="295" cm="1">
        <f t="array" aca="1" ref="R388" ca="1">INDIRECT("'"&amp;$C388&amp;"'!"&amp;"$"&amp;$D388&amp;$R$1&amp;"")</f>
        <v>6.8</v>
      </c>
      <c r="S388" s="296"/>
      <c r="T388" s="296">
        <v>0.92</v>
      </c>
      <c r="U388" s="294">
        <v>2.98</v>
      </c>
      <c r="V388" s="295" cm="1">
        <f t="array" aca="1" ref="V388" ca="1">INDIRECT("'"&amp;$C388&amp;"'!"&amp;"$"&amp;$D388&amp;$V$1&amp;"")</f>
        <v>0</v>
      </c>
      <c r="W388" s="296" t="s">
        <v>1</v>
      </c>
      <c r="X388" s="296" t="s">
        <v>1</v>
      </c>
      <c r="Y388" s="297" t="s">
        <v>1</v>
      </c>
      <c r="Z388" s="293" cm="1">
        <f t="array" aca="1" ref="Z388" ca="1">INDIRECT("'"&amp;$C388&amp;"'!"&amp;"$"&amp;$D388&amp;$Z$1&amp;"")</f>
        <v>0</v>
      </c>
      <c r="AA388" s="296" t="s">
        <v>1</v>
      </c>
      <c r="AB388" s="296" t="s">
        <v>1</v>
      </c>
      <c r="AC388" s="294" t="s">
        <v>1</v>
      </c>
      <c r="AD388" s="295" cm="1">
        <f t="array" aca="1" ref="AD388" ca="1">INDIRECT("'"&amp;$C388&amp;"'!"&amp;"$"&amp;$D388&amp;$AD$1&amp;"")</f>
        <v>3.8</v>
      </c>
      <c r="AE388" s="296">
        <f>3.8*3.54</f>
        <v>13.452</v>
      </c>
      <c r="AF388" s="296">
        <v>0.99</v>
      </c>
      <c r="AG388" s="297">
        <v>0.16300000000000001</v>
      </c>
      <c r="AH388" s="293" cm="1">
        <f t="array" aca="1" ref="AH388" ca="1">INDIRECT("'"&amp;$C388&amp;"'!"&amp;"$"&amp;$D388&amp;$AH$1&amp;"")</f>
        <v>3.5</v>
      </c>
      <c r="AI388" s="296" t="s">
        <v>1</v>
      </c>
      <c r="AJ388" s="296" t="s">
        <v>1</v>
      </c>
      <c r="AK388" s="294" t="s">
        <v>1</v>
      </c>
      <c r="AL388" s="293">
        <v>11.9</v>
      </c>
      <c r="AM388" s="297">
        <v>69.900000000000006</v>
      </c>
      <c r="AN388" s="293" cm="1">
        <f t="array" aca="1" ref="AN388" ca="1">INDIRECT("'"&amp;$C388&amp;"'!"&amp;"$"&amp;$D388&amp;$AL$1&amp;"")</f>
        <v>4</v>
      </c>
      <c r="AO388" s="296">
        <v>0.98</v>
      </c>
      <c r="AP388" s="294">
        <v>0.75</v>
      </c>
      <c r="AQ388" s="295" cm="1">
        <f t="array" aca="1" ref="AQ388" ca="1">INDIRECT("'"&amp;$C388&amp;"'!"&amp;"$"&amp;$D388&amp;$AQ$1&amp;"")</f>
        <v>4</v>
      </c>
      <c r="AR388" s="296">
        <v>0.98</v>
      </c>
      <c r="AS388" s="294">
        <v>0.75</v>
      </c>
      <c r="AT388" s="296" cm="1">
        <f t="array" aca="1" ref="AT388" ca="1">INDIRECT("'"&amp;$C388&amp;"'!"&amp;"$"&amp;$D388&amp;$AT$1&amp;"")</f>
        <v>0</v>
      </c>
      <c r="AU388" s="295" t="s">
        <v>1</v>
      </c>
      <c r="AV388" s="296" t="s">
        <v>1</v>
      </c>
      <c r="AW388" s="294" t="s">
        <v>1</v>
      </c>
      <c r="AX388" s="298">
        <v>14.12</v>
      </c>
      <c r="AY388" s="297">
        <v>71.17</v>
      </c>
      <c r="AZ388" s="298" cm="1">
        <f t="array" aca="1" ref="AZ388" ca="1">INDIRECT("'"&amp;$C388&amp;"'!"&amp;"$"&amp;$D388&amp;$AZ$1&amp;"")</f>
        <v>14.25</v>
      </c>
      <c r="BA388" s="296">
        <v>0.99</v>
      </c>
      <c r="BB388" s="294">
        <v>2.5</v>
      </c>
      <c r="BC388" s="299">
        <v>68.2</v>
      </c>
      <c r="BD388" s="293" cm="1">
        <f t="array" aca="1" ref="BD388" ca="1">INDIRECT("'"&amp;$C388&amp;"'!"&amp;"$"&amp;$D388&amp;$BC$1&amp;"")</f>
        <v>0.8</v>
      </c>
      <c r="BE388" s="295">
        <v>0.97</v>
      </c>
      <c r="BF388" s="294">
        <v>0.2</v>
      </c>
      <c r="BG388" s="298" cm="1">
        <f t="array" aca="1" ref="BG388" ca="1">INDIRECT("'"&amp;$C388&amp;"'!"&amp;"$"&amp;$D388&amp;$BG$1&amp;"")</f>
        <v>1.24</v>
      </c>
      <c r="BH388" s="296"/>
      <c r="BI388" s="296">
        <v>0.99</v>
      </c>
      <c r="BJ388" s="294">
        <v>0.21</v>
      </c>
      <c r="BK388" s="299" cm="1">
        <f t="array" aca="1" ref="BK388" ca="1">INDIRECT("'"&amp;$C388&amp;"'!"&amp;"$"&amp;$D388&amp;$BK$1&amp;"")</f>
        <v>0.77</v>
      </c>
      <c r="BL388" s="296"/>
      <c r="BM388" s="296">
        <v>0.96</v>
      </c>
      <c r="BN388" s="294">
        <v>0.22</v>
      </c>
    </row>
    <row r="389" spans="1:66">
      <c r="A389" s="361">
        <v>45763</v>
      </c>
      <c r="B389" s="358">
        <v>0.375</v>
      </c>
      <c r="C389" s="313">
        <f t="shared" si="14"/>
        <v>16</v>
      </c>
      <c r="D389" s="314" t="s">
        <v>136</v>
      </c>
      <c r="E389" s="286">
        <v>14.1</v>
      </c>
      <c r="F389" s="287">
        <v>68.81</v>
      </c>
      <c r="G389" s="288" cm="1">
        <f t="array" aca="1" ref="G389" ca="1">INDIRECT("'"&amp;$C389&amp;"'!"&amp;"$"&amp;$D389&amp;$E$1&amp;"")</f>
        <v>6.8</v>
      </c>
      <c r="H389" s="289">
        <v>0.9</v>
      </c>
      <c r="I389" s="287">
        <v>3.25</v>
      </c>
      <c r="J389" s="288" cm="1">
        <f t="array" aca="1" ref="J389" ca="1">INDIRECT("'"&amp;$C389&amp;"'!"&amp;"$"&amp;$D389&amp;$J$1&amp;"")</f>
        <v>0</v>
      </c>
      <c r="K389" s="289"/>
      <c r="L389" s="289" t="s">
        <v>1</v>
      </c>
      <c r="M389" s="287" t="s">
        <v>1</v>
      </c>
      <c r="N389" s="288" cm="1">
        <f t="array" aca="1" ref="N389" ca="1">INDIRECT("'"&amp;$C389&amp;"'!"&amp;"$"&amp;$D389&amp;$N$1&amp;"")</f>
        <v>6.8</v>
      </c>
      <c r="O389" s="289"/>
      <c r="P389" s="289">
        <v>0.9</v>
      </c>
      <c r="Q389" s="287">
        <v>3.21</v>
      </c>
      <c r="R389" s="288" cm="1">
        <f t="array" aca="1" ref="R389" ca="1">INDIRECT("'"&amp;$C389&amp;"'!"&amp;"$"&amp;$D389&amp;$R$1&amp;"")</f>
        <v>6.8</v>
      </c>
      <c r="S389" s="289"/>
      <c r="T389" s="289">
        <v>0.9</v>
      </c>
      <c r="U389" s="287">
        <v>3.24</v>
      </c>
      <c r="V389" s="288" cm="1">
        <f t="array" aca="1" ref="V389" ca="1">INDIRECT("'"&amp;$C389&amp;"'!"&amp;"$"&amp;$D389&amp;$V$1&amp;"")</f>
        <v>0</v>
      </c>
      <c r="W389" s="289" t="s">
        <v>1</v>
      </c>
      <c r="X389" s="289" t="s">
        <v>1</v>
      </c>
      <c r="Y389" s="290" t="s">
        <v>1</v>
      </c>
      <c r="Z389" s="286" cm="1">
        <f t="array" aca="1" ref="Z389" ca="1">INDIRECT("'"&amp;$C389&amp;"'!"&amp;"$"&amp;$D389&amp;$Z$1&amp;"")</f>
        <v>0</v>
      </c>
      <c r="AA389" s="289" t="s">
        <v>1</v>
      </c>
      <c r="AB389" s="289" t="s">
        <v>1</v>
      </c>
      <c r="AC389" s="287" t="s">
        <v>1</v>
      </c>
      <c r="AD389" s="288" cm="1">
        <f t="array" aca="1" ref="AD389" ca="1">INDIRECT("'"&amp;$C389&amp;"'!"&amp;"$"&amp;$D389&amp;$AD$1&amp;"")</f>
        <v>3.9</v>
      </c>
      <c r="AE389" s="289">
        <f>3.8*3.46</f>
        <v>13.148</v>
      </c>
      <c r="AF389" s="289">
        <v>0.93</v>
      </c>
      <c r="AG389" s="290">
        <v>1.59</v>
      </c>
      <c r="AH389" s="286" cm="1">
        <f t="array" aca="1" ref="AH389" ca="1">INDIRECT("'"&amp;$C389&amp;"'!"&amp;"$"&amp;$D389&amp;$AH$1&amp;"")</f>
        <v>3.8</v>
      </c>
      <c r="AI389" s="289">
        <v>13.8</v>
      </c>
      <c r="AJ389" s="289">
        <v>0.99</v>
      </c>
      <c r="AK389" s="287">
        <v>0.31</v>
      </c>
      <c r="AL389" s="286">
        <v>11.8</v>
      </c>
      <c r="AM389" s="290">
        <v>69.5</v>
      </c>
      <c r="AN389" s="286" cm="1">
        <f t="array" aca="1" ref="AN389" ca="1">INDIRECT("'"&amp;$C389&amp;"'!"&amp;"$"&amp;$D389&amp;$AL$1&amp;"")</f>
        <v>4.5</v>
      </c>
      <c r="AO389" s="289">
        <v>0.96</v>
      </c>
      <c r="AP389" s="287">
        <v>1.1499999999999999</v>
      </c>
      <c r="AQ389" s="288" cm="1">
        <f t="array" aca="1" ref="AQ389" ca="1">INDIRECT("'"&amp;$C389&amp;"'!"&amp;"$"&amp;$D389&amp;$AQ$1&amp;"")</f>
        <v>4.5</v>
      </c>
      <c r="AR389" s="289">
        <v>0.96</v>
      </c>
      <c r="AS389" s="287">
        <v>1.1299999999999999</v>
      </c>
      <c r="AT389" s="289" cm="1">
        <f t="array" aca="1" ref="AT389" ca="1">INDIRECT("'"&amp;$C389&amp;"'!"&amp;"$"&amp;$D389&amp;$AT$1&amp;"")</f>
        <v>0</v>
      </c>
      <c r="AU389" s="288" t="s">
        <v>1</v>
      </c>
      <c r="AV389" s="289" t="s">
        <v>1</v>
      </c>
      <c r="AW389" s="287" t="s">
        <v>1</v>
      </c>
      <c r="AX389" s="291">
        <v>14.08</v>
      </c>
      <c r="AY389" s="290">
        <v>70.7</v>
      </c>
      <c r="AZ389" s="291" cm="1">
        <f t="array" aca="1" ref="AZ389" ca="1">INDIRECT("'"&amp;$C389&amp;"'!"&amp;"$"&amp;$D389&amp;$AZ$1&amp;"")</f>
        <v>14.29</v>
      </c>
      <c r="BA389" s="289">
        <v>0.98</v>
      </c>
      <c r="BB389" s="287">
        <v>3.5</v>
      </c>
      <c r="BC389" s="292">
        <v>67.2</v>
      </c>
      <c r="BD389" s="286" cm="1">
        <f t="array" aca="1" ref="BD389" ca="1">INDIRECT("'"&amp;$C389&amp;"'!"&amp;"$"&amp;$D389&amp;$BC$1&amp;"")</f>
        <v>1.5</v>
      </c>
      <c r="BE389" s="288">
        <v>0.96</v>
      </c>
      <c r="BF389" s="287">
        <v>0.43</v>
      </c>
      <c r="BG389" s="291" cm="1">
        <f t="array" aca="1" ref="BG389" ca="1">INDIRECT("'"&amp;$C389&amp;"'!"&amp;"$"&amp;$D389&amp;$BG$1&amp;"")</f>
        <v>1.44</v>
      </c>
      <c r="BH389" s="289"/>
      <c r="BI389" s="289">
        <v>0.99</v>
      </c>
      <c r="BJ389" s="287">
        <v>0.21</v>
      </c>
      <c r="BK389" s="292" cm="1">
        <f t="array" aca="1" ref="BK389" ca="1">INDIRECT("'"&amp;$C389&amp;"'!"&amp;"$"&amp;$D389&amp;$BK$1&amp;"")</f>
        <v>0.78</v>
      </c>
      <c r="BL389" s="289"/>
      <c r="BM389" s="289">
        <v>0.96</v>
      </c>
      <c r="BN389" s="287">
        <v>0.22</v>
      </c>
    </row>
    <row r="390" spans="1:66">
      <c r="A390" s="361">
        <v>45763</v>
      </c>
      <c r="B390" s="358">
        <v>0.41666666666666702</v>
      </c>
      <c r="C390" s="313">
        <f t="shared" si="14"/>
        <v>16</v>
      </c>
      <c r="D390" s="314" t="s">
        <v>137</v>
      </c>
      <c r="E390" s="293">
        <v>14.1</v>
      </c>
      <c r="F390" s="294">
        <v>68.84</v>
      </c>
      <c r="G390" s="295" cm="1">
        <f t="array" aca="1" ref="G390" ca="1">INDIRECT("'"&amp;$C390&amp;"'!"&amp;"$"&amp;$D390&amp;$E$1&amp;"")</f>
        <v>6.6</v>
      </c>
      <c r="H390" s="296">
        <v>0.9</v>
      </c>
      <c r="I390" s="294">
        <v>3.25</v>
      </c>
      <c r="J390" s="295" cm="1">
        <f t="array" aca="1" ref="J390" ca="1">INDIRECT("'"&amp;$C390&amp;"'!"&amp;"$"&amp;$D390&amp;$J$1&amp;"")</f>
        <v>0</v>
      </c>
      <c r="K390" s="296"/>
      <c r="L390" s="296" t="s">
        <v>1</v>
      </c>
      <c r="M390" s="294" t="s">
        <v>1</v>
      </c>
      <c r="N390" s="295" cm="1">
        <f t="array" aca="1" ref="N390" ca="1">INDIRECT("'"&amp;$C390&amp;"'!"&amp;"$"&amp;$D390&amp;$N$1&amp;"")</f>
        <v>6.6</v>
      </c>
      <c r="O390" s="296"/>
      <c r="P390" s="296">
        <v>0.9</v>
      </c>
      <c r="Q390" s="294">
        <v>3.23</v>
      </c>
      <c r="R390" s="295" cm="1">
        <f t="array" aca="1" ref="R390" ca="1">INDIRECT("'"&amp;$C390&amp;"'!"&amp;"$"&amp;$D390&amp;$R$1&amp;"")</f>
        <v>6.6</v>
      </c>
      <c r="S390" s="296"/>
      <c r="T390" s="296">
        <v>0.9</v>
      </c>
      <c r="U390" s="294">
        <v>3.24</v>
      </c>
      <c r="V390" s="295" cm="1">
        <f t="array" aca="1" ref="V390" ca="1">INDIRECT("'"&amp;$C390&amp;"'!"&amp;"$"&amp;$D390&amp;$V$1&amp;"")</f>
        <v>2.8</v>
      </c>
      <c r="W390" s="296">
        <f>3.8*3.48</f>
        <v>13.224</v>
      </c>
      <c r="X390" s="296">
        <v>0.91</v>
      </c>
      <c r="Y390" s="297">
        <v>1.17</v>
      </c>
      <c r="Z390" s="293" cm="1">
        <f t="array" aca="1" ref="Z390" ca="1">INDIRECT("'"&amp;$C390&amp;"'!"&amp;"$"&amp;$D390&amp;$Z$1&amp;"")</f>
        <v>0</v>
      </c>
      <c r="AA390" s="296" t="s">
        <v>1</v>
      </c>
      <c r="AB390" s="296" t="s">
        <v>1</v>
      </c>
      <c r="AC390" s="294" t="s">
        <v>1</v>
      </c>
      <c r="AD390" s="295" cm="1">
        <f t="array" aca="1" ref="AD390" ca="1">INDIRECT("'"&amp;$C390&amp;"'!"&amp;"$"&amp;$D390&amp;$AD$1&amp;"")</f>
        <v>3.8</v>
      </c>
      <c r="AE390" s="296">
        <f>3.8*3.48</f>
        <v>13.224</v>
      </c>
      <c r="AF390" s="296">
        <v>0.91</v>
      </c>
      <c r="AG390" s="297">
        <v>1.83</v>
      </c>
      <c r="AH390" s="293" cm="1">
        <f t="array" aca="1" ref="AH390" ca="1">INDIRECT("'"&amp;$C390&amp;"'!"&amp;"$"&amp;$D390&amp;$AH$1&amp;"")</f>
        <v>3.8</v>
      </c>
      <c r="AI390" s="296">
        <v>13.84</v>
      </c>
      <c r="AJ390" s="296">
        <v>0.99</v>
      </c>
      <c r="AK390" s="294">
        <v>0.255</v>
      </c>
      <c r="AL390" s="293">
        <v>11.9</v>
      </c>
      <c r="AM390" s="297">
        <v>70.2</v>
      </c>
      <c r="AN390" s="293" cm="1">
        <f t="array" aca="1" ref="AN390" ca="1">INDIRECT("'"&amp;$C390&amp;"'!"&amp;"$"&amp;$D390&amp;$AL$1&amp;"")</f>
        <v>4.2</v>
      </c>
      <c r="AO390" s="296">
        <v>0.96</v>
      </c>
      <c r="AP390" s="294">
        <v>1</v>
      </c>
      <c r="AQ390" s="295" cm="1">
        <f t="array" aca="1" ref="AQ390" ca="1">INDIRECT("'"&amp;$C390&amp;"'!"&amp;"$"&amp;$D390&amp;$AQ$1&amp;"")</f>
        <v>4.2</v>
      </c>
      <c r="AR390" s="296">
        <v>0.96</v>
      </c>
      <c r="AS390" s="294">
        <v>1.2</v>
      </c>
      <c r="AT390" s="296" cm="1">
        <f t="array" aca="1" ref="AT390" ca="1">INDIRECT("'"&amp;$C390&amp;"'!"&amp;"$"&amp;$D390&amp;$AT$1&amp;"")</f>
        <v>4.07</v>
      </c>
      <c r="AU390" s="295">
        <v>13.84</v>
      </c>
      <c r="AV390" s="296">
        <v>0.9</v>
      </c>
      <c r="AW390" s="294">
        <v>1.93</v>
      </c>
      <c r="AX390" s="298">
        <v>14.14</v>
      </c>
      <c r="AY390" s="297">
        <v>71.17</v>
      </c>
      <c r="AZ390" s="298" cm="1">
        <f t="array" aca="1" ref="AZ390" ca="1">INDIRECT("'"&amp;$C390&amp;"'!"&amp;"$"&amp;$D390&amp;$AZ$1&amp;"")</f>
        <v>14.27</v>
      </c>
      <c r="BA390" s="296">
        <v>0.98</v>
      </c>
      <c r="BB390" s="294">
        <v>3.6</v>
      </c>
      <c r="BC390" s="299">
        <v>67.3</v>
      </c>
      <c r="BD390" s="293" cm="1">
        <f t="array" aca="1" ref="BD390" ca="1">INDIRECT("'"&amp;$C390&amp;"'!"&amp;"$"&amp;$D390&amp;$BC$1&amp;"")</f>
        <v>0.8</v>
      </c>
      <c r="BE390" s="295">
        <v>0.96</v>
      </c>
      <c r="BF390" s="294">
        <v>0.23</v>
      </c>
      <c r="BG390" s="298" cm="1">
        <f t="array" aca="1" ref="BG390" ca="1">INDIRECT("'"&amp;$C390&amp;"'!"&amp;"$"&amp;$D390&amp;$BG$1&amp;"")</f>
        <v>1.47</v>
      </c>
      <c r="BH390" s="296"/>
      <c r="BI390" s="296">
        <v>0.99</v>
      </c>
      <c r="BJ390" s="294">
        <v>0.23</v>
      </c>
      <c r="BK390" s="299" cm="1">
        <f t="array" aca="1" ref="BK390" ca="1">INDIRECT("'"&amp;$C390&amp;"'!"&amp;"$"&amp;$D390&amp;$BK$1&amp;"")</f>
        <v>0.84</v>
      </c>
      <c r="BL390" s="296"/>
      <c r="BM390" s="296">
        <v>0.96</v>
      </c>
      <c r="BN390" s="294">
        <v>0.24</v>
      </c>
    </row>
    <row r="391" spans="1:66">
      <c r="A391" s="361">
        <v>45763</v>
      </c>
      <c r="B391" s="358">
        <v>0.45833333333333398</v>
      </c>
      <c r="C391" s="313">
        <f t="shared" si="14"/>
        <v>16</v>
      </c>
      <c r="D391" s="314" t="s">
        <v>138</v>
      </c>
      <c r="E391" s="286">
        <v>14</v>
      </c>
      <c r="F391" s="287">
        <v>69</v>
      </c>
      <c r="G391" s="288" cm="1">
        <f t="array" aca="1" ref="G391" ca="1">INDIRECT("'"&amp;$C391&amp;"'!"&amp;"$"&amp;$D391&amp;$E$1&amp;"")</f>
        <v>6.7</v>
      </c>
      <c r="H391" s="289">
        <v>0.9</v>
      </c>
      <c r="I391" s="287">
        <v>3.31</v>
      </c>
      <c r="J391" s="288" cm="1">
        <f t="array" aca="1" ref="J391" ca="1">INDIRECT("'"&amp;$C391&amp;"'!"&amp;"$"&amp;$D391&amp;$J$1&amp;"")</f>
        <v>0</v>
      </c>
      <c r="K391" s="289"/>
      <c r="L391" s="289" t="s">
        <v>1</v>
      </c>
      <c r="M391" s="287" t="s">
        <v>1</v>
      </c>
      <c r="N391" s="288" cm="1">
        <f t="array" aca="1" ref="N391" ca="1">INDIRECT("'"&amp;$C391&amp;"'!"&amp;"$"&amp;$D391&amp;$N$1&amp;"")</f>
        <v>6.7</v>
      </c>
      <c r="O391" s="289"/>
      <c r="P391" s="289">
        <v>0.9</v>
      </c>
      <c r="Q391" s="287">
        <v>3.29</v>
      </c>
      <c r="R391" s="288" cm="1">
        <f t="array" aca="1" ref="R391" ca="1">INDIRECT("'"&amp;$C391&amp;"'!"&amp;"$"&amp;$D391&amp;$R$1&amp;"")</f>
        <v>6.7</v>
      </c>
      <c r="S391" s="289"/>
      <c r="T391" s="289">
        <v>0.9</v>
      </c>
      <c r="U391" s="287">
        <v>3.32</v>
      </c>
      <c r="V391" s="288" cm="1">
        <f t="array" aca="1" ref="V391" ca="1">INDIRECT("'"&amp;$C391&amp;"'!"&amp;"$"&amp;$D391&amp;$V$1&amp;"")</f>
        <v>2.8</v>
      </c>
      <c r="W391" s="289">
        <f>3.8*3.49</f>
        <v>13.262</v>
      </c>
      <c r="X391" s="289">
        <v>0.91</v>
      </c>
      <c r="Y391" s="290">
        <v>1.19</v>
      </c>
      <c r="Z391" s="286" cm="1">
        <f t="array" aca="1" ref="Z391" ca="1">INDIRECT("'"&amp;$C391&amp;"'!"&amp;"$"&amp;$D391&amp;$Z$1&amp;"")</f>
        <v>0</v>
      </c>
      <c r="AA391" s="289" t="s">
        <v>1</v>
      </c>
      <c r="AB391" s="289" t="s">
        <v>1</v>
      </c>
      <c r="AC391" s="287" t="s">
        <v>1</v>
      </c>
      <c r="AD391" s="288" cm="1">
        <f t="array" aca="1" ref="AD391" ca="1">INDIRECT("'"&amp;$C391&amp;"'!"&amp;"$"&amp;$D391&amp;$AD$1&amp;"")</f>
        <v>3.8</v>
      </c>
      <c r="AE391" s="289">
        <f>3.8*3.49</f>
        <v>13.262</v>
      </c>
      <c r="AF391" s="289">
        <v>0.91</v>
      </c>
      <c r="AG391" s="290">
        <v>1.19</v>
      </c>
      <c r="AH391" s="286" cm="1">
        <f t="array" aca="1" ref="AH391" ca="1">INDIRECT("'"&amp;$C391&amp;"'!"&amp;"$"&amp;$D391&amp;$AH$1&amp;"")</f>
        <v>3.8</v>
      </c>
      <c r="AI391" s="289">
        <v>13.92</v>
      </c>
      <c r="AJ391" s="289">
        <v>0.97</v>
      </c>
      <c r="AK391" s="287">
        <v>0.71899999999999997</v>
      </c>
      <c r="AL391" s="286">
        <v>11.9</v>
      </c>
      <c r="AM391" s="290">
        <v>71.19</v>
      </c>
      <c r="AN391" s="286" cm="1">
        <f t="array" aca="1" ref="AN391" ca="1">INDIRECT("'"&amp;$C391&amp;"'!"&amp;"$"&amp;$D391&amp;$AL$1&amp;"")</f>
        <v>4.4000000000000004</v>
      </c>
      <c r="AO391" s="289">
        <v>0.96</v>
      </c>
      <c r="AP391" s="287">
        <v>1</v>
      </c>
      <c r="AQ391" s="288" cm="1">
        <f t="array" aca="1" ref="AQ391" ca="1">INDIRECT("'"&amp;$C391&amp;"'!"&amp;"$"&amp;$D391&amp;$AQ$1&amp;"")</f>
        <v>4.4000000000000004</v>
      </c>
      <c r="AR391" s="289">
        <v>0.96</v>
      </c>
      <c r="AS391" s="287">
        <v>1</v>
      </c>
      <c r="AT391" s="289" cm="1">
        <f t="array" aca="1" ref="AT391" ca="1">INDIRECT("'"&amp;$C391&amp;"'!"&amp;"$"&amp;$D391&amp;$AT$1&amp;"")</f>
        <v>3.62</v>
      </c>
      <c r="AU391" s="288">
        <v>13.83</v>
      </c>
      <c r="AV391" s="289">
        <v>0.91</v>
      </c>
      <c r="AW391" s="287">
        <v>1.92</v>
      </c>
      <c r="AX391" s="291">
        <v>14.17</v>
      </c>
      <c r="AY391" s="290">
        <v>71.19</v>
      </c>
      <c r="AZ391" s="291" cm="1">
        <f t="array" aca="1" ref="AZ391" ca="1">INDIRECT("'"&amp;$C391&amp;"'!"&amp;"$"&amp;$D391&amp;$AZ$1&amp;"")</f>
        <v>14.25</v>
      </c>
      <c r="BA391" s="289">
        <v>0.98</v>
      </c>
      <c r="BB391" s="287">
        <v>3.5</v>
      </c>
      <c r="BC391" s="292">
        <v>67.400000000000006</v>
      </c>
      <c r="BD391" s="286" cm="1">
        <f t="array" aca="1" ref="BD391" ca="1">INDIRECT("'"&amp;$C391&amp;"'!"&amp;"$"&amp;$D391&amp;$BC$1&amp;"")</f>
        <v>0.8</v>
      </c>
      <c r="BE391" s="288">
        <v>0.96</v>
      </c>
      <c r="BF391" s="287">
        <v>0.22</v>
      </c>
      <c r="BG391" s="291" cm="1">
        <f t="array" aca="1" ref="BG391" ca="1">INDIRECT("'"&amp;$C391&amp;"'!"&amp;"$"&amp;$D391&amp;$BG$1&amp;"")</f>
        <v>1.48</v>
      </c>
      <c r="BH391" s="289"/>
      <c r="BI391" s="289">
        <v>0.99</v>
      </c>
      <c r="BJ391" s="287">
        <v>0.23</v>
      </c>
      <c r="BK391" s="292" cm="1">
        <f t="array" aca="1" ref="BK391" ca="1">INDIRECT("'"&amp;$C391&amp;"'!"&amp;"$"&amp;$D391&amp;$BK$1&amp;"")</f>
        <v>0.84</v>
      </c>
      <c r="BL391" s="289"/>
      <c r="BM391" s="289">
        <v>0.96</v>
      </c>
      <c r="BN391" s="287">
        <v>0.24</v>
      </c>
    </row>
    <row r="392" spans="1:66">
      <c r="A392" s="361">
        <v>45763</v>
      </c>
      <c r="B392" s="358">
        <v>0.5</v>
      </c>
      <c r="C392" s="313">
        <f t="shared" si="14"/>
        <v>16</v>
      </c>
      <c r="D392" s="314" t="s">
        <v>139</v>
      </c>
      <c r="E392" s="293">
        <v>14</v>
      </c>
      <c r="F392" s="294">
        <v>69.180000000000007</v>
      </c>
      <c r="G392" s="295" cm="1">
        <f t="array" aca="1" ref="G392" ca="1">INDIRECT("'"&amp;$C392&amp;"'!"&amp;"$"&amp;$D392&amp;$E$1&amp;"")</f>
        <v>6.7</v>
      </c>
      <c r="H392" s="296">
        <v>0.9</v>
      </c>
      <c r="I392" s="294">
        <v>3.32</v>
      </c>
      <c r="J392" s="295" cm="1">
        <f t="array" aca="1" ref="J392" ca="1">INDIRECT("'"&amp;$C392&amp;"'!"&amp;"$"&amp;$D392&amp;$J$1&amp;"")</f>
        <v>0</v>
      </c>
      <c r="K392" s="296"/>
      <c r="L392" s="296" t="s">
        <v>1</v>
      </c>
      <c r="M392" s="294" t="s">
        <v>1</v>
      </c>
      <c r="N392" s="295" cm="1">
        <f t="array" aca="1" ref="N392" ca="1">INDIRECT("'"&amp;$C392&amp;"'!"&amp;"$"&amp;$D392&amp;$N$1&amp;"")</f>
        <v>6.7</v>
      </c>
      <c r="O392" s="296"/>
      <c r="P392" s="296">
        <v>0.9</v>
      </c>
      <c r="Q392" s="294">
        <v>3.3</v>
      </c>
      <c r="R392" s="295" cm="1">
        <f t="array" aca="1" ref="R392" ca="1">INDIRECT("'"&amp;$C392&amp;"'!"&amp;"$"&amp;$D392&amp;$R$1&amp;"")</f>
        <v>6.7</v>
      </c>
      <c r="S392" s="296"/>
      <c r="T392" s="296">
        <v>0.9</v>
      </c>
      <c r="U392" s="294">
        <v>3.33</v>
      </c>
      <c r="V392" s="295" cm="1">
        <f t="array" aca="1" ref="V392" ca="1">INDIRECT("'"&amp;$C392&amp;"'!"&amp;"$"&amp;$D392&amp;$V$1&amp;"")</f>
        <v>2.8</v>
      </c>
      <c r="W392" s="296">
        <f>3.8*3.51</f>
        <v>13.337999999999999</v>
      </c>
      <c r="X392" s="296">
        <v>0.9</v>
      </c>
      <c r="Y392" s="297">
        <v>1.38</v>
      </c>
      <c r="Z392" s="293" cm="1">
        <f t="array" aca="1" ref="Z392" ca="1">INDIRECT("'"&amp;$C392&amp;"'!"&amp;"$"&amp;$D392&amp;$Z$1&amp;"")</f>
        <v>0</v>
      </c>
      <c r="AA392" s="296" t="s">
        <v>1</v>
      </c>
      <c r="AB392" s="296" t="s">
        <v>1</v>
      </c>
      <c r="AC392" s="294" t="s">
        <v>1</v>
      </c>
      <c r="AD392" s="295" cm="1">
        <f t="array" aca="1" ref="AD392" ca="1">INDIRECT("'"&amp;$C392&amp;"'!"&amp;"$"&amp;$D392&amp;$AD$1&amp;"")</f>
        <v>3.8</v>
      </c>
      <c r="AE392" s="296">
        <f>3.8*3.51</f>
        <v>13.337999999999999</v>
      </c>
      <c r="AF392" s="296">
        <v>0.9</v>
      </c>
      <c r="AG392" s="297">
        <v>0.94</v>
      </c>
      <c r="AH392" s="293" cm="1">
        <f t="array" aca="1" ref="AH392" ca="1">INDIRECT("'"&amp;$C392&amp;"'!"&amp;"$"&amp;$D392&amp;$AH$1&amp;"")</f>
        <v>3.8</v>
      </c>
      <c r="AI392" s="296">
        <v>14</v>
      </c>
      <c r="AJ392" s="296">
        <v>0.97</v>
      </c>
      <c r="AK392" s="294">
        <v>0.68100000000000005</v>
      </c>
      <c r="AL392" s="293">
        <v>11.9</v>
      </c>
      <c r="AM392" s="297">
        <v>70.7</v>
      </c>
      <c r="AN392" s="293" cm="1">
        <f t="array" aca="1" ref="AN392" ca="1">INDIRECT("'"&amp;$C392&amp;"'!"&amp;"$"&amp;$D392&amp;$AL$1&amp;"")</f>
        <v>4.3</v>
      </c>
      <c r="AO392" s="296">
        <v>0.97</v>
      </c>
      <c r="AP392" s="294">
        <v>0.8</v>
      </c>
      <c r="AQ392" s="295" cm="1">
        <f t="array" aca="1" ref="AQ392" ca="1">INDIRECT("'"&amp;$C392&amp;"'!"&amp;"$"&amp;$D392&amp;$AQ$1&amp;"")</f>
        <v>4.3</v>
      </c>
      <c r="AR392" s="296">
        <v>0.97</v>
      </c>
      <c r="AS392" s="294">
        <v>0.8</v>
      </c>
      <c r="AT392" s="296" cm="1">
        <f t="array" aca="1" ref="AT392" ca="1">INDIRECT("'"&amp;$C392&amp;"'!"&amp;"$"&amp;$D392&amp;$AT$1&amp;"")</f>
        <v>4.45</v>
      </c>
      <c r="AU392" s="295">
        <v>13.88</v>
      </c>
      <c r="AV392" s="296">
        <v>0.92</v>
      </c>
      <c r="AW392" s="294">
        <v>1.51</v>
      </c>
      <c r="AX392" s="298">
        <v>14.38</v>
      </c>
      <c r="AY392" s="297">
        <v>71.92</v>
      </c>
      <c r="AZ392" s="298" cm="1">
        <f t="array" aca="1" ref="AZ392" ca="1">INDIRECT("'"&amp;$C392&amp;"'!"&amp;"$"&amp;$D392&amp;$AZ$1&amp;"")</f>
        <v>14.19</v>
      </c>
      <c r="BA392" s="296">
        <v>0.96</v>
      </c>
      <c r="BB392" s="294">
        <v>4.5999999999999996</v>
      </c>
      <c r="BC392" s="299">
        <v>67.8</v>
      </c>
      <c r="BD392" s="293" cm="1">
        <f t="array" aca="1" ref="BD392" ca="1">INDIRECT("'"&amp;$C392&amp;"'!"&amp;"$"&amp;$D392&amp;$BC$1&amp;"")</f>
        <v>0.8</v>
      </c>
      <c r="BE392" s="295">
        <v>0.95</v>
      </c>
      <c r="BF392" s="294">
        <v>0.26</v>
      </c>
      <c r="BG392" s="298" cm="1">
        <f t="array" aca="1" ref="BG392" ca="1">INDIRECT("'"&amp;$C392&amp;"'!"&amp;"$"&amp;$D392&amp;$BG$1&amp;"")</f>
        <v>1.55</v>
      </c>
      <c r="BH392" s="296"/>
      <c r="BI392" s="296">
        <v>0.99</v>
      </c>
      <c r="BJ392" s="294">
        <v>0.26</v>
      </c>
      <c r="BK392" s="299" cm="1">
        <f t="array" aca="1" ref="BK392" ca="1">INDIRECT("'"&amp;$C392&amp;"'!"&amp;"$"&amp;$D392&amp;$BK$1&amp;"")</f>
        <v>0.89</v>
      </c>
      <c r="BL392" s="296"/>
      <c r="BM392" s="296">
        <v>0.96</v>
      </c>
      <c r="BN392" s="294">
        <v>0.25</v>
      </c>
    </row>
    <row r="393" spans="1:66">
      <c r="A393" s="361">
        <v>45763</v>
      </c>
      <c r="B393" s="358">
        <v>0.54166666666666696</v>
      </c>
      <c r="C393" s="313">
        <f t="shared" si="14"/>
        <v>16</v>
      </c>
      <c r="D393" s="314" t="s">
        <v>140</v>
      </c>
      <c r="E393" s="286">
        <v>14</v>
      </c>
      <c r="F393" s="287">
        <v>68.930000000000007</v>
      </c>
      <c r="G393" s="288" cm="1">
        <f t="array" aca="1" ref="G393" ca="1">INDIRECT("'"&amp;$C393&amp;"'!"&amp;"$"&amp;$D393&amp;$E$1&amp;"")</f>
        <v>6.9</v>
      </c>
      <c r="H393" s="289">
        <v>0.89</v>
      </c>
      <c r="I393" s="287">
        <v>3.57</v>
      </c>
      <c r="J393" s="288" cm="1">
        <f t="array" aca="1" ref="J393" ca="1">INDIRECT("'"&amp;$C393&amp;"'!"&amp;"$"&amp;$D393&amp;$J$1&amp;"")</f>
        <v>0</v>
      </c>
      <c r="K393" s="289"/>
      <c r="L393" s="289" t="s">
        <v>1</v>
      </c>
      <c r="M393" s="287" t="s">
        <v>1</v>
      </c>
      <c r="N393" s="288" cm="1">
        <f t="array" aca="1" ref="N393" ca="1">INDIRECT("'"&amp;$C393&amp;"'!"&amp;"$"&amp;$D393&amp;$N$1&amp;"")</f>
        <v>6.9</v>
      </c>
      <c r="O393" s="289"/>
      <c r="P393" s="289">
        <v>0.9</v>
      </c>
      <c r="Q393" s="287">
        <v>3.41</v>
      </c>
      <c r="R393" s="288" cm="1">
        <f t="array" aca="1" ref="R393" ca="1">INDIRECT("'"&amp;$C393&amp;"'!"&amp;"$"&amp;$D393&amp;$R$1&amp;"")</f>
        <v>6.9</v>
      </c>
      <c r="S393" s="289"/>
      <c r="T393" s="289">
        <v>0.9</v>
      </c>
      <c r="U393" s="287">
        <v>3.38</v>
      </c>
      <c r="V393" s="288" cm="1">
        <f t="array" aca="1" ref="V393" ca="1">INDIRECT("'"&amp;$C393&amp;"'!"&amp;"$"&amp;$D393&amp;$V$1&amp;"")</f>
        <v>2.8</v>
      </c>
      <c r="W393" s="289">
        <f>3.8*3.48</f>
        <v>13.224</v>
      </c>
      <c r="X393" s="289">
        <v>0.91</v>
      </c>
      <c r="Y393" s="290">
        <v>1.37</v>
      </c>
      <c r="Z393" s="286" cm="1">
        <f t="array" aca="1" ref="Z393" ca="1">INDIRECT("'"&amp;$C393&amp;"'!"&amp;"$"&amp;$D393&amp;$Z$1&amp;"")</f>
        <v>0</v>
      </c>
      <c r="AA393" s="289" t="s">
        <v>1</v>
      </c>
      <c r="AB393" s="289" t="s">
        <v>1</v>
      </c>
      <c r="AC393" s="287" t="s">
        <v>1</v>
      </c>
      <c r="AD393" s="288" cm="1">
        <f t="array" aca="1" ref="AD393" ca="1">INDIRECT("'"&amp;$C393&amp;"'!"&amp;"$"&amp;$D393&amp;$AD$1&amp;"")</f>
        <v>3.8</v>
      </c>
      <c r="AE393" s="289">
        <f>3.8*3.48</f>
        <v>13.224</v>
      </c>
      <c r="AF393" s="289">
        <v>0.9</v>
      </c>
      <c r="AG393" s="290">
        <v>0.96</v>
      </c>
      <c r="AH393" s="286" cm="1">
        <f t="array" aca="1" ref="AH393" ca="1">INDIRECT("'"&amp;$C393&amp;"'!"&amp;"$"&amp;$D393&amp;$AH$1&amp;"")</f>
        <v>3.8</v>
      </c>
      <c r="AI393" s="289">
        <v>14</v>
      </c>
      <c r="AJ393" s="289">
        <v>0.97</v>
      </c>
      <c r="AK393" s="287">
        <v>0.72499999999999998</v>
      </c>
      <c r="AL393" s="286">
        <v>11.9</v>
      </c>
      <c r="AM393" s="290">
        <v>70.400000000000006</v>
      </c>
      <c r="AN393" s="286" cm="1">
        <f t="array" aca="1" ref="AN393" ca="1">INDIRECT("'"&amp;$C393&amp;"'!"&amp;"$"&amp;$D393&amp;$AL$1&amp;"")</f>
        <v>4.4000000000000004</v>
      </c>
      <c r="AO393" s="289">
        <v>0.97</v>
      </c>
      <c r="AP393" s="287">
        <v>0.9</v>
      </c>
      <c r="AQ393" s="288" cm="1">
        <f t="array" aca="1" ref="AQ393" ca="1">INDIRECT("'"&amp;$C393&amp;"'!"&amp;"$"&amp;$D393&amp;$AQ$1&amp;"")</f>
        <v>4.4000000000000004</v>
      </c>
      <c r="AR393" s="289">
        <v>0.97</v>
      </c>
      <c r="AS393" s="287">
        <v>0.9</v>
      </c>
      <c r="AT393" s="289" cm="1">
        <f t="array" aca="1" ref="AT393" ca="1">INDIRECT("'"&amp;$C393&amp;"'!"&amp;"$"&amp;$D393&amp;$AT$1&amp;"")</f>
        <v>4.24</v>
      </c>
      <c r="AU393" s="288">
        <v>13.87</v>
      </c>
      <c r="AV393" s="289">
        <v>0.95</v>
      </c>
      <c r="AW393" s="287">
        <v>1.82</v>
      </c>
      <c r="AX393" s="291">
        <v>14.2</v>
      </c>
      <c r="AY393" s="290">
        <v>71.39</v>
      </c>
      <c r="AZ393" s="291" cm="1">
        <f t="array" aca="1" ref="AZ393" ca="1">INDIRECT("'"&amp;$C393&amp;"'!"&amp;"$"&amp;$D393&amp;$AZ$1&amp;"")</f>
        <v>14.21</v>
      </c>
      <c r="BA393" s="289">
        <v>0.98</v>
      </c>
      <c r="BB393" s="287">
        <v>3.5</v>
      </c>
      <c r="BC393" s="292">
        <v>67.400000000000006</v>
      </c>
      <c r="BD393" s="286" cm="1">
        <f t="array" aca="1" ref="BD393" ca="1">INDIRECT("'"&amp;$C393&amp;"'!"&amp;"$"&amp;$D393&amp;$BC$1&amp;"")</f>
        <v>0</v>
      </c>
      <c r="BE393" s="288" t="s">
        <v>1</v>
      </c>
      <c r="BF393" s="287" t="s">
        <v>1</v>
      </c>
      <c r="BG393" s="291" cm="1">
        <f t="array" aca="1" ref="BG393" ca="1">INDIRECT("'"&amp;$C393&amp;"'!"&amp;"$"&amp;$D393&amp;$BG$1&amp;"")</f>
        <v>1.44</v>
      </c>
      <c r="BH393" s="289"/>
      <c r="BI393" s="289">
        <v>0.99</v>
      </c>
      <c r="BJ393" s="287">
        <v>0.24</v>
      </c>
      <c r="BK393" s="292" cm="1">
        <f t="array" aca="1" ref="BK393" ca="1">INDIRECT("'"&amp;$C393&amp;"'!"&amp;"$"&amp;$D393&amp;$BK$1&amp;"")</f>
        <v>0</v>
      </c>
      <c r="BL393" s="289"/>
      <c r="BM393" s="289" t="s">
        <v>1</v>
      </c>
      <c r="BN393" s="287" t="s">
        <v>1</v>
      </c>
    </row>
    <row r="394" spans="1:66">
      <c r="A394" s="361">
        <v>45763</v>
      </c>
      <c r="B394" s="358">
        <v>0.58333333333333404</v>
      </c>
      <c r="C394" s="313">
        <f t="shared" si="14"/>
        <v>16</v>
      </c>
      <c r="D394" s="314" t="s">
        <v>141</v>
      </c>
      <c r="E394" s="293">
        <v>14</v>
      </c>
      <c r="F394" s="294">
        <v>69.84</v>
      </c>
      <c r="G394" s="295" cm="1">
        <f t="array" aca="1" ref="G394" ca="1">INDIRECT("'"&amp;$C394&amp;"'!"&amp;"$"&amp;$D394&amp;$E$1&amp;"")</f>
        <v>6.8</v>
      </c>
      <c r="H394" s="296">
        <v>0.9</v>
      </c>
      <c r="I394" s="294">
        <v>3.41</v>
      </c>
      <c r="J394" s="295" cm="1">
        <f t="array" aca="1" ref="J394" ca="1">INDIRECT("'"&amp;$C394&amp;"'!"&amp;"$"&amp;$D394&amp;$J$1&amp;"")</f>
        <v>0</v>
      </c>
      <c r="K394" s="296"/>
      <c r="L394" s="296" t="s">
        <v>1</v>
      </c>
      <c r="M394" s="294" t="s">
        <v>1</v>
      </c>
      <c r="N394" s="295" cm="1">
        <f t="array" aca="1" ref="N394" ca="1">INDIRECT("'"&amp;$C394&amp;"'!"&amp;"$"&amp;$D394&amp;$N$1&amp;"")</f>
        <v>6.8</v>
      </c>
      <c r="O394" s="296"/>
      <c r="P394" s="296">
        <v>0.9</v>
      </c>
      <c r="Q394" s="294">
        <v>3.36</v>
      </c>
      <c r="R394" s="295" cm="1">
        <f t="array" aca="1" ref="R394" ca="1">INDIRECT("'"&amp;$C394&amp;"'!"&amp;"$"&amp;$D394&amp;$R$1&amp;"")</f>
        <v>6.8</v>
      </c>
      <c r="S394" s="296"/>
      <c r="T394" s="296">
        <v>0.9</v>
      </c>
      <c r="U394" s="294">
        <v>3.34</v>
      </c>
      <c r="V394" s="295" cm="1">
        <f t="array" aca="1" ref="V394" ca="1">INDIRECT("'"&amp;$C394&amp;"'!"&amp;"$"&amp;$D394&amp;$V$1&amp;"")</f>
        <v>2.8</v>
      </c>
      <c r="W394" s="296">
        <f>3.8*3.48</f>
        <v>13.224</v>
      </c>
      <c r="X394" s="296">
        <v>0.9</v>
      </c>
      <c r="Y394" s="297">
        <v>1.37</v>
      </c>
      <c r="Z394" s="293" cm="1">
        <f t="array" aca="1" ref="Z394" ca="1">INDIRECT("'"&amp;$C394&amp;"'!"&amp;"$"&amp;$D394&amp;$Z$1&amp;"")</f>
        <v>0</v>
      </c>
      <c r="AA394" s="296" t="s">
        <v>1</v>
      </c>
      <c r="AB394" s="296" t="s">
        <v>1</v>
      </c>
      <c r="AC394" s="294" t="s">
        <v>1</v>
      </c>
      <c r="AD394" s="295" cm="1">
        <f t="array" aca="1" ref="AD394" ca="1">INDIRECT("'"&amp;$C394&amp;"'!"&amp;"$"&amp;$D394&amp;$AD$1&amp;"")</f>
        <v>3.8</v>
      </c>
      <c r="AE394" s="296">
        <f>3.8*3.48</f>
        <v>13.224</v>
      </c>
      <c r="AF394" s="296">
        <v>0.9</v>
      </c>
      <c r="AG394" s="297">
        <v>1.92</v>
      </c>
      <c r="AH394" s="293" cm="1">
        <f t="array" aca="1" ref="AH394" ca="1">INDIRECT("'"&amp;$C394&amp;"'!"&amp;"$"&amp;$D394&amp;$AH$1&amp;"")</f>
        <v>3.8</v>
      </c>
      <c r="AI394" s="296">
        <v>14.04</v>
      </c>
      <c r="AJ394" s="296">
        <v>0.95</v>
      </c>
      <c r="AK394" s="294">
        <v>0.91100000000000003</v>
      </c>
      <c r="AL394" s="293">
        <v>11.9</v>
      </c>
      <c r="AM394" s="297">
        <v>70.599999999999994</v>
      </c>
      <c r="AN394" s="293" cm="1">
        <f t="array" aca="1" ref="AN394" ca="1">INDIRECT("'"&amp;$C394&amp;"'!"&amp;"$"&amp;$D394&amp;$AL$1&amp;"")</f>
        <v>4.4000000000000004</v>
      </c>
      <c r="AO394" s="296">
        <v>0.97</v>
      </c>
      <c r="AP394" s="294">
        <v>0.85</v>
      </c>
      <c r="AQ394" s="295" cm="1">
        <f t="array" aca="1" ref="AQ394" ca="1">INDIRECT("'"&amp;$C394&amp;"'!"&amp;"$"&amp;$D394&amp;$AQ$1&amp;"")</f>
        <v>4.4000000000000004</v>
      </c>
      <c r="AR394" s="296">
        <v>0.97</v>
      </c>
      <c r="AS394" s="294">
        <v>0.95</v>
      </c>
      <c r="AT394" s="296" cm="1">
        <f t="array" aca="1" ref="AT394" ca="1">INDIRECT("'"&amp;$C394&amp;"'!"&amp;"$"&amp;$D394&amp;$AT$1&amp;"")</f>
        <v>5.0599999999999996</v>
      </c>
      <c r="AU394" s="295">
        <v>13.91</v>
      </c>
      <c r="AV394" s="296">
        <v>0.92</v>
      </c>
      <c r="AW394" s="294">
        <v>2.16</v>
      </c>
      <c r="AX394" s="298">
        <v>14.24</v>
      </c>
      <c r="AY394" s="297">
        <v>701.52</v>
      </c>
      <c r="AZ394" s="298" cm="1">
        <f t="array" aca="1" ref="AZ394" ca="1">INDIRECT("'"&amp;$C394&amp;"'!"&amp;"$"&amp;$D394&amp;$AZ$1&amp;"")</f>
        <v>14.2</v>
      </c>
      <c r="BA394" s="296">
        <v>0.98</v>
      </c>
      <c r="BB394" s="294">
        <v>3.5</v>
      </c>
      <c r="BC394" s="299">
        <v>67.400000000000006</v>
      </c>
      <c r="BD394" s="293" cm="1">
        <f t="array" aca="1" ref="BD394" ca="1">INDIRECT("'"&amp;$C394&amp;"'!"&amp;"$"&amp;$D394&amp;$BC$1&amp;"")</f>
        <v>2.2000000000000002</v>
      </c>
      <c r="BE394" s="295">
        <v>0.95</v>
      </c>
      <c r="BF394" s="294">
        <v>0.72</v>
      </c>
      <c r="BG394" s="298" cm="1">
        <f t="array" aca="1" ref="BG394" ca="1">INDIRECT("'"&amp;$C394&amp;"'!"&amp;"$"&amp;$D394&amp;$BG$1&amp;"")</f>
        <v>1.45</v>
      </c>
      <c r="BH394" s="296"/>
      <c r="BI394" s="296">
        <v>0.99</v>
      </c>
      <c r="BJ394" s="294">
        <v>0.24</v>
      </c>
      <c r="BK394" s="299" cm="1">
        <f t="array" aca="1" ref="BK394" ca="1">INDIRECT("'"&amp;$C394&amp;"'!"&amp;"$"&amp;$D394&amp;$BK$1&amp;"")</f>
        <v>0</v>
      </c>
      <c r="BL394" s="296"/>
      <c r="BM394" s="296" t="s">
        <v>1</v>
      </c>
      <c r="BN394" s="294" t="s">
        <v>1</v>
      </c>
    </row>
    <row r="395" spans="1:66">
      <c r="A395" s="361">
        <v>45763</v>
      </c>
      <c r="B395" s="358">
        <v>0.625</v>
      </c>
      <c r="C395" s="313">
        <f t="shared" si="14"/>
        <v>16</v>
      </c>
      <c r="D395" s="314" t="s">
        <v>142</v>
      </c>
      <c r="E395" s="286">
        <v>14</v>
      </c>
      <c r="F395" s="287">
        <v>69.97</v>
      </c>
      <c r="G395" s="288" cm="1">
        <f t="array" aca="1" ref="G395" ca="1">INDIRECT("'"&amp;$C395&amp;"'!"&amp;"$"&amp;$D395&amp;$E$1&amp;"")</f>
        <v>6.8</v>
      </c>
      <c r="H395" s="289">
        <v>0.9</v>
      </c>
      <c r="I395" s="287">
        <v>3.21</v>
      </c>
      <c r="J395" s="288" cm="1">
        <f t="array" aca="1" ref="J395" ca="1">INDIRECT("'"&amp;$C395&amp;"'!"&amp;"$"&amp;$D395&amp;$J$1&amp;"")</f>
        <v>0</v>
      </c>
      <c r="K395" s="289"/>
      <c r="L395" s="289" t="s">
        <v>1</v>
      </c>
      <c r="M395" s="287" t="s">
        <v>1</v>
      </c>
      <c r="N395" s="288" cm="1">
        <f t="array" aca="1" ref="N395" ca="1">INDIRECT("'"&amp;$C395&amp;"'!"&amp;"$"&amp;$D395&amp;$N$1&amp;"")</f>
        <v>6.8</v>
      </c>
      <c r="O395" s="289"/>
      <c r="P395" s="289">
        <v>0.9</v>
      </c>
      <c r="Q395" s="287">
        <v>3.2</v>
      </c>
      <c r="R395" s="288" cm="1">
        <f t="array" aca="1" ref="R395" ca="1">INDIRECT("'"&amp;$C395&amp;"'!"&amp;"$"&amp;$D395&amp;$R$1&amp;"")</f>
        <v>6.8</v>
      </c>
      <c r="S395" s="289"/>
      <c r="T395" s="289">
        <v>0.9</v>
      </c>
      <c r="U395" s="287">
        <v>3.23</v>
      </c>
      <c r="V395" s="288" cm="1">
        <f t="array" aca="1" ref="V395" ca="1">INDIRECT("'"&amp;$C395&amp;"'!"&amp;"$"&amp;$D395&amp;$V$1&amp;"")</f>
        <v>2.8</v>
      </c>
      <c r="W395" s="289">
        <v>13.262</v>
      </c>
      <c r="X395" s="289">
        <v>0.91</v>
      </c>
      <c r="Y395" s="290">
        <v>0.36</v>
      </c>
      <c r="Z395" s="286" cm="1">
        <f t="array" aca="1" ref="Z395" ca="1">INDIRECT("'"&amp;$C395&amp;"'!"&amp;"$"&amp;$D395&amp;$Z$1&amp;"")</f>
        <v>0</v>
      </c>
      <c r="AA395" s="289" t="s">
        <v>1</v>
      </c>
      <c r="AB395" s="289" t="s">
        <v>1</v>
      </c>
      <c r="AC395" s="287" t="s">
        <v>1</v>
      </c>
      <c r="AD395" s="288" cm="1">
        <f t="array" aca="1" ref="AD395" ca="1">INDIRECT("'"&amp;$C395&amp;"'!"&amp;"$"&amp;$D395&amp;$AD$1&amp;"")</f>
        <v>3.8</v>
      </c>
      <c r="AE395" s="289">
        <v>13.262</v>
      </c>
      <c r="AF395" s="289">
        <v>0.91</v>
      </c>
      <c r="AG395" s="290">
        <v>0.91</v>
      </c>
      <c r="AH395" s="286" cm="1">
        <f t="array" aca="1" ref="AH395" ca="1">INDIRECT("'"&amp;$C395&amp;"'!"&amp;"$"&amp;$D395&amp;$AH$1&amp;"")</f>
        <v>3.8</v>
      </c>
      <c r="AI395" s="289">
        <v>14</v>
      </c>
      <c r="AJ395" s="289">
        <v>0.95</v>
      </c>
      <c r="AK395" s="287">
        <v>0.93700000000000006</v>
      </c>
      <c r="AL395" s="286">
        <v>11.9</v>
      </c>
      <c r="AM395" s="290">
        <v>70.5</v>
      </c>
      <c r="AN395" s="286" cm="1">
        <f t="array" aca="1" ref="AN395" ca="1">INDIRECT("'"&amp;$C395&amp;"'!"&amp;"$"&amp;$D395&amp;$AL$1&amp;"")</f>
        <v>4.3</v>
      </c>
      <c r="AO395" s="289">
        <v>0.97</v>
      </c>
      <c r="AP395" s="287">
        <v>0.93</v>
      </c>
      <c r="AQ395" s="288" cm="1">
        <f t="array" aca="1" ref="AQ395" ca="1">INDIRECT("'"&amp;$C395&amp;"'!"&amp;"$"&amp;$D395&amp;$AQ$1&amp;"")</f>
        <v>4.3</v>
      </c>
      <c r="AR395" s="289">
        <v>0.97</v>
      </c>
      <c r="AS395" s="287">
        <v>0.93</v>
      </c>
      <c r="AT395" s="289" cm="1">
        <f t="array" aca="1" ref="AT395" ca="1">INDIRECT("'"&amp;$C395&amp;"'!"&amp;"$"&amp;$D395&amp;$AT$1&amp;"")</f>
        <v>5.4</v>
      </c>
      <c r="AU395" s="288">
        <v>13.9</v>
      </c>
      <c r="AV395" s="289">
        <v>0.92</v>
      </c>
      <c r="AW395" s="287">
        <v>2.2999999999999998</v>
      </c>
      <c r="AX395" s="291">
        <v>14.21</v>
      </c>
      <c r="AY395" s="290">
        <v>71.459999999999994</v>
      </c>
      <c r="AZ395" s="291" cm="1">
        <f t="array" aca="1" ref="AZ395" ca="1">INDIRECT("'"&amp;$C395&amp;"'!"&amp;"$"&amp;$D395&amp;$AZ$1&amp;"")</f>
        <v>14.28</v>
      </c>
      <c r="BA395" s="289">
        <v>0.98</v>
      </c>
      <c r="BB395" s="287">
        <v>3.5</v>
      </c>
      <c r="BC395" s="292">
        <v>67.8</v>
      </c>
      <c r="BD395" s="286" cm="1">
        <f t="array" aca="1" ref="BD395" ca="1">INDIRECT("'"&amp;$C395&amp;"'!"&amp;"$"&amp;$D395&amp;$BC$1&amp;"")</f>
        <v>2.2000000000000002</v>
      </c>
      <c r="BE395" s="288">
        <v>0.95</v>
      </c>
      <c r="BF395" s="287">
        <v>0.71</v>
      </c>
      <c r="BG395" s="291" cm="1">
        <f t="array" aca="1" ref="BG395" ca="1">INDIRECT("'"&amp;$C395&amp;"'!"&amp;"$"&amp;$D395&amp;$BG$1&amp;"")</f>
        <v>1.42</v>
      </c>
      <c r="BH395" s="289"/>
      <c r="BI395" s="289">
        <v>0.99</v>
      </c>
      <c r="BJ395" s="287">
        <v>0.26</v>
      </c>
      <c r="BK395" s="292" cm="1">
        <f t="array" aca="1" ref="BK395" ca="1">INDIRECT("'"&amp;$C395&amp;"'!"&amp;"$"&amp;$D395&amp;$BK$1&amp;"")</f>
        <v>0.77</v>
      </c>
      <c r="BL395" s="289"/>
      <c r="BM395" s="289">
        <v>0.96</v>
      </c>
      <c r="BN395" s="287">
        <v>0.23</v>
      </c>
    </row>
    <row r="396" spans="1:66">
      <c r="A396" s="361">
        <v>45763</v>
      </c>
      <c r="B396" s="358">
        <v>0.66666666666666696</v>
      </c>
      <c r="C396" s="313">
        <f t="shared" si="14"/>
        <v>16</v>
      </c>
      <c r="D396" s="314" t="s">
        <v>143</v>
      </c>
      <c r="E396" s="293">
        <v>14</v>
      </c>
      <c r="F396" s="294">
        <v>68.849999999999994</v>
      </c>
      <c r="G396" s="295" cm="1">
        <f t="array" aca="1" ref="G396" ca="1">INDIRECT("'"&amp;$C396&amp;"'!"&amp;"$"&amp;$D396&amp;$E$1&amp;"")</f>
        <v>6.7</v>
      </c>
      <c r="H396" s="296">
        <v>0.9</v>
      </c>
      <c r="I396" s="294">
        <v>3.28</v>
      </c>
      <c r="J396" s="295" cm="1">
        <f t="array" aca="1" ref="J396" ca="1">INDIRECT("'"&amp;$C396&amp;"'!"&amp;"$"&amp;$D396&amp;$J$1&amp;"")</f>
        <v>0</v>
      </c>
      <c r="K396" s="296"/>
      <c r="L396" s="296" t="s">
        <v>1</v>
      </c>
      <c r="M396" s="294" t="s">
        <v>1</v>
      </c>
      <c r="N396" s="295" cm="1">
        <f t="array" aca="1" ref="N396" ca="1">INDIRECT("'"&amp;$C396&amp;"'!"&amp;"$"&amp;$D396&amp;$N$1&amp;"")</f>
        <v>6.7</v>
      </c>
      <c r="O396" s="296"/>
      <c r="P396" s="296">
        <v>0.9</v>
      </c>
      <c r="Q396" s="294">
        <v>3.25</v>
      </c>
      <c r="R396" s="295" cm="1">
        <f t="array" aca="1" ref="R396" ca="1">INDIRECT("'"&amp;$C396&amp;"'!"&amp;"$"&amp;$D396&amp;$R$1&amp;"")</f>
        <v>6.7</v>
      </c>
      <c r="S396" s="296"/>
      <c r="T396" s="296">
        <v>0.9</v>
      </c>
      <c r="U396" s="294">
        <v>3.29</v>
      </c>
      <c r="V396" s="295" cm="1">
        <f t="array" aca="1" ref="V396" ca="1">INDIRECT("'"&amp;$C396&amp;"'!"&amp;"$"&amp;$D396&amp;$V$1&amp;"")</f>
        <v>2.8</v>
      </c>
      <c r="W396" s="296">
        <f>3.8*3.48</f>
        <v>13.224</v>
      </c>
      <c r="X396" s="296">
        <v>0.9</v>
      </c>
      <c r="Y396" s="297">
        <v>1.35</v>
      </c>
      <c r="Z396" s="293" cm="1">
        <f t="array" aca="1" ref="Z396" ca="1">INDIRECT("'"&amp;$C396&amp;"'!"&amp;"$"&amp;$D396&amp;$Z$1&amp;"")</f>
        <v>0</v>
      </c>
      <c r="AA396" s="296" t="s">
        <v>1</v>
      </c>
      <c r="AB396" s="296" t="s">
        <v>1</v>
      </c>
      <c r="AC396" s="294" t="s">
        <v>1</v>
      </c>
      <c r="AD396" s="295" cm="1">
        <f t="array" aca="1" ref="AD396" ca="1">INDIRECT("'"&amp;$C396&amp;"'!"&amp;"$"&amp;$D396&amp;$AD$1&amp;"")</f>
        <v>3.8</v>
      </c>
      <c r="AE396" s="296">
        <v>13.224</v>
      </c>
      <c r="AF396" s="296">
        <v>0.9</v>
      </c>
      <c r="AG396" s="297">
        <v>1.95</v>
      </c>
      <c r="AH396" s="293" cm="1">
        <f t="array" aca="1" ref="AH396" ca="1">INDIRECT("'"&amp;$C396&amp;"'!"&amp;"$"&amp;$D396&amp;$AH$1&amp;"")</f>
        <v>3.8</v>
      </c>
      <c r="AI396" s="296">
        <v>14.04</v>
      </c>
      <c r="AJ396" s="296">
        <v>0.97</v>
      </c>
      <c r="AK396" s="294">
        <v>0.68</v>
      </c>
      <c r="AL396" s="293">
        <v>11.9</v>
      </c>
      <c r="AM396" s="297">
        <v>70.599999999999994</v>
      </c>
      <c r="AN396" s="293" cm="1">
        <f t="array" aca="1" ref="AN396" ca="1">INDIRECT("'"&amp;$C396&amp;"'!"&amp;"$"&amp;$D396&amp;$AL$1&amp;"")</f>
        <v>4.3</v>
      </c>
      <c r="AO396" s="296">
        <v>0.97</v>
      </c>
      <c r="AP396" s="294">
        <v>0.76</v>
      </c>
      <c r="AQ396" s="295" cm="1">
        <f t="array" aca="1" ref="AQ396" ca="1">INDIRECT("'"&amp;$C396&amp;"'!"&amp;"$"&amp;$D396&amp;$AQ$1&amp;"")</f>
        <v>4.3</v>
      </c>
      <c r="AR396" s="296">
        <v>0.97</v>
      </c>
      <c r="AS396" s="294">
        <v>0.83</v>
      </c>
      <c r="AT396" s="296" cm="1">
        <f t="array" aca="1" ref="AT396" ca="1">INDIRECT("'"&amp;$C396&amp;"'!"&amp;"$"&amp;$D396&amp;$AT$1&amp;"")</f>
        <v>5.2</v>
      </c>
      <c r="AU396" s="295">
        <v>13.9</v>
      </c>
      <c r="AV396" s="296">
        <v>0.94</v>
      </c>
      <c r="AW396" s="294">
        <v>1.82</v>
      </c>
      <c r="AX396" s="298">
        <v>14.26</v>
      </c>
      <c r="AY396" s="297">
        <v>71.760000000000005</v>
      </c>
      <c r="AZ396" s="298" cm="1">
        <f t="array" aca="1" ref="AZ396" ca="1">INDIRECT("'"&amp;$C396&amp;"'!"&amp;"$"&amp;$D396&amp;$AZ$1&amp;"")</f>
        <v>14.18</v>
      </c>
      <c r="BA396" s="296">
        <v>0.98</v>
      </c>
      <c r="BB396" s="294">
        <v>3.5</v>
      </c>
      <c r="BC396" s="299">
        <v>67.400000000000006</v>
      </c>
      <c r="BD396" s="293" cm="1">
        <f t="array" aca="1" ref="BD396" ca="1">INDIRECT("'"&amp;$C396&amp;"'!"&amp;"$"&amp;$D396&amp;$BC$1&amp;"")</f>
        <v>2.2999999999999998</v>
      </c>
      <c r="BE396" s="295">
        <v>0.95</v>
      </c>
      <c r="BF396" s="294">
        <v>0.75</v>
      </c>
      <c r="BG396" s="298" cm="1">
        <f t="array" aca="1" ref="BG396" ca="1">INDIRECT("'"&amp;$C396&amp;"'!"&amp;"$"&amp;$D396&amp;$BG$1&amp;"")</f>
        <v>1.36</v>
      </c>
      <c r="BH396" s="296"/>
      <c r="BI396" s="296">
        <v>0.99</v>
      </c>
      <c r="BJ396" s="294">
        <v>0.23</v>
      </c>
      <c r="BK396" s="299" cm="1">
        <f t="array" aca="1" ref="BK396" ca="1">INDIRECT("'"&amp;$C396&amp;"'!"&amp;"$"&amp;$D396&amp;$BK$1&amp;"")</f>
        <v>0.91</v>
      </c>
      <c r="BL396" s="296"/>
      <c r="BM396" s="296">
        <v>0.96</v>
      </c>
      <c r="BN396" s="294">
        <v>0.25</v>
      </c>
    </row>
    <row r="397" spans="1:66">
      <c r="A397" s="361">
        <v>45763</v>
      </c>
      <c r="B397" s="358">
        <v>0.70833333333333404</v>
      </c>
      <c r="C397" s="313">
        <f t="shared" si="14"/>
        <v>16</v>
      </c>
      <c r="D397" s="314" t="s">
        <v>144</v>
      </c>
      <c r="E397" s="286">
        <v>14</v>
      </c>
      <c r="F397" s="287">
        <v>68.83</v>
      </c>
      <c r="G397" s="288" cm="1">
        <f t="array" aca="1" ref="G397" ca="1">INDIRECT("'"&amp;$C397&amp;"'!"&amp;"$"&amp;$D397&amp;$E$1&amp;"")</f>
        <v>6.6</v>
      </c>
      <c r="H397" s="289">
        <v>0.9</v>
      </c>
      <c r="I397" s="287">
        <v>3.18</v>
      </c>
      <c r="J397" s="288" cm="1">
        <f t="array" aca="1" ref="J397" ca="1">INDIRECT("'"&amp;$C397&amp;"'!"&amp;"$"&amp;$D397&amp;$J$1&amp;"")</f>
        <v>0</v>
      </c>
      <c r="K397" s="289"/>
      <c r="L397" s="289" t="s">
        <v>1</v>
      </c>
      <c r="M397" s="287" t="s">
        <v>1</v>
      </c>
      <c r="N397" s="288" cm="1">
        <f t="array" aca="1" ref="N397" ca="1">INDIRECT("'"&amp;$C397&amp;"'!"&amp;"$"&amp;$D397&amp;$N$1&amp;"")</f>
        <v>6.6</v>
      </c>
      <c r="O397" s="289"/>
      <c r="P397" s="289">
        <v>0.9</v>
      </c>
      <c r="Q397" s="287">
        <v>3.12</v>
      </c>
      <c r="R397" s="288" cm="1">
        <f t="array" aca="1" ref="R397" ca="1">INDIRECT("'"&amp;$C397&amp;"'!"&amp;"$"&amp;$D397&amp;$R$1&amp;"")</f>
        <v>6.6</v>
      </c>
      <c r="S397" s="289"/>
      <c r="T397" s="289">
        <v>0.9</v>
      </c>
      <c r="U397" s="287">
        <v>3.14</v>
      </c>
      <c r="V397" s="288" cm="1">
        <f t="array" aca="1" ref="V397" ca="1">INDIRECT("'"&amp;$C397&amp;"'!"&amp;"$"&amp;$D397&amp;$V$1&amp;"")</f>
        <v>2.8</v>
      </c>
      <c r="W397" s="289">
        <v>13.262</v>
      </c>
      <c r="X397" s="289">
        <v>0.91</v>
      </c>
      <c r="Y397" s="290">
        <v>1.33</v>
      </c>
      <c r="Z397" s="286" cm="1">
        <f t="array" aca="1" ref="Z397" ca="1">INDIRECT("'"&amp;$C397&amp;"'!"&amp;"$"&amp;$D397&amp;$Z$1&amp;"")</f>
        <v>0</v>
      </c>
      <c r="AA397" s="289" t="s">
        <v>1</v>
      </c>
      <c r="AB397" s="289" t="s">
        <v>1</v>
      </c>
      <c r="AC397" s="287" t="s">
        <v>1</v>
      </c>
      <c r="AD397" s="288" cm="1">
        <f t="array" aca="1" ref="AD397" ca="1">INDIRECT("'"&amp;$C397&amp;"'!"&amp;"$"&amp;$D397&amp;$AD$1&amp;"")</f>
        <v>3.8</v>
      </c>
      <c r="AE397" s="289">
        <v>13.262</v>
      </c>
      <c r="AF397" s="289">
        <v>0.9</v>
      </c>
      <c r="AG397" s="290">
        <v>1.96</v>
      </c>
      <c r="AH397" s="286" cm="1">
        <f t="array" aca="1" ref="AH397" ca="1">INDIRECT("'"&amp;$C397&amp;"'!"&amp;"$"&amp;$D397&amp;$AH$1&amp;"")</f>
        <v>3.8</v>
      </c>
      <c r="AI397" s="289">
        <v>14.04</v>
      </c>
      <c r="AJ397" s="289">
        <v>0.98</v>
      </c>
      <c r="AK397" s="287">
        <v>0.61099999999999999</v>
      </c>
      <c r="AL397" s="286">
        <v>11.9</v>
      </c>
      <c r="AM397" s="290">
        <v>70.599999999999994</v>
      </c>
      <c r="AN397" s="286" cm="1">
        <f t="array" aca="1" ref="AN397" ca="1">INDIRECT("'"&amp;$C397&amp;"'!"&amp;"$"&amp;$D397&amp;$AL$1&amp;"")</f>
        <v>3.4</v>
      </c>
      <c r="AO397" s="289">
        <v>0.96</v>
      </c>
      <c r="AP397" s="287">
        <v>0.79</v>
      </c>
      <c r="AQ397" s="288" cm="1">
        <f t="array" aca="1" ref="AQ397" ca="1">INDIRECT("'"&amp;$C397&amp;"'!"&amp;"$"&amp;$D397&amp;$AQ$1&amp;"")</f>
        <v>3.4</v>
      </c>
      <c r="AR397" s="289">
        <v>0.96</v>
      </c>
      <c r="AS397" s="287">
        <v>0.79</v>
      </c>
      <c r="AT397" s="289" cm="1">
        <f t="array" aca="1" ref="AT397" ca="1">INDIRECT("'"&amp;$C397&amp;"'!"&amp;"$"&amp;$D397&amp;$AT$1&amp;"")</f>
        <v>2.81</v>
      </c>
      <c r="AU397" s="288">
        <v>13.86</v>
      </c>
      <c r="AV397" s="289">
        <v>0.96</v>
      </c>
      <c r="AW397" s="287">
        <v>0.75</v>
      </c>
      <c r="AX397" s="291">
        <v>14.27</v>
      </c>
      <c r="AY397" s="290">
        <v>71.819999999999993</v>
      </c>
      <c r="AZ397" s="291" cm="1">
        <f t="array" aca="1" ref="AZ397" ca="1">INDIRECT("'"&amp;$C397&amp;"'!"&amp;"$"&amp;$D397&amp;$AZ$1&amp;"")</f>
        <v>14.25</v>
      </c>
      <c r="BA397" s="289">
        <v>0.98</v>
      </c>
      <c r="BB397" s="287">
        <v>3.5</v>
      </c>
      <c r="BC397" s="292">
        <v>67.400000000000006</v>
      </c>
      <c r="BD397" s="286" cm="1">
        <f t="array" aca="1" ref="BD397" ca="1">INDIRECT("'"&amp;$C397&amp;"'!"&amp;"$"&amp;$D397&amp;$BC$1&amp;"")</f>
        <v>1.5</v>
      </c>
      <c r="BE397" s="288">
        <v>0.95</v>
      </c>
      <c r="BF397" s="287">
        <v>0.49</v>
      </c>
      <c r="BG397" s="291" cm="1">
        <f t="array" aca="1" ref="BG397" ca="1">INDIRECT("'"&amp;$C397&amp;"'!"&amp;"$"&amp;$D397&amp;$BG$1&amp;"")</f>
        <v>1.34</v>
      </c>
      <c r="BH397" s="289"/>
      <c r="BI397" s="289">
        <v>0.99</v>
      </c>
      <c r="BJ397" s="287">
        <v>0.24</v>
      </c>
      <c r="BK397" s="292" cm="1">
        <f t="array" aca="1" ref="BK397" ca="1">INDIRECT("'"&amp;$C397&amp;"'!"&amp;"$"&amp;$D397&amp;$BK$1&amp;"")</f>
        <v>0.85</v>
      </c>
      <c r="BL397" s="289"/>
      <c r="BM397" s="289">
        <v>0.96</v>
      </c>
      <c r="BN397" s="287">
        <v>0.24</v>
      </c>
    </row>
    <row r="398" spans="1:66">
      <c r="A398" s="361">
        <v>45763</v>
      </c>
      <c r="B398" s="358">
        <v>0.750000000000001</v>
      </c>
      <c r="C398" s="313">
        <f t="shared" si="14"/>
        <v>16</v>
      </c>
      <c r="D398" s="314" t="s">
        <v>145</v>
      </c>
      <c r="E398" s="293">
        <v>14</v>
      </c>
      <c r="F398" s="294">
        <v>68.930000000000007</v>
      </c>
      <c r="G398" s="295" cm="1">
        <f t="array" aca="1" ref="G398" ca="1">INDIRECT("'"&amp;$C398&amp;"'!"&amp;"$"&amp;$D398&amp;$E$1&amp;"")</f>
        <v>6.7</v>
      </c>
      <c r="H398" s="296">
        <v>0.92</v>
      </c>
      <c r="I398" s="294">
        <v>2.89</v>
      </c>
      <c r="J398" s="295" cm="1">
        <f t="array" aca="1" ref="J398" ca="1">INDIRECT("'"&amp;$C398&amp;"'!"&amp;"$"&amp;$D398&amp;$J$1&amp;"")</f>
        <v>0</v>
      </c>
      <c r="K398" s="296"/>
      <c r="L398" s="296" t="s">
        <v>1</v>
      </c>
      <c r="M398" s="294" t="s">
        <v>1</v>
      </c>
      <c r="N398" s="295" cm="1">
        <f t="array" aca="1" ref="N398" ca="1">INDIRECT("'"&amp;$C398&amp;"'!"&amp;"$"&amp;$D398&amp;$N$1&amp;"")</f>
        <v>6.7</v>
      </c>
      <c r="O398" s="296"/>
      <c r="P398" s="296">
        <v>0.92</v>
      </c>
      <c r="Q398" s="294">
        <v>2.84</v>
      </c>
      <c r="R398" s="295" cm="1">
        <f t="array" aca="1" ref="R398" ca="1">INDIRECT("'"&amp;$C398&amp;"'!"&amp;"$"&amp;$D398&amp;$R$1&amp;"")</f>
        <v>6.7</v>
      </c>
      <c r="S398" s="296"/>
      <c r="T398" s="296">
        <v>0.92</v>
      </c>
      <c r="U398" s="294">
        <v>2.87</v>
      </c>
      <c r="V398" s="295" cm="1">
        <f t="array" aca="1" ref="V398" ca="1">INDIRECT("'"&amp;$C398&amp;"'!"&amp;"$"&amp;$D398&amp;$V$1&amp;"")</f>
        <v>2.8</v>
      </c>
      <c r="W398" s="296">
        <v>13.337999999999999</v>
      </c>
      <c r="X398" s="296">
        <v>0.9</v>
      </c>
      <c r="Y398" s="297">
        <v>1.34</v>
      </c>
      <c r="Z398" s="293" cm="1">
        <f t="array" aca="1" ref="Z398" ca="1">INDIRECT("'"&amp;$C398&amp;"'!"&amp;"$"&amp;$D398&amp;$Z$1&amp;"")</f>
        <v>0</v>
      </c>
      <c r="AA398" s="296" t="s">
        <v>1</v>
      </c>
      <c r="AB398" s="296" t="s">
        <v>1</v>
      </c>
      <c r="AC398" s="294" t="s">
        <v>1</v>
      </c>
      <c r="AD398" s="295" cm="1">
        <f t="array" aca="1" ref="AD398" ca="1">INDIRECT("'"&amp;$C398&amp;"'!"&amp;"$"&amp;$D398&amp;$AD$1&amp;"")</f>
        <v>3.3</v>
      </c>
      <c r="AE398" s="296">
        <v>13.337999999999999</v>
      </c>
      <c r="AF398" s="296">
        <v>0.9</v>
      </c>
      <c r="AG398" s="297">
        <v>0.84</v>
      </c>
      <c r="AH398" s="293" cm="1">
        <f t="array" aca="1" ref="AH398" ca="1">INDIRECT("'"&amp;$C398&amp;"'!"&amp;"$"&amp;$D398&amp;$AH$1&amp;"")</f>
        <v>3.8</v>
      </c>
      <c r="AI398" s="296">
        <v>14.04</v>
      </c>
      <c r="AJ398" s="296">
        <v>0.98</v>
      </c>
      <c r="AK398" s="294">
        <v>0.56200000000000006</v>
      </c>
      <c r="AL398" s="293">
        <v>11.9</v>
      </c>
      <c r="AM398" s="297">
        <v>70.5</v>
      </c>
      <c r="AN398" s="293" cm="1">
        <f t="array" aca="1" ref="AN398" ca="1">INDIRECT("'"&amp;$C398&amp;"'!"&amp;"$"&amp;$D398&amp;$AL$1&amp;"")</f>
        <v>3.2</v>
      </c>
      <c r="AO398" s="296">
        <v>0.96</v>
      </c>
      <c r="AP398" s="294">
        <v>0.73</v>
      </c>
      <c r="AQ398" s="295" cm="1">
        <f t="array" aca="1" ref="AQ398" ca="1">INDIRECT("'"&amp;$C398&amp;"'!"&amp;"$"&amp;$D398&amp;$AQ$1&amp;"")</f>
        <v>3.2</v>
      </c>
      <c r="AR398" s="296">
        <v>0.96</v>
      </c>
      <c r="AS398" s="294">
        <v>0.85</v>
      </c>
      <c r="AT398" s="296" cm="1">
        <f t="array" aca="1" ref="AT398" ca="1">INDIRECT("'"&amp;$C398&amp;"'!"&amp;"$"&amp;$D398&amp;$AT$1&amp;"")</f>
        <v>2.5</v>
      </c>
      <c r="AU398" s="295">
        <v>13.86</v>
      </c>
      <c r="AV398" s="296">
        <v>0.96</v>
      </c>
      <c r="AW398" s="294">
        <v>0.73</v>
      </c>
      <c r="AX398" s="298">
        <v>14.27</v>
      </c>
      <c r="AY398" s="297">
        <v>71.819999999999993</v>
      </c>
      <c r="AZ398" s="298" cm="1">
        <f t="array" aca="1" ref="AZ398" ca="1">INDIRECT("'"&amp;$C398&amp;"'!"&amp;"$"&amp;$D398&amp;$AZ$1&amp;"")</f>
        <v>14.15</v>
      </c>
      <c r="BA398" s="296">
        <v>0.98</v>
      </c>
      <c r="BB398" s="294">
        <v>3.5</v>
      </c>
      <c r="BC398" s="299">
        <v>67.400000000000006</v>
      </c>
      <c r="BD398" s="293" cm="1">
        <f t="array" aca="1" ref="BD398" ca="1">INDIRECT("'"&amp;$C398&amp;"'!"&amp;"$"&amp;$D398&amp;$BC$1&amp;"")</f>
        <v>0</v>
      </c>
      <c r="BE398" s="295" t="s">
        <v>1</v>
      </c>
      <c r="BF398" s="294" t="s">
        <v>1</v>
      </c>
      <c r="BG398" s="298" cm="1">
        <f t="array" aca="1" ref="BG398" ca="1">INDIRECT("'"&amp;$C398&amp;"'!"&amp;"$"&amp;$D398&amp;$BG$1&amp;"")</f>
        <v>1.3</v>
      </c>
      <c r="BH398" s="296"/>
      <c r="BI398" s="296">
        <v>0.99</v>
      </c>
      <c r="BJ398" s="294">
        <v>0.2</v>
      </c>
      <c r="BK398" s="299" cm="1">
        <f t="array" aca="1" ref="BK398" ca="1">INDIRECT("'"&amp;$C398&amp;"'!"&amp;"$"&amp;$D398&amp;$BK$1&amp;"")</f>
        <v>0.9</v>
      </c>
      <c r="BL398" s="296"/>
      <c r="BM398" s="296">
        <v>0.97</v>
      </c>
      <c r="BN398" s="294">
        <v>0.24</v>
      </c>
    </row>
    <row r="399" spans="1:66">
      <c r="A399" s="361">
        <v>45763</v>
      </c>
      <c r="B399" s="358">
        <v>0.79166666666666663</v>
      </c>
      <c r="C399" s="313">
        <f t="shared" si="14"/>
        <v>16</v>
      </c>
      <c r="D399" s="314" t="s">
        <v>146</v>
      </c>
      <c r="E399" s="286">
        <v>14.2</v>
      </c>
      <c r="F399" s="287">
        <v>69.58</v>
      </c>
      <c r="G399" s="288" cm="1">
        <f t="array" aca="1" ref="G399" ca="1">INDIRECT("'"&amp;$C399&amp;"'!"&amp;"$"&amp;$D399&amp;$E$1&amp;"")</f>
        <v>6.8</v>
      </c>
      <c r="H399" s="289">
        <v>0.94</v>
      </c>
      <c r="I399" s="287">
        <v>2.41</v>
      </c>
      <c r="J399" s="288" cm="1">
        <f t="array" aca="1" ref="J399" ca="1">INDIRECT("'"&amp;$C399&amp;"'!"&amp;"$"&amp;$D399&amp;$J$1&amp;"")</f>
        <v>0</v>
      </c>
      <c r="K399" s="300"/>
      <c r="L399" s="289" t="s">
        <v>1</v>
      </c>
      <c r="M399" s="287" t="s">
        <v>1</v>
      </c>
      <c r="N399" s="288" cm="1">
        <f t="array" aca="1" ref="N399" ca="1">INDIRECT("'"&amp;$C399&amp;"'!"&amp;"$"&amp;$D399&amp;$N$1&amp;"")</f>
        <v>6.8</v>
      </c>
      <c r="O399" s="289"/>
      <c r="P399" s="289">
        <v>0.94</v>
      </c>
      <c r="Q399" s="287">
        <v>2.4</v>
      </c>
      <c r="R399" s="288" cm="1">
        <f t="array" aca="1" ref="R399" ca="1">INDIRECT("'"&amp;$C399&amp;"'!"&amp;"$"&amp;$D399&amp;$R$1&amp;"")</f>
        <v>6.8</v>
      </c>
      <c r="S399" s="289"/>
      <c r="T399" s="289">
        <v>0.94</v>
      </c>
      <c r="U399" s="287">
        <v>2.44</v>
      </c>
      <c r="V399" s="288" cm="1">
        <f t="array" aca="1" ref="V399" ca="1">INDIRECT("'"&amp;$C399&amp;"'!"&amp;"$"&amp;$D399&amp;$V$1&amp;"")</f>
        <v>2.8</v>
      </c>
      <c r="W399" s="289">
        <f>3.8*3.53</f>
        <v>13.413999999999998</v>
      </c>
      <c r="X399" s="289">
        <v>0.92</v>
      </c>
      <c r="Y399" s="290">
        <v>1.28</v>
      </c>
      <c r="Z399" s="286" cm="1">
        <f t="array" aca="1" ref="Z399" ca="1">INDIRECT("'"&amp;$C399&amp;"'!"&amp;"$"&amp;$D399&amp;$Z$1&amp;"")</f>
        <v>0</v>
      </c>
      <c r="AA399" s="289" t="s">
        <v>1</v>
      </c>
      <c r="AB399" s="289" t="s">
        <v>1</v>
      </c>
      <c r="AC399" s="287" t="s">
        <v>1</v>
      </c>
      <c r="AD399" s="288" cm="1">
        <f t="array" aca="1" ref="AD399" ca="1">INDIRECT("'"&amp;$C399&amp;"'!"&amp;"$"&amp;$D399&amp;$AD$1&amp;"")</f>
        <v>3.8</v>
      </c>
      <c r="AE399" s="289">
        <f>3.8*3.53</f>
        <v>13.413999999999998</v>
      </c>
      <c r="AF399" s="289">
        <v>0.92</v>
      </c>
      <c r="AG399" s="290">
        <v>1.73</v>
      </c>
      <c r="AH399" s="286" cm="1">
        <f t="array" aca="1" ref="AH399" ca="1">INDIRECT("'"&amp;$C399&amp;"'!"&amp;"$"&amp;$D399&amp;$AH$1&amp;"")</f>
        <v>3.8</v>
      </c>
      <c r="AI399" s="289">
        <v>14.04</v>
      </c>
      <c r="AJ399" s="289">
        <v>0.98</v>
      </c>
      <c r="AK399" s="287">
        <v>0.59099999999999997</v>
      </c>
      <c r="AL399" s="286">
        <v>11.9</v>
      </c>
      <c r="AM399" s="290">
        <v>70.8</v>
      </c>
      <c r="AN399" s="286" cm="1">
        <f t="array" aca="1" ref="AN399" ca="1">INDIRECT("'"&amp;$C399&amp;"'!"&amp;"$"&amp;$D399&amp;$AL$1&amp;"")</f>
        <v>4.3</v>
      </c>
      <c r="AO399" s="289">
        <v>0.96</v>
      </c>
      <c r="AP399" s="287">
        <v>0.74</v>
      </c>
      <c r="AQ399" s="288" cm="1">
        <f t="array" aca="1" ref="AQ399" ca="1">INDIRECT("'"&amp;$C399&amp;"'!"&amp;"$"&amp;$D399&amp;$AQ$1&amp;"")</f>
        <v>4.3</v>
      </c>
      <c r="AR399" s="289">
        <v>0.96</v>
      </c>
      <c r="AS399" s="287">
        <v>0.74</v>
      </c>
      <c r="AT399" s="289" cm="1">
        <f t="array" aca="1" ref="AT399" ca="1">INDIRECT("'"&amp;$C399&amp;"'!"&amp;"$"&amp;$D399&amp;$AT$1&amp;"")</f>
        <v>5.9</v>
      </c>
      <c r="AU399" s="288">
        <v>13.88</v>
      </c>
      <c r="AV399" s="289">
        <v>0.99</v>
      </c>
      <c r="AW399" s="287">
        <v>0.63</v>
      </c>
      <c r="AX399" s="291">
        <v>14.28</v>
      </c>
      <c r="AY399" s="290">
        <v>71.83</v>
      </c>
      <c r="AZ399" s="291" cm="1">
        <f t="array" aca="1" ref="AZ399" ca="1">INDIRECT("'"&amp;$C399&amp;"'!"&amp;"$"&amp;$D399&amp;$AZ$1&amp;"")</f>
        <v>14.19</v>
      </c>
      <c r="BA399" s="289">
        <v>0.98</v>
      </c>
      <c r="BB399" s="287">
        <v>3.5</v>
      </c>
      <c r="BC399" s="292">
        <v>68.2</v>
      </c>
      <c r="BD399" s="286" cm="1">
        <f t="array" aca="1" ref="BD399" ca="1">INDIRECT("'"&amp;$C399&amp;"'!"&amp;"$"&amp;$D399&amp;$BC$1&amp;"")</f>
        <v>1.5</v>
      </c>
      <c r="BE399" s="288">
        <v>0.99</v>
      </c>
      <c r="BF399" s="287">
        <v>0.37</v>
      </c>
      <c r="BG399" s="291" cm="1">
        <f t="array" aca="1" ref="BG399" ca="1">INDIRECT("'"&amp;$C399&amp;"'!"&amp;"$"&amp;$D399&amp;$BG$1&amp;"")</f>
        <v>1.62</v>
      </c>
      <c r="BH399" s="289"/>
      <c r="BI399" s="289">
        <v>0.99</v>
      </c>
      <c r="BJ399" s="287">
        <v>0.22</v>
      </c>
      <c r="BK399" s="292" cm="1">
        <f t="array" aca="1" ref="BK399" ca="1">INDIRECT("'"&amp;$C399&amp;"'!"&amp;"$"&amp;$D399&amp;$BK$1&amp;"")</f>
        <v>1</v>
      </c>
      <c r="BL399" s="289"/>
      <c r="BM399" s="289">
        <v>0.97</v>
      </c>
      <c r="BN399" s="287">
        <v>0.25</v>
      </c>
    </row>
    <row r="400" spans="1:66">
      <c r="A400" s="361">
        <v>45763</v>
      </c>
      <c r="B400" s="358">
        <v>0.83333333333333337</v>
      </c>
      <c r="C400" s="313">
        <f t="shared" si="14"/>
        <v>16</v>
      </c>
      <c r="D400" s="314" t="s">
        <v>147</v>
      </c>
      <c r="E400" s="293">
        <v>14</v>
      </c>
      <c r="F400" s="294">
        <v>69.3</v>
      </c>
      <c r="G400" s="295" cm="1">
        <f t="array" aca="1" ref="G400" ca="1">INDIRECT("'"&amp;$C400&amp;"'!"&amp;"$"&amp;$D400&amp;$E$1&amp;"")</f>
        <v>6.6</v>
      </c>
      <c r="H400" s="296">
        <v>0.95</v>
      </c>
      <c r="I400" s="294">
        <v>2.14</v>
      </c>
      <c r="J400" s="295" cm="1">
        <f t="array" aca="1" ref="J400" ca="1">INDIRECT("'"&amp;$C400&amp;"'!"&amp;"$"&amp;$D400&amp;$J$1&amp;"")</f>
        <v>0</v>
      </c>
      <c r="K400" s="296"/>
      <c r="L400" s="296" t="s">
        <v>1</v>
      </c>
      <c r="M400" s="294" t="s">
        <v>1</v>
      </c>
      <c r="N400" s="295" cm="1">
        <f t="array" aca="1" ref="N400" ca="1">INDIRECT("'"&amp;$C400&amp;"'!"&amp;"$"&amp;$D400&amp;$N$1&amp;"")</f>
        <v>6.6</v>
      </c>
      <c r="O400" s="296"/>
      <c r="P400" s="296">
        <v>0.95</v>
      </c>
      <c r="Q400" s="294">
        <v>2.14</v>
      </c>
      <c r="R400" s="295" cm="1">
        <f t="array" aca="1" ref="R400" ca="1">INDIRECT("'"&amp;$C400&amp;"'!"&amp;"$"&amp;$D400&amp;$R$1&amp;"")</f>
        <v>6.6</v>
      </c>
      <c r="S400" s="296"/>
      <c r="T400" s="296">
        <v>0.95</v>
      </c>
      <c r="U400" s="294">
        <v>2.14</v>
      </c>
      <c r="V400" s="295" cm="1">
        <f t="array" aca="1" ref="V400" ca="1">INDIRECT("'"&amp;$C400&amp;"'!"&amp;"$"&amp;$D400&amp;$V$1&amp;"")</f>
        <v>2.8</v>
      </c>
      <c r="W400" s="296">
        <f>3.8*3.52</f>
        <v>13.375999999999999</v>
      </c>
      <c r="X400" s="296">
        <v>0.96</v>
      </c>
      <c r="Y400" s="297">
        <v>0.77</v>
      </c>
      <c r="Z400" s="293" cm="1">
        <f t="array" aca="1" ref="Z400" ca="1">INDIRECT("'"&amp;$C400&amp;"'!"&amp;"$"&amp;$D400&amp;$Z$1&amp;"")</f>
        <v>0</v>
      </c>
      <c r="AA400" s="296" t="s">
        <v>1</v>
      </c>
      <c r="AB400" s="296" t="s">
        <v>1</v>
      </c>
      <c r="AC400" s="294" t="s">
        <v>1</v>
      </c>
      <c r="AD400" s="295" cm="1">
        <f t="array" aca="1" ref="AD400" ca="1">INDIRECT("'"&amp;$C400&amp;"'!"&amp;"$"&amp;$D400&amp;$AD$1&amp;"")</f>
        <v>3.8</v>
      </c>
      <c r="AE400" s="296">
        <f>3.8*3.52</f>
        <v>13.375999999999999</v>
      </c>
      <c r="AF400" s="296">
        <v>0.95</v>
      </c>
      <c r="AG400" s="297">
        <v>1.2</v>
      </c>
      <c r="AH400" s="293" cm="1">
        <f t="array" aca="1" ref="AH400" ca="1">INDIRECT("'"&amp;$C400&amp;"'!"&amp;"$"&amp;$D400&amp;$AH$1&amp;"")</f>
        <v>3.8</v>
      </c>
      <c r="AI400" s="296">
        <v>14</v>
      </c>
      <c r="AJ400" s="296">
        <v>0.97</v>
      </c>
      <c r="AK400" s="294">
        <v>0.68899999999999995</v>
      </c>
      <c r="AL400" s="293">
        <v>11.9</v>
      </c>
      <c r="AM400" s="297">
        <v>70.7</v>
      </c>
      <c r="AN400" s="293" cm="1">
        <f t="array" aca="1" ref="AN400" ca="1">INDIRECT("'"&amp;$C400&amp;"'!"&amp;"$"&amp;$D400&amp;$AL$1&amp;"")</f>
        <v>4</v>
      </c>
      <c r="AO400" s="296">
        <v>0.97</v>
      </c>
      <c r="AP400" s="294">
        <v>0.75</v>
      </c>
      <c r="AQ400" s="295" cm="1">
        <f t="array" aca="1" ref="AQ400" ca="1">INDIRECT("'"&amp;$C400&amp;"'!"&amp;"$"&amp;$D400&amp;$AQ$1&amp;"")</f>
        <v>4</v>
      </c>
      <c r="AR400" s="296">
        <v>0.97</v>
      </c>
      <c r="AS400" s="294">
        <v>0.77</v>
      </c>
      <c r="AT400" s="296" cm="1">
        <f t="array" aca="1" ref="AT400" ca="1">INDIRECT("'"&amp;$C400&amp;"'!"&amp;"$"&amp;$D400&amp;$AT$1&amp;"")</f>
        <v>5.07</v>
      </c>
      <c r="AU400" s="295">
        <v>13.87</v>
      </c>
      <c r="AV400" s="296">
        <v>0.98</v>
      </c>
      <c r="AW400" s="294">
        <v>1.1100000000000001</v>
      </c>
      <c r="AX400" s="298">
        <v>14.15</v>
      </c>
      <c r="AY400" s="297">
        <v>71.599999999999994</v>
      </c>
      <c r="AZ400" s="298" cm="1">
        <f t="array" aca="1" ref="AZ400" ca="1">INDIRECT("'"&amp;$C400&amp;"'!"&amp;"$"&amp;$D400&amp;$AZ$1&amp;"")</f>
        <v>14.18</v>
      </c>
      <c r="BA400" s="296">
        <v>0.99</v>
      </c>
      <c r="BB400" s="294">
        <v>2.5</v>
      </c>
      <c r="BC400" s="299">
        <v>68.3</v>
      </c>
      <c r="BD400" s="293" cm="1">
        <f t="array" aca="1" ref="BD400" ca="1">INDIRECT("'"&amp;$C400&amp;"'!"&amp;"$"&amp;$D400&amp;$BC$1&amp;"")</f>
        <v>1.5</v>
      </c>
      <c r="BE400" s="295">
        <v>0.98</v>
      </c>
      <c r="BF400" s="294">
        <v>0.3</v>
      </c>
      <c r="BG400" s="298" cm="1">
        <f t="array" aca="1" ref="BG400" ca="1">INDIRECT("'"&amp;$C400&amp;"'!"&amp;"$"&amp;$D400&amp;$BG$1&amp;"")</f>
        <v>1.6</v>
      </c>
      <c r="BH400" s="296"/>
      <c r="BI400" s="296">
        <v>0.99</v>
      </c>
      <c r="BJ400" s="294">
        <v>0.22</v>
      </c>
      <c r="BK400" s="299" cm="1">
        <f t="array" aca="1" ref="BK400" ca="1">INDIRECT("'"&amp;$C400&amp;"'!"&amp;"$"&amp;$D400&amp;$BK$1&amp;"")</f>
        <v>1.05</v>
      </c>
      <c r="BL400" s="296"/>
      <c r="BM400" s="296">
        <v>0.97</v>
      </c>
      <c r="BN400" s="294">
        <v>0.26</v>
      </c>
    </row>
    <row r="401" spans="1:66">
      <c r="A401" s="361">
        <v>45763</v>
      </c>
      <c r="B401" s="358">
        <v>0.875000000000001</v>
      </c>
      <c r="C401" s="313">
        <f t="shared" si="14"/>
        <v>16</v>
      </c>
      <c r="D401" s="314" t="s">
        <v>148</v>
      </c>
      <c r="E401" s="286">
        <v>14</v>
      </c>
      <c r="F401" s="287">
        <v>69.459999999999994</v>
      </c>
      <c r="G401" s="288" cm="1">
        <f t="array" aca="1" ref="G401" ca="1">INDIRECT("'"&amp;$C401&amp;"'!"&amp;"$"&amp;$D401&amp;$E$1&amp;"")</f>
        <v>6.5</v>
      </c>
      <c r="H401" s="289">
        <v>0.96</v>
      </c>
      <c r="I401" s="287">
        <v>1.9</v>
      </c>
      <c r="J401" s="288" cm="1">
        <f t="array" aca="1" ref="J401" ca="1">INDIRECT("'"&amp;$C401&amp;"'!"&amp;"$"&amp;$D401&amp;$J$1&amp;"")</f>
        <v>0</v>
      </c>
      <c r="K401" s="289"/>
      <c r="L401" s="289" t="s">
        <v>1</v>
      </c>
      <c r="M401" s="287" t="s">
        <v>1</v>
      </c>
      <c r="N401" s="288" cm="1">
        <f t="array" aca="1" ref="N401" ca="1">INDIRECT("'"&amp;$C401&amp;"'!"&amp;"$"&amp;$D401&amp;$N$1&amp;"")</f>
        <v>6.5</v>
      </c>
      <c r="O401" s="289"/>
      <c r="P401" s="289">
        <v>0.96</v>
      </c>
      <c r="Q401" s="287">
        <v>1.9</v>
      </c>
      <c r="R401" s="288" cm="1">
        <f t="array" aca="1" ref="R401" ca="1">INDIRECT("'"&amp;$C401&amp;"'!"&amp;"$"&amp;$D401&amp;$R$1&amp;"")</f>
        <v>6.5</v>
      </c>
      <c r="S401" s="289"/>
      <c r="T401" s="289">
        <v>0.96</v>
      </c>
      <c r="U401" s="287">
        <v>1.9</v>
      </c>
      <c r="V401" s="288" cm="1">
        <f t="array" aca="1" ref="V401" ca="1">INDIRECT("'"&amp;$C401&amp;"'!"&amp;"$"&amp;$D401&amp;$V$1&amp;"")</f>
        <v>2.8</v>
      </c>
      <c r="W401" s="289">
        <v>13.413999999999998</v>
      </c>
      <c r="X401" s="289">
        <v>0.96</v>
      </c>
      <c r="Y401" s="290">
        <v>0.75</v>
      </c>
      <c r="Z401" s="286" cm="1">
        <f t="array" aca="1" ref="Z401" ca="1">INDIRECT("'"&amp;$C401&amp;"'!"&amp;"$"&amp;$D401&amp;$Z$1&amp;"")</f>
        <v>0</v>
      </c>
      <c r="AA401" s="289" t="s">
        <v>1</v>
      </c>
      <c r="AB401" s="289" t="s">
        <v>1</v>
      </c>
      <c r="AC401" s="287" t="s">
        <v>1</v>
      </c>
      <c r="AD401" s="288" cm="1">
        <f t="array" aca="1" ref="AD401" ca="1">INDIRECT("'"&amp;$C401&amp;"'!"&amp;"$"&amp;$D401&amp;$AD$1&amp;"")</f>
        <v>3.8</v>
      </c>
      <c r="AE401" s="289">
        <v>13.414</v>
      </c>
      <c r="AF401" s="289">
        <v>0.96</v>
      </c>
      <c r="AG401" s="290">
        <v>1.05</v>
      </c>
      <c r="AH401" s="286" cm="1">
        <f t="array" aca="1" ref="AH401" ca="1">INDIRECT("'"&amp;$C401&amp;"'!"&amp;"$"&amp;$D401&amp;$AH$1&amp;"")</f>
        <v>3.8</v>
      </c>
      <c r="AI401" s="289">
        <v>14.04</v>
      </c>
      <c r="AJ401" s="289">
        <v>0.98</v>
      </c>
      <c r="AK401" s="287">
        <v>0.67900000000000005</v>
      </c>
      <c r="AL401" s="286">
        <v>11.9</v>
      </c>
      <c r="AM401" s="290">
        <v>70.7</v>
      </c>
      <c r="AN401" s="286" cm="1">
        <f t="array" aca="1" ref="AN401" ca="1">INDIRECT("'"&amp;$C401&amp;"'!"&amp;"$"&amp;$D401&amp;$AL$1&amp;"")</f>
        <v>3</v>
      </c>
      <c r="AO401" s="289">
        <v>0.97</v>
      </c>
      <c r="AP401" s="287">
        <v>0.78</v>
      </c>
      <c r="AQ401" s="288" cm="1">
        <f t="array" aca="1" ref="AQ401" ca="1">INDIRECT("'"&amp;$C401&amp;"'!"&amp;"$"&amp;$D401&amp;$AQ$1&amp;"")</f>
        <v>3</v>
      </c>
      <c r="AR401" s="289">
        <v>0.97</v>
      </c>
      <c r="AS401" s="287">
        <v>0.78</v>
      </c>
      <c r="AT401" s="289" cm="1">
        <f t="array" aca="1" ref="AT401" ca="1">INDIRECT("'"&amp;$C401&amp;"'!"&amp;"$"&amp;$D401&amp;$AT$1&amp;"")</f>
        <v>4.3</v>
      </c>
      <c r="AU401" s="288">
        <v>13.88</v>
      </c>
      <c r="AV401" s="289">
        <v>0.98</v>
      </c>
      <c r="AW401" s="287">
        <v>0.94</v>
      </c>
      <c r="AX401" s="291">
        <v>14.18</v>
      </c>
      <c r="AY401" s="290">
        <v>71.709999999999994</v>
      </c>
      <c r="AZ401" s="291" cm="1">
        <f t="array" aca="1" ref="AZ401" ca="1">INDIRECT("'"&amp;$C401&amp;"'!"&amp;"$"&amp;$D401&amp;$AZ$1&amp;"")</f>
        <v>14.24</v>
      </c>
      <c r="BA401" s="289">
        <v>0.99</v>
      </c>
      <c r="BB401" s="287">
        <v>2.5</v>
      </c>
      <c r="BC401" s="292">
        <v>68.2</v>
      </c>
      <c r="BD401" s="286" cm="1">
        <f t="array" aca="1" ref="BD401" ca="1">INDIRECT("'"&amp;$C401&amp;"'!"&amp;"$"&amp;$D401&amp;$BC$1&amp;"")</f>
        <v>0</v>
      </c>
      <c r="BE401" s="288" t="s">
        <v>1</v>
      </c>
      <c r="BF401" s="287" t="s">
        <v>1</v>
      </c>
      <c r="BG401" s="291" cm="1">
        <f t="array" aca="1" ref="BG401" ca="1">INDIRECT("'"&amp;$C401&amp;"'!"&amp;"$"&amp;$D401&amp;$BG$1&amp;"")</f>
        <v>1.51</v>
      </c>
      <c r="BH401" s="289"/>
      <c r="BI401" s="289">
        <v>0.99</v>
      </c>
      <c r="BJ401" s="287">
        <v>0.2</v>
      </c>
      <c r="BK401" s="292" cm="1">
        <f t="array" aca="1" ref="BK401" ca="1">INDIRECT("'"&amp;$C401&amp;"'!"&amp;"$"&amp;$D401&amp;$BK$1&amp;"")</f>
        <v>0.97</v>
      </c>
      <c r="BL401" s="289"/>
      <c r="BM401" s="289">
        <v>0.97</v>
      </c>
      <c r="BN401" s="287">
        <v>0.24</v>
      </c>
    </row>
    <row r="402" spans="1:66">
      <c r="A402" s="361">
        <v>45763</v>
      </c>
      <c r="B402" s="358">
        <v>0.91666666666666696</v>
      </c>
      <c r="C402" s="313">
        <f t="shared" si="14"/>
        <v>16</v>
      </c>
      <c r="D402" s="314" t="s">
        <v>149</v>
      </c>
      <c r="E402" s="293">
        <v>14.1</v>
      </c>
      <c r="F402" s="294">
        <v>69.599999999999994</v>
      </c>
      <c r="G402" s="295" cm="1">
        <f t="array" aca="1" ref="G402" ca="1">INDIRECT("'"&amp;$C402&amp;"'!"&amp;"$"&amp;$D402&amp;$E$1&amp;"")</f>
        <v>6.5</v>
      </c>
      <c r="H402" s="296">
        <v>0.96</v>
      </c>
      <c r="I402" s="294">
        <v>1.83</v>
      </c>
      <c r="J402" s="295" cm="1">
        <f t="array" aca="1" ref="J402" ca="1">INDIRECT("'"&amp;$C402&amp;"'!"&amp;"$"&amp;$D402&amp;$J$1&amp;"")</f>
        <v>6.5</v>
      </c>
      <c r="K402" s="296"/>
      <c r="L402" s="296">
        <v>0.96</v>
      </c>
      <c r="M402" s="294">
        <v>1.83</v>
      </c>
      <c r="N402" s="295" cm="1">
        <f t="array" aca="1" ref="N402" ca="1">INDIRECT("'"&amp;$C402&amp;"'!"&amp;"$"&amp;$D402&amp;$N$1&amp;"")</f>
        <v>0</v>
      </c>
      <c r="O402" s="296"/>
      <c r="P402" s="296" t="s">
        <v>1</v>
      </c>
      <c r="Q402" s="294" t="s">
        <v>1</v>
      </c>
      <c r="R402" s="295" cm="1">
        <f t="array" aca="1" ref="R402" ca="1">INDIRECT("'"&amp;$C402&amp;"'!"&amp;"$"&amp;$D402&amp;$R$1&amp;"")</f>
        <v>6.5</v>
      </c>
      <c r="S402" s="296"/>
      <c r="T402" s="296">
        <v>0.96</v>
      </c>
      <c r="U402" s="294">
        <v>1.83</v>
      </c>
      <c r="V402" s="295" cm="1">
        <f t="array" aca="1" ref="V402" ca="1">INDIRECT("'"&amp;$C402&amp;"'!"&amp;"$"&amp;$D402&amp;$V$1&amp;"")</f>
        <v>2.2000000000000002</v>
      </c>
      <c r="W402" s="296">
        <f>3.8*3.54</f>
        <v>13.452</v>
      </c>
      <c r="X402" s="296">
        <v>0.97</v>
      </c>
      <c r="Y402" s="297">
        <v>0.51</v>
      </c>
      <c r="Z402" s="293" cm="1">
        <f t="array" aca="1" ref="Z402" ca="1">INDIRECT("'"&amp;$C402&amp;"'!"&amp;"$"&amp;$D402&amp;$Z$1&amp;"")</f>
        <v>0</v>
      </c>
      <c r="AA402" s="296" t="s">
        <v>1</v>
      </c>
      <c r="AB402" s="296" t="s">
        <v>1</v>
      </c>
      <c r="AC402" s="294" t="s">
        <v>1</v>
      </c>
      <c r="AD402" s="295" cm="1">
        <f t="array" aca="1" ref="AD402" ca="1">INDIRECT("'"&amp;$C402&amp;"'!"&amp;"$"&amp;$D402&amp;$AD$1&amp;"")</f>
        <v>3.6</v>
      </c>
      <c r="AE402" s="296">
        <f>3.8*3.54</f>
        <v>13.452</v>
      </c>
      <c r="AF402" s="296">
        <v>0.96</v>
      </c>
      <c r="AG402" s="297">
        <v>0.97</v>
      </c>
      <c r="AH402" s="293" cm="1">
        <f t="array" aca="1" ref="AH402" ca="1">INDIRECT("'"&amp;$C402&amp;"'!"&amp;"$"&amp;$D402&amp;$AH$1&amp;"")</f>
        <v>3</v>
      </c>
      <c r="AI402" s="296">
        <v>14.04</v>
      </c>
      <c r="AJ402" s="296">
        <v>0.98</v>
      </c>
      <c r="AK402" s="294">
        <v>0.63900000000000001</v>
      </c>
      <c r="AL402" s="293">
        <v>11.9</v>
      </c>
      <c r="AM402" s="297">
        <v>70.7</v>
      </c>
      <c r="AN402" s="293" cm="1">
        <f t="array" aca="1" ref="AN402" ca="1">INDIRECT("'"&amp;$C402&amp;"'!"&amp;"$"&amp;$D402&amp;$AL$1&amp;"")</f>
        <v>4</v>
      </c>
      <c r="AO402" s="296">
        <v>0.98</v>
      </c>
      <c r="AP402" s="294">
        <v>0.78</v>
      </c>
      <c r="AQ402" s="295" cm="1">
        <f t="array" aca="1" ref="AQ402" ca="1">INDIRECT("'"&amp;$C402&amp;"'!"&amp;"$"&amp;$D402&amp;$AQ$1&amp;"")</f>
        <v>4</v>
      </c>
      <c r="AR402" s="296">
        <v>0.98</v>
      </c>
      <c r="AS402" s="294">
        <v>0.78</v>
      </c>
      <c r="AT402" s="296" cm="1">
        <f t="array" aca="1" ref="AT402" ca="1">INDIRECT("'"&amp;$C402&amp;"'!"&amp;"$"&amp;$D402&amp;$AT$1&amp;"")</f>
        <v>0</v>
      </c>
      <c r="AU402" s="295" t="s">
        <v>1</v>
      </c>
      <c r="AV402" s="296" t="s">
        <v>1</v>
      </c>
      <c r="AW402" s="294" t="s">
        <v>1</v>
      </c>
      <c r="AX402" s="298">
        <v>14.18</v>
      </c>
      <c r="AY402" s="297">
        <v>71.78</v>
      </c>
      <c r="AZ402" s="298" cm="1">
        <f t="array" aca="1" ref="AZ402" ca="1">INDIRECT("'"&amp;$C402&amp;"'!"&amp;"$"&amp;$D402&amp;$AZ$1&amp;"")</f>
        <v>14.27</v>
      </c>
      <c r="BA402" s="296">
        <v>0.99</v>
      </c>
      <c r="BB402" s="294">
        <v>2.5</v>
      </c>
      <c r="BC402" s="299">
        <v>68.599999999999994</v>
      </c>
      <c r="BD402" s="293" cm="1">
        <f t="array" aca="1" ref="BD402" ca="1">INDIRECT("'"&amp;$C402&amp;"'!"&amp;"$"&amp;$D402&amp;$BC$1&amp;"")</f>
        <v>0</v>
      </c>
      <c r="BE402" s="295" t="s">
        <v>1</v>
      </c>
      <c r="BF402" s="294" t="s">
        <v>1</v>
      </c>
      <c r="BG402" s="298" cm="1">
        <f t="array" aca="1" ref="BG402" ca="1">INDIRECT("'"&amp;$C402&amp;"'!"&amp;"$"&amp;$D402&amp;$BG$1&amp;"")</f>
        <v>1.37</v>
      </c>
      <c r="BH402" s="296"/>
      <c r="BI402" s="296">
        <v>0.99</v>
      </c>
      <c r="BJ402" s="294">
        <v>0.21</v>
      </c>
      <c r="BK402" s="299" cm="1">
        <f t="array" aca="1" ref="BK402" ca="1">INDIRECT("'"&amp;$C402&amp;"'!"&amp;"$"&amp;$D402&amp;$BK$1&amp;"")</f>
        <v>0.92</v>
      </c>
      <c r="BL402" s="296"/>
      <c r="BM402" s="296">
        <v>0.97</v>
      </c>
      <c r="BN402" s="294">
        <v>0.23</v>
      </c>
    </row>
    <row r="403" spans="1:66" ht="14.45" thickBot="1">
      <c r="A403" s="362">
        <v>45763</v>
      </c>
      <c r="B403" s="359">
        <v>0.95833333333333404</v>
      </c>
      <c r="C403" s="315">
        <f t="shared" si="14"/>
        <v>16</v>
      </c>
      <c r="D403" s="316" t="s">
        <v>150</v>
      </c>
      <c r="E403" s="301">
        <v>14.1</v>
      </c>
      <c r="F403" s="302">
        <v>69.989999999999995</v>
      </c>
      <c r="G403" s="303" cm="1">
        <f t="array" aca="1" ref="G403" ca="1">INDIRECT("'"&amp;$C403&amp;"'!"&amp;"$"&amp;$D403&amp;$E$1&amp;"")</f>
        <v>6.5</v>
      </c>
      <c r="H403" s="304">
        <v>0.97</v>
      </c>
      <c r="I403" s="302">
        <v>1.87</v>
      </c>
      <c r="J403" s="303" cm="1">
        <f t="array" aca="1" ref="J403" ca="1">INDIRECT("'"&amp;$C403&amp;"'!"&amp;"$"&amp;$D403&amp;$J$1&amp;"")</f>
        <v>6.5</v>
      </c>
      <c r="K403" s="304"/>
      <c r="L403" s="304">
        <v>0.97</v>
      </c>
      <c r="M403" s="302">
        <v>1.87</v>
      </c>
      <c r="N403" s="303" cm="1">
        <f t="array" aca="1" ref="N403" ca="1">INDIRECT("'"&amp;$C403&amp;"'!"&amp;"$"&amp;$D403&amp;$N$1&amp;"")</f>
        <v>0</v>
      </c>
      <c r="O403" s="304"/>
      <c r="P403" s="304" t="s">
        <v>1</v>
      </c>
      <c r="Q403" s="302" t="s">
        <v>1</v>
      </c>
      <c r="R403" s="303" cm="1">
        <f t="array" aca="1" ref="R403" ca="1">INDIRECT("'"&amp;$C403&amp;"'!"&amp;"$"&amp;$D403&amp;$R$1&amp;"")</f>
        <v>6.5</v>
      </c>
      <c r="S403" s="304"/>
      <c r="T403" s="304">
        <v>0.97</v>
      </c>
      <c r="U403" s="302">
        <v>1.87</v>
      </c>
      <c r="V403" s="303" cm="1">
        <f t="array" aca="1" ref="V403" ca="1">INDIRECT("'"&amp;$C403&amp;"'!"&amp;"$"&amp;$D403&amp;$V$1&amp;"")</f>
        <v>2.5</v>
      </c>
      <c r="W403" s="304">
        <f>3.8*3.56</f>
        <v>13.527999999999999</v>
      </c>
      <c r="X403" s="304">
        <v>0.98</v>
      </c>
      <c r="Y403" s="305">
        <v>0.31</v>
      </c>
      <c r="Z403" s="301" cm="1">
        <f t="array" aca="1" ref="Z403" ca="1">INDIRECT("'"&amp;$C403&amp;"'!"&amp;"$"&amp;$D403&amp;$Z$1&amp;"")</f>
        <v>0</v>
      </c>
      <c r="AA403" s="304" t="s">
        <v>1</v>
      </c>
      <c r="AB403" s="304" t="s">
        <v>1</v>
      </c>
      <c r="AC403" s="302" t="s">
        <v>1</v>
      </c>
      <c r="AD403" s="303" cm="1">
        <f t="array" aca="1" ref="AD403" ca="1">INDIRECT("'"&amp;$C403&amp;"'!"&amp;"$"&amp;$D403&amp;$AD$1&amp;"")</f>
        <v>3</v>
      </c>
      <c r="AE403" s="304">
        <f>3.8*3.56</f>
        <v>13.527999999999999</v>
      </c>
      <c r="AF403" s="304">
        <v>0.98</v>
      </c>
      <c r="AG403" s="305">
        <v>0.31</v>
      </c>
      <c r="AH403" s="301" cm="1">
        <f t="array" aca="1" ref="AH403" ca="1">INDIRECT("'"&amp;$C403&amp;"'!"&amp;"$"&amp;$D403&amp;$AH$1&amp;"")</f>
        <v>0</v>
      </c>
      <c r="AI403" s="304" t="s">
        <v>1</v>
      </c>
      <c r="AJ403" s="304" t="s">
        <v>1</v>
      </c>
      <c r="AK403" s="302" t="s">
        <v>1</v>
      </c>
      <c r="AL403" s="301">
        <v>11.9</v>
      </c>
      <c r="AM403" s="305">
        <v>70.7</v>
      </c>
      <c r="AN403" s="301" cm="1">
        <f t="array" aca="1" ref="AN403" ca="1">INDIRECT("'"&amp;$C403&amp;"'!"&amp;"$"&amp;$D403&amp;$AL$1&amp;"")</f>
        <v>4.5</v>
      </c>
      <c r="AO403" s="304">
        <v>0.98</v>
      </c>
      <c r="AP403" s="302">
        <v>0.73</v>
      </c>
      <c r="AQ403" s="303" cm="1">
        <f t="array" aca="1" ref="AQ403" ca="1">INDIRECT("'"&amp;$C403&amp;"'!"&amp;"$"&amp;$D403&amp;$AQ$1&amp;"")</f>
        <v>4.5</v>
      </c>
      <c r="AR403" s="304">
        <v>0.98</v>
      </c>
      <c r="AS403" s="302">
        <v>0.73</v>
      </c>
      <c r="AT403" s="304" cm="1">
        <f t="array" aca="1" ref="AT403" ca="1">INDIRECT("'"&amp;$C403&amp;"'!"&amp;"$"&amp;$D403&amp;$AT$1&amp;"")</f>
        <v>0</v>
      </c>
      <c r="AU403" s="303" t="s">
        <v>1</v>
      </c>
      <c r="AV403" s="304" t="s">
        <v>1</v>
      </c>
      <c r="AW403" s="302" t="s">
        <v>1</v>
      </c>
      <c r="AX403" s="306">
        <v>14.14</v>
      </c>
      <c r="AY403" s="305">
        <v>71.48</v>
      </c>
      <c r="AZ403" s="306" cm="1">
        <f t="array" aca="1" ref="AZ403" ca="1">INDIRECT("'"&amp;$C403&amp;"'!"&amp;"$"&amp;$D403&amp;$AZ$1&amp;"")</f>
        <v>14.29</v>
      </c>
      <c r="BA403" s="304">
        <v>0.99</v>
      </c>
      <c r="BB403" s="302">
        <v>2.5</v>
      </c>
      <c r="BC403" s="307">
        <v>68.8</v>
      </c>
      <c r="BD403" s="301" cm="1">
        <f t="array" aca="1" ref="BD403" ca="1">INDIRECT("'"&amp;$C403&amp;"'!"&amp;"$"&amp;$D403&amp;$BC$1&amp;"")</f>
        <v>0</v>
      </c>
      <c r="BE403" s="303" t="s">
        <v>1</v>
      </c>
      <c r="BF403" s="302" t="s">
        <v>1</v>
      </c>
      <c r="BG403" s="306" cm="1">
        <f t="array" aca="1" ref="BG403" ca="1">INDIRECT("'"&amp;$C403&amp;"'!"&amp;"$"&amp;$D403&amp;$BG$1&amp;"")</f>
        <v>1.23</v>
      </c>
      <c r="BH403" s="304"/>
      <c r="BI403" s="304">
        <v>0.99</v>
      </c>
      <c r="BJ403" s="302">
        <v>0.2</v>
      </c>
      <c r="BK403" s="307" cm="1">
        <f t="array" aca="1" ref="BK403" ca="1">INDIRECT("'"&amp;$C403&amp;"'!"&amp;"$"&amp;$D403&amp;$BK$1&amp;"")</f>
        <v>0.92</v>
      </c>
      <c r="BL403" s="304"/>
      <c r="BM403" s="304">
        <v>0.96</v>
      </c>
      <c r="BN403" s="302">
        <v>0.24</v>
      </c>
    </row>
    <row r="404" spans="1:66" ht="14.45" thickBot="1"/>
    <row r="405" spans="1:66">
      <c r="A405" s="360">
        <v>45764</v>
      </c>
      <c r="B405" s="357">
        <v>0</v>
      </c>
      <c r="C405" s="310">
        <f>C380+1</f>
        <v>17</v>
      </c>
      <c r="D405" s="311" t="s">
        <v>127</v>
      </c>
      <c r="E405" s="280">
        <v>14.1</v>
      </c>
      <c r="F405" s="281">
        <v>69.8</v>
      </c>
      <c r="G405" s="282" cm="1">
        <f t="array" aca="1" ref="G405" ca="1">INDIRECT("'"&amp;$C405&amp;"'!"&amp;"$"&amp;$D405&amp;$E$1&amp;"")</f>
        <v>6.5</v>
      </c>
      <c r="H405" s="283">
        <v>0.98</v>
      </c>
      <c r="I405" s="281">
        <v>1.4</v>
      </c>
      <c r="J405" s="282" cm="1">
        <f t="array" aca="1" ref="J405" ca="1">INDIRECT("'"&amp;$C405&amp;"'!"&amp;"$"&amp;$D405&amp;$J$1&amp;"")</f>
        <v>6.5</v>
      </c>
      <c r="K405" s="283"/>
      <c r="L405" s="283">
        <v>0.98</v>
      </c>
      <c r="M405" s="281">
        <v>1.4</v>
      </c>
      <c r="N405" s="282" cm="1">
        <f t="array" aca="1" ref="N405" ca="1">INDIRECT("'"&amp;$C405&amp;"'!"&amp;"$"&amp;$D405&amp;$N$1&amp;"")</f>
        <v>0</v>
      </c>
      <c r="O405" s="283"/>
      <c r="P405" s="283" t="s">
        <v>1</v>
      </c>
      <c r="Q405" s="281" t="s">
        <v>1</v>
      </c>
      <c r="R405" s="282" cm="1">
        <f t="array" aca="1" ref="R405" ca="1">INDIRECT("'"&amp;$C405&amp;"'!"&amp;"$"&amp;$D405&amp;$R$1&amp;"")</f>
        <v>6.5</v>
      </c>
      <c r="S405" s="283"/>
      <c r="T405" s="283">
        <v>0.98</v>
      </c>
      <c r="U405" s="281">
        <v>1.4</v>
      </c>
      <c r="V405" s="282" cm="1">
        <f t="array" aca="1" ref="V405" ca="1">INDIRECT("'"&amp;$C405&amp;"'!"&amp;"$"&amp;$D405&amp;$V$1&amp;"")</f>
        <v>0</v>
      </c>
      <c r="W405" s="283" t="s">
        <v>1</v>
      </c>
      <c r="X405" s="283" t="s">
        <v>1</v>
      </c>
      <c r="Y405" s="284" t="s">
        <v>1</v>
      </c>
      <c r="Z405" s="280" cm="1">
        <f t="array" aca="1" ref="Z405" ca="1">INDIRECT("'"&amp;$C405&amp;"'!"&amp;"$"&amp;$D405&amp;$Z$1&amp;"")</f>
        <v>0</v>
      </c>
      <c r="AA405" s="283" t="s">
        <v>1</v>
      </c>
      <c r="AB405" s="283" t="s">
        <v>1</v>
      </c>
      <c r="AC405" s="281" t="s">
        <v>1</v>
      </c>
      <c r="AD405" s="282" cm="1">
        <f t="array" aca="1" ref="AD405" ca="1">INDIRECT("'"&amp;$C405&amp;"'!"&amp;"$"&amp;$D405&amp;$AD$1&amp;"")</f>
        <v>3</v>
      </c>
      <c r="AE405" s="283">
        <f>3.8*3.55</f>
        <v>13.489999999999998</v>
      </c>
      <c r="AF405" s="283">
        <v>0.97</v>
      </c>
      <c r="AG405" s="281">
        <v>0.8</v>
      </c>
      <c r="AH405" s="280" cm="1">
        <f t="array" aca="1" ref="AH405" ca="1">INDIRECT("'"&amp;$C405&amp;"'!"&amp;"$"&amp;$D405&amp;$AH$1&amp;"")</f>
        <v>0</v>
      </c>
      <c r="AI405" s="283" t="s">
        <v>1</v>
      </c>
      <c r="AJ405" s="283" t="s">
        <v>1</v>
      </c>
      <c r="AK405" s="281" t="s">
        <v>1</v>
      </c>
      <c r="AL405" s="280">
        <v>11.9</v>
      </c>
      <c r="AM405" s="284">
        <v>70.7</v>
      </c>
      <c r="AN405" s="280" cm="1">
        <f t="array" aca="1" ref="AN405" ca="1">INDIRECT("'"&amp;$C405&amp;"'!"&amp;"$"&amp;$D405&amp;$AL$1&amp;"")</f>
        <v>4</v>
      </c>
      <c r="AO405" s="283">
        <v>0.98</v>
      </c>
      <c r="AP405" s="281">
        <v>0.77</v>
      </c>
      <c r="AQ405" s="282" cm="1">
        <f t="array" aca="1" ref="AQ405" ca="1">INDIRECT("'"&amp;$C405&amp;"'!"&amp;"$"&amp;$D405&amp;$AQ$1&amp;"")</f>
        <v>4</v>
      </c>
      <c r="AR405" s="283">
        <v>0.98</v>
      </c>
      <c r="AS405" s="281">
        <v>0.77</v>
      </c>
      <c r="AT405" s="283" cm="1">
        <f t="array" aca="1" ref="AT405" ca="1">INDIRECT("'"&amp;$C405&amp;"'!"&amp;"$"&amp;$D405&amp;$AT$1&amp;"")</f>
        <v>0</v>
      </c>
      <c r="AU405" s="282" t="s">
        <v>1</v>
      </c>
      <c r="AV405" s="283" t="s">
        <v>1</v>
      </c>
      <c r="AW405" s="281" t="s">
        <v>1</v>
      </c>
      <c r="AX405" s="285">
        <v>14.18</v>
      </c>
      <c r="AY405" s="284">
        <v>71.739999999999995</v>
      </c>
      <c r="AZ405" s="285" cm="1">
        <f t="array" aca="1" ref="AZ405" ca="1">INDIRECT("'"&amp;$C405&amp;"'!"&amp;"$"&amp;$D405&amp;$AZ$1&amp;"")</f>
        <v>14.3</v>
      </c>
      <c r="BA405" s="283">
        <v>0.99</v>
      </c>
      <c r="BB405" s="281">
        <v>2.5</v>
      </c>
      <c r="BC405" s="281">
        <v>68.7</v>
      </c>
      <c r="BD405" s="280" cm="1">
        <f t="array" aca="1" ref="BD405" ca="1">INDIRECT("'"&amp;$C405&amp;"'!"&amp;"$"&amp;$D405&amp;$BC$1&amp;"")</f>
        <v>0</v>
      </c>
      <c r="BE405" s="282" t="s">
        <v>1</v>
      </c>
      <c r="BF405" s="281" t="s">
        <v>1</v>
      </c>
      <c r="BG405" s="285" cm="1">
        <f t="array" aca="1" ref="BG405" ca="1">INDIRECT("'"&amp;$C405&amp;"'!"&amp;"$"&amp;$D405&amp;$BG$1&amp;"")</f>
        <v>1.1150000000000002</v>
      </c>
      <c r="BH405" s="283"/>
      <c r="BI405" s="283">
        <v>0.99</v>
      </c>
      <c r="BJ405" s="281">
        <v>0.18</v>
      </c>
      <c r="BK405" s="285" cm="1">
        <f t="array" aca="1" ref="BK405" ca="1">INDIRECT("'"&amp;$C405&amp;"'!"&amp;"$"&amp;$D405&amp;$BK$1&amp;"")</f>
        <v>0.82</v>
      </c>
      <c r="BL405" s="283"/>
      <c r="BM405" s="283">
        <v>0.97</v>
      </c>
      <c r="BN405" s="281">
        <v>0.21</v>
      </c>
    </row>
    <row r="406" spans="1:66">
      <c r="A406" s="361">
        <v>45764</v>
      </c>
      <c r="B406" s="358">
        <v>4.1666666666666699E-2</v>
      </c>
      <c r="C406" s="313">
        <f t="shared" ref="C406:C428" si="15">C381+1</f>
        <v>17</v>
      </c>
      <c r="D406" s="314" t="s">
        <v>128</v>
      </c>
      <c r="E406" s="286">
        <v>14</v>
      </c>
      <c r="F406" s="287">
        <v>69.650000000000006</v>
      </c>
      <c r="G406" s="288" cm="1">
        <f t="array" aca="1" ref="G406" ca="1">INDIRECT("'"&amp;$C406&amp;"'!"&amp;"$"&amp;$D406&amp;$E$1&amp;"")</f>
        <v>6.6</v>
      </c>
      <c r="H406" s="289">
        <v>0.98</v>
      </c>
      <c r="I406" s="287">
        <v>1.46</v>
      </c>
      <c r="J406" s="288" cm="1">
        <f t="array" aca="1" ref="J406" ca="1">INDIRECT("'"&amp;$C406&amp;"'!"&amp;"$"&amp;$D406&amp;$J$1&amp;"")</f>
        <v>6.6</v>
      </c>
      <c r="K406" s="289"/>
      <c r="L406" s="289">
        <v>0.98</v>
      </c>
      <c r="M406" s="287">
        <v>1.46</v>
      </c>
      <c r="N406" s="288" cm="1">
        <f t="array" aca="1" ref="N406" ca="1">INDIRECT("'"&amp;$C406&amp;"'!"&amp;"$"&amp;$D406&amp;$N$1&amp;"")</f>
        <v>0</v>
      </c>
      <c r="O406" s="289"/>
      <c r="P406" s="289" t="s">
        <v>1</v>
      </c>
      <c r="Q406" s="287" t="s">
        <v>1</v>
      </c>
      <c r="R406" s="288" cm="1">
        <f t="array" aca="1" ref="R406" ca="1">INDIRECT("'"&amp;$C406&amp;"'!"&amp;"$"&amp;$D406&amp;$R$1&amp;"")</f>
        <v>6.6</v>
      </c>
      <c r="S406" s="289"/>
      <c r="T406" s="289">
        <v>0.98</v>
      </c>
      <c r="U406" s="287">
        <v>1.46</v>
      </c>
      <c r="V406" s="288" cm="1">
        <f t="array" aca="1" ref="V406" ca="1">INDIRECT("'"&amp;$C406&amp;"'!"&amp;"$"&amp;$D406&amp;$V$1&amp;"")</f>
        <v>0</v>
      </c>
      <c r="W406" s="289" t="s">
        <v>1</v>
      </c>
      <c r="X406" s="289" t="s">
        <v>1</v>
      </c>
      <c r="Y406" s="290" t="s">
        <v>1</v>
      </c>
      <c r="Z406" s="286" cm="1">
        <f t="array" aca="1" ref="Z406" ca="1">INDIRECT("'"&amp;$C406&amp;"'!"&amp;"$"&amp;$D406&amp;$Z$1&amp;"")</f>
        <v>0</v>
      </c>
      <c r="AA406" s="289" t="s">
        <v>1</v>
      </c>
      <c r="AB406" s="289" t="s">
        <v>1</v>
      </c>
      <c r="AC406" s="287" t="s">
        <v>1</v>
      </c>
      <c r="AD406" s="288" cm="1">
        <f t="array" aca="1" ref="AD406" ca="1">INDIRECT("'"&amp;$C406&amp;"'!"&amp;"$"&amp;$D406&amp;$AD$1&amp;"")</f>
        <v>0</v>
      </c>
      <c r="AE406" s="289" t="s">
        <v>1</v>
      </c>
      <c r="AF406" s="289" t="s">
        <v>1</v>
      </c>
      <c r="AG406" s="290" t="s">
        <v>1</v>
      </c>
      <c r="AH406" s="286" cm="1">
        <f t="array" aca="1" ref="AH406" ca="1">INDIRECT("'"&amp;$C406&amp;"'!"&amp;"$"&amp;$D406&amp;$AH$1&amp;"")</f>
        <v>0</v>
      </c>
      <c r="AI406" s="289" t="s">
        <v>1</v>
      </c>
      <c r="AJ406" s="289" t="s">
        <v>1</v>
      </c>
      <c r="AK406" s="287" t="s">
        <v>1</v>
      </c>
      <c r="AL406" s="286">
        <v>11.9</v>
      </c>
      <c r="AM406" s="290">
        <v>70.7</v>
      </c>
      <c r="AN406" s="286" cm="1">
        <f t="array" aca="1" ref="AN406" ca="1">INDIRECT("'"&amp;$C406&amp;"'!"&amp;"$"&amp;$D406&amp;$AL$1&amp;"")</f>
        <v>4</v>
      </c>
      <c r="AO406" s="289">
        <v>0.98</v>
      </c>
      <c r="AP406" s="287">
        <v>0.8</v>
      </c>
      <c r="AQ406" s="288" cm="1">
        <f t="array" aca="1" ref="AQ406" ca="1">INDIRECT("'"&amp;$C406&amp;"'!"&amp;"$"&amp;$D406&amp;$AQ$1&amp;"")</f>
        <v>4</v>
      </c>
      <c r="AR406" s="289">
        <v>0.98</v>
      </c>
      <c r="AS406" s="287">
        <v>0.8</v>
      </c>
      <c r="AT406" s="289" cm="1">
        <f t="array" aca="1" ref="AT406" ca="1">INDIRECT("'"&amp;$C406&amp;"'!"&amp;"$"&amp;$D406&amp;$AT$1&amp;"")</f>
        <v>0</v>
      </c>
      <c r="AU406" s="288" t="s">
        <v>1</v>
      </c>
      <c r="AV406" s="289" t="s">
        <v>1</v>
      </c>
      <c r="AW406" s="287" t="s">
        <v>1</v>
      </c>
      <c r="AX406" s="291">
        <v>14.19</v>
      </c>
      <c r="AY406" s="290">
        <v>71.739999999999995</v>
      </c>
      <c r="AZ406" s="291" cm="1">
        <f t="array" aca="1" ref="AZ406" ca="1">INDIRECT("'"&amp;$C406&amp;"'!"&amp;"$"&amp;$D406&amp;$AZ$1&amp;"")</f>
        <v>14.26</v>
      </c>
      <c r="BA406" s="289">
        <v>0.99</v>
      </c>
      <c r="BB406" s="287">
        <v>2.5</v>
      </c>
      <c r="BC406" s="292">
        <v>68.599999999999994</v>
      </c>
      <c r="BD406" s="286" cm="1">
        <f t="array" aca="1" ref="BD406" ca="1">INDIRECT("'"&amp;$C406&amp;"'!"&amp;"$"&amp;$D406&amp;$BC$1&amp;"")</f>
        <v>0</v>
      </c>
      <c r="BE406" s="288" t="s">
        <v>1</v>
      </c>
      <c r="BF406" s="287" t="s">
        <v>1</v>
      </c>
      <c r="BG406" s="291" cm="1">
        <f t="array" aca="1" ref="BG406" ca="1">INDIRECT("'"&amp;$C406&amp;"'!"&amp;"$"&amp;$D406&amp;$BG$1&amp;"")</f>
        <v>1.02</v>
      </c>
      <c r="BH406" s="289"/>
      <c r="BI406" s="289">
        <v>0.99</v>
      </c>
      <c r="BJ406" s="287">
        <v>0.17</v>
      </c>
      <c r="BK406" s="291" cm="1">
        <f t="array" aca="1" ref="BK406" ca="1">INDIRECT("'"&amp;$C406&amp;"'!"&amp;"$"&amp;$D406&amp;$BK$1&amp;"")</f>
        <v>0.77</v>
      </c>
      <c r="BL406" s="289"/>
      <c r="BM406" s="289">
        <v>0.96</v>
      </c>
      <c r="BN406" s="287">
        <v>0.2</v>
      </c>
    </row>
    <row r="407" spans="1:66">
      <c r="A407" s="361">
        <v>45764</v>
      </c>
      <c r="B407" s="358">
        <v>8.3333333333333301E-2</v>
      </c>
      <c r="C407" s="313">
        <f t="shared" si="15"/>
        <v>17</v>
      </c>
      <c r="D407" s="314" t="s">
        <v>129</v>
      </c>
      <c r="E407" s="293">
        <v>14.1</v>
      </c>
      <c r="F407" s="294">
        <v>70.38</v>
      </c>
      <c r="G407" s="295" cm="1">
        <f t="array" aca="1" ref="G407" ca="1">INDIRECT("'"&amp;$C407&amp;"'!"&amp;"$"&amp;$D407&amp;$E$1&amp;"")</f>
        <v>6.7</v>
      </c>
      <c r="H407" s="296">
        <v>0.98</v>
      </c>
      <c r="I407" s="294">
        <v>1.5</v>
      </c>
      <c r="J407" s="295" cm="1">
        <f t="array" aca="1" ref="J407" ca="1">INDIRECT("'"&amp;$C407&amp;"'!"&amp;"$"&amp;$D407&amp;$J$1&amp;"")</f>
        <v>6.7</v>
      </c>
      <c r="K407" s="296"/>
      <c r="L407" s="296">
        <v>0.98</v>
      </c>
      <c r="M407" s="294">
        <v>1.5</v>
      </c>
      <c r="N407" s="295" cm="1">
        <f t="array" aca="1" ref="N407" ca="1">INDIRECT("'"&amp;$C407&amp;"'!"&amp;"$"&amp;$D407&amp;$N$1&amp;"")</f>
        <v>0</v>
      </c>
      <c r="O407" s="296"/>
      <c r="P407" s="296" t="s">
        <v>1</v>
      </c>
      <c r="Q407" s="294" t="s">
        <v>1</v>
      </c>
      <c r="R407" s="295" cm="1">
        <f t="array" aca="1" ref="R407" ca="1">INDIRECT("'"&amp;$C407&amp;"'!"&amp;"$"&amp;$D407&amp;$R$1&amp;"")</f>
        <v>6.7</v>
      </c>
      <c r="S407" s="296"/>
      <c r="T407" s="296">
        <v>0.98</v>
      </c>
      <c r="U407" s="294">
        <v>1.5</v>
      </c>
      <c r="V407" s="295" cm="1">
        <f t="array" aca="1" ref="V407" ca="1">INDIRECT("'"&amp;$C407&amp;"'!"&amp;"$"&amp;$D407&amp;$V$1&amp;"")</f>
        <v>0</v>
      </c>
      <c r="W407" s="296" t="s">
        <v>1</v>
      </c>
      <c r="X407" s="296" t="s">
        <v>1</v>
      </c>
      <c r="Y407" s="297" t="s">
        <v>1</v>
      </c>
      <c r="Z407" s="293" cm="1">
        <f t="array" aca="1" ref="Z407" ca="1">INDIRECT("'"&amp;$C407&amp;"'!"&amp;"$"&amp;$D407&amp;$Z$1&amp;"")</f>
        <v>0</v>
      </c>
      <c r="AA407" s="296" t="s">
        <v>1</v>
      </c>
      <c r="AB407" s="296" t="s">
        <v>1</v>
      </c>
      <c r="AC407" s="294" t="s">
        <v>1</v>
      </c>
      <c r="AD407" s="295" cm="1">
        <f t="array" aca="1" ref="AD407" ca="1">INDIRECT("'"&amp;$C407&amp;"'!"&amp;"$"&amp;$D407&amp;$AD$1&amp;"")</f>
        <v>0</v>
      </c>
      <c r="AE407" s="296" t="s">
        <v>1</v>
      </c>
      <c r="AF407" s="296" t="s">
        <v>1</v>
      </c>
      <c r="AG407" s="297" t="s">
        <v>1</v>
      </c>
      <c r="AH407" s="293" cm="1">
        <f t="array" aca="1" ref="AH407" ca="1">INDIRECT("'"&amp;$C407&amp;"'!"&amp;"$"&amp;$D407&amp;$AH$1&amp;"")</f>
        <v>0</v>
      </c>
      <c r="AI407" s="296" t="s">
        <v>1</v>
      </c>
      <c r="AJ407" s="296" t="s">
        <v>1</v>
      </c>
      <c r="AK407" s="297" t="s">
        <v>1</v>
      </c>
      <c r="AL407" s="293">
        <v>11.9</v>
      </c>
      <c r="AM407" s="297">
        <v>70.7</v>
      </c>
      <c r="AN407" s="293" cm="1">
        <f t="array" aca="1" ref="AN407" ca="1">INDIRECT("'"&amp;$C407&amp;"'!"&amp;"$"&amp;$D407&amp;$AL$1&amp;"")</f>
        <v>3.2</v>
      </c>
      <c r="AO407" s="296">
        <v>0.98</v>
      </c>
      <c r="AP407" s="294">
        <v>0.6</v>
      </c>
      <c r="AQ407" s="295" cm="1">
        <f t="array" aca="1" ref="AQ407" ca="1">INDIRECT("'"&amp;$C407&amp;"'!"&amp;"$"&amp;$D407&amp;$AQ$1&amp;"")</f>
        <v>3.2</v>
      </c>
      <c r="AR407" s="296">
        <v>0.98</v>
      </c>
      <c r="AS407" s="294">
        <v>0.6</v>
      </c>
      <c r="AT407" s="296" cm="1">
        <f t="array" aca="1" ref="AT407" ca="1">INDIRECT("'"&amp;$C407&amp;"'!"&amp;"$"&amp;$D407&amp;$AT$1&amp;"")</f>
        <v>0</v>
      </c>
      <c r="AU407" s="295" t="s">
        <v>1</v>
      </c>
      <c r="AV407" s="296" t="s">
        <v>1</v>
      </c>
      <c r="AW407" s="294" t="s">
        <v>1</v>
      </c>
      <c r="AX407" s="298">
        <v>14.23</v>
      </c>
      <c r="AY407" s="297">
        <v>71.97</v>
      </c>
      <c r="AZ407" s="298" cm="1">
        <f t="array" aca="1" ref="AZ407" ca="1">INDIRECT("'"&amp;$C407&amp;"'!"&amp;"$"&amp;$D407&amp;$AZ$1&amp;"")</f>
        <v>13.24</v>
      </c>
      <c r="BA407" s="296">
        <v>0.99</v>
      </c>
      <c r="BB407" s="294">
        <v>2.2999999999999998</v>
      </c>
      <c r="BC407" s="299">
        <v>69.099999999999994</v>
      </c>
      <c r="BD407" s="293" cm="1">
        <f t="array" aca="1" ref="BD407" ca="1">INDIRECT("'"&amp;$C407&amp;"'!"&amp;"$"&amp;$D407&amp;$BC$1&amp;"")</f>
        <v>0</v>
      </c>
      <c r="BE407" s="295" t="s">
        <v>1</v>
      </c>
      <c r="BF407" s="294" t="s">
        <v>1</v>
      </c>
      <c r="BG407" s="298" cm="1">
        <f t="array" aca="1" ref="BG407" ca="1">INDIRECT("'"&amp;$C407&amp;"'!"&amp;"$"&amp;$D407&amp;$BG$1&amp;"")</f>
        <v>0.97</v>
      </c>
      <c r="BH407" s="296"/>
      <c r="BI407" s="296">
        <v>0.99</v>
      </c>
      <c r="BJ407" s="294">
        <v>0.15</v>
      </c>
      <c r="BK407" s="298" cm="1">
        <f t="array" aca="1" ref="BK407" ca="1">INDIRECT("'"&amp;$C407&amp;"'!"&amp;"$"&amp;$D407&amp;$BK$1&amp;"")</f>
        <v>0.75</v>
      </c>
      <c r="BL407" s="296"/>
      <c r="BM407" s="296">
        <v>0.96</v>
      </c>
      <c r="BN407" s="294">
        <v>0.2</v>
      </c>
    </row>
    <row r="408" spans="1:66">
      <c r="A408" s="361">
        <v>45764</v>
      </c>
      <c r="B408" s="358">
        <v>0.125</v>
      </c>
      <c r="C408" s="313">
        <f t="shared" si="15"/>
        <v>17</v>
      </c>
      <c r="D408" s="314" t="s">
        <v>130</v>
      </c>
      <c r="E408" s="286">
        <v>14.1</v>
      </c>
      <c r="F408" s="287">
        <v>70.02</v>
      </c>
      <c r="G408" s="288" cm="1">
        <f t="array" aca="1" ref="G408" ca="1">INDIRECT("'"&amp;$C408&amp;"'!"&amp;"$"&amp;$D408&amp;$E$1&amp;"")</f>
        <v>6.5</v>
      </c>
      <c r="H408" s="289">
        <v>0.99</v>
      </c>
      <c r="I408" s="287">
        <v>1.06</v>
      </c>
      <c r="J408" s="288" cm="1">
        <f t="array" aca="1" ref="J408" ca="1">INDIRECT("'"&amp;$C408&amp;"'!"&amp;"$"&amp;$D408&amp;$J$1&amp;"")</f>
        <v>6.5</v>
      </c>
      <c r="K408" s="289"/>
      <c r="L408" s="289">
        <v>0.99</v>
      </c>
      <c r="M408" s="287">
        <v>1.06</v>
      </c>
      <c r="N408" s="288" cm="1">
        <f t="array" aca="1" ref="N408" ca="1">INDIRECT("'"&amp;$C408&amp;"'!"&amp;"$"&amp;$D408&amp;$N$1&amp;"")</f>
        <v>0</v>
      </c>
      <c r="O408" s="289"/>
      <c r="P408" s="289" t="s">
        <v>1</v>
      </c>
      <c r="Q408" s="287" t="s">
        <v>1</v>
      </c>
      <c r="R408" s="288" cm="1">
        <f t="array" aca="1" ref="R408" ca="1">INDIRECT("'"&amp;$C408&amp;"'!"&amp;"$"&amp;$D408&amp;$R$1&amp;"")</f>
        <v>6.5</v>
      </c>
      <c r="S408" s="289"/>
      <c r="T408" s="289">
        <v>0.99</v>
      </c>
      <c r="U408" s="287">
        <v>1.06</v>
      </c>
      <c r="V408" s="288" cm="1">
        <f t="array" aca="1" ref="V408" ca="1">INDIRECT("'"&amp;$C408&amp;"'!"&amp;"$"&amp;$D408&amp;$V$1&amp;"")</f>
        <v>0</v>
      </c>
      <c r="W408" s="289" t="s">
        <v>1</v>
      </c>
      <c r="X408" s="289" t="s">
        <v>1</v>
      </c>
      <c r="Y408" s="290" t="s">
        <v>1</v>
      </c>
      <c r="Z408" s="286" cm="1">
        <f t="array" aca="1" ref="Z408" ca="1">INDIRECT("'"&amp;$C408&amp;"'!"&amp;"$"&amp;$D408&amp;$Z$1&amp;"")</f>
        <v>0</v>
      </c>
      <c r="AA408" s="289" t="s">
        <v>1</v>
      </c>
      <c r="AB408" s="289" t="s">
        <v>1</v>
      </c>
      <c r="AC408" s="287" t="s">
        <v>1</v>
      </c>
      <c r="AD408" s="288" cm="1">
        <f t="array" aca="1" ref="AD408" ca="1">INDIRECT("'"&amp;$C408&amp;"'!"&amp;"$"&amp;$D408&amp;$AD$1&amp;"")</f>
        <v>0</v>
      </c>
      <c r="AE408" s="289" t="s">
        <v>1</v>
      </c>
      <c r="AF408" s="289" t="s">
        <v>1</v>
      </c>
      <c r="AG408" s="287" t="s">
        <v>1</v>
      </c>
      <c r="AH408" s="286" cm="1">
        <f t="array" aca="1" ref="AH408" ca="1">INDIRECT("'"&amp;$C408&amp;"'!"&amp;"$"&amp;$D408&amp;$AH$1&amp;"")</f>
        <v>0</v>
      </c>
      <c r="AI408" s="289" t="s">
        <v>1</v>
      </c>
      <c r="AJ408" s="289" t="s">
        <v>1</v>
      </c>
      <c r="AK408" s="287" t="s">
        <v>1</v>
      </c>
      <c r="AL408" s="286">
        <v>11.9</v>
      </c>
      <c r="AM408" s="290">
        <v>70.7</v>
      </c>
      <c r="AN408" s="286" cm="1">
        <f t="array" aca="1" ref="AN408" ca="1">INDIRECT("'"&amp;$C408&amp;"'!"&amp;"$"&amp;$D408&amp;$AL$1&amp;"")</f>
        <v>3</v>
      </c>
      <c r="AO408" s="289">
        <v>0.99</v>
      </c>
      <c r="AP408" s="287">
        <v>0.48</v>
      </c>
      <c r="AQ408" s="288" cm="1">
        <f t="array" aca="1" ref="AQ408" ca="1">INDIRECT("'"&amp;$C408&amp;"'!"&amp;"$"&amp;$D408&amp;$AQ$1&amp;"")</f>
        <v>3</v>
      </c>
      <c r="AR408" s="289">
        <v>0.99</v>
      </c>
      <c r="AS408" s="287">
        <v>0.48</v>
      </c>
      <c r="AT408" s="289" cm="1">
        <f t="array" aca="1" ref="AT408" ca="1">INDIRECT("'"&amp;$C408&amp;"'!"&amp;"$"&amp;$D408&amp;$AT$1&amp;"")</f>
        <v>0</v>
      </c>
      <c r="AU408" s="288" t="s">
        <v>1</v>
      </c>
      <c r="AV408" s="289" t="s">
        <v>1</v>
      </c>
      <c r="AW408" s="287" t="s">
        <v>1</v>
      </c>
      <c r="AX408" s="291">
        <v>14.21</v>
      </c>
      <c r="AY408" s="290">
        <v>72</v>
      </c>
      <c r="AZ408" s="291" cm="1">
        <f t="array" aca="1" ref="AZ408" ca="1">INDIRECT("'"&amp;$C408&amp;"'!"&amp;"$"&amp;$D408&amp;$AZ$1&amp;"")</f>
        <v>12.75</v>
      </c>
      <c r="BA408" s="289">
        <v>0.99</v>
      </c>
      <c r="BB408" s="287">
        <v>2.2999999999999998</v>
      </c>
      <c r="BC408" s="292">
        <v>69.099999999999994</v>
      </c>
      <c r="BD408" s="286" cm="1">
        <f t="array" aca="1" ref="BD408" ca="1">INDIRECT("'"&amp;$C408&amp;"'!"&amp;"$"&amp;$D408&amp;$BC$1&amp;"")</f>
        <v>0</v>
      </c>
      <c r="BE408" s="288" t="s">
        <v>1</v>
      </c>
      <c r="BF408" s="287" t="s">
        <v>1</v>
      </c>
      <c r="BG408" s="291" cm="1">
        <f t="array" aca="1" ref="BG408" ca="1">INDIRECT("'"&amp;$C408&amp;"'!"&amp;"$"&amp;$D408&amp;$BG$1&amp;"")</f>
        <v>0.92</v>
      </c>
      <c r="BH408" s="289"/>
      <c r="BI408" s="289">
        <v>0.99</v>
      </c>
      <c r="BJ408" s="287">
        <v>0.14000000000000001</v>
      </c>
      <c r="BK408" s="291" cm="1">
        <f t="array" aca="1" ref="BK408" ca="1">INDIRECT("'"&amp;$C408&amp;"'!"&amp;"$"&amp;$D408&amp;$BK$1&amp;"")</f>
        <v>0.73</v>
      </c>
      <c r="BL408" s="289"/>
      <c r="BM408" s="289">
        <v>0.96</v>
      </c>
      <c r="BN408" s="287">
        <v>0.19</v>
      </c>
    </row>
    <row r="409" spans="1:66">
      <c r="A409" s="361">
        <v>45764</v>
      </c>
      <c r="B409" s="358">
        <v>0.16666666666666699</v>
      </c>
      <c r="C409" s="313">
        <f t="shared" si="15"/>
        <v>17</v>
      </c>
      <c r="D409" s="314" t="s">
        <v>131</v>
      </c>
      <c r="E409" s="293">
        <v>14.1</v>
      </c>
      <c r="F409" s="294">
        <v>69.8</v>
      </c>
      <c r="G409" s="295" cm="1">
        <f t="array" aca="1" ref="G409" ca="1">INDIRECT("'"&amp;$C409&amp;"'!"&amp;"$"&amp;$D409&amp;$E$1&amp;"")</f>
        <v>6.7</v>
      </c>
      <c r="H409" s="296">
        <v>0.98</v>
      </c>
      <c r="I409" s="294">
        <v>1.4</v>
      </c>
      <c r="J409" s="295" cm="1">
        <f t="array" aca="1" ref="J409" ca="1">INDIRECT("'"&amp;$C409&amp;"'!"&amp;"$"&amp;$D409&amp;$J$1&amp;"")</f>
        <v>6.7</v>
      </c>
      <c r="K409" s="296"/>
      <c r="L409" s="296">
        <v>0.98</v>
      </c>
      <c r="M409" s="294">
        <v>1.4</v>
      </c>
      <c r="N409" s="295" cm="1">
        <f t="array" aca="1" ref="N409" ca="1">INDIRECT("'"&amp;$C409&amp;"'!"&amp;"$"&amp;$D409&amp;$N$1&amp;"")</f>
        <v>0</v>
      </c>
      <c r="O409" s="296"/>
      <c r="P409" s="296" t="s">
        <v>1</v>
      </c>
      <c r="Q409" s="294" t="s">
        <v>1</v>
      </c>
      <c r="R409" s="295" cm="1">
        <f t="array" aca="1" ref="R409" ca="1">INDIRECT("'"&amp;$C409&amp;"'!"&amp;"$"&amp;$D409&amp;$R$1&amp;"")</f>
        <v>0</v>
      </c>
      <c r="S409" s="296"/>
      <c r="T409" s="296" t="s">
        <v>1</v>
      </c>
      <c r="U409" s="294" t="s">
        <v>1</v>
      </c>
      <c r="V409" s="295" cm="1">
        <f t="array" aca="1" ref="V409" ca="1">INDIRECT("'"&amp;$C409&amp;"'!"&amp;"$"&amp;$D409&amp;$V$1&amp;"")</f>
        <v>0</v>
      </c>
      <c r="W409" s="296" t="s">
        <v>1</v>
      </c>
      <c r="X409" s="296" t="s">
        <v>1</v>
      </c>
      <c r="Y409" s="297" t="s">
        <v>1</v>
      </c>
      <c r="Z409" s="293" cm="1">
        <f t="array" aca="1" ref="Z409" ca="1">INDIRECT("'"&amp;$C409&amp;"'!"&amp;"$"&amp;$D409&amp;$Z$1&amp;"")</f>
        <v>0</v>
      </c>
      <c r="AA409" s="296" t="s">
        <v>1</v>
      </c>
      <c r="AB409" s="296" t="s">
        <v>1</v>
      </c>
      <c r="AC409" s="294" t="s">
        <v>1</v>
      </c>
      <c r="AD409" s="295" cm="1">
        <f t="array" aca="1" ref="AD409" ca="1">INDIRECT("'"&amp;$C409&amp;"'!"&amp;"$"&amp;$D409&amp;$AD$1&amp;"")</f>
        <v>0</v>
      </c>
      <c r="AE409" s="296" t="s">
        <v>1</v>
      </c>
      <c r="AF409" s="296" t="s">
        <v>1</v>
      </c>
      <c r="AG409" s="294" t="s">
        <v>1</v>
      </c>
      <c r="AH409" s="293" cm="1">
        <f t="array" aca="1" ref="AH409" ca="1">INDIRECT("'"&amp;$C409&amp;"'!"&amp;"$"&amp;$D409&amp;$AH$1&amp;"")</f>
        <v>0</v>
      </c>
      <c r="AI409" s="296" t="s">
        <v>1</v>
      </c>
      <c r="AJ409" s="296" t="s">
        <v>1</v>
      </c>
      <c r="AK409" s="294" t="s">
        <v>1</v>
      </c>
      <c r="AL409" s="293">
        <v>11.9</v>
      </c>
      <c r="AM409" s="297">
        <v>70.7</v>
      </c>
      <c r="AN409" s="293" cm="1">
        <f t="array" aca="1" ref="AN409" ca="1">INDIRECT("'"&amp;$C409&amp;"'!"&amp;"$"&amp;$D409&amp;$AL$1&amp;"")</f>
        <v>4</v>
      </c>
      <c r="AO409" s="296">
        <v>0.99</v>
      </c>
      <c r="AP409" s="294">
        <v>0.32</v>
      </c>
      <c r="AQ409" s="295" cm="1">
        <f t="array" aca="1" ref="AQ409" ca="1">INDIRECT("'"&amp;$C409&amp;"'!"&amp;"$"&amp;$D409&amp;$AQ$1&amp;"")</f>
        <v>4</v>
      </c>
      <c r="AR409" s="296">
        <v>0.99</v>
      </c>
      <c r="AS409" s="294">
        <v>0.32</v>
      </c>
      <c r="AT409" s="296" cm="1">
        <f t="array" aca="1" ref="AT409" ca="1">INDIRECT("'"&amp;$C409&amp;"'!"&amp;"$"&amp;$D409&amp;$AT$1&amp;"")</f>
        <v>0</v>
      </c>
      <c r="AU409" s="295" t="s">
        <v>1</v>
      </c>
      <c r="AV409" s="296" t="s">
        <v>1</v>
      </c>
      <c r="AW409" s="294" t="s">
        <v>1</v>
      </c>
      <c r="AX409" s="298">
        <v>14.24</v>
      </c>
      <c r="AY409" s="297">
        <v>72.040000000000006</v>
      </c>
      <c r="AZ409" s="298" cm="1">
        <f t="array" aca="1" ref="AZ409" ca="1">INDIRECT("'"&amp;$C409&amp;"'!"&amp;"$"&amp;$D409&amp;$AZ$1&amp;"")</f>
        <v>14.26</v>
      </c>
      <c r="BA409" s="296">
        <v>0.99</v>
      </c>
      <c r="BB409" s="294">
        <v>2.5</v>
      </c>
      <c r="BC409" s="299">
        <v>69</v>
      </c>
      <c r="BD409" s="293" cm="1">
        <f t="array" aca="1" ref="BD409" ca="1">INDIRECT("'"&amp;$C409&amp;"'!"&amp;"$"&amp;$D409&amp;$BC$1&amp;"")</f>
        <v>2.2000000000000002</v>
      </c>
      <c r="BE409" s="295">
        <v>0.98</v>
      </c>
      <c r="BF409" s="294">
        <v>0.46</v>
      </c>
      <c r="BG409" s="298" cm="1">
        <f t="array" aca="1" ref="BG409" ca="1">INDIRECT("'"&amp;$C409&amp;"'!"&amp;"$"&amp;$D409&amp;$BG$1&amp;"")</f>
        <v>0.89</v>
      </c>
      <c r="BH409" s="296"/>
      <c r="BI409" s="296">
        <v>0.99</v>
      </c>
      <c r="BJ409" s="294">
        <v>0.13</v>
      </c>
      <c r="BK409" s="298" cm="1">
        <f t="array" aca="1" ref="BK409" ca="1">INDIRECT("'"&amp;$C409&amp;"'!"&amp;"$"&amp;$D409&amp;$BK$1&amp;"")</f>
        <v>0.72</v>
      </c>
      <c r="BL409" s="296"/>
      <c r="BM409" s="296">
        <v>0.96</v>
      </c>
      <c r="BN409" s="294">
        <v>0.19</v>
      </c>
    </row>
    <row r="410" spans="1:66">
      <c r="A410" s="361">
        <v>45764</v>
      </c>
      <c r="B410" s="358">
        <v>0.20833333333333301</v>
      </c>
      <c r="C410" s="313">
        <f t="shared" si="15"/>
        <v>17</v>
      </c>
      <c r="D410" s="314" t="s">
        <v>132</v>
      </c>
      <c r="E410" s="286">
        <v>14</v>
      </c>
      <c r="F410" s="287">
        <v>69.8</v>
      </c>
      <c r="G410" s="288" cm="1">
        <f t="array" aca="1" ref="G410" ca="1">INDIRECT("'"&amp;$C410&amp;"'!"&amp;"$"&amp;$D410&amp;$E$1&amp;"")</f>
        <v>6.7</v>
      </c>
      <c r="H410" s="289">
        <v>0.98</v>
      </c>
      <c r="I410" s="287">
        <v>1.48</v>
      </c>
      <c r="J410" s="288" cm="1">
        <f t="array" aca="1" ref="J410" ca="1">INDIRECT("'"&amp;$C410&amp;"'!"&amp;"$"&amp;$D410&amp;$J$1&amp;"")</f>
        <v>6.7</v>
      </c>
      <c r="K410" s="289"/>
      <c r="L410" s="289">
        <v>0.98</v>
      </c>
      <c r="M410" s="287">
        <v>1.48</v>
      </c>
      <c r="N410" s="288" cm="1">
        <f t="array" aca="1" ref="N410" ca="1">INDIRECT("'"&amp;$C410&amp;"'!"&amp;"$"&amp;$D410&amp;$N$1&amp;"")</f>
        <v>0</v>
      </c>
      <c r="O410" s="289"/>
      <c r="P410" s="289" t="s">
        <v>1</v>
      </c>
      <c r="Q410" s="287" t="s">
        <v>1</v>
      </c>
      <c r="R410" s="288" cm="1">
        <f t="array" aca="1" ref="R410" ca="1">INDIRECT("'"&amp;$C410&amp;"'!"&amp;"$"&amp;$D410&amp;$R$1&amp;"")</f>
        <v>0</v>
      </c>
      <c r="S410" s="289"/>
      <c r="T410" s="289" t="s">
        <v>1</v>
      </c>
      <c r="U410" s="287" t="s">
        <v>1</v>
      </c>
      <c r="V410" s="288" cm="1">
        <f t="array" aca="1" ref="V410" ca="1">INDIRECT("'"&amp;$C410&amp;"'!"&amp;"$"&amp;$D410&amp;$V$1&amp;"")</f>
        <v>0</v>
      </c>
      <c r="W410" s="289" t="s">
        <v>1</v>
      </c>
      <c r="X410" s="289" t="s">
        <v>1</v>
      </c>
      <c r="Y410" s="290" t="s">
        <v>1</v>
      </c>
      <c r="Z410" s="286" cm="1">
        <f t="array" aca="1" ref="Z410" ca="1">INDIRECT("'"&amp;$C410&amp;"'!"&amp;"$"&amp;$D410&amp;$Z$1&amp;"")</f>
        <v>0</v>
      </c>
      <c r="AA410" s="289" t="s">
        <v>1</v>
      </c>
      <c r="AB410" s="289" t="s">
        <v>1</v>
      </c>
      <c r="AC410" s="287" t="s">
        <v>1</v>
      </c>
      <c r="AD410" s="288" cm="1">
        <f t="array" aca="1" ref="AD410" ca="1">INDIRECT("'"&amp;$C410&amp;"'!"&amp;"$"&amp;$D410&amp;$AD$1&amp;"")</f>
        <v>1.2</v>
      </c>
      <c r="AE410" s="289">
        <f>3.8*3.55</f>
        <v>13.489999999999998</v>
      </c>
      <c r="AF410" s="289">
        <v>0.97</v>
      </c>
      <c r="AG410" s="290">
        <v>0.999</v>
      </c>
      <c r="AH410" s="286" cm="1">
        <f t="array" aca="1" ref="AH410" ca="1">INDIRECT("'"&amp;$C410&amp;"'!"&amp;"$"&amp;$D410&amp;$AH$1&amp;"")</f>
        <v>0</v>
      </c>
      <c r="AI410" s="289" t="s">
        <v>1</v>
      </c>
      <c r="AJ410" s="289" t="s">
        <v>1</v>
      </c>
      <c r="AK410" s="290" t="s">
        <v>1</v>
      </c>
      <c r="AL410" s="286">
        <v>11.9</v>
      </c>
      <c r="AM410" s="290">
        <v>70.7</v>
      </c>
      <c r="AN410" s="286" cm="1">
        <f t="array" aca="1" ref="AN410" ca="1">INDIRECT("'"&amp;$C410&amp;"'!"&amp;"$"&amp;$D410&amp;$AL$1&amp;"")</f>
        <v>4</v>
      </c>
      <c r="AO410" s="289">
        <v>0.99</v>
      </c>
      <c r="AP410" s="287">
        <v>0.38</v>
      </c>
      <c r="AQ410" s="288" cm="1">
        <f t="array" aca="1" ref="AQ410" ca="1">INDIRECT("'"&amp;$C410&amp;"'!"&amp;"$"&amp;$D410&amp;$AQ$1&amp;"")</f>
        <v>4</v>
      </c>
      <c r="AR410" s="289">
        <v>0.99</v>
      </c>
      <c r="AS410" s="287">
        <v>0.38</v>
      </c>
      <c r="AT410" s="289" cm="1">
        <f t="array" aca="1" ref="AT410" ca="1">INDIRECT("'"&amp;$C410&amp;"'!"&amp;"$"&amp;$D410&amp;$AT$1&amp;"")</f>
        <v>0</v>
      </c>
      <c r="AU410" s="288" t="s">
        <v>1</v>
      </c>
      <c r="AV410" s="289" t="s">
        <v>1</v>
      </c>
      <c r="AW410" s="287" t="s">
        <v>1</v>
      </c>
      <c r="AX410" s="291">
        <v>14.28</v>
      </c>
      <c r="AY410" s="290">
        <v>72.23</v>
      </c>
      <c r="AZ410" s="291" cm="1">
        <f t="array" aca="1" ref="AZ410" ca="1">INDIRECT("'"&amp;$C410&amp;"'!"&amp;"$"&amp;$D410&amp;$AZ$1&amp;"")</f>
        <v>14.29</v>
      </c>
      <c r="BA410" s="289">
        <v>0.99</v>
      </c>
      <c r="BB410" s="287">
        <v>2.5</v>
      </c>
      <c r="BC410" s="292">
        <v>68.900000000000006</v>
      </c>
      <c r="BD410" s="286" cm="1">
        <f t="array" aca="1" ref="BD410" ca="1">INDIRECT("'"&amp;$C410&amp;"'!"&amp;"$"&amp;$D410&amp;$BC$1&amp;"")</f>
        <v>0.8</v>
      </c>
      <c r="BE410" s="288">
        <v>0.98</v>
      </c>
      <c r="BF410" s="287">
        <v>0.18</v>
      </c>
      <c r="BG410" s="291" cm="1">
        <f t="array" aca="1" ref="BG410" ca="1">INDIRECT("'"&amp;$C410&amp;"'!"&amp;"$"&amp;$D410&amp;$BG$1&amp;"")</f>
        <v>0.89</v>
      </c>
      <c r="BH410" s="289"/>
      <c r="BI410" s="289">
        <v>0.98</v>
      </c>
      <c r="BJ410" s="287">
        <v>0.12</v>
      </c>
      <c r="BK410" s="291" cm="1">
        <f t="array" aca="1" ref="BK410" ca="1">INDIRECT("'"&amp;$C410&amp;"'!"&amp;"$"&amp;$D410&amp;$BK$1&amp;"")</f>
        <v>0.73</v>
      </c>
      <c r="BL410" s="289"/>
      <c r="BM410" s="289">
        <v>0.96</v>
      </c>
      <c r="BN410" s="287">
        <v>0.19</v>
      </c>
    </row>
    <row r="411" spans="1:66">
      <c r="A411" s="361">
        <v>45764</v>
      </c>
      <c r="B411" s="358">
        <v>0.25</v>
      </c>
      <c r="C411" s="313">
        <f t="shared" si="15"/>
        <v>17</v>
      </c>
      <c r="D411" s="314" t="s">
        <v>133</v>
      </c>
      <c r="E411" s="293">
        <v>14</v>
      </c>
      <c r="F411" s="294">
        <v>69.97</v>
      </c>
      <c r="G411" s="295" cm="1">
        <f t="array" aca="1" ref="G411" ca="1">INDIRECT("'"&amp;$C411&amp;"'!"&amp;"$"&amp;$D411&amp;$E$1&amp;"")</f>
        <v>6.7</v>
      </c>
      <c r="H411" s="296">
        <v>0.98</v>
      </c>
      <c r="I411" s="294">
        <v>1.52</v>
      </c>
      <c r="J411" s="295" cm="1">
        <f t="array" aca="1" ref="J411" ca="1">INDIRECT("'"&amp;$C411&amp;"'!"&amp;"$"&amp;$D411&amp;$J$1&amp;"")</f>
        <v>6.7</v>
      </c>
      <c r="K411" s="296"/>
      <c r="L411" s="296">
        <v>0.98</v>
      </c>
      <c r="M411" s="294">
        <v>1.52</v>
      </c>
      <c r="N411" s="295" cm="1">
        <f t="array" aca="1" ref="N411" ca="1">INDIRECT("'"&amp;$C411&amp;"'!"&amp;"$"&amp;$D411&amp;$N$1&amp;"")</f>
        <v>0</v>
      </c>
      <c r="O411" s="296"/>
      <c r="P411" s="296" t="s">
        <v>1</v>
      </c>
      <c r="Q411" s="294" t="s">
        <v>1</v>
      </c>
      <c r="R411" s="295" cm="1">
        <f t="array" aca="1" ref="R411" ca="1">INDIRECT("'"&amp;$C411&amp;"'!"&amp;"$"&amp;$D411&amp;$R$1&amp;"")</f>
        <v>0</v>
      </c>
      <c r="S411" s="296"/>
      <c r="T411" s="296" t="s">
        <v>1</v>
      </c>
      <c r="U411" s="294" t="s">
        <v>1</v>
      </c>
      <c r="V411" s="295" cm="1">
        <f t="array" aca="1" ref="V411" ca="1">INDIRECT("'"&amp;$C411&amp;"'!"&amp;"$"&amp;$D411&amp;$V$1&amp;"")</f>
        <v>0</v>
      </c>
      <c r="W411" s="296" t="s">
        <v>1</v>
      </c>
      <c r="X411" s="296" t="s">
        <v>1</v>
      </c>
      <c r="Y411" s="297" t="s">
        <v>1</v>
      </c>
      <c r="Z411" s="293" cm="1">
        <f t="array" aca="1" ref="Z411" ca="1">INDIRECT("'"&amp;$C411&amp;"'!"&amp;"$"&amp;$D411&amp;$Z$1&amp;"")</f>
        <v>0</v>
      </c>
      <c r="AA411" s="296" t="s">
        <v>1</v>
      </c>
      <c r="AB411" s="296" t="s">
        <v>1</v>
      </c>
      <c r="AC411" s="294" t="s">
        <v>1</v>
      </c>
      <c r="AD411" s="295" cm="1">
        <f t="array" aca="1" ref="AD411" ca="1">INDIRECT("'"&amp;$C411&amp;"'!"&amp;"$"&amp;$D411&amp;$AD$1&amp;"")</f>
        <v>3</v>
      </c>
      <c r="AE411" s="296">
        <f>3.8*3.59</f>
        <v>13.641999999999999</v>
      </c>
      <c r="AF411" s="296">
        <v>0.96</v>
      </c>
      <c r="AG411" s="297">
        <v>0.93</v>
      </c>
      <c r="AH411" s="293" cm="1">
        <f t="array" aca="1" ref="AH411" ca="1">INDIRECT("'"&amp;$C411&amp;"'!"&amp;"$"&amp;$D411&amp;$AH$1&amp;"")</f>
        <v>0</v>
      </c>
      <c r="AI411" s="296" t="s">
        <v>1</v>
      </c>
      <c r="AJ411" s="296" t="s">
        <v>1</v>
      </c>
      <c r="AK411" s="297" t="s">
        <v>1</v>
      </c>
      <c r="AL411" s="293">
        <v>11.9</v>
      </c>
      <c r="AM411" s="297">
        <v>70.7</v>
      </c>
      <c r="AN411" s="293" cm="1">
        <f t="array" aca="1" ref="AN411" ca="1">INDIRECT("'"&amp;$C411&amp;"'!"&amp;"$"&amp;$D411&amp;$AL$1&amp;"")</f>
        <v>3.5</v>
      </c>
      <c r="AO411" s="296">
        <v>0.99</v>
      </c>
      <c r="AP411" s="294">
        <v>0.36</v>
      </c>
      <c r="AQ411" s="295" cm="1">
        <f t="array" aca="1" ref="AQ411" ca="1">INDIRECT("'"&amp;$C411&amp;"'!"&amp;"$"&amp;$D411&amp;$AQ$1&amp;"")</f>
        <v>3.5</v>
      </c>
      <c r="AR411" s="296">
        <v>0.99</v>
      </c>
      <c r="AS411" s="294">
        <v>0.36</v>
      </c>
      <c r="AT411" s="296" cm="1">
        <f t="array" aca="1" ref="AT411" ca="1">INDIRECT("'"&amp;$C411&amp;"'!"&amp;"$"&amp;$D411&amp;$AT$1&amp;"")</f>
        <v>0</v>
      </c>
      <c r="AU411" s="295" t="s">
        <v>1</v>
      </c>
      <c r="AV411" s="296" t="s">
        <v>1</v>
      </c>
      <c r="AW411" s="294" t="s">
        <v>1</v>
      </c>
      <c r="AX411" s="298">
        <v>14.31</v>
      </c>
      <c r="AY411" s="297">
        <v>72.25</v>
      </c>
      <c r="AZ411" s="298" cm="1">
        <f t="array" aca="1" ref="AZ411" ca="1">INDIRECT("'"&amp;$C411&amp;"'!"&amp;"$"&amp;$D411&amp;$AZ$1&amp;"")</f>
        <v>14.26</v>
      </c>
      <c r="BA411" s="296">
        <v>0.99</v>
      </c>
      <c r="BB411" s="294">
        <v>2.5</v>
      </c>
      <c r="BC411" s="299">
        <v>69.099999999999994</v>
      </c>
      <c r="BD411" s="293" cm="1">
        <f t="array" aca="1" ref="BD411" ca="1">INDIRECT("'"&amp;$C411&amp;"'!"&amp;"$"&amp;$D411&amp;$BC$1&amp;"")</f>
        <v>0</v>
      </c>
      <c r="BE411" s="295" t="s">
        <v>1</v>
      </c>
      <c r="BF411" s="294" t="s">
        <v>1</v>
      </c>
      <c r="BG411" s="298" cm="1">
        <f t="array" aca="1" ref="BG411" ca="1">INDIRECT("'"&amp;$C411&amp;"'!"&amp;"$"&amp;$D411&amp;$BG$1&amp;"")</f>
        <v>0.94</v>
      </c>
      <c r="BH411" s="296"/>
      <c r="BI411" s="296">
        <v>0.99</v>
      </c>
      <c r="BJ411" s="294">
        <v>0.12</v>
      </c>
      <c r="BK411" s="298" cm="1">
        <f t="array" aca="1" ref="BK411" ca="1">INDIRECT("'"&amp;$C411&amp;"'!"&amp;"$"&amp;$D411&amp;$BK$1&amp;"")</f>
        <v>0.74</v>
      </c>
      <c r="BL411" s="296"/>
      <c r="BM411" s="296">
        <v>0.96</v>
      </c>
      <c r="BN411" s="294">
        <v>0.19</v>
      </c>
    </row>
    <row r="412" spans="1:66">
      <c r="A412" s="361">
        <v>45764</v>
      </c>
      <c r="B412" s="358">
        <v>0.29166666666666702</v>
      </c>
      <c r="C412" s="313">
        <f t="shared" si="15"/>
        <v>17</v>
      </c>
      <c r="D412" s="314" t="s">
        <v>134</v>
      </c>
      <c r="E412" s="286">
        <v>14</v>
      </c>
      <c r="F412" s="287">
        <v>69.8</v>
      </c>
      <c r="G412" s="288" cm="1">
        <f t="array" aca="1" ref="G412" ca="1">INDIRECT("'"&amp;$C412&amp;"'!"&amp;"$"&amp;$D412&amp;$E$1&amp;"")</f>
        <v>6.7</v>
      </c>
      <c r="H412" s="289">
        <v>0.97</v>
      </c>
      <c r="I412" s="287">
        <v>1.72</v>
      </c>
      <c r="J412" s="288" cm="1">
        <f t="array" aca="1" ref="J412" ca="1">INDIRECT("'"&amp;$C412&amp;"'!"&amp;"$"&amp;$D412&amp;$J$1&amp;"")</f>
        <v>6.7</v>
      </c>
      <c r="K412" s="289"/>
      <c r="L412" s="289">
        <v>0.97</v>
      </c>
      <c r="M412" s="287">
        <v>1.72</v>
      </c>
      <c r="N412" s="288" cm="1">
        <f t="array" aca="1" ref="N412" ca="1">INDIRECT("'"&amp;$C412&amp;"'!"&amp;"$"&amp;$D412&amp;$N$1&amp;"")</f>
        <v>0</v>
      </c>
      <c r="O412" s="289"/>
      <c r="P412" s="289" t="s">
        <v>1</v>
      </c>
      <c r="Q412" s="287" t="s">
        <v>1</v>
      </c>
      <c r="R412" s="288" cm="1">
        <f t="array" aca="1" ref="R412" ca="1">INDIRECT("'"&amp;$C412&amp;"'!"&amp;"$"&amp;$D412&amp;$R$1&amp;"")</f>
        <v>0</v>
      </c>
      <c r="S412" s="289"/>
      <c r="T412" s="289" t="s">
        <v>1</v>
      </c>
      <c r="U412" s="287" t="s">
        <v>1</v>
      </c>
      <c r="V412" s="288" cm="1">
        <f t="array" aca="1" ref="V412" ca="1">INDIRECT("'"&amp;$C412&amp;"'!"&amp;"$"&amp;$D412&amp;$V$1&amp;"")</f>
        <v>0</v>
      </c>
      <c r="W412" s="289" t="s">
        <v>1</v>
      </c>
      <c r="X412" s="289" t="s">
        <v>1</v>
      </c>
      <c r="Y412" s="290" t="s">
        <v>1</v>
      </c>
      <c r="Z412" s="286" cm="1">
        <f t="array" aca="1" ref="Z412" ca="1">INDIRECT("'"&amp;$C412&amp;"'!"&amp;"$"&amp;$D412&amp;$Z$1&amp;"")</f>
        <v>0</v>
      </c>
      <c r="AA412" s="289" t="s">
        <v>1</v>
      </c>
      <c r="AB412" s="289" t="s">
        <v>1</v>
      </c>
      <c r="AC412" s="287" t="s">
        <v>1</v>
      </c>
      <c r="AD412" s="288" cm="1">
        <f t="array" aca="1" ref="AD412" ca="1">INDIRECT("'"&amp;$C412&amp;"'!"&amp;"$"&amp;$D412&amp;$AD$1&amp;"")</f>
        <v>3</v>
      </c>
      <c r="AE412" s="289">
        <f>3.8*3.58</f>
        <v>13.603999999999999</v>
      </c>
      <c r="AF412" s="289">
        <v>0.96</v>
      </c>
      <c r="AG412" s="290">
        <v>0.95</v>
      </c>
      <c r="AH412" s="286" cm="1">
        <f t="array" aca="1" ref="AH412" ca="1">INDIRECT("'"&amp;$C412&amp;"'!"&amp;"$"&amp;$D412&amp;$AH$1&amp;"")</f>
        <v>0</v>
      </c>
      <c r="AI412" s="289" t="s">
        <v>1</v>
      </c>
      <c r="AJ412" s="289" t="s">
        <v>1</v>
      </c>
      <c r="AK412" s="290" t="s">
        <v>1</v>
      </c>
      <c r="AL412" s="286">
        <v>11.9</v>
      </c>
      <c r="AM412" s="290">
        <v>70.7</v>
      </c>
      <c r="AN412" s="286" cm="1">
        <f t="array" aca="1" ref="AN412" ca="1">INDIRECT("'"&amp;$C412&amp;"'!"&amp;"$"&amp;$D412&amp;$AL$1&amp;"")</f>
        <v>3</v>
      </c>
      <c r="AO412" s="289">
        <v>0.99</v>
      </c>
      <c r="AP412" s="287">
        <v>0.38</v>
      </c>
      <c r="AQ412" s="288" cm="1">
        <f t="array" aca="1" ref="AQ412" ca="1">INDIRECT("'"&amp;$C412&amp;"'!"&amp;"$"&amp;$D412&amp;$AQ$1&amp;"")</f>
        <v>3</v>
      </c>
      <c r="AR412" s="289">
        <v>0.99</v>
      </c>
      <c r="AS412" s="287">
        <v>0.38</v>
      </c>
      <c r="AT412" s="289" cm="1">
        <f t="array" aca="1" ref="AT412" ca="1">INDIRECT("'"&amp;$C412&amp;"'!"&amp;"$"&amp;$D412&amp;$AT$1&amp;"")</f>
        <v>0</v>
      </c>
      <c r="AU412" s="288" t="s">
        <v>1</v>
      </c>
      <c r="AV412" s="289" t="s">
        <v>1</v>
      </c>
      <c r="AW412" s="287" t="s">
        <v>1</v>
      </c>
      <c r="AX412" s="291">
        <v>14.26</v>
      </c>
      <c r="AY412" s="290">
        <v>70.7</v>
      </c>
      <c r="AZ412" s="291" cm="1">
        <f t="array" aca="1" ref="AZ412" ca="1">INDIRECT("'"&amp;$C412&amp;"'!"&amp;"$"&amp;$D412&amp;$AZ$1&amp;"")</f>
        <v>14.3</v>
      </c>
      <c r="BA412" s="289">
        <v>0.99</v>
      </c>
      <c r="BB412" s="287">
        <v>2.5</v>
      </c>
      <c r="BC412" s="292">
        <v>69</v>
      </c>
      <c r="BD412" s="286" cm="1">
        <f t="array" aca="1" ref="BD412" ca="1">INDIRECT("'"&amp;$C412&amp;"'!"&amp;"$"&amp;$D412&amp;$BC$1&amp;"")</f>
        <v>0</v>
      </c>
      <c r="BE412" s="288" t="s">
        <v>1</v>
      </c>
      <c r="BF412" s="287" t="s">
        <v>1</v>
      </c>
      <c r="BG412" s="291" cm="1">
        <f t="array" aca="1" ref="BG412" ca="1">INDIRECT("'"&amp;$C412&amp;"'!"&amp;"$"&amp;$D412&amp;$BG$1&amp;"")</f>
        <v>1</v>
      </c>
      <c r="BH412" s="289"/>
      <c r="BI412" s="289">
        <v>0.99</v>
      </c>
      <c r="BJ412" s="287">
        <v>0.15</v>
      </c>
      <c r="BK412" s="292" cm="1">
        <f t="array" aca="1" ref="BK412" ca="1">INDIRECT("'"&amp;$C412&amp;"'!"&amp;"$"&amp;$D412&amp;$BK$1&amp;"")</f>
        <v>0.72</v>
      </c>
      <c r="BL412" s="289"/>
      <c r="BM412" s="289">
        <v>0.96</v>
      </c>
      <c r="BN412" s="287">
        <v>0.2</v>
      </c>
    </row>
    <row r="413" spans="1:66">
      <c r="A413" s="361">
        <v>45764</v>
      </c>
      <c r="B413" s="358">
        <v>0.33333333333333398</v>
      </c>
      <c r="C413" s="313">
        <f t="shared" si="15"/>
        <v>17</v>
      </c>
      <c r="D413" s="314" t="s">
        <v>135</v>
      </c>
      <c r="E413" s="293">
        <v>14</v>
      </c>
      <c r="F413" s="294">
        <v>69.95</v>
      </c>
      <c r="G413" s="295" cm="1">
        <f t="array" aca="1" ref="G413" ca="1">INDIRECT("'"&amp;$C413&amp;"'!"&amp;"$"&amp;$D413&amp;$E$1&amp;"")</f>
        <v>6.5</v>
      </c>
      <c r="H413" s="296">
        <v>0.96</v>
      </c>
      <c r="I413" s="294">
        <v>1.84</v>
      </c>
      <c r="J413" s="295" cm="1">
        <f t="array" aca="1" ref="J413" ca="1">INDIRECT("'"&amp;$C413&amp;"'!"&amp;"$"&amp;$D413&amp;$J$1&amp;"")</f>
        <v>6.5</v>
      </c>
      <c r="K413" s="296"/>
      <c r="L413" s="296">
        <v>0.96</v>
      </c>
      <c r="M413" s="294">
        <v>1.86</v>
      </c>
      <c r="N413" s="295" cm="1">
        <f t="array" aca="1" ref="N413" ca="1">INDIRECT("'"&amp;$C413&amp;"'!"&amp;"$"&amp;$D413&amp;$N$1&amp;"")</f>
        <v>1</v>
      </c>
      <c r="O413" s="296"/>
      <c r="P413" s="296">
        <v>0.94</v>
      </c>
      <c r="Q413" s="294">
        <v>0.27</v>
      </c>
      <c r="R413" s="295" cm="1">
        <f t="array" aca="1" ref="R413" ca="1">INDIRECT("'"&amp;$C413&amp;"'!"&amp;"$"&amp;$D413&amp;$R$1&amp;"")</f>
        <v>0</v>
      </c>
      <c r="S413" s="296"/>
      <c r="T413" s="296" t="s">
        <v>1</v>
      </c>
      <c r="U413" s="294" t="s">
        <v>1</v>
      </c>
      <c r="V413" s="295" cm="1">
        <f t="array" aca="1" ref="V413" ca="1">INDIRECT("'"&amp;$C413&amp;"'!"&amp;"$"&amp;$D413&amp;$V$1&amp;"")</f>
        <v>0</v>
      </c>
      <c r="W413" s="296" t="s">
        <v>1</v>
      </c>
      <c r="X413" s="296" t="s">
        <v>1</v>
      </c>
      <c r="Y413" s="297" t="s">
        <v>1</v>
      </c>
      <c r="Z413" s="293" cm="1">
        <f t="array" aca="1" ref="Z413" ca="1">INDIRECT("'"&amp;$C413&amp;"'!"&amp;"$"&amp;$D413&amp;$Z$1&amp;"")</f>
        <v>0</v>
      </c>
      <c r="AA413" s="296" t="s">
        <v>1</v>
      </c>
      <c r="AB413" s="296" t="s">
        <v>1</v>
      </c>
      <c r="AC413" s="294" t="s">
        <v>1</v>
      </c>
      <c r="AD413" s="295" cm="1">
        <f t="array" aca="1" ref="AD413" ca="1">INDIRECT("'"&amp;$C413&amp;"'!"&amp;"$"&amp;$D413&amp;$AD$1&amp;"")</f>
        <v>3.8</v>
      </c>
      <c r="AE413" s="296">
        <f>3.8*3.56</f>
        <v>13.527999999999999</v>
      </c>
      <c r="AF413" s="296">
        <v>0.96</v>
      </c>
      <c r="AG413" s="297">
        <v>1.05</v>
      </c>
      <c r="AH413" s="293" cm="1">
        <f t="array" aca="1" ref="AH413" ca="1">INDIRECT("'"&amp;$C413&amp;"'!"&amp;"$"&amp;$D413&amp;$AH$1&amp;"")</f>
        <v>0</v>
      </c>
      <c r="AI413" s="296" t="s">
        <v>1</v>
      </c>
      <c r="AJ413" s="296" t="s">
        <v>1</v>
      </c>
      <c r="AK413" s="297" t="s">
        <v>1</v>
      </c>
      <c r="AL413" s="293">
        <v>11.9</v>
      </c>
      <c r="AM413" s="297">
        <v>70.5</v>
      </c>
      <c r="AN413" s="293" cm="1">
        <f t="array" aca="1" ref="AN413" ca="1">INDIRECT("'"&amp;$C413&amp;"'!"&amp;"$"&amp;$D413&amp;$AL$1&amp;"")</f>
        <v>4</v>
      </c>
      <c r="AO413" s="296">
        <v>0.98</v>
      </c>
      <c r="AP413" s="294">
        <v>0.68</v>
      </c>
      <c r="AQ413" s="295" cm="1">
        <f t="array" aca="1" ref="AQ413" ca="1">INDIRECT("'"&amp;$C413&amp;"'!"&amp;"$"&amp;$D413&amp;$AQ$1&amp;"")</f>
        <v>4</v>
      </c>
      <c r="AR413" s="296">
        <v>0.98</v>
      </c>
      <c r="AS413" s="294">
        <v>0.68</v>
      </c>
      <c r="AT413" s="296" cm="1">
        <f t="array" aca="1" ref="AT413" ca="1">INDIRECT("'"&amp;$C413&amp;"'!"&amp;"$"&amp;$D413&amp;$AT$1&amp;"")</f>
        <v>0</v>
      </c>
      <c r="AU413" s="295" t="s">
        <v>1</v>
      </c>
      <c r="AV413" s="296" t="s">
        <v>1</v>
      </c>
      <c r="AW413" s="294" t="s">
        <v>1</v>
      </c>
      <c r="AX413" s="298">
        <v>14.17</v>
      </c>
      <c r="AY413" s="297">
        <v>71.73</v>
      </c>
      <c r="AZ413" s="298" cm="1">
        <f t="array" aca="1" ref="AZ413" ca="1">INDIRECT("'"&amp;$C413&amp;"'!"&amp;"$"&amp;$D413&amp;$AZ$1&amp;"")</f>
        <v>14.29</v>
      </c>
      <c r="BA413" s="296">
        <v>0.99</v>
      </c>
      <c r="BB413" s="294">
        <v>2.5</v>
      </c>
      <c r="BC413" s="299">
        <v>68.7</v>
      </c>
      <c r="BD413" s="293" cm="1">
        <f t="array" aca="1" ref="BD413" ca="1">INDIRECT("'"&amp;$C413&amp;"'!"&amp;"$"&amp;$D413&amp;$BC$1&amp;"")</f>
        <v>1.5</v>
      </c>
      <c r="BE413" s="295">
        <v>0.96</v>
      </c>
      <c r="BF413" s="294">
        <v>0.45</v>
      </c>
      <c r="BG413" s="298" cm="1">
        <f t="array" aca="1" ref="BG413" ca="1">INDIRECT("'"&amp;$C413&amp;"'!"&amp;"$"&amp;$D413&amp;$BG$1&amp;"")</f>
        <v>1.19</v>
      </c>
      <c r="BH413" s="296"/>
      <c r="BI413" s="296">
        <v>0.99</v>
      </c>
      <c r="BJ413" s="294">
        <v>0.19</v>
      </c>
      <c r="BK413" s="299" cm="1">
        <f t="array" aca="1" ref="BK413" ca="1">INDIRECT("'"&amp;$C413&amp;"'!"&amp;"$"&amp;$D413&amp;$BK$1&amp;"")</f>
        <v>0.75</v>
      </c>
      <c r="BL413" s="296"/>
      <c r="BM413" s="296">
        <v>0.96</v>
      </c>
      <c r="BN413" s="294">
        <v>0.22</v>
      </c>
    </row>
    <row r="414" spans="1:66">
      <c r="A414" s="361">
        <v>45764</v>
      </c>
      <c r="B414" s="358">
        <v>0.375</v>
      </c>
      <c r="C414" s="313">
        <f t="shared" si="15"/>
        <v>17</v>
      </c>
      <c r="D414" s="314" t="s">
        <v>136</v>
      </c>
      <c r="E414" s="286">
        <v>14</v>
      </c>
      <c r="F414" s="287">
        <v>69.47</v>
      </c>
      <c r="G414" s="288" cm="1">
        <f t="array" aca="1" ref="G414" ca="1">INDIRECT("'"&amp;$C414&amp;"'!"&amp;"$"&amp;$D414&amp;$E$1&amp;"")</f>
        <v>6.7</v>
      </c>
      <c r="H414" s="289">
        <v>0.91</v>
      </c>
      <c r="I414" s="287">
        <v>3.19</v>
      </c>
      <c r="J414" s="288" cm="1">
        <f t="array" aca="1" ref="J414" ca="1">INDIRECT("'"&amp;$C414&amp;"'!"&amp;"$"&amp;$D414&amp;$J$1&amp;"")</f>
        <v>6.7</v>
      </c>
      <c r="K414" s="289"/>
      <c r="L414" s="289">
        <v>0.91</v>
      </c>
      <c r="M414" s="287">
        <v>3.12</v>
      </c>
      <c r="N414" s="288" t="str" cm="1">
        <f t="array" aca="1" ref="N414" ca="1">INDIRECT("'"&amp;$C414&amp;"'!"&amp;"$"&amp;$D414&amp;$N$1&amp;"")</f>
        <v>CMS</v>
      </c>
      <c r="O414" s="289"/>
      <c r="P414" s="289" t="s">
        <v>1</v>
      </c>
      <c r="Q414" s="287" t="s">
        <v>1</v>
      </c>
      <c r="R414" s="288" cm="1">
        <f t="array" aca="1" ref="R414" ca="1">INDIRECT("'"&amp;$C414&amp;"'!"&amp;"$"&amp;$D414&amp;$R$1&amp;"")</f>
        <v>6.7</v>
      </c>
      <c r="S414" s="289"/>
      <c r="T414" s="289">
        <v>0.91</v>
      </c>
      <c r="U414" s="287">
        <v>3.15</v>
      </c>
      <c r="V414" s="288" cm="1">
        <f t="array" aca="1" ref="V414" ca="1">INDIRECT("'"&amp;$C414&amp;"'!"&amp;"$"&amp;$D414&amp;$V$1&amp;"")</f>
        <v>0</v>
      </c>
      <c r="W414" s="289" t="s">
        <v>1</v>
      </c>
      <c r="X414" s="289" t="s">
        <v>1</v>
      </c>
      <c r="Y414" s="290" t="s">
        <v>1</v>
      </c>
      <c r="Z414" s="286" cm="1">
        <f t="array" aca="1" ref="Z414" ca="1">INDIRECT("'"&amp;$C414&amp;"'!"&amp;"$"&amp;$D414&amp;$Z$1&amp;"")</f>
        <v>0</v>
      </c>
      <c r="AA414" s="289" t="s">
        <v>1</v>
      </c>
      <c r="AB414" s="289" t="s">
        <v>1</v>
      </c>
      <c r="AC414" s="287" t="s">
        <v>1</v>
      </c>
      <c r="AD414" s="288" cm="1">
        <f t="array" aca="1" ref="AD414" ca="1">INDIRECT("'"&amp;$C414&amp;"'!"&amp;"$"&amp;$D414&amp;$AD$1&amp;"")</f>
        <v>3.8</v>
      </c>
      <c r="AE414" s="289">
        <f>3.8*3.49</f>
        <v>13.262</v>
      </c>
      <c r="AF414" s="289">
        <v>0.94</v>
      </c>
      <c r="AG414" s="290">
        <v>1.34</v>
      </c>
      <c r="AH414" s="286" cm="1">
        <f t="array" aca="1" ref="AH414" ca="1">INDIRECT("'"&amp;$C414&amp;"'!"&amp;"$"&amp;$D414&amp;$AH$1&amp;"")</f>
        <v>0</v>
      </c>
      <c r="AI414" s="289" t="s">
        <v>1</v>
      </c>
      <c r="AJ414" s="289" t="s">
        <v>1</v>
      </c>
      <c r="AK414" s="290" t="s">
        <v>1</v>
      </c>
      <c r="AL414" s="286">
        <v>11.9</v>
      </c>
      <c r="AM414" s="290">
        <v>70.5</v>
      </c>
      <c r="AN414" s="286" cm="1">
        <f t="array" aca="1" ref="AN414" ca="1">INDIRECT("'"&amp;$C414&amp;"'!"&amp;"$"&amp;$D414&amp;$AL$1&amp;"")</f>
        <v>4.0999999999999996</v>
      </c>
      <c r="AO414" s="289">
        <v>0.96</v>
      </c>
      <c r="AP414" s="287">
        <v>1.1399999999999999</v>
      </c>
      <c r="AQ414" s="288" cm="1">
        <f t="array" aca="1" ref="AQ414" ca="1">INDIRECT("'"&amp;$C414&amp;"'!"&amp;"$"&amp;$D414&amp;$AQ$1&amp;"")</f>
        <v>4.0999999999999996</v>
      </c>
      <c r="AR414" s="289">
        <v>0.96</v>
      </c>
      <c r="AS414" s="287">
        <v>1.1399999999999999</v>
      </c>
      <c r="AT414" s="289" cm="1">
        <f t="array" aca="1" ref="AT414" ca="1">INDIRECT("'"&amp;$C414&amp;"'!"&amp;"$"&amp;$D414&amp;$AT$1&amp;"")</f>
        <v>0</v>
      </c>
      <c r="AU414" s="288" t="s">
        <v>1</v>
      </c>
      <c r="AV414" s="289" t="s">
        <v>1</v>
      </c>
      <c r="AW414" s="287" t="s">
        <v>1</v>
      </c>
      <c r="AX414" s="291">
        <v>14.08</v>
      </c>
      <c r="AY414" s="290">
        <v>70.81</v>
      </c>
      <c r="AZ414" s="291" cm="1">
        <f t="array" aca="1" ref="AZ414" ca="1">INDIRECT("'"&amp;$C414&amp;"'!"&amp;"$"&amp;$D414&amp;$AZ$1&amp;"")</f>
        <v>14.25</v>
      </c>
      <c r="BA414" s="289">
        <v>0.99</v>
      </c>
      <c r="BB414" s="287">
        <v>2.5</v>
      </c>
      <c r="BC414" s="292">
        <v>67.7</v>
      </c>
      <c r="BD414" s="286" cm="1">
        <f t="array" aca="1" ref="BD414" ca="1">INDIRECT("'"&amp;$C414&amp;"'!"&amp;"$"&amp;$D414&amp;$BC$1&amp;"")</f>
        <v>0</v>
      </c>
      <c r="BE414" s="288" t="s">
        <v>1</v>
      </c>
      <c r="BF414" s="287" t="s">
        <v>1</v>
      </c>
      <c r="BG414" s="291" cm="1">
        <f t="array" aca="1" ref="BG414" ca="1">INDIRECT("'"&amp;$C414&amp;"'!"&amp;"$"&amp;$D414&amp;$BG$1&amp;"")</f>
        <v>1.23</v>
      </c>
      <c r="BH414" s="289"/>
      <c r="BI414" s="289">
        <v>0.99</v>
      </c>
      <c r="BJ414" s="287">
        <v>0.21</v>
      </c>
      <c r="BK414" s="292" cm="1">
        <f t="array" aca="1" ref="BK414" ca="1">INDIRECT("'"&amp;$C414&amp;"'!"&amp;"$"&amp;$D414&amp;$BK$1&amp;"")</f>
        <v>0.77</v>
      </c>
      <c r="BL414" s="289"/>
      <c r="BM414" s="289">
        <v>0.96</v>
      </c>
      <c r="BN414" s="287">
        <v>0.22</v>
      </c>
    </row>
    <row r="415" spans="1:66">
      <c r="A415" s="361">
        <v>45764</v>
      </c>
      <c r="B415" s="358">
        <v>0.41666666666666702</v>
      </c>
      <c r="C415" s="313">
        <f t="shared" si="15"/>
        <v>17</v>
      </c>
      <c r="D415" s="314" t="s">
        <v>137</v>
      </c>
      <c r="E415" s="293">
        <v>14</v>
      </c>
      <c r="F415" s="294">
        <v>69.459999999999994</v>
      </c>
      <c r="G415" s="295" cm="1">
        <f t="array" aca="1" ref="G415" ca="1">INDIRECT("'"&amp;$C415&amp;"'!"&amp;"$"&amp;$D415&amp;$E$1&amp;"")</f>
        <v>6.7</v>
      </c>
      <c r="H415" s="296">
        <v>0.92</v>
      </c>
      <c r="I415" s="294">
        <v>2.89</v>
      </c>
      <c r="J415" s="295" cm="1">
        <f t="array" aca="1" ref="J415" ca="1">INDIRECT("'"&amp;$C415&amp;"'!"&amp;"$"&amp;$D415&amp;$J$1&amp;"")</f>
        <v>6.7</v>
      </c>
      <c r="K415" s="296"/>
      <c r="L415" s="296">
        <v>0.92</v>
      </c>
      <c r="M415" s="294">
        <v>2.86</v>
      </c>
      <c r="N415" s="295" t="str" cm="1">
        <f t="array" aca="1" ref="N415" ca="1">INDIRECT("'"&amp;$C415&amp;"'!"&amp;"$"&amp;$D415&amp;$N$1&amp;"")</f>
        <v>CMS</v>
      </c>
      <c r="O415" s="296"/>
      <c r="P415" s="296" t="s">
        <v>1</v>
      </c>
      <c r="Q415" s="294" t="s">
        <v>1</v>
      </c>
      <c r="R415" s="295" cm="1">
        <f t="array" aca="1" ref="R415" ca="1">INDIRECT("'"&amp;$C415&amp;"'!"&amp;"$"&amp;$D415&amp;$R$1&amp;"")</f>
        <v>6.7</v>
      </c>
      <c r="S415" s="296"/>
      <c r="T415" s="296">
        <v>0.92</v>
      </c>
      <c r="U415" s="294">
        <v>2.87</v>
      </c>
      <c r="V415" s="295" cm="1">
        <f t="array" aca="1" ref="V415" ca="1">INDIRECT("'"&amp;$C415&amp;"'!"&amp;"$"&amp;$D415&amp;$V$1&amp;"")</f>
        <v>2.8</v>
      </c>
      <c r="W415" s="296">
        <f>3.8*3.51</f>
        <v>13.337999999999999</v>
      </c>
      <c r="X415" s="296">
        <v>0.94</v>
      </c>
      <c r="Y415" s="297">
        <v>0.93</v>
      </c>
      <c r="Z415" s="293" cm="1">
        <f t="array" aca="1" ref="Z415" ca="1">INDIRECT("'"&amp;$C415&amp;"'!"&amp;"$"&amp;$D415&amp;$Z$1&amp;"")</f>
        <v>0</v>
      </c>
      <c r="AA415" s="296" t="s">
        <v>1</v>
      </c>
      <c r="AB415" s="296" t="s">
        <v>1</v>
      </c>
      <c r="AC415" s="294" t="s">
        <v>1</v>
      </c>
      <c r="AD415" s="295" cm="1">
        <f t="array" aca="1" ref="AD415" ca="1">INDIRECT("'"&amp;$C415&amp;"'!"&amp;"$"&amp;$D415&amp;$AD$1&amp;"")</f>
        <v>3.8</v>
      </c>
      <c r="AE415" s="296">
        <f>3.8*3.51</f>
        <v>13.337999999999999</v>
      </c>
      <c r="AF415" s="296">
        <v>0.94</v>
      </c>
      <c r="AG415" s="297">
        <v>1.31</v>
      </c>
      <c r="AH415" s="293" cm="1">
        <f t="array" aca="1" ref="AH415" ca="1">INDIRECT("'"&amp;$C415&amp;"'!"&amp;"$"&amp;$D415&amp;$AH$1&amp;"")</f>
        <v>0</v>
      </c>
      <c r="AI415" s="296" t="s">
        <v>1</v>
      </c>
      <c r="AJ415" s="296" t="s">
        <v>1</v>
      </c>
      <c r="AK415" s="297" t="s">
        <v>1</v>
      </c>
      <c r="AL415" s="293">
        <v>11.9</v>
      </c>
      <c r="AM415" s="297">
        <v>70.2</v>
      </c>
      <c r="AN415" s="293" cm="1">
        <f t="array" aca="1" ref="AN415" ca="1">INDIRECT("'"&amp;$C415&amp;"'!"&amp;"$"&amp;$D415&amp;$AL$1&amp;"")</f>
        <v>4.0999999999999996</v>
      </c>
      <c r="AO415" s="296">
        <v>0.98</v>
      </c>
      <c r="AP415" s="294">
        <v>0.9</v>
      </c>
      <c r="AQ415" s="295" cm="1">
        <f t="array" aca="1" ref="AQ415" ca="1">INDIRECT("'"&amp;$C415&amp;"'!"&amp;"$"&amp;$D415&amp;$AQ$1&amp;"")</f>
        <v>4.0999999999999996</v>
      </c>
      <c r="AR415" s="296">
        <v>0.98</v>
      </c>
      <c r="AS415" s="294">
        <v>0.9</v>
      </c>
      <c r="AT415" s="296" cm="1">
        <f t="array" aca="1" ref="AT415" ca="1">INDIRECT("'"&amp;$C415&amp;"'!"&amp;"$"&amp;$D415&amp;$AT$1&amp;"")</f>
        <v>0</v>
      </c>
      <c r="AU415" s="295" t="s">
        <v>1</v>
      </c>
      <c r="AV415" s="296" t="s">
        <v>1</v>
      </c>
      <c r="AW415" s="294" t="s">
        <v>1</v>
      </c>
      <c r="AX415" s="298">
        <v>14.25</v>
      </c>
      <c r="AY415" s="297">
        <v>71.69</v>
      </c>
      <c r="AZ415" s="298" cm="1">
        <f t="array" aca="1" ref="AZ415" ca="1">INDIRECT("'"&amp;$C415&amp;"'!"&amp;"$"&amp;$D415&amp;$AZ$1&amp;"")</f>
        <v>14.2</v>
      </c>
      <c r="BA415" s="296">
        <v>0.98</v>
      </c>
      <c r="BB415" s="294">
        <v>3.5</v>
      </c>
      <c r="BC415" s="299">
        <v>67.900000000000006</v>
      </c>
      <c r="BD415" s="293" cm="1">
        <f t="array" aca="1" ref="BD415" ca="1">INDIRECT("'"&amp;$C415&amp;"'!"&amp;"$"&amp;$D415&amp;$BC$1&amp;"")</f>
        <v>0</v>
      </c>
      <c r="BE415" s="295" t="s">
        <v>1</v>
      </c>
      <c r="BF415" s="294" t="s">
        <v>1</v>
      </c>
      <c r="BG415" s="298" cm="1">
        <f t="array" aca="1" ref="BG415" ca="1">INDIRECT("'"&amp;$C415&amp;"'!"&amp;"$"&amp;$D415&amp;$BG$1&amp;"")</f>
        <v>1.27</v>
      </c>
      <c r="BH415" s="296"/>
      <c r="BI415" s="296">
        <v>0.99</v>
      </c>
      <c r="BJ415" s="294">
        <v>0.24</v>
      </c>
      <c r="BK415" s="299" cm="1">
        <f t="array" aca="1" ref="BK415" ca="1">INDIRECT("'"&amp;$C415&amp;"'!"&amp;"$"&amp;$D415&amp;$BK$1&amp;"")</f>
        <v>0.8</v>
      </c>
      <c r="BL415" s="296"/>
      <c r="BM415" s="296">
        <v>0.96</v>
      </c>
      <c r="BN415" s="294">
        <v>0.23</v>
      </c>
    </row>
    <row r="416" spans="1:66">
      <c r="A416" s="361">
        <v>45764</v>
      </c>
      <c r="B416" s="358">
        <v>0.45833333333333398</v>
      </c>
      <c r="C416" s="313">
        <f t="shared" si="15"/>
        <v>17</v>
      </c>
      <c r="D416" s="314" t="s">
        <v>138</v>
      </c>
      <c r="E416" s="286">
        <v>14.2</v>
      </c>
      <c r="F416" s="287">
        <v>69.430000000000007</v>
      </c>
      <c r="G416" s="288" cm="1">
        <f t="array" aca="1" ref="G416" ca="1">INDIRECT("'"&amp;$C416&amp;"'!"&amp;"$"&amp;$D416&amp;$E$1&amp;"")</f>
        <v>6.7</v>
      </c>
      <c r="H416" s="289">
        <v>0.92</v>
      </c>
      <c r="I416" s="287">
        <v>2.91</v>
      </c>
      <c r="J416" s="288" cm="1">
        <f t="array" aca="1" ref="J416" ca="1">INDIRECT("'"&amp;$C416&amp;"'!"&amp;"$"&amp;$D416&amp;$J$1&amp;"")</f>
        <v>6.7</v>
      </c>
      <c r="K416" s="289"/>
      <c r="L416" s="289">
        <v>0.92</v>
      </c>
      <c r="M416" s="287">
        <v>2.89</v>
      </c>
      <c r="N416" s="288" cm="1">
        <f t="array" aca="1" ref="N416" ca="1">INDIRECT("'"&amp;$C416&amp;"'!"&amp;"$"&amp;$D416&amp;$N$1&amp;"")</f>
        <v>3.5</v>
      </c>
      <c r="O416" s="289"/>
      <c r="P416" s="289">
        <v>0.94</v>
      </c>
      <c r="Q416" s="287">
        <v>1.1399999999999999</v>
      </c>
      <c r="R416" s="288" cm="1">
        <f t="array" aca="1" ref="R416" ca="1">INDIRECT("'"&amp;$C416&amp;"'!"&amp;"$"&amp;$D416&amp;$R$1&amp;"")</f>
        <v>3.5</v>
      </c>
      <c r="S416" s="289"/>
      <c r="T416" s="289">
        <v>0.94</v>
      </c>
      <c r="U416" s="287">
        <v>1.1100000000000001</v>
      </c>
      <c r="V416" s="288" cm="1">
        <f t="array" aca="1" ref="V416" ca="1">INDIRECT("'"&amp;$C416&amp;"'!"&amp;"$"&amp;$D416&amp;$V$1&amp;"")</f>
        <v>2.7</v>
      </c>
      <c r="W416" s="289">
        <f>3.51*3.8</f>
        <v>13.337999999999999</v>
      </c>
      <c r="X416" s="289">
        <v>0.94</v>
      </c>
      <c r="Y416" s="290">
        <v>0.91</v>
      </c>
      <c r="Z416" s="286" cm="1">
        <f t="array" aca="1" ref="Z416" ca="1">INDIRECT("'"&amp;$C416&amp;"'!"&amp;"$"&amp;$D416&amp;$Z$1&amp;"")</f>
        <v>0</v>
      </c>
      <c r="AA416" s="289" t="s">
        <v>1</v>
      </c>
      <c r="AB416" s="289" t="s">
        <v>1</v>
      </c>
      <c r="AC416" s="287" t="s">
        <v>1</v>
      </c>
      <c r="AD416" s="288" cm="1">
        <f t="array" aca="1" ref="AD416" ca="1">INDIRECT("'"&amp;$C416&amp;"'!"&amp;"$"&amp;$D416&amp;$AD$1&amp;"")</f>
        <v>3.8</v>
      </c>
      <c r="AE416" s="289">
        <v>13.34</v>
      </c>
      <c r="AF416" s="289">
        <v>0.94</v>
      </c>
      <c r="AG416" s="290">
        <v>1.35</v>
      </c>
      <c r="AH416" s="286" cm="1">
        <f t="array" aca="1" ref="AH416" ca="1">INDIRECT("'"&amp;$C416&amp;"'!"&amp;"$"&amp;$D416&amp;$AH$1&amp;"")</f>
        <v>0</v>
      </c>
      <c r="AI416" s="289" t="s">
        <v>1</v>
      </c>
      <c r="AJ416" s="289" t="s">
        <v>1</v>
      </c>
      <c r="AK416" s="287" t="s">
        <v>1</v>
      </c>
      <c r="AL416" s="286">
        <v>11.9</v>
      </c>
      <c r="AM416" s="290">
        <v>70.5</v>
      </c>
      <c r="AN416" s="286" cm="1">
        <f t="array" aca="1" ref="AN416" ca="1">INDIRECT("'"&amp;$C416&amp;"'!"&amp;"$"&amp;$D416&amp;$AL$1&amp;"")</f>
        <v>4</v>
      </c>
      <c r="AO416" s="289">
        <v>0.97</v>
      </c>
      <c r="AP416" s="287">
        <v>0.84</v>
      </c>
      <c r="AQ416" s="288" cm="1">
        <f t="array" aca="1" ref="AQ416" ca="1">INDIRECT("'"&amp;$C416&amp;"'!"&amp;"$"&amp;$D416&amp;$AQ$1&amp;"")</f>
        <v>4.0999999999999996</v>
      </c>
      <c r="AR416" s="289">
        <v>0.97</v>
      </c>
      <c r="AS416" s="287">
        <v>0.9</v>
      </c>
      <c r="AT416" s="289" cm="1">
        <f t="array" aca="1" ref="AT416" ca="1">INDIRECT("'"&amp;$C416&amp;"'!"&amp;"$"&amp;$D416&amp;$AT$1&amp;"")</f>
        <v>0</v>
      </c>
      <c r="AU416" s="288" t="s">
        <v>1</v>
      </c>
      <c r="AV416" s="289" t="s">
        <v>1</v>
      </c>
      <c r="AW416" s="287" t="s">
        <v>1</v>
      </c>
      <c r="AX416" s="291">
        <v>14.16</v>
      </c>
      <c r="AY416" s="290">
        <v>71.3</v>
      </c>
      <c r="AZ416" s="291" cm="1">
        <f t="array" aca="1" ref="AZ416" ca="1">INDIRECT("'"&amp;$C416&amp;"'!"&amp;"$"&amp;$D416&amp;$AZ$1&amp;"")</f>
        <v>14.16</v>
      </c>
      <c r="BA416" s="289">
        <v>0.98</v>
      </c>
      <c r="BB416" s="287">
        <v>3.5</v>
      </c>
      <c r="BC416" s="292">
        <v>67.900000000000006</v>
      </c>
      <c r="BD416" s="286" cm="1">
        <f t="array" aca="1" ref="BD416" ca="1">INDIRECT("'"&amp;$C416&amp;"'!"&amp;"$"&amp;$D416&amp;$BC$1&amp;"")</f>
        <v>0.8</v>
      </c>
      <c r="BE416" s="288">
        <v>0.95</v>
      </c>
      <c r="BF416" s="287">
        <v>0.26</v>
      </c>
      <c r="BG416" s="291" cm="1">
        <f t="array" aca="1" ref="BG416" ca="1">INDIRECT("'"&amp;$C416&amp;"'!"&amp;"$"&amp;$D416&amp;$BG$1&amp;"")</f>
        <v>1.29</v>
      </c>
      <c r="BH416" s="289"/>
      <c r="BI416" s="289">
        <v>0.99</v>
      </c>
      <c r="BJ416" s="287">
        <v>0.24</v>
      </c>
      <c r="BK416" s="292" cm="1">
        <f t="array" aca="1" ref="BK416" ca="1">INDIRECT("'"&amp;$C416&amp;"'!"&amp;"$"&amp;$D416&amp;$BK$1&amp;"")</f>
        <v>0.86</v>
      </c>
      <c r="BL416" s="289"/>
      <c r="BM416" s="289">
        <v>0.96</v>
      </c>
      <c r="BN416" s="287">
        <v>0.25</v>
      </c>
    </row>
    <row r="417" spans="1:66">
      <c r="A417" s="361">
        <v>45764</v>
      </c>
      <c r="B417" s="358">
        <v>0.5</v>
      </c>
      <c r="C417" s="313">
        <f t="shared" si="15"/>
        <v>17</v>
      </c>
      <c r="D417" s="314" t="s">
        <v>139</v>
      </c>
      <c r="E417" s="293">
        <v>14.12</v>
      </c>
      <c r="F417" s="294">
        <v>69.39</v>
      </c>
      <c r="G417" s="295" cm="1">
        <f t="array" aca="1" ref="G417" ca="1">INDIRECT("'"&amp;$C417&amp;"'!"&amp;"$"&amp;$D417&amp;$E$1&amp;"")</f>
        <v>6.8</v>
      </c>
      <c r="H417" s="296">
        <v>0.93</v>
      </c>
      <c r="I417" s="294">
        <v>2.79</v>
      </c>
      <c r="J417" s="295" cm="1">
        <f t="array" aca="1" ref="J417" ca="1">INDIRECT("'"&amp;$C417&amp;"'!"&amp;"$"&amp;$D417&amp;$J$1&amp;"")</f>
        <v>6.8</v>
      </c>
      <c r="K417" s="296"/>
      <c r="L417" s="296">
        <v>0.93</v>
      </c>
      <c r="M417" s="294">
        <v>2.77</v>
      </c>
      <c r="N417" s="295" cm="1">
        <f t="array" aca="1" ref="N417" ca="1">INDIRECT("'"&amp;$C417&amp;"'!"&amp;"$"&amp;$D417&amp;$N$1&amp;"")</f>
        <v>6.8</v>
      </c>
      <c r="O417" s="296"/>
      <c r="P417" s="296">
        <v>0.93</v>
      </c>
      <c r="Q417" s="294">
        <v>2.8</v>
      </c>
      <c r="R417" s="295" cm="1">
        <f t="array" aca="1" ref="R417" ca="1">INDIRECT("'"&amp;$C417&amp;"'!"&amp;"$"&amp;$D417&amp;$R$1&amp;"")</f>
        <v>0</v>
      </c>
      <c r="S417" s="296"/>
      <c r="T417" s="296" t="s">
        <v>1</v>
      </c>
      <c r="U417" s="294" t="s">
        <v>1</v>
      </c>
      <c r="V417" s="295" cm="1">
        <f t="array" aca="1" ref="V417" ca="1">INDIRECT("'"&amp;$C417&amp;"'!"&amp;"$"&amp;$D417&amp;$V$1&amp;"")</f>
        <v>2.7</v>
      </c>
      <c r="W417" s="296">
        <f>3.51*3.8</f>
        <v>13.337999999999999</v>
      </c>
      <c r="X417" s="296">
        <v>0.94</v>
      </c>
      <c r="Y417" s="297">
        <v>0.92</v>
      </c>
      <c r="Z417" s="293" cm="1">
        <f t="array" aca="1" ref="Z417" ca="1">INDIRECT("'"&amp;$C417&amp;"'!"&amp;"$"&amp;$D417&amp;$Z$1&amp;"")</f>
        <v>0</v>
      </c>
      <c r="AA417" s="296" t="s">
        <v>1</v>
      </c>
      <c r="AB417" s="296" t="s">
        <v>1</v>
      </c>
      <c r="AC417" s="294" t="s">
        <v>1</v>
      </c>
      <c r="AD417" s="295" cm="1">
        <f t="array" aca="1" ref="AD417" ca="1">INDIRECT("'"&amp;$C417&amp;"'!"&amp;"$"&amp;$D417&amp;$AD$1&amp;"")</f>
        <v>3.8</v>
      </c>
      <c r="AE417" s="296">
        <v>13.34</v>
      </c>
      <c r="AF417" s="296">
        <v>0.94</v>
      </c>
      <c r="AG417" s="297">
        <v>1.32</v>
      </c>
      <c r="AH417" s="293" cm="1">
        <f t="array" aca="1" ref="AH417" ca="1">INDIRECT("'"&amp;$C417&amp;"'!"&amp;"$"&amp;$D417&amp;$AH$1&amp;"")</f>
        <v>0</v>
      </c>
      <c r="AI417" s="296" t="s">
        <v>1</v>
      </c>
      <c r="AJ417" s="296" t="s">
        <v>1</v>
      </c>
      <c r="AK417" s="294" t="s">
        <v>1</v>
      </c>
      <c r="AL417" s="293">
        <v>11.9</v>
      </c>
      <c r="AM417" s="297">
        <v>70.2</v>
      </c>
      <c r="AN417" s="293" cm="1">
        <f t="array" aca="1" ref="AN417" ca="1">INDIRECT("'"&amp;$C417&amp;"'!"&amp;"$"&amp;$D417&amp;$AL$1&amp;"")</f>
        <v>4.0999999999999996</v>
      </c>
      <c r="AO417" s="296">
        <v>0.97</v>
      </c>
      <c r="AP417" s="294">
        <v>0.94</v>
      </c>
      <c r="AQ417" s="295" cm="1">
        <f t="array" aca="1" ref="AQ417" ca="1">INDIRECT("'"&amp;$C417&amp;"'!"&amp;"$"&amp;$D417&amp;$AQ$1&amp;"")</f>
        <v>4.2</v>
      </c>
      <c r="AR417" s="296">
        <v>0.97</v>
      </c>
      <c r="AS417" s="294">
        <v>0.94</v>
      </c>
      <c r="AT417" s="296" cm="1">
        <f t="array" aca="1" ref="AT417" ca="1">INDIRECT("'"&amp;$C417&amp;"'!"&amp;"$"&amp;$D417&amp;$AT$1&amp;"")</f>
        <v>0</v>
      </c>
      <c r="AU417" s="295" t="s">
        <v>1</v>
      </c>
      <c r="AV417" s="296" t="s">
        <v>1</v>
      </c>
      <c r="AW417" s="294" t="s">
        <v>1</v>
      </c>
      <c r="AX417" s="298">
        <v>14.17</v>
      </c>
      <c r="AY417" s="297">
        <v>71.34</v>
      </c>
      <c r="AZ417" s="298" cm="1">
        <f t="array" aca="1" ref="AZ417" ca="1">INDIRECT("'"&amp;$C417&amp;"'!"&amp;"$"&amp;$D417&amp;$AZ$1&amp;"")</f>
        <v>14.22</v>
      </c>
      <c r="BA417" s="296">
        <v>0.98</v>
      </c>
      <c r="BB417" s="294">
        <v>3.5</v>
      </c>
      <c r="BC417" s="299">
        <v>67.900000000000006</v>
      </c>
      <c r="BD417" s="293" cm="1">
        <f t="array" aca="1" ref="BD417" ca="1">INDIRECT("'"&amp;$C417&amp;"'!"&amp;"$"&amp;$D417&amp;$BC$1&amp;"")</f>
        <v>1.4</v>
      </c>
      <c r="BE417" s="295">
        <v>0.95</v>
      </c>
      <c r="BF417" s="294">
        <v>0.45</v>
      </c>
      <c r="BG417" s="298" cm="1">
        <f t="array" aca="1" ref="BG417" ca="1">INDIRECT("'"&amp;$C417&amp;"'!"&amp;"$"&amp;$D417&amp;$BG$1&amp;"")</f>
        <v>1.31</v>
      </c>
      <c r="BH417" s="296"/>
      <c r="BI417" s="296">
        <v>0.99</v>
      </c>
      <c r="BJ417" s="294">
        <v>0.23</v>
      </c>
      <c r="BK417" s="299" cm="1">
        <f t="array" aca="1" ref="BK417" ca="1">INDIRECT("'"&amp;$C417&amp;"'!"&amp;"$"&amp;$D417&amp;$BK$1&amp;"")</f>
        <v>0.84</v>
      </c>
      <c r="BL417" s="296"/>
      <c r="BM417" s="296">
        <v>0.96</v>
      </c>
      <c r="BN417" s="294">
        <v>0.25</v>
      </c>
    </row>
    <row r="418" spans="1:66">
      <c r="A418" s="361">
        <v>45764</v>
      </c>
      <c r="B418" s="358">
        <v>0.54166666666666696</v>
      </c>
      <c r="C418" s="313">
        <f t="shared" si="15"/>
        <v>17</v>
      </c>
      <c r="D418" s="314" t="s">
        <v>140</v>
      </c>
      <c r="E418" s="286">
        <v>14.1</v>
      </c>
      <c r="F418" s="287">
        <v>69.349999999999994</v>
      </c>
      <c r="G418" s="288" cm="1">
        <f t="array" aca="1" ref="G418" ca="1">INDIRECT("'"&amp;$C418&amp;"'!"&amp;"$"&amp;$D418&amp;$E$1&amp;"")</f>
        <v>6.7</v>
      </c>
      <c r="H418" s="289">
        <v>0.9</v>
      </c>
      <c r="I418" s="287">
        <v>3.83</v>
      </c>
      <c r="J418" s="288" cm="1">
        <f t="array" aca="1" ref="J418" ca="1">INDIRECT("'"&amp;$C418&amp;"'!"&amp;"$"&amp;$D418&amp;$J$1&amp;"")</f>
        <v>6.7</v>
      </c>
      <c r="K418" s="289"/>
      <c r="L418" s="289">
        <v>0.9</v>
      </c>
      <c r="M418" s="287">
        <v>3.22</v>
      </c>
      <c r="N418" s="288" cm="1">
        <f t="array" aca="1" ref="N418" ca="1">INDIRECT("'"&amp;$C418&amp;"'!"&amp;"$"&amp;$D418&amp;$N$1&amp;"")</f>
        <v>6.7</v>
      </c>
      <c r="O418" s="289"/>
      <c r="P418" s="289">
        <v>0.9</v>
      </c>
      <c r="Q418" s="287">
        <v>3.25</v>
      </c>
      <c r="R418" s="288" cm="1">
        <f t="array" aca="1" ref="R418" ca="1">INDIRECT("'"&amp;$C418&amp;"'!"&amp;"$"&amp;$D418&amp;$R$1&amp;"")</f>
        <v>0</v>
      </c>
      <c r="S418" s="289"/>
      <c r="T418" s="289" t="s">
        <v>1</v>
      </c>
      <c r="U418" s="287" t="s">
        <v>1</v>
      </c>
      <c r="V418" s="288" cm="1">
        <f t="array" aca="1" ref="V418" ca="1">INDIRECT("'"&amp;$C418&amp;"'!"&amp;"$"&amp;$D418&amp;$V$1&amp;"")</f>
        <v>2.7</v>
      </c>
      <c r="W418" s="289">
        <f>3.51*3.8</f>
        <v>13.337999999999999</v>
      </c>
      <c r="X418" s="289">
        <v>0.94</v>
      </c>
      <c r="Y418" s="290">
        <v>0.91</v>
      </c>
      <c r="Z418" s="286" cm="1">
        <f t="array" aca="1" ref="Z418" ca="1">INDIRECT("'"&amp;$C418&amp;"'!"&amp;"$"&amp;$D418&amp;$Z$1&amp;"")</f>
        <v>0</v>
      </c>
      <c r="AA418" s="289" t="s">
        <v>1</v>
      </c>
      <c r="AB418" s="289" t="s">
        <v>1</v>
      </c>
      <c r="AC418" s="287" t="s">
        <v>1</v>
      </c>
      <c r="AD418" s="288" cm="1">
        <f t="array" aca="1" ref="AD418" ca="1">INDIRECT("'"&amp;$C418&amp;"'!"&amp;"$"&amp;$D418&amp;$AD$1&amp;"")</f>
        <v>3.8</v>
      </c>
      <c r="AE418" s="289">
        <v>13.34</v>
      </c>
      <c r="AF418" s="289">
        <v>0.94</v>
      </c>
      <c r="AG418" s="290">
        <v>1.33</v>
      </c>
      <c r="AH418" s="286" cm="1">
        <f t="array" aca="1" ref="AH418" ca="1">INDIRECT("'"&amp;$C418&amp;"'!"&amp;"$"&amp;$D418&amp;$AH$1&amp;"")</f>
        <v>2.7</v>
      </c>
      <c r="AI418" s="289">
        <v>13.88</v>
      </c>
      <c r="AJ418" s="289">
        <v>0.99</v>
      </c>
      <c r="AK418" s="287">
        <v>0.154</v>
      </c>
      <c r="AL418" s="286">
        <v>11.9</v>
      </c>
      <c r="AM418" s="290">
        <v>70.2</v>
      </c>
      <c r="AN418" s="286" cm="1">
        <f t="array" aca="1" ref="AN418" ca="1">INDIRECT("'"&amp;$C418&amp;"'!"&amp;"$"&amp;$D418&amp;$AL$1&amp;"")</f>
        <v>4</v>
      </c>
      <c r="AO418" s="289">
        <v>0.97</v>
      </c>
      <c r="AP418" s="287">
        <v>0.88</v>
      </c>
      <c r="AQ418" s="288" cm="1">
        <f t="array" aca="1" ref="AQ418" ca="1">INDIRECT("'"&amp;$C418&amp;"'!"&amp;"$"&amp;$D418&amp;$AQ$1&amp;"")</f>
        <v>4</v>
      </c>
      <c r="AR418" s="289">
        <v>0.97</v>
      </c>
      <c r="AS418" s="287">
        <v>0.88</v>
      </c>
      <c r="AT418" s="289" cm="1">
        <f t="array" aca="1" ref="AT418" ca="1">INDIRECT("'"&amp;$C418&amp;"'!"&amp;"$"&amp;$D418&amp;$AT$1&amp;"")</f>
        <v>0</v>
      </c>
      <c r="AU418" s="288" t="s">
        <v>1</v>
      </c>
      <c r="AV418" s="289" t="s">
        <v>1</v>
      </c>
      <c r="AW418" s="287" t="s">
        <v>1</v>
      </c>
      <c r="AX418" s="291">
        <v>14.17</v>
      </c>
      <c r="AY418" s="290">
        <v>71.67</v>
      </c>
      <c r="AZ418" s="291" cm="1">
        <f t="array" aca="1" ref="AZ418" ca="1">INDIRECT("'"&amp;$C418&amp;"'!"&amp;"$"&amp;$D418&amp;$AZ$1&amp;"")</f>
        <v>14.17</v>
      </c>
      <c r="BA418" s="289">
        <v>0.98</v>
      </c>
      <c r="BB418" s="287">
        <v>3.5</v>
      </c>
      <c r="BC418" s="292">
        <v>67.7</v>
      </c>
      <c r="BD418" s="286" cm="1">
        <f t="array" aca="1" ref="BD418" ca="1">INDIRECT("'"&amp;$C418&amp;"'!"&amp;"$"&amp;$D418&amp;$BC$1&amp;"")</f>
        <v>1.4</v>
      </c>
      <c r="BE418" s="288">
        <v>0.95</v>
      </c>
      <c r="BF418" s="287">
        <v>0.44</v>
      </c>
      <c r="BG418" s="291" cm="1">
        <f t="array" aca="1" ref="BG418" ca="1">INDIRECT("'"&amp;$C418&amp;"'!"&amp;"$"&amp;$D418&amp;$BG$1&amp;"")</f>
        <v>1.29</v>
      </c>
      <c r="BH418" s="289"/>
      <c r="BI418" s="289">
        <v>0.99</v>
      </c>
      <c r="BJ418" s="287">
        <v>0.24</v>
      </c>
      <c r="BK418" s="292" cm="1">
        <f t="array" aca="1" ref="BK418" ca="1">INDIRECT("'"&amp;$C418&amp;"'!"&amp;"$"&amp;$D418&amp;$BK$1&amp;"")</f>
        <v>0.85</v>
      </c>
      <c r="BL418" s="289"/>
      <c r="BM418" s="289">
        <v>0.96</v>
      </c>
      <c r="BN418" s="287">
        <v>0.24</v>
      </c>
    </row>
    <row r="419" spans="1:66">
      <c r="A419" s="361">
        <v>45764</v>
      </c>
      <c r="B419" s="358">
        <v>0.58333333333333404</v>
      </c>
      <c r="C419" s="313">
        <f t="shared" si="15"/>
        <v>17</v>
      </c>
      <c r="D419" s="314" t="s">
        <v>141</v>
      </c>
      <c r="E419" s="293">
        <v>14.2</v>
      </c>
      <c r="F419" s="294">
        <v>69.349999999999994</v>
      </c>
      <c r="G419" s="295" cm="1">
        <f t="array" aca="1" ref="G419" ca="1">INDIRECT("'"&amp;$C419&amp;"'!"&amp;"$"&amp;$D419&amp;$E$1&amp;"")</f>
        <v>6.7</v>
      </c>
      <c r="H419" s="296">
        <v>0.9</v>
      </c>
      <c r="I419" s="294">
        <v>3.6</v>
      </c>
      <c r="J419" s="295" cm="1">
        <f t="array" aca="1" ref="J419" ca="1">INDIRECT("'"&amp;$C419&amp;"'!"&amp;"$"&amp;$D419&amp;$J$1&amp;"")</f>
        <v>6.7</v>
      </c>
      <c r="K419" s="296"/>
      <c r="L419" s="296">
        <v>0.9</v>
      </c>
      <c r="M419" s="294">
        <v>3.13</v>
      </c>
      <c r="N419" s="295" cm="1">
        <f t="array" aca="1" ref="N419" ca="1">INDIRECT("'"&amp;$C419&amp;"'!"&amp;"$"&amp;$D419&amp;$N$1&amp;"")</f>
        <v>6.7</v>
      </c>
      <c r="O419" s="296"/>
      <c r="P419" s="296">
        <v>0.9</v>
      </c>
      <c r="Q419" s="294">
        <v>3.13</v>
      </c>
      <c r="R419" s="295" cm="1">
        <f t="array" aca="1" ref="R419" ca="1">INDIRECT("'"&amp;$C419&amp;"'!"&amp;"$"&amp;$D419&amp;$R$1&amp;"")</f>
        <v>0</v>
      </c>
      <c r="S419" s="296"/>
      <c r="T419" s="296" t="s">
        <v>1</v>
      </c>
      <c r="U419" s="294" t="s">
        <v>1</v>
      </c>
      <c r="V419" s="295" cm="1">
        <f t="array" aca="1" ref="V419" ca="1">INDIRECT("'"&amp;$C419&amp;"'!"&amp;"$"&amp;$D419&amp;$V$1&amp;"")</f>
        <v>2.8</v>
      </c>
      <c r="W419" s="296">
        <f>3.8*3.51</f>
        <v>13.337999999999999</v>
      </c>
      <c r="X419" s="296">
        <v>0.91</v>
      </c>
      <c r="Y419" s="297">
        <v>1.19</v>
      </c>
      <c r="Z419" s="293" cm="1">
        <f t="array" aca="1" ref="Z419" ca="1">INDIRECT("'"&amp;$C419&amp;"'!"&amp;"$"&amp;$D419&amp;$Z$1&amp;"")</f>
        <v>0</v>
      </c>
      <c r="AA419" s="296" t="s">
        <v>1</v>
      </c>
      <c r="AB419" s="296" t="s">
        <v>1</v>
      </c>
      <c r="AC419" s="294" t="s">
        <v>1</v>
      </c>
      <c r="AD419" s="295" cm="1">
        <f t="array" aca="1" ref="AD419" ca="1">INDIRECT("'"&amp;$C419&amp;"'!"&amp;"$"&amp;$D419&amp;$AD$1&amp;"")</f>
        <v>3.8</v>
      </c>
      <c r="AE419" s="296">
        <v>13.34</v>
      </c>
      <c r="AF419" s="296">
        <v>0.91</v>
      </c>
      <c r="AG419" s="297">
        <v>1.64</v>
      </c>
      <c r="AH419" s="293" cm="1">
        <f t="array" aca="1" ref="AH419" ca="1">INDIRECT("'"&amp;$C419&amp;"'!"&amp;"$"&amp;$D419&amp;$AH$1&amp;"")</f>
        <v>3.8</v>
      </c>
      <c r="AI419" s="296">
        <v>14</v>
      </c>
      <c r="AJ419" s="296">
        <v>0.99</v>
      </c>
      <c r="AK419" s="294">
        <v>0.35299999999999998</v>
      </c>
      <c r="AL419" s="293">
        <v>11.9</v>
      </c>
      <c r="AM419" s="297">
        <v>70.2</v>
      </c>
      <c r="AN419" s="293" cm="1">
        <f t="array" aca="1" ref="AN419" ca="1">INDIRECT("'"&amp;$C419&amp;"'!"&amp;"$"&amp;$D419&amp;$AL$1&amp;"")</f>
        <v>4</v>
      </c>
      <c r="AO419" s="296">
        <v>0.97</v>
      </c>
      <c r="AP419" s="294">
        <v>0.8</v>
      </c>
      <c r="AQ419" s="295" cm="1">
        <f t="array" aca="1" ref="AQ419" ca="1">INDIRECT("'"&amp;$C419&amp;"'!"&amp;"$"&amp;$D419&amp;$AQ$1&amp;"")</f>
        <v>4</v>
      </c>
      <c r="AR419" s="296">
        <v>0.97</v>
      </c>
      <c r="AS419" s="294">
        <v>0.8</v>
      </c>
      <c r="AT419" s="296" cm="1">
        <f t="array" aca="1" ref="AT419" ca="1">INDIRECT("'"&amp;$C419&amp;"'!"&amp;"$"&amp;$D419&amp;$AT$1&amp;"")</f>
        <v>0</v>
      </c>
      <c r="AU419" s="295" t="s">
        <v>1</v>
      </c>
      <c r="AV419" s="296" t="s">
        <v>1</v>
      </c>
      <c r="AW419" s="294" t="s">
        <v>1</v>
      </c>
      <c r="AX419" s="298">
        <v>14.29</v>
      </c>
      <c r="AY419" s="297">
        <v>71.87</v>
      </c>
      <c r="AZ419" s="298" cm="1">
        <f t="array" aca="1" ref="AZ419" ca="1">INDIRECT("'"&amp;$C419&amp;"'!"&amp;"$"&amp;$D419&amp;$AZ$1&amp;"")</f>
        <v>14.22</v>
      </c>
      <c r="BA419" s="296">
        <v>0.98</v>
      </c>
      <c r="BB419" s="294">
        <v>3.5</v>
      </c>
      <c r="BC419" s="299">
        <v>67.8</v>
      </c>
      <c r="BD419" s="293" cm="1">
        <f t="array" aca="1" ref="BD419" ca="1">INDIRECT("'"&amp;$C419&amp;"'!"&amp;"$"&amp;$D419&amp;$BC$1&amp;"")</f>
        <v>1.4</v>
      </c>
      <c r="BE419" s="295">
        <v>0.95</v>
      </c>
      <c r="BF419" s="294">
        <v>0.45</v>
      </c>
      <c r="BG419" s="298" cm="1">
        <f t="array" aca="1" ref="BG419" ca="1">INDIRECT("'"&amp;$C419&amp;"'!"&amp;"$"&amp;$D419&amp;$BG$1&amp;"")</f>
        <v>1.31</v>
      </c>
      <c r="BH419" s="296"/>
      <c r="BI419" s="296">
        <v>0.99</v>
      </c>
      <c r="BJ419" s="294">
        <v>0.23</v>
      </c>
      <c r="BK419" s="299" cm="1">
        <f t="array" aca="1" ref="BK419" ca="1">INDIRECT("'"&amp;$C419&amp;"'!"&amp;"$"&amp;$D419&amp;$BK$1&amp;"")</f>
        <v>0.86</v>
      </c>
      <c r="BL419" s="296"/>
      <c r="BM419" s="296">
        <v>0.96</v>
      </c>
      <c r="BN419" s="294">
        <v>0.25</v>
      </c>
    </row>
    <row r="420" spans="1:66">
      <c r="A420" s="361">
        <v>45764</v>
      </c>
      <c r="B420" s="358">
        <v>0.625</v>
      </c>
      <c r="C420" s="313">
        <f t="shared" si="15"/>
        <v>17</v>
      </c>
      <c r="D420" s="314" t="s">
        <v>142</v>
      </c>
      <c r="E420" s="286">
        <v>14.1</v>
      </c>
      <c r="F420" s="287">
        <v>69.23</v>
      </c>
      <c r="G420" s="288" cm="1">
        <f t="array" aca="1" ref="G420" ca="1">INDIRECT("'"&amp;$C420&amp;"'!"&amp;"$"&amp;$D420&amp;$E$1&amp;"")</f>
        <v>6.7</v>
      </c>
      <c r="H420" s="289">
        <v>0.9</v>
      </c>
      <c r="I420" s="287">
        <v>3.29</v>
      </c>
      <c r="J420" s="288" cm="1">
        <f t="array" aca="1" ref="J420" ca="1">INDIRECT("'"&amp;$C420&amp;"'!"&amp;"$"&amp;$D420&amp;$J$1&amp;"")</f>
        <v>6.7</v>
      </c>
      <c r="K420" s="289"/>
      <c r="L420" s="289">
        <v>0.89</v>
      </c>
      <c r="M420" s="287">
        <v>3.47</v>
      </c>
      <c r="N420" s="288" cm="1">
        <f t="array" aca="1" ref="N420" ca="1">INDIRECT("'"&amp;$C420&amp;"'!"&amp;"$"&amp;$D420&amp;$N$1&amp;"")</f>
        <v>6.7</v>
      </c>
      <c r="O420" s="289"/>
      <c r="P420" s="289">
        <v>0.9</v>
      </c>
      <c r="Q420" s="287">
        <v>3.27</v>
      </c>
      <c r="R420" s="288" cm="1">
        <f t="array" aca="1" ref="R420" ca="1">INDIRECT("'"&amp;$C420&amp;"'!"&amp;"$"&amp;$D420&amp;$R$1&amp;"")</f>
        <v>0</v>
      </c>
      <c r="S420" s="289"/>
      <c r="T420" s="289" t="s">
        <v>1</v>
      </c>
      <c r="U420" s="287" t="s">
        <v>1</v>
      </c>
      <c r="V420" s="288" cm="1">
        <f t="array" aca="1" ref="V420" ca="1">INDIRECT("'"&amp;$C420&amp;"'!"&amp;"$"&amp;$D420&amp;$V$1&amp;"")</f>
        <v>2.7</v>
      </c>
      <c r="W420" s="289">
        <f>3.8*3.51</f>
        <v>13.337999999999999</v>
      </c>
      <c r="X420" s="289">
        <v>0.91</v>
      </c>
      <c r="Y420" s="290">
        <v>1.1499999999999999</v>
      </c>
      <c r="Z420" s="286" cm="1">
        <f t="array" aca="1" ref="Z420" ca="1">INDIRECT("'"&amp;$C420&amp;"'!"&amp;"$"&amp;$D420&amp;$Z$1&amp;"")</f>
        <v>0</v>
      </c>
      <c r="AA420" s="289" t="s">
        <v>1</v>
      </c>
      <c r="AB420" s="289" t="s">
        <v>1</v>
      </c>
      <c r="AC420" s="287" t="s">
        <v>1</v>
      </c>
      <c r="AD420" s="288" cm="1">
        <f t="array" aca="1" ref="AD420" ca="1">INDIRECT("'"&amp;$C420&amp;"'!"&amp;"$"&amp;$D420&amp;$AD$1&amp;"")</f>
        <v>3.6</v>
      </c>
      <c r="AE420" s="289">
        <f>3.8*3.51</f>
        <v>13.337999999999999</v>
      </c>
      <c r="AF420" s="289">
        <v>0.91</v>
      </c>
      <c r="AG420" s="290">
        <v>1.59</v>
      </c>
      <c r="AH420" s="286" cm="1">
        <f t="array" aca="1" ref="AH420" ca="1">INDIRECT("'"&amp;$C420&amp;"'!"&amp;"$"&amp;$D420&amp;$AH$1&amp;"")</f>
        <v>3.8</v>
      </c>
      <c r="AI420" s="289">
        <v>13.96</v>
      </c>
      <c r="AJ420" s="289">
        <v>0.99</v>
      </c>
      <c r="AK420" s="287">
        <v>0.32300000000000001</v>
      </c>
      <c r="AL420" s="286">
        <v>11.9</v>
      </c>
      <c r="AM420" s="290">
        <v>70.3</v>
      </c>
      <c r="AN420" s="286" cm="1">
        <f t="array" aca="1" ref="AN420" ca="1">INDIRECT("'"&amp;$C420&amp;"'!"&amp;"$"&amp;$D420&amp;$AL$1&amp;"")</f>
        <v>4</v>
      </c>
      <c r="AO420" s="289">
        <v>0.98</v>
      </c>
      <c r="AP420" s="287">
        <v>0.84</v>
      </c>
      <c r="AQ420" s="288" cm="1">
        <f t="array" aca="1" ref="AQ420" ca="1">INDIRECT("'"&amp;$C420&amp;"'!"&amp;"$"&amp;$D420&amp;$AQ$1&amp;"")</f>
        <v>4</v>
      </c>
      <c r="AR420" s="289">
        <v>0.98</v>
      </c>
      <c r="AS420" s="287">
        <v>0.84</v>
      </c>
      <c r="AT420" s="289" cm="1">
        <f t="array" aca="1" ref="AT420" ca="1">INDIRECT("'"&amp;$C420&amp;"'!"&amp;"$"&amp;$D420&amp;$AT$1&amp;"")</f>
        <v>0</v>
      </c>
      <c r="AU420" s="288" t="s">
        <v>1</v>
      </c>
      <c r="AV420" s="289" t="s">
        <v>1</v>
      </c>
      <c r="AW420" s="287" t="s">
        <v>1</v>
      </c>
      <c r="AX420" s="291">
        <v>14.29</v>
      </c>
      <c r="AY420" s="290">
        <v>71.87</v>
      </c>
      <c r="AZ420" s="291" cm="1">
        <f t="array" aca="1" ref="AZ420" ca="1">INDIRECT("'"&amp;$C420&amp;"'!"&amp;"$"&amp;$D420&amp;$AZ$1&amp;"")</f>
        <v>14.22</v>
      </c>
      <c r="BA420" s="289">
        <v>0.98</v>
      </c>
      <c r="BB420" s="287">
        <v>3.5</v>
      </c>
      <c r="BC420" s="292">
        <v>67.599999999999994</v>
      </c>
      <c r="BD420" s="286" cm="1">
        <f t="array" aca="1" ref="BD420" ca="1">INDIRECT("'"&amp;$C420&amp;"'!"&amp;"$"&amp;$D420&amp;$BC$1&amp;"")</f>
        <v>1.4</v>
      </c>
      <c r="BE420" s="288">
        <v>0.95</v>
      </c>
      <c r="BF420" s="287">
        <v>0.45</v>
      </c>
      <c r="BG420" s="291" cm="1">
        <f t="array" aca="1" ref="BG420" ca="1">INDIRECT("'"&amp;$C420&amp;"'!"&amp;"$"&amp;$D420&amp;$BG$1&amp;"")</f>
        <v>1.17</v>
      </c>
      <c r="BH420" s="289"/>
      <c r="BI420" s="289">
        <v>0.99</v>
      </c>
      <c r="BJ420" s="287">
        <v>0.22</v>
      </c>
      <c r="BK420" s="292" cm="1">
        <f t="array" aca="1" ref="BK420" ca="1">INDIRECT("'"&amp;$C420&amp;"'!"&amp;"$"&amp;$D420&amp;$BK$1&amp;"")</f>
        <v>0.88</v>
      </c>
      <c r="BL420" s="289"/>
      <c r="BM420" s="289">
        <v>0.96</v>
      </c>
      <c r="BN420" s="287">
        <v>0.26</v>
      </c>
    </row>
    <row r="421" spans="1:66">
      <c r="A421" s="361">
        <v>45764</v>
      </c>
      <c r="B421" s="358">
        <v>0.66666666666666696</v>
      </c>
      <c r="C421" s="313">
        <f t="shared" si="15"/>
        <v>17</v>
      </c>
      <c r="D421" s="314" t="s">
        <v>143</v>
      </c>
      <c r="E421" s="293">
        <v>14.1</v>
      </c>
      <c r="F421" s="294">
        <v>69.12</v>
      </c>
      <c r="G421" s="295" cm="1">
        <f t="array" aca="1" ref="G421" ca="1">INDIRECT("'"&amp;$C421&amp;"'!"&amp;"$"&amp;$D421&amp;$E$1&amp;"")</f>
        <v>6.7</v>
      </c>
      <c r="H421" s="296">
        <v>0.9</v>
      </c>
      <c r="I421" s="294">
        <v>3.31</v>
      </c>
      <c r="J421" s="295" cm="1">
        <f t="array" aca="1" ref="J421" ca="1">INDIRECT("'"&amp;$C421&amp;"'!"&amp;"$"&amp;$D421&amp;$J$1&amp;"")</f>
        <v>6.7</v>
      </c>
      <c r="K421" s="296"/>
      <c r="L421" s="296">
        <v>0.89</v>
      </c>
      <c r="M421" s="294">
        <v>3.39</v>
      </c>
      <c r="N421" s="295" cm="1">
        <f t="array" aca="1" ref="N421" ca="1">INDIRECT("'"&amp;$C421&amp;"'!"&amp;"$"&amp;$D421&amp;$N$1&amp;"")</f>
        <v>6.7</v>
      </c>
      <c r="O421" s="296"/>
      <c r="P421" s="296">
        <v>0.9</v>
      </c>
      <c r="Q421" s="294">
        <v>3.3</v>
      </c>
      <c r="R421" s="295" cm="1">
        <f t="array" aca="1" ref="R421" ca="1">INDIRECT("'"&amp;$C421&amp;"'!"&amp;"$"&amp;$D421&amp;$R$1&amp;"")</f>
        <v>0</v>
      </c>
      <c r="S421" s="296"/>
      <c r="T421" s="296" t="s">
        <v>1</v>
      </c>
      <c r="U421" s="294" t="s">
        <v>1</v>
      </c>
      <c r="V421" s="295" cm="1">
        <f t="array" aca="1" ref="V421" ca="1">INDIRECT("'"&amp;$C421&amp;"'!"&amp;"$"&amp;$D421&amp;$V$1&amp;"")</f>
        <v>2.7</v>
      </c>
      <c r="W421" s="296">
        <f>3.8*3.51</f>
        <v>13.337999999999999</v>
      </c>
      <c r="X421" s="296">
        <v>0.91</v>
      </c>
      <c r="Y421" s="297">
        <v>1.1599999999999999</v>
      </c>
      <c r="Z421" s="293" cm="1">
        <f t="array" aca="1" ref="Z421" ca="1">INDIRECT("'"&amp;$C421&amp;"'!"&amp;"$"&amp;$D421&amp;$Z$1&amp;"")</f>
        <v>0</v>
      </c>
      <c r="AA421" s="296" t="s">
        <v>1</v>
      </c>
      <c r="AB421" s="296" t="s">
        <v>1</v>
      </c>
      <c r="AC421" s="294" t="s">
        <v>1</v>
      </c>
      <c r="AD421" s="295" cm="1">
        <f t="array" aca="1" ref="AD421" ca="1">INDIRECT("'"&amp;$C421&amp;"'!"&amp;"$"&amp;$D421&amp;$AD$1&amp;"")</f>
        <v>3.8</v>
      </c>
      <c r="AE421" s="296">
        <f>3.8*3.51</f>
        <v>13.337999999999999</v>
      </c>
      <c r="AF421" s="296">
        <v>0.91</v>
      </c>
      <c r="AG421" s="297">
        <v>1.61</v>
      </c>
      <c r="AH421" s="293" cm="1">
        <f t="array" aca="1" ref="AH421" ca="1">INDIRECT("'"&amp;$C421&amp;"'!"&amp;"$"&amp;$D421&amp;$AH$1&amp;"")</f>
        <v>3.8</v>
      </c>
      <c r="AI421" s="296">
        <v>14.04</v>
      </c>
      <c r="AJ421" s="296">
        <v>0.97</v>
      </c>
      <c r="AK421" s="294">
        <v>1</v>
      </c>
      <c r="AL421" s="293">
        <v>11.9</v>
      </c>
      <c r="AM421" s="297">
        <v>70.099999999999994</v>
      </c>
      <c r="AN421" s="293" cm="1">
        <f t="array" aca="1" ref="AN421" ca="1">INDIRECT("'"&amp;$C421&amp;"'!"&amp;"$"&amp;$D421&amp;$AL$1&amp;"")</f>
        <v>4</v>
      </c>
      <c r="AO421" s="296">
        <v>0.98</v>
      </c>
      <c r="AP421" s="294">
        <v>0.95</v>
      </c>
      <c r="AQ421" s="295" cm="1">
        <f t="array" aca="1" ref="AQ421" ca="1">INDIRECT("'"&amp;$C421&amp;"'!"&amp;"$"&amp;$D421&amp;$AQ$1&amp;"")</f>
        <v>4</v>
      </c>
      <c r="AR421" s="296">
        <v>0.98</v>
      </c>
      <c r="AS421" s="294">
        <v>0.95</v>
      </c>
      <c r="AT421" s="296" cm="1">
        <f t="array" aca="1" ref="AT421" ca="1">INDIRECT("'"&amp;$C421&amp;"'!"&amp;"$"&amp;$D421&amp;$AT$1&amp;"")</f>
        <v>0</v>
      </c>
      <c r="AU421" s="295" t="s">
        <v>1</v>
      </c>
      <c r="AV421" s="296" t="s">
        <v>1</v>
      </c>
      <c r="AW421" s="294" t="s">
        <v>1</v>
      </c>
      <c r="AX421" s="298">
        <v>14.13</v>
      </c>
      <c r="AY421" s="297">
        <v>71.48</v>
      </c>
      <c r="AZ421" s="298" cm="1">
        <f t="array" aca="1" ref="AZ421" ca="1">INDIRECT("'"&amp;$C421&amp;"'!"&amp;"$"&amp;$D421&amp;$AZ$1&amp;"")</f>
        <v>14.13</v>
      </c>
      <c r="BA421" s="296">
        <v>0.99</v>
      </c>
      <c r="BB421" s="294">
        <v>2.5</v>
      </c>
      <c r="BC421" s="299">
        <v>67.599999999999994</v>
      </c>
      <c r="BD421" s="293" cm="1">
        <f t="array" aca="1" ref="BD421" ca="1">INDIRECT("'"&amp;$C421&amp;"'!"&amp;"$"&amp;$D421&amp;$BC$1&amp;"")</f>
        <v>1.4</v>
      </c>
      <c r="BE421" s="295">
        <v>0.95</v>
      </c>
      <c r="BF421" s="294">
        <v>0.4</v>
      </c>
      <c r="BG421" s="298" cm="1">
        <f t="array" aca="1" ref="BG421" ca="1">INDIRECT("'"&amp;$C421&amp;"'!"&amp;"$"&amp;$D421&amp;$BG$1&amp;"")</f>
        <v>1.1000000000000001</v>
      </c>
      <c r="BH421" s="296"/>
      <c r="BI421" s="296">
        <v>0.99</v>
      </c>
      <c r="BJ421" s="294">
        <v>0.19</v>
      </c>
      <c r="BK421" s="299" cm="1">
        <f t="array" aca="1" ref="BK421" ca="1">INDIRECT("'"&amp;$C421&amp;"'!"&amp;"$"&amp;$D421&amp;$BK$1&amp;"")</f>
        <v>0.86</v>
      </c>
      <c r="BL421" s="296"/>
      <c r="BM421" s="296">
        <v>0.96</v>
      </c>
      <c r="BN421" s="294">
        <v>0.26</v>
      </c>
    </row>
    <row r="422" spans="1:66">
      <c r="A422" s="361">
        <v>45764</v>
      </c>
      <c r="B422" s="358">
        <v>0.70833333333333404</v>
      </c>
      <c r="C422" s="313">
        <f t="shared" si="15"/>
        <v>17</v>
      </c>
      <c r="D422" s="314" t="s">
        <v>144</v>
      </c>
      <c r="E422" s="286">
        <v>14.1</v>
      </c>
      <c r="F422" s="287">
        <v>69.209999999999994</v>
      </c>
      <c r="G422" s="288" cm="1">
        <f t="array" aca="1" ref="G422" ca="1">INDIRECT("'"&amp;$C422&amp;"'!"&amp;"$"&amp;$D422&amp;$E$1&amp;"")</f>
        <v>6.6</v>
      </c>
      <c r="H422" s="289">
        <v>0.89</v>
      </c>
      <c r="I422" s="287">
        <v>3.38</v>
      </c>
      <c r="J422" s="288" cm="1">
        <f t="array" aca="1" ref="J422" ca="1">INDIRECT("'"&amp;$C422&amp;"'!"&amp;"$"&amp;$D422&amp;$J$1&amp;"")</f>
        <v>6.6</v>
      </c>
      <c r="K422" s="289"/>
      <c r="L422" s="289">
        <v>0.89</v>
      </c>
      <c r="M422" s="287">
        <v>3.35</v>
      </c>
      <c r="N422" s="288" cm="1">
        <f t="array" aca="1" ref="N422" ca="1">INDIRECT("'"&amp;$C422&amp;"'!"&amp;"$"&amp;$D422&amp;$N$1&amp;"")</f>
        <v>6.6</v>
      </c>
      <c r="O422" s="289"/>
      <c r="P422" s="289">
        <v>0.89</v>
      </c>
      <c r="Q422" s="287">
        <v>3.37</v>
      </c>
      <c r="R422" s="288" cm="1">
        <f t="array" aca="1" ref="R422" ca="1">INDIRECT("'"&amp;$C422&amp;"'!"&amp;"$"&amp;$D422&amp;$R$1&amp;"")</f>
        <v>0</v>
      </c>
      <c r="S422" s="289"/>
      <c r="T422" s="289" t="s">
        <v>1</v>
      </c>
      <c r="U422" s="287" t="s">
        <v>1</v>
      </c>
      <c r="V422" s="288" cm="1">
        <f t="array" aca="1" ref="V422" ca="1">INDIRECT("'"&amp;$C422&amp;"'!"&amp;"$"&amp;$D422&amp;$V$1&amp;"")</f>
        <v>2.5</v>
      </c>
      <c r="W422" s="289">
        <f>3.8*3.51</f>
        <v>13.337999999999999</v>
      </c>
      <c r="X422" s="289">
        <v>0.91</v>
      </c>
      <c r="Y422" s="290">
        <v>1.0900000000000001</v>
      </c>
      <c r="Z422" s="286" cm="1">
        <f t="array" aca="1" ref="Z422" ca="1">INDIRECT("'"&amp;$C422&amp;"'!"&amp;"$"&amp;$D422&amp;$Z$1&amp;"")</f>
        <v>0</v>
      </c>
      <c r="AA422" s="289" t="s">
        <v>1</v>
      </c>
      <c r="AB422" s="289" t="s">
        <v>1</v>
      </c>
      <c r="AC422" s="287" t="s">
        <v>1</v>
      </c>
      <c r="AD422" s="288" cm="1">
        <f t="array" aca="1" ref="AD422" ca="1">INDIRECT("'"&amp;$C422&amp;"'!"&amp;"$"&amp;$D422&amp;$AD$1&amp;"")</f>
        <v>3</v>
      </c>
      <c r="AE422" s="289">
        <f>3.8*3.51</f>
        <v>13.337999999999999</v>
      </c>
      <c r="AF422" s="289">
        <v>0.91</v>
      </c>
      <c r="AG422" s="290">
        <v>1.19</v>
      </c>
      <c r="AH422" s="286" cm="1">
        <f t="array" aca="1" ref="AH422" ca="1">INDIRECT("'"&amp;$C422&amp;"'!"&amp;"$"&amp;$D422&amp;$AH$1&amp;"")</f>
        <v>3.8</v>
      </c>
      <c r="AI422" s="289">
        <v>14.04</v>
      </c>
      <c r="AJ422" s="289">
        <v>0.98</v>
      </c>
      <c r="AK422" s="287">
        <v>0.88800000000000001</v>
      </c>
      <c r="AL422" s="286">
        <v>11.9</v>
      </c>
      <c r="AM422" s="290">
        <v>70.2</v>
      </c>
      <c r="AN422" s="286" cm="1">
        <f t="array" aca="1" ref="AN422" ca="1">INDIRECT("'"&amp;$C422&amp;"'!"&amp;"$"&amp;$D422&amp;$AL$1&amp;"")</f>
        <v>4.0999999999999996</v>
      </c>
      <c r="AO422" s="289">
        <v>0.97</v>
      </c>
      <c r="AP422" s="287">
        <v>0.87</v>
      </c>
      <c r="AQ422" s="288" cm="1">
        <f t="array" aca="1" ref="AQ422" ca="1">INDIRECT("'"&amp;$C422&amp;"'!"&amp;"$"&amp;$D422&amp;$AQ$1&amp;"")</f>
        <v>4.0999999999999996</v>
      </c>
      <c r="AR422" s="289">
        <v>0.97</v>
      </c>
      <c r="AS422" s="287">
        <v>0.87</v>
      </c>
      <c r="AT422" s="289" cm="1">
        <f t="array" aca="1" ref="AT422" ca="1">INDIRECT("'"&amp;$C422&amp;"'!"&amp;"$"&amp;$D422&amp;$AT$1&amp;"")</f>
        <v>0</v>
      </c>
      <c r="AU422" s="288" t="s">
        <v>1</v>
      </c>
      <c r="AV422" s="289" t="s">
        <v>1</v>
      </c>
      <c r="AW422" s="287" t="s">
        <v>1</v>
      </c>
      <c r="AX422" s="291">
        <v>14.17</v>
      </c>
      <c r="AY422" s="290">
        <v>71.66</v>
      </c>
      <c r="AZ422" s="291" cm="1">
        <f t="array" aca="1" ref="AZ422" ca="1">INDIRECT("'"&amp;$C422&amp;"'!"&amp;"$"&amp;$D422&amp;$AZ$1&amp;"")</f>
        <v>14.23</v>
      </c>
      <c r="BA422" s="289">
        <v>0.99</v>
      </c>
      <c r="BB422" s="287">
        <v>2.5</v>
      </c>
      <c r="BC422" s="292">
        <v>67.599999999999994</v>
      </c>
      <c r="BD422" s="286" cm="1">
        <f t="array" aca="1" ref="BD422" ca="1">INDIRECT("'"&amp;$C422&amp;"'!"&amp;"$"&amp;$D422&amp;$BC$1&amp;"")</f>
        <v>0</v>
      </c>
      <c r="BE422" s="288" t="s">
        <v>1</v>
      </c>
      <c r="BF422" s="287" t="s">
        <v>1</v>
      </c>
      <c r="BG422" s="291" cm="1">
        <f t="array" aca="1" ref="BG422" ca="1">INDIRECT("'"&amp;$C422&amp;"'!"&amp;"$"&amp;$D422&amp;$BG$1&amp;"")</f>
        <v>1.19</v>
      </c>
      <c r="BH422" s="289"/>
      <c r="BI422" s="289">
        <v>0.99</v>
      </c>
      <c r="BJ422" s="287">
        <v>0.2</v>
      </c>
      <c r="BK422" s="292" cm="1">
        <f t="array" aca="1" ref="BK422" ca="1">INDIRECT("'"&amp;$C422&amp;"'!"&amp;"$"&amp;$D422&amp;$BK$1&amp;"")</f>
        <v>0.83</v>
      </c>
      <c r="BL422" s="289"/>
      <c r="BM422" s="289">
        <v>0.96</v>
      </c>
      <c r="BN422" s="287">
        <v>0.25</v>
      </c>
    </row>
    <row r="423" spans="1:66">
      <c r="A423" s="361">
        <v>45764</v>
      </c>
      <c r="B423" s="358">
        <v>0.750000000000001</v>
      </c>
      <c r="C423" s="313">
        <f t="shared" si="15"/>
        <v>17</v>
      </c>
      <c r="D423" s="314" t="s">
        <v>145</v>
      </c>
      <c r="E423" s="293">
        <v>14</v>
      </c>
      <c r="F423" s="294">
        <v>69.45</v>
      </c>
      <c r="G423" s="295" cm="1">
        <f t="array" aca="1" ref="G423" ca="1">INDIRECT("'"&amp;$C423&amp;"'!"&amp;"$"&amp;$D423&amp;$E$1&amp;"")</f>
        <v>6.7</v>
      </c>
      <c r="H423" s="296">
        <v>0.92</v>
      </c>
      <c r="I423" s="294">
        <v>2.78</v>
      </c>
      <c r="J423" s="295" cm="1">
        <f t="array" aca="1" ref="J423" ca="1">INDIRECT("'"&amp;$C423&amp;"'!"&amp;"$"&amp;$D423&amp;$J$1&amp;"")</f>
        <v>6.7</v>
      </c>
      <c r="K423" s="296"/>
      <c r="L423" s="296">
        <v>0.92</v>
      </c>
      <c r="M423" s="294">
        <v>2.79</v>
      </c>
      <c r="N423" s="295" cm="1">
        <f t="array" aca="1" ref="N423" ca="1">INDIRECT("'"&amp;$C423&amp;"'!"&amp;"$"&amp;$D423&amp;$N$1&amp;"")</f>
        <v>6.7</v>
      </c>
      <c r="O423" s="296"/>
      <c r="P423" s="296">
        <v>0.92</v>
      </c>
      <c r="Q423" s="294">
        <v>2.75</v>
      </c>
      <c r="R423" s="295" cm="1">
        <f t="array" aca="1" ref="R423" ca="1">INDIRECT("'"&amp;$C423&amp;"'!"&amp;"$"&amp;$D423&amp;$R$1&amp;"")</f>
        <v>0</v>
      </c>
      <c r="S423" s="296"/>
      <c r="T423" s="296" t="s">
        <v>1</v>
      </c>
      <c r="U423" s="294" t="s">
        <v>1</v>
      </c>
      <c r="V423" s="295" cm="1">
        <f t="array" aca="1" ref="V423" ca="1">INDIRECT("'"&amp;$C423&amp;"'!"&amp;"$"&amp;$D423&amp;$V$1&amp;"")</f>
        <v>2.7</v>
      </c>
      <c r="W423" s="296">
        <f>3.8*3.54</f>
        <v>13.452</v>
      </c>
      <c r="X423" s="296">
        <v>0.91</v>
      </c>
      <c r="Y423" s="297">
        <v>1.1719999999999999</v>
      </c>
      <c r="Z423" s="293" cm="1">
        <f t="array" aca="1" ref="Z423" ca="1">INDIRECT("'"&amp;$C423&amp;"'!"&amp;"$"&amp;$D423&amp;$Z$1&amp;"")</f>
        <v>0</v>
      </c>
      <c r="AA423" s="296" t="s">
        <v>1</v>
      </c>
      <c r="AB423" s="296" t="s">
        <v>1</v>
      </c>
      <c r="AC423" s="294" t="s">
        <v>1</v>
      </c>
      <c r="AD423" s="295" cm="1">
        <f t="array" aca="1" ref="AD423" ca="1">INDIRECT("'"&amp;$C423&amp;"'!"&amp;"$"&amp;$D423&amp;$AD$1&amp;"")</f>
        <v>3.5</v>
      </c>
      <c r="AE423" s="296">
        <f>3.8*3.54</f>
        <v>13.452</v>
      </c>
      <c r="AF423" s="296">
        <v>0.97</v>
      </c>
      <c r="AG423" s="297">
        <v>0.76400000000000001</v>
      </c>
      <c r="AH423" s="293" cm="1">
        <f t="array" aca="1" ref="AH423" ca="1">INDIRECT("'"&amp;$C423&amp;"'!"&amp;"$"&amp;$D423&amp;$AH$1&amp;"")</f>
        <v>3.8</v>
      </c>
      <c r="AI423" s="296">
        <v>14.08</v>
      </c>
      <c r="AJ423" s="296">
        <v>0.97</v>
      </c>
      <c r="AK423" s="294">
        <v>0.76400000000000001</v>
      </c>
      <c r="AL423" s="293">
        <v>11.9</v>
      </c>
      <c r="AM423" s="297">
        <v>70.3</v>
      </c>
      <c r="AN423" s="293" cm="1">
        <f t="array" aca="1" ref="AN423" ca="1">INDIRECT("'"&amp;$C423&amp;"'!"&amp;"$"&amp;$D423&amp;$AL$1&amp;"")</f>
        <v>3.5</v>
      </c>
      <c r="AO423" s="296">
        <v>0.98</v>
      </c>
      <c r="AP423" s="294">
        <v>0.78</v>
      </c>
      <c r="AQ423" s="295" cm="1">
        <f t="array" aca="1" ref="AQ423" ca="1">INDIRECT("'"&amp;$C423&amp;"'!"&amp;"$"&amp;$D423&amp;$AQ$1&amp;"")</f>
        <v>3.5</v>
      </c>
      <c r="AR423" s="296">
        <v>0.98</v>
      </c>
      <c r="AS423" s="294">
        <v>0.78</v>
      </c>
      <c r="AT423" s="296" cm="1">
        <f t="array" aca="1" ref="AT423" ca="1">INDIRECT("'"&amp;$C423&amp;"'!"&amp;"$"&amp;$D423&amp;$AT$1&amp;"")</f>
        <v>0</v>
      </c>
      <c r="AU423" s="295" t="s">
        <v>1</v>
      </c>
      <c r="AV423" s="296" t="s">
        <v>1</v>
      </c>
      <c r="AW423" s="294" t="s">
        <v>1</v>
      </c>
      <c r="AX423" s="298">
        <v>14.17</v>
      </c>
      <c r="AY423" s="297">
        <v>71.760000000000005</v>
      </c>
      <c r="AZ423" s="298" cm="1">
        <f t="array" aca="1" ref="AZ423" ca="1">INDIRECT("'"&amp;$C423&amp;"'!"&amp;"$"&amp;$D423&amp;$AZ$1&amp;"")</f>
        <v>14.11</v>
      </c>
      <c r="BA423" s="296">
        <v>0.99</v>
      </c>
      <c r="BB423" s="294">
        <v>2.5</v>
      </c>
      <c r="BC423" s="299">
        <v>68</v>
      </c>
      <c r="BD423" s="293" cm="1">
        <f t="array" aca="1" ref="BD423" ca="1">INDIRECT("'"&amp;$C423&amp;"'!"&amp;"$"&amp;$D423&amp;$BC$1&amp;"")</f>
        <v>0</v>
      </c>
      <c r="BE423" s="295" t="s">
        <v>1</v>
      </c>
      <c r="BF423" s="294" t="s">
        <v>1</v>
      </c>
      <c r="BG423" s="298" cm="1">
        <f t="array" aca="1" ref="BG423" ca="1">INDIRECT("'"&amp;$C423&amp;"'!"&amp;"$"&amp;$D423&amp;$BG$1&amp;"")</f>
        <v>1.32</v>
      </c>
      <c r="BH423" s="296"/>
      <c r="BI423" s="296">
        <v>0.99</v>
      </c>
      <c r="BJ423" s="294">
        <v>0.22</v>
      </c>
      <c r="BK423" s="299" cm="1">
        <f t="array" aca="1" ref="BK423" ca="1">INDIRECT("'"&amp;$C423&amp;"'!"&amp;"$"&amp;$D423&amp;$BK$1&amp;"")</f>
        <v>0.85</v>
      </c>
      <c r="BL423" s="296"/>
      <c r="BM423" s="296">
        <v>0.96</v>
      </c>
      <c r="BN423" s="294">
        <v>0.25</v>
      </c>
    </row>
    <row r="424" spans="1:66">
      <c r="A424" s="361">
        <v>45764</v>
      </c>
      <c r="B424" s="358">
        <v>0.79166666666666663</v>
      </c>
      <c r="C424" s="313">
        <f t="shared" si="15"/>
        <v>17</v>
      </c>
      <c r="D424" s="314" t="s">
        <v>146</v>
      </c>
      <c r="E424" s="286">
        <v>14.2</v>
      </c>
      <c r="F424" s="287">
        <v>70.08</v>
      </c>
      <c r="G424" s="288" cm="1">
        <f t="array" aca="1" ref="G424" ca="1">INDIRECT("'"&amp;$C424&amp;"'!"&amp;"$"&amp;$D424&amp;$E$1&amp;"")</f>
        <v>6.4</v>
      </c>
      <c r="H424" s="289">
        <v>0.96</v>
      </c>
      <c r="I424" s="287">
        <v>1.94</v>
      </c>
      <c r="J424" s="288" cm="1">
        <f t="array" aca="1" ref="J424" ca="1">INDIRECT("'"&amp;$C424&amp;"'!"&amp;"$"&amp;$D424&amp;$J$1&amp;"")</f>
        <v>6.4</v>
      </c>
      <c r="K424" s="300"/>
      <c r="L424" s="289">
        <v>0.96</v>
      </c>
      <c r="M424" s="287">
        <v>1.95</v>
      </c>
      <c r="N424" s="288" cm="1">
        <f t="array" aca="1" ref="N424" ca="1">INDIRECT("'"&amp;$C424&amp;"'!"&amp;"$"&amp;$D424&amp;$N$1&amp;"")</f>
        <v>6.4</v>
      </c>
      <c r="O424" s="289"/>
      <c r="P424" s="289">
        <v>0.96</v>
      </c>
      <c r="Q424" s="287">
        <v>1.96</v>
      </c>
      <c r="R424" s="288" cm="1">
        <f t="array" aca="1" ref="R424" ca="1">INDIRECT("'"&amp;$C424&amp;"'!"&amp;"$"&amp;$D424&amp;$R$1&amp;"")</f>
        <v>0</v>
      </c>
      <c r="S424" s="289"/>
      <c r="T424" s="289" t="s">
        <v>1</v>
      </c>
      <c r="U424" s="287" t="s">
        <v>1</v>
      </c>
      <c r="V424" s="288" cm="1">
        <f t="array" aca="1" ref="V424" ca="1">INDIRECT("'"&amp;$C424&amp;"'!"&amp;"$"&amp;$D424&amp;$V$1&amp;"")</f>
        <v>2.2999999999999998</v>
      </c>
      <c r="W424" s="289">
        <f>3.8*3.6</f>
        <v>13.68</v>
      </c>
      <c r="X424" s="289">
        <v>0.98</v>
      </c>
      <c r="Y424" s="290">
        <v>0.41</v>
      </c>
      <c r="Z424" s="286" cm="1">
        <f t="array" aca="1" ref="Z424" ca="1">INDIRECT("'"&amp;$C424&amp;"'!"&amp;"$"&amp;$D424&amp;$Z$1&amp;"")</f>
        <v>0</v>
      </c>
      <c r="AA424" s="289" t="s">
        <v>1</v>
      </c>
      <c r="AB424" s="289" t="s">
        <v>1</v>
      </c>
      <c r="AC424" s="287" t="s">
        <v>1</v>
      </c>
      <c r="AD424" s="288" cm="1">
        <f t="array" aca="1" ref="AD424" ca="1">INDIRECT("'"&amp;$C424&amp;"'!"&amp;"$"&amp;$D424&amp;$AD$1&amp;"")</f>
        <v>3</v>
      </c>
      <c r="AE424" s="289">
        <f>3.8*3.6</f>
        <v>13.68</v>
      </c>
      <c r="AF424" s="289">
        <v>0.98</v>
      </c>
      <c r="AG424" s="290">
        <v>0.52</v>
      </c>
      <c r="AH424" s="286" cm="1">
        <f t="array" aca="1" ref="AH424" ca="1">INDIRECT("'"&amp;$C424&amp;"'!"&amp;"$"&amp;$D424&amp;$AH$1&amp;"")</f>
        <v>3.8</v>
      </c>
      <c r="AI424" s="289">
        <v>14.08</v>
      </c>
      <c r="AJ424" s="289">
        <v>0.98</v>
      </c>
      <c r="AK424" s="287">
        <v>0.70199999999999996</v>
      </c>
      <c r="AL424" s="286">
        <v>11.9</v>
      </c>
      <c r="AM424" s="290">
        <v>70.900000000000006</v>
      </c>
      <c r="AN424" s="286" cm="1">
        <f t="array" aca="1" ref="AN424" ca="1">INDIRECT("'"&amp;$C424&amp;"'!"&amp;"$"&amp;$D424&amp;$AL$1&amp;"")</f>
        <v>3.1</v>
      </c>
      <c r="AO424" s="289">
        <v>0.99</v>
      </c>
      <c r="AP424" s="287">
        <v>0.47</v>
      </c>
      <c r="AQ424" s="288" cm="1">
        <f t="array" aca="1" ref="AQ424" ca="1">INDIRECT("'"&amp;$C424&amp;"'!"&amp;"$"&amp;$D424&amp;$AQ$1&amp;"")</f>
        <v>3.1</v>
      </c>
      <c r="AR424" s="289">
        <v>0.99</v>
      </c>
      <c r="AS424" s="287">
        <v>0.47</v>
      </c>
      <c r="AT424" s="289" cm="1">
        <f t="array" aca="1" ref="AT424" ca="1">INDIRECT("'"&amp;$C424&amp;"'!"&amp;"$"&amp;$D424&amp;$AT$1&amp;"")</f>
        <v>0</v>
      </c>
      <c r="AU424" s="288" t="s">
        <v>1</v>
      </c>
      <c r="AV424" s="289" t="s">
        <v>1</v>
      </c>
      <c r="AW424" s="287" t="s">
        <v>1</v>
      </c>
      <c r="AX424" s="291">
        <v>14.23</v>
      </c>
      <c r="AY424" s="290">
        <v>71.98</v>
      </c>
      <c r="AZ424" s="291" cm="1">
        <f t="array" aca="1" ref="AZ424" ca="1">INDIRECT("'"&amp;$C424&amp;"'!"&amp;"$"&amp;$D424&amp;$AZ$1&amp;"")</f>
        <v>14.22</v>
      </c>
      <c r="BA424" s="289">
        <v>0.99</v>
      </c>
      <c r="BB424" s="287">
        <v>2.5</v>
      </c>
      <c r="BC424" s="292">
        <v>69.099999999999994</v>
      </c>
      <c r="BD424" s="286" cm="1">
        <f t="array" aca="1" ref="BD424" ca="1">INDIRECT("'"&amp;$C424&amp;"'!"&amp;"$"&amp;$D424&amp;$BC$1&amp;"")</f>
        <v>0</v>
      </c>
      <c r="BE424" s="288" t="s">
        <v>1</v>
      </c>
      <c r="BF424" s="287" t="s">
        <v>1</v>
      </c>
      <c r="BG424" s="291" cm="1">
        <f t="array" aca="1" ref="BG424" ca="1">INDIRECT("'"&amp;$C424&amp;"'!"&amp;"$"&amp;$D424&amp;$BG$1&amp;"")</f>
        <v>1.51</v>
      </c>
      <c r="BH424" s="289"/>
      <c r="BI424" s="289">
        <v>0.99</v>
      </c>
      <c r="BJ424" s="287">
        <v>0.24</v>
      </c>
      <c r="BK424" s="292" cm="1">
        <f t="array" aca="1" ref="BK424" ca="1">INDIRECT("'"&amp;$C424&amp;"'!"&amp;"$"&amp;$D424&amp;$BK$1&amp;"")</f>
        <v>0.94</v>
      </c>
      <c r="BL424" s="289"/>
      <c r="BM424" s="289">
        <v>0.97</v>
      </c>
      <c r="BN424" s="287">
        <v>0.25</v>
      </c>
    </row>
    <row r="425" spans="1:66">
      <c r="A425" s="361">
        <v>45764</v>
      </c>
      <c r="B425" s="358">
        <v>0.83333333333333337</v>
      </c>
      <c r="C425" s="313">
        <f t="shared" si="15"/>
        <v>17</v>
      </c>
      <c r="D425" s="314" t="s">
        <v>147</v>
      </c>
      <c r="E425" s="293">
        <v>14.1</v>
      </c>
      <c r="F425" s="294">
        <v>69.94</v>
      </c>
      <c r="G425" s="295" cm="1">
        <f t="array" aca="1" ref="G425" ca="1">INDIRECT("'"&amp;$C425&amp;"'!"&amp;"$"&amp;$D425&amp;$E$1&amp;"")</f>
        <v>6.4</v>
      </c>
      <c r="H425" s="296">
        <v>0.97</v>
      </c>
      <c r="I425" s="294">
        <v>1</v>
      </c>
      <c r="J425" s="295" cm="1">
        <f t="array" aca="1" ref="J425" ca="1">INDIRECT("'"&amp;$C425&amp;"'!"&amp;"$"&amp;$D425&amp;$J$1&amp;"")</f>
        <v>6.4</v>
      </c>
      <c r="K425" s="296"/>
      <c r="L425" s="296">
        <v>0.97</v>
      </c>
      <c r="M425" s="294">
        <v>1</v>
      </c>
      <c r="N425" s="295" cm="1">
        <f t="array" aca="1" ref="N425" ca="1">INDIRECT("'"&amp;$C425&amp;"'!"&amp;"$"&amp;$D425&amp;$N$1&amp;"")</f>
        <v>6.4</v>
      </c>
      <c r="O425" s="296"/>
      <c r="P425" s="296">
        <v>0.97</v>
      </c>
      <c r="Q425" s="294">
        <v>1</v>
      </c>
      <c r="R425" s="295" cm="1">
        <f t="array" aca="1" ref="R425" ca="1">INDIRECT("'"&amp;$C425&amp;"'!"&amp;"$"&amp;$D425&amp;$R$1&amp;"")</f>
        <v>0</v>
      </c>
      <c r="S425" s="296"/>
      <c r="T425" s="296" t="s">
        <v>1</v>
      </c>
      <c r="U425" s="294" t="s">
        <v>1</v>
      </c>
      <c r="V425" s="295" cm="1">
        <f t="array" aca="1" ref="V425" ca="1">INDIRECT("'"&amp;$C425&amp;"'!"&amp;"$"&amp;$D425&amp;$V$1&amp;"")</f>
        <v>0</v>
      </c>
      <c r="W425" s="296" t="s">
        <v>1</v>
      </c>
      <c r="X425" s="296" t="s">
        <v>1</v>
      </c>
      <c r="Y425" s="297" t="s">
        <v>1</v>
      </c>
      <c r="Z425" s="293" cm="1">
        <f t="array" aca="1" ref="Z425" ca="1">INDIRECT("'"&amp;$C425&amp;"'!"&amp;"$"&amp;$D425&amp;$Z$1&amp;"")</f>
        <v>0</v>
      </c>
      <c r="AA425" s="296" t="s">
        <v>1</v>
      </c>
      <c r="AB425" s="296" t="s">
        <v>1</v>
      </c>
      <c r="AC425" s="294" t="s">
        <v>1</v>
      </c>
      <c r="AD425" s="295" cm="1">
        <f t="array" aca="1" ref="AD425" ca="1">INDIRECT("'"&amp;$C425&amp;"'!"&amp;"$"&amp;$D425&amp;$AD$1&amp;"")</f>
        <v>3</v>
      </c>
      <c r="AE425" s="296">
        <f>3.8*3.6</f>
        <v>13.68</v>
      </c>
      <c r="AF425" s="296">
        <v>0.95</v>
      </c>
      <c r="AG425" s="297">
        <v>1.01</v>
      </c>
      <c r="AH425" s="293" cm="1">
        <f t="array" aca="1" ref="AH425" ca="1">INDIRECT("'"&amp;$C425&amp;"'!"&amp;"$"&amp;$D425&amp;$AH$1&amp;"")</f>
        <v>3</v>
      </c>
      <c r="AI425" s="296">
        <v>14.08</v>
      </c>
      <c r="AJ425" s="296">
        <v>0.98</v>
      </c>
      <c r="AK425" s="294">
        <v>0.68500000000000005</v>
      </c>
      <c r="AL425" s="293">
        <v>11.9</v>
      </c>
      <c r="AM425" s="297">
        <v>70.900000000000006</v>
      </c>
      <c r="AN425" s="293" cm="1">
        <f t="array" aca="1" ref="AN425" ca="1">INDIRECT("'"&amp;$C425&amp;"'!"&amp;"$"&amp;$D425&amp;$AL$1&amp;"")</f>
        <v>2.9</v>
      </c>
      <c r="AO425" s="296">
        <v>0.99</v>
      </c>
      <c r="AP425" s="294">
        <v>0.46</v>
      </c>
      <c r="AQ425" s="295" cm="1">
        <f t="array" aca="1" ref="AQ425" ca="1">INDIRECT("'"&amp;$C425&amp;"'!"&amp;"$"&amp;$D425&amp;$AQ$1&amp;"")</f>
        <v>2.9</v>
      </c>
      <c r="AR425" s="296">
        <v>0.99</v>
      </c>
      <c r="AS425" s="294">
        <v>0.46</v>
      </c>
      <c r="AT425" s="296" cm="1">
        <f t="array" aca="1" ref="AT425" ca="1">INDIRECT("'"&amp;$C425&amp;"'!"&amp;"$"&amp;$D425&amp;$AT$1&amp;"")</f>
        <v>0</v>
      </c>
      <c r="AU425" s="295" t="s">
        <v>1</v>
      </c>
      <c r="AV425" s="296" t="s">
        <v>1</v>
      </c>
      <c r="AW425" s="294" t="s">
        <v>1</v>
      </c>
      <c r="AX425" s="298">
        <v>14.23</v>
      </c>
      <c r="AY425" s="297">
        <v>71.900000000000006</v>
      </c>
      <c r="AZ425" s="298" cm="1">
        <f t="array" aca="1" ref="AZ425" ca="1">INDIRECT("'"&amp;$C425&amp;"'!"&amp;"$"&amp;$D425&amp;$AZ$1&amp;"")</f>
        <v>14.25</v>
      </c>
      <c r="BA425" s="296">
        <v>0.99</v>
      </c>
      <c r="BB425" s="294">
        <v>2.5</v>
      </c>
      <c r="BC425" s="299">
        <v>69</v>
      </c>
      <c r="BD425" s="293" cm="1">
        <f t="array" aca="1" ref="BD425" ca="1">INDIRECT("'"&amp;$C425&amp;"'!"&amp;"$"&amp;$D425&amp;$BC$1&amp;"")</f>
        <v>0</v>
      </c>
      <c r="BE425" s="295" t="s">
        <v>1</v>
      </c>
      <c r="BF425" s="294" t="s">
        <v>1</v>
      </c>
      <c r="BG425" s="298" cm="1">
        <f t="array" aca="1" ref="BG425" ca="1">INDIRECT("'"&amp;$C425&amp;"'!"&amp;"$"&amp;$D425&amp;$BG$1&amp;"")</f>
        <v>1.53</v>
      </c>
      <c r="BH425" s="296"/>
      <c r="BI425" s="296">
        <v>0.99</v>
      </c>
      <c r="BJ425" s="294">
        <v>0.24</v>
      </c>
      <c r="BK425" s="299" cm="1">
        <f t="array" aca="1" ref="BK425" ca="1">INDIRECT("'"&amp;$C425&amp;"'!"&amp;"$"&amp;$D425&amp;$BK$1&amp;"")</f>
        <v>0.94</v>
      </c>
      <c r="BL425" s="296"/>
      <c r="BM425" s="296">
        <v>0.97</v>
      </c>
      <c r="BN425" s="294">
        <v>0.24</v>
      </c>
    </row>
    <row r="426" spans="1:66">
      <c r="A426" s="361">
        <v>45764</v>
      </c>
      <c r="B426" s="358">
        <v>0.875000000000001</v>
      </c>
      <c r="C426" s="313">
        <f t="shared" si="15"/>
        <v>17</v>
      </c>
      <c r="D426" s="314" t="s">
        <v>148</v>
      </c>
      <c r="E426" s="286">
        <v>14</v>
      </c>
      <c r="F426" s="287">
        <v>69.739999999999995</v>
      </c>
      <c r="G426" s="288" cm="1">
        <f t="array" aca="1" ref="G426" ca="1">INDIRECT("'"&amp;$C426&amp;"'!"&amp;"$"&amp;$D426&amp;$E$1&amp;"")</f>
        <v>6</v>
      </c>
      <c r="H426" s="289">
        <v>0.98</v>
      </c>
      <c r="I426" s="287">
        <v>1.22</v>
      </c>
      <c r="J426" s="288" cm="1">
        <f t="array" aca="1" ref="J426" ca="1">INDIRECT("'"&amp;$C426&amp;"'!"&amp;"$"&amp;$D426&amp;$J$1&amp;"")</f>
        <v>6</v>
      </c>
      <c r="K426" s="289"/>
      <c r="L426" s="289">
        <v>0.98</v>
      </c>
      <c r="M426" s="287">
        <v>1.22</v>
      </c>
      <c r="N426" s="288" cm="1">
        <f t="array" aca="1" ref="N426" ca="1">INDIRECT("'"&amp;$C426&amp;"'!"&amp;"$"&amp;$D426&amp;$N$1&amp;"")</f>
        <v>6</v>
      </c>
      <c r="O426" s="289"/>
      <c r="P426" s="289">
        <v>0.98</v>
      </c>
      <c r="Q426" s="287">
        <v>1.22</v>
      </c>
      <c r="R426" s="288" cm="1">
        <f t="array" aca="1" ref="R426" ca="1">INDIRECT("'"&amp;$C426&amp;"'!"&amp;"$"&amp;$D426&amp;$R$1&amp;"")</f>
        <v>0</v>
      </c>
      <c r="S426" s="289"/>
      <c r="T426" s="289" t="s">
        <v>1</v>
      </c>
      <c r="U426" s="287" t="s">
        <v>1</v>
      </c>
      <c r="V426" s="288" cm="1">
        <f t="array" aca="1" ref="V426" ca="1">INDIRECT("'"&amp;$C426&amp;"'!"&amp;"$"&amp;$D426&amp;$V$1&amp;"")</f>
        <v>0</v>
      </c>
      <c r="W426" s="289" t="s">
        <v>1</v>
      </c>
      <c r="X426" s="289" t="s">
        <v>1</v>
      </c>
      <c r="Y426" s="290" t="s">
        <v>1</v>
      </c>
      <c r="Z426" s="286" cm="1">
        <f t="array" aca="1" ref="Z426" ca="1">INDIRECT("'"&amp;$C426&amp;"'!"&amp;"$"&amp;$D426&amp;$Z$1&amp;"")</f>
        <v>0</v>
      </c>
      <c r="AA426" s="289" t="s">
        <v>1</v>
      </c>
      <c r="AB426" s="289" t="s">
        <v>1</v>
      </c>
      <c r="AC426" s="287" t="s">
        <v>1</v>
      </c>
      <c r="AD426" s="288" cm="1">
        <f t="array" aca="1" ref="AD426" ca="1">INDIRECT("'"&amp;$C426&amp;"'!"&amp;"$"&amp;$D426&amp;$AD$1&amp;"")</f>
        <v>3</v>
      </c>
      <c r="AE426" s="289">
        <f>3.8*3.58</f>
        <v>13.603999999999999</v>
      </c>
      <c r="AF426" s="289">
        <v>0.96</v>
      </c>
      <c r="AG426" s="290">
        <v>0.83</v>
      </c>
      <c r="AH426" s="286" cm="1">
        <f t="array" aca="1" ref="AH426" ca="1">INDIRECT("'"&amp;$C426&amp;"'!"&amp;"$"&amp;$D426&amp;$AH$1&amp;"")</f>
        <v>3</v>
      </c>
      <c r="AI426" s="289">
        <v>14.08</v>
      </c>
      <c r="AJ426" s="289">
        <v>0.98</v>
      </c>
      <c r="AK426" s="287">
        <v>0.66600000000000004</v>
      </c>
      <c r="AL426" s="286">
        <v>11.9</v>
      </c>
      <c r="AM426" s="290">
        <v>70.8</v>
      </c>
      <c r="AN426" s="286" cm="1">
        <f t="array" aca="1" ref="AN426" ca="1">INDIRECT("'"&amp;$C426&amp;"'!"&amp;"$"&amp;$D426&amp;$AL$1&amp;"")</f>
        <v>3</v>
      </c>
      <c r="AO426" s="289">
        <v>0.98</v>
      </c>
      <c r="AP426" s="287">
        <v>0.56000000000000005</v>
      </c>
      <c r="AQ426" s="288" cm="1">
        <f t="array" aca="1" ref="AQ426" ca="1">INDIRECT("'"&amp;$C426&amp;"'!"&amp;"$"&amp;$D426&amp;$AQ$1&amp;"")</f>
        <v>3</v>
      </c>
      <c r="AR426" s="289">
        <v>0.98</v>
      </c>
      <c r="AS426" s="287">
        <v>0.56000000000000005</v>
      </c>
      <c r="AT426" s="289" cm="1">
        <f t="array" aca="1" ref="AT426" ca="1">INDIRECT("'"&amp;$C426&amp;"'!"&amp;"$"&amp;$D426&amp;$AT$1&amp;"")</f>
        <v>0</v>
      </c>
      <c r="AU426" s="288" t="s">
        <v>1</v>
      </c>
      <c r="AV426" s="289" t="s">
        <v>1</v>
      </c>
      <c r="AW426" s="287" t="s">
        <v>1</v>
      </c>
      <c r="AX426" s="291">
        <v>14.23</v>
      </c>
      <c r="AY426" s="290">
        <v>72.040000000000006</v>
      </c>
      <c r="AZ426" s="291" cm="1">
        <f t="array" aca="1" ref="AZ426" ca="1">INDIRECT("'"&amp;$C426&amp;"'!"&amp;"$"&amp;$D426&amp;$AZ$1&amp;"")</f>
        <v>14.27</v>
      </c>
      <c r="BA426" s="289">
        <v>0.99</v>
      </c>
      <c r="BB426" s="287">
        <v>2.6</v>
      </c>
      <c r="BC426" s="292">
        <v>68.900000000000006</v>
      </c>
      <c r="BD426" s="286" cm="1">
        <f t="array" aca="1" ref="BD426" ca="1">INDIRECT("'"&amp;$C426&amp;"'!"&amp;"$"&amp;$D426&amp;$BC$1&amp;"")</f>
        <v>0</v>
      </c>
      <c r="BE426" s="288" t="s">
        <v>1</v>
      </c>
      <c r="BF426" s="287" t="s">
        <v>1</v>
      </c>
      <c r="BG426" s="291" cm="1">
        <f t="array" aca="1" ref="BG426" ca="1">INDIRECT("'"&amp;$C426&amp;"'!"&amp;"$"&amp;$D426&amp;$BG$1&amp;"")</f>
        <v>1.43</v>
      </c>
      <c r="BH426" s="289"/>
      <c r="BI426" s="289">
        <v>0.99</v>
      </c>
      <c r="BJ426" s="287">
        <v>0.23</v>
      </c>
      <c r="BK426" s="292" cm="1">
        <f t="array" aca="1" ref="BK426" ca="1">INDIRECT("'"&amp;$C426&amp;"'!"&amp;"$"&amp;$D426&amp;$BK$1&amp;"")</f>
        <v>0.93</v>
      </c>
      <c r="BL426" s="289"/>
      <c r="BM426" s="289">
        <v>0.97</v>
      </c>
      <c r="BN426" s="287">
        <v>0.24</v>
      </c>
    </row>
    <row r="427" spans="1:66">
      <c r="A427" s="361">
        <v>45764</v>
      </c>
      <c r="B427" s="358">
        <v>0.91666666666666696</v>
      </c>
      <c r="C427" s="313">
        <f t="shared" si="15"/>
        <v>17</v>
      </c>
      <c r="D427" s="314" t="s">
        <v>149</v>
      </c>
      <c r="E427" s="293">
        <v>14</v>
      </c>
      <c r="F427" s="294">
        <v>69.239999999999995</v>
      </c>
      <c r="G427" s="295" cm="1">
        <f t="array" aca="1" ref="G427" ca="1">INDIRECT("'"&amp;$C427&amp;"'!"&amp;"$"&amp;$D427&amp;$E$1&amp;"")</f>
        <v>6.5</v>
      </c>
      <c r="H427" s="296">
        <v>0.96</v>
      </c>
      <c r="I427" s="294">
        <v>1.8</v>
      </c>
      <c r="J427" s="295" cm="1">
        <f t="array" aca="1" ref="J427" ca="1">INDIRECT("'"&amp;$C427&amp;"'!"&amp;"$"&amp;$D427&amp;$J$1&amp;"")</f>
        <v>6.5</v>
      </c>
      <c r="K427" s="296"/>
      <c r="L427" s="296">
        <v>0.96</v>
      </c>
      <c r="M427" s="294">
        <v>1.8</v>
      </c>
      <c r="N427" s="295" cm="1">
        <f t="array" aca="1" ref="N427" ca="1">INDIRECT("'"&amp;$C427&amp;"'!"&amp;"$"&amp;$D427&amp;$N$1&amp;"")</f>
        <v>6.5</v>
      </c>
      <c r="O427" s="296"/>
      <c r="P427" s="296">
        <v>0.96</v>
      </c>
      <c r="Q427" s="294">
        <v>1.8</v>
      </c>
      <c r="R427" s="295" cm="1">
        <f t="array" aca="1" ref="R427" ca="1">INDIRECT("'"&amp;$C427&amp;"'!"&amp;"$"&amp;$D427&amp;$R$1&amp;"")</f>
        <v>0</v>
      </c>
      <c r="S427" s="296"/>
      <c r="T427" s="296" t="s">
        <v>1</v>
      </c>
      <c r="U427" s="294" t="s">
        <v>1</v>
      </c>
      <c r="V427" s="295" cm="1">
        <f t="array" aca="1" ref="V427" ca="1">INDIRECT("'"&amp;$C427&amp;"'!"&amp;"$"&amp;$D427&amp;$V$1&amp;"")</f>
        <v>0</v>
      </c>
      <c r="W427" s="296" t="s">
        <v>1</v>
      </c>
      <c r="X427" s="296" t="s">
        <v>1</v>
      </c>
      <c r="Y427" s="297" t="s">
        <v>1</v>
      </c>
      <c r="Z427" s="293" cm="1">
        <f t="array" aca="1" ref="Z427" ca="1">INDIRECT("'"&amp;$C427&amp;"'!"&amp;"$"&amp;$D427&amp;$Z$1&amp;"")</f>
        <v>0</v>
      </c>
      <c r="AA427" s="296" t="s">
        <v>1</v>
      </c>
      <c r="AB427" s="296" t="s">
        <v>1</v>
      </c>
      <c r="AC427" s="294" t="s">
        <v>1</v>
      </c>
      <c r="AD427" s="295" cm="1">
        <f t="array" aca="1" ref="AD427" ca="1">INDIRECT("'"&amp;$C427&amp;"'!"&amp;"$"&amp;$D427&amp;$AD$1&amp;"")</f>
        <v>3.6</v>
      </c>
      <c r="AE427" s="296">
        <f>3.8*3.53</f>
        <v>13.413999999999998</v>
      </c>
      <c r="AF427" s="296">
        <v>0.97</v>
      </c>
      <c r="AG427" s="297">
        <v>0.89</v>
      </c>
      <c r="AH427" s="293" cm="1">
        <f t="array" aca="1" ref="AH427" ca="1">INDIRECT("'"&amp;$C427&amp;"'!"&amp;"$"&amp;$D427&amp;$AH$1&amp;"")</f>
        <v>3</v>
      </c>
      <c r="AI427" s="296">
        <v>14.04</v>
      </c>
      <c r="AJ427" s="296">
        <v>0.96</v>
      </c>
      <c r="AK427" s="294">
        <v>0.91</v>
      </c>
      <c r="AL427" s="293">
        <v>11.9</v>
      </c>
      <c r="AM427" s="297">
        <v>70.400000000000006</v>
      </c>
      <c r="AN427" s="293" cm="1">
        <f t="array" aca="1" ref="AN427" ca="1">INDIRECT("'"&amp;$C427&amp;"'!"&amp;"$"&amp;$D427&amp;$AL$1&amp;"")</f>
        <v>3.7</v>
      </c>
      <c r="AO427" s="296">
        <v>0.98</v>
      </c>
      <c r="AP427" s="294">
        <v>0.81</v>
      </c>
      <c r="AQ427" s="295" cm="1">
        <f t="array" aca="1" ref="AQ427" ca="1">INDIRECT("'"&amp;$C427&amp;"'!"&amp;"$"&amp;$D427&amp;$AQ$1&amp;"")</f>
        <v>3.7</v>
      </c>
      <c r="AR427" s="296">
        <v>0.98</v>
      </c>
      <c r="AS427" s="294">
        <v>0.81</v>
      </c>
      <c r="AT427" s="296" cm="1">
        <f t="array" aca="1" ref="AT427" ca="1">INDIRECT("'"&amp;$C427&amp;"'!"&amp;"$"&amp;$D427&amp;$AT$1&amp;"")</f>
        <v>0</v>
      </c>
      <c r="AU427" s="295" t="s">
        <v>1</v>
      </c>
      <c r="AV427" s="296" t="s">
        <v>1</v>
      </c>
      <c r="AW427" s="294" t="s">
        <v>1</v>
      </c>
      <c r="AX427" s="298">
        <v>14.08</v>
      </c>
      <c r="AY427" s="297">
        <v>71.61</v>
      </c>
      <c r="AZ427" s="298" cm="1">
        <f t="array" aca="1" ref="AZ427" ca="1">INDIRECT("'"&amp;$C427&amp;"'!"&amp;"$"&amp;$D427&amp;$AZ$1&amp;"")</f>
        <v>14.28</v>
      </c>
      <c r="BA427" s="296">
        <v>1</v>
      </c>
      <c r="BB427" s="294">
        <v>1.4</v>
      </c>
      <c r="BC427" s="299">
        <v>68.3</v>
      </c>
      <c r="BD427" s="293" cm="1">
        <f t="array" aca="1" ref="BD427" ca="1">INDIRECT("'"&amp;$C427&amp;"'!"&amp;"$"&amp;$D427&amp;$BC$1&amp;"")</f>
        <v>0</v>
      </c>
      <c r="BE427" s="295" t="s">
        <v>1</v>
      </c>
      <c r="BF427" s="294" t="s">
        <v>1</v>
      </c>
      <c r="BG427" s="298" cm="1">
        <f t="array" aca="1" ref="BG427" ca="1">INDIRECT("'"&amp;$C427&amp;"'!"&amp;"$"&amp;$D427&amp;$BG$1&amp;"")</f>
        <v>1.3</v>
      </c>
      <c r="BH427" s="296"/>
      <c r="BI427" s="296">
        <v>0.99</v>
      </c>
      <c r="BJ427" s="294">
        <v>0.21</v>
      </c>
      <c r="BK427" s="299" cm="1">
        <f t="array" aca="1" ref="BK427" ca="1">INDIRECT("'"&amp;$C427&amp;"'!"&amp;"$"&amp;$D427&amp;$BK$1&amp;"")</f>
        <v>0.89</v>
      </c>
      <c r="BL427" s="296"/>
      <c r="BM427" s="296">
        <v>0.97</v>
      </c>
      <c r="BN427" s="294">
        <v>0.23</v>
      </c>
    </row>
    <row r="428" spans="1:66" ht="14.45" thickBot="1">
      <c r="A428" s="362">
        <v>45764</v>
      </c>
      <c r="B428" s="359">
        <v>0.95833333333333404</v>
      </c>
      <c r="C428" s="315">
        <f t="shared" si="15"/>
        <v>17</v>
      </c>
      <c r="D428" s="316" t="s">
        <v>150</v>
      </c>
      <c r="E428" s="301">
        <v>14</v>
      </c>
      <c r="F428" s="302">
        <v>69.48</v>
      </c>
      <c r="G428" s="303" cm="1">
        <f t="array" aca="1" ref="G428" ca="1">INDIRECT("'"&amp;$C428&amp;"'!"&amp;"$"&amp;$D428&amp;$E$1&amp;"")</f>
        <v>6.7</v>
      </c>
      <c r="H428" s="304">
        <v>0.97</v>
      </c>
      <c r="I428" s="302">
        <v>1.66</v>
      </c>
      <c r="J428" s="303" cm="1">
        <f t="array" aca="1" ref="J428" ca="1">INDIRECT("'"&amp;$C428&amp;"'!"&amp;"$"&amp;$D428&amp;$J$1&amp;"")</f>
        <v>6.7</v>
      </c>
      <c r="K428" s="304"/>
      <c r="L428" s="304">
        <v>0.97</v>
      </c>
      <c r="M428" s="302">
        <v>1.66</v>
      </c>
      <c r="N428" s="303" cm="1">
        <f t="array" aca="1" ref="N428" ca="1">INDIRECT("'"&amp;$C428&amp;"'!"&amp;"$"&amp;$D428&amp;$N$1&amp;"")</f>
        <v>6.7</v>
      </c>
      <c r="O428" s="304"/>
      <c r="P428" s="304">
        <v>0.97</v>
      </c>
      <c r="Q428" s="302">
        <v>1.66</v>
      </c>
      <c r="R428" s="303" cm="1">
        <f t="array" aca="1" ref="R428" ca="1">INDIRECT("'"&amp;$C428&amp;"'!"&amp;"$"&amp;$D428&amp;$R$1&amp;"")</f>
        <v>0</v>
      </c>
      <c r="S428" s="304"/>
      <c r="T428" s="304" t="s">
        <v>1</v>
      </c>
      <c r="U428" s="302" t="s">
        <v>1</v>
      </c>
      <c r="V428" s="303" cm="1">
        <f t="array" aca="1" ref="V428" ca="1">INDIRECT("'"&amp;$C428&amp;"'!"&amp;"$"&amp;$D428&amp;$V$1&amp;"")</f>
        <v>0</v>
      </c>
      <c r="W428" s="304" t="s">
        <v>1</v>
      </c>
      <c r="X428" s="304" t="s">
        <v>1</v>
      </c>
      <c r="Y428" s="305" t="s">
        <v>1</v>
      </c>
      <c r="Z428" s="301" cm="1">
        <f t="array" aca="1" ref="Z428" ca="1">INDIRECT("'"&amp;$C428&amp;"'!"&amp;"$"&amp;$D428&amp;$Z$1&amp;"")</f>
        <v>0</v>
      </c>
      <c r="AA428" s="304" t="s">
        <v>1</v>
      </c>
      <c r="AB428" s="304" t="s">
        <v>1</v>
      </c>
      <c r="AC428" s="302" t="s">
        <v>1</v>
      </c>
      <c r="AD428" s="303" cm="1">
        <f t="array" aca="1" ref="AD428" ca="1">INDIRECT("'"&amp;$C428&amp;"'!"&amp;"$"&amp;$D428&amp;$AD$1&amp;"")</f>
        <v>3.8</v>
      </c>
      <c r="AE428" s="304">
        <f>3.8*3.57</f>
        <v>13.565999999999999</v>
      </c>
      <c r="AF428" s="304">
        <v>0.98</v>
      </c>
      <c r="AG428" s="305">
        <v>0.71</v>
      </c>
      <c r="AH428" s="301" cm="1">
        <f t="array" aca="1" ref="AH428" ca="1">INDIRECT("'"&amp;$C428&amp;"'!"&amp;"$"&amp;$D428&amp;$AH$1&amp;"")</f>
        <v>3</v>
      </c>
      <c r="AI428" s="304">
        <v>14.04</v>
      </c>
      <c r="AJ428" s="304">
        <v>0.97</v>
      </c>
      <c r="AK428" s="302">
        <v>0.90100000000000002</v>
      </c>
      <c r="AL428" s="301">
        <v>11.9</v>
      </c>
      <c r="AM428" s="305">
        <v>70.400000000000006</v>
      </c>
      <c r="AN428" s="301" cm="1">
        <f t="array" aca="1" ref="AN428" ca="1">INDIRECT("'"&amp;$C428&amp;"'!"&amp;"$"&amp;$D428&amp;$AL$1&amp;"")</f>
        <v>3</v>
      </c>
      <c r="AO428" s="304">
        <v>0.98</v>
      </c>
      <c r="AP428" s="302">
        <v>0.74</v>
      </c>
      <c r="AQ428" s="303" cm="1">
        <f t="array" aca="1" ref="AQ428" ca="1">INDIRECT("'"&amp;$C428&amp;"'!"&amp;"$"&amp;$D428&amp;$AQ$1&amp;"")</f>
        <v>3</v>
      </c>
      <c r="AR428" s="304">
        <v>0.98</v>
      </c>
      <c r="AS428" s="302">
        <v>0.74</v>
      </c>
      <c r="AT428" s="304" cm="1">
        <f t="array" aca="1" ref="AT428" ca="1">INDIRECT("'"&amp;$C428&amp;"'!"&amp;"$"&amp;$D428&amp;$AT$1&amp;"")</f>
        <v>0</v>
      </c>
      <c r="AU428" s="303" t="s">
        <v>1</v>
      </c>
      <c r="AV428" s="304" t="s">
        <v>1</v>
      </c>
      <c r="AW428" s="302" t="s">
        <v>1</v>
      </c>
      <c r="AX428" s="306">
        <v>14.04</v>
      </c>
      <c r="AY428" s="305">
        <v>71.599999999999994</v>
      </c>
      <c r="AZ428" s="306" cm="1">
        <f t="array" aca="1" ref="AZ428" ca="1">INDIRECT("'"&amp;$C428&amp;"'!"&amp;"$"&amp;$D428&amp;$AZ$1&amp;"")</f>
        <v>13.31</v>
      </c>
      <c r="BA428" s="304">
        <v>1</v>
      </c>
      <c r="BB428" s="302">
        <v>1.3</v>
      </c>
      <c r="BC428" s="307">
        <v>68.400000000000006</v>
      </c>
      <c r="BD428" s="301" cm="1">
        <f t="array" aca="1" ref="BD428" ca="1">INDIRECT("'"&amp;$C428&amp;"'!"&amp;"$"&amp;$D428&amp;$BC$1&amp;"")</f>
        <v>0</v>
      </c>
      <c r="BE428" s="303" t="s">
        <v>1</v>
      </c>
      <c r="BF428" s="302" t="s">
        <v>1</v>
      </c>
      <c r="BG428" s="306" cm="1">
        <f t="array" aca="1" ref="BG428" ca="1">INDIRECT("'"&amp;$C428&amp;"'!"&amp;"$"&amp;$D428&amp;$BG$1&amp;"")</f>
        <v>1.1200000000000001</v>
      </c>
      <c r="BH428" s="304"/>
      <c r="BI428" s="304">
        <v>0.99</v>
      </c>
      <c r="BJ428" s="302">
        <v>0.16</v>
      </c>
      <c r="BK428" s="307" cm="1">
        <f t="array" aca="1" ref="BK428" ca="1">INDIRECT("'"&amp;$C428&amp;"'!"&amp;"$"&amp;$D428&amp;$BK$1&amp;"")</f>
        <v>0.86</v>
      </c>
      <c r="BL428" s="304"/>
      <c r="BM428" s="304">
        <v>0.97</v>
      </c>
      <c r="BN428" s="302">
        <v>0.22</v>
      </c>
    </row>
    <row r="429" spans="1:66" ht="14.45" thickBot="1"/>
    <row r="430" spans="1:66">
      <c r="A430" s="360">
        <v>45765</v>
      </c>
      <c r="B430" s="357">
        <v>0</v>
      </c>
      <c r="C430" s="310">
        <f>C405+1</f>
        <v>18</v>
      </c>
      <c r="D430" s="311" t="s">
        <v>127</v>
      </c>
      <c r="E430" s="280">
        <v>14</v>
      </c>
      <c r="F430" s="281">
        <v>69.72</v>
      </c>
      <c r="G430" s="282" cm="1">
        <f t="array" aca="1" ref="G430" ca="1">INDIRECT("'"&amp;$C430&amp;"'!"&amp;"$"&amp;$D430&amp;$E$1&amp;"")</f>
        <v>6.6</v>
      </c>
      <c r="H430" s="283">
        <v>0.98</v>
      </c>
      <c r="I430" s="281">
        <v>1.38</v>
      </c>
      <c r="J430" s="282" cm="1">
        <f t="array" aca="1" ref="J430" ca="1">INDIRECT("'"&amp;$C430&amp;"'!"&amp;"$"&amp;$D430&amp;$J$1&amp;"")</f>
        <v>6.6</v>
      </c>
      <c r="K430" s="283"/>
      <c r="L430" s="283">
        <v>0.98</v>
      </c>
      <c r="M430" s="281">
        <v>1.38</v>
      </c>
      <c r="N430" s="282" cm="1">
        <f t="array" aca="1" ref="N430" ca="1">INDIRECT("'"&amp;$C430&amp;"'!"&amp;"$"&amp;$D430&amp;$N$1&amp;"")</f>
        <v>6.6</v>
      </c>
      <c r="O430" s="283"/>
      <c r="P430" s="283">
        <v>0.98</v>
      </c>
      <c r="Q430" s="281">
        <v>1.38</v>
      </c>
      <c r="R430" s="282" cm="1">
        <f t="array" aca="1" ref="R430" ca="1">INDIRECT("'"&amp;$C430&amp;"'!"&amp;"$"&amp;$D430&amp;$R$1&amp;"")</f>
        <v>0</v>
      </c>
      <c r="S430" s="283"/>
      <c r="T430" s="283" t="s">
        <v>1</v>
      </c>
      <c r="U430" s="281" t="s">
        <v>1</v>
      </c>
      <c r="V430" s="282" cm="1">
        <f t="array" aca="1" ref="V430" ca="1">INDIRECT("'"&amp;$C430&amp;"'!"&amp;"$"&amp;$D430&amp;$V$1&amp;"")</f>
        <v>0</v>
      </c>
      <c r="W430" s="283" t="s">
        <v>1</v>
      </c>
      <c r="X430" s="283" t="s">
        <v>1</v>
      </c>
      <c r="Y430" s="284" t="s">
        <v>1</v>
      </c>
      <c r="Z430" s="280" cm="1">
        <f t="array" aca="1" ref="Z430" ca="1">INDIRECT("'"&amp;$C430&amp;"'!"&amp;"$"&amp;$D430&amp;$Z$1&amp;"")</f>
        <v>0</v>
      </c>
      <c r="AA430" s="283" t="s">
        <v>1</v>
      </c>
      <c r="AB430" s="283" t="s">
        <v>1</v>
      </c>
      <c r="AC430" s="281" t="s">
        <v>1</v>
      </c>
      <c r="AD430" s="282" cm="1">
        <f t="array" aca="1" ref="AD430" ca="1">INDIRECT("'"&amp;$C430&amp;"'!"&amp;"$"&amp;$D430&amp;$AD$1&amp;"")</f>
        <v>3</v>
      </c>
      <c r="AE430" s="283">
        <f>3.8*3.59</f>
        <v>13.641999999999999</v>
      </c>
      <c r="AF430" s="283">
        <v>0.98</v>
      </c>
      <c r="AG430" s="281">
        <v>0.52</v>
      </c>
      <c r="AH430" s="280" cm="1">
        <f t="array" aca="1" ref="AH430" ca="1">INDIRECT("'"&amp;$C430&amp;"'!"&amp;"$"&amp;$D430&amp;$AH$1&amp;"")</f>
        <v>0</v>
      </c>
      <c r="AI430" s="283" t="s">
        <v>1</v>
      </c>
      <c r="AJ430" s="283" t="s">
        <v>1</v>
      </c>
      <c r="AK430" s="281" t="s">
        <v>1</v>
      </c>
      <c r="AL430" s="280">
        <v>11.8</v>
      </c>
      <c r="AM430" s="284">
        <v>70.3</v>
      </c>
      <c r="AN430" s="280" cm="1">
        <f t="array" aca="1" ref="AN430" ca="1">INDIRECT("'"&amp;$C430&amp;"'!"&amp;"$"&amp;$D430&amp;$AL$1&amp;"")</f>
        <v>3</v>
      </c>
      <c r="AO430" s="283">
        <v>0.95</v>
      </c>
      <c r="AP430" s="281">
        <v>0.82</v>
      </c>
      <c r="AQ430" s="282" cm="1">
        <f t="array" aca="1" ref="AQ430" ca="1">INDIRECT("'"&amp;$C430&amp;"'!"&amp;"$"&amp;$D430&amp;$AQ$1&amp;"")</f>
        <v>3</v>
      </c>
      <c r="AR430" s="283">
        <v>0.95</v>
      </c>
      <c r="AS430" s="281">
        <v>0.82</v>
      </c>
      <c r="AT430" s="283" cm="1">
        <f t="array" aca="1" ref="AT430" ca="1">INDIRECT("'"&amp;$C430&amp;"'!"&amp;"$"&amp;$D430&amp;$AT$1&amp;"")</f>
        <v>0</v>
      </c>
      <c r="AU430" s="282" t="s">
        <v>1</v>
      </c>
      <c r="AV430" s="283" t="s">
        <v>1</v>
      </c>
      <c r="AW430" s="281" t="s">
        <v>1</v>
      </c>
      <c r="AX430" s="285">
        <v>13.97</v>
      </c>
      <c r="AY430" s="284">
        <v>71.069999999999993</v>
      </c>
      <c r="AZ430" s="285" cm="1">
        <f t="array" aca="1" ref="AZ430" ca="1">INDIRECT("'"&amp;$C430&amp;"'!"&amp;"$"&amp;$D430&amp;$AZ$1&amp;"")</f>
        <v>14.29</v>
      </c>
      <c r="BA430" s="283">
        <v>1</v>
      </c>
      <c r="BB430" s="281">
        <v>1.4</v>
      </c>
      <c r="BC430" s="281">
        <v>68.7</v>
      </c>
      <c r="BD430" s="280" cm="1">
        <f t="array" aca="1" ref="BD430" ca="1">INDIRECT("'"&amp;$C430&amp;"'!"&amp;"$"&amp;$D430&amp;$BC$1&amp;"")</f>
        <v>0</v>
      </c>
      <c r="BE430" s="282" t="s">
        <v>1</v>
      </c>
      <c r="BF430" s="281" t="s">
        <v>1</v>
      </c>
      <c r="BG430" s="285" cm="1">
        <f t="array" aca="1" ref="BG430" ca="1">INDIRECT("'"&amp;$C430&amp;"'!"&amp;"$"&amp;$D430&amp;$BG$1&amp;"")</f>
        <v>1.1100000000000001</v>
      </c>
      <c r="BH430" s="283"/>
      <c r="BI430" s="283">
        <v>0.99</v>
      </c>
      <c r="BJ430" s="281">
        <v>0.15</v>
      </c>
      <c r="BK430" s="285" cm="1">
        <f t="array" aca="1" ref="BK430" ca="1">INDIRECT("'"&amp;$C430&amp;"'!"&amp;"$"&amp;$D430&amp;$BK$1&amp;"")</f>
        <v>0.81</v>
      </c>
      <c r="BL430" s="283"/>
      <c r="BM430" s="283">
        <v>0.97</v>
      </c>
      <c r="BN430" s="281">
        <v>0.21</v>
      </c>
    </row>
    <row r="431" spans="1:66">
      <c r="A431" s="361">
        <v>45765</v>
      </c>
      <c r="B431" s="358">
        <v>4.1666666666666699E-2</v>
      </c>
      <c r="C431" s="313">
        <f t="shared" ref="C431:C453" si="16">C406+1</f>
        <v>18</v>
      </c>
      <c r="D431" s="314" t="s">
        <v>128</v>
      </c>
      <c r="E431" s="286">
        <v>14</v>
      </c>
      <c r="F431" s="287">
        <v>69.540000000000006</v>
      </c>
      <c r="G431" s="288" cm="1">
        <f t="array" aca="1" ref="G431" ca="1">INDIRECT("'"&amp;$C431&amp;"'!"&amp;"$"&amp;$D431&amp;$E$1&amp;"")</f>
        <v>6.6</v>
      </c>
      <c r="H431" s="289">
        <v>0.97</v>
      </c>
      <c r="I431" s="287">
        <v>1.55</v>
      </c>
      <c r="J431" s="288" cm="1">
        <f t="array" aca="1" ref="J431" ca="1">INDIRECT("'"&amp;$C431&amp;"'!"&amp;"$"&amp;$D431&amp;$J$1&amp;"")</f>
        <v>6.6</v>
      </c>
      <c r="K431" s="289"/>
      <c r="L431" s="289">
        <v>0.97</v>
      </c>
      <c r="M431" s="287">
        <v>1.55</v>
      </c>
      <c r="N431" s="288" cm="1">
        <f t="array" aca="1" ref="N431" ca="1">INDIRECT("'"&amp;$C431&amp;"'!"&amp;"$"&amp;$D431&amp;$N$1&amp;"")</f>
        <v>6.6</v>
      </c>
      <c r="O431" s="289"/>
      <c r="P431" s="289">
        <v>0.97</v>
      </c>
      <c r="Q431" s="287">
        <v>1.55</v>
      </c>
      <c r="R431" s="288" cm="1">
        <f t="array" aca="1" ref="R431" ca="1">INDIRECT("'"&amp;$C431&amp;"'!"&amp;"$"&amp;$D431&amp;$R$1&amp;"")</f>
        <v>0</v>
      </c>
      <c r="S431" s="289"/>
      <c r="T431" s="289" t="s">
        <v>1</v>
      </c>
      <c r="U431" s="287" t="s">
        <v>1</v>
      </c>
      <c r="V431" s="288" cm="1">
        <f t="array" aca="1" ref="V431" ca="1">INDIRECT("'"&amp;$C431&amp;"'!"&amp;"$"&amp;$D431&amp;$V$1&amp;"")</f>
        <v>0</v>
      </c>
      <c r="W431" s="289" t="s">
        <v>1</v>
      </c>
      <c r="X431" s="289" t="s">
        <v>1</v>
      </c>
      <c r="Y431" s="290" t="s">
        <v>1</v>
      </c>
      <c r="Z431" s="286" cm="1">
        <f t="array" aca="1" ref="Z431" ca="1">INDIRECT("'"&amp;$C431&amp;"'!"&amp;"$"&amp;$D431&amp;$Z$1&amp;"")</f>
        <v>0</v>
      </c>
      <c r="AA431" s="289" t="s">
        <v>1</v>
      </c>
      <c r="AB431" s="289" t="s">
        <v>1</v>
      </c>
      <c r="AC431" s="287" t="s">
        <v>1</v>
      </c>
      <c r="AD431" s="288" cm="1">
        <f t="array" aca="1" ref="AD431" ca="1">INDIRECT("'"&amp;$C431&amp;"'!"&amp;"$"&amp;$D431&amp;$AD$1&amp;"")</f>
        <v>0</v>
      </c>
      <c r="AE431" s="289" t="s">
        <v>1</v>
      </c>
      <c r="AF431" s="289" t="s">
        <v>1</v>
      </c>
      <c r="AG431" s="290" t="s">
        <v>1</v>
      </c>
      <c r="AH431" s="286" cm="1">
        <f t="array" aca="1" ref="AH431" ca="1">INDIRECT("'"&amp;$C431&amp;"'!"&amp;"$"&amp;$D431&amp;$AH$1&amp;"")</f>
        <v>0</v>
      </c>
      <c r="AI431" s="289" t="s">
        <v>1</v>
      </c>
      <c r="AJ431" s="289" t="s">
        <v>1</v>
      </c>
      <c r="AK431" s="287" t="s">
        <v>1</v>
      </c>
      <c r="AL431" s="286">
        <v>11.8</v>
      </c>
      <c r="AM431" s="290">
        <v>70.3</v>
      </c>
      <c r="AN431" s="286" cm="1">
        <f t="array" aca="1" ref="AN431" ca="1">INDIRECT("'"&amp;$C431&amp;"'!"&amp;"$"&amp;$D431&amp;$AL$1&amp;"")</f>
        <v>3</v>
      </c>
      <c r="AO431" s="289">
        <v>0.94</v>
      </c>
      <c r="AP431" s="287">
        <v>0.95</v>
      </c>
      <c r="AQ431" s="288" cm="1">
        <f t="array" aca="1" ref="AQ431" ca="1">INDIRECT("'"&amp;$C431&amp;"'!"&amp;"$"&amp;$D431&amp;$AQ$1&amp;"")</f>
        <v>3</v>
      </c>
      <c r="AR431" s="289">
        <v>0.94</v>
      </c>
      <c r="AS431" s="287">
        <v>0.95</v>
      </c>
      <c r="AT431" s="289" cm="1">
        <f t="array" aca="1" ref="AT431" ca="1">INDIRECT("'"&amp;$C431&amp;"'!"&amp;"$"&amp;$D431&amp;$AT$1&amp;"")</f>
        <v>0</v>
      </c>
      <c r="AU431" s="288" t="s">
        <v>1</v>
      </c>
      <c r="AV431" s="289" t="s">
        <v>1</v>
      </c>
      <c r="AW431" s="287" t="s">
        <v>1</v>
      </c>
      <c r="AX431" s="291">
        <v>13.97</v>
      </c>
      <c r="AY431" s="290">
        <v>71.150000000000006</v>
      </c>
      <c r="AZ431" s="291" cm="1">
        <f t="array" aca="1" ref="AZ431" ca="1">INDIRECT("'"&amp;$C431&amp;"'!"&amp;"$"&amp;$D431&amp;$AZ$1&amp;"")</f>
        <v>14.32</v>
      </c>
      <c r="BA431" s="289">
        <v>1</v>
      </c>
      <c r="BB431" s="287">
        <v>1.4</v>
      </c>
      <c r="BC431" s="292">
        <v>68.5</v>
      </c>
      <c r="BD431" s="286" cm="1">
        <f t="array" aca="1" ref="BD431" ca="1">INDIRECT("'"&amp;$C431&amp;"'!"&amp;"$"&amp;$D431&amp;$BC$1&amp;"")</f>
        <v>0</v>
      </c>
      <c r="BE431" s="288" t="s">
        <v>1</v>
      </c>
      <c r="BF431" s="287" t="s">
        <v>1</v>
      </c>
      <c r="BG431" s="291" cm="1">
        <f t="array" aca="1" ref="BG431" ca="1">INDIRECT("'"&amp;$C431&amp;"'!"&amp;"$"&amp;$D431&amp;$BG$1&amp;"")</f>
        <v>1.04</v>
      </c>
      <c r="BH431" s="289"/>
      <c r="BI431" s="289">
        <v>0.99</v>
      </c>
      <c r="BJ431" s="287">
        <v>0.15</v>
      </c>
      <c r="BK431" s="291" cm="1">
        <f t="array" aca="1" ref="BK431" ca="1">INDIRECT("'"&amp;$C431&amp;"'!"&amp;"$"&amp;$D431&amp;$BK$1&amp;"")</f>
        <v>0.68</v>
      </c>
      <c r="BL431" s="289"/>
      <c r="BM431" s="289">
        <v>0.96</v>
      </c>
      <c r="BN431" s="287">
        <v>0.21</v>
      </c>
    </row>
    <row r="432" spans="1:66">
      <c r="A432" s="361">
        <v>45765</v>
      </c>
      <c r="B432" s="358">
        <v>8.3333333333333301E-2</v>
      </c>
      <c r="C432" s="313">
        <f t="shared" si="16"/>
        <v>18</v>
      </c>
      <c r="D432" s="314" t="s">
        <v>129</v>
      </c>
      <c r="E432" s="293">
        <v>14</v>
      </c>
      <c r="F432" s="294">
        <v>69.819999999999993</v>
      </c>
      <c r="G432" s="295" cm="1">
        <f t="array" aca="1" ref="G432" ca="1">INDIRECT("'"&amp;$C432&amp;"'!"&amp;"$"&amp;$D432&amp;$E$1&amp;"")</f>
        <v>6.6</v>
      </c>
      <c r="H432" s="296">
        <v>0.97</v>
      </c>
      <c r="I432" s="294">
        <v>1.6</v>
      </c>
      <c r="J432" s="295" cm="1">
        <f t="array" aca="1" ref="J432" ca="1">INDIRECT("'"&amp;$C432&amp;"'!"&amp;"$"&amp;$D432&amp;$J$1&amp;"")</f>
        <v>6.6</v>
      </c>
      <c r="K432" s="296"/>
      <c r="L432" s="296">
        <v>0.97</v>
      </c>
      <c r="M432" s="294">
        <v>1.6</v>
      </c>
      <c r="N432" s="295" cm="1">
        <f t="array" aca="1" ref="N432" ca="1">INDIRECT("'"&amp;$C432&amp;"'!"&amp;"$"&amp;$D432&amp;$N$1&amp;"")</f>
        <v>0</v>
      </c>
      <c r="O432" s="296"/>
      <c r="P432" s="296" t="s">
        <v>1</v>
      </c>
      <c r="Q432" s="294" t="s">
        <v>1</v>
      </c>
      <c r="R432" s="295" cm="1">
        <f t="array" aca="1" ref="R432" ca="1">INDIRECT("'"&amp;$C432&amp;"'!"&amp;"$"&amp;$D432&amp;$R$1&amp;"")</f>
        <v>0</v>
      </c>
      <c r="S432" s="296"/>
      <c r="T432" s="296" t="s">
        <v>1</v>
      </c>
      <c r="U432" s="294" t="s">
        <v>1</v>
      </c>
      <c r="V432" s="295" cm="1">
        <f t="array" aca="1" ref="V432" ca="1">INDIRECT("'"&amp;$C432&amp;"'!"&amp;"$"&amp;$D432&amp;$V$1&amp;"")</f>
        <v>0</v>
      </c>
      <c r="W432" s="296" t="s">
        <v>1</v>
      </c>
      <c r="X432" s="296" t="s">
        <v>1</v>
      </c>
      <c r="Y432" s="297" t="s">
        <v>1</v>
      </c>
      <c r="Z432" s="293" cm="1">
        <f t="array" aca="1" ref="Z432" ca="1">INDIRECT("'"&amp;$C432&amp;"'!"&amp;"$"&amp;$D432&amp;$Z$1&amp;"")</f>
        <v>0</v>
      </c>
      <c r="AA432" s="296" t="s">
        <v>1</v>
      </c>
      <c r="AB432" s="296" t="s">
        <v>1</v>
      </c>
      <c r="AC432" s="294" t="s">
        <v>1</v>
      </c>
      <c r="AD432" s="295" cm="1">
        <f t="array" aca="1" ref="AD432" ca="1">INDIRECT("'"&amp;$C432&amp;"'!"&amp;"$"&amp;$D432&amp;$AD$1&amp;"")</f>
        <v>0</v>
      </c>
      <c r="AE432" s="296" t="s">
        <v>1</v>
      </c>
      <c r="AF432" s="296" t="s">
        <v>1</v>
      </c>
      <c r="AG432" s="297" t="s">
        <v>1</v>
      </c>
      <c r="AH432" s="293" cm="1">
        <f t="array" aca="1" ref="AH432" ca="1">INDIRECT("'"&amp;$C432&amp;"'!"&amp;"$"&amp;$D432&amp;$AH$1&amp;"")</f>
        <v>0</v>
      </c>
      <c r="AI432" s="296" t="s">
        <v>1</v>
      </c>
      <c r="AJ432" s="296" t="s">
        <v>1</v>
      </c>
      <c r="AK432" s="297" t="s">
        <v>1</v>
      </c>
      <c r="AL432" s="293">
        <v>11.9</v>
      </c>
      <c r="AM432" s="297">
        <v>70.599999999999994</v>
      </c>
      <c r="AN432" s="293" cm="1">
        <f t="array" aca="1" ref="AN432" ca="1">INDIRECT("'"&amp;$C432&amp;"'!"&amp;"$"&amp;$D432&amp;$AL$1&amp;"")</f>
        <v>4</v>
      </c>
      <c r="AO432" s="296">
        <v>0.99</v>
      </c>
      <c r="AP432" s="294">
        <v>0.57999999999999996</v>
      </c>
      <c r="AQ432" s="295" cm="1">
        <f t="array" aca="1" ref="AQ432" ca="1">INDIRECT("'"&amp;$C432&amp;"'!"&amp;"$"&amp;$D432&amp;$AQ$1&amp;"")</f>
        <v>4</v>
      </c>
      <c r="AR432" s="296">
        <v>0.99</v>
      </c>
      <c r="AS432" s="294">
        <v>0.57999999999999996</v>
      </c>
      <c r="AT432" s="296" cm="1">
        <f t="array" aca="1" ref="AT432" ca="1">INDIRECT("'"&amp;$C432&amp;"'!"&amp;"$"&amp;$D432&amp;$AT$1&amp;"")</f>
        <v>0</v>
      </c>
      <c r="AU432" s="295" t="s">
        <v>1</v>
      </c>
      <c r="AV432" s="296" t="s">
        <v>1</v>
      </c>
      <c r="AW432" s="294" t="s">
        <v>1</v>
      </c>
      <c r="AX432" s="298">
        <v>14.06</v>
      </c>
      <c r="AY432" s="297">
        <v>71.67</v>
      </c>
      <c r="AZ432" s="298" cm="1">
        <f t="array" aca="1" ref="AZ432" ca="1">INDIRECT("'"&amp;$C432&amp;"'!"&amp;"$"&amp;$D432&amp;$AZ$1&amp;"")</f>
        <v>14.3</v>
      </c>
      <c r="BA432" s="296">
        <v>1</v>
      </c>
      <c r="BB432" s="294">
        <v>1.5</v>
      </c>
      <c r="BC432" s="299">
        <v>68.900000000000006</v>
      </c>
      <c r="BD432" s="293" cm="1">
        <f t="array" aca="1" ref="BD432" ca="1">INDIRECT("'"&amp;$C432&amp;"'!"&amp;"$"&amp;$D432&amp;$BC$1&amp;"")</f>
        <v>3.1</v>
      </c>
      <c r="BE432" s="295">
        <v>0.98</v>
      </c>
      <c r="BF432" s="294">
        <v>0.64</v>
      </c>
      <c r="BG432" s="298" cm="1">
        <f t="array" aca="1" ref="BG432" ca="1">INDIRECT("'"&amp;$C432&amp;"'!"&amp;"$"&amp;$D432&amp;$BG$1&amp;"")</f>
        <v>0.99</v>
      </c>
      <c r="BH432" s="296"/>
      <c r="BI432" s="296">
        <v>0.99</v>
      </c>
      <c r="BJ432" s="294">
        <v>0.14000000000000001</v>
      </c>
      <c r="BK432" s="298" cm="1">
        <f t="array" aca="1" ref="BK432" ca="1">INDIRECT("'"&amp;$C432&amp;"'!"&amp;"$"&amp;$D432&amp;$BK$1&amp;"")</f>
        <v>0.76</v>
      </c>
      <c r="BL432" s="296"/>
      <c r="BM432" s="296">
        <v>0.96</v>
      </c>
      <c r="BN432" s="294">
        <v>0.21</v>
      </c>
    </row>
    <row r="433" spans="1:66">
      <c r="A433" s="361">
        <v>45765</v>
      </c>
      <c r="B433" s="358">
        <v>0.125</v>
      </c>
      <c r="C433" s="313">
        <f t="shared" si="16"/>
        <v>18</v>
      </c>
      <c r="D433" s="314" t="s">
        <v>130</v>
      </c>
      <c r="E433" s="286">
        <v>14</v>
      </c>
      <c r="F433" s="287">
        <v>69.77</v>
      </c>
      <c r="G433" s="288" cm="1">
        <f t="array" aca="1" ref="G433" ca="1">INDIRECT("'"&amp;$C433&amp;"'!"&amp;"$"&amp;$D433&amp;$E$1&amp;"")</f>
        <v>6.5</v>
      </c>
      <c r="H433" s="289">
        <v>0.97</v>
      </c>
      <c r="I433" s="287">
        <v>1.7</v>
      </c>
      <c r="J433" s="288" cm="1">
        <f t="array" aca="1" ref="J433" ca="1">INDIRECT("'"&amp;$C433&amp;"'!"&amp;"$"&amp;$D433&amp;$J$1&amp;"")</f>
        <v>6.5</v>
      </c>
      <c r="K433" s="289"/>
      <c r="L433" s="289">
        <v>0.97</v>
      </c>
      <c r="M433" s="287">
        <v>1.7</v>
      </c>
      <c r="N433" s="288" cm="1">
        <f t="array" aca="1" ref="N433" ca="1">INDIRECT("'"&amp;$C433&amp;"'!"&amp;"$"&amp;$D433&amp;$N$1&amp;"")</f>
        <v>0</v>
      </c>
      <c r="O433" s="289"/>
      <c r="P433" s="289" t="s">
        <v>1</v>
      </c>
      <c r="Q433" s="287" t="s">
        <v>1</v>
      </c>
      <c r="R433" s="288" cm="1">
        <f t="array" aca="1" ref="R433" ca="1">INDIRECT("'"&amp;$C433&amp;"'!"&amp;"$"&amp;$D433&amp;$R$1&amp;"")</f>
        <v>0</v>
      </c>
      <c r="S433" s="289"/>
      <c r="T433" s="289" t="s">
        <v>1</v>
      </c>
      <c r="U433" s="287" t="s">
        <v>1</v>
      </c>
      <c r="V433" s="288" cm="1">
        <f t="array" aca="1" ref="V433" ca="1">INDIRECT("'"&amp;$C433&amp;"'!"&amp;"$"&amp;$D433&amp;$V$1&amp;"")</f>
        <v>0</v>
      </c>
      <c r="W433" s="289" t="s">
        <v>1</v>
      </c>
      <c r="X433" s="289" t="s">
        <v>1</v>
      </c>
      <c r="Y433" s="290" t="s">
        <v>1</v>
      </c>
      <c r="Z433" s="286" cm="1">
        <f t="array" aca="1" ref="Z433" ca="1">INDIRECT("'"&amp;$C433&amp;"'!"&amp;"$"&amp;$D433&amp;$Z$1&amp;"")</f>
        <v>0</v>
      </c>
      <c r="AA433" s="289" t="s">
        <v>1</v>
      </c>
      <c r="AB433" s="289" t="s">
        <v>1</v>
      </c>
      <c r="AC433" s="287" t="s">
        <v>1</v>
      </c>
      <c r="AD433" s="288" cm="1">
        <f t="array" aca="1" ref="AD433" ca="1">INDIRECT("'"&amp;$C433&amp;"'!"&amp;"$"&amp;$D433&amp;$AD$1&amp;"")</f>
        <v>0</v>
      </c>
      <c r="AE433" s="289" t="s">
        <v>1</v>
      </c>
      <c r="AF433" s="289" t="s">
        <v>1</v>
      </c>
      <c r="AG433" s="287" t="s">
        <v>1</v>
      </c>
      <c r="AH433" s="286" cm="1">
        <f t="array" aca="1" ref="AH433" ca="1">INDIRECT("'"&amp;$C433&amp;"'!"&amp;"$"&amp;$D433&amp;$AH$1&amp;"")</f>
        <v>0</v>
      </c>
      <c r="AI433" s="289" t="s">
        <v>1</v>
      </c>
      <c r="AJ433" s="289" t="s">
        <v>1</v>
      </c>
      <c r="AK433" s="287" t="s">
        <v>1</v>
      </c>
      <c r="AL433" s="286">
        <v>11.9</v>
      </c>
      <c r="AM433" s="290">
        <v>70.7</v>
      </c>
      <c r="AN433" s="286" cm="1">
        <f t="array" aca="1" ref="AN433" ca="1">INDIRECT("'"&amp;$C433&amp;"'!"&amp;"$"&amp;$D433&amp;$AL$1&amp;"")</f>
        <v>4</v>
      </c>
      <c r="AO433" s="289">
        <v>0.99</v>
      </c>
      <c r="AP433" s="287">
        <v>0.57999999999999996</v>
      </c>
      <c r="AQ433" s="288" cm="1">
        <f t="array" aca="1" ref="AQ433" ca="1">INDIRECT("'"&amp;$C433&amp;"'!"&amp;"$"&amp;$D433&amp;$AQ$1&amp;"")</f>
        <v>4</v>
      </c>
      <c r="AR433" s="289">
        <v>0.99</v>
      </c>
      <c r="AS433" s="287">
        <v>0.57999999999999996</v>
      </c>
      <c r="AT433" s="289" cm="1">
        <f t="array" aca="1" ref="AT433" ca="1">INDIRECT("'"&amp;$C433&amp;"'!"&amp;"$"&amp;$D433&amp;$AT$1&amp;"")</f>
        <v>0</v>
      </c>
      <c r="AU433" s="288" t="s">
        <v>1</v>
      </c>
      <c r="AV433" s="289" t="s">
        <v>1</v>
      </c>
      <c r="AW433" s="287" t="s">
        <v>1</v>
      </c>
      <c r="AX433" s="291">
        <v>14.07</v>
      </c>
      <c r="AY433" s="290">
        <v>71.72</v>
      </c>
      <c r="AZ433" s="291" cm="1">
        <f t="array" aca="1" ref="AZ433" ca="1">INDIRECT("'"&amp;$C433&amp;"'!"&amp;"$"&amp;$D433&amp;$AZ$1&amp;"")</f>
        <v>14.31</v>
      </c>
      <c r="BA433" s="289">
        <v>1</v>
      </c>
      <c r="BB433" s="287">
        <v>1.4</v>
      </c>
      <c r="BC433" s="292">
        <v>68.900000000000006</v>
      </c>
      <c r="BD433" s="286" cm="1">
        <f t="array" aca="1" ref="BD433" ca="1">INDIRECT("'"&amp;$C433&amp;"'!"&amp;"$"&amp;$D433&amp;$BC$1&amp;"")</f>
        <v>1.5</v>
      </c>
      <c r="BE433" s="288">
        <v>0.98</v>
      </c>
      <c r="BF433" s="287">
        <v>0.33</v>
      </c>
      <c r="BG433" s="291" cm="1">
        <f t="array" aca="1" ref="BG433" ca="1">INDIRECT("'"&amp;$C433&amp;"'!"&amp;"$"&amp;$D433&amp;$BG$1&amp;"")</f>
        <v>0.88</v>
      </c>
      <c r="BH433" s="289"/>
      <c r="BI433" s="289">
        <v>0.99</v>
      </c>
      <c r="BJ433" s="287">
        <v>0.12</v>
      </c>
      <c r="BK433" s="291" cm="1">
        <f t="array" aca="1" ref="BK433" ca="1">INDIRECT("'"&amp;$C433&amp;"'!"&amp;"$"&amp;$D433&amp;$BK$1&amp;"")</f>
        <v>0.73</v>
      </c>
      <c r="BL433" s="289"/>
      <c r="BM433" s="289">
        <v>0.96</v>
      </c>
      <c r="BN433" s="287">
        <v>0.19</v>
      </c>
    </row>
    <row r="434" spans="1:66">
      <c r="A434" s="361">
        <v>45765</v>
      </c>
      <c r="B434" s="358">
        <v>0.16666666666666699</v>
      </c>
      <c r="C434" s="313">
        <f t="shared" si="16"/>
        <v>18</v>
      </c>
      <c r="D434" s="314" t="s">
        <v>131</v>
      </c>
      <c r="E434" s="293">
        <v>14</v>
      </c>
      <c r="F434" s="294">
        <v>69.63</v>
      </c>
      <c r="G434" s="295" cm="1">
        <f t="array" aca="1" ref="G434" ca="1">INDIRECT("'"&amp;$C434&amp;"'!"&amp;"$"&amp;$D434&amp;$E$1&amp;"")</f>
        <v>6.7</v>
      </c>
      <c r="H434" s="296">
        <v>0.95</v>
      </c>
      <c r="I434" s="294">
        <v>2.2999999999999998</v>
      </c>
      <c r="J434" s="295" cm="1">
        <f t="array" aca="1" ref="J434" ca="1">INDIRECT("'"&amp;$C434&amp;"'!"&amp;"$"&amp;$D434&amp;$J$1&amp;"")</f>
        <v>6.7</v>
      </c>
      <c r="K434" s="296"/>
      <c r="L434" s="296">
        <v>0.95</v>
      </c>
      <c r="M434" s="294">
        <v>2.2999999999999998</v>
      </c>
      <c r="N434" s="295" cm="1">
        <f t="array" aca="1" ref="N434" ca="1">INDIRECT("'"&amp;$C434&amp;"'!"&amp;"$"&amp;$D434&amp;$N$1&amp;"")</f>
        <v>0</v>
      </c>
      <c r="O434" s="296"/>
      <c r="P434" s="296" t="s">
        <v>1</v>
      </c>
      <c r="Q434" s="294" t="s">
        <v>1</v>
      </c>
      <c r="R434" s="295" cm="1">
        <f t="array" aca="1" ref="R434" ca="1">INDIRECT("'"&amp;$C434&amp;"'!"&amp;"$"&amp;$D434&amp;$R$1&amp;"")</f>
        <v>0</v>
      </c>
      <c r="S434" s="296"/>
      <c r="T434" s="296" t="s">
        <v>1</v>
      </c>
      <c r="U434" s="294" t="s">
        <v>1</v>
      </c>
      <c r="V434" s="295" cm="1">
        <f t="array" aca="1" ref="V434" ca="1">INDIRECT("'"&amp;$C434&amp;"'!"&amp;"$"&amp;$D434&amp;$V$1&amp;"")</f>
        <v>0</v>
      </c>
      <c r="W434" s="296" t="s">
        <v>1</v>
      </c>
      <c r="X434" s="296" t="s">
        <v>1</v>
      </c>
      <c r="Y434" s="297" t="s">
        <v>1</v>
      </c>
      <c r="Z434" s="293" cm="1">
        <f t="array" aca="1" ref="Z434" ca="1">INDIRECT("'"&amp;$C434&amp;"'!"&amp;"$"&amp;$D434&amp;$Z$1&amp;"")</f>
        <v>0</v>
      </c>
      <c r="AA434" s="296" t="s">
        <v>1</v>
      </c>
      <c r="AB434" s="296" t="s">
        <v>1</v>
      </c>
      <c r="AC434" s="294" t="s">
        <v>1</v>
      </c>
      <c r="AD434" s="295" cm="1">
        <f t="array" aca="1" ref="AD434" ca="1">INDIRECT("'"&amp;$C434&amp;"'!"&amp;"$"&amp;$D434&amp;$AD$1&amp;"")</f>
        <v>0</v>
      </c>
      <c r="AE434" s="296" t="s">
        <v>1</v>
      </c>
      <c r="AF434" s="296" t="s">
        <v>1</v>
      </c>
      <c r="AG434" s="294" t="s">
        <v>1</v>
      </c>
      <c r="AH434" s="293" cm="1">
        <f t="array" aca="1" ref="AH434" ca="1">INDIRECT("'"&amp;$C434&amp;"'!"&amp;"$"&amp;$D434&amp;$AH$1&amp;"")</f>
        <v>0</v>
      </c>
      <c r="AI434" s="296" t="s">
        <v>1</v>
      </c>
      <c r="AJ434" s="296" t="s">
        <v>1</v>
      </c>
      <c r="AK434" s="294" t="s">
        <v>1</v>
      </c>
      <c r="AL434" s="293">
        <v>11.9</v>
      </c>
      <c r="AM434" s="297">
        <v>70.599999999999994</v>
      </c>
      <c r="AN434" s="293" cm="1">
        <f t="array" aca="1" ref="AN434" ca="1">INDIRECT("'"&amp;$C434&amp;"'!"&amp;"$"&amp;$D434&amp;$AL$1&amp;"")</f>
        <v>4</v>
      </c>
      <c r="AO434" s="296">
        <v>0.98</v>
      </c>
      <c r="AP434" s="294">
        <v>0.66</v>
      </c>
      <c r="AQ434" s="295" cm="1">
        <f t="array" aca="1" ref="AQ434" ca="1">INDIRECT("'"&amp;$C434&amp;"'!"&amp;"$"&amp;$D434&amp;$AQ$1&amp;"")</f>
        <v>4</v>
      </c>
      <c r="AR434" s="296">
        <v>0.98</v>
      </c>
      <c r="AS434" s="294">
        <v>0.66</v>
      </c>
      <c r="AT434" s="296" cm="1">
        <f t="array" aca="1" ref="AT434" ca="1">INDIRECT("'"&amp;$C434&amp;"'!"&amp;"$"&amp;$D434&amp;$AT$1&amp;"")</f>
        <v>0</v>
      </c>
      <c r="AU434" s="295" t="s">
        <v>1</v>
      </c>
      <c r="AV434" s="296" t="s">
        <v>1</v>
      </c>
      <c r="AW434" s="294" t="s">
        <v>1</v>
      </c>
      <c r="AX434" s="298">
        <v>14.07</v>
      </c>
      <c r="AY434" s="297">
        <v>71.66</v>
      </c>
      <c r="AZ434" s="298" cm="1">
        <f t="array" aca="1" ref="AZ434" ca="1">INDIRECT("'"&amp;$C434&amp;"'!"&amp;"$"&amp;$D434&amp;$AZ$1&amp;"")</f>
        <v>14.31</v>
      </c>
      <c r="BA434" s="296">
        <v>1</v>
      </c>
      <c r="BB434" s="294">
        <v>1.4</v>
      </c>
      <c r="BC434" s="299">
        <v>68.7</v>
      </c>
      <c r="BD434" s="293" cm="1">
        <f t="array" aca="1" ref="BD434" ca="1">INDIRECT("'"&amp;$C434&amp;"'!"&amp;"$"&amp;$D434&amp;$BC$1&amp;"")</f>
        <v>0.8</v>
      </c>
      <c r="BE434" s="295">
        <v>0.98</v>
      </c>
      <c r="BF434" s="294">
        <v>0.18</v>
      </c>
      <c r="BG434" s="298" cm="1">
        <f t="array" aca="1" ref="BG434" ca="1">INDIRECT("'"&amp;$C434&amp;"'!"&amp;"$"&amp;$D434&amp;$BG$1&amp;"")</f>
        <v>0.86</v>
      </c>
      <c r="BH434" s="296"/>
      <c r="BI434" s="296">
        <v>0.99</v>
      </c>
      <c r="BJ434" s="294">
        <v>0.11</v>
      </c>
      <c r="BK434" s="298" cm="1">
        <f t="array" aca="1" ref="BK434" ca="1">INDIRECT("'"&amp;$C434&amp;"'!"&amp;"$"&amp;$D434&amp;$BK$1&amp;"")</f>
        <v>0.72</v>
      </c>
      <c r="BL434" s="296"/>
      <c r="BM434" s="296">
        <v>0.96</v>
      </c>
      <c r="BN434" s="294">
        <v>0.19</v>
      </c>
    </row>
    <row r="435" spans="1:66">
      <c r="A435" s="361">
        <v>45765</v>
      </c>
      <c r="B435" s="358">
        <v>0.20833333333333301</v>
      </c>
      <c r="C435" s="313">
        <f t="shared" si="16"/>
        <v>18</v>
      </c>
      <c r="D435" s="314" t="s">
        <v>132</v>
      </c>
      <c r="E435" s="286">
        <v>14</v>
      </c>
      <c r="F435" s="287">
        <v>69.7</v>
      </c>
      <c r="G435" s="288" cm="1">
        <f t="array" aca="1" ref="G435" ca="1">INDIRECT("'"&amp;$C435&amp;"'!"&amp;"$"&amp;$D435&amp;$E$1&amp;"")</f>
        <v>6.5</v>
      </c>
      <c r="H435" s="289">
        <v>0.96</v>
      </c>
      <c r="I435" s="287">
        <v>1.4</v>
      </c>
      <c r="J435" s="288" cm="1">
        <f t="array" aca="1" ref="J435" ca="1">INDIRECT("'"&amp;$C435&amp;"'!"&amp;"$"&amp;$D435&amp;$J$1&amp;"")</f>
        <v>6.5</v>
      </c>
      <c r="K435" s="289"/>
      <c r="L435" s="289">
        <v>0.96</v>
      </c>
      <c r="M435" s="287">
        <v>1.4</v>
      </c>
      <c r="N435" s="288" cm="1">
        <f t="array" aca="1" ref="N435" ca="1">INDIRECT("'"&amp;$C435&amp;"'!"&amp;"$"&amp;$D435&amp;$N$1&amp;"")</f>
        <v>0</v>
      </c>
      <c r="O435" s="289"/>
      <c r="P435" s="289" t="s">
        <v>1</v>
      </c>
      <c r="Q435" s="287" t="s">
        <v>1</v>
      </c>
      <c r="R435" s="288" cm="1">
        <f t="array" aca="1" ref="R435" ca="1">INDIRECT("'"&amp;$C435&amp;"'!"&amp;"$"&amp;$D435&amp;$R$1&amp;"")</f>
        <v>0</v>
      </c>
      <c r="S435" s="289"/>
      <c r="T435" s="289" t="s">
        <v>1</v>
      </c>
      <c r="U435" s="287" t="s">
        <v>1</v>
      </c>
      <c r="V435" s="288" cm="1">
        <f t="array" aca="1" ref="V435" ca="1">INDIRECT("'"&amp;$C435&amp;"'!"&amp;"$"&amp;$D435&amp;$V$1&amp;"")</f>
        <v>0</v>
      </c>
      <c r="W435" s="289" t="s">
        <v>1</v>
      </c>
      <c r="X435" s="289" t="s">
        <v>1</v>
      </c>
      <c r="Y435" s="290" t="s">
        <v>1</v>
      </c>
      <c r="Z435" s="286" cm="1">
        <f t="array" aca="1" ref="Z435" ca="1">INDIRECT("'"&amp;$C435&amp;"'!"&amp;"$"&amp;$D435&amp;$Z$1&amp;"")</f>
        <v>0</v>
      </c>
      <c r="AA435" s="289" t="s">
        <v>1</v>
      </c>
      <c r="AB435" s="289" t="s">
        <v>1</v>
      </c>
      <c r="AC435" s="287" t="s">
        <v>1</v>
      </c>
      <c r="AD435" s="288" cm="1">
        <f t="array" aca="1" ref="AD435" ca="1">INDIRECT("'"&amp;$C435&amp;"'!"&amp;"$"&amp;$D435&amp;$AD$1&amp;"")</f>
        <v>0</v>
      </c>
      <c r="AE435" s="289" t="s">
        <v>1</v>
      </c>
      <c r="AF435" s="289" t="s">
        <v>1</v>
      </c>
      <c r="AG435" s="290" t="s">
        <v>1</v>
      </c>
      <c r="AH435" s="286" cm="1">
        <f t="array" aca="1" ref="AH435" ca="1">INDIRECT("'"&amp;$C435&amp;"'!"&amp;"$"&amp;$D435&amp;$AH$1&amp;"")</f>
        <v>0</v>
      </c>
      <c r="AI435" s="289" t="s">
        <v>1</v>
      </c>
      <c r="AJ435" s="289" t="s">
        <v>1</v>
      </c>
      <c r="AK435" s="290" t="s">
        <v>1</v>
      </c>
      <c r="AL435" s="286">
        <v>11.9</v>
      </c>
      <c r="AM435" s="290">
        <v>70.599999999999994</v>
      </c>
      <c r="AN435" s="286" cm="1">
        <f t="array" aca="1" ref="AN435" ca="1">INDIRECT("'"&amp;$C435&amp;"'!"&amp;"$"&amp;$D435&amp;$AL$1&amp;"")</f>
        <v>3.6</v>
      </c>
      <c r="AO435" s="289">
        <v>0.98</v>
      </c>
      <c r="AP435" s="287">
        <v>0.7</v>
      </c>
      <c r="AQ435" s="288" cm="1">
        <f t="array" aca="1" ref="AQ435" ca="1">INDIRECT("'"&amp;$C435&amp;"'!"&amp;"$"&amp;$D435&amp;$AQ$1&amp;"")</f>
        <v>3.6</v>
      </c>
      <c r="AR435" s="289">
        <v>0.98</v>
      </c>
      <c r="AS435" s="287">
        <v>0.7</v>
      </c>
      <c r="AT435" s="289" cm="1">
        <f t="array" aca="1" ref="AT435" ca="1">INDIRECT("'"&amp;$C435&amp;"'!"&amp;"$"&amp;$D435&amp;$AT$1&amp;"")</f>
        <v>0</v>
      </c>
      <c r="AU435" s="288" t="s">
        <v>1</v>
      </c>
      <c r="AV435" s="289" t="s">
        <v>1</v>
      </c>
      <c r="AW435" s="287" t="s">
        <v>1</v>
      </c>
      <c r="AX435" s="291">
        <v>14.09</v>
      </c>
      <c r="AY435" s="290">
        <v>71.8</v>
      </c>
      <c r="AZ435" s="291" cm="1">
        <f t="array" aca="1" ref="AZ435" ca="1">INDIRECT("'"&amp;$C435&amp;"'!"&amp;"$"&amp;$D435&amp;$AZ$1&amp;"")</f>
        <v>14.32</v>
      </c>
      <c r="BA435" s="289">
        <v>1</v>
      </c>
      <c r="BB435" s="287">
        <v>1.4</v>
      </c>
      <c r="BC435" s="292">
        <v>68.3</v>
      </c>
      <c r="BD435" s="286" cm="1">
        <f t="array" aca="1" ref="BD435" ca="1">INDIRECT("'"&amp;$C435&amp;"'!"&amp;"$"&amp;$D435&amp;$BC$1&amp;"")</f>
        <v>0.8</v>
      </c>
      <c r="BE435" s="288">
        <v>0.98</v>
      </c>
      <c r="BF435" s="287">
        <v>0.17</v>
      </c>
      <c r="BG435" s="291" cm="1">
        <f t="array" aca="1" ref="BG435" ca="1">INDIRECT("'"&amp;$C435&amp;"'!"&amp;"$"&amp;$D435&amp;$BG$1&amp;"")</f>
        <v>0.83</v>
      </c>
      <c r="BH435" s="289"/>
      <c r="BI435" s="289">
        <v>0.99</v>
      </c>
      <c r="BJ435" s="287">
        <v>0.11</v>
      </c>
      <c r="BK435" s="291" cm="1">
        <f t="array" aca="1" ref="BK435" ca="1">INDIRECT("'"&amp;$C435&amp;"'!"&amp;"$"&amp;$D435&amp;$BK$1&amp;"")</f>
        <v>0.71</v>
      </c>
      <c r="BL435" s="289"/>
      <c r="BM435" s="289">
        <v>0.96</v>
      </c>
      <c r="BN435" s="287">
        <v>0.19</v>
      </c>
    </row>
    <row r="436" spans="1:66">
      <c r="A436" s="361">
        <v>45765</v>
      </c>
      <c r="B436" s="358">
        <v>0.25</v>
      </c>
      <c r="C436" s="313">
        <f t="shared" si="16"/>
        <v>18</v>
      </c>
      <c r="D436" s="314" t="s">
        <v>133</v>
      </c>
      <c r="E436" s="293">
        <v>14</v>
      </c>
      <c r="F436" s="294">
        <v>69.63</v>
      </c>
      <c r="G436" s="295" cm="1">
        <f t="array" aca="1" ref="G436" ca="1">INDIRECT("'"&amp;$C436&amp;"'!"&amp;"$"&amp;$D436&amp;$E$1&amp;"")</f>
        <v>6.6</v>
      </c>
      <c r="H436" s="296">
        <v>0.96</v>
      </c>
      <c r="I436" s="294">
        <v>1.7</v>
      </c>
      <c r="J436" s="295" cm="1">
        <f t="array" aca="1" ref="J436" ca="1">INDIRECT("'"&amp;$C436&amp;"'!"&amp;"$"&amp;$D436&amp;$J$1&amp;"")</f>
        <v>6.6</v>
      </c>
      <c r="K436" s="296"/>
      <c r="L436" s="296">
        <v>0.96</v>
      </c>
      <c r="M436" s="294">
        <v>1.7</v>
      </c>
      <c r="N436" s="295" cm="1">
        <f t="array" aca="1" ref="N436" ca="1">INDIRECT("'"&amp;$C436&amp;"'!"&amp;"$"&amp;$D436&amp;$N$1&amp;"")</f>
        <v>0</v>
      </c>
      <c r="O436" s="296"/>
      <c r="P436" s="296" t="s">
        <v>1</v>
      </c>
      <c r="Q436" s="294" t="s">
        <v>1</v>
      </c>
      <c r="R436" s="295" cm="1">
        <f t="array" aca="1" ref="R436" ca="1">INDIRECT("'"&amp;$C436&amp;"'!"&amp;"$"&amp;$D436&amp;$R$1&amp;"")</f>
        <v>0</v>
      </c>
      <c r="S436" s="296"/>
      <c r="T436" s="296" t="s">
        <v>1</v>
      </c>
      <c r="U436" s="294" t="s">
        <v>1</v>
      </c>
      <c r="V436" s="295" cm="1">
        <f t="array" aca="1" ref="V436" ca="1">INDIRECT("'"&amp;$C436&amp;"'!"&amp;"$"&amp;$D436&amp;$V$1&amp;"")</f>
        <v>0</v>
      </c>
      <c r="W436" s="296" t="s">
        <v>1</v>
      </c>
      <c r="X436" s="296" t="s">
        <v>1</v>
      </c>
      <c r="Y436" s="297" t="s">
        <v>1</v>
      </c>
      <c r="Z436" s="293" cm="1">
        <f t="array" aca="1" ref="Z436" ca="1">INDIRECT("'"&amp;$C436&amp;"'!"&amp;"$"&amp;$D436&amp;$Z$1&amp;"")</f>
        <v>0</v>
      </c>
      <c r="AA436" s="296" t="s">
        <v>1</v>
      </c>
      <c r="AB436" s="296" t="s">
        <v>1</v>
      </c>
      <c r="AC436" s="294" t="s">
        <v>1</v>
      </c>
      <c r="AD436" s="295" cm="1">
        <f t="array" aca="1" ref="AD436" ca="1">INDIRECT("'"&amp;$C436&amp;"'!"&amp;"$"&amp;$D436&amp;$AD$1&amp;"")</f>
        <v>0</v>
      </c>
      <c r="AE436" s="296" t="s">
        <v>1</v>
      </c>
      <c r="AF436" s="296" t="s">
        <v>1</v>
      </c>
      <c r="AG436" s="297" t="s">
        <v>1</v>
      </c>
      <c r="AH436" s="293" cm="1">
        <f t="array" aca="1" ref="AH436" ca="1">INDIRECT("'"&amp;$C436&amp;"'!"&amp;"$"&amp;$D436&amp;$AH$1&amp;"")</f>
        <v>0</v>
      </c>
      <c r="AI436" s="296" t="s">
        <v>1</v>
      </c>
      <c r="AJ436" s="296" t="s">
        <v>1</v>
      </c>
      <c r="AK436" s="297" t="s">
        <v>1</v>
      </c>
      <c r="AL436" s="293">
        <v>11.9</v>
      </c>
      <c r="AM436" s="297">
        <v>70.7</v>
      </c>
      <c r="AN436" s="293" cm="1">
        <f t="array" aca="1" ref="AN436" ca="1">INDIRECT("'"&amp;$C436&amp;"'!"&amp;"$"&amp;$D436&amp;$AL$1&amp;"")</f>
        <v>4</v>
      </c>
      <c r="AO436" s="296">
        <v>0.98</v>
      </c>
      <c r="AP436" s="294">
        <v>0.65</v>
      </c>
      <c r="AQ436" s="295" cm="1">
        <f t="array" aca="1" ref="AQ436" ca="1">INDIRECT("'"&amp;$C436&amp;"'!"&amp;"$"&amp;$D436&amp;$AQ$1&amp;"")</f>
        <v>4</v>
      </c>
      <c r="AR436" s="296">
        <v>0.98</v>
      </c>
      <c r="AS436" s="294">
        <v>0.65</v>
      </c>
      <c r="AT436" s="296" cm="1">
        <f t="array" aca="1" ref="AT436" ca="1">INDIRECT("'"&amp;$C436&amp;"'!"&amp;"$"&amp;$D436&amp;$AT$1&amp;"")</f>
        <v>0</v>
      </c>
      <c r="AU436" s="295" t="s">
        <v>1</v>
      </c>
      <c r="AV436" s="296" t="s">
        <v>1</v>
      </c>
      <c r="AW436" s="294" t="s">
        <v>1</v>
      </c>
      <c r="AX436" s="298">
        <v>14.09</v>
      </c>
      <c r="AY436" s="297">
        <v>71.69</v>
      </c>
      <c r="AZ436" s="298" cm="1">
        <f t="array" aca="1" ref="AZ436" ca="1">INDIRECT("'"&amp;$C436&amp;"'!"&amp;"$"&amp;$D436&amp;$AZ$1&amp;"")</f>
        <v>14.29</v>
      </c>
      <c r="BA436" s="296">
        <v>1</v>
      </c>
      <c r="BB436" s="294">
        <v>1.4</v>
      </c>
      <c r="BC436" s="299">
        <v>68.7</v>
      </c>
      <c r="BD436" s="293" cm="1">
        <f t="array" aca="1" ref="BD436" ca="1">INDIRECT("'"&amp;$C436&amp;"'!"&amp;"$"&amp;$D436&amp;$BC$1&amp;"")</f>
        <v>0.8</v>
      </c>
      <c r="BE436" s="295">
        <v>0.98</v>
      </c>
      <c r="BF436" s="294">
        <v>0.17</v>
      </c>
      <c r="BG436" s="298" cm="1">
        <f t="array" aca="1" ref="BG436" ca="1">INDIRECT("'"&amp;$C436&amp;"'!"&amp;"$"&amp;$D436&amp;$BG$1&amp;"")</f>
        <v>0.89</v>
      </c>
      <c r="BH436" s="296"/>
      <c r="BI436" s="296">
        <v>0.99</v>
      </c>
      <c r="BJ436" s="294">
        <v>0.11</v>
      </c>
      <c r="BK436" s="298" cm="1">
        <f t="array" aca="1" ref="BK436" ca="1">INDIRECT("'"&amp;$C436&amp;"'!"&amp;"$"&amp;$D436&amp;$BK$1&amp;"")</f>
        <v>0.74</v>
      </c>
      <c r="BL436" s="296"/>
      <c r="BM436" s="296">
        <v>0.96</v>
      </c>
      <c r="BN436" s="294">
        <v>0.19</v>
      </c>
    </row>
    <row r="437" spans="1:66">
      <c r="A437" s="361">
        <v>45765</v>
      </c>
      <c r="B437" s="358">
        <v>0.29166666666666702</v>
      </c>
      <c r="C437" s="313">
        <f t="shared" si="16"/>
        <v>18</v>
      </c>
      <c r="D437" s="314" t="s">
        <v>134</v>
      </c>
      <c r="E437" s="286">
        <v>14</v>
      </c>
      <c r="F437" s="287">
        <v>69.400000000000006</v>
      </c>
      <c r="G437" s="288" cm="1">
        <f t="array" aca="1" ref="G437" ca="1">INDIRECT("'"&amp;$C437&amp;"'!"&amp;"$"&amp;$D437&amp;$E$1&amp;"")</f>
        <v>6.7</v>
      </c>
      <c r="H437" s="289">
        <v>0.94</v>
      </c>
      <c r="I437" s="287">
        <v>2.5499999999999998</v>
      </c>
      <c r="J437" s="288" cm="1">
        <f t="array" aca="1" ref="J437" ca="1">INDIRECT("'"&amp;$C437&amp;"'!"&amp;"$"&amp;$D437&amp;$J$1&amp;"")</f>
        <v>6.7</v>
      </c>
      <c r="K437" s="289"/>
      <c r="L437" s="289">
        <v>0.94</v>
      </c>
      <c r="M437" s="287">
        <v>2.5499999999999998</v>
      </c>
      <c r="N437" s="288" cm="1">
        <f t="array" aca="1" ref="N437" ca="1">INDIRECT("'"&amp;$C437&amp;"'!"&amp;"$"&amp;$D437&amp;$N$1&amp;"")</f>
        <v>0</v>
      </c>
      <c r="O437" s="289"/>
      <c r="P437" s="289" t="s">
        <v>1</v>
      </c>
      <c r="Q437" s="287" t="s">
        <v>1</v>
      </c>
      <c r="R437" s="288" cm="1">
        <f t="array" aca="1" ref="R437" ca="1">INDIRECT("'"&amp;$C437&amp;"'!"&amp;"$"&amp;$D437&amp;$R$1&amp;"")</f>
        <v>0</v>
      </c>
      <c r="S437" s="289"/>
      <c r="T437" s="289" t="s">
        <v>1</v>
      </c>
      <c r="U437" s="287" t="s">
        <v>1</v>
      </c>
      <c r="V437" s="288" cm="1">
        <f t="array" aca="1" ref="V437" ca="1">INDIRECT("'"&amp;$C437&amp;"'!"&amp;"$"&amp;$D437&amp;$V$1&amp;"")</f>
        <v>0</v>
      </c>
      <c r="W437" s="289" t="s">
        <v>1</v>
      </c>
      <c r="X437" s="289" t="s">
        <v>1</v>
      </c>
      <c r="Y437" s="290" t="s">
        <v>1</v>
      </c>
      <c r="Z437" s="286" cm="1">
        <f t="array" aca="1" ref="Z437" ca="1">INDIRECT("'"&amp;$C437&amp;"'!"&amp;"$"&amp;$D437&amp;$Z$1&amp;"")</f>
        <v>0</v>
      </c>
      <c r="AA437" s="289" t="s">
        <v>1</v>
      </c>
      <c r="AB437" s="289" t="s">
        <v>1</v>
      </c>
      <c r="AC437" s="287" t="s">
        <v>1</v>
      </c>
      <c r="AD437" s="288" cm="1">
        <f t="array" aca="1" ref="AD437" ca="1">INDIRECT("'"&amp;$C437&amp;"'!"&amp;"$"&amp;$D437&amp;$AD$1&amp;"")</f>
        <v>0</v>
      </c>
      <c r="AE437" s="289" t="s">
        <v>1</v>
      </c>
      <c r="AF437" s="289" t="s">
        <v>1</v>
      </c>
      <c r="AG437" s="290" t="s">
        <v>1</v>
      </c>
      <c r="AH437" s="286" cm="1">
        <f t="array" aca="1" ref="AH437" ca="1">INDIRECT("'"&amp;$C437&amp;"'!"&amp;"$"&amp;$D437&amp;$AH$1&amp;"")</f>
        <v>0</v>
      </c>
      <c r="AI437" s="289" t="s">
        <v>1</v>
      </c>
      <c r="AJ437" s="289" t="s">
        <v>1</v>
      </c>
      <c r="AK437" s="290" t="s">
        <v>1</v>
      </c>
      <c r="AL437" s="286">
        <v>11.9</v>
      </c>
      <c r="AM437" s="290">
        <v>70.5</v>
      </c>
      <c r="AN437" s="286" cm="1">
        <f t="array" aca="1" ref="AN437" ca="1">INDIRECT("'"&amp;$C437&amp;"'!"&amp;"$"&amp;$D437&amp;$AL$1&amp;"")</f>
        <v>4</v>
      </c>
      <c r="AO437" s="289">
        <v>0.98</v>
      </c>
      <c r="AP437" s="287">
        <v>0.73</v>
      </c>
      <c r="AQ437" s="288" cm="1">
        <f t="array" aca="1" ref="AQ437" ca="1">INDIRECT("'"&amp;$C437&amp;"'!"&amp;"$"&amp;$D437&amp;$AQ$1&amp;"")</f>
        <v>4</v>
      </c>
      <c r="AR437" s="289">
        <v>0.98</v>
      </c>
      <c r="AS437" s="287">
        <v>0.73</v>
      </c>
      <c r="AT437" s="289" cm="1">
        <f t="array" aca="1" ref="AT437" ca="1">INDIRECT("'"&amp;$C437&amp;"'!"&amp;"$"&amp;$D437&amp;$AT$1&amp;"")</f>
        <v>0</v>
      </c>
      <c r="AU437" s="288" t="s">
        <v>1</v>
      </c>
      <c r="AV437" s="289" t="s">
        <v>1</v>
      </c>
      <c r="AW437" s="287" t="s">
        <v>1</v>
      </c>
      <c r="AX437" s="291">
        <v>14.03</v>
      </c>
      <c r="AY437" s="290">
        <v>71.489999999999995</v>
      </c>
      <c r="AZ437" s="291" cm="1">
        <f t="array" aca="1" ref="AZ437" ca="1">INDIRECT("'"&amp;$C437&amp;"'!"&amp;"$"&amp;$D437&amp;$AZ$1&amp;"")</f>
        <v>14.3</v>
      </c>
      <c r="BA437" s="289">
        <v>1</v>
      </c>
      <c r="BB437" s="287">
        <v>1.4</v>
      </c>
      <c r="BC437" s="292">
        <v>68.400000000000006</v>
      </c>
      <c r="BD437" s="286" cm="1">
        <f t="array" aca="1" ref="BD437" ca="1">INDIRECT("'"&amp;$C437&amp;"'!"&amp;"$"&amp;$D437&amp;$BC$1&amp;"")</f>
        <v>0</v>
      </c>
      <c r="BE437" s="288" t="s">
        <v>1</v>
      </c>
      <c r="BF437" s="287" t="s">
        <v>1</v>
      </c>
      <c r="BG437" s="291" cm="1">
        <f t="array" aca="1" ref="BG437" ca="1">INDIRECT("'"&amp;$C437&amp;"'!"&amp;"$"&amp;$D437&amp;$BG$1&amp;"")</f>
        <v>0.94</v>
      </c>
      <c r="BH437" s="289"/>
      <c r="BI437" s="289">
        <v>0.99</v>
      </c>
      <c r="BJ437" s="287">
        <v>0.13</v>
      </c>
      <c r="BK437" s="292" cm="1">
        <f t="array" aca="1" ref="BK437" ca="1">INDIRECT("'"&amp;$C437&amp;"'!"&amp;"$"&amp;$D437&amp;$BK$1&amp;"")</f>
        <v>0.72</v>
      </c>
      <c r="BL437" s="289"/>
      <c r="BM437" s="289">
        <v>0.96</v>
      </c>
      <c r="BN437" s="287">
        <v>0.21</v>
      </c>
    </row>
    <row r="438" spans="1:66">
      <c r="A438" s="361">
        <v>45765</v>
      </c>
      <c r="B438" s="358">
        <v>0.33333333333333398</v>
      </c>
      <c r="C438" s="313">
        <f t="shared" si="16"/>
        <v>18</v>
      </c>
      <c r="D438" s="314" t="s">
        <v>135</v>
      </c>
      <c r="E438" s="293">
        <v>14.1</v>
      </c>
      <c r="F438" s="294">
        <v>69.36</v>
      </c>
      <c r="G438" s="295" cm="1">
        <f t="array" aca="1" ref="G438" ca="1">INDIRECT("'"&amp;$C438&amp;"'!"&amp;"$"&amp;$D438&amp;$E$1&amp;"")</f>
        <v>6.8</v>
      </c>
      <c r="H438" s="296">
        <v>0.96</v>
      </c>
      <c r="I438" s="294">
        <v>2.0499999999999998</v>
      </c>
      <c r="J438" s="295" cm="1">
        <f t="array" aca="1" ref="J438" ca="1">INDIRECT("'"&amp;$C438&amp;"'!"&amp;"$"&amp;$D438&amp;$J$1&amp;"")</f>
        <v>6.8</v>
      </c>
      <c r="K438" s="296"/>
      <c r="L438" s="296">
        <v>0.95</v>
      </c>
      <c r="M438" s="294">
        <v>2.15</v>
      </c>
      <c r="N438" s="295" cm="1">
        <f t="array" aca="1" ref="N438" ca="1">INDIRECT("'"&amp;$C438&amp;"'!"&amp;"$"&amp;$D438&amp;$N$1&amp;"")</f>
        <v>0</v>
      </c>
      <c r="O438" s="296"/>
      <c r="P438" s="296" t="s">
        <v>1</v>
      </c>
      <c r="Q438" s="294" t="s">
        <v>1</v>
      </c>
      <c r="R438" s="295" cm="1">
        <f t="array" aca="1" ref="R438" ca="1">INDIRECT("'"&amp;$C438&amp;"'!"&amp;"$"&amp;$D438&amp;$R$1&amp;"")</f>
        <v>0</v>
      </c>
      <c r="S438" s="296"/>
      <c r="T438" s="296" t="s">
        <v>1</v>
      </c>
      <c r="U438" s="294" t="s">
        <v>1</v>
      </c>
      <c r="V438" s="295" cm="1">
        <f t="array" aca="1" ref="V438" ca="1">INDIRECT("'"&amp;$C438&amp;"'!"&amp;"$"&amp;$D438&amp;$V$1&amp;"")</f>
        <v>0</v>
      </c>
      <c r="W438" s="296" t="s">
        <v>1</v>
      </c>
      <c r="X438" s="296" t="s">
        <v>1</v>
      </c>
      <c r="Y438" s="297" t="s">
        <v>1</v>
      </c>
      <c r="Z438" s="293" cm="1">
        <f t="array" aca="1" ref="Z438" ca="1">INDIRECT("'"&amp;$C438&amp;"'!"&amp;"$"&amp;$D438&amp;$Z$1&amp;"")</f>
        <v>0</v>
      </c>
      <c r="AA438" s="296" t="s">
        <v>1</v>
      </c>
      <c r="AB438" s="296" t="s">
        <v>1</v>
      </c>
      <c r="AC438" s="294" t="s">
        <v>1</v>
      </c>
      <c r="AD438" s="295" cm="1">
        <f t="array" aca="1" ref="AD438" ca="1">INDIRECT("'"&amp;$C438&amp;"'!"&amp;"$"&amp;$D438&amp;$AD$1&amp;"")</f>
        <v>0</v>
      </c>
      <c r="AE438" s="296" t="s">
        <v>1</v>
      </c>
      <c r="AF438" s="296" t="s">
        <v>1</v>
      </c>
      <c r="AG438" s="297" t="s">
        <v>1</v>
      </c>
      <c r="AH438" s="293" cm="1">
        <f t="array" aca="1" ref="AH438" ca="1">INDIRECT("'"&amp;$C438&amp;"'!"&amp;"$"&amp;$D438&amp;$AH$1&amp;"")</f>
        <v>0</v>
      </c>
      <c r="AI438" s="296" t="s">
        <v>1</v>
      </c>
      <c r="AJ438" s="296" t="s">
        <v>1</v>
      </c>
      <c r="AK438" s="297" t="s">
        <v>1</v>
      </c>
      <c r="AL438" s="293">
        <v>11.8</v>
      </c>
      <c r="AM438" s="297">
        <v>70.400000000000006</v>
      </c>
      <c r="AN438" s="293" cm="1">
        <f t="array" aca="1" ref="AN438" ca="1">INDIRECT("'"&amp;$C438&amp;"'!"&amp;"$"&amp;$D438&amp;$AL$1&amp;"")</f>
        <v>4</v>
      </c>
      <c r="AO438" s="296">
        <v>0.98</v>
      </c>
      <c r="AP438" s="294">
        <v>0.81</v>
      </c>
      <c r="AQ438" s="295" cm="1">
        <f t="array" aca="1" ref="AQ438" ca="1">INDIRECT("'"&amp;$C438&amp;"'!"&amp;"$"&amp;$D438&amp;$AQ$1&amp;"")</f>
        <v>4</v>
      </c>
      <c r="AR438" s="296">
        <v>0.98</v>
      </c>
      <c r="AS438" s="294">
        <v>0.81</v>
      </c>
      <c r="AT438" s="296" cm="1">
        <f t="array" aca="1" ref="AT438" ca="1">INDIRECT("'"&amp;$C438&amp;"'!"&amp;"$"&amp;$D438&amp;$AT$1&amp;"")</f>
        <v>0</v>
      </c>
      <c r="AU438" s="295" t="s">
        <v>1</v>
      </c>
      <c r="AV438" s="296" t="s">
        <v>1</v>
      </c>
      <c r="AW438" s="294" t="s">
        <v>1</v>
      </c>
      <c r="AX438" s="298">
        <v>14.01</v>
      </c>
      <c r="AY438" s="297">
        <v>71.39</v>
      </c>
      <c r="AZ438" s="298" cm="1">
        <f t="array" aca="1" ref="AZ438" ca="1">INDIRECT("'"&amp;$C438&amp;"'!"&amp;"$"&amp;$D438&amp;$AZ$1&amp;"")</f>
        <v>14.28</v>
      </c>
      <c r="BA438" s="296">
        <v>1</v>
      </c>
      <c r="BB438" s="294">
        <v>1.4</v>
      </c>
      <c r="BC438" s="299">
        <v>68.400000000000006</v>
      </c>
      <c r="BD438" s="293" cm="1">
        <f t="array" aca="1" ref="BD438" ca="1">INDIRECT("'"&amp;$C438&amp;"'!"&amp;"$"&amp;$D438&amp;$BC$1&amp;"")</f>
        <v>0.8</v>
      </c>
      <c r="BE438" s="295">
        <v>0.96</v>
      </c>
      <c r="BF438" s="294">
        <v>0.25</v>
      </c>
      <c r="BG438" s="298" cm="1">
        <f t="array" aca="1" ref="BG438" ca="1">INDIRECT("'"&amp;$C438&amp;"'!"&amp;"$"&amp;$D438&amp;$BG$1&amp;"")</f>
        <v>1.06</v>
      </c>
      <c r="BH438" s="296"/>
      <c r="BI438" s="296">
        <v>0.99</v>
      </c>
      <c r="BJ438" s="294">
        <v>0.16</v>
      </c>
      <c r="BK438" s="299" cm="1">
        <f t="array" aca="1" ref="BK438" ca="1">INDIRECT("'"&amp;$C438&amp;"'!"&amp;"$"&amp;$D438&amp;$BK$1&amp;"")</f>
        <v>0.75</v>
      </c>
      <c r="BL438" s="296"/>
      <c r="BM438" s="296">
        <v>0.96</v>
      </c>
      <c r="BN438" s="294">
        <v>0.22</v>
      </c>
    </row>
    <row r="439" spans="1:66">
      <c r="A439" s="361">
        <v>45765</v>
      </c>
      <c r="B439" s="358">
        <v>0.375</v>
      </c>
      <c r="C439" s="313">
        <f t="shared" si="16"/>
        <v>18</v>
      </c>
      <c r="D439" s="314" t="s">
        <v>136</v>
      </c>
      <c r="E439" s="286">
        <v>14.1</v>
      </c>
      <c r="F439" s="287">
        <v>69.62</v>
      </c>
      <c r="G439" s="288" cm="1">
        <f t="array" aca="1" ref="G439" ca="1">INDIRECT("'"&amp;$C439&amp;"'!"&amp;"$"&amp;$D439&amp;$E$1&amp;"")</f>
        <v>6.7</v>
      </c>
      <c r="H439" s="289">
        <v>0.96</v>
      </c>
      <c r="I439" s="287">
        <v>1.98</v>
      </c>
      <c r="J439" s="288" cm="1">
        <f t="array" aca="1" ref="J439" ca="1">INDIRECT("'"&amp;$C439&amp;"'!"&amp;"$"&amp;$D439&amp;$J$1&amp;"")</f>
        <v>6.7</v>
      </c>
      <c r="K439" s="289"/>
      <c r="L439" s="289">
        <v>0.96</v>
      </c>
      <c r="M439" s="287">
        <v>1.97</v>
      </c>
      <c r="N439" s="288" cm="1">
        <f t="array" aca="1" ref="N439" ca="1">INDIRECT("'"&amp;$C439&amp;"'!"&amp;"$"&amp;$D439&amp;$N$1&amp;"")</f>
        <v>0</v>
      </c>
      <c r="O439" s="289"/>
      <c r="P439" s="289" t="s">
        <v>1</v>
      </c>
      <c r="Q439" s="287" t="s">
        <v>1</v>
      </c>
      <c r="R439" s="288" cm="1">
        <f t="array" aca="1" ref="R439" ca="1">INDIRECT("'"&amp;$C439&amp;"'!"&amp;"$"&amp;$D439&amp;$R$1&amp;"")</f>
        <v>0</v>
      </c>
      <c r="S439" s="289"/>
      <c r="T439" s="289" t="s">
        <v>1</v>
      </c>
      <c r="U439" s="287" t="s">
        <v>1</v>
      </c>
      <c r="V439" s="288" cm="1">
        <f t="array" aca="1" ref="V439" ca="1">INDIRECT("'"&amp;$C439&amp;"'!"&amp;"$"&amp;$D439&amp;$V$1&amp;"")</f>
        <v>0</v>
      </c>
      <c r="W439" s="289"/>
      <c r="X439" s="289"/>
      <c r="Y439" s="290"/>
      <c r="Z439" s="286" cm="1">
        <f t="array" aca="1" ref="Z439" ca="1">INDIRECT("'"&amp;$C439&amp;"'!"&amp;"$"&amp;$D439&amp;$Z$1&amp;"")</f>
        <v>0</v>
      </c>
      <c r="AA439" s="289" t="s">
        <v>1</v>
      </c>
      <c r="AB439" s="289" t="s">
        <v>1</v>
      </c>
      <c r="AC439" s="287" t="s">
        <v>1</v>
      </c>
      <c r="AD439" s="288" cm="1">
        <f t="array" aca="1" ref="AD439" ca="1">INDIRECT("'"&amp;$C439&amp;"'!"&amp;"$"&amp;$D439&amp;$AD$1&amp;"")</f>
        <v>3</v>
      </c>
      <c r="AE439" s="289">
        <f>3.8*3.57</f>
        <v>13.565999999999999</v>
      </c>
      <c r="AF439" s="289">
        <v>0.98</v>
      </c>
      <c r="AG439" s="290">
        <v>0.54</v>
      </c>
      <c r="AH439" s="286" cm="1">
        <f t="array" aca="1" ref="AH439" ca="1">INDIRECT("'"&amp;$C439&amp;"'!"&amp;"$"&amp;$D439&amp;$AH$1&amp;"")</f>
        <v>0</v>
      </c>
      <c r="AI439" s="289" t="s">
        <v>1</v>
      </c>
      <c r="AJ439" s="289" t="s">
        <v>1</v>
      </c>
      <c r="AK439" s="290" t="s">
        <v>1</v>
      </c>
      <c r="AL439" s="286">
        <v>11.9</v>
      </c>
      <c r="AM439" s="290">
        <v>70.7</v>
      </c>
      <c r="AN439" s="286" cm="1">
        <f t="array" aca="1" ref="AN439" ca="1">INDIRECT("'"&amp;$C439&amp;"'!"&amp;"$"&amp;$D439&amp;$AL$1&amp;"")</f>
        <v>4.2</v>
      </c>
      <c r="AO439" s="289">
        <v>0.99</v>
      </c>
      <c r="AP439" s="287">
        <v>0.57999999999999996</v>
      </c>
      <c r="AQ439" s="288" cm="1">
        <f t="array" aca="1" ref="AQ439" ca="1">INDIRECT("'"&amp;$C439&amp;"'!"&amp;"$"&amp;$D439&amp;$AQ$1&amp;"")</f>
        <v>4.2</v>
      </c>
      <c r="AR439" s="289">
        <v>0.99</v>
      </c>
      <c r="AS439" s="287">
        <v>0.57999999999999996</v>
      </c>
      <c r="AT439" s="289" cm="1">
        <f t="array" aca="1" ref="AT439" ca="1">INDIRECT("'"&amp;$C439&amp;"'!"&amp;"$"&amp;$D439&amp;$AT$1&amp;"")</f>
        <v>0</v>
      </c>
      <c r="AU439" s="288" t="s">
        <v>1</v>
      </c>
      <c r="AV439" s="289" t="s">
        <v>1</v>
      </c>
      <c r="AW439" s="287" t="s">
        <v>1</v>
      </c>
      <c r="AX439" s="291">
        <v>14.21</v>
      </c>
      <c r="AY439" s="290">
        <v>71.930000000000007</v>
      </c>
      <c r="AZ439" s="291" cm="1">
        <f t="array" aca="1" ref="AZ439" ca="1">INDIRECT("'"&amp;$C439&amp;"'!"&amp;"$"&amp;$D439&amp;$AZ$1&amp;"")</f>
        <v>14.16</v>
      </c>
      <c r="BA439" s="289">
        <v>0.99</v>
      </c>
      <c r="BB439" s="287">
        <v>2.5</v>
      </c>
      <c r="BC439" s="292">
        <v>68.599999999999994</v>
      </c>
      <c r="BD439" s="286" cm="1">
        <f t="array" aca="1" ref="BD439" ca="1">INDIRECT("'"&amp;$C439&amp;"'!"&amp;"$"&amp;$D439&amp;$BC$1&amp;"")</f>
        <v>0</v>
      </c>
      <c r="BE439" s="288" t="s">
        <v>1</v>
      </c>
      <c r="BF439" s="287" t="s">
        <v>1</v>
      </c>
      <c r="BG439" s="291" cm="1">
        <f t="array" aca="1" ref="BG439" ca="1">INDIRECT("'"&amp;$C439&amp;"'!"&amp;"$"&amp;$D439&amp;$BG$1&amp;"")</f>
        <v>1.08</v>
      </c>
      <c r="BH439" s="289"/>
      <c r="BI439" s="289">
        <v>0.99</v>
      </c>
      <c r="BJ439" s="287">
        <v>0.17</v>
      </c>
      <c r="BK439" s="292" cm="1">
        <f t="array" aca="1" ref="BK439" ca="1">INDIRECT("'"&amp;$C439&amp;"'!"&amp;"$"&amp;$D439&amp;$BK$1&amp;"")</f>
        <v>0.75</v>
      </c>
      <c r="BL439" s="289"/>
      <c r="BM439" s="289">
        <v>0.96</v>
      </c>
      <c r="BN439" s="287">
        <v>0.23</v>
      </c>
    </row>
    <row r="440" spans="1:66">
      <c r="A440" s="361">
        <v>45765</v>
      </c>
      <c r="B440" s="358">
        <v>0.41666666666666702</v>
      </c>
      <c r="C440" s="313">
        <f t="shared" si="16"/>
        <v>18</v>
      </c>
      <c r="D440" s="314" t="s">
        <v>137</v>
      </c>
      <c r="E440" s="293">
        <v>14.1</v>
      </c>
      <c r="F440" s="294">
        <v>69.7</v>
      </c>
      <c r="G440" s="295" cm="1">
        <f t="array" aca="1" ref="G440" ca="1">INDIRECT("'"&amp;$C440&amp;"'!"&amp;"$"&amp;$D440&amp;$E$1&amp;"")</f>
        <v>6.9</v>
      </c>
      <c r="H440" s="296">
        <v>0.96</v>
      </c>
      <c r="I440" s="294">
        <v>2.0699999999999998</v>
      </c>
      <c r="J440" s="295" cm="1">
        <f t="array" aca="1" ref="J440" ca="1">INDIRECT("'"&amp;$C440&amp;"'!"&amp;"$"&amp;$D440&amp;$J$1&amp;"")</f>
        <v>6.9</v>
      </c>
      <c r="K440" s="296"/>
      <c r="L440" s="296">
        <v>0.96</v>
      </c>
      <c r="M440" s="294">
        <v>2.08</v>
      </c>
      <c r="N440" s="295" cm="1">
        <f t="array" aca="1" ref="N440" ca="1">INDIRECT("'"&amp;$C440&amp;"'!"&amp;"$"&amp;$D440&amp;$N$1&amp;"")</f>
        <v>0</v>
      </c>
      <c r="O440" s="296"/>
      <c r="P440" s="296" t="s">
        <v>1</v>
      </c>
      <c r="Q440" s="294" t="s">
        <v>1</v>
      </c>
      <c r="R440" s="295" cm="1">
        <f t="array" aca="1" ref="R440" ca="1">INDIRECT("'"&amp;$C440&amp;"'!"&amp;"$"&amp;$D440&amp;$R$1&amp;"")</f>
        <v>0</v>
      </c>
      <c r="S440" s="296"/>
      <c r="T440" s="296" t="s">
        <v>1</v>
      </c>
      <c r="U440" s="294" t="s">
        <v>1</v>
      </c>
      <c r="V440" s="295" cm="1">
        <f t="array" aca="1" ref="V440" ca="1">INDIRECT("'"&amp;$C440&amp;"'!"&amp;"$"&amp;$D440&amp;$V$1&amp;"")</f>
        <v>0</v>
      </c>
      <c r="W440" s="296"/>
      <c r="X440" s="296"/>
      <c r="Y440" s="297"/>
      <c r="Z440" s="293" cm="1">
        <f t="array" aca="1" ref="Z440" ca="1">INDIRECT("'"&amp;$C440&amp;"'!"&amp;"$"&amp;$D440&amp;$Z$1&amp;"")</f>
        <v>0</v>
      </c>
      <c r="AA440" s="296" t="s">
        <v>1</v>
      </c>
      <c r="AB440" s="296" t="s">
        <v>1</v>
      </c>
      <c r="AC440" s="294" t="s">
        <v>1</v>
      </c>
      <c r="AD440" s="295" cm="1">
        <f t="array" aca="1" ref="AD440" ca="1">INDIRECT("'"&amp;$C440&amp;"'!"&amp;"$"&amp;$D440&amp;$AD$1&amp;"")</f>
        <v>3.8</v>
      </c>
      <c r="AE440" s="296">
        <f>3.8*3.59</f>
        <v>13.641999999999999</v>
      </c>
      <c r="AF440" s="296">
        <v>0.96</v>
      </c>
      <c r="AG440" s="297">
        <v>1.05</v>
      </c>
      <c r="AH440" s="293" cm="1">
        <f t="array" aca="1" ref="AH440" ca="1">INDIRECT("'"&amp;$C440&amp;"'!"&amp;"$"&amp;$D440&amp;$AH$1&amp;"")</f>
        <v>0</v>
      </c>
      <c r="AI440" s="296" t="s">
        <v>1</v>
      </c>
      <c r="AJ440" s="296" t="s">
        <v>1</v>
      </c>
      <c r="AK440" s="297" t="s">
        <v>1</v>
      </c>
      <c r="AL440" s="293">
        <v>11.9</v>
      </c>
      <c r="AM440" s="297">
        <v>70.599999999999994</v>
      </c>
      <c r="AN440" s="293" cm="1">
        <f t="array" aca="1" ref="AN440" ca="1">INDIRECT("'"&amp;$C440&amp;"'!"&amp;"$"&amp;$D440&amp;$AL$1&amp;"")</f>
        <v>4.3</v>
      </c>
      <c r="AO440" s="296">
        <v>0.99</v>
      </c>
      <c r="AP440" s="294">
        <v>0.63</v>
      </c>
      <c r="AQ440" s="295" cm="1">
        <f t="array" aca="1" ref="AQ440" ca="1">INDIRECT("'"&amp;$C440&amp;"'!"&amp;"$"&amp;$D440&amp;$AQ$1&amp;"")</f>
        <v>4.3</v>
      </c>
      <c r="AR440" s="296">
        <v>0.99</v>
      </c>
      <c r="AS440" s="294">
        <v>0.63</v>
      </c>
      <c r="AT440" s="296" cm="1">
        <f t="array" aca="1" ref="AT440" ca="1">INDIRECT("'"&amp;$C440&amp;"'!"&amp;"$"&amp;$D440&amp;$AT$1&amp;"")</f>
        <v>0</v>
      </c>
      <c r="AU440" s="295" t="s">
        <v>1</v>
      </c>
      <c r="AV440" s="296" t="s">
        <v>1</v>
      </c>
      <c r="AW440" s="294" t="s">
        <v>1</v>
      </c>
      <c r="AX440" s="298">
        <v>14.18</v>
      </c>
      <c r="AY440" s="297">
        <v>71.88</v>
      </c>
      <c r="AZ440" s="298" cm="1">
        <f t="array" aca="1" ref="AZ440" ca="1">INDIRECT("'"&amp;$C440&amp;"'!"&amp;"$"&amp;$D440&amp;$AZ$1&amp;"")</f>
        <v>14.15</v>
      </c>
      <c r="BA440" s="296">
        <v>0.99</v>
      </c>
      <c r="BB440" s="294">
        <v>2.5</v>
      </c>
      <c r="BC440" s="299">
        <v>68.599999999999994</v>
      </c>
      <c r="BD440" s="293" cm="1">
        <f t="array" aca="1" ref="BD440" ca="1">INDIRECT("'"&amp;$C440&amp;"'!"&amp;"$"&amp;$D440&amp;$BC$1&amp;"")</f>
        <v>0</v>
      </c>
      <c r="BE440" s="295" t="s">
        <v>1</v>
      </c>
      <c r="BF440" s="294" t="s">
        <v>1</v>
      </c>
      <c r="BG440" s="298" cm="1">
        <f t="array" aca="1" ref="BG440" ca="1">INDIRECT("'"&amp;$C440&amp;"'!"&amp;"$"&amp;$D440&amp;$BG$1&amp;"")</f>
        <v>1.1100000000000001</v>
      </c>
      <c r="BH440" s="296"/>
      <c r="BI440" s="296">
        <v>0.99</v>
      </c>
      <c r="BJ440" s="294">
        <v>0.19</v>
      </c>
      <c r="BK440" s="299" cm="1">
        <f t="array" aca="1" ref="BK440" ca="1">INDIRECT("'"&amp;$C440&amp;"'!"&amp;"$"&amp;$D440&amp;$BK$1&amp;"")</f>
        <v>0.77</v>
      </c>
      <c r="BL440" s="296"/>
      <c r="BM440" s="296">
        <v>0.96</v>
      </c>
      <c r="BN440" s="294">
        <v>0.24</v>
      </c>
    </row>
    <row r="441" spans="1:66">
      <c r="A441" s="361">
        <v>45765</v>
      </c>
      <c r="B441" s="358">
        <v>0.45833333333333398</v>
      </c>
      <c r="C441" s="313">
        <f t="shared" si="16"/>
        <v>18</v>
      </c>
      <c r="D441" s="314" t="s">
        <v>138</v>
      </c>
      <c r="E441" s="286">
        <v>14.1</v>
      </c>
      <c r="F441" s="287">
        <v>69.73</v>
      </c>
      <c r="G441" s="288" cm="1">
        <f t="array" aca="1" ref="G441" ca="1">INDIRECT("'"&amp;$C441&amp;"'!"&amp;"$"&amp;$D441&amp;$E$1&amp;"")</f>
        <v>6.6</v>
      </c>
      <c r="H441" s="289">
        <v>0.96</v>
      </c>
      <c r="I441" s="287">
        <v>1.94</v>
      </c>
      <c r="J441" s="288" cm="1">
        <f t="array" aca="1" ref="J441" ca="1">INDIRECT("'"&amp;$C441&amp;"'!"&amp;"$"&amp;$D441&amp;$J$1&amp;"")</f>
        <v>6.8</v>
      </c>
      <c r="K441" s="289"/>
      <c r="L441" s="289">
        <v>0.98</v>
      </c>
      <c r="M441" s="287">
        <v>1.5</v>
      </c>
      <c r="N441" s="288" cm="1">
        <f t="array" aca="1" ref="N441" ca="1">INDIRECT("'"&amp;$C441&amp;"'!"&amp;"$"&amp;$D441&amp;$N$1&amp;"")</f>
        <v>0</v>
      </c>
      <c r="O441" s="289"/>
      <c r="P441" s="289" t="s">
        <v>1</v>
      </c>
      <c r="Q441" s="287" t="s">
        <v>1</v>
      </c>
      <c r="R441" s="288" cm="1">
        <f t="array" aca="1" ref="R441" ca="1">INDIRECT("'"&amp;$C441&amp;"'!"&amp;"$"&amp;$D441&amp;$R$1&amp;"")</f>
        <v>0</v>
      </c>
      <c r="S441" s="289"/>
      <c r="T441" s="289" t="s">
        <v>1</v>
      </c>
      <c r="U441" s="287" t="s">
        <v>1</v>
      </c>
      <c r="V441" s="288" cm="1">
        <f t="array" aca="1" ref="V441" ca="1">INDIRECT("'"&amp;$C441&amp;"'!"&amp;"$"&amp;$D441&amp;$V$1&amp;"")</f>
        <v>0</v>
      </c>
      <c r="W441" s="289"/>
      <c r="X441" s="289"/>
      <c r="Y441" s="290"/>
      <c r="Z441" s="286" cm="1">
        <f t="array" aca="1" ref="Z441" ca="1">INDIRECT("'"&amp;$C441&amp;"'!"&amp;"$"&amp;$D441&amp;$Z$1&amp;"")</f>
        <v>0</v>
      </c>
      <c r="AA441" s="289" t="s">
        <v>1</v>
      </c>
      <c r="AB441" s="289" t="s">
        <v>1</v>
      </c>
      <c r="AC441" s="287" t="s">
        <v>1</v>
      </c>
      <c r="AD441" s="288" cm="1">
        <f t="array" aca="1" ref="AD441" ca="1">INDIRECT("'"&amp;$C441&amp;"'!"&amp;"$"&amp;$D441&amp;$AD$1&amp;"")</f>
        <v>3.8</v>
      </c>
      <c r="AE441" s="289">
        <f>3.8*3.59</f>
        <v>13.641999999999999</v>
      </c>
      <c r="AF441" s="289">
        <v>0.96</v>
      </c>
      <c r="AG441" s="290">
        <v>1.04</v>
      </c>
      <c r="AH441" s="286" cm="1">
        <f t="array" aca="1" ref="AH441" ca="1">INDIRECT("'"&amp;$C441&amp;"'!"&amp;"$"&amp;$D441&amp;$AH$1&amp;"")</f>
        <v>0</v>
      </c>
      <c r="AI441" s="289" t="s">
        <v>1</v>
      </c>
      <c r="AJ441" s="289" t="s">
        <v>1</v>
      </c>
      <c r="AK441" s="287" t="s">
        <v>1</v>
      </c>
      <c r="AL441" s="286">
        <v>11.9</v>
      </c>
      <c r="AM441" s="290">
        <v>70.7</v>
      </c>
      <c r="AN441" s="286" cm="1">
        <f t="array" aca="1" ref="AN441" ca="1">INDIRECT("'"&amp;$C441&amp;"'!"&amp;"$"&amp;$D441&amp;$AL$1&amp;"")</f>
        <v>4.0999999999999996</v>
      </c>
      <c r="AO441" s="289">
        <v>0.99</v>
      </c>
      <c r="AP441" s="287">
        <v>0.57999999999999996</v>
      </c>
      <c r="AQ441" s="288" cm="1">
        <f t="array" aca="1" ref="AQ441" ca="1">INDIRECT("'"&amp;$C441&amp;"'!"&amp;"$"&amp;$D441&amp;$AQ$1&amp;"")</f>
        <v>4.0999999999999996</v>
      </c>
      <c r="AR441" s="289">
        <v>0.99</v>
      </c>
      <c r="AS441" s="287">
        <v>0.57999999999999996</v>
      </c>
      <c r="AT441" s="289" cm="1">
        <f t="array" aca="1" ref="AT441" ca="1">INDIRECT("'"&amp;$C441&amp;"'!"&amp;"$"&amp;$D441&amp;$AT$1&amp;"")</f>
        <v>0</v>
      </c>
      <c r="AU441" s="288" t="s">
        <v>1</v>
      </c>
      <c r="AV441" s="289" t="s">
        <v>1</v>
      </c>
      <c r="AW441" s="287" t="s">
        <v>1</v>
      </c>
      <c r="AX441" s="291">
        <v>14.16</v>
      </c>
      <c r="AY441" s="290">
        <v>71.73</v>
      </c>
      <c r="AZ441" s="291" cm="1">
        <f t="array" aca="1" ref="AZ441" ca="1">INDIRECT("'"&amp;$C441&amp;"'!"&amp;"$"&amp;$D441&amp;$AZ$1&amp;"")</f>
        <v>14.1</v>
      </c>
      <c r="BA441" s="289">
        <v>0.99</v>
      </c>
      <c r="BB441" s="287">
        <v>2.5</v>
      </c>
      <c r="BC441" s="292">
        <v>68.8</v>
      </c>
      <c r="BD441" s="286" cm="1">
        <f t="array" aca="1" ref="BD441" ca="1">INDIRECT("'"&amp;$C441&amp;"'!"&amp;"$"&amp;$D441&amp;$BC$1&amp;"")</f>
        <v>2.0999999999999996</v>
      </c>
      <c r="BE441" s="288">
        <v>0.95</v>
      </c>
      <c r="BF441" s="287">
        <v>0.72</v>
      </c>
      <c r="BG441" s="291" cm="1">
        <f t="array" aca="1" ref="BG441" ca="1">INDIRECT("'"&amp;$C441&amp;"'!"&amp;"$"&amp;$D441&amp;$BG$1&amp;"")</f>
        <v>1.1200000000000001</v>
      </c>
      <c r="BH441" s="289"/>
      <c r="BI441" s="289">
        <v>0.99</v>
      </c>
      <c r="BJ441" s="287">
        <v>0.19</v>
      </c>
      <c r="BK441" s="292" cm="1">
        <f t="array" aca="1" ref="BK441" ca="1">INDIRECT("'"&amp;$C441&amp;"'!"&amp;"$"&amp;$D441&amp;$BK$1&amp;"")</f>
        <v>0.82</v>
      </c>
      <c r="BL441" s="289"/>
      <c r="BM441" s="289">
        <v>0.95</v>
      </c>
      <c r="BN441" s="287">
        <v>0.25</v>
      </c>
    </row>
    <row r="442" spans="1:66">
      <c r="A442" s="361">
        <v>45765</v>
      </c>
      <c r="B442" s="358">
        <v>0.5</v>
      </c>
      <c r="C442" s="313">
        <f t="shared" si="16"/>
        <v>18</v>
      </c>
      <c r="D442" s="314" t="s">
        <v>139</v>
      </c>
      <c r="E442" s="293">
        <v>14.1</v>
      </c>
      <c r="F442" s="294">
        <v>69.69</v>
      </c>
      <c r="G442" s="295" cm="1">
        <f t="array" aca="1" ref="G442" ca="1">INDIRECT("'"&amp;$C442&amp;"'!"&amp;"$"&amp;$D442&amp;$E$1&amp;"")</f>
        <v>6.8</v>
      </c>
      <c r="H442" s="296">
        <v>0.97</v>
      </c>
      <c r="I442" s="294">
        <v>1.7</v>
      </c>
      <c r="J442" s="295" cm="1">
        <f t="array" aca="1" ref="J442" ca="1">INDIRECT("'"&amp;$C442&amp;"'!"&amp;"$"&amp;$D442&amp;$J$1&amp;"")</f>
        <v>6.8</v>
      </c>
      <c r="K442" s="296"/>
      <c r="L442" s="296">
        <v>0.97</v>
      </c>
      <c r="M442" s="294">
        <v>1.71</v>
      </c>
      <c r="N442" s="295" cm="1">
        <f t="array" aca="1" ref="N442" ca="1">INDIRECT("'"&amp;$C442&amp;"'!"&amp;"$"&amp;$D442&amp;$N$1&amp;"")</f>
        <v>0</v>
      </c>
      <c r="O442" s="296"/>
      <c r="P442" s="296" t="s">
        <v>1</v>
      </c>
      <c r="Q442" s="294" t="s">
        <v>1</v>
      </c>
      <c r="R442" s="295" cm="1">
        <f t="array" aca="1" ref="R442" ca="1">INDIRECT("'"&amp;$C442&amp;"'!"&amp;"$"&amp;$D442&amp;$R$1&amp;"")</f>
        <v>0</v>
      </c>
      <c r="S442" s="296"/>
      <c r="T442" s="296" t="s">
        <v>1</v>
      </c>
      <c r="U442" s="294" t="s">
        <v>1</v>
      </c>
      <c r="V442" s="295" cm="1">
        <f t="array" aca="1" ref="V442" ca="1">INDIRECT("'"&amp;$C442&amp;"'!"&amp;"$"&amp;$D442&amp;$V$1&amp;"")</f>
        <v>2.8</v>
      </c>
      <c r="W442" s="296">
        <f>3.8*3.59</f>
        <v>13.641999999999999</v>
      </c>
      <c r="X442" s="296">
        <v>0.96</v>
      </c>
      <c r="Y442" s="297">
        <v>0.74</v>
      </c>
      <c r="Z442" s="293" cm="1">
        <f t="array" aca="1" ref="Z442" ca="1">INDIRECT("'"&amp;$C442&amp;"'!"&amp;"$"&amp;$D442&amp;$Z$1&amp;"")</f>
        <v>0</v>
      </c>
      <c r="AA442" s="296" t="s">
        <v>1</v>
      </c>
      <c r="AB442" s="296" t="s">
        <v>1</v>
      </c>
      <c r="AC442" s="294" t="s">
        <v>1</v>
      </c>
      <c r="AD442" s="295" cm="1">
        <f t="array" aca="1" ref="AD442" ca="1">INDIRECT("'"&amp;$C442&amp;"'!"&amp;"$"&amp;$D442&amp;$AD$1&amp;"")</f>
        <v>3.8</v>
      </c>
      <c r="AE442" s="296">
        <v>13.64</v>
      </c>
      <c r="AF442" s="296">
        <v>0.96</v>
      </c>
      <c r="AG442" s="297">
        <v>1.07</v>
      </c>
      <c r="AH442" s="293" cm="1">
        <f t="array" aca="1" ref="AH442" ca="1">INDIRECT("'"&amp;$C442&amp;"'!"&amp;"$"&amp;$D442&amp;$AH$1&amp;"")</f>
        <v>0</v>
      </c>
      <c r="AI442" s="296" t="s">
        <v>1</v>
      </c>
      <c r="AJ442" s="296" t="s">
        <v>1</v>
      </c>
      <c r="AK442" s="294" t="s">
        <v>1</v>
      </c>
      <c r="AL442" s="293">
        <v>11.9</v>
      </c>
      <c r="AM442" s="297">
        <v>70.7</v>
      </c>
      <c r="AN442" s="293" cm="1">
        <f t="array" aca="1" ref="AN442" ca="1">INDIRECT("'"&amp;$C442&amp;"'!"&amp;"$"&amp;$D442&amp;$AL$1&amp;"")</f>
        <v>4.0999999999999996</v>
      </c>
      <c r="AO442" s="296">
        <v>0.99</v>
      </c>
      <c r="AP442" s="294">
        <v>0.56000000000000005</v>
      </c>
      <c r="AQ442" s="295" cm="1">
        <f t="array" aca="1" ref="AQ442" ca="1">INDIRECT("'"&amp;$C442&amp;"'!"&amp;"$"&amp;$D442&amp;$AQ$1&amp;"")</f>
        <v>4.0999999999999996</v>
      </c>
      <c r="AR442" s="296">
        <v>0.99</v>
      </c>
      <c r="AS442" s="294">
        <v>0.56000000000000005</v>
      </c>
      <c r="AT442" s="296" cm="1">
        <f t="array" aca="1" ref="AT442" ca="1">INDIRECT("'"&amp;$C442&amp;"'!"&amp;"$"&amp;$D442&amp;$AT$1&amp;"")</f>
        <v>0</v>
      </c>
      <c r="AU442" s="295" t="s">
        <v>1</v>
      </c>
      <c r="AV442" s="296" t="s">
        <v>1</v>
      </c>
      <c r="AW442" s="294" t="s">
        <v>1</v>
      </c>
      <c r="AX442" s="298">
        <v>14.17</v>
      </c>
      <c r="AY442" s="297">
        <v>71.81</v>
      </c>
      <c r="AZ442" s="298" cm="1">
        <f t="array" aca="1" ref="AZ442" ca="1">INDIRECT("'"&amp;$C442&amp;"'!"&amp;"$"&amp;$D442&amp;$AZ$1&amp;"")</f>
        <v>14.19</v>
      </c>
      <c r="BA442" s="296">
        <v>0.99</v>
      </c>
      <c r="BB442" s="294">
        <v>2.5</v>
      </c>
      <c r="BC442" s="299">
        <v>68.7</v>
      </c>
      <c r="BD442" s="293" cm="1">
        <f t="array" aca="1" ref="BD442" ca="1">INDIRECT("'"&amp;$C442&amp;"'!"&amp;"$"&amp;$D442&amp;$BC$1&amp;"")</f>
        <v>0</v>
      </c>
      <c r="BE442" s="295" t="s">
        <v>1</v>
      </c>
      <c r="BF442" s="294" t="s">
        <v>1</v>
      </c>
      <c r="BG442" s="298" cm="1">
        <f t="array" aca="1" ref="BG442" ca="1">INDIRECT("'"&amp;$C442&amp;"'!"&amp;"$"&amp;$D442&amp;$BG$1&amp;"")</f>
        <v>1.18</v>
      </c>
      <c r="BH442" s="296"/>
      <c r="BI442" s="296">
        <v>0.99</v>
      </c>
      <c r="BJ442" s="294">
        <v>0.19</v>
      </c>
      <c r="BK442" s="299" cm="1">
        <f t="array" aca="1" ref="BK442" ca="1">INDIRECT("'"&amp;$C442&amp;"'!"&amp;"$"&amp;$D442&amp;$BK$1&amp;"")</f>
        <v>0.82</v>
      </c>
      <c r="BL442" s="296"/>
      <c r="BM442" s="296">
        <v>0.95</v>
      </c>
      <c r="BN442" s="294">
        <v>0.25</v>
      </c>
    </row>
    <row r="443" spans="1:66">
      <c r="A443" s="361">
        <v>45765</v>
      </c>
      <c r="B443" s="358">
        <v>0.54166666666666696</v>
      </c>
      <c r="C443" s="313">
        <f t="shared" si="16"/>
        <v>18</v>
      </c>
      <c r="D443" s="314" t="s">
        <v>140</v>
      </c>
      <c r="E443" s="286">
        <v>14.1</v>
      </c>
      <c r="F443" s="287">
        <v>69.73</v>
      </c>
      <c r="G443" s="288" cm="1">
        <f t="array" aca="1" ref="G443" ca="1">INDIRECT("'"&amp;$C443&amp;"'!"&amp;"$"&amp;$D443&amp;$E$1&amp;"")</f>
        <v>6.6</v>
      </c>
      <c r="H443" s="289">
        <v>0.97</v>
      </c>
      <c r="I443" s="287">
        <v>1.67</v>
      </c>
      <c r="J443" s="288" cm="1">
        <f t="array" aca="1" ref="J443" ca="1">INDIRECT("'"&amp;$C443&amp;"'!"&amp;"$"&amp;$D443&amp;$J$1&amp;"")</f>
        <v>6.6</v>
      </c>
      <c r="K443" s="289"/>
      <c r="L443" s="289">
        <v>0.97</v>
      </c>
      <c r="M443" s="287">
        <v>1.81</v>
      </c>
      <c r="N443" s="288" cm="1">
        <f t="array" aca="1" ref="N443" ca="1">INDIRECT("'"&amp;$C443&amp;"'!"&amp;"$"&amp;$D443&amp;$N$1&amp;"")</f>
        <v>0</v>
      </c>
      <c r="O443" s="289"/>
      <c r="P443" s="289" t="s">
        <v>1</v>
      </c>
      <c r="Q443" s="287" t="s">
        <v>1</v>
      </c>
      <c r="R443" s="288" cm="1">
        <f t="array" aca="1" ref="R443" ca="1">INDIRECT("'"&amp;$C443&amp;"'!"&amp;"$"&amp;$D443&amp;$R$1&amp;"")</f>
        <v>0</v>
      </c>
      <c r="S443" s="289"/>
      <c r="T443" s="289" t="s">
        <v>1</v>
      </c>
      <c r="U443" s="287" t="s">
        <v>1</v>
      </c>
      <c r="V443" s="288" cm="1">
        <f t="array" aca="1" ref="V443" ca="1">INDIRECT("'"&amp;$C443&amp;"'!"&amp;"$"&amp;$D443&amp;$V$1&amp;"")</f>
        <v>2.8</v>
      </c>
      <c r="W443" s="289">
        <f>3.59*3.8</f>
        <v>13.641999999999999</v>
      </c>
      <c r="X443" s="289">
        <v>0.96</v>
      </c>
      <c r="Y443" s="290">
        <v>0.75</v>
      </c>
      <c r="Z443" s="286" cm="1">
        <f t="array" aca="1" ref="Z443" ca="1">INDIRECT("'"&amp;$C443&amp;"'!"&amp;"$"&amp;$D443&amp;$Z$1&amp;"")</f>
        <v>0</v>
      </c>
      <c r="AA443" s="289" t="s">
        <v>1</v>
      </c>
      <c r="AB443" s="289" t="s">
        <v>1</v>
      </c>
      <c r="AC443" s="287" t="s">
        <v>1</v>
      </c>
      <c r="AD443" s="288" cm="1">
        <f t="array" aca="1" ref="AD443" ca="1">INDIRECT("'"&amp;$C443&amp;"'!"&amp;"$"&amp;$D443&amp;$AD$1&amp;"")</f>
        <v>3.9</v>
      </c>
      <c r="AE443" s="289">
        <v>13.64</v>
      </c>
      <c r="AF443" s="289">
        <v>0.96</v>
      </c>
      <c r="AG443" s="290">
        <v>1.0900000000000001</v>
      </c>
      <c r="AH443" s="286" cm="1">
        <f t="array" aca="1" ref="AH443" ca="1">INDIRECT("'"&amp;$C443&amp;"'!"&amp;"$"&amp;$D443&amp;$AH$1&amp;"")</f>
        <v>0</v>
      </c>
      <c r="AI443" s="289" t="s">
        <v>1</v>
      </c>
      <c r="AJ443" s="289" t="s">
        <v>1</v>
      </c>
      <c r="AK443" s="287" t="s">
        <v>1</v>
      </c>
      <c r="AL443" s="286">
        <v>11.9</v>
      </c>
      <c r="AM443" s="290">
        <v>70.599999999999994</v>
      </c>
      <c r="AN443" s="286" cm="1">
        <f t="array" aca="1" ref="AN443" ca="1">INDIRECT("'"&amp;$C443&amp;"'!"&amp;"$"&amp;$D443&amp;$AL$1&amp;"")</f>
        <v>4.0999999999999996</v>
      </c>
      <c r="AO443" s="289">
        <v>0.99</v>
      </c>
      <c r="AP443" s="287">
        <v>0.6</v>
      </c>
      <c r="AQ443" s="288" cm="1">
        <f t="array" aca="1" ref="AQ443" ca="1">INDIRECT("'"&amp;$C443&amp;"'!"&amp;"$"&amp;$D443&amp;$AQ$1&amp;"")</f>
        <v>4.0999999999999996</v>
      </c>
      <c r="AR443" s="289">
        <v>0.99</v>
      </c>
      <c r="AS443" s="287">
        <v>0.6</v>
      </c>
      <c r="AT443" s="289" cm="1">
        <f t="array" aca="1" ref="AT443" ca="1">INDIRECT("'"&amp;$C443&amp;"'!"&amp;"$"&amp;$D443&amp;$AT$1&amp;"")</f>
        <v>0</v>
      </c>
      <c r="AU443" s="288" t="s">
        <v>1</v>
      </c>
      <c r="AV443" s="289" t="s">
        <v>1</v>
      </c>
      <c r="AW443" s="287" t="s">
        <v>1</v>
      </c>
      <c r="AX443" s="291">
        <v>14.16</v>
      </c>
      <c r="AY443" s="290">
        <v>71.739999999999995</v>
      </c>
      <c r="AZ443" s="291" cm="1">
        <f t="array" aca="1" ref="AZ443" ca="1">INDIRECT("'"&amp;$C443&amp;"'!"&amp;"$"&amp;$D443&amp;$AZ$1&amp;"")</f>
        <v>14.27</v>
      </c>
      <c r="BA443" s="289">
        <v>0.99</v>
      </c>
      <c r="BB443" s="287">
        <v>2.4</v>
      </c>
      <c r="BC443" s="292">
        <v>68.8</v>
      </c>
      <c r="BD443" s="286" cm="1">
        <f t="array" aca="1" ref="BD443" ca="1">INDIRECT("'"&amp;$C443&amp;"'!"&amp;"$"&amp;$D443&amp;$BC$1&amp;"")</f>
        <v>2.2000000000000002</v>
      </c>
      <c r="BE443" s="288">
        <v>0.95</v>
      </c>
      <c r="BF443" s="287">
        <v>0.72</v>
      </c>
      <c r="BG443" s="291" cm="1">
        <f t="array" aca="1" ref="BG443" ca="1">INDIRECT("'"&amp;$C443&amp;"'!"&amp;"$"&amp;$D443&amp;$BG$1&amp;"")</f>
        <v>1.2</v>
      </c>
      <c r="BH443" s="289"/>
      <c r="BI443" s="289">
        <v>0.99</v>
      </c>
      <c r="BJ443" s="287">
        <v>0.21</v>
      </c>
      <c r="BK443" s="292" cm="1">
        <f t="array" aca="1" ref="BK443" ca="1">INDIRECT("'"&amp;$C443&amp;"'!"&amp;"$"&amp;$D443&amp;$BK$1&amp;"")</f>
        <v>0.8</v>
      </c>
      <c r="BL443" s="289"/>
      <c r="BM443" s="289">
        <v>95</v>
      </c>
      <c r="BN443" s="287">
        <v>0.25</v>
      </c>
    </row>
    <row r="444" spans="1:66">
      <c r="A444" s="361">
        <v>45765</v>
      </c>
      <c r="B444" s="358">
        <v>0.58333333333333404</v>
      </c>
      <c r="C444" s="313">
        <f t="shared" si="16"/>
        <v>18</v>
      </c>
      <c r="D444" s="314" t="s">
        <v>141</v>
      </c>
      <c r="E444" s="293">
        <v>14.1</v>
      </c>
      <c r="F444" s="294">
        <v>69.7</v>
      </c>
      <c r="G444" s="295" cm="1">
        <f t="array" aca="1" ref="G444" ca="1">INDIRECT("'"&amp;$C444&amp;"'!"&amp;"$"&amp;$D444&amp;$E$1&amp;"")</f>
        <v>6.8</v>
      </c>
      <c r="H444" s="296">
        <v>0.97</v>
      </c>
      <c r="I444" s="294">
        <v>1.71</v>
      </c>
      <c r="J444" s="295" cm="1">
        <f t="array" aca="1" ref="J444" ca="1">INDIRECT("'"&amp;$C444&amp;"'!"&amp;"$"&amp;$D444&amp;$J$1&amp;"")</f>
        <v>6.8</v>
      </c>
      <c r="K444" s="296"/>
      <c r="L444" s="296">
        <v>0.97</v>
      </c>
      <c r="M444" s="294">
        <v>1.72</v>
      </c>
      <c r="N444" s="295" cm="1">
        <f t="array" aca="1" ref="N444" ca="1">INDIRECT("'"&amp;$C444&amp;"'!"&amp;"$"&amp;$D444&amp;$N$1&amp;"")</f>
        <v>0</v>
      </c>
      <c r="O444" s="296"/>
      <c r="P444" s="296" t="s">
        <v>1</v>
      </c>
      <c r="Q444" s="294" t="s">
        <v>1</v>
      </c>
      <c r="R444" s="295" cm="1">
        <f t="array" aca="1" ref="R444" ca="1">INDIRECT("'"&amp;$C444&amp;"'!"&amp;"$"&amp;$D444&amp;$R$1&amp;"")</f>
        <v>0</v>
      </c>
      <c r="S444" s="296"/>
      <c r="T444" s="296" t="s">
        <v>1</v>
      </c>
      <c r="U444" s="294" t="s">
        <v>1</v>
      </c>
      <c r="V444" s="295" cm="1">
        <f t="array" aca="1" ref="V444" ca="1">INDIRECT("'"&amp;$C444&amp;"'!"&amp;"$"&amp;$D444&amp;$V$1&amp;"")</f>
        <v>2.8</v>
      </c>
      <c r="W444" s="296">
        <f>3.55*3.8</f>
        <v>13.489999999999998</v>
      </c>
      <c r="X444" s="296">
        <v>0.96</v>
      </c>
      <c r="Y444" s="297">
        <v>0.76</v>
      </c>
      <c r="Z444" s="293" cm="1">
        <f t="array" aca="1" ref="Z444" ca="1">INDIRECT("'"&amp;$C444&amp;"'!"&amp;"$"&amp;$D444&amp;$Z$1&amp;"")</f>
        <v>0</v>
      </c>
      <c r="AA444" s="296" t="s">
        <v>1</v>
      </c>
      <c r="AB444" s="296" t="s">
        <v>1</v>
      </c>
      <c r="AC444" s="294" t="s">
        <v>1</v>
      </c>
      <c r="AD444" s="295" cm="1">
        <f t="array" aca="1" ref="AD444" ca="1">INDIRECT("'"&amp;$C444&amp;"'!"&amp;"$"&amp;$D444&amp;$AD$1&amp;"")</f>
        <v>3</v>
      </c>
      <c r="AE444" s="296">
        <v>13.49</v>
      </c>
      <c r="AF444" s="296">
        <v>0.96</v>
      </c>
      <c r="AG444" s="297">
        <v>0.78</v>
      </c>
      <c r="AH444" s="293" cm="1">
        <f t="array" aca="1" ref="AH444" ca="1">INDIRECT("'"&amp;$C444&amp;"'!"&amp;"$"&amp;$D444&amp;$AH$1&amp;"")</f>
        <v>0</v>
      </c>
      <c r="AI444" s="296" t="s">
        <v>1</v>
      </c>
      <c r="AJ444" s="296" t="s">
        <v>1</v>
      </c>
      <c r="AK444" s="294" t="s">
        <v>1</v>
      </c>
      <c r="AL444" s="293">
        <v>11.9</v>
      </c>
      <c r="AM444" s="297">
        <v>70.599999999999994</v>
      </c>
      <c r="AN444" s="293" cm="1">
        <f t="array" aca="1" ref="AN444" ca="1">INDIRECT("'"&amp;$C444&amp;"'!"&amp;"$"&amp;$D444&amp;$AL$1&amp;"")</f>
        <v>4.0999999999999996</v>
      </c>
      <c r="AO444" s="296">
        <v>0.99</v>
      </c>
      <c r="AP444" s="294">
        <v>0.61</v>
      </c>
      <c r="AQ444" s="295" cm="1">
        <f t="array" aca="1" ref="AQ444" ca="1">INDIRECT("'"&amp;$C444&amp;"'!"&amp;"$"&amp;$D444&amp;$AQ$1&amp;"")</f>
        <v>4.0999999999999996</v>
      </c>
      <c r="AR444" s="296">
        <v>0.99</v>
      </c>
      <c r="AS444" s="294">
        <v>0.61</v>
      </c>
      <c r="AT444" s="296" cm="1">
        <f t="array" aca="1" ref="AT444" ca="1">INDIRECT("'"&amp;$C444&amp;"'!"&amp;"$"&amp;$D444&amp;$AT$1&amp;"")</f>
        <v>0</v>
      </c>
      <c r="AU444" s="295" t="s">
        <v>1</v>
      </c>
      <c r="AV444" s="296" t="s">
        <v>1</v>
      </c>
      <c r="AW444" s="294" t="s">
        <v>1</v>
      </c>
      <c r="AX444" s="298">
        <v>14.16</v>
      </c>
      <c r="AY444" s="297">
        <v>71.67</v>
      </c>
      <c r="AZ444" s="298" cm="1">
        <f t="array" aca="1" ref="AZ444" ca="1">INDIRECT("'"&amp;$C444&amp;"'!"&amp;"$"&amp;$D444&amp;$AZ$1&amp;"")</f>
        <v>14.36</v>
      </c>
      <c r="BA444" s="296">
        <v>0.99</v>
      </c>
      <c r="BB444" s="294">
        <v>2.5</v>
      </c>
      <c r="BC444" s="299">
        <v>68.8</v>
      </c>
      <c r="BD444" s="293" cm="1">
        <f t="array" aca="1" ref="BD444" ca="1">INDIRECT("'"&amp;$C444&amp;"'!"&amp;"$"&amp;$D444&amp;$BC$1&amp;"")</f>
        <v>3.9000000000000004</v>
      </c>
      <c r="BE444" s="295">
        <v>0.99</v>
      </c>
      <c r="BF444" s="294">
        <v>0.12</v>
      </c>
      <c r="BG444" s="298" cm="1">
        <f t="array" aca="1" ref="BG444" ca="1">INDIRECT("'"&amp;$C444&amp;"'!"&amp;"$"&amp;$D444&amp;$BG$1&amp;"")</f>
        <v>1.19</v>
      </c>
      <c r="BH444" s="296"/>
      <c r="BI444" s="296">
        <v>0.99</v>
      </c>
      <c r="BJ444" s="294">
        <v>0.19</v>
      </c>
      <c r="BK444" s="299" cm="1">
        <f t="array" aca="1" ref="BK444" ca="1">INDIRECT("'"&amp;$C444&amp;"'!"&amp;"$"&amp;$D444&amp;$BK$1&amp;"")</f>
        <v>0.85</v>
      </c>
      <c r="BL444" s="296"/>
      <c r="BM444" s="296">
        <v>0.96</v>
      </c>
      <c r="BN444" s="294">
        <v>0.25</v>
      </c>
    </row>
    <row r="445" spans="1:66">
      <c r="A445" s="361">
        <v>45765</v>
      </c>
      <c r="B445" s="358">
        <v>0.625</v>
      </c>
      <c r="C445" s="313">
        <f t="shared" si="16"/>
        <v>18</v>
      </c>
      <c r="D445" s="314" t="s">
        <v>142</v>
      </c>
      <c r="E445" s="286">
        <v>14</v>
      </c>
      <c r="F445" s="287">
        <v>69.11</v>
      </c>
      <c r="G445" s="288" cm="1">
        <f t="array" aca="1" ref="G445" ca="1">INDIRECT("'"&amp;$C445&amp;"'!"&amp;"$"&amp;$D445&amp;$E$1&amp;"")</f>
        <v>6.7</v>
      </c>
      <c r="H445" s="289">
        <v>0.94</v>
      </c>
      <c r="I445" s="287">
        <v>2.4</v>
      </c>
      <c r="J445" s="288" cm="1">
        <f t="array" aca="1" ref="J445" ca="1">INDIRECT("'"&amp;$C445&amp;"'!"&amp;"$"&amp;$D445&amp;$J$1&amp;"")</f>
        <v>6.7</v>
      </c>
      <c r="K445" s="289"/>
      <c r="L445" s="289">
        <v>0.94</v>
      </c>
      <c r="M445" s="287">
        <v>2.39</v>
      </c>
      <c r="N445" s="288" cm="1">
        <f t="array" aca="1" ref="N445" ca="1">INDIRECT("'"&amp;$C445&amp;"'!"&amp;"$"&amp;$D445&amp;$N$1&amp;"")</f>
        <v>0</v>
      </c>
      <c r="O445" s="289"/>
      <c r="P445" s="289" t="s">
        <v>1</v>
      </c>
      <c r="Q445" s="287" t="s">
        <v>1</v>
      </c>
      <c r="R445" s="288" cm="1">
        <f t="array" aca="1" ref="R445" ca="1">INDIRECT("'"&amp;$C445&amp;"'!"&amp;"$"&amp;$D445&amp;$R$1&amp;"")</f>
        <v>0</v>
      </c>
      <c r="S445" s="289"/>
      <c r="T445" s="289" t="s">
        <v>1</v>
      </c>
      <c r="U445" s="287" t="s">
        <v>1</v>
      </c>
      <c r="V445" s="288" cm="1">
        <f t="array" aca="1" ref="V445" ca="1">INDIRECT("'"&amp;$C445&amp;"'!"&amp;"$"&amp;$D445&amp;$V$1&amp;"")</f>
        <v>2.8</v>
      </c>
      <c r="W445" s="289">
        <f>3.8*3.48</f>
        <v>13.224</v>
      </c>
      <c r="X445" s="289">
        <v>0.96</v>
      </c>
      <c r="Y445" s="290">
        <v>0.73</v>
      </c>
      <c r="Z445" s="286" cm="1">
        <f t="array" aca="1" ref="Z445" ca="1">INDIRECT("'"&amp;$C445&amp;"'!"&amp;"$"&amp;$D445&amp;$Z$1&amp;"")</f>
        <v>0</v>
      </c>
      <c r="AA445" s="289" t="s">
        <v>1</v>
      </c>
      <c r="AB445" s="289" t="s">
        <v>1</v>
      </c>
      <c r="AC445" s="287" t="s">
        <v>1</v>
      </c>
      <c r="AD445" s="288" t="str" cm="1">
        <f t="array" aca="1" ref="AD445" ca="1">INDIRECT("'"&amp;$C445&amp;"'!"&amp;"$"&amp;$D445&amp;$AD$1&amp;"")</f>
        <v>CMS</v>
      </c>
      <c r="AE445" s="289" t="s">
        <v>1</v>
      </c>
      <c r="AF445" s="289" t="s">
        <v>1</v>
      </c>
      <c r="AG445" s="290" t="s">
        <v>1</v>
      </c>
      <c r="AH445" s="286" cm="1">
        <f t="array" aca="1" ref="AH445" ca="1">INDIRECT("'"&amp;$C445&amp;"'!"&amp;"$"&amp;$D445&amp;$AH$1&amp;"")</f>
        <v>3.8</v>
      </c>
      <c r="AI445" s="289">
        <v>14.04</v>
      </c>
      <c r="AJ445" s="289">
        <v>0.98</v>
      </c>
      <c r="AK445" s="287">
        <v>0.627</v>
      </c>
      <c r="AL445" s="286">
        <v>11.9</v>
      </c>
      <c r="AM445" s="290">
        <v>70.400000000000006</v>
      </c>
      <c r="AN445" s="286" cm="1">
        <f t="array" aca="1" ref="AN445" ca="1">INDIRECT("'"&amp;$C445&amp;"'!"&amp;"$"&amp;$D445&amp;$AL$1&amp;"")</f>
        <v>4.3</v>
      </c>
      <c r="AO445" s="289">
        <v>0.98</v>
      </c>
      <c r="AP445" s="287">
        <v>0.75</v>
      </c>
      <c r="AQ445" s="288" cm="1">
        <f t="array" aca="1" ref="AQ445" ca="1">INDIRECT("'"&amp;$C445&amp;"'!"&amp;"$"&amp;$D445&amp;$AQ$1&amp;"")</f>
        <v>4.3</v>
      </c>
      <c r="AR445" s="289">
        <v>0.98</v>
      </c>
      <c r="AS445" s="287">
        <v>0.75</v>
      </c>
      <c r="AT445" s="289" cm="1">
        <f t="array" aca="1" ref="AT445" ca="1">INDIRECT("'"&amp;$C445&amp;"'!"&amp;"$"&amp;$D445&amp;$AT$1&amp;"")</f>
        <v>0</v>
      </c>
      <c r="AU445" s="288" t="s">
        <v>1</v>
      </c>
      <c r="AV445" s="289" t="s">
        <v>1</v>
      </c>
      <c r="AW445" s="287" t="s">
        <v>1</v>
      </c>
      <c r="AX445" s="291">
        <v>14.16</v>
      </c>
      <c r="AY445" s="290">
        <v>71.67</v>
      </c>
      <c r="AZ445" s="291" cm="1">
        <f t="array" aca="1" ref="AZ445" ca="1">INDIRECT("'"&amp;$C445&amp;"'!"&amp;"$"&amp;$D445&amp;$AZ$1&amp;"")</f>
        <v>14.36</v>
      </c>
      <c r="BA445" s="289">
        <v>0.99</v>
      </c>
      <c r="BB445" s="287">
        <v>2.5</v>
      </c>
      <c r="BC445" s="292">
        <v>68</v>
      </c>
      <c r="BD445" s="286" cm="1">
        <f t="array" aca="1" ref="BD445" ca="1">INDIRECT("'"&amp;$C445&amp;"'!"&amp;"$"&amp;$D445&amp;$BC$1&amp;"")</f>
        <v>3.1000000000000005</v>
      </c>
      <c r="BE445" s="288">
        <v>0.95</v>
      </c>
      <c r="BF445" s="287">
        <v>1</v>
      </c>
      <c r="BG445" s="291" cm="1">
        <f t="array" aca="1" ref="BG445" ca="1">INDIRECT("'"&amp;$C445&amp;"'!"&amp;"$"&amp;$D445&amp;$BG$1&amp;"")</f>
        <v>1.18</v>
      </c>
      <c r="BH445" s="289"/>
      <c r="BI445" s="289">
        <v>0.99</v>
      </c>
      <c r="BJ445" s="287">
        <v>0.19</v>
      </c>
      <c r="BK445" s="292" cm="1">
        <f t="array" aca="1" ref="BK445" ca="1">INDIRECT("'"&amp;$C445&amp;"'!"&amp;"$"&amp;$D445&amp;$BK$1&amp;"")</f>
        <v>0.84</v>
      </c>
      <c r="BL445" s="289"/>
      <c r="BM445" s="289">
        <v>0.96</v>
      </c>
      <c r="BN445" s="287">
        <v>0.24</v>
      </c>
    </row>
    <row r="446" spans="1:66">
      <c r="A446" s="361">
        <v>45765</v>
      </c>
      <c r="B446" s="358">
        <v>0.66666666666666696</v>
      </c>
      <c r="C446" s="313">
        <f t="shared" si="16"/>
        <v>18</v>
      </c>
      <c r="D446" s="314" t="s">
        <v>143</v>
      </c>
      <c r="E446" s="293">
        <v>14</v>
      </c>
      <c r="F446" s="294">
        <v>69.78</v>
      </c>
      <c r="G446" s="295" cm="1">
        <f t="array" aca="1" ref="G446" ca="1">INDIRECT("'"&amp;$C446&amp;"'!"&amp;"$"&amp;$D446&amp;$E$1&amp;"")</f>
        <v>6.6</v>
      </c>
      <c r="H446" s="296">
        <v>0.95</v>
      </c>
      <c r="I446" s="294">
        <v>2.1</v>
      </c>
      <c r="J446" s="295" cm="1">
        <f t="array" aca="1" ref="J446" ca="1">INDIRECT("'"&amp;$C446&amp;"'!"&amp;"$"&amp;$D446&amp;$J$1&amp;"")</f>
        <v>6.5</v>
      </c>
      <c r="K446" s="296"/>
      <c r="L446" s="296">
        <v>0.94</v>
      </c>
      <c r="M446" s="294">
        <v>2.4300000000000002</v>
      </c>
      <c r="N446" s="295" cm="1">
        <f t="array" aca="1" ref="N446" ca="1">INDIRECT("'"&amp;$C446&amp;"'!"&amp;"$"&amp;$D446&amp;$N$1&amp;"")</f>
        <v>0</v>
      </c>
      <c r="O446" s="296"/>
      <c r="P446" s="296" t="s">
        <v>1</v>
      </c>
      <c r="Q446" s="294" t="s">
        <v>1</v>
      </c>
      <c r="R446" s="295" cm="1">
        <f t="array" aca="1" ref="R446" ca="1">INDIRECT("'"&amp;$C446&amp;"'!"&amp;"$"&amp;$D446&amp;$R$1&amp;"")</f>
        <v>0</v>
      </c>
      <c r="S446" s="296"/>
      <c r="T446" s="296" t="s">
        <v>1</v>
      </c>
      <c r="U446" s="294" t="s">
        <v>1</v>
      </c>
      <c r="V446" s="295" cm="1">
        <f t="array" aca="1" ref="V446" ca="1">INDIRECT("'"&amp;$C446&amp;"'!"&amp;"$"&amp;$D446&amp;$V$1&amp;"")</f>
        <v>2.8</v>
      </c>
      <c r="W446" s="296">
        <f>3.8*3.48</f>
        <v>13.224</v>
      </c>
      <c r="X446" s="296">
        <v>0.96</v>
      </c>
      <c r="Y446" s="297">
        <v>0.73</v>
      </c>
      <c r="Z446" s="293" cm="1">
        <f t="array" aca="1" ref="Z446" ca="1">INDIRECT("'"&amp;$C446&amp;"'!"&amp;"$"&amp;$D446&amp;$Z$1&amp;"")</f>
        <v>0</v>
      </c>
      <c r="AA446" s="296" t="s">
        <v>1</v>
      </c>
      <c r="AB446" s="296" t="s">
        <v>1</v>
      </c>
      <c r="AC446" s="294" t="s">
        <v>1</v>
      </c>
      <c r="AD446" s="295" t="str" cm="1">
        <f t="array" aca="1" ref="AD446" ca="1">INDIRECT("'"&amp;$C446&amp;"'!"&amp;"$"&amp;$D446&amp;$AD$1&amp;"")</f>
        <v>CMS</v>
      </c>
      <c r="AE446" s="296" t="s">
        <v>1</v>
      </c>
      <c r="AF446" s="296" t="s">
        <v>1</v>
      </c>
      <c r="AG446" s="297" t="s">
        <v>1</v>
      </c>
      <c r="AH446" s="293" cm="1">
        <f t="array" aca="1" ref="AH446" ca="1">INDIRECT("'"&amp;$C446&amp;"'!"&amp;"$"&amp;$D446&amp;$AH$1&amp;"")</f>
        <v>3.8</v>
      </c>
      <c r="AI446" s="296">
        <v>14.04</v>
      </c>
      <c r="AJ446" s="296">
        <v>0.99</v>
      </c>
      <c r="AK446" s="294">
        <v>0.49</v>
      </c>
      <c r="AL446" s="293">
        <v>11.9</v>
      </c>
      <c r="AM446" s="297">
        <v>70.5</v>
      </c>
      <c r="AN446" s="293" cm="1">
        <f t="array" aca="1" ref="AN446" ca="1">INDIRECT("'"&amp;$C446&amp;"'!"&amp;"$"&amp;$D446&amp;$AL$1&amp;"")</f>
        <v>4.0999999999999996</v>
      </c>
      <c r="AO446" s="296">
        <v>0.98</v>
      </c>
      <c r="AP446" s="294">
        <v>0.71</v>
      </c>
      <c r="AQ446" s="295" cm="1">
        <f t="array" aca="1" ref="AQ446" ca="1">INDIRECT("'"&amp;$C446&amp;"'!"&amp;"$"&amp;$D446&amp;$AQ$1&amp;"")</f>
        <v>4.0999999999999996</v>
      </c>
      <c r="AR446" s="296">
        <v>0.98</v>
      </c>
      <c r="AS446" s="294">
        <v>0.71</v>
      </c>
      <c r="AT446" s="296" cm="1">
        <f t="array" aca="1" ref="AT446" ca="1">INDIRECT("'"&amp;$C446&amp;"'!"&amp;"$"&amp;$D446&amp;$AT$1&amp;"")</f>
        <v>0</v>
      </c>
      <c r="AU446" s="295" t="s">
        <v>1</v>
      </c>
      <c r="AV446" s="296" t="s">
        <v>1</v>
      </c>
      <c r="AW446" s="294" t="s">
        <v>1</v>
      </c>
      <c r="AX446" s="298">
        <v>14.23</v>
      </c>
      <c r="AY446" s="297">
        <v>72.02</v>
      </c>
      <c r="AZ446" s="298" cm="1">
        <f t="array" aca="1" ref="AZ446" ca="1">INDIRECT("'"&amp;$C446&amp;"'!"&amp;"$"&amp;$D446&amp;$AZ$1&amp;"")</f>
        <v>14.21</v>
      </c>
      <c r="BA446" s="296">
        <v>0.99</v>
      </c>
      <c r="BB446" s="294">
        <v>2.5</v>
      </c>
      <c r="BC446" s="299">
        <v>68</v>
      </c>
      <c r="BD446" s="293" cm="1">
        <f t="array" aca="1" ref="BD446" ca="1">INDIRECT("'"&amp;$C446&amp;"'!"&amp;"$"&amp;$D446&amp;$BC$1&amp;"")</f>
        <v>2.2000000000000002</v>
      </c>
      <c r="BE446" s="295">
        <v>0.95</v>
      </c>
      <c r="BF446" s="294">
        <v>0.72</v>
      </c>
      <c r="BG446" s="298" cm="1">
        <f t="array" aca="1" ref="BG446" ca="1">INDIRECT("'"&amp;$C446&amp;"'!"&amp;"$"&amp;$D446&amp;$BG$1&amp;"")</f>
        <v>1.19</v>
      </c>
      <c r="BH446" s="296"/>
      <c r="BI446" s="296">
        <v>0.99</v>
      </c>
      <c r="BJ446" s="294">
        <v>0.2</v>
      </c>
      <c r="BK446" s="299" cm="1">
        <f t="array" aca="1" ref="BK446" ca="1">INDIRECT("'"&amp;$C446&amp;"'!"&amp;"$"&amp;$D446&amp;$BK$1&amp;"")</f>
        <v>0.84</v>
      </c>
      <c r="BL446" s="296"/>
      <c r="BM446" s="296">
        <v>0.96</v>
      </c>
      <c r="BN446" s="294">
        <v>0.24</v>
      </c>
    </row>
    <row r="447" spans="1:66">
      <c r="A447" s="361">
        <v>45765</v>
      </c>
      <c r="B447" s="358">
        <v>0.70833333333333404</v>
      </c>
      <c r="C447" s="313">
        <f t="shared" si="16"/>
        <v>18</v>
      </c>
      <c r="D447" s="314" t="s">
        <v>144</v>
      </c>
      <c r="E447" s="286">
        <v>14</v>
      </c>
      <c r="F447" s="287">
        <v>69.06</v>
      </c>
      <c r="G447" s="288" cm="1">
        <f t="array" aca="1" ref="G447" ca="1">INDIRECT("'"&amp;$C447&amp;"'!"&amp;"$"&amp;$D447&amp;$E$1&amp;"")</f>
        <v>6.6</v>
      </c>
      <c r="H447" s="289">
        <v>0.96</v>
      </c>
      <c r="I447" s="287">
        <v>2.0699999999999998</v>
      </c>
      <c r="J447" s="288" cm="1">
        <f t="array" aca="1" ref="J447" ca="1">INDIRECT("'"&amp;$C447&amp;"'!"&amp;"$"&amp;$D447&amp;$J$1&amp;"")</f>
        <v>6.6</v>
      </c>
      <c r="K447" s="289"/>
      <c r="L447" s="289">
        <v>0.93</v>
      </c>
      <c r="M447" s="287">
        <v>2.21</v>
      </c>
      <c r="N447" s="288" cm="1">
        <f t="array" aca="1" ref="N447" ca="1">INDIRECT("'"&amp;$C447&amp;"'!"&amp;"$"&amp;$D447&amp;$N$1&amp;"")</f>
        <v>0</v>
      </c>
      <c r="O447" s="289"/>
      <c r="P447" s="289" t="s">
        <v>1</v>
      </c>
      <c r="Q447" s="287" t="s">
        <v>1</v>
      </c>
      <c r="R447" s="288" cm="1">
        <f t="array" aca="1" ref="R447" ca="1">INDIRECT("'"&amp;$C447&amp;"'!"&amp;"$"&amp;$D447&amp;$R$1&amp;"")</f>
        <v>0</v>
      </c>
      <c r="S447" s="289"/>
      <c r="T447" s="289" t="s">
        <v>1</v>
      </c>
      <c r="U447" s="287" t="s">
        <v>1</v>
      </c>
      <c r="V447" s="288" cm="1">
        <f t="array" aca="1" ref="V447" ca="1">INDIRECT("'"&amp;$C447&amp;"'!"&amp;"$"&amp;$D447&amp;$V$1&amp;"")</f>
        <v>2.8</v>
      </c>
      <c r="W447" s="289">
        <f>3.8*3.49</f>
        <v>13.262</v>
      </c>
      <c r="X447" s="289">
        <v>0.96</v>
      </c>
      <c r="Y447" s="290">
        <v>1.74</v>
      </c>
      <c r="Z447" s="286" cm="1">
        <f t="array" aca="1" ref="Z447" ca="1">INDIRECT("'"&amp;$C447&amp;"'!"&amp;"$"&amp;$D447&amp;$Z$1&amp;"")</f>
        <v>0</v>
      </c>
      <c r="AA447" s="289" t="s">
        <v>1</v>
      </c>
      <c r="AB447" s="289" t="s">
        <v>1</v>
      </c>
      <c r="AC447" s="287" t="s">
        <v>1</v>
      </c>
      <c r="AD447" s="288" t="str" cm="1">
        <f t="array" aca="1" ref="AD447" ca="1">INDIRECT("'"&amp;$C447&amp;"'!"&amp;"$"&amp;$D447&amp;$AD$1&amp;"")</f>
        <v>CMS</v>
      </c>
      <c r="AE447" s="289" t="s">
        <v>1</v>
      </c>
      <c r="AF447" s="289" t="s">
        <v>1</v>
      </c>
      <c r="AG447" s="290" t="s">
        <v>1</v>
      </c>
      <c r="AH447" s="286" cm="1">
        <f t="array" aca="1" ref="AH447" ca="1">INDIRECT("'"&amp;$C447&amp;"'!"&amp;"$"&amp;$D447&amp;$AH$1&amp;"")</f>
        <v>3.8</v>
      </c>
      <c r="AI447" s="289">
        <v>14.08</v>
      </c>
      <c r="AJ447" s="289">
        <v>0.98</v>
      </c>
      <c r="AK447" s="287">
        <v>0.54900000000000004</v>
      </c>
      <c r="AL447" s="286">
        <v>11.9</v>
      </c>
      <c r="AM447" s="290">
        <v>70.400000000000006</v>
      </c>
      <c r="AN447" s="286" cm="1">
        <f t="array" aca="1" ref="AN447" ca="1">INDIRECT("'"&amp;$C447&amp;"'!"&amp;"$"&amp;$D447&amp;$AL$1&amp;"")</f>
        <v>4</v>
      </c>
      <c r="AO447" s="289">
        <v>0.98</v>
      </c>
      <c r="AP447" s="287">
        <v>0.71</v>
      </c>
      <c r="AQ447" s="288" cm="1">
        <f t="array" aca="1" ref="AQ447" ca="1">INDIRECT("'"&amp;$C447&amp;"'!"&amp;"$"&amp;$D447&amp;$AQ$1&amp;"")</f>
        <v>4</v>
      </c>
      <c r="AR447" s="289">
        <v>0.98</v>
      </c>
      <c r="AS447" s="287">
        <v>0.71</v>
      </c>
      <c r="AT447" s="289" cm="1">
        <f t="array" aca="1" ref="AT447" ca="1">INDIRECT("'"&amp;$C447&amp;"'!"&amp;"$"&amp;$D447&amp;$AT$1&amp;"")</f>
        <v>0</v>
      </c>
      <c r="AU447" s="288" t="s">
        <v>1</v>
      </c>
      <c r="AV447" s="289" t="s">
        <v>1</v>
      </c>
      <c r="AW447" s="287" t="s">
        <v>1</v>
      </c>
      <c r="AX447" s="291">
        <v>14.21</v>
      </c>
      <c r="AY447" s="290">
        <v>71.989999999999995</v>
      </c>
      <c r="AZ447" s="291" cm="1">
        <f t="array" aca="1" ref="AZ447" ca="1">INDIRECT("'"&amp;$C447&amp;"'!"&amp;"$"&amp;$D447&amp;$AZ$1&amp;"")</f>
        <v>14.22</v>
      </c>
      <c r="BA447" s="289">
        <v>0.99</v>
      </c>
      <c r="BB447" s="287">
        <v>2.5</v>
      </c>
      <c r="BC447" s="292">
        <v>68</v>
      </c>
      <c r="BD447" s="286" cm="1">
        <f t="array" aca="1" ref="BD447" ca="1">INDIRECT("'"&amp;$C447&amp;"'!"&amp;"$"&amp;$D447&amp;$BC$1&amp;"")</f>
        <v>1.5</v>
      </c>
      <c r="BE447" s="288">
        <v>0.95</v>
      </c>
      <c r="BF447" s="287">
        <v>0.49</v>
      </c>
      <c r="BG447" s="291" cm="1">
        <f t="array" aca="1" ref="BG447" ca="1">INDIRECT("'"&amp;$C447&amp;"'!"&amp;"$"&amp;$D447&amp;$BG$1&amp;"")</f>
        <v>1.19</v>
      </c>
      <c r="BH447" s="289"/>
      <c r="BI447" s="289">
        <v>0.99</v>
      </c>
      <c r="BJ447" s="287">
        <v>0.11</v>
      </c>
      <c r="BK447" s="292" cm="1">
        <f t="array" aca="1" ref="BK447" ca="1">INDIRECT("'"&amp;$C447&amp;"'!"&amp;"$"&amp;$D447&amp;$BK$1&amp;"")</f>
        <v>0.8</v>
      </c>
      <c r="BL447" s="289"/>
      <c r="BM447" s="289">
        <v>0.95</v>
      </c>
      <c r="BN447" s="287">
        <v>0.24</v>
      </c>
    </row>
    <row r="448" spans="1:66">
      <c r="A448" s="361">
        <v>45765</v>
      </c>
      <c r="B448" s="358">
        <v>0.750000000000001</v>
      </c>
      <c r="C448" s="313">
        <f t="shared" si="16"/>
        <v>18</v>
      </c>
      <c r="D448" s="314" t="s">
        <v>145</v>
      </c>
      <c r="E448" s="293">
        <v>14</v>
      </c>
      <c r="F448" s="294">
        <v>69.05</v>
      </c>
      <c r="G448" s="295" cm="1">
        <f t="array" aca="1" ref="G448" ca="1">INDIRECT("'"&amp;$C448&amp;"'!"&amp;"$"&amp;$D448&amp;$E$1&amp;"")</f>
        <v>6.8</v>
      </c>
      <c r="H448" s="296">
        <v>0.95</v>
      </c>
      <c r="I448" s="294">
        <v>2.1800000000000002</v>
      </c>
      <c r="J448" s="295" cm="1">
        <f t="array" aca="1" ref="J448" ca="1">INDIRECT("'"&amp;$C448&amp;"'!"&amp;"$"&amp;$D448&amp;$J$1&amp;"")</f>
        <v>6.8</v>
      </c>
      <c r="K448" s="296"/>
      <c r="L448" s="296">
        <v>0.94</v>
      </c>
      <c r="M448" s="294">
        <v>2.4300000000000002</v>
      </c>
      <c r="N448" s="295" cm="1">
        <f t="array" aca="1" ref="N448" ca="1">INDIRECT("'"&amp;$C448&amp;"'!"&amp;"$"&amp;$D448&amp;$N$1&amp;"")</f>
        <v>0</v>
      </c>
      <c r="O448" s="296"/>
      <c r="P448" s="296" t="s">
        <v>1</v>
      </c>
      <c r="Q448" s="294" t="s">
        <v>1</v>
      </c>
      <c r="R448" s="295" cm="1">
        <f t="array" aca="1" ref="R448" ca="1">INDIRECT("'"&amp;$C448&amp;"'!"&amp;"$"&amp;$D448&amp;$R$1&amp;"")</f>
        <v>0</v>
      </c>
      <c r="S448" s="296"/>
      <c r="T448" s="296" t="s">
        <v>1</v>
      </c>
      <c r="U448" s="294" t="s">
        <v>1</v>
      </c>
      <c r="V448" s="295" cm="1">
        <f t="array" aca="1" ref="V448" ca="1">INDIRECT("'"&amp;$C448&amp;"'!"&amp;"$"&amp;$D448&amp;$V$1&amp;"")</f>
        <v>2.8</v>
      </c>
      <c r="W448" s="296">
        <f>3.8*3.45</f>
        <v>13.11</v>
      </c>
      <c r="X448" s="296">
        <v>0.96</v>
      </c>
      <c r="Y448" s="297">
        <v>0.72</v>
      </c>
      <c r="Z448" s="293" cm="1">
        <f t="array" aca="1" ref="Z448" ca="1">INDIRECT("'"&amp;$C448&amp;"'!"&amp;"$"&amp;$D448&amp;$Z$1&amp;"")</f>
        <v>0</v>
      </c>
      <c r="AA448" s="296" t="s">
        <v>1</v>
      </c>
      <c r="AB448" s="296" t="s">
        <v>1</v>
      </c>
      <c r="AC448" s="294" t="s">
        <v>1</v>
      </c>
      <c r="AD448" s="295" t="str" cm="1">
        <f t="array" aca="1" ref="AD448" ca="1">INDIRECT("'"&amp;$C448&amp;"'!"&amp;"$"&amp;$D448&amp;$AD$1&amp;"")</f>
        <v>CMS</v>
      </c>
      <c r="AE448" s="296" t="s">
        <v>1</v>
      </c>
      <c r="AF448" s="296" t="s">
        <v>1</v>
      </c>
      <c r="AG448" s="297" t="s">
        <v>1</v>
      </c>
      <c r="AH448" s="293" cm="1">
        <f t="array" aca="1" ref="AH448" ca="1">INDIRECT("'"&amp;$C448&amp;"'!"&amp;"$"&amp;$D448&amp;$AH$1&amp;"")</f>
        <v>3.8</v>
      </c>
      <c r="AI448" s="296">
        <v>14.04</v>
      </c>
      <c r="AJ448" s="296">
        <v>0.98</v>
      </c>
      <c r="AK448" s="294">
        <v>0.82</v>
      </c>
      <c r="AL448" s="293">
        <v>11.9</v>
      </c>
      <c r="AM448" s="297">
        <v>70.2</v>
      </c>
      <c r="AN448" s="293" cm="1">
        <f t="array" aca="1" ref="AN448" ca="1">INDIRECT("'"&amp;$C448&amp;"'!"&amp;"$"&amp;$D448&amp;$AL$1&amp;"")</f>
        <v>4.0999999999999996</v>
      </c>
      <c r="AO448" s="296">
        <v>0.98</v>
      </c>
      <c r="AP448" s="294">
        <v>0.9</v>
      </c>
      <c r="AQ448" s="295" cm="1">
        <f t="array" aca="1" ref="AQ448" ca="1">INDIRECT("'"&amp;$C448&amp;"'!"&amp;"$"&amp;$D448&amp;$AQ$1&amp;"")</f>
        <v>4.0999999999999996</v>
      </c>
      <c r="AR448" s="296">
        <v>0.98</v>
      </c>
      <c r="AS448" s="294">
        <v>0.9</v>
      </c>
      <c r="AT448" s="296" cm="1">
        <f t="array" aca="1" ref="AT448" ca="1">INDIRECT("'"&amp;$C448&amp;"'!"&amp;"$"&amp;$D448&amp;$AT$1&amp;"")</f>
        <v>0</v>
      </c>
      <c r="AU448" s="295" t="s">
        <v>1</v>
      </c>
      <c r="AV448" s="296" t="s">
        <v>1</v>
      </c>
      <c r="AW448" s="294" t="s">
        <v>1</v>
      </c>
      <c r="AX448" s="298">
        <v>14.01</v>
      </c>
      <c r="AY448" s="297">
        <v>71.349999999999994</v>
      </c>
      <c r="AZ448" s="298" cm="1">
        <f t="array" aca="1" ref="AZ448" ca="1">INDIRECT("'"&amp;$C448&amp;"'!"&amp;"$"&amp;$D448&amp;$AZ$1&amp;"")</f>
        <v>14.05</v>
      </c>
      <c r="BA448" s="296">
        <v>1</v>
      </c>
      <c r="BB448" s="294">
        <v>1.4</v>
      </c>
      <c r="BC448" s="299">
        <v>67.900000000000006</v>
      </c>
      <c r="BD448" s="293" cm="1">
        <f t="array" aca="1" ref="BD448" ca="1">INDIRECT("'"&amp;$C448&amp;"'!"&amp;"$"&amp;$D448&amp;$BC$1&amp;"")</f>
        <v>1.5</v>
      </c>
      <c r="BE448" s="295">
        <v>0.95</v>
      </c>
      <c r="BF448" s="294">
        <v>0.48</v>
      </c>
      <c r="BG448" s="298" cm="1">
        <f t="array" aca="1" ref="BG448" ca="1">INDIRECT("'"&amp;$C448&amp;"'!"&amp;"$"&amp;$D448&amp;$BG$1&amp;"")</f>
        <v>1.18</v>
      </c>
      <c r="BH448" s="296"/>
      <c r="BI448" s="296">
        <v>0.99</v>
      </c>
      <c r="BJ448" s="294">
        <v>0.18</v>
      </c>
      <c r="BK448" s="299" cm="1">
        <f t="array" aca="1" ref="BK448" ca="1">INDIRECT("'"&amp;$C448&amp;"'!"&amp;"$"&amp;$D448&amp;$BK$1&amp;"")</f>
        <v>0.79</v>
      </c>
      <c r="BL448" s="296"/>
      <c r="BM448" s="296">
        <v>0.95</v>
      </c>
      <c r="BN448" s="294">
        <v>0.24</v>
      </c>
    </row>
    <row r="449" spans="1:66">
      <c r="A449" s="361">
        <v>45765</v>
      </c>
      <c r="B449" s="358">
        <v>0.79166666666666663</v>
      </c>
      <c r="C449" s="313">
        <f t="shared" si="16"/>
        <v>18</v>
      </c>
      <c r="D449" s="314" t="s">
        <v>146</v>
      </c>
      <c r="E449" s="286">
        <v>14.1</v>
      </c>
      <c r="F449" s="287">
        <v>69.25</v>
      </c>
      <c r="G449" s="288" cm="1">
        <f t="array" aca="1" ref="G449" ca="1">INDIRECT("'"&amp;$C449&amp;"'!"&amp;"$"&amp;$D449&amp;$E$1&amp;"")</f>
        <v>6.9</v>
      </c>
      <c r="H449" s="289">
        <v>0.96</v>
      </c>
      <c r="I449" s="287">
        <v>2.12</v>
      </c>
      <c r="J449" s="288" cm="1">
        <f t="array" aca="1" ref="J449" ca="1">INDIRECT("'"&amp;$C449&amp;"'!"&amp;"$"&amp;$D449&amp;$J$1&amp;"")</f>
        <v>6.9</v>
      </c>
      <c r="K449" s="300"/>
      <c r="L449" s="289">
        <v>0.96</v>
      </c>
      <c r="M449" s="287">
        <v>2.13</v>
      </c>
      <c r="N449" s="288" cm="1">
        <f t="array" aca="1" ref="N449" ca="1">INDIRECT("'"&amp;$C449&amp;"'!"&amp;"$"&amp;$D449&amp;$N$1&amp;"")</f>
        <v>6.9</v>
      </c>
      <c r="O449" s="289"/>
      <c r="P449" s="289">
        <v>0.97</v>
      </c>
      <c r="Q449" s="287">
        <v>1.83</v>
      </c>
      <c r="R449" s="288" cm="1">
        <f t="array" aca="1" ref="R449" ca="1">INDIRECT("'"&amp;$C449&amp;"'!"&amp;"$"&amp;$D449&amp;$R$1&amp;"")</f>
        <v>0</v>
      </c>
      <c r="S449" s="289"/>
      <c r="T449" s="289" t="s">
        <v>1</v>
      </c>
      <c r="U449" s="287" t="s">
        <v>1</v>
      </c>
      <c r="V449" s="288" cm="1">
        <f t="array" aca="1" ref="V449" ca="1">INDIRECT("'"&amp;$C449&amp;"'!"&amp;"$"&amp;$D449&amp;$V$1&amp;"")</f>
        <v>2.8</v>
      </c>
      <c r="W449" s="289">
        <f>3.8*3.49</f>
        <v>13.262</v>
      </c>
      <c r="X449" s="289">
        <v>0.96</v>
      </c>
      <c r="Y449" s="290">
        <v>0.74</v>
      </c>
      <c r="Z449" s="286" cm="1">
        <f t="array" aca="1" ref="Z449" ca="1">INDIRECT("'"&amp;$C449&amp;"'!"&amp;"$"&amp;$D449&amp;$Z$1&amp;"")</f>
        <v>0</v>
      </c>
      <c r="AA449" s="289" t="s">
        <v>1</v>
      </c>
      <c r="AB449" s="289" t="s">
        <v>1</v>
      </c>
      <c r="AC449" s="287" t="s">
        <v>1</v>
      </c>
      <c r="AD449" s="288" t="str" cm="1">
        <f t="array" aca="1" ref="AD449" ca="1">INDIRECT("'"&amp;$C449&amp;"'!"&amp;"$"&amp;$D449&amp;$AD$1&amp;"")</f>
        <v>CMS</v>
      </c>
      <c r="AE449" s="289" t="s">
        <v>1</v>
      </c>
      <c r="AF449" s="289" t="s">
        <v>1</v>
      </c>
      <c r="AG449" s="290" t="s">
        <v>1</v>
      </c>
      <c r="AH449" s="286" cm="1">
        <f t="array" aca="1" ref="AH449" ca="1">INDIRECT("'"&amp;$C449&amp;"'!"&amp;"$"&amp;$D449&amp;$AH$1&amp;"")</f>
        <v>3.8</v>
      </c>
      <c r="AI449" s="289">
        <v>14</v>
      </c>
      <c r="AJ449" s="289">
        <v>0.96</v>
      </c>
      <c r="AK449" s="287">
        <v>1.03</v>
      </c>
      <c r="AL449" s="286">
        <v>11.9</v>
      </c>
      <c r="AM449" s="290">
        <v>70.2</v>
      </c>
      <c r="AN449" s="286" cm="1">
        <f t="array" aca="1" ref="AN449" ca="1">INDIRECT("'"&amp;$C449&amp;"'!"&amp;"$"&amp;$D449&amp;$AL$1&amp;"")</f>
        <v>4.2</v>
      </c>
      <c r="AO449" s="289">
        <v>0.97</v>
      </c>
      <c r="AP449" s="287">
        <v>0.93</v>
      </c>
      <c r="AQ449" s="288" cm="1">
        <f t="array" aca="1" ref="AQ449" ca="1">INDIRECT("'"&amp;$C449&amp;"'!"&amp;"$"&amp;$D449&amp;$AQ$1&amp;"")</f>
        <v>4.2</v>
      </c>
      <c r="AR449" s="289">
        <v>0.97</v>
      </c>
      <c r="AS449" s="287">
        <v>0.93</v>
      </c>
      <c r="AT449" s="289" cm="1">
        <f t="array" aca="1" ref="AT449" ca="1">INDIRECT("'"&amp;$C449&amp;"'!"&amp;"$"&amp;$D449&amp;$AT$1&amp;"")</f>
        <v>0</v>
      </c>
      <c r="AU449" s="288" t="s">
        <v>1</v>
      </c>
      <c r="AV449" s="289" t="s">
        <v>1</v>
      </c>
      <c r="AW449" s="287" t="s">
        <v>1</v>
      </c>
      <c r="AX449" s="291">
        <v>13.97</v>
      </c>
      <c r="AY449" s="290">
        <v>71.05</v>
      </c>
      <c r="AZ449" s="291" cm="1">
        <f t="array" aca="1" ref="AZ449" ca="1">INDIRECT("'"&amp;$C449&amp;"'!"&amp;"$"&amp;$D449&amp;$AZ$1&amp;"")</f>
        <v>14.2</v>
      </c>
      <c r="BA449" s="289">
        <v>1</v>
      </c>
      <c r="BB449" s="287">
        <v>1.4</v>
      </c>
      <c r="BC449" s="292">
        <v>68.099999999999994</v>
      </c>
      <c r="BD449" s="286" cm="1">
        <f t="array" aca="1" ref="BD449" ca="1">INDIRECT("'"&amp;$C449&amp;"'!"&amp;"$"&amp;$D449&amp;$BC$1&amp;"")</f>
        <v>1.5</v>
      </c>
      <c r="BE449" s="288">
        <v>0.96</v>
      </c>
      <c r="BF449" s="287">
        <v>0.43</v>
      </c>
      <c r="BG449" s="291" cm="1">
        <f t="array" aca="1" ref="BG449" ca="1">INDIRECT("'"&amp;$C449&amp;"'!"&amp;"$"&amp;$D449&amp;$BG$1&amp;"")</f>
        <v>1.5</v>
      </c>
      <c r="BH449" s="289"/>
      <c r="BI449" s="289">
        <v>0.95</v>
      </c>
      <c r="BJ449" s="287">
        <v>0.2</v>
      </c>
      <c r="BK449" s="292" cm="1">
        <f t="array" aca="1" ref="BK449" ca="1">INDIRECT("'"&amp;$C449&amp;"'!"&amp;"$"&amp;$D449&amp;$BK$1&amp;"")</f>
        <v>0.93</v>
      </c>
      <c r="BL449" s="289"/>
      <c r="BM449" s="289">
        <v>0.96</v>
      </c>
      <c r="BN449" s="287">
        <v>0.25</v>
      </c>
    </row>
    <row r="450" spans="1:66">
      <c r="A450" s="361">
        <v>45765</v>
      </c>
      <c r="B450" s="358">
        <v>0.83333333333333337</v>
      </c>
      <c r="C450" s="313">
        <f t="shared" si="16"/>
        <v>18</v>
      </c>
      <c r="D450" s="314" t="s">
        <v>147</v>
      </c>
      <c r="E450" s="293">
        <v>14</v>
      </c>
      <c r="F450" s="294">
        <v>69.709999999999994</v>
      </c>
      <c r="G450" s="295" cm="1">
        <f t="array" aca="1" ref="G450" ca="1">INDIRECT("'"&amp;$C450&amp;"'!"&amp;"$"&amp;$D450&amp;$E$1&amp;"")</f>
        <v>6.8</v>
      </c>
      <c r="H450" s="296">
        <v>0.96</v>
      </c>
      <c r="I450" s="294">
        <v>2.0299999999999998</v>
      </c>
      <c r="J450" s="295" cm="1">
        <f t="array" aca="1" ref="J450" ca="1">INDIRECT("'"&amp;$C450&amp;"'!"&amp;"$"&amp;$D450&amp;$J$1&amp;"")</f>
        <v>6.8</v>
      </c>
      <c r="K450" s="296"/>
      <c r="L450" s="296">
        <v>0.96</v>
      </c>
      <c r="M450" s="294">
        <v>2.0099999999999998</v>
      </c>
      <c r="N450" s="295" cm="1">
        <f t="array" aca="1" ref="N450" ca="1">INDIRECT("'"&amp;$C450&amp;"'!"&amp;"$"&amp;$D450&amp;$N$1&amp;"")</f>
        <v>6.8</v>
      </c>
      <c r="O450" s="296"/>
      <c r="P450" s="296">
        <v>0.96</v>
      </c>
      <c r="Q450" s="294">
        <v>2.04</v>
      </c>
      <c r="R450" s="295" cm="1">
        <f t="array" aca="1" ref="R450" ca="1">INDIRECT("'"&amp;$C450&amp;"'!"&amp;"$"&amp;$D450&amp;$R$1&amp;"")</f>
        <v>0</v>
      </c>
      <c r="S450" s="296"/>
      <c r="T450" s="296" t="s">
        <v>1</v>
      </c>
      <c r="U450" s="294" t="s">
        <v>1</v>
      </c>
      <c r="V450" s="295" cm="1">
        <f t="array" aca="1" ref="V450" ca="1">INDIRECT("'"&amp;$C450&amp;"'!"&amp;"$"&amp;$D450&amp;$V$1&amp;"")</f>
        <v>2.8</v>
      </c>
      <c r="W450" s="296">
        <f>3.8*3.5</f>
        <v>13.299999999999999</v>
      </c>
      <c r="X450" s="296">
        <v>0.97</v>
      </c>
      <c r="Y450" s="297">
        <v>0.68</v>
      </c>
      <c r="Z450" s="293" cm="1">
        <f t="array" aca="1" ref="Z450" ca="1">INDIRECT("'"&amp;$C450&amp;"'!"&amp;"$"&amp;$D450&amp;$Z$1&amp;"")</f>
        <v>0</v>
      </c>
      <c r="AA450" s="296" t="s">
        <v>1</v>
      </c>
      <c r="AB450" s="296" t="s">
        <v>1</v>
      </c>
      <c r="AC450" s="294" t="s">
        <v>1</v>
      </c>
      <c r="AD450" s="295" t="str" cm="1">
        <f t="array" aca="1" ref="AD450" ca="1">INDIRECT("'"&amp;$C450&amp;"'!"&amp;"$"&amp;$D450&amp;$AD$1&amp;"")</f>
        <v>CMS</v>
      </c>
      <c r="AE450" s="296" t="s">
        <v>1</v>
      </c>
      <c r="AF450" s="296" t="s">
        <v>1</v>
      </c>
      <c r="AG450" s="297" t="s">
        <v>1</v>
      </c>
      <c r="AH450" s="293" cm="1">
        <f t="array" aca="1" ref="AH450" ca="1">INDIRECT("'"&amp;$C450&amp;"'!"&amp;"$"&amp;$D450&amp;$AH$1&amp;"")</f>
        <v>3.8</v>
      </c>
      <c r="AI450" s="296">
        <v>14</v>
      </c>
      <c r="AJ450" s="296">
        <v>0.96</v>
      </c>
      <c r="AK450" s="294">
        <v>1.1200000000000001</v>
      </c>
      <c r="AL450" s="293">
        <v>11.9</v>
      </c>
      <c r="AM450" s="297">
        <v>70.2</v>
      </c>
      <c r="AN450" s="293" cm="1">
        <f t="array" aca="1" ref="AN450" ca="1">INDIRECT("'"&amp;$C450&amp;"'!"&amp;"$"&amp;$D450&amp;$AL$1&amp;"")</f>
        <v>4.0999999999999996</v>
      </c>
      <c r="AO450" s="296">
        <v>0.98</v>
      </c>
      <c r="AP450" s="294">
        <v>0.86</v>
      </c>
      <c r="AQ450" s="295" cm="1">
        <f t="array" aca="1" ref="AQ450" ca="1">INDIRECT("'"&amp;$C450&amp;"'!"&amp;"$"&amp;$D450&amp;$AQ$1&amp;"")</f>
        <v>4.0999999999999996</v>
      </c>
      <c r="AR450" s="296">
        <v>0.98</v>
      </c>
      <c r="AS450" s="294">
        <v>0.86</v>
      </c>
      <c r="AT450" s="296" cm="1">
        <f t="array" aca="1" ref="AT450" ca="1">INDIRECT("'"&amp;$C450&amp;"'!"&amp;"$"&amp;$D450&amp;$AT$1&amp;"")</f>
        <v>0</v>
      </c>
      <c r="AU450" s="295" t="s">
        <v>1</v>
      </c>
      <c r="AV450" s="296" t="s">
        <v>1</v>
      </c>
      <c r="AW450" s="294" t="s">
        <v>1</v>
      </c>
      <c r="AX450" s="298">
        <v>13.99</v>
      </c>
      <c r="AY450" s="297">
        <v>71.16</v>
      </c>
      <c r="AZ450" s="298" cm="1">
        <f t="array" aca="1" ref="AZ450" ca="1">INDIRECT("'"&amp;$C450&amp;"'!"&amp;"$"&amp;$D450&amp;$AZ$1&amp;"")</f>
        <v>14.18</v>
      </c>
      <c r="BA450" s="296">
        <v>1</v>
      </c>
      <c r="BB450" s="294">
        <v>1.4</v>
      </c>
      <c r="BC450" s="299">
        <v>68.3</v>
      </c>
      <c r="BD450" s="293" cm="1">
        <f t="array" aca="1" ref="BD450" ca="1">INDIRECT("'"&amp;$C450&amp;"'!"&amp;"$"&amp;$D450&amp;$BC$1&amp;"")</f>
        <v>2.0999999999999996</v>
      </c>
      <c r="BE450" s="295">
        <v>0.96</v>
      </c>
      <c r="BF450" s="294">
        <v>0.61</v>
      </c>
      <c r="BG450" s="298" cm="1">
        <f t="array" aca="1" ref="BG450" ca="1">INDIRECT("'"&amp;$C450&amp;"'!"&amp;"$"&amp;$D450&amp;$BG$1&amp;"")</f>
        <v>1.52</v>
      </c>
      <c r="BH450" s="296"/>
      <c r="BI450" s="296">
        <v>0.99</v>
      </c>
      <c r="BJ450" s="294">
        <v>0.19</v>
      </c>
      <c r="BK450" s="299" cm="1">
        <f t="array" aca="1" ref="BK450" ca="1">INDIRECT("'"&amp;$C450&amp;"'!"&amp;"$"&amp;$D450&amp;$BK$1&amp;"")</f>
        <v>0.97</v>
      </c>
      <c r="BL450" s="296"/>
      <c r="BM450" s="296">
        <v>0.96</v>
      </c>
      <c r="BN450" s="294">
        <v>0.25</v>
      </c>
    </row>
    <row r="451" spans="1:66">
      <c r="A451" s="361">
        <v>45765</v>
      </c>
      <c r="B451" s="358">
        <v>0.875000000000001</v>
      </c>
      <c r="C451" s="313">
        <f t="shared" si="16"/>
        <v>18</v>
      </c>
      <c r="D451" s="314" t="s">
        <v>148</v>
      </c>
      <c r="E451" s="286">
        <v>14</v>
      </c>
      <c r="F451" s="287">
        <v>69.510000000000005</v>
      </c>
      <c r="G451" s="288" cm="1">
        <f t="array" aca="1" ref="G451" ca="1">INDIRECT("'"&amp;$C451&amp;"'!"&amp;"$"&amp;$D451&amp;$E$1&amp;"")</f>
        <v>6.8</v>
      </c>
      <c r="H451" s="289">
        <v>0.94</v>
      </c>
      <c r="I451" s="287">
        <v>2.5</v>
      </c>
      <c r="J451" s="288" cm="1">
        <f t="array" aca="1" ref="J451" ca="1">INDIRECT("'"&amp;$C451&amp;"'!"&amp;"$"&amp;$D451&amp;$J$1&amp;"")</f>
        <v>6.8</v>
      </c>
      <c r="K451" s="289"/>
      <c r="L451" s="289">
        <v>0.94</v>
      </c>
      <c r="M451" s="287">
        <v>2.5099999999999998</v>
      </c>
      <c r="N451" s="288" cm="1">
        <f t="array" aca="1" ref="N451" ca="1">INDIRECT("'"&amp;$C451&amp;"'!"&amp;"$"&amp;$D451&amp;$N$1&amp;"")</f>
        <v>6.8</v>
      </c>
      <c r="O451" s="289"/>
      <c r="P451" s="289">
        <v>0.94</v>
      </c>
      <c r="Q451" s="287">
        <v>2.52</v>
      </c>
      <c r="R451" s="288" cm="1">
        <f t="array" aca="1" ref="R451" ca="1">INDIRECT("'"&amp;$C451&amp;"'!"&amp;"$"&amp;$D451&amp;$R$1&amp;"")</f>
        <v>0</v>
      </c>
      <c r="S451" s="289"/>
      <c r="T451" s="289" t="s">
        <v>1</v>
      </c>
      <c r="U451" s="287" t="s">
        <v>1</v>
      </c>
      <c r="V451" s="288" cm="1">
        <f t="array" aca="1" ref="V451" ca="1">INDIRECT("'"&amp;$C451&amp;"'!"&amp;"$"&amp;$D451&amp;$V$1&amp;"")</f>
        <v>2.8</v>
      </c>
      <c r="W451" s="289">
        <f>3.8*3.49</f>
        <v>13.262</v>
      </c>
      <c r="X451" s="289">
        <v>0.97</v>
      </c>
      <c r="Y451" s="290">
        <v>0.67</v>
      </c>
      <c r="Z451" s="286" cm="1">
        <f t="array" aca="1" ref="Z451" ca="1">INDIRECT("'"&amp;$C451&amp;"'!"&amp;"$"&amp;$D451&amp;$Z$1&amp;"")</f>
        <v>0</v>
      </c>
      <c r="AA451" s="289" t="s">
        <v>1</v>
      </c>
      <c r="AB451" s="289" t="s">
        <v>1</v>
      </c>
      <c r="AC451" s="287" t="s">
        <v>1</v>
      </c>
      <c r="AD451" s="288" t="str" cm="1">
        <f t="array" aca="1" ref="AD451" ca="1">INDIRECT("'"&amp;$C451&amp;"'!"&amp;"$"&amp;$D451&amp;$AD$1&amp;"")</f>
        <v>CMS</v>
      </c>
      <c r="AE451" s="289" t="s">
        <v>1</v>
      </c>
      <c r="AF451" s="289" t="s">
        <v>1</v>
      </c>
      <c r="AG451" s="290" t="s">
        <v>1</v>
      </c>
      <c r="AH451" s="286" cm="1">
        <f t="array" aca="1" ref="AH451" ca="1">INDIRECT("'"&amp;$C451&amp;"'!"&amp;"$"&amp;$D451&amp;$AH$1&amp;"")</f>
        <v>3.8</v>
      </c>
      <c r="AI451" s="289">
        <v>14</v>
      </c>
      <c r="AJ451" s="289">
        <v>0.97</v>
      </c>
      <c r="AK451" s="287">
        <v>1.04</v>
      </c>
      <c r="AL451" s="286">
        <v>11.8</v>
      </c>
      <c r="AM451" s="290">
        <v>70.2</v>
      </c>
      <c r="AN451" s="286" cm="1">
        <f t="array" aca="1" ref="AN451" ca="1">INDIRECT("'"&amp;$C451&amp;"'!"&amp;"$"&amp;$D451&amp;$AL$1&amp;"")</f>
        <v>4.2</v>
      </c>
      <c r="AO451" s="289">
        <v>0.97</v>
      </c>
      <c r="AP451" s="287">
        <v>0.84</v>
      </c>
      <c r="AQ451" s="288" cm="1">
        <f t="array" aca="1" ref="AQ451" ca="1">INDIRECT("'"&amp;$C451&amp;"'!"&amp;"$"&amp;$D451&amp;$AQ$1&amp;"")</f>
        <v>4.2</v>
      </c>
      <c r="AR451" s="289">
        <v>0.97</v>
      </c>
      <c r="AS451" s="287">
        <v>0.84</v>
      </c>
      <c r="AT451" s="289" cm="1">
        <f t="array" aca="1" ref="AT451" ca="1">INDIRECT("'"&amp;$C451&amp;"'!"&amp;"$"&amp;$D451&amp;$AT$1&amp;"")</f>
        <v>0</v>
      </c>
      <c r="AU451" s="288" t="s">
        <v>1</v>
      </c>
      <c r="AV451" s="289" t="s">
        <v>1</v>
      </c>
      <c r="AW451" s="287" t="s">
        <v>1</v>
      </c>
      <c r="AX451" s="291">
        <v>13.98</v>
      </c>
      <c r="AY451" s="290">
        <v>71.2</v>
      </c>
      <c r="AZ451" s="291" cm="1">
        <f t="array" aca="1" ref="AZ451" ca="1">INDIRECT("'"&amp;$C451&amp;"'!"&amp;"$"&amp;$D451&amp;$AZ$1&amp;"")</f>
        <v>14.26</v>
      </c>
      <c r="BA451" s="289">
        <v>1</v>
      </c>
      <c r="BB451" s="287">
        <v>1.4</v>
      </c>
      <c r="BC451" s="292">
        <v>68.400000000000006</v>
      </c>
      <c r="BD451" s="286" cm="1">
        <f t="array" aca="1" ref="BD451" ca="1">INDIRECT("'"&amp;$C451&amp;"'!"&amp;"$"&amp;$D451&amp;$BC$1&amp;"")</f>
        <v>2.2000000000000002</v>
      </c>
      <c r="BE451" s="288">
        <v>0.96</v>
      </c>
      <c r="BF451" s="287">
        <v>0.63</v>
      </c>
      <c r="BG451" s="291" cm="1">
        <f t="array" aca="1" ref="BG451" ca="1">INDIRECT("'"&amp;$C451&amp;"'!"&amp;"$"&amp;$D451&amp;$BG$1&amp;"")</f>
        <v>1.51</v>
      </c>
      <c r="BH451" s="289"/>
      <c r="BI451" s="289">
        <v>0.99</v>
      </c>
      <c r="BJ451" s="287">
        <v>0.19</v>
      </c>
      <c r="BK451" s="292" cm="1">
        <f t="array" aca="1" ref="BK451" ca="1">INDIRECT("'"&amp;$C451&amp;"'!"&amp;"$"&amp;$D451&amp;$BK$1&amp;"")</f>
        <v>0.91</v>
      </c>
      <c r="BL451" s="289"/>
      <c r="BM451" s="289">
        <v>0.96</v>
      </c>
      <c r="BN451" s="287">
        <v>0.24</v>
      </c>
    </row>
    <row r="452" spans="1:66">
      <c r="A452" s="361">
        <v>45765</v>
      </c>
      <c r="B452" s="358">
        <v>0.91666666666666696</v>
      </c>
      <c r="C452" s="313">
        <f t="shared" si="16"/>
        <v>18</v>
      </c>
      <c r="D452" s="314" t="s">
        <v>149</v>
      </c>
      <c r="E452" s="293">
        <v>14</v>
      </c>
      <c r="F452" s="294">
        <v>69.53</v>
      </c>
      <c r="G452" s="295" cm="1">
        <f t="array" aca="1" ref="G452" ca="1">INDIRECT("'"&amp;$C452&amp;"'!"&amp;"$"&amp;$D452&amp;$E$1&amp;"")</f>
        <v>6.6</v>
      </c>
      <c r="H452" s="296">
        <v>0.94</v>
      </c>
      <c r="I452" s="294">
        <v>2.34</v>
      </c>
      <c r="J452" s="295" cm="1">
        <f t="array" aca="1" ref="J452" ca="1">INDIRECT("'"&amp;$C452&amp;"'!"&amp;"$"&amp;$D452&amp;$J$1&amp;"")</f>
        <v>6.6</v>
      </c>
      <c r="K452" s="296"/>
      <c r="L452" s="296">
        <v>0.94</v>
      </c>
      <c r="M452" s="294">
        <v>2.3199999999999998</v>
      </c>
      <c r="N452" s="295" cm="1">
        <f t="array" aca="1" ref="N452" ca="1">INDIRECT("'"&amp;$C452&amp;"'!"&amp;"$"&amp;$D452&amp;$N$1&amp;"")</f>
        <v>6.6</v>
      </c>
      <c r="O452" s="296"/>
      <c r="P452" s="296">
        <v>0.94</v>
      </c>
      <c r="Q452" s="294">
        <v>2.35</v>
      </c>
      <c r="R452" s="295" cm="1">
        <f t="array" aca="1" ref="R452" ca="1">INDIRECT("'"&amp;$C452&amp;"'!"&amp;"$"&amp;$D452&amp;$R$1&amp;"")</f>
        <v>0</v>
      </c>
      <c r="S452" s="296"/>
      <c r="T452" s="296" t="s">
        <v>1</v>
      </c>
      <c r="U452" s="294" t="s">
        <v>1</v>
      </c>
      <c r="V452" s="295" cm="1">
        <f t="array" aca="1" ref="V452" ca="1">INDIRECT("'"&amp;$C452&amp;"'!"&amp;"$"&amp;$D452&amp;$V$1&amp;"")</f>
        <v>2.8</v>
      </c>
      <c r="W452" s="296">
        <f>3.8*3.48</f>
        <v>13.224</v>
      </c>
      <c r="X452" s="296">
        <v>0.97</v>
      </c>
      <c r="Y452" s="297">
        <v>0.65</v>
      </c>
      <c r="Z452" s="293" cm="1">
        <f t="array" aca="1" ref="Z452" ca="1">INDIRECT("'"&amp;$C452&amp;"'!"&amp;"$"&amp;$D452&amp;$Z$1&amp;"")</f>
        <v>0</v>
      </c>
      <c r="AA452" s="296" t="s">
        <v>1</v>
      </c>
      <c r="AB452" s="296" t="s">
        <v>1</v>
      </c>
      <c r="AC452" s="294" t="s">
        <v>1</v>
      </c>
      <c r="AD452" s="295" t="str" cm="1">
        <f t="array" aca="1" ref="AD452" ca="1">INDIRECT("'"&amp;$C452&amp;"'!"&amp;"$"&amp;$D452&amp;$AD$1&amp;"")</f>
        <v>CMS</v>
      </c>
      <c r="AE452" s="296" t="s">
        <v>1</v>
      </c>
      <c r="AF452" s="296" t="s">
        <v>1</v>
      </c>
      <c r="AG452" s="297" t="s">
        <v>1</v>
      </c>
      <c r="AH452" s="293" cm="1">
        <f t="array" aca="1" ref="AH452" ca="1">INDIRECT("'"&amp;$C452&amp;"'!"&amp;"$"&amp;$D452&amp;$AH$1&amp;"")</f>
        <v>3.8</v>
      </c>
      <c r="AI452" s="296">
        <v>14</v>
      </c>
      <c r="AJ452" s="296">
        <v>0.97</v>
      </c>
      <c r="AK452" s="294">
        <v>1</v>
      </c>
      <c r="AL452" s="293">
        <v>11.8</v>
      </c>
      <c r="AM452" s="297">
        <v>70.2</v>
      </c>
      <c r="AN452" s="293" cm="1">
        <f t="array" aca="1" ref="AN452" ca="1">INDIRECT("'"&amp;$C452&amp;"'!"&amp;"$"&amp;$D452&amp;$AL$1&amp;"")</f>
        <v>4</v>
      </c>
      <c r="AO452" s="296">
        <v>0.97</v>
      </c>
      <c r="AP452" s="294">
        <v>0.87</v>
      </c>
      <c r="AQ452" s="295" cm="1">
        <f t="array" aca="1" ref="AQ452" ca="1">INDIRECT("'"&amp;$C452&amp;"'!"&amp;"$"&amp;$D452&amp;$AQ$1&amp;"")</f>
        <v>4</v>
      </c>
      <c r="AR452" s="296">
        <v>0.97</v>
      </c>
      <c r="AS452" s="294">
        <v>0.87</v>
      </c>
      <c r="AT452" s="296" cm="1">
        <f t="array" aca="1" ref="AT452" ca="1">INDIRECT("'"&amp;$C452&amp;"'!"&amp;"$"&amp;$D452&amp;$AT$1&amp;"")</f>
        <v>0</v>
      </c>
      <c r="AU452" s="295" t="s">
        <v>1</v>
      </c>
      <c r="AV452" s="296" t="s">
        <v>1</v>
      </c>
      <c r="AW452" s="294" t="s">
        <v>1</v>
      </c>
      <c r="AX452" s="298">
        <v>14.02</v>
      </c>
      <c r="AY452" s="297">
        <v>71.2</v>
      </c>
      <c r="AZ452" s="298" cm="1">
        <f t="array" aca="1" ref="AZ452" ca="1">INDIRECT("'"&amp;$C452&amp;"'!"&amp;"$"&amp;$D452&amp;$AZ$1&amp;"")</f>
        <v>14.27</v>
      </c>
      <c r="BA452" s="296">
        <v>1</v>
      </c>
      <c r="BB452" s="294">
        <v>1.4</v>
      </c>
      <c r="BC452" s="299">
        <v>68.099999999999994</v>
      </c>
      <c r="BD452" s="293" cm="1">
        <f t="array" aca="1" ref="BD452" ca="1">INDIRECT("'"&amp;$C452&amp;"'!"&amp;"$"&amp;$D452&amp;$BC$1&amp;"")</f>
        <v>1.5</v>
      </c>
      <c r="BE452" s="295">
        <v>0.96</v>
      </c>
      <c r="BF452" s="294">
        <v>0.45</v>
      </c>
      <c r="BG452" s="298" cm="1">
        <f t="array" aca="1" ref="BG452" ca="1">INDIRECT("'"&amp;$C452&amp;"'!"&amp;"$"&amp;$D452&amp;$BG$1&amp;"")</f>
        <v>1.33</v>
      </c>
      <c r="BH452" s="296"/>
      <c r="BI452" s="296">
        <v>0.99</v>
      </c>
      <c r="BJ452" s="294">
        <v>0.16</v>
      </c>
      <c r="BK452" s="299" cm="1">
        <f t="array" aca="1" ref="BK452" ca="1">INDIRECT("'"&amp;$C452&amp;"'!"&amp;"$"&amp;$D452&amp;$BK$1&amp;"")</f>
        <v>0.87</v>
      </c>
      <c r="BL452" s="296"/>
      <c r="BM452" s="296">
        <v>0.97</v>
      </c>
      <c r="BN452" s="294">
        <v>0.22</v>
      </c>
    </row>
    <row r="453" spans="1:66" ht="14.45" thickBot="1">
      <c r="A453" s="362">
        <v>45765</v>
      </c>
      <c r="B453" s="359">
        <v>0.95833333333333404</v>
      </c>
      <c r="C453" s="315">
        <f t="shared" si="16"/>
        <v>18</v>
      </c>
      <c r="D453" s="316" t="s">
        <v>150</v>
      </c>
      <c r="E453" s="301">
        <v>14</v>
      </c>
      <c r="F453" s="302">
        <v>69.349999999999994</v>
      </c>
      <c r="G453" s="303" cm="1">
        <f t="array" aca="1" ref="G453" ca="1">INDIRECT("'"&amp;$C453&amp;"'!"&amp;"$"&amp;$D453&amp;$E$1&amp;"")</f>
        <v>6.5</v>
      </c>
      <c r="H453" s="304">
        <v>0.94</v>
      </c>
      <c r="I453" s="302">
        <v>2</v>
      </c>
      <c r="J453" s="303" cm="1">
        <f t="array" aca="1" ref="J453" ca="1">INDIRECT("'"&amp;$C453&amp;"'!"&amp;"$"&amp;$D453&amp;$J$1&amp;"")</f>
        <v>6.5</v>
      </c>
      <c r="K453" s="304"/>
      <c r="L453" s="304">
        <v>0.94</v>
      </c>
      <c r="M453" s="302">
        <v>2.04</v>
      </c>
      <c r="N453" s="303" cm="1">
        <f t="array" aca="1" ref="N453" ca="1">INDIRECT("'"&amp;$C453&amp;"'!"&amp;"$"&amp;$D453&amp;$N$1&amp;"")</f>
        <v>6.5</v>
      </c>
      <c r="O453" s="304"/>
      <c r="P453" s="304">
        <v>0.94</v>
      </c>
      <c r="Q453" s="302">
        <v>2.02</v>
      </c>
      <c r="R453" s="303" cm="1">
        <f t="array" aca="1" ref="R453" ca="1">INDIRECT("'"&amp;$C453&amp;"'!"&amp;"$"&amp;$D453&amp;$R$1&amp;"")</f>
        <v>0</v>
      </c>
      <c r="S453" s="304"/>
      <c r="T453" s="304" t="s">
        <v>1</v>
      </c>
      <c r="U453" s="302" t="s">
        <v>1</v>
      </c>
      <c r="V453" s="303" cm="1">
        <f t="array" aca="1" ref="V453" ca="1">INDIRECT("'"&amp;$C453&amp;"'!"&amp;"$"&amp;$D453&amp;$V$1&amp;"")</f>
        <v>2.1</v>
      </c>
      <c r="W453" s="304">
        <f>3.8*3.49</f>
        <v>13.262</v>
      </c>
      <c r="X453" s="304">
        <v>0.98</v>
      </c>
      <c r="Y453" s="305">
        <v>0.42</v>
      </c>
      <c r="Z453" s="301" cm="1">
        <f t="array" aca="1" ref="Z453" ca="1">INDIRECT("'"&amp;$C453&amp;"'!"&amp;"$"&amp;$D453&amp;$Z$1&amp;"")</f>
        <v>0</v>
      </c>
      <c r="AA453" s="304" t="s">
        <v>1</v>
      </c>
      <c r="AB453" s="304" t="s">
        <v>1</v>
      </c>
      <c r="AC453" s="302" t="s">
        <v>1</v>
      </c>
      <c r="AD453" s="303" t="str" cm="1">
        <f t="array" aca="1" ref="AD453" ca="1">INDIRECT("'"&amp;$C453&amp;"'!"&amp;"$"&amp;$D453&amp;$AD$1&amp;"")</f>
        <v>CMS</v>
      </c>
      <c r="AE453" s="304" t="s">
        <v>1</v>
      </c>
      <c r="AF453" s="304" t="s">
        <v>1</v>
      </c>
      <c r="AG453" s="305" t="s">
        <v>1</v>
      </c>
      <c r="AH453" s="301" cm="1">
        <f t="array" aca="1" ref="AH453" ca="1">INDIRECT("'"&amp;$C453&amp;"'!"&amp;"$"&amp;$D453&amp;$AH$1&amp;"")</f>
        <v>3.2</v>
      </c>
      <c r="AI453" s="304">
        <v>14</v>
      </c>
      <c r="AJ453" s="304">
        <v>0.97</v>
      </c>
      <c r="AK453" s="302">
        <v>0.98</v>
      </c>
      <c r="AL453" s="301">
        <v>11.8</v>
      </c>
      <c r="AM453" s="305">
        <v>70.2</v>
      </c>
      <c r="AN453" s="301" cm="1">
        <f t="array" aca="1" ref="AN453" ca="1">INDIRECT("'"&amp;$C453&amp;"'!"&amp;"$"&amp;$D453&amp;$AL$1&amp;"")</f>
        <v>4</v>
      </c>
      <c r="AO453" s="304">
        <v>0.97</v>
      </c>
      <c r="AP453" s="302">
        <v>0.83</v>
      </c>
      <c r="AQ453" s="303" cm="1">
        <f t="array" aca="1" ref="AQ453" ca="1">INDIRECT("'"&amp;$C453&amp;"'!"&amp;"$"&amp;$D453&amp;$AQ$1&amp;"")</f>
        <v>4</v>
      </c>
      <c r="AR453" s="304">
        <v>0.97</v>
      </c>
      <c r="AS453" s="302">
        <v>0.83</v>
      </c>
      <c r="AT453" s="304" cm="1">
        <f t="array" aca="1" ref="AT453" ca="1">INDIRECT("'"&amp;$C453&amp;"'!"&amp;"$"&amp;$D453&amp;$AT$1&amp;"")</f>
        <v>0</v>
      </c>
      <c r="AU453" s="303" t="s">
        <v>1</v>
      </c>
      <c r="AV453" s="304" t="s">
        <v>1</v>
      </c>
      <c r="AW453" s="302" t="s">
        <v>1</v>
      </c>
      <c r="AX453" s="306">
        <v>14.03</v>
      </c>
      <c r="AY453" s="305">
        <v>71.38</v>
      </c>
      <c r="AZ453" s="306" cm="1">
        <f t="array" aca="1" ref="AZ453" ca="1">INDIRECT("'"&amp;$C453&amp;"'!"&amp;"$"&amp;$D453&amp;$AZ$1&amp;"")</f>
        <v>14.26</v>
      </c>
      <c r="BA453" s="304">
        <v>1</v>
      </c>
      <c r="BB453" s="302">
        <v>1.5</v>
      </c>
      <c r="BC453" s="307">
        <v>67.900000000000006</v>
      </c>
      <c r="BD453" s="301" cm="1">
        <f t="array" aca="1" ref="BD453" ca="1">INDIRECT("'"&amp;$C453&amp;"'!"&amp;"$"&amp;$D453&amp;$BC$1&amp;"")</f>
        <v>0</v>
      </c>
      <c r="BE453" s="303" t="s">
        <v>1</v>
      </c>
      <c r="BF453" s="302" t="s">
        <v>1</v>
      </c>
      <c r="BG453" s="306" cm="1">
        <f t="array" aca="1" ref="BG453" ca="1">INDIRECT("'"&amp;$C453&amp;"'!"&amp;"$"&amp;$D453&amp;$BG$1&amp;"")</f>
        <v>1.23</v>
      </c>
      <c r="BH453" s="304"/>
      <c r="BI453" s="304">
        <v>0.99</v>
      </c>
      <c r="BJ453" s="302">
        <v>0.17</v>
      </c>
      <c r="BK453" s="307" cm="1">
        <f t="array" aca="1" ref="BK453" ca="1">INDIRECT("'"&amp;$C453&amp;"'!"&amp;"$"&amp;$D453&amp;$BK$1&amp;"")</f>
        <v>0.83</v>
      </c>
      <c r="BL453" s="304"/>
      <c r="BM453" s="304">
        <v>0.96</v>
      </c>
      <c r="BN453" s="302">
        <v>0.22</v>
      </c>
    </row>
    <row r="454" spans="1:66" ht="14.45" thickBot="1"/>
    <row r="455" spans="1:66">
      <c r="A455" s="360">
        <v>45766</v>
      </c>
      <c r="B455" s="357">
        <v>0</v>
      </c>
      <c r="C455" s="310">
        <f>C430+1</f>
        <v>19</v>
      </c>
      <c r="D455" s="311" t="s">
        <v>127</v>
      </c>
      <c r="E455" s="280">
        <v>14</v>
      </c>
      <c r="F455" s="281">
        <v>69.62</v>
      </c>
      <c r="G455" s="282" cm="1">
        <f t="array" aca="1" ref="G455" ca="1">INDIRECT("'"&amp;$C455&amp;"'!"&amp;"$"&amp;$D455&amp;$E$1&amp;"")</f>
        <v>6.7</v>
      </c>
      <c r="H455" s="283">
        <v>0.97</v>
      </c>
      <c r="I455" s="281">
        <v>1.68</v>
      </c>
      <c r="J455" s="282" cm="1">
        <f t="array" aca="1" ref="J455" ca="1">INDIRECT("'"&amp;$C455&amp;"'!"&amp;"$"&amp;$D455&amp;$J$1&amp;"")</f>
        <v>6.7</v>
      </c>
      <c r="K455" s="283"/>
      <c r="L455" s="283">
        <v>0.97</v>
      </c>
      <c r="M455" s="281">
        <v>1.67</v>
      </c>
      <c r="N455" s="282" cm="1">
        <f t="array" aca="1" ref="N455" ca="1">INDIRECT("'"&amp;$C455&amp;"'!"&amp;"$"&amp;$D455&amp;$N$1&amp;"")</f>
        <v>6.7</v>
      </c>
      <c r="O455" s="283"/>
      <c r="P455" s="283">
        <v>0.97</v>
      </c>
      <c r="Q455" s="281">
        <v>1.68</v>
      </c>
      <c r="R455" s="282" cm="1">
        <f t="array" aca="1" ref="R455" ca="1">INDIRECT("'"&amp;$C455&amp;"'!"&amp;"$"&amp;$D455&amp;$R$1&amp;"")</f>
        <v>0</v>
      </c>
      <c r="S455" s="283"/>
      <c r="T455" s="283" t="s">
        <v>1</v>
      </c>
      <c r="U455" s="281" t="s">
        <v>1</v>
      </c>
      <c r="V455" s="282" cm="1">
        <f t="array" aca="1" ref="V455" ca="1">INDIRECT("'"&amp;$C455&amp;"'!"&amp;"$"&amp;$D455&amp;$V$1&amp;"")</f>
        <v>2</v>
      </c>
      <c r="W455" s="283">
        <f>3.8*3.51</f>
        <v>13.337999999999999</v>
      </c>
      <c r="X455" s="283">
        <v>0.98</v>
      </c>
      <c r="Y455" s="284">
        <v>0.35</v>
      </c>
      <c r="Z455" s="280" cm="1">
        <f t="array" aca="1" ref="Z455" ca="1">INDIRECT("'"&amp;$C455&amp;"'!"&amp;"$"&amp;$D455&amp;$Z$1&amp;"")</f>
        <v>0</v>
      </c>
      <c r="AA455" s="283" t="s">
        <v>1</v>
      </c>
      <c r="AB455" s="283" t="s">
        <v>1</v>
      </c>
      <c r="AC455" s="281" t="s">
        <v>1</v>
      </c>
      <c r="AD455" s="282" t="str" cm="1">
        <f t="array" aca="1" ref="AD455" ca="1">INDIRECT("'"&amp;$C455&amp;"'!"&amp;"$"&amp;$D455&amp;$AD$1&amp;"")</f>
        <v>CMS</v>
      </c>
      <c r="AE455" s="283" t="s">
        <v>1</v>
      </c>
      <c r="AF455" s="283" t="s">
        <v>1</v>
      </c>
      <c r="AG455" s="281" t="s">
        <v>1</v>
      </c>
      <c r="AH455" s="280" cm="1">
        <f t="array" aca="1" ref="AH455" ca="1">INDIRECT("'"&amp;$C455&amp;"'!"&amp;"$"&amp;$D455&amp;$AH$1&amp;"")</f>
        <v>0</v>
      </c>
      <c r="AI455" s="283" t="s">
        <v>1</v>
      </c>
      <c r="AJ455" s="283" t="s">
        <v>1</v>
      </c>
      <c r="AK455" s="281" t="s">
        <v>1</v>
      </c>
      <c r="AL455" s="280">
        <v>11.8</v>
      </c>
      <c r="AM455" s="284">
        <v>70.2</v>
      </c>
      <c r="AN455" s="280" cm="1">
        <f t="array" aca="1" ref="AN455" ca="1">INDIRECT("'"&amp;$C455&amp;"'!"&amp;"$"&amp;$D455&amp;$AL$1&amp;"")</f>
        <v>3.5</v>
      </c>
      <c r="AO455" s="283">
        <v>0.97</v>
      </c>
      <c r="AP455" s="281">
        <v>0.85</v>
      </c>
      <c r="AQ455" s="282" cm="1">
        <f t="array" aca="1" ref="AQ455" ca="1">INDIRECT("'"&amp;$C455&amp;"'!"&amp;"$"&amp;$D455&amp;$AQ$1&amp;"")</f>
        <v>3.5</v>
      </c>
      <c r="AR455" s="283">
        <v>0.97</v>
      </c>
      <c r="AS455" s="281">
        <v>0.85</v>
      </c>
      <c r="AT455" s="283" cm="1">
        <f t="array" aca="1" ref="AT455" ca="1">INDIRECT("'"&amp;$C455&amp;"'!"&amp;"$"&amp;$D455&amp;$AT$1&amp;"")</f>
        <v>0</v>
      </c>
      <c r="AU455" s="282" t="s">
        <v>1</v>
      </c>
      <c r="AV455" s="283" t="s">
        <v>1</v>
      </c>
      <c r="AW455" s="281" t="s">
        <v>1</v>
      </c>
      <c r="AX455" s="285">
        <v>13.9</v>
      </c>
      <c r="AY455" s="284">
        <v>70.89</v>
      </c>
      <c r="AZ455" s="285" cm="1">
        <f t="array" aca="1" ref="AZ455" ca="1">INDIRECT("'"&amp;$C455&amp;"'!"&amp;"$"&amp;$D455&amp;$AZ$1&amp;"")</f>
        <v>14.29</v>
      </c>
      <c r="BA455" s="283">
        <v>1</v>
      </c>
      <c r="BB455" s="281">
        <v>1.4</v>
      </c>
      <c r="BC455" s="281">
        <v>68.2</v>
      </c>
      <c r="BD455" s="280" cm="1">
        <f t="array" aca="1" ref="BD455" ca="1">INDIRECT("'"&amp;$C455&amp;"'!"&amp;"$"&amp;$D455&amp;$BC$1&amp;"")</f>
        <v>0</v>
      </c>
      <c r="BE455" s="282" t="s">
        <v>1</v>
      </c>
      <c r="BF455" s="281" t="s">
        <v>1</v>
      </c>
      <c r="BG455" s="285" cm="1">
        <f t="array" aca="1" ref="BG455" ca="1">INDIRECT("'"&amp;$C455&amp;"'!"&amp;"$"&amp;$D455&amp;$BG$1&amp;"")</f>
        <v>1.1000000000000001</v>
      </c>
      <c r="BH455" s="283"/>
      <c r="BI455" s="283">
        <v>0.99</v>
      </c>
      <c r="BJ455" s="281">
        <v>0.16</v>
      </c>
      <c r="BK455" s="285" cm="1">
        <f t="array" aca="1" ref="BK455" ca="1">INDIRECT("'"&amp;$C455&amp;"'!"&amp;"$"&amp;$D455&amp;$BK$1&amp;"")</f>
        <v>0.78</v>
      </c>
      <c r="BL455" s="283"/>
      <c r="BM455" s="283">
        <v>0.96</v>
      </c>
      <c r="BN455" s="281">
        <v>0.2</v>
      </c>
    </row>
    <row r="456" spans="1:66">
      <c r="A456" s="361">
        <v>45766</v>
      </c>
      <c r="B456" s="358">
        <v>4.1666666666666699E-2</v>
      </c>
      <c r="C456" s="313">
        <f t="shared" ref="C456:C478" si="17">C431+1</f>
        <v>19</v>
      </c>
      <c r="D456" s="314" t="s">
        <v>128</v>
      </c>
      <c r="E456" s="286">
        <v>14</v>
      </c>
      <c r="F456" s="287">
        <v>69.62</v>
      </c>
      <c r="G456" s="288" cm="1">
        <f t="array" aca="1" ref="G456" ca="1">INDIRECT("'"&amp;$C456&amp;"'!"&amp;"$"&amp;$D456&amp;$E$1&amp;"")</f>
        <v>6.7</v>
      </c>
      <c r="H456" s="289">
        <v>0.98</v>
      </c>
      <c r="I456" s="287">
        <v>1.46</v>
      </c>
      <c r="J456" s="288" cm="1">
        <f t="array" aca="1" ref="J456" ca="1">INDIRECT("'"&amp;$C456&amp;"'!"&amp;"$"&amp;$D456&amp;$J$1&amp;"")</f>
        <v>6.7</v>
      </c>
      <c r="K456" s="289"/>
      <c r="L456" s="289">
        <v>0.98</v>
      </c>
      <c r="M456" s="287">
        <v>1.42</v>
      </c>
      <c r="N456" s="288" cm="1">
        <f t="array" aca="1" ref="N456" ca="1">INDIRECT("'"&amp;$C456&amp;"'!"&amp;"$"&amp;$D456&amp;$N$1&amp;"")</f>
        <v>6.7</v>
      </c>
      <c r="O456" s="289"/>
      <c r="P456" s="289">
        <v>0.98</v>
      </c>
      <c r="Q456" s="287">
        <v>1.45</v>
      </c>
      <c r="R456" s="288" cm="1">
        <f t="array" aca="1" ref="R456" ca="1">INDIRECT("'"&amp;$C456&amp;"'!"&amp;"$"&amp;$D456&amp;$R$1&amp;"")</f>
        <v>0</v>
      </c>
      <c r="S456" s="289"/>
      <c r="T456" s="289" t="s">
        <v>1</v>
      </c>
      <c r="U456" s="287" t="s">
        <v>1</v>
      </c>
      <c r="V456" s="288" cm="1">
        <f t="array" aca="1" ref="V456" ca="1">INDIRECT("'"&amp;$C456&amp;"'!"&amp;"$"&amp;$D456&amp;$V$1&amp;"")</f>
        <v>0</v>
      </c>
      <c r="W456" s="289" t="s">
        <v>1</v>
      </c>
      <c r="X456" s="289" t="s">
        <v>1</v>
      </c>
      <c r="Y456" s="290" t="s">
        <v>1</v>
      </c>
      <c r="Z456" s="286" cm="1">
        <f t="array" aca="1" ref="Z456" ca="1">INDIRECT("'"&amp;$C456&amp;"'!"&amp;"$"&amp;$D456&amp;$Z$1&amp;"")</f>
        <v>0</v>
      </c>
      <c r="AA456" s="289" t="s">
        <v>1</v>
      </c>
      <c r="AB456" s="289" t="s">
        <v>1</v>
      </c>
      <c r="AC456" s="287" t="s">
        <v>1</v>
      </c>
      <c r="AD456" s="288" t="str" cm="1">
        <f t="array" aca="1" ref="AD456" ca="1">INDIRECT("'"&amp;$C456&amp;"'!"&amp;"$"&amp;$D456&amp;$AD$1&amp;"")</f>
        <v>CMS</v>
      </c>
      <c r="AE456" s="289" t="s">
        <v>1</v>
      </c>
      <c r="AF456" s="289" t="s">
        <v>1</v>
      </c>
      <c r="AG456" s="290" t="s">
        <v>1</v>
      </c>
      <c r="AH456" s="286" cm="1">
        <f t="array" aca="1" ref="AH456" ca="1">INDIRECT("'"&amp;$C456&amp;"'!"&amp;"$"&amp;$D456&amp;$AH$1&amp;"")</f>
        <v>0</v>
      </c>
      <c r="AI456" s="289" t="s">
        <v>1</v>
      </c>
      <c r="AJ456" s="289" t="s">
        <v>1</v>
      </c>
      <c r="AK456" s="287" t="s">
        <v>1</v>
      </c>
      <c r="AL456" s="286">
        <v>11.8</v>
      </c>
      <c r="AM456" s="290">
        <v>70.2</v>
      </c>
      <c r="AN456" s="286" cm="1">
        <f t="array" aca="1" ref="AN456" ca="1">INDIRECT("'"&amp;$C456&amp;"'!"&amp;"$"&amp;$D456&amp;$AL$1&amp;"")</f>
        <v>3.5</v>
      </c>
      <c r="AO456" s="289">
        <v>0.97</v>
      </c>
      <c r="AP456" s="287">
        <v>0.78</v>
      </c>
      <c r="AQ456" s="288" cm="1">
        <f t="array" aca="1" ref="AQ456" ca="1">INDIRECT("'"&amp;$C456&amp;"'!"&amp;"$"&amp;$D456&amp;$AQ$1&amp;"")</f>
        <v>3.5</v>
      </c>
      <c r="AR456" s="289">
        <v>0.97</v>
      </c>
      <c r="AS456" s="287">
        <v>0.78</v>
      </c>
      <c r="AT456" s="289" cm="1">
        <f t="array" aca="1" ref="AT456" ca="1">INDIRECT("'"&amp;$C456&amp;"'!"&amp;"$"&amp;$D456&amp;$AT$1&amp;"")</f>
        <v>0</v>
      </c>
      <c r="AU456" s="288" t="s">
        <v>1</v>
      </c>
      <c r="AV456" s="289" t="s">
        <v>1</v>
      </c>
      <c r="AW456" s="287" t="s">
        <v>1</v>
      </c>
      <c r="AX456" s="291">
        <v>13.95</v>
      </c>
      <c r="AY456" s="290">
        <v>71.09</v>
      </c>
      <c r="AZ456" s="291" cm="1">
        <f t="array" aca="1" ref="AZ456" ca="1">INDIRECT("'"&amp;$C456&amp;"'!"&amp;"$"&amp;$D456&amp;$AZ$1&amp;"")</f>
        <v>13.81</v>
      </c>
      <c r="BA456" s="289">
        <v>1</v>
      </c>
      <c r="BB456" s="287">
        <v>1.4</v>
      </c>
      <c r="BC456" s="292">
        <v>68.3</v>
      </c>
      <c r="BD456" s="286" cm="1">
        <f t="array" aca="1" ref="BD456" ca="1">INDIRECT("'"&amp;$C456&amp;"'!"&amp;"$"&amp;$D456&amp;$BC$1&amp;"")</f>
        <v>0</v>
      </c>
      <c r="BE456" s="288" t="s">
        <v>1</v>
      </c>
      <c r="BF456" s="287" t="s">
        <v>1</v>
      </c>
      <c r="BG456" s="291" cm="1">
        <f t="array" aca="1" ref="BG456" ca="1">INDIRECT("'"&amp;$C456&amp;"'!"&amp;"$"&amp;$D456&amp;$BG$1&amp;"")</f>
        <v>0.93</v>
      </c>
      <c r="BH456" s="289"/>
      <c r="BI456" s="289">
        <v>0.99</v>
      </c>
      <c r="BJ456" s="287">
        <v>0.13</v>
      </c>
      <c r="BK456" s="291" cm="1">
        <f t="array" aca="1" ref="BK456" ca="1">INDIRECT("'"&amp;$C456&amp;"'!"&amp;"$"&amp;$D456&amp;$BK$1&amp;"")</f>
        <v>0.74</v>
      </c>
      <c r="BL456" s="289"/>
      <c r="BM456" s="289">
        <v>0.96</v>
      </c>
      <c r="BN456" s="287">
        <v>0.19</v>
      </c>
    </row>
    <row r="457" spans="1:66">
      <c r="A457" s="361">
        <v>45766</v>
      </c>
      <c r="B457" s="358">
        <v>8.3333333333333301E-2</v>
      </c>
      <c r="C457" s="313">
        <f t="shared" si="17"/>
        <v>19</v>
      </c>
      <c r="D457" s="314" t="s">
        <v>129</v>
      </c>
      <c r="E457" s="293">
        <v>14</v>
      </c>
      <c r="F457" s="294">
        <v>69.819999999999993</v>
      </c>
      <c r="G457" s="295" cm="1">
        <f t="array" aca="1" ref="G457" ca="1">INDIRECT("'"&amp;$C457&amp;"'!"&amp;"$"&amp;$D457&amp;$E$1&amp;"")</f>
        <v>6.6</v>
      </c>
      <c r="H457" s="296">
        <v>0.98</v>
      </c>
      <c r="I457" s="294">
        <v>1.43</v>
      </c>
      <c r="J457" s="295" cm="1">
        <f t="array" aca="1" ref="J457" ca="1">INDIRECT("'"&amp;$C457&amp;"'!"&amp;"$"&amp;$D457&amp;$J$1&amp;"")</f>
        <v>6.6</v>
      </c>
      <c r="K457" s="296"/>
      <c r="L457" s="296">
        <v>0.98</v>
      </c>
      <c r="M457" s="294">
        <v>1.41</v>
      </c>
      <c r="N457" s="295" cm="1">
        <f t="array" aca="1" ref="N457" ca="1">INDIRECT("'"&amp;$C457&amp;"'!"&amp;"$"&amp;$D457&amp;$N$1&amp;"")</f>
        <v>6.6</v>
      </c>
      <c r="O457" s="296"/>
      <c r="P457" s="296">
        <v>0.98</v>
      </c>
      <c r="Q457" s="294">
        <v>1.44</v>
      </c>
      <c r="R457" s="295" cm="1">
        <f t="array" aca="1" ref="R457" ca="1">INDIRECT("'"&amp;$C457&amp;"'!"&amp;"$"&amp;$D457&amp;$R$1&amp;"")</f>
        <v>0</v>
      </c>
      <c r="S457" s="296"/>
      <c r="T457" s="296" t="s">
        <v>1</v>
      </c>
      <c r="U457" s="294" t="s">
        <v>1</v>
      </c>
      <c r="V457" s="295" cm="1">
        <f t="array" aca="1" ref="V457" ca="1">INDIRECT("'"&amp;$C457&amp;"'!"&amp;"$"&amp;$D457&amp;$V$1&amp;"")</f>
        <v>0</v>
      </c>
      <c r="W457" s="296" t="s">
        <v>1</v>
      </c>
      <c r="X457" s="296" t="s">
        <v>1</v>
      </c>
      <c r="Y457" s="297" t="s">
        <v>1</v>
      </c>
      <c r="Z457" s="293" cm="1">
        <f t="array" aca="1" ref="Z457" ca="1">INDIRECT("'"&amp;$C457&amp;"'!"&amp;"$"&amp;$D457&amp;$Z$1&amp;"")</f>
        <v>0</v>
      </c>
      <c r="AA457" s="296" t="s">
        <v>1</v>
      </c>
      <c r="AB457" s="296" t="s">
        <v>1</v>
      </c>
      <c r="AC457" s="294" t="s">
        <v>1</v>
      </c>
      <c r="AD457" s="295" t="str" cm="1">
        <f t="array" aca="1" ref="AD457" ca="1">INDIRECT("'"&amp;$C457&amp;"'!"&amp;"$"&amp;$D457&amp;$AD$1&amp;"")</f>
        <v>CMS</v>
      </c>
      <c r="AE457" s="296" t="s">
        <v>1</v>
      </c>
      <c r="AF457" s="296" t="s">
        <v>1</v>
      </c>
      <c r="AG457" s="297" t="s">
        <v>1</v>
      </c>
      <c r="AH457" s="293" cm="1">
        <f t="array" aca="1" ref="AH457" ca="1">INDIRECT("'"&amp;$C457&amp;"'!"&amp;"$"&amp;$D457&amp;$AH$1&amp;"")</f>
        <v>0</v>
      </c>
      <c r="AI457" s="296" t="s">
        <v>1</v>
      </c>
      <c r="AJ457" s="296" t="s">
        <v>1</v>
      </c>
      <c r="AK457" s="297" t="s">
        <v>1</v>
      </c>
      <c r="AL457" s="293">
        <v>11.8</v>
      </c>
      <c r="AM457" s="297">
        <v>70.2</v>
      </c>
      <c r="AN457" s="293" cm="1">
        <f t="array" aca="1" ref="AN457" ca="1">INDIRECT("'"&amp;$C457&amp;"'!"&amp;"$"&amp;$D457&amp;$AL$1&amp;"")</f>
        <v>3</v>
      </c>
      <c r="AO457" s="296">
        <v>0.97</v>
      </c>
      <c r="AP457" s="294">
        <v>0.73</v>
      </c>
      <c r="AQ457" s="295" cm="1">
        <f t="array" aca="1" ref="AQ457" ca="1">INDIRECT("'"&amp;$C457&amp;"'!"&amp;"$"&amp;$D457&amp;$AQ$1&amp;"")</f>
        <v>3</v>
      </c>
      <c r="AR457" s="296">
        <v>0.97</v>
      </c>
      <c r="AS457" s="294">
        <v>0.73</v>
      </c>
      <c r="AT457" s="296" cm="1">
        <f t="array" aca="1" ref="AT457" ca="1">INDIRECT("'"&amp;$C457&amp;"'!"&amp;"$"&amp;$D457&amp;$AT$1&amp;"")</f>
        <v>0</v>
      </c>
      <c r="AU457" s="295" t="s">
        <v>1</v>
      </c>
      <c r="AV457" s="296" t="s">
        <v>1</v>
      </c>
      <c r="AW457" s="294" t="s">
        <v>1</v>
      </c>
      <c r="AX457" s="298">
        <v>13.95</v>
      </c>
      <c r="AY457" s="297">
        <v>71.099999999999994</v>
      </c>
      <c r="AZ457" s="298" cm="1">
        <f t="array" aca="1" ref="AZ457" ca="1">INDIRECT("'"&amp;$C457&amp;"'!"&amp;"$"&amp;$D457&amp;$AZ$1&amp;"")</f>
        <v>12.82</v>
      </c>
      <c r="BA457" s="296">
        <v>1</v>
      </c>
      <c r="BB457" s="294">
        <v>1.3</v>
      </c>
      <c r="BC457" s="299">
        <v>68.400000000000006</v>
      </c>
      <c r="BD457" s="293" cm="1">
        <f t="array" aca="1" ref="BD457" ca="1">INDIRECT("'"&amp;$C457&amp;"'!"&amp;"$"&amp;$D457&amp;$BC$1&amp;"")</f>
        <v>0</v>
      </c>
      <c r="BE457" s="295" t="s">
        <v>1</v>
      </c>
      <c r="BF457" s="294" t="s">
        <v>1</v>
      </c>
      <c r="BG457" s="298" cm="1">
        <f t="array" aca="1" ref="BG457" ca="1">INDIRECT("'"&amp;$C457&amp;"'!"&amp;"$"&amp;$D457&amp;$BG$1&amp;"")</f>
        <v>0.88</v>
      </c>
      <c r="BH457" s="296"/>
      <c r="BI457" s="296">
        <v>0.99</v>
      </c>
      <c r="BJ457" s="294">
        <v>0.12</v>
      </c>
      <c r="BK457" s="298" cm="1">
        <f t="array" aca="1" ref="BK457" ca="1">INDIRECT("'"&amp;$C457&amp;"'!"&amp;"$"&amp;$D457&amp;$BK$1&amp;"")</f>
        <v>0.73</v>
      </c>
      <c r="BL457" s="296"/>
      <c r="BM457" s="296">
        <v>0.96</v>
      </c>
      <c r="BN457" s="294">
        <v>0.19</v>
      </c>
    </row>
    <row r="458" spans="1:66">
      <c r="A458" s="361">
        <v>45766</v>
      </c>
      <c r="B458" s="358">
        <v>0.125</v>
      </c>
      <c r="C458" s="313">
        <f t="shared" si="17"/>
        <v>19</v>
      </c>
      <c r="D458" s="314" t="s">
        <v>130</v>
      </c>
      <c r="E458" s="286">
        <v>14.2</v>
      </c>
      <c r="F458" s="287">
        <v>70.19</v>
      </c>
      <c r="G458" s="288" cm="1">
        <f t="array" aca="1" ref="G458" ca="1">INDIRECT("'"&amp;$C458&amp;"'!"&amp;"$"&amp;$D458&amp;$E$1&amp;"")</f>
        <v>0</v>
      </c>
      <c r="H458" s="289" t="s">
        <v>1</v>
      </c>
      <c r="I458" s="287" t="s">
        <v>1</v>
      </c>
      <c r="J458" s="288" cm="1">
        <f t="array" aca="1" ref="J458" ca="1">INDIRECT("'"&amp;$C458&amp;"'!"&amp;"$"&amp;$D458&amp;$J$1&amp;"")</f>
        <v>6.9</v>
      </c>
      <c r="K458" s="289"/>
      <c r="L458" s="289">
        <v>0.95</v>
      </c>
      <c r="M458" s="287">
        <v>1.24</v>
      </c>
      <c r="N458" s="288" cm="1">
        <f t="array" aca="1" ref="N458" ca="1">INDIRECT("'"&amp;$C458&amp;"'!"&amp;"$"&amp;$D458&amp;$N$1&amp;"")</f>
        <v>6.9</v>
      </c>
      <c r="O458" s="289"/>
      <c r="P458" s="289">
        <v>0.95</v>
      </c>
      <c r="Q458" s="287">
        <v>2.2400000000000002</v>
      </c>
      <c r="R458" s="288" cm="1">
        <f t="array" aca="1" ref="R458" ca="1">INDIRECT("'"&amp;$C458&amp;"'!"&amp;"$"&amp;$D458&amp;$R$1&amp;"")</f>
        <v>0</v>
      </c>
      <c r="S458" s="289"/>
      <c r="T458" s="289" t="s">
        <v>1</v>
      </c>
      <c r="U458" s="287" t="s">
        <v>1</v>
      </c>
      <c r="V458" s="288" cm="1">
        <f t="array" aca="1" ref="V458" ca="1">INDIRECT("'"&amp;$C458&amp;"'!"&amp;"$"&amp;$D458&amp;$V$1&amp;"")</f>
        <v>0</v>
      </c>
      <c r="W458" s="289" t="s">
        <v>1</v>
      </c>
      <c r="X458" s="289" t="s">
        <v>1</v>
      </c>
      <c r="Y458" s="290" t="s">
        <v>1</v>
      </c>
      <c r="Z458" s="286" cm="1">
        <f t="array" aca="1" ref="Z458" ca="1">INDIRECT("'"&amp;$C458&amp;"'!"&amp;"$"&amp;$D458&amp;$Z$1&amp;"")</f>
        <v>0</v>
      </c>
      <c r="AA458" s="289" t="s">
        <v>1</v>
      </c>
      <c r="AB458" s="289" t="s">
        <v>1</v>
      </c>
      <c r="AC458" s="287" t="s">
        <v>1</v>
      </c>
      <c r="AD458" s="288" t="str" cm="1">
        <f t="array" aca="1" ref="AD458" ca="1">INDIRECT("'"&amp;$C458&amp;"'!"&amp;"$"&amp;$D458&amp;$AD$1&amp;"")</f>
        <v>CMS</v>
      </c>
      <c r="AE458" s="289" t="s">
        <v>1</v>
      </c>
      <c r="AF458" s="289" t="s">
        <v>1</v>
      </c>
      <c r="AG458" s="287" t="s">
        <v>1</v>
      </c>
      <c r="AH458" s="286" cm="1">
        <f t="array" aca="1" ref="AH458" ca="1">INDIRECT("'"&amp;$C458&amp;"'!"&amp;"$"&amp;$D458&amp;$AH$1&amp;"")</f>
        <v>0</v>
      </c>
      <c r="AI458" s="289" t="s">
        <v>1</v>
      </c>
      <c r="AJ458" s="289" t="s">
        <v>1</v>
      </c>
      <c r="AK458" s="287" t="s">
        <v>1</v>
      </c>
      <c r="AL458" s="286">
        <v>11.8</v>
      </c>
      <c r="AM458" s="290">
        <v>70.2</v>
      </c>
      <c r="AN458" s="286" cm="1">
        <f t="array" aca="1" ref="AN458" ca="1">INDIRECT("'"&amp;$C458&amp;"'!"&amp;"$"&amp;$D458&amp;$AL$1&amp;"")</f>
        <v>4.2</v>
      </c>
      <c r="AO458" s="289">
        <v>0.99</v>
      </c>
      <c r="AP458" s="287">
        <v>0.41</v>
      </c>
      <c r="AQ458" s="288" cm="1">
        <f t="array" aca="1" ref="AQ458" ca="1">INDIRECT("'"&amp;$C458&amp;"'!"&amp;"$"&amp;$D458&amp;$AQ$1&amp;"")</f>
        <v>4.2</v>
      </c>
      <c r="AR458" s="289">
        <v>0.99</v>
      </c>
      <c r="AS458" s="287">
        <v>0.41</v>
      </c>
      <c r="AT458" s="289" cm="1">
        <f t="array" aca="1" ref="AT458" ca="1">INDIRECT("'"&amp;$C458&amp;"'!"&amp;"$"&amp;$D458&amp;$AT$1&amp;"")</f>
        <v>0</v>
      </c>
      <c r="AU458" s="288" t="s">
        <v>1</v>
      </c>
      <c r="AV458" s="289" t="s">
        <v>1</v>
      </c>
      <c r="AW458" s="287" t="s">
        <v>1</v>
      </c>
      <c r="AX458" s="291">
        <v>14.07</v>
      </c>
      <c r="AY458" s="290">
        <v>71.67</v>
      </c>
      <c r="AZ458" s="291" cm="1">
        <f t="array" aca="1" ref="AZ458" ca="1">INDIRECT("'"&amp;$C458&amp;"'!"&amp;"$"&amp;$D458&amp;$AZ$1&amp;"")</f>
        <v>14.31</v>
      </c>
      <c r="BA458" s="289">
        <v>1</v>
      </c>
      <c r="BB458" s="287">
        <v>1.4</v>
      </c>
      <c r="BC458" s="292">
        <v>68.900000000000006</v>
      </c>
      <c r="BD458" s="286" cm="1">
        <f t="array" aca="1" ref="BD458" ca="1">INDIRECT("'"&amp;$C458&amp;"'!"&amp;"$"&amp;$D458&amp;$BC$1&amp;"")</f>
        <v>2.2000000000000002</v>
      </c>
      <c r="BE458" s="288">
        <v>0.98</v>
      </c>
      <c r="BF458" s="287">
        <v>0.47</v>
      </c>
      <c r="BG458" s="291" cm="1">
        <f t="array" aca="1" ref="BG458" ca="1">INDIRECT("'"&amp;$C458&amp;"'!"&amp;"$"&amp;$D458&amp;$BG$1&amp;"")</f>
        <v>0.86</v>
      </c>
      <c r="BH458" s="289"/>
      <c r="BI458" s="289">
        <v>0.99</v>
      </c>
      <c r="BJ458" s="287">
        <v>0.12</v>
      </c>
      <c r="BK458" s="291" cm="1">
        <f t="array" aca="1" ref="BK458" ca="1">INDIRECT("'"&amp;$C458&amp;"'!"&amp;"$"&amp;$D458&amp;$BK$1&amp;"")</f>
        <v>0.7</v>
      </c>
      <c r="BL458" s="289"/>
      <c r="BM458" s="289">
        <v>0.96</v>
      </c>
      <c r="BN458" s="287">
        <v>0.19</v>
      </c>
    </row>
    <row r="459" spans="1:66">
      <c r="A459" s="361">
        <v>45766</v>
      </c>
      <c r="B459" s="358">
        <v>0.16666666666666699</v>
      </c>
      <c r="C459" s="313">
        <f t="shared" si="17"/>
        <v>19</v>
      </c>
      <c r="D459" s="314" t="s">
        <v>131</v>
      </c>
      <c r="E459" s="293">
        <v>14</v>
      </c>
      <c r="F459" s="294">
        <v>69.8</v>
      </c>
      <c r="G459" s="295" cm="1">
        <f t="array" aca="1" ref="G459" ca="1">INDIRECT("'"&amp;$C459&amp;"'!"&amp;"$"&amp;$D459&amp;$E$1&amp;"")</f>
        <v>6.7</v>
      </c>
      <c r="H459" s="296">
        <v>0.96</v>
      </c>
      <c r="I459" s="294">
        <v>1.95</v>
      </c>
      <c r="J459" s="295" cm="1">
        <f t="array" aca="1" ref="J459" ca="1">INDIRECT("'"&amp;$C459&amp;"'!"&amp;"$"&amp;$D459&amp;$J$1&amp;"")</f>
        <v>6.7</v>
      </c>
      <c r="K459" s="296"/>
      <c r="L459" s="296">
        <v>0.96</v>
      </c>
      <c r="M459" s="294">
        <v>1.98</v>
      </c>
      <c r="N459" s="295" cm="1">
        <f t="array" aca="1" ref="N459" ca="1">INDIRECT("'"&amp;$C459&amp;"'!"&amp;"$"&amp;$D459&amp;$N$1&amp;"")</f>
        <v>0</v>
      </c>
      <c r="O459" s="296"/>
      <c r="P459" s="296" t="s">
        <v>1</v>
      </c>
      <c r="Q459" s="294" t="s">
        <v>1</v>
      </c>
      <c r="R459" s="295" cm="1">
        <f t="array" aca="1" ref="R459" ca="1">INDIRECT("'"&amp;$C459&amp;"'!"&amp;"$"&amp;$D459&amp;$R$1&amp;"")</f>
        <v>0</v>
      </c>
      <c r="S459" s="296"/>
      <c r="T459" s="296" t="s">
        <v>1</v>
      </c>
      <c r="U459" s="294" t="s">
        <v>1</v>
      </c>
      <c r="V459" s="295" cm="1">
        <f t="array" aca="1" ref="V459" ca="1">INDIRECT("'"&amp;$C459&amp;"'!"&amp;"$"&amp;$D459&amp;$V$1&amp;"")</f>
        <v>0</v>
      </c>
      <c r="W459" s="296" t="s">
        <v>1</v>
      </c>
      <c r="X459" s="296" t="s">
        <v>1</v>
      </c>
      <c r="Y459" s="297" t="s">
        <v>1</v>
      </c>
      <c r="Z459" s="293" cm="1">
        <f t="array" aca="1" ref="Z459" ca="1">INDIRECT("'"&amp;$C459&amp;"'!"&amp;"$"&amp;$D459&amp;$Z$1&amp;"")</f>
        <v>0</v>
      </c>
      <c r="AA459" s="296" t="s">
        <v>1</v>
      </c>
      <c r="AB459" s="296" t="s">
        <v>1</v>
      </c>
      <c r="AC459" s="294" t="s">
        <v>1</v>
      </c>
      <c r="AD459" s="295" t="str" cm="1">
        <f t="array" aca="1" ref="AD459" ca="1">INDIRECT("'"&amp;$C459&amp;"'!"&amp;"$"&amp;$D459&amp;$AD$1&amp;"")</f>
        <v>CMS</v>
      </c>
      <c r="AE459" s="296"/>
      <c r="AF459" s="296"/>
      <c r="AG459" s="294"/>
      <c r="AH459" s="293" cm="1">
        <f t="array" aca="1" ref="AH459" ca="1">INDIRECT("'"&amp;$C459&amp;"'!"&amp;"$"&amp;$D459&amp;$AH$1&amp;"")</f>
        <v>0</v>
      </c>
      <c r="AI459" s="296" t="s">
        <v>1</v>
      </c>
      <c r="AJ459" s="296" t="s">
        <v>1</v>
      </c>
      <c r="AK459" s="294" t="s">
        <v>1</v>
      </c>
      <c r="AL459" s="293">
        <v>11.8</v>
      </c>
      <c r="AM459" s="297">
        <v>70.2</v>
      </c>
      <c r="AN459" s="293" cm="1">
        <f t="array" aca="1" ref="AN459" ca="1">INDIRECT("'"&amp;$C459&amp;"'!"&amp;"$"&amp;$D459&amp;$AL$1&amp;"")</f>
        <v>4</v>
      </c>
      <c r="AO459" s="296">
        <v>0.99</v>
      </c>
      <c r="AP459" s="294">
        <v>0.56999999999999995</v>
      </c>
      <c r="AQ459" s="295" cm="1">
        <f t="array" aca="1" ref="AQ459" ca="1">INDIRECT("'"&amp;$C459&amp;"'!"&amp;"$"&amp;$D459&amp;$AQ$1&amp;"")</f>
        <v>4</v>
      </c>
      <c r="AR459" s="296">
        <v>0.99</v>
      </c>
      <c r="AS459" s="294">
        <v>0.56999999999999995</v>
      </c>
      <c r="AT459" s="296" cm="1">
        <f t="array" aca="1" ref="AT459" ca="1">INDIRECT("'"&amp;$C459&amp;"'!"&amp;"$"&amp;$D459&amp;$AT$1&amp;"")</f>
        <v>0</v>
      </c>
      <c r="AU459" s="295" t="s">
        <v>1</v>
      </c>
      <c r="AV459" s="296" t="s">
        <v>1</v>
      </c>
      <c r="AW459" s="294" t="s">
        <v>1</v>
      </c>
      <c r="AX459" s="298">
        <v>14.04</v>
      </c>
      <c r="AY459" s="297">
        <v>71.569999999999993</v>
      </c>
      <c r="AZ459" s="298" cm="1">
        <f t="array" aca="1" ref="AZ459" ca="1">INDIRECT("'"&amp;$C459&amp;"'!"&amp;"$"&amp;$D459&amp;$AZ$1&amp;"")</f>
        <v>14.32</v>
      </c>
      <c r="BA459" s="296">
        <v>1</v>
      </c>
      <c r="BB459" s="294">
        <v>1.4</v>
      </c>
      <c r="BC459" s="299">
        <v>68.5</v>
      </c>
      <c r="BD459" s="293" cm="1">
        <f t="array" aca="1" ref="BD459" ca="1">INDIRECT("'"&amp;$C459&amp;"'!"&amp;"$"&amp;$D459&amp;$BC$1&amp;"")</f>
        <v>2.2000000000000002</v>
      </c>
      <c r="BE459" s="295">
        <v>0.98</v>
      </c>
      <c r="BF459" s="294">
        <v>0.46</v>
      </c>
      <c r="BG459" s="298" cm="1">
        <f t="array" aca="1" ref="BG459" ca="1">INDIRECT("'"&amp;$C459&amp;"'!"&amp;"$"&amp;$D459&amp;$BG$1&amp;"")</f>
        <v>0.82</v>
      </c>
      <c r="BH459" s="296"/>
      <c r="BI459" s="296">
        <v>0.99</v>
      </c>
      <c r="BJ459" s="294">
        <v>0.1</v>
      </c>
      <c r="BK459" s="298" cm="1">
        <f t="array" aca="1" ref="BK459" ca="1">INDIRECT("'"&amp;$C459&amp;"'!"&amp;"$"&amp;$D459&amp;$BK$1&amp;"")</f>
        <v>0.7</v>
      </c>
      <c r="BL459" s="296"/>
      <c r="BM459" s="296">
        <v>0.96</v>
      </c>
      <c r="BN459" s="294">
        <v>0.19</v>
      </c>
    </row>
    <row r="460" spans="1:66">
      <c r="A460" s="361">
        <v>45766</v>
      </c>
      <c r="B460" s="358">
        <v>0.20833333333333301</v>
      </c>
      <c r="C460" s="313">
        <f t="shared" si="17"/>
        <v>19</v>
      </c>
      <c r="D460" s="314" t="s">
        <v>132</v>
      </c>
      <c r="E460" s="286">
        <v>14.1</v>
      </c>
      <c r="F460" s="287">
        <v>69.849999999999994</v>
      </c>
      <c r="G460" s="288" cm="1">
        <f t="array" aca="1" ref="G460" ca="1">INDIRECT("'"&amp;$C460&amp;"'!"&amp;"$"&amp;$D460&amp;$E$1&amp;"")</f>
        <v>6.7</v>
      </c>
      <c r="H460" s="289">
        <v>0.97</v>
      </c>
      <c r="I460" s="287">
        <v>1.97</v>
      </c>
      <c r="J460" s="288" cm="1">
        <f t="array" aca="1" ref="J460" ca="1">INDIRECT("'"&amp;$C460&amp;"'!"&amp;"$"&amp;$D460&amp;$J$1&amp;"")</f>
        <v>6.7</v>
      </c>
      <c r="K460" s="289"/>
      <c r="L460" s="289">
        <v>0.97</v>
      </c>
      <c r="M460" s="287">
        <v>1.96</v>
      </c>
      <c r="N460" s="288" cm="1">
        <f t="array" aca="1" ref="N460" ca="1">INDIRECT("'"&amp;$C460&amp;"'!"&amp;"$"&amp;$D460&amp;$N$1&amp;"")</f>
        <v>0</v>
      </c>
      <c r="O460" s="289"/>
      <c r="P460" s="289" t="s">
        <v>1</v>
      </c>
      <c r="Q460" s="287" t="s">
        <v>1</v>
      </c>
      <c r="R460" s="288" cm="1">
        <f t="array" aca="1" ref="R460" ca="1">INDIRECT("'"&amp;$C460&amp;"'!"&amp;"$"&amp;$D460&amp;$R$1&amp;"")</f>
        <v>0</v>
      </c>
      <c r="S460" s="289"/>
      <c r="T460" s="289" t="s">
        <v>1</v>
      </c>
      <c r="U460" s="287" t="s">
        <v>1</v>
      </c>
      <c r="V460" s="288" cm="1">
        <f t="array" aca="1" ref="V460" ca="1">INDIRECT("'"&amp;$C460&amp;"'!"&amp;"$"&amp;$D460&amp;$V$1&amp;"")</f>
        <v>0</v>
      </c>
      <c r="W460" s="289" t="s">
        <v>1</v>
      </c>
      <c r="X460" s="289" t="s">
        <v>1</v>
      </c>
      <c r="Y460" s="290" t="s">
        <v>1</v>
      </c>
      <c r="Z460" s="286" cm="1">
        <f t="array" aca="1" ref="Z460" ca="1">INDIRECT("'"&amp;$C460&amp;"'!"&amp;"$"&amp;$D460&amp;$Z$1&amp;"")</f>
        <v>0</v>
      </c>
      <c r="AA460" s="289" t="s">
        <v>1</v>
      </c>
      <c r="AB460" s="289" t="s">
        <v>1</v>
      </c>
      <c r="AC460" s="287" t="s">
        <v>1</v>
      </c>
      <c r="AD460" s="288" t="str" cm="1">
        <f t="array" aca="1" ref="AD460" ca="1">INDIRECT("'"&amp;$C460&amp;"'!"&amp;"$"&amp;$D460&amp;$AD$1&amp;"")</f>
        <v>CMS</v>
      </c>
      <c r="AE460" s="289"/>
      <c r="AF460" s="289"/>
      <c r="AG460" s="290"/>
      <c r="AH460" s="286" cm="1">
        <f t="array" aca="1" ref="AH460" ca="1">INDIRECT("'"&amp;$C460&amp;"'!"&amp;"$"&amp;$D460&amp;$AH$1&amp;"")</f>
        <v>0</v>
      </c>
      <c r="AI460" s="289" t="s">
        <v>1</v>
      </c>
      <c r="AJ460" s="289" t="s">
        <v>1</v>
      </c>
      <c r="AK460" s="290" t="s">
        <v>1</v>
      </c>
      <c r="AL460" s="286">
        <v>11.8</v>
      </c>
      <c r="AM460" s="290">
        <v>70.400000000000006</v>
      </c>
      <c r="AN460" s="286" cm="1">
        <f t="array" aca="1" ref="AN460" ca="1">INDIRECT("'"&amp;$C460&amp;"'!"&amp;"$"&amp;$D460&amp;$AL$1&amp;"")</f>
        <v>4</v>
      </c>
      <c r="AO460" s="289">
        <v>0.99</v>
      </c>
      <c r="AP460" s="287">
        <v>0.57999999999999996</v>
      </c>
      <c r="AQ460" s="288" cm="1">
        <f t="array" aca="1" ref="AQ460" ca="1">INDIRECT("'"&amp;$C460&amp;"'!"&amp;"$"&amp;$D460&amp;$AQ$1&amp;"")</f>
        <v>4</v>
      </c>
      <c r="AR460" s="289">
        <v>0.99</v>
      </c>
      <c r="AS460" s="287">
        <v>0.57999999999999996</v>
      </c>
      <c r="AT460" s="289" cm="1">
        <f t="array" aca="1" ref="AT460" ca="1">INDIRECT("'"&amp;$C460&amp;"'!"&amp;"$"&amp;$D460&amp;$AT$1&amp;"")</f>
        <v>0</v>
      </c>
      <c r="AU460" s="288" t="s">
        <v>1</v>
      </c>
      <c r="AV460" s="289" t="s">
        <v>1</v>
      </c>
      <c r="AW460" s="287" t="s">
        <v>1</v>
      </c>
      <c r="AX460" s="291">
        <v>14.05</v>
      </c>
      <c r="AY460" s="290">
        <v>71.510000000000005</v>
      </c>
      <c r="AZ460" s="291" cm="1">
        <f t="array" aca="1" ref="AZ460" ca="1">INDIRECT("'"&amp;$C460&amp;"'!"&amp;"$"&amp;$D460&amp;$AZ$1&amp;"")</f>
        <v>14.31</v>
      </c>
      <c r="BA460" s="289">
        <v>1</v>
      </c>
      <c r="BB460" s="287">
        <v>1.4</v>
      </c>
      <c r="BC460" s="292">
        <v>68.5</v>
      </c>
      <c r="BD460" s="286" cm="1">
        <f t="array" aca="1" ref="BD460" ca="1">INDIRECT("'"&amp;$C460&amp;"'!"&amp;"$"&amp;$D460&amp;$BC$1&amp;"")</f>
        <v>2.2000000000000002</v>
      </c>
      <c r="BE460" s="288">
        <v>0.97</v>
      </c>
      <c r="BF460" s="287">
        <v>0.57999999999999996</v>
      </c>
      <c r="BG460" s="291" cm="1">
        <f t="array" aca="1" ref="BG460" ca="1">INDIRECT("'"&amp;$C460&amp;"'!"&amp;"$"&amp;$D460&amp;$BG$1&amp;"")</f>
        <v>0.88</v>
      </c>
      <c r="BH460" s="289"/>
      <c r="BI460" s="289">
        <v>0.99</v>
      </c>
      <c r="BJ460" s="287">
        <v>0.12</v>
      </c>
      <c r="BK460" s="291" cm="1">
        <f t="array" aca="1" ref="BK460" ca="1">INDIRECT("'"&amp;$C460&amp;"'!"&amp;"$"&amp;$D460&amp;$BK$1&amp;"")</f>
        <v>0.69</v>
      </c>
      <c r="BL460" s="289"/>
      <c r="BM460" s="289">
        <v>0.96</v>
      </c>
      <c r="BN460" s="287">
        <v>0.18</v>
      </c>
    </row>
    <row r="461" spans="1:66">
      <c r="A461" s="361">
        <v>45766</v>
      </c>
      <c r="B461" s="358">
        <v>0.25</v>
      </c>
      <c r="C461" s="313">
        <f t="shared" si="17"/>
        <v>19</v>
      </c>
      <c r="D461" s="314" t="s">
        <v>133</v>
      </c>
      <c r="E461" s="293">
        <v>14.1</v>
      </c>
      <c r="F461" s="294">
        <v>69.81</v>
      </c>
      <c r="G461" s="295" cm="1">
        <f t="array" aca="1" ref="G461" ca="1">INDIRECT("'"&amp;$C461&amp;"'!"&amp;"$"&amp;$D461&amp;$E$1&amp;"")</f>
        <v>6.4</v>
      </c>
      <c r="H461" s="296">
        <v>0.96</v>
      </c>
      <c r="I461" s="294">
        <v>1.79</v>
      </c>
      <c r="J461" s="295" cm="1">
        <f t="array" aca="1" ref="J461" ca="1">INDIRECT("'"&amp;$C461&amp;"'!"&amp;"$"&amp;$D461&amp;$J$1&amp;"")</f>
        <v>6.4</v>
      </c>
      <c r="K461" s="296"/>
      <c r="L461" s="296">
        <v>0.96</v>
      </c>
      <c r="M461" s="294">
        <v>1.74</v>
      </c>
      <c r="N461" s="295" cm="1">
        <f t="array" aca="1" ref="N461" ca="1">INDIRECT("'"&amp;$C461&amp;"'!"&amp;"$"&amp;$D461&amp;$N$1&amp;"")</f>
        <v>0</v>
      </c>
      <c r="O461" s="296"/>
      <c r="P461" s="296" t="s">
        <v>1</v>
      </c>
      <c r="Q461" s="294" t="s">
        <v>1</v>
      </c>
      <c r="R461" s="295" cm="1">
        <f t="array" aca="1" ref="R461" ca="1">INDIRECT("'"&amp;$C461&amp;"'!"&amp;"$"&amp;$D461&amp;$R$1&amp;"")</f>
        <v>0</v>
      </c>
      <c r="S461" s="296"/>
      <c r="T461" s="296" t="s">
        <v>1</v>
      </c>
      <c r="U461" s="294" t="s">
        <v>1</v>
      </c>
      <c r="V461" s="295" cm="1">
        <f t="array" aca="1" ref="V461" ca="1">INDIRECT("'"&amp;$C461&amp;"'!"&amp;"$"&amp;$D461&amp;$V$1&amp;"")</f>
        <v>0</v>
      </c>
      <c r="W461" s="296" t="s">
        <v>1</v>
      </c>
      <c r="X461" s="296" t="s">
        <v>1</v>
      </c>
      <c r="Y461" s="297" t="s">
        <v>1</v>
      </c>
      <c r="Z461" s="293" cm="1">
        <f t="array" aca="1" ref="Z461" ca="1">INDIRECT("'"&amp;$C461&amp;"'!"&amp;"$"&amp;$D461&amp;$Z$1&amp;"")</f>
        <v>0</v>
      </c>
      <c r="AA461" s="296" t="s">
        <v>1</v>
      </c>
      <c r="AB461" s="296" t="s">
        <v>1</v>
      </c>
      <c r="AC461" s="294" t="s">
        <v>1</v>
      </c>
      <c r="AD461" s="295" cm="1">
        <f t="array" aca="1" ref="AD461" ca="1">INDIRECT("'"&amp;$C461&amp;"'!"&amp;"$"&amp;$D461&amp;$AD$1&amp;"")</f>
        <v>3.8</v>
      </c>
      <c r="AE461" s="296">
        <f>3.8*3.59</f>
        <v>13.641999999999999</v>
      </c>
      <c r="AF461" s="296">
        <v>0.99</v>
      </c>
      <c r="AG461" s="297">
        <v>0.31</v>
      </c>
      <c r="AH461" s="293" cm="1">
        <f t="array" aca="1" ref="AH461" ca="1">INDIRECT("'"&amp;$C461&amp;"'!"&amp;"$"&amp;$D461&amp;$AH$1&amp;"")</f>
        <v>0</v>
      </c>
      <c r="AI461" s="296" t="s">
        <v>1</v>
      </c>
      <c r="AJ461" s="296" t="s">
        <v>1</v>
      </c>
      <c r="AK461" s="297" t="s">
        <v>1</v>
      </c>
      <c r="AL461" s="293">
        <v>11.8</v>
      </c>
      <c r="AM461" s="297">
        <v>70.400000000000006</v>
      </c>
      <c r="AN461" s="293" cm="1">
        <f t="array" aca="1" ref="AN461" ca="1">INDIRECT("'"&amp;$C461&amp;"'!"&amp;"$"&amp;$D461&amp;$AL$1&amp;"")</f>
        <v>4</v>
      </c>
      <c r="AO461" s="296">
        <v>0.98</v>
      </c>
      <c r="AP461" s="294">
        <v>0.64</v>
      </c>
      <c r="AQ461" s="295" cm="1">
        <f t="array" aca="1" ref="AQ461" ca="1">INDIRECT("'"&amp;$C461&amp;"'!"&amp;"$"&amp;$D461&amp;$AQ$1&amp;"")</f>
        <v>4</v>
      </c>
      <c r="AR461" s="296">
        <v>0.98</v>
      </c>
      <c r="AS461" s="294">
        <v>0.64</v>
      </c>
      <c r="AT461" s="296" cm="1">
        <f t="array" aca="1" ref="AT461" ca="1">INDIRECT("'"&amp;$C461&amp;"'!"&amp;"$"&amp;$D461&amp;$AT$1&amp;"")</f>
        <v>0</v>
      </c>
      <c r="AU461" s="295" t="s">
        <v>1</v>
      </c>
      <c r="AV461" s="296" t="s">
        <v>1</v>
      </c>
      <c r="AW461" s="294" t="s">
        <v>1</v>
      </c>
      <c r="AX461" s="298">
        <v>14.05</v>
      </c>
      <c r="AY461" s="297">
        <v>71.41</v>
      </c>
      <c r="AZ461" s="298" cm="1">
        <f t="array" aca="1" ref="AZ461" ca="1">INDIRECT("'"&amp;$C461&amp;"'!"&amp;"$"&amp;$D461&amp;$AZ$1&amp;"")</f>
        <v>14.28</v>
      </c>
      <c r="BA461" s="296">
        <v>1</v>
      </c>
      <c r="BB461" s="294">
        <v>1.4</v>
      </c>
      <c r="BC461" s="299">
        <v>68.599999999999994</v>
      </c>
      <c r="BD461" s="293" cm="1">
        <f t="array" aca="1" ref="BD461" ca="1">INDIRECT("'"&amp;$C461&amp;"'!"&amp;"$"&amp;$D461&amp;$BC$1&amp;"")</f>
        <v>0</v>
      </c>
      <c r="BE461" s="295" t="s">
        <v>1</v>
      </c>
      <c r="BF461" s="294" t="s">
        <v>1</v>
      </c>
      <c r="BG461" s="298" cm="1">
        <f t="array" aca="1" ref="BG461" ca="1">INDIRECT("'"&amp;$C461&amp;"'!"&amp;"$"&amp;$D461&amp;$BG$1&amp;"")</f>
        <v>0.95</v>
      </c>
      <c r="BH461" s="296"/>
      <c r="BI461" s="296">
        <v>0.99</v>
      </c>
      <c r="BJ461" s="294">
        <v>0.11</v>
      </c>
      <c r="BK461" s="298" cm="1">
        <f t="array" aca="1" ref="BK461" ca="1">INDIRECT("'"&amp;$C461&amp;"'!"&amp;"$"&amp;$D461&amp;$BK$1&amp;"")</f>
        <v>0.71</v>
      </c>
      <c r="BL461" s="296"/>
      <c r="BM461" s="296">
        <v>0.96</v>
      </c>
      <c r="BN461" s="294">
        <v>0.18</v>
      </c>
    </row>
    <row r="462" spans="1:66">
      <c r="A462" s="361">
        <v>45766</v>
      </c>
      <c r="B462" s="358">
        <v>0.29166666666666702</v>
      </c>
      <c r="C462" s="313">
        <f t="shared" si="17"/>
        <v>19</v>
      </c>
      <c r="D462" s="314" t="s">
        <v>134</v>
      </c>
      <c r="E462" s="286">
        <v>14.1</v>
      </c>
      <c r="F462" s="287">
        <v>69.8</v>
      </c>
      <c r="G462" s="288" cm="1">
        <f t="array" aca="1" ref="G462" ca="1">INDIRECT("'"&amp;$C462&amp;"'!"&amp;"$"&amp;$D462&amp;$E$1&amp;"")</f>
        <v>6.6</v>
      </c>
      <c r="H462" s="289">
        <v>0.96</v>
      </c>
      <c r="I462" s="287">
        <v>1.81</v>
      </c>
      <c r="J462" s="288" cm="1">
        <f t="array" aca="1" ref="J462" ca="1">INDIRECT("'"&amp;$C462&amp;"'!"&amp;"$"&amp;$D462&amp;$J$1&amp;"")</f>
        <v>6.6</v>
      </c>
      <c r="K462" s="289"/>
      <c r="L462" s="289">
        <v>0.96</v>
      </c>
      <c r="M462" s="287">
        <v>1.8</v>
      </c>
      <c r="N462" s="288" cm="1">
        <f t="array" aca="1" ref="N462" ca="1">INDIRECT("'"&amp;$C462&amp;"'!"&amp;"$"&amp;$D462&amp;$N$1&amp;"")</f>
        <v>0</v>
      </c>
      <c r="O462" s="289"/>
      <c r="P462" s="289" t="s">
        <v>1</v>
      </c>
      <c r="Q462" s="287" t="s">
        <v>1</v>
      </c>
      <c r="R462" s="288" cm="1">
        <f t="array" aca="1" ref="R462" ca="1">INDIRECT("'"&amp;$C462&amp;"'!"&amp;"$"&amp;$D462&amp;$R$1&amp;"")</f>
        <v>0</v>
      </c>
      <c r="S462" s="289"/>
      <c r="T462" s="289" t="s">
        <v>1</v>
      </c>
      <c r="U462" s="287" t="s">
        <v>1</v>
      </c>
      <c r="V462" s="288" cm="1">
        <f t="array" aca="1" ref="V462" ca="1">INDIRECT("'"&amp;$C462&amp;"'!"&amp;"$"&amp;$D462&amp;$V$1&amp;"")</f>
        <v>0</v>
      </c>
      <c r="W462" s="289" t="s">
        <v>1</v>
      </c>
      <c r="X462" s="289" t="s">
        <v>1</v>
      </c>
      <c r="Y462" s="290" t="s">
        <v>1</v>
      </c>
      <c r="Z462" s="286" cm="1">
        <f t="array" aca="1" ref="Z462" ca="1">INDIRECT("'"&amp;$C462&amp;"'!"&amp;"$"&amp;$D462&amp;$Z$1&amp;"")</f>
        <v>0</v>
      </c>
      <c r="AA462" s="289" t="s">
        <v>1</v>
      </c>
      <c r="AB462" s="289" t="s">
        <v>1</v>
      </c>
      <c r="AC462" s="287" t="s">
        <v>1</v>
      </c>
      <c r="AD462" s="288" cm="1">
        <f t="array" aca="1" ref="AD462" ca="1">INDIRECT("'"&amp;$C462&amp;"'!"&amp;"$"&amp;$D462&amp;$AD$1&amp;"")</f>
        <v>3</v>
      </c>
      <c r="AE462" s="289">
        <v>13.603999999999999</v>
      </c>
      <c r="AF462" s="289">
        <v>0.98</v>
      </c>
      <c r="AG462" s="290">
        <v>0.51</v>
      </c>
      <c r="AH462" s="286" cm="1">
        <f t="array" aca="1" ref="AH462" ca="1">INDIRECT("'"&amp;$C462&amp;"'!"&amp;"$"&amp;$D462&amp;$AH$1&amp;"")</f>
        <v>0</v>
      </c>
      <c r="AI462" s="289" t="s">
        <v>1</v>
      </c>
      <c r="AJ462" s="289" t="s">
        <v>1</v>
      </c>
      <c r="AK462" s="287" t="s">
        <v>1</v>
      </c>
      <c r="AL462" s="286">
        <v>11.8</v>
      </c>
      <c r="AM462" s="290">
        <v>70.3</v>
      </c>
      <c r="AN462" s="286" cm="1">
        <f t="array" aca="1" ref="AN462" ca="1">INDIRECT("'"&amp;$C462&amp;"'!"&amp;"$"&amp;$D462&amp;$AL$1&amp;"")</f>
        <v>3.4</v>
      </c>
      <c r="AO462" s="289">
        <v>0.97</v>
      </c>
      <c r="AP462" s="287">
        <v>0.66</v>
      </c>
      <c r="AQ462" s="288" cm="1">
        <f t="array" aca="1" ref="AQ462" ca="1">INDIRECT("'"&amp;$C462&amp;"'!"&amp;"$"&amp;$D462&amp;$AQ$1&amp;"")</f>
        <v>3.4</v>
      </c>
      <c r="AR462" s="289">
        <v>0.97</v>
      </c>
      <c r="AS462" s="287">
        <v>0.66</v>
      </c>
      <c r="AT462" s="289" cm="1">
        <f t="array" aca="1" ref="AT462" ca="1">INDIRECT("'"&amp;$C462&amp;"'!"&amp;"$"&amp;$D462&amp;$AT$1&amp;"")</f>
        <v>0</v>
      </c>
      <c r="AU462" s="288" t="s">
        <v>1</v>
      </c>
      <c r="AV462" s="289" t="s">
        <v>1</v>
      </c>
      <c r="AW462" s="287" t="s">
        <v>1</v>
      </c>
      <c r="AX462" s="291">
        <v>14</v>
      </c>
      <c r="AY462" s="290">
        <v>71.290000000000006</v>
      </c>
      <c r="AZ462" s="291" cm="1">
        <f t="array" aca="1" ref="AZ462" ca="1">INDIRECT("'"&amp;$C462&amp;"'!"&amp;"$"&amp;$D462&amp;$AZ$1&amp;"")</f>
        <v>14.29</v>
      </c>
      <c r="BA462" s="289">
        <v>1</v>
      </c>
      <c r="BB462" s="287">
        <v>1.4</v>
      </c>
      <c r="BC462" s="292">
        <v>68.599999999999994</v>
      </c>
      <c r="BD462" s="286" cm="1">
        <f t="array" aca="1" ref="BD462" ca="1">INDIRECT("'"&amp;$C462&amp;"'!"&amp;"$"&amp;$D462&amp;$BC$1&amp;"")</f>
        <v>0</v>
      </c>
      <c r="BE462" s="288" t="s">
        <v>1</v>
      </c>
      <c r="BF462" s="287" t="s">
        <v>1</v>
      </c>
      <c r="BG462" s="291" cm="1">
        <f t="array" aca="1" ref="BG462" ca="1">INDIRECT("'"&amp;$C462&amp;"'!"&amp;"$"&amp;$D462&amp;$BG$1&amp;"")</f>
        <v>1</v>
      </c>
      <c r="BH462" s="289"/>
      <c r="BI462" s="289">
        <v>0.99</v>
      </c>
      <c r="BJ462" s="287">
        <v>0.14000000000000001</v>
      </c>
      <c r="BK462" s="292" cm="1">
        <f t="array" aca="1" ref="BK462" ca="1">INDIRECT("'"&amp;$C462&amp;"'!"&amp;"$"&amp;$D462&amp;$BK$1&amp;"")</f>
        <v>0.71</v>
      </c>
      <c r="BL462" s="289"/>
      <c r="BM462" s="289">
        <v>0.96</v>
      </c>
      <c r="BN462" s="287">
        <v>0.2</v>
      </c>
    </row>
    <row r="463" spans="1:66">
      <c r="A463" s="361">
        <v>45766</v>
      </c>
      <c r="B463" s="358">
        <v>0.33333333333333398</v>
      </c>
      <c r="C463" s="313">
        <f t="shared" si="17"/>
        <v>19</v>
      </c>
      <c r="D463" s="314" t="s">
        <v>135</v>
      </c>
      <c r="E463" s="293">
        <v>14</v>
      </c>
      <c r="F463" s="294">
        <v>69.31</v>
      </c>
      <c r="G463" s="295" cm="1">
        <f t="array" aca="1" ref="G463" ca="1">INDIRECT("'"&amp;$C463&amp;"'!"&amp;"$"&amp;$D463&amp;$E$1&amp;"")</f>
        <v>6.8</v>
      </c>
      <c r="H463" s="296">
        <v>0.96</v>
      </c>
      <c r="I463" s="294">
        <v>1.89</v>
      </c>
      <c r="J463" s="295" cm="1">
        <f t="array" aca="1" ref="J463" ca="1">INDIRECT("'"&amp;$C463&amp;"'!"&amp;"$"&amp;$D463&amp;$J$1&amp;"")</f>
        <v>6.7</v>
      </c>
      <c r="K463" s="296"/>
      <c r="L463" s="296">
        <v>0.96</v>
      </c>
      <c r="M463" s="294">
        <v>2.08</v>
      </c>
      <c r="N463" s="295" cm="1">
        <f t="array" aca="1" ref="N463" ca="1">INDIRECT("'"&amp;$C463&amp;"'!"&amp;"$"&amp;$D463&amp;$N$1&amp;"")</f>
        <v>0</v>
      </c>
      <c r="O463" s="296"/>
      <c r="P463" s="296" t="s">
        <v>1</v>
      </c>
      <c r="Q463" s="294" t="s">
        <v>1</v>
      </c>
      <c r="R463" s="295" cm="1">
        <f t="array" aca="1" ref="R463" ca="1">INDIRECT("'"&amp;$C463&amp;"'!"&amp;"$"&amp;$D463&amp;$R$1&amp;"")</f>
        <v>0</v>
      </c>
      <c r="S463" s="296"/>
      <c r="T463" s="296" t="s">
        <v>1</v>
      </c>
      <c r="U463" s="294" t="s">
        <v>1</v>
      </c>
      <c r="V463" s="295" cm="1">
        <f t="array" aca="1" ref="V463" ca="1">INDIRECT("'"&amp;$C463&amp;"'!"&amp;"$"&amp;$D463&amp;$V$1&amp;"")</f>
        <v>0</v>
      </c>
      <c r="W463" s="296" t="s">
        <v>1</v>
      </c>
      <c r="X463" s="296" t="s">
        <v>1</v>
      </c>
      <c r="Y463" s="297" t="s">
        <v>1</v>
      </c>
      <c r="Z463" s="293" cm="1">
        <f t="array" aca="1" ref="Z463" ca="1">INDIRECT("'"&amp;$C463&amp;"'!"&amp;"$"&amp;$D463&amp;$Z$1&amp;"")</f>
        <v>0</v>
      </c>
      <c r="AA463" s="296" t="s">
        <v>1</v>
      </c>
      <c r="AB463" s="296" t="s">
        <v>1</v>
      </c>
      <c r="AC463" s="294" t="s">
        <v>1</v>
      </c>
      <c r="AD463" s="295" cm="1">
        <f t="array" aca="1" ref="AD463" ca="1">INDIRECT("'"&amp;$C463&amp;"'!"&amp;"$"&amp;$D463&amp;$AD$1&amp;"")</f>
        <v>3.8</v>
      </c>
      <c r="AE463" s="296">
        <f>3.8*3.56</f>
        <v>13.527999999999999</v>
      </c>
      <c r="AF463" s="296">
        <v>0.96</v>
      </c>
      <c r="AG463" s="297">
        <v>1.08</v>
      </c>
      <c r="AH463" s="293" cm="1">
        <f t="array" aca="1" ref="AH463" ca="1">INDIRECT("'"&amp;$C463&amp;"'!"&amp;"$"&amp;$D463&amp;$AH$1&amp;"")</f>
        <v>0</v>
      </c>
      <c r="AI463" s="296" t="s">
        <v>1</v>
      </c>
      <c r="AJ463" s="296" t="s">
        <v>1</v>
      </c>
      <c r="AK463" s="294" t="s">
        <v>1</v>
      </c>
      <c r="AL463" s="293">
        <v>11.8</v>
      </c>
      <c r="AM463" s="297">
        <v>70.2</v>
      </c>
      <c r="AN463" s="293" cm="1">
        <f t="array" aca="1" ref="AN463" ca="1">INDIRECT("'"&amp;$C463&amp;"'!"&amp;"$"&amp;$D463&amp;$AL$1&amp;"")</f>
        <v>4</v>
      </c>
      <c r="AO463" s="296">
        <v>0.99</v>
      </c>
      <c r="AP463" s="294">
        <v>0.72</v>
      </c>
      <c r="AQ463" s="295" cm="1">
        <f t="array" aca="1" ref="AQ463" ca="1">INDIRECT("'"&amp;$C463&amp;"'!"&amp;"$"&amp;$D463&amp;$AQ$1&amp;"")</f>
        <v>4</v>
      </c>
      <c r="AR463" s="296">
        <v>0.99</v>
      </c>
      <c r="AS463" s="294">
        <v>0.72</v>
      </c>
      <c r="AT463" s="296" cm="1">
        <f t="array" aca="1" ref="AT463" ca="1">INDIRECT("'"&amp;$C463&amp;"'!"&amp;"$"&amp;$D463&amp;$AT$1&amp;"")</f>
        <v>0</v>
      </c>
      <c r="AU463" s="295" t="s">
        <v>1</v>
      </c>
      <c r="AV463" s="296" t="s">
        <v>1</v>
      </c>
      <c r="AW463" s="294" t="s">
        <v>1</v>
      </c>
      <c r="AX463" s="298">
        <v>14.13</v>
      </c>
      <c r="AY463" s="297">
        <v>71.45</v>
      </c>
      <c r="AZ463" s="298" cm="1">
        <f t="array" aca="1" ref="AZ463" ca="1">INDIRECT("'"&amp;$C463&amp;"'!"&amp;"$"&amp;$D463&amp;$AZ$1&amp;"")</f>
        <v>14.31</v>
      </c>
      <c r="BA463" s="296">
        <v>0.99</v>
      </c>
      <c r="BB463" s="294">
        <v>2.5</v>
      </c>
      <c r="BC463" s="299">
        <v>68.400000000000006</v>
      </c>
      <c r="BD463" s="293" cm="1">
        <f t="array" aca="1" ref="BD463" ca="1">INDIRECT("'"&amp;$C463&amp;"'!"&amp;"$"&amp;$D463&amp;$BC$1&amp;"")</f>
        <v>1.5</v>
      </c>
      <c r="BE463" s="295">
        <v>0.96</v>
      </c>
      <c r="BF463" s="294">
        <v>0.46</v>
      </c>
      <c r="BG463" s="298" cm="1">
        <f t="array" aca="1" ref="BG463" ca="1">INDIRECT("'"&amp;$C463&amp;"'!"&amp;"$"&amp;$D463&amp;$BG$1&amp;"")</f>
        <v>1.08</v>
      </c>
      <c r="BH463" s="296"/>
      <c r="BI463" s="296">
        <v>0.99</v>
      </c>
      <c r="BJ463" s="294">
        <v>0.19</v>
      </c>
      <c r="BK463" s="299" cm="1">
        <f t="array" aca="1" ref="BK463" ca="1">INDIRECT("'"&amp;$C463&amp;"'!"&amp;"$"&amp;$D463&amp;$BK$1&amp;"")</f>
        <v>0.74</v>
      </c>
      <c r="BL463" s="296"/>
      <c r="BM463" s="296">
        <v>0.96</v>
      </c>
      <c r="BN463" s="294">
        <v>0.21</v>
      </c>
    </row>
    <row r="464" spans="1:66">
      <c r="A464" s="361">
        <v>45766</v>
      </c>
      <c r="B464" s="358">
        <v>0.375</v>
      </c>
      <c r="C464" s="313">
        <f t="shared" si="17"/>
        <v>19</v>
      </c>
      <c r="D464" s="314" t="s">
        <v>136</v>
      </c>
      <c r="E464" s="286">
        <v>14.2</v>
      </c>
      <c r="F464" s="287">
        <v>69.45</v>
      </c>
      <c r="G464" s="288" cm="1">
        <f t="array" aca="1" ref="G464" ca="1">INDIRECT("'"&amp;$C464&amp;"'!"&amp;"$"&amp;$D464&amp;$E$1&amp;"")</f>
        <v>6.7</v>
      </c>
      <c r="H464" s="289">
        <v>0.94</v>
      </c>
      <c r="I464" s="287">
        <v>2.2400000000000002</v>
      </c>
      <c r="J464" s="288" cm="1">
        <f t="array" aca="1" ref="J464" ca="1">INDIRECT("'"&amp;$C464&amp;"'!"&amp;"$"&amp;$D464&amp;$J$1&amp;"")</f>
        <v>6.7</v>
      </c>
      <c r="K464" s="289"/>
      <c r="L464" s="289">
        <v>0.94</v>
      </c>
      <c r="M464" s="287">
        <v>2.5299999999999998</v>
      </c>
      <c r="N464" s="288" cm="1">
        <f t="array" aca="1" ref="N464" ca="1">INDIRECT("'"&amp;$C464&amp;"'!"&amp;"$"&amp;$D464&amp;$N$1&amp;"")</f>
        <v>0</v>
      </c>
      <c r="O464" s="289"/>
      <c r="P464" s="289" t="s">
        <v>1</v>
      </c>
      <c r="Q464" s="287" t="s">
        <v>1</v>
      </c>
      <c r="R464" s="288" cm="1">
        <f t="array" aca="1" ref="R464" ca="1">INDIRECT("'"&amp;$C464&amp;"'!"&amp;"$"&amp;$D464&amp;$R$1&amp;"")</f>
        <v>4.8</v>
      </c>
      <c r="S464" s="289"/>
      <c r="T464" s="289">
        <v>0.98</v>
      </c>
      <c r="U464" s="287">
        <v>1</v>
      </c>
      <c r="V464" s="288" cm="1">
        <f t="array" aca="1" ref="V464" ca="1">INDIRECT("'"&amp;$C464&amp;"'!"&amp;"$"&amp;$D464&amp;$V$1&amp;"")</f>
        <v>0</v>
      </c>
      <c r="W464" s="289" t="s">
        <v>1</v>
      </c>
      <c r="X464" s="289" t="s">
        <v>1</v>
      </c>
      <c r="Y464" s="290" t="s">
        <v>1</v>
      </c>
      <c r="Z464" s="286" cm="1">
        <f t="array" aca="1" ref="Z464" ca="1">INDIRECT("'"&amp;$C464&amp;"'!"&amp;"$"&amp;$D464&amp;$Z$1&amp;"")</f>
        <v>0</v>
      </c>
      <c r="AA464" s="289" t="s">
        <v>1</v>
      </c>
      <c r="AB464" s="289" t="s">
        <v>1</v>
      </c>
      <c r="AC464" s="287" t="s">
        <v>1</v>
      </c>
      <c r="AD464" s="288" cm="1">
        <f t="array" aca="1" ref="AD464" ca="1">INDIRECT("'"&amp;$C464&amp;"'!"&amp;"$"&amp;$D464&amp;$AD$1&amp;"")</f>
        <v>3.8</v>
      </c>
      <c r="AE464" s="289">
        <f>3.8*3.55</f>
        <v>13.489999999999998</v>
      </c>
      <c r="AF464" s="289">
        <v>0.95</v>
      </c>
      <c r="AG464" s="290">
        <v>1.24</v>
      </c>
      <c r="AH464" s="286" cm="1">
        <f t="array" aca="1" ref="AH464" ca="1">INDIRECT("'"&amp;$C464&amp;"'!"&amp;"$"&amp;$D464&amp;$AH$1&amp;"")</f>
        <v>0</v>
      </c>
      <c r="AI464" s="289" t="s">
        <v>1</v>
      </c>
      <c r="AJ464" s="289" t="s">
        <v>1</v>
      </c>
      <c r="AK464" s="287" t="s">
        <v>1</v>
      </c>
      <c r="AL464" s="286">
        <v>11.8</v>
      </c>
      <c r="AM464" s="290">
        <v>70.3</v>
      </c>
      <c r="AN464" s="286" cm="1">
        <f t="array" aca="1" ref="AN464" ca="1">INDIRECT("'"&amp;$C464&amp;"'!"&amp;"$"&amp;$D464&amp;$AL$1&amp;"")</f>
        <v>4.0999999999999996</v>
      </c>
      <c r="AO464" s="289">
        <v>0.99</v>
      </c>
      <c r="AP464" s="287">
        <v>0.62</v>
      </c>
      <c r="AQ464" s="288" cm="1">
        <f t="array" aca="1" ref="AQ464" ca="1">INDIRECT("'"&amp;$C464&amp;"'!"&amp;"$"&amp;$D464&amp;$AQ$1&amp;"")</f>
        <v>4.0999999999999996</v>
      </c>
      <c r="AR464" s="289">
        <v>0.99</v>
      </c>
      <c r="AS464" s="287">
        <v>0.62</v>
      </c>
      <c r="AT464" s="289" cm="1">
        <f t="array" aca="1" ref="AT464" ca="1">INDIRECT("'"&amp;$C464&amp;"'!"&amp;"$"&amp;$D464&amp;$AT$1&amp;"")</f>
        <v>0</v>
      </c>
      <c r="AU464" s="288" t="s">
        <v>1</v>
      </c>
      <c r="AV464" s="289" t="s">
        <v>1</v>
      </c>
      <c r="AW464" s="287" t="s">
        <v>1</v>
      </c>
      <c r="AX464" s="291">
        <v>14.21</v>
      </c>
      <c r="AY464" s="290">
        <v>71.61</v>
      </c>
      <c r="AZ464" s="291" cm="1">
        <f t="array" aca="1" ref="AZ464" ca="1">INDIRECT("'"&amp;$C464&amp;"'!"&amp;"$"&amp;$D464&amp;$AZ$1&amp;"")</f>
        <v>14.02</v>
      </c>
      <c r="BA464" s="289">
        <v>0.98</v>
      </c>
      <c r="BB464" s="287">
        <v>3.5</v>
      </c>
      <c r="BC464" s="292">
        <v>68.3</v>
      </c>
      <c r="BD464" s="286" cm="1">
        <f t="array" aca="1" ref="BD464" ca="1">INDIRECT("'"&amp;$C464&amp;"'!"&amp;"$"&amp;$D464&amp;$BC$1&amp;"")</f>
        <v>2.2999999999999998</v>
      </c>
      <c r="BE464" s="288">
        <v>0.95</v>
      </c>
      <c r="BF464" s="287">
        <v>0.75</v>
      </c>
      <c r="BG464" s="291" cm="1">
        <f t="array" aca="1" ref="BG464" ca="1">INDIRECT("'"&amp;$C464&amp;"'!"&amp;"$"&amp;$D464&amp;$BG$1&amp;"")</f>
        <v>1.19</v>
      </c>
      <c r="BH464" s="289"/>
      <c r="BI464" s="289">
        <v>0.99</v>
      </c>
      <c r="BJ464" s="287">
        <v>0.19</v>
      </c>
      <c r="BK464" s="292" cm="1">
        <f t="array" aca="1" ref="BK464" ca="1">INDIRECT("'"&amp;$C464&amp;"'!"&amp;"$"&amp;$D464&amp;$BK$1&amp;"")</f>
        <v>0.77</v>
      </c>
      <c r="BL464" s="289"/>
      <c r="BM464" s="289">
        <v>0.96</v>
      </c>
      <c r="BN464" s="287">
        <v>0.22</v>
      </c>
    </row>
    <row r="465" spans="1:66">
      <c r="A465" s="361">
        <v>45766</v>
      </c>
      <c r="B465" s="358">
        <v>0.41666666666666702</v>
      </c>
      <c r="C465" s="313">
        <f t="shared" si="17"/>
        <v>19</v>
      </c>
      <c r="D465" s="314" t="s">
        <v>137</v>
      </c>
      <c r="E465" s="293">
        <v>14.2</v>
      </c>
      <c r="F465" s="294">
        <v>69.16</v>
      </c>
      <c r="G465" s="295" cm="1">
        <f t="array" aca="1" ref="G465" ca="1">INDIRECT("'"&amp;$C465&amp;"'!"&amp;"$"&amp;$D465&amp;$E$1&amp;"")</f>
        <v>6.7</v>
      </c>
      <c r="H465" s="296">
        <v>0.93</v>
      </c>
      <c r="I465" s="294">
        <v>2.67</v>
      </c>
      <c r="J465" s="295" cm="1">
        <f t="array" aca="1" ref="J465" ca="1">INDIRECT("'"&amp;$C465&amp;"'!"&amp;"$"&amp;$D465&amp;$J$1&amp;"")</f>
        <v>6.7</v>
      </c>
      <c r="K465" s="296"/>
      <c r="L465" s="296">
        <v>0.93</v>
      </c>
      <c r="M465" s="294">
        <v>2.63</v>
      </c>
      <c r="N465" s="295" cm="1">
        <f t="array" aca="1" ref="N465" ca="1">INDIRECT("'"&amp;$C465&amp;"'!"&amp;"$"&amp;$D465&amp;$N$1&amp;"")</f>
        <v>0</v>
      </c>
      <c r="O465" s="296"/>
      <c r="P465" s="296" t="s">
        <v>1</v>
      </c>
      <c r="Q465" s="294" t="s">
        <v>1</v>
      </c>
      <c r="R465" s="295" cm="1">
        <f t="array" aca="1" ref="R465" ca="1">INDIRECT("'"&amp;$C465&amp;"'!"&amp;"$"&amp;$D465&amp;$R$1&amp;"")</f>
        <v>6.6</v>
      </c>
      <c r="S465" s="296"/>
      <c r="T465" s="296">
        <v>0.94</v>
      </c>
      <c r="U465" s="294">
        <v>2.31</v>
      </c>
      <c r="V465" s="295" cm="1">
        <f t="array" aca="1" ref="V465" ca="1">INDIRECT("'"&amp;$C465&amp;"'!"&amp;"$"&amp;$D465&amp;$V$1&amp;"")</f>
        <v>0</v>
      </c>
      <c r="W465" s="296" t="s">
        <v>1</v>
      </c>
      <c r="X465" s="296" t="s">
        <v>1</v>
      </c>
      <c r="Y465" s="297" t="s">
        <v>1</v>
      </c>
      <c r="Z465" s="293" cm="1">
        <f t="array" aca="1" ref="Z465" ca="1">INDIRECT("'"&amp;$C465&amp;"'!"&amp;"$"&amp;$D465&amp;$Z$1&amp;"")</f>
        <v>0</v>
      </c>
      <c r="AA465" s="296" t="s">
        <v>1</v>
      </c>
      <c r="AB465" s="296" t="s">
        <v>1</v>
      </c>
      <c r="AC465" s="294" t="s">
        <v>1</v>
      </c>
      <c r="AD465" s="295" cm="1">
        <f t="array" aca="1" ref="AD465" ca="1">INDIRECT("'"&amp;$C465&amp;"'!"&amp;"$"&amp;$D465&amp;$AD$1&amp;"")</f>
        <v>3</v>
      </c>
      <c r="AE465" s="296">
        <f>3.8*3.52</f>
        <v>13.375999999999999</v>
      </c>
      <c r="AF465" s="296">
        <v>0.94</v>
      </c>
      <c r="AG465" s="297">
        <v>1.18</v>
      </c>
      <c r="AH465" s="293" cm="1">
        <f t="array" aca="1" ref="AH465" ca="1">INDIRECT("'"&amp;$C465&amp;"'!"&amp;"$"&amp;$D465&amp;$AH$1&amp;"")</f>
        <v>3</v>
      </c>
      <c r="AI465" s="296">
        <v>13.84</v>
      </c>
      <c r="AJ465" s="296">
        <v>1</v>
      </c>
      <c r="AK465" s="294">
        <v>9.0999999999999998E-2</v>
      </c>
      <c r="AL465" s="293">
        <v>11.9</v>
      </c>
      <c r="AM465" s="297">
        <v>70.400000000000006</v>
      </c>
      <c r="AN465" s="293" cm="1">
        <f t="array" aca="1" ref="AN465" ca="1">INDIRECT("'"&amp;$C465&amp;"'!"&amp;"$"&amp;$D465&amp;$AL$1&amp;"")</f>
        <v>3.5</v>
      </c>
      <c r="AO465" s="296">
        <v>0.96</v>
      </c>
      <c r="AP465" s="294">
        <v>1.1000000000000001</v>
      </c>
      <c r="AQ465" s="295" cm="1">
        <f t="array" aca="1" ref="AQ465" ca="1">INDIRECT("'"&amp;$C465&amp;"'!"&amp;"$"&amp;$D465&amp;$AQ$1&amp;"")</f>
        <v>3.5</v>
      </c>
      <c r="AR465" s="296">
        <v>0.96</v>
      </c>
      <c r="AS465" s="294">
        <v>1.1000000000000001</v>
      </c>
      <c r="AT465" s="296" cm="1">
        <f t="array" aca="1" ref="AT465" ca="1">INDIRECT("'"&amp;$C465&amp;"'!"&amp;"$"&amp;$D465&amp;$AT$1&amp;"")</f>
        <v>0</v>
      </c>
      <c r="AU465" s="295" t="s">
        <v>1</v>
      </c>
      <c r="AV465" s="296" t="s">
        <v>1</v>
      </c>
      <c r="AW465" s="294" t="s">
        <v>1</v>
      </c>
      <c r="AX465" s="298">
        <v>14.25</v>
      </c>
      <c r="AY465" s="297">
        <v>71.709999999999994</v>
      </c>
      <c r="AZ465" s="298" cm="1">
        <f t="array" aca="1" ref="AZ465" ca="1">INDIRECT("'"&amp;$C465&amp;"'!"&amp;"$"&amp;$D465&amp;$AZ$1&amp;"")</f>
        <v>14.14</v>
      </c>
      <c r="BA465" s="296">
        <v>0.98</v>
      </c>
      <c r="BB465" s="294">
        <v>3.6</v>
      </c>
      <c r="BC465" s="299">
        <v>68</v>
      </c>
      <c r="BD465" s="293" cm="1">
        <f t="array" aca="1" ref="BD465" ca="1">INDIRECT("'"&amp;$C465&amp;"'!"&amp;"$"&amp;$D465&amp;$BC$1&amp;"")</f>
        <v>0</v>
      </c>
      <c r="BE465" s="295" t="s">
        <v>1</v>
      </c>
      <c r="BF465" s="294" t="s">
        <v>1</v>
      </c>
      <c r="BG465" s="298" cm="1">
        <f t="array" aca="1" ref="BG465" ca="1">INDIRECT("'"&amp;$C465&amp;"'!"&amp;"$"&amp;$D465&amp;$BG$1&amp;"")</f>
        <v>1.1399999999999999</v>
      </c>
      <c r="BH465" s="296"/>
      <c r="BI465" s="296">
        <v>0.99</v>
      </c>
      <c r="BJ465" s="294">
        <v>0.21</v>
      </c>
      <c r="BK465" s="299" cm="1">
        <f t="array" aca="1" ref="BK465" ca="1">INDIRECT("'"&amp;$C465&amp;"'!"&amp;"$"&amp;$D465&amp;$BK$1&amp;"")</f>
        <v>0.8</v>
      </c>
      <c r="BL465" s="296"/>
      <c r="BM465" s="296">
        <v>0.95</v>
      </c>
      <c r="BN465" s="294">
        <v>0.24</v>
      </c>
    </row>
    <row r="466" spans="1:66">
      <c r="A466" s="361">
        <v>45766</v>
      </c>
      <c r="B466" s="358">
        <v>0.45833333333333398</v>
      </c>
      <c r="C466" s="313">
        <f t="shared" si="17"/>
        <v>19</v>
      </c>
      <c r="D466" s="314" t="s">
        <v>138</v>
      </c>
      <c r="E466" s="286">
        <v>14.1</v>
      </c>
      <c r="F466" s="287">
        <v>68.790000000000006</v>
      </c>
      <c r="G466" s="288" cm="1">
        <f t="array" aca="1" ref="G466" ca="1">INDIRECT("'"&amp;$C466&amp;"'!"&amp;"$"&amp;$D466&amp;$E$1&amp;"")</f>
        <v>6.7</v>
      </c>
      <c r="H466" s="289">
        <v>0.93</v>
      </c>
      <c r="I466" s="287">
        <v>2.76</v>
      </c>
      <c r="J466" s="288" cm="1">
        <f t="array" aca="1" ref="J466" ca="1">INDIRECT("'"&amp;$C466&amp;"'!"&amp;"$"&amp;$D466&amp;$J$1&amp;"")</f>
        <v>6.7</v>
      </c>
      <c r="K466" s="289"/>
      <c r="L466" s="289">
        <v>0.93</v>
      </c>
      <c r="M466" s="287">
        <v>0.69</v>
      </c>
      <c r="N466" s="288" cm="1">
        <f t="array" aca="1" ref="N466" ca="1">INDIRECT("'"&amp;$C466&amp;"'!"&amp;"$"&amp;$D466&amp;$N$1&amp;"")</f>
        <v>0</v>
      </c>
      <c r="O466" s="289"/>
      <c r="P466" s="289" t="s">
        <v>1</v>
      </c>
      <c r="Q466" s="287" t="s">
        <v>1</v>
      </c>
      <c r="R466" s="288" cm="1">
        <f t="array" aca="1" ref="R466" ca="1">INDIRECT("'"&amp;$C466&amp;"'!"&amp;"$"&amp;$D466&amp;$R$1&amp;"")</f>
        <v>6.8</v>
      </c>
      <c r="S466" s="289"/>
      <c r="T466" s="289">
        <v>0.91</v>
      </c>
      <c r="U466" s="287">
        <v>3.03</v>
      </c>
      <c r="V466" s="288" cm="1">
        <f t="array" aca="1" ref="V466" ca="1">INDIRECT("'"&amp;$C466&amp;"'!"&amp;"$"&amp;$D466&amp;$V$1&amp;"")</f>
        <v>0</v>
      </c>
      <c r="W466" s="289" t="s">
        <v>1</v>
      </c>
      <c r="X466" s="289" t="s">
        <v>1</v>
      </c>
      <c r="Y466" s="290" t="s">
        <v>1</v>
      </c>
      <c r="Z466" s="286" cm="1">
        <f t="array" aca="1" ref="Z466" ca="1">INDIRECT("'"&amp;$C466&amp;"'!"&amp;"$"&amp;$D466&amp;$Z$1&amp;"")</f>
        <v>0</v>
      </c>
      <c r="AA466" s="289" t="s">
        <v>1</v>
      </c>
      <c r="AB466" s="289" t="s">
        <v>1</v>
      </c>
      <c r="AC466" s="287" t="s">
        <v>1</v>
      </c>
      <c r="AD466" s="288" cm="1">
        <f t="array" aca="1" ref="AD466" ca="1">INDIRECT("'"&amp;$C466&amp;"'!"&amp;"$"&amp;$D466&amp;$AD$1&amp;"")</f>
        <v>3.8</v>
      </c>
      <c r="AE466" s="289">
        <f>3.8*3.49</f>
        <v>13.262</v>
      </c>
      <c r="AF466" s="289">
        <v>0.94</v>
      </c>
      <c r="AG466" s="290">
        <v>1.35</v>
      </c>
      <c r="AH466" s="286" cm="1">
        <f t="array" aca="1" ref="AH466" ca="1">INDIRECT("'"&amp;$C466&amp;"'!"&amp;"$"&amp;$D466&amp;$AH$1&amp;"")</f>
        <v>3.8</v>
      </c>
      <c r="AI466" s="289">
        <v>14</v>
      </c>
      <c r="AJ466" s="289">
        <v>0.97</v>
      </c>
      <c r="AK466" s="287">
        <v>0.73199999999999998</v>
      </c>
      <c r="AL466" s="286">
        <v>11.9</v>
      </c>
      <c r="AM466" s="290">
        <v>70.099999999999994</v>
      </c>
      <c r="AN466" s="286" cm="1">
        <f t="array" aca="1" ref="AN466" ca="1">INDIRECT("'"&amp;$C466&amp;"'!"&amp;"$"&amp;$D466&amp;$AL$1&amp;"")</f>
        <v>4.0999999999999996</v>
      </c>
      <c r="AO466" s="289">
        <v>0.96</v>
      </c>
      <c r="AP466" s="287">
        <v>1.1000000000000001</v>
      </c>
      <c r="AQ466" s="288" cm="1">
        <f t="array" aca="1" ref="AQ466" ca="1">INDIRECT("'"&amp;$C466&amp;"'!"&amp;"$"&amp;$D466&amp;$AQ$1&amp;"")</f>
        <v>4.0999999999999996</v>
      </c>
      <c r="AR466" s="289">
        <v>0.96</v>
      </c>
      <c r="AS466" s="287">
        <v>1.1000000000000001</v>
      </c>
      <c r="AT466" s="289" cm="1">
        <f t="array" aca="1" ref="AT466" ca="1">INDIRECT("'"&amp;$C466&amp;"'!"&amp;"$"&amp;$D466&amp;$AT$1&amp;"")</f>
        <v>0</v>
      </c>
      <c r="AU466" s="288" t="s">
        <v>1</v>
      </c>
      <c r="AV466" s="289" t="s">
        <v>1</v>
      </c>
      <c r="AW466" s="287" t="s">
        <v>1</v>
      </c>
      <c r="AX466" s="291">
        <v>14.19</v>
      </c>
      <c r="AY466" s="290">
        <v>71.400000000000006</v>
      </c>
      <c r="AZ466" s="291" cm="1">
        <f t="array" aca="1" ref="AZ466" ca="1">INDIRECT("'"&amp;$C466&amp;"'!"&amp;"$"&amp;$D466&amp;$AZ$1&amp;"")</f>
        <v>14.18</v>
      </c>
      <c r="BA466" s="289">
        <v>0.98</v>
      </c>
      <c r="BB466" s="287">
        <v>3.5</v>
      </c>
      <c r="BC466" s="292">
        <v>67.599999999999994</v>
      </c>
      <c r="BD466" s="286" cm="1">
        <f t="array" aca="1" ref="BD466" ca="1">INDIRECT("'"&amp;$C466&amp;"'!"&amp;"$"&amp;$D466&amp;$BC$1&amp;"")</f>
        <v>0.7</v>
      </c>
      <c r="BE466" s="288">
        <v>0.95</v>
      </c>
      <c r="BF466" s="287">
        <v>0.23</v>
      </c>
      <c r="BG466" s="291" cm="1">
        <f t="array" aca="1" ref="BG466" ca="1">INDIRECT("'"&amp;$C466&amp;"'!"&amp;"$"&amp;$D466&amp;$BG$1&amp;"")</f>
        <v>1.1499999999999999</v>
      </c>
      <c r="BH466" s="289"/>
      <c r="BI466" s="289">
        <v>0.99</v>
      </c>
      <c r="BJ466" s="287">
        <v>0.22</v>
      </c>
      <c r="BK466" s="292" cm="1">
        <f t="array" aca="1" ref="BK466" ca="1">INDIRECT("'"&amp;$C466&amp;"'!"&amp;"$"&amp;$D466&amp;$BK$1&amp;"")</f>
        <v>0.81</v>
      </c>
      <c r="BL466" s="289"/>
      <c r="BM466" s="289">
        <v>0.95</v>
      </c>
      <c r="BN466" s="287">
        <v>0.24</v>
      </c>
    </row>
    <row r="467" spans="1:66">
      <c r="A467" s="361">
        <v>45766</v>
      </c>
      <c r="B467" s="358">
        <v>0.5</v>
      </c>
      <c r="C467" s="313">
        <f t="shared" si="17"/>
        <v>19</v>
      </c>
      <c r="D467" s="314" t="s">
        <v>139</v>
      </c>
      <c r="E467" s="293">
        <v>14.2</v>
      </c>
      <c r="F467" s="294">
        <v>69.239999999999995</v>
      </c>
      <c r="G467" s="295" cm="1">
        <f t="array" aca="1" ref="G467" ca="1">INDIRECT("'"&amp;$C467&amp;"'!"&amp;"$"&amp;$D467&amp;$E$1&amp;"")</f>
        <v>6.7</v>
      </c>
      <c r="H467" s="296">
        <v>0.92</v>
      </c>
      <c r="I467" s="294">
        <v>2.89</v>
      </c>
      <c r="J467" s="295" cm="1">
        <f t="array" aca="1" ref="J467" ca="1">INDIRECT("'"&amp;$C467&amp;"'!"&amp;"$"&amp;$D467&amp;$J$1&amp;"")</f>
        <v>6.7</v>
      </c>
      <c r="K467" s="296"/>
      <c r="L467" s="296">
        <v>0.92</v>
      </c>
      <c r="M467" s="294">
        <v>2.9</v>
      </c>
      <c r="N467" s="295" cm="1">
        <f t="array" aca="1" ref="N467" ca="1">INDIRECT("'"&amp;$C467&amp;"'!"&amp;"$"&amp;$D467&amp;$N$1&amp;"")</f>
        <v>0</v>
      </c>
      <c r="O467" s="296"/>
      <c r="P467" s="296" t="s">
        <v>1</v>
      </c>
      <c r="Q467" s="294" t="s">
        <v>1</v>
      </c>
      <c r="R467" s="295" cm="1">
        <f t="array" aca="1" ref="R467" ca="1">INDIRECT("'"&amp;$C467&amp;"'!"&amp;"$"&amp;$D467&amp;$R$1&amp;"")</f>
        <v>6.8</v>
      </c>
      <c r="S467" s="296"/>
      <c r="T467" s="296">
        <v>0.92</v>
      </c>
      <c r="U467" s="294">
        <v>2.87</v>
      </c>
      <c r="V467" s="295" cm="1">
        <f t="array" aca="1" ref="V467" ca="1">INDIRECT("'"&amp;$C467&amp;"'!"&amp;"$"&amp;$D467&amp;$V$1&amp;"")</f>
        <v>0</v>
      </c>
      <c r="W467" s="296" t="s">
        <v>1</v>
      </c>
      <c r="X467" s="296" t="s">
        <v>1</v>
      </c>
      <c r="Y467" s="297" t="s">
        <v>1</v>
      </c>
      <c r="Z467" s="293" cm="1">
        <f t="array" aca="1" ref="Z467" ca="1">INDIRECT("'"&amp;$C467&amp;"'!"&amp;"$"&amp;$D467&amp;$Z$1&amp;"")</f>
        <v>0</v>
      </c>
      <c r="AA467" s="296" t="s">
        <v>1</v>
      </c>
      <c r="AB467" s="296" t="s">
        <v>1</v>
      </c>
      <c r="AC467" s="294" t="s">
        <v>1</v>
      </c>
      <c r="AD467" s="295" cm="1">
        <f t="array" aca="1" ref="AD467" ca="1">INDIRECT("'"&amp;$C467&amp;"'!"&amp;"$"&amp;$D467&amp;$AD$1&amp;"")</f>
        <v>3.8</v>
      </c>
      <c r="AE467" s="296">
        <f t="shared" ref="AE467" si="18">3.8*3.52</f>
        <v>13.375999999999999</v>
      </c>
      <c r="AF467" s="296">
        <v>0.9</v>
      </c>
      <c r="AG467" s="297">
        <v>1.93</v>
      </c>
      <c r="AH467" s="293" cm="1">
        <f t="array" aca="1" ref="AH467" ca="1">INDIRECT("'"&amp;$C467&amp;"'!"&amp;"$"&amp;$D467&amp;$AH$1&amp;"")</f>
        <v>3.8</v>
      </c>
      <c r="AI467" s="296">
        <v>14</v>
      </c>
      <c r="AJ467" s="296">
        <v>0.98</v>
      </c>
      <c r="AK467" s="294">
        <v>0.64300000000000002</v>
      </c>
      <c r="AL467" s="293">
        <v>11.8</v>
      </c>
      <c r="AM467" s="297">
        <v>70.400000000000006</v>
      </c>
      <c r="AN467" s="293" cm="1">
        <f t="array" aca="1" ref="AN467" ca="1">INDIRECT("'"&amp;$C467&amp;"'!"&amp;"$"&amp;$D467&amp;$AL$1&amp;"")</f>
        <v>4.2</v>
      </c>
      <c r="AO467" s="296">
        <v>0.99</v>
      </c>
      <c r="AP467" s="294">
        <v>1</v>
      </c>
      <c r="AQ467" s="295" cm="1">
        <f t="array" aca="1" ref="AQ467" ca="1">INDIRECT("'"&amp;$C467&amp;"'!"&amp;"$"&amp;$D467&amp;$AQ$1&amp;"")</f>
        <v>4.2</v>
      </c>
      <c r="AR467" s="296">
        <v>0.99</v>
      </c>
      <c r="AS467" s="294">
        <v>1</v>
      </c>
      <c r="AT467" s="296" cm="1">
        <f t="array" aca="1" ref="AT467" ca="1">INDIRECT("'"&amp;$C467&amp;"'!"&amp;"$"&amp;$D467&amp;$AT$1&amp;"")</f>
        <v>0</v>
      </c>
      <c r="AU467" s="295" t="s">
        <v>1</v>
      </c>
      <c r="AV467" s="296" t="s">
        <v>1</v>
      </c>
      <c r="AW467" s="294" t="s">
        <v>1</v>
      </c>
      <c r="AX467" s="298">
        <v>14.28</v>
      </c>
      <c r="AY467" s="297">
        <v>71.849999999999994</v>
      </c>
      <c r="AZ467" s="298" cm="1">
        <f t="array" aca="1" ref="AZ467" ca="1">INDIRECT("'"&amp;$C467&amp;"'!"&amp;"$"&amp;$D467&amp;$AZ$1&amp;"")</f>
        <v>14.15</v>
      </c>
      <c r="BA467" s="296">
        <v>0.98</v>
      </c>
      <c r="BB467" s="294">
        <v>3.5</v>
      </c>
      <c r="BC467" s="299">
        <v>68.099999999999994</v>
      </c>
      <c r="BD467" s="293" cm="1">
        <f t="array" aca="1" ref="BD467" ca="1">INDIRECT("'"&amp;$C467&amp;"'!"&amp;"$"&amp;$D467&amp;$BC$1&amp;"")</f>
        <v>2.48</v>
      </c>
      <c r="BE467" s="295">
        <v>0.95</v>
      </c>
      <c r="BF467" s="294">
        <v>0.81</v>
      </c>
      <c r="BG467" s="298" cm="1">
        <f t="array" aca="1" ref="BG467" ca="1">INDIRECT("'"&amp;$C467&amp;"'!"&amp;"$"&amp;$D467&amp;$BG$1&amp;"")</f>
        <v>1.29</v>
      </c>
      <c r="BH467" s="296"/>
      <c r="BI467" s="296">
        <v>0.99</v>
      </c>
      <c r="BJ467" s="294">
        <v>0.23</v>
      </c>
      <c r="BK467" s="299" cm="1">
        <f t="array" aca="1" ref="BK467" ca="1">INDIRECT("'"&amp;$C467&amp;"'!"&amp;"$"&amp;$D467&amp;$BK$1&amp;"")</f>
        <v>0.83</v>
      </c>
      <c r="BL467" s="296"/>
      <c r="BM467" s="296">
        <v>0.96</v>
      </c>
      <c r="BN467" s="294">
        <v>0.24</v>
      </c>
    </row>
    <row r="468" spans="1:66">
      <c r="A468" s="361">
        <v>45766</v>
      </c>
      <c r="B468" s="358">
        <v>0.54166666666666696</v>
      </c>
      <c r="C468" s="313">
        <f t="shared" si="17"/>
        <v>19</v>
      </c>
      <c r="D468" s="314" t="s">
        <v>140</v>
      </c>
      <c r="E468" s="286">
        <v>14.3</v>
      </c>
      <c r="F468" s="287">
        <v>69.430000000000007</v>
      </c>
      <c r="G468" s="288" cm="1">
        <f t="array" aca="1" ref="G468" ca="1">INDIRECT("'"&amp;$C468&amp;"'!"&amp;"$"&amp;$D468&amp;$E$1&amp;"")</f>
        <v>6.6</v>
      </c>
      <c r="H468" s="289">
        <v>0.92</v>
      </c>
      <c r="I468" s="287">
        <v>2.82</v>
      </c>
      <c r="J468" s="288" cm="1">
        <f t="array" aca="1" ref="J468" ca="1">INDIRECT("'"&amp;$C468&amp;"'!"&amp;"$"&amp;$D468&amp;$J$1&amp;"")</f>
        <v>6.7</v>
      </c>
      <c r="K468" s="289"/>
      <c r="L468" s="289">
        <v>0.92</v>
      </c>
      <c r="M468" s="287">
        <v>2.81</v>
      </c>
      <c r="N468" s="288" cm="1">
        <f t="array" aca="1" ref="N468" ca="1">INDIRECT("'"&amp;$C468&amp;"'!"&amp;"$"&amp;$D468&amp;$N$1&amp;"")</f>
        <v>0</v>
      </c>
      <c r="O468" s="289"/>
      <c r="P468" s="289" t="s">
        <v>1</v>
      </c>
      <c r="Q468" s="287" t="s">
        <v>1</v>
      </c>
      <c r="R468" s="288" cm="1">
        <f t="array" aca="1" ref="R468" ca="1">INDIRECT("'"&amp;$C468&amp;"'!"&amp;"$"&amp;$D468&amp;$R$1&amp;"")</f>
        <v>6.7</v>
      </c>
      <c r="S468" s="289"/>
      <c r="T468" s="289">
        <v>0.92</v>
      </c>
      <c r="U468" s="287">
        <v>2.88</v>
      </c>
      <c r="V468" s="288" cm="1">
        <f t="array" aca="1" ref="V468" ca="1">INDIRECT("'"&amp;$C468&amp;"'!"&amp;"$"&amp;$D468&amp;$V$1&amp;"")</f>
        <v>2.8</v>
      </c>
      <c r="W468" s="289">
        <f>3.8*3.54</f>
        <v>13.452</v>
      </c>
      <c r="X468" s="289">
        <v>0.91</v>
      </c>
      <c r="Y468" s="290">
        <v>1.35</v>
      </c>
      <c r="Z468" s="286" cm="1">
        <f t="array" aca="1" ref="Z468" ca="1">INDIRECT("'"&amp;$C468&amp;"'!"&amp;"$"&amp;$D468&amp;$Z$1&amp;"")</f>
        <v>0</v>
      </c>
      <c r="AA468" s="289" t="s">
        <v>1</v>
      </c>
      <c r="AB468" s="289" t="s">
        <v>1</v>
      </c>
      <c r="AC468" s="287" t="s">
        <v>1</v>
      </c>
      <c r="AD468" s="288" cm="1">
        <f t="array" aca="1" ref="AD468" ca="1">INDIRECT("'"&amp;$C468&amp;"'!"&amp;"$"&amp;$D468&amp;$AD$1&amp;"")</f>
        <v>3.8</v>
      </c>
      <c r="AE468" s="289">
        <f>3.8*3.54</f>
        <v>13.452</v>
      </c>
      <c r="AF468" s="289">
        <v>0.9</v>
      </c>
      <c r="AG468" s="290">
        <v>1.92</v>
      </c>
      <c r="AH468" s="286" cm="1">
        <f t="array" aca="1" ref="AH468" ca="1">INDIRECT("'"&amp;$C468&amp;"'!"&amp;"$"&amp;$D468&amp;$AH$1&amp;"")</f>
        <v>3.8</v>
      </c>
      <c r="AI468" s="289">
        <v>14</v>
      </c>
      <c r="AJ468" s="289">
        <v>0.98</v>
      </c>
      <c r="AK468" s="287">
        <v>0.68600000000000005</v>
      </c>
      <c r="AL468" s="286">
        <v>11.9</v>
      </c>
      <c r="AM468" s="290">
        <v>70.3</v>
      </c>
      <c r="AN468" s="286" cm="1">
        <f t="array" aca="1" ref="AN468" ca="1">INDIRECT("'"&amp;$C468&amp;"'!"&amp;"$"&amp;$D468&amp;$AL$1&amp;"")</f>
        <v>4.2</v>
      </c>
      <c r="AO468" s="289">
        <v>0.97</v>
      </c>
      <c r="AP468" s="287">
        <v>0.9</v>
      </c>
      <c r="AQ468" s="288" cm="1">
        <f t="array" aca="1" ref="AQ468" ca="1">INDIRECT("'"&amp;$C468&amp;"'!"&amp;"$"&amp;$D468&amp;$AQ$1&amp;"")</f>
        <v>4.2</v>
      </c>
      <c r="AR468" s="289">
        <v>0.97</v>
      </c>
      <c r="AS468" s="287">
        <v>0.9</v>
      </c>
      <c r="AT468" s="289" cm="1">
        <f t="array" aca="1" ref="AT468" ca="1">INDIRECT("'"&amp;$C468&amp;"'!"&amp;"$"&amp;$D468&amp;$AT$1&amp;"")</f>
        <v>0</v>
      </c>
      <c r="AU468" s="288" t="s">
        <v>1</v>
      </c>
      <c r="AV468" s="289" t="s">
        <v>1</v>
      </c>
      <c r="AW468" s="287" t="s">
        <v>1</v>
      </c>
      <c r="AX468" s="291">
        <v>14.13</v>
      </c>
      <c r="AY468" s="290">
        <v>71.48</v>
      </c>
      <c r="AZ468" s="291" cm="1">
        <f t="array" aca="1" ref="AZ468" ca="1">INDIRECT("'"&amp;$C468&amp;"'!"&amp;"$"&amp;$D468&amp;$AZ$1&amp;"")</f>
        <v>14.23</v>
      </c>
      <c r="BA468" s="289">
        <v>0.99</v>
      </c>
      <c r="BB468" s="287">
        <v>2.5</v>
      </c>
      <c r="BC468" s="292">
        <v>68.2</v>
      </c>
      <c r="BD468" s="286" cm="1">
        <f t="array" aca="1" ref="BD468" ca="1">INDIRECT("'"&amp;$C468&amp;"'!"&amp;"$"&amp;$D468&amp;$BC$1&amp;"")</f>
        <v>0.8</v>
      </c>
      <c r="BE468" s="288">
        <v>0.95</v>
      </c>
      <c r="BF468" s="287">
        <v>0.26</v>
      </c>
      <c r="BG468" s="291" cm="1">
        <f t="array" aca="1" ref="BG468" ca="1">INDIRECT("'"&amp;$C468&amp;"'!"&amp;"$"&amp;$D468&amp;$BG$1&amp;"")</f>
        <v>1.1599999999999999</v>
      </c>
      <c r="BH468" s="289"/>
      <c r="BI468" s="289">
        <v>0.99</v>
      </c>
      <c r="BJ468" s="287">
        <v>0.21</v>
      </c>
      <c r="BK468" s="292" cm="1">
        <f t="array" aca="1" ref="BK468" ca="1">INDIRECT("'"&amp;$C468&amp;"'!"&amp;"$"&amp;$D468&amp;$BK$1&amp;"")</f>
        <v>0.84</v>
      </c>
      <c r="BL468" s="289"/>
      <c r="BM468" s="289">
        <v>0.96</v>
      </c>
      <c r="BN468" s="287">
        <v>0.25</v>
      </c>
    </row>
    <row r="469" spans="1:66">
      <c r="A469" s="361">
        <v>45766</v>
      </c>
      <c r="B469" s="358">
        <v>0.58333333333333404</v>
      </c>
      <c r="C469" s="313">
        <f t="shared" si="17"/>
        <v>19</v>
      </c>
      <c r="D469" s="314" t="s">
        <v>141</v>
      </c>
      <c r="E469" s="293">
        <v>14.3</v>
      </c>
      <c r="F469" s="294">
        <v>69.58</v>
      </c>
      <c r="G469" s="295" cm="1">
        <f t="array" aca="1" ref="G469" ca="1">INDIRECT("'"&amp;$C469&amp;"'!"&amp;"$"&amp;$D469&amp;$E$1&amp;"")</f>
        <v>6.6</v>
      </c>
      <c r="H469" s="296">
        <v>0.92</v>
      </c>
      <c r="I469" s="294">
        <v>2.79</v>
      </c>
      <c r="J469" s="295" cm="1">
        <f t="array" aca="1" ref="J469" ca="1">INDIRECT("'"&amp;$C469&amp;"'!"&amp;"$"&amp;$D469&amp;$J$1&amp;"")</f>
        <v>6.6</v>
      </c>
      <c r="K469" s="296"/>
      <c r="L469" s="296">
        <v>0.92</v>
      </c>
      <c r="M469" s="294">
        <v>2.79</v>
      </c>
      <c r="N469" s="295" cm="1">
        <f t="array" aca="1" ref="N469" ca="1">INDIRECT("'"&amp;$C469&amp;"'!"&amp;"$"&amp;$D469&amp;$N$1&amp;"")</f>
        <v>0</v>
      </c>
      <c r="O469" s="296"/>
      <c r="P469" s="296" t="s">
        <v>1</v>
      </c>
      <c r="Q469" s="294" t="s">
        <v>1</v>
      </c>
      <c r="R469" s="295" cm="1">
        <f t="array" aca="1" ref="R469" ca="1">INDIRECT("'"&amp;$C469&amp;"'!"&amp;"$"&amp;$D469&amp;$R$1&amp;"")</f>
        <v>6.6</v>
      </c>
      <c r="S469" s="296"/>
      <c r="T469" s="296">
        <v>0.92</v>
      </c>
      <c r="U469" s="294">
        <v>2.79</v>
      </c>
      <c r="V469" s="295" cm="1">
        <f t="array" aca="1" ref="V469" ca="1">INDIRECT("'"&amp;$C469&amp;"'!"&amp;"$"&amp;$D469&amp;$V$1&amp;"")</f>
        <v>2.8</v>
      </c>
      <c r="W469" s="296">
        <f>3.8*3.54</f>
        <v>13.452</v>
      </c>
      <c r="X469" s="296">
        <v>0.9</v>
      </c>
      <c r="Y469" s="297">
        <v>1.37</v>
      </c>
      <c r="Z469" s="293" cm="1">
        <f t="array" aca="1" ref="Z469" ca="1">INDIRECT("'"&amp;$C469&amp;"'!"&amp;"$"&amp;$D469&amp;$Z$1&amp;"")</f>
        <v>0</v>
      </c>
      <c r="AA469" s="296" t="s">
        <v>1</v>
      </c>
      <c r="AB469" s="296" t="s">
        <v>1</v>
      </c>
      <c r="AC469" s="294" t="s">
        <v>1</v>
      </c>
      <c r="AD469" s="295" cm="1">
        <f t="array" aca="1" ref="AD469" ca="1">INDIRECT("'"&amp;$C469&amp;"'!"&amp;"$"&amp;$D469&amp;$AD$1&amp;"")</f>
        <v>3.8</v>
      </c>
      <c r="AE469" s="296">
        <f>3.8*3.54</f>
        <v>13.452</v>
      </c>
      <c r="AF469" s="296">
        <v>0.91</v>
      </c>
      <c r="AG469" s="297">
        <v>0.91</v>
      </c>
      <c r="AH469" s="293" cm="1">
        <f t="array" aca="1" ref="AH469" ca="1">INDIRECT("'"&amp;$C469&amp;"'!"&amp;"$"&amp;$D469&amp;$AH$1&amp;"")</f>
        <v>3.8</v>
      </c>
      <c r="AI469" s="296">
        <v>14</v>
      </c>
      <c r="AJ469" s="296">
        <v>0.98</v>
      </c>
      <c r="AK469" s="294">
        <v>0.73499999999999999</v>
      </c>
      <c r="AL469" s="293">
        <v>11.9</v>
      </c>
      <c r="AM469" s="297">
        <v>70.400000000000006</v>
      </c>
      <c r="AN469" s="293" cm="1">
        <f t="array" aca="1" ref="AN469" ca="1">INDIRECT("'"&amp;$C469&amp;"'!"&amp;"$"&amp;$D469&amp;$AL$1&amp;"")</f>
        <v>4</v>
      </c>
      <c r="AO469" s="296">
        <v>0.97</v>
      </c>
      <c r="AP469" s="294">
        <v>0.96</v>
      </c>
      <c r="AQ469" s="295" cm="1">
        <f t="array" aca="1" ref="AQ469" ca="1">INDIRECT("'"&amp;$C469&amp;"'!"&amp;"$"&amp;$D469&amp;$AQ$1&amp;"")</f>
        <v>4</v>
      </c>
      <c r="AR469" s="296">
        <v>0.97</v>
      </c>
      <c r="AS469" s="294">
        <v>0.95</v>
      </c>
      <c r="AT469" s="296" cm="1">
        <f t="array" aca="1" ref="AT469" ca="1">INDIRECT("'"&amp;$C469&amp;"'!"&amp;"$"&amp;$D469&amp;$AT$1&amp;"")</f>
        <v>0</v>
      </c>
      <c r="AU469" s="295" t="s">
        <v>1</v>
      </c>
      <c r="AV469" s="296" t="s">
        <v>1</v>
      </c>
      <c r="AW469" s="294" t="s">
        <v>1</v>
      </c>
      <c r="AX469" s="298">
        <v>14.12</v>
      </c>
      <c r="AY469" s="297">
        <v>71.48</v>
      </c>
      <c r="AZ469" s="298" cm="1">
        <f t="array" aca="1" ref="AZ469" ca="1">INDIRECT("'"&amp;$C469&amp;"'!"&amp;"$"&amp;$D469&amp;$AZ$1&amp;"")</f>
        <v>14.17</v>
      </c>
      <c r="BA469" s="296">
        <v>0.99</v>
      </c>
      <c r="BB469" s="294">
        <v>2.5</v>
      </c>
      <c r="BC469" s="299">
        <v>68.400000000000006</v>
      </c>
      <c r="BD469" s="293" cm="1">
        <f t="array" aca="1" ref="BD469" ca="1">INDIRECT("'"&amp;$C469&amp;"'!"&amp;"$"&amp;$D469&amp;$BC$1&amp;"")</f>
        <v>3.1</v>
      </c>
      <c r="BE469" s="295">
        <v>0.96</v>
      </c>
      <c r="BF469" s="294">
        <v>0.9</v>
      </c>
      <c r="BG469" s="298" cm="1">
        <f t="array" aca="1" ref="BG469" ca="1">INDIRECT("'"&amp;$C469&amp;"'!"&amp;"$"&amp;$D469&amp;$BG$1&amp;"")</f>
        <v>1.17</v>
      </c>
      <c r="BH469" s="296"/>
      <c r="BI469" s="296">
        <v>0.99</v>
      </c>
      <c r="BJ469" s="294">
        <v>0.2</v>
      </c>
      <c r="BK469" s="299" cm="1">
        <f t="array" aca="1" ref="BK469" ca="1">INDIRECT("'"&amp;$C469&amp;"'!"&amp;"$"&amp;$D469&amp;$BK$1&amp;"")</f>
        <v>0.86</v>
      </c>
      <c r="BL469" s="296"/>
      <c r="BM469" s="296">
        <v>0.96</v>
      </c>
      <c r="BN469" s="294">
        <v>0.25</v>
      </c>
    </row>
    <row r="470" spans="1:66">
      <c r="A470" s="361">
        <v>45766</v>
      </c>
      <c r="B470" s="358">
        <v>0.625</v>
      </c>
      <c r="C470" s="313">
        <f t="shared" si="17"/>
        <v>19</v>
      </c>
      <c r="D470" s="314" t="s">
        <v>142</v>
      </c>
      <c r="E470" s="286">
        <v>14.3</v>
      </c>
      <c r="F470" s="287">
        <v>69.64</v>
      </c>
      <c r="G470" s="288" cm="1">
        <f t="array" aca="1" ref="G470" ca="1">INDIRECT("'"&amp;$C470&amp;"'!"&amp;"$"&amp;$D470&amp;$E$1&amp;"")</f>
        <v>6.7</v>
      </c>
      <c r="H470" s="289">
        <v>0.92</v>
      </c>
      <c r="I470" s="287">
        <v>2.92</v>
      </c>
      <c r="J470" s="288" cm="1">
        <f t="array" aca="1" ref="J470" ca="1">INDIRECT("'"&amp;$C470&amp;"'!"&amp;"$"&amp;$D470&amp;$J$1&amp;"")</f>
        <v>6.7</v>
      </c>
      <c r="K470" s="289"/>
      <c r="L470" s="289">
        <v>0.92</v>
      </c>
      <c r="M470" s="287">
        <v>2.91</v>
      </c>
      <c r="N470" s="288" cm="1">
        <f t="array" aca="1" ref="N470" ca="1">INDIRECT("'"&amp;$C470&amp;"'!"&amp;"$"&amp;$D470&amp;$N$1&amp;"")</f>
        <v>0</v>
      </c>
      <c r="O470" s="289"/>
      <c r="P470" s="289" t="s">
        <v>1</v>
      </c>
      <c r="Q470" s="287" t="s">
        <v>1</v>
      </c>
      <c r="R470" s="288" cm="1">
        <f t="array" aca="1" ref="R470" ca="1">INDIRECT("'"&amp;$C470&amp;"'!"&amp;"$"&amp;$D470&amp;$R$1&amp;"")</f>
        <v>6.7</v>
      </c>
      <c r="S470" s="289"/>
      <c r="T470" s="289">
        <v>0.92</v>
      </c>
      <c r="U470" s="287">
        <v>2.91</v>
      </c>
      <c r="V470" s="288" cm="1">
        <f t="array" aca="1" ref="V470" ca="1">INDIRECT("'"&amp;$C470&amp;"'!"&amp;"$"&amp;$D470&amp;$V$1&amp;"")</f>
        <v>2.8</v>
      </c>
      <c r="W470" s="289">
        <f>3.8*3.54</f>
        <v>13.452</v>
      </c>
      <c r="X470" s="289">
        <v>0.9</v>
      </c>
      <c r="Y470" s="290">
        <v>1.34</v>
      </c>
      <c r="Z470" s="286" cm="1">
        <f t="array" aca="1" ref="Z470" ca="1">INDIRECT("'"&amp;$C470&amp;"'!"&amp;"$"&amp;$D470&amp;$Z$1&amp;"")</f>
        <v>0</v>
      </c>
      <c r="AA470" s="289" t="s">
        <v>1</v>
      </c>
      <c r="AB470" s="289" t="s">
        <v>1</v>
      </c>
      <c r="AC470" s="287" t="s">
        <v>1</v>
      </c>
      <c r="AD470" s="288" cm="1">
        <f t="array" aca="1" ref="AD470" ca="1">INDIRECT("'"&amp;$C470&amp;"'!"&amp;"$"&amp;$D470&amp;$AD$1&amp;"")</f>
        <v>3.8</v>
      </c>
      <c r="AE470" s="289">
        <f>3.8*3.54</f>
        <v>13.452</v>
      </c>
      <c r="AF470" s="289">
        <v>0.9</v>
      </c>
      <c r="AG470" s="290">
        <v>1.94</v>
      </c>
      <c r="AH470" s="286" cm="1">
        <f t="array" aca="1" ref="AH470" ca="1">INDIRECT("'"&amp;$C470&amp;"'!"&amp;"$"&amp;$D470&amp;$AH$1&amp;"")</f>
        <v>3.8</v>
      </c>
      <c r="AI470" s="289">
        <v>14</v>
      </c>
      <c r="AJ470" s="289">
        <v>0.98</v>
      </c>
      <c r="AK470" s="287">
        <v>0.68300000000000005</v>
      </c>
      <c r="AL470" s="286">
        <v>11.9</v>
      </c>
      <c r="AM470" s="290">
        <v>70.5</v>
      </c>
      <c r="AN470" s="286" cm="1">
        <f t="array" aca="1" ref="AN470" ca="1">INDIRECT("'"&amp;$C470&amp;"'!"&amp;"$"&amp;$D470&amp;$AL$1&amp;"")</f>
        <v>4.0999999999999996</v>
      </c>
      <c r="AO470" s="289">
        <v>0.97</v>
      </c>
      <c r="AP470" s="287">
        <v>0.95</v>
      </c>
      <c r="AQ470" s="288" cm="1">
        <f t="array" aca="1" ref="AQ470" ca="1">INDIRECT("'"&amp;$C470&amp;"'!"&amp;"$"&amp;$D470&amp;$AQ$1&amp;"")</f>
        <v>4.0999999999999996</v>
      </c>
      <c r="AR470" s="289">
        <v>0.97</v>
      </c>
      <c r="AS470" s="287">
        <v>0.95</v>
      </c>
      <c r="AT470" s="289" cm="1">
        <f t="array" aca="1" ref="AT470" ca="1">INDIRECT("'"&amp;$C470&amp;"'!"&amp;"$"&amp;$D470&amp;$AT$1&amp;"")</f>
        <v>0</v>
      </c>
      <c r="AU470" s="288" t="s">
        <v>1</v>
      </c>
      <c r="AV470" s="289" t="s">
        <v>1</v>
      </c>
      <c r="AW470" s="287" t="s">
        <v>1</v>
      </c>
      <c r="AX470" s="291">
        <v>14.12</v>
      </c>
      <c r="AY470" s="290">
        <v>71.430000000000007</v>
      </c>
      <c r="AZ470" s="291" cm="1">
        <f t="array" aca="1" ref="AZ470" ca="1">INDIRECT("'"&amp;$C470&amp;"'!"&amp;"$"&amp;$D470&amp;$AZ$1&amp;"")</f>
        <v>14.19</v>
      </c>
      <c r="BA470" s="289">
        <v>0.99</v>
      </c>
      <c r="BB470" s="287">
        <v>2.4</v>
      </c>
      <c r="BC470" s="292">
        <v>68.400000000000006</v>
      </c>
      <c r="BD470" s="286" cm="1">
        <f t="array" aca="1" ref="BD470" ca="1">INDIRECT("'"&amp;$C470&amp;"'!"&amp;"$"&amp;$D470&amp;$BC$1&amp;"")</f>
        <v>2.2000000000000002</v>
      </c>
      <c r="BE470" s="288">
        <v>0.96</v>
      </c>
      <c r="BF470" s="287">
        <v>0.64</v>
      </c>
      <c r="BG470" s="291" cm="1">
        <f t="array" aca="1" ref="BG470" ca="1">INDIRECT("'"&amp;$C470&amp;"'!"&amp;"$"&amp;$D470&amp;$BG$1&amp;"")</f>
        <v>1.29</v>
      </c>
      <c r="BH470" s="289"/>
      <c r="BI470" s="289">
        <v>0.99</v>
      </c>
      <c r="BJ470" s="287">
        <v>0.23</v>
      </c>
      <c r="BK470" s="292" cm="1">
        <f t="array" aca="1" ref="BK470" ca="1">INDIRECT("'"&amp;$C470&amp;"'!"&amp;"$"&amp;$D470&amp;$BK$1&amp;"")</f>
        <v>0.85</v>
      </c>
      <c r="BL470" s="289"/>
      <c r="BM470" s="289">
        <v>0.96</v>
      </c>
      <c r="BN470" s="287">
        <v>0.25</v>
      </c>
    </row>
    <row r="471" spans="1:66">
      <c r="A471" s="361">
        <v>45766</v>
      </c>
      <c r="B471" s="358">
        <v>0.66666666666666696</v>
      </c>
      <c r="C471" s="313">
        <f t="shared" si="17"/>
        <v>19</v>
      </c>
      <c r="D471" s="314" t="s">
        <v>143</v>
      </c>
      <c r="E471" s="293">
        <v>14.3</v>
      </c>
      <c r="F471" s="294">
        <v>69.59</v>
      </c>
      <c r="G471" s="295" cm="1">
        <f t="array" aca="1" ref="G471" ca="1">INDIRECT("'"&amp;$C471&amp;"'!"&amp;"$"&amp;$D471&amp;$E$1&amp;"")</f>
        <v>6.7</v>
      </c>
      <c r="H471" s="296">
        <v>0.92</v>
      </c>
      <c r="I471" s="294">
        <v>2.91</v>
      </c>
      <c r="J471" s="295" cm="1">
        <f t="array" aca="1" ref="J471" ca="1">INDIRECT("'"&amp;$C471&amp;"'!"&amp;"$"&amp;$D471&amp;$J$1&amp;"")</f>
        <v>6.7</v>
      </c>
      <c r="K471" s="296"/>
      <c r="L471" s="296">
        <v>0.92</v>
      </c>
      <c r="M471" s="294">
        <v>2.91</v>
      </c>
      <c r="N471" s="295" cm="1">
        <f t="array" aca="1" ref="N471" ca="1">INDIRECT("'"&amp;$C471&amp;"'!"&amp;"$"&amp;$D471&amp;$N$1&amp;"")</f>
        <v>0</v>
      </c>
      <c r="O471" s="296"/>
      <c r="P471" s="296" t="s">
        <v>1</v>
      </c>
      <c r="Q471" s="294" t="s">
        <v>1</v>
      </c>
      <c r="R471" s="295" cm="1">
        <f t="array" aca="1" ref="R471" ca="1">INDIRECT("'"&amp;$C471&amp;"'!"&amp;"$"&amp;$D471&amp;$R$1&amp;"")</f>
        <v>6.8</v>
      </c>
      <c r="S471" s="296"/>
      <c r="T471" s="296">
        <v>0.93</v>
      </c>
      <c r="U471" s="294">
        <v>2.76</v>
      </c>
      <c r="V471" s="295" cm="1">
        <f t="array" aca="1" ref="V471" ca="1">INDIRECT("'"&amp;$C471&amp;"'!"&amp;"$"&amp;$D471&amp;$V$1&amp;"")</f>
        <v>2.8</v>
      </c>
      <c r="W471" s="296">
        <f>3.8*3.54</f>
        <v>13.452</v>
      </c>
      <c r="X471" s="296">
        <v>0.9</v>
      </c>
      <c r="Y471" s="297">
        <v>1.3</v>
      </c>
      <c r="Z471" s="293" cm="1">
        <f t="array" aca="1" ref="Z471" ca="1">INDIRECT("'"&amp;$C471&amp;"'!"&amp;"$"&amp;$D471&amp;$Z$1&amp;"")</f>
        <v>0</v>
      </c>
      <c r="AA471" s="296" t="s">
        <v>1</v>
      </c>
      <c r="AB471" s="296" t="s">
        <v>1</v>
      </c>
      <c r="AC471" s="294" t="s">
        <v>1</v>
      </c>
      <c r="AD471" s="295" cm="1">
        <f t="array" aca="1" ref="AD471" ca="1">INDIRECT("'"&amp;$C471&amp;"'!"&amp;"$"&amp;$D471&amp;$AD$1&amp;"")</f>
        <v>3.8</v>
      </c>
      <c r="AE471" s="296">
        <f>3.8*3.54</f>
        <v>13.452</v>
      </c>
      <c r="AF471" s="296">
        <v>0.9</v>
      </c>
      <c r="AG471" s="297">
        <v>1.95</v>
      </c>
      <c r="AH471" s="293" cm="1">
        <f t="array" aca="1" ref="AH471" ca="1">INDIRECT("'"&amp;$C471&amp;"'!"&amp;"$"&amp;$D471&amp;$AH$1&amp;"")</f>
        <v>3.8</v>
      </c>
      <c r="AI471" s="296">
        <v>14</v>
      </c>
      <c r="AJ471" s="296">
        <v>0.98</v>
      </c>
      <c r="AK471" s="294">
        <v>0.68600000000000005</v>
      </c>
      <c r="AL471" s="293">
        <v>11.9</v>
      </c>
      <c r="AM471" s="297">
        <v>70.400000000000006</v>
      </c>
      <c r="AN471" s="293" cm="1">
        <f t="array" aca="1" ref="AN471" ca="1">INDIRECT("'"&amp;$C471&amp;"'!"&amp;"$"&amp;$D471&amp;$AL$1&amp;"")</f>
        <v>4.2</v>
      </c>
      <c r="AO471" s="296">
        <v>0.97</v>
      </c>
      <c r="AP471" s="294">
        <v>1</v>
      </c>
      <c r="AQ471" s="295" cm="1">
        <f t="array" aca="1" ref="AQ471" ca="1">INDIRECT("'"&amp;$C471&amp;"'!"&amp;"$"&amp;$D471&amp;$AQ$1&amp;"")</f>
        <v>4.2</v>
      </c>
      <c r="AR471" s="296">
        <v>0.97</v>
      </c>
      <c r="AS471" s="294">
        <v>1</v>
      </c>
      <c r="AT471" s="296" cm="1">
        <f t="array" aca="1" ref="AT471" ca="1">INDIRECT("'"&amp;$C471&amp;"'!"&amp;"$"&amp;$D471&amp;$AT$1&amp;"")</f>
        <v>0</v>
      </c>
      <c r="AU471" s="295" t="s">
        <v>1</v>
      </c>
      <c r="AV471" s="296" t="s">
        <v>1</v>
      </c>
      <c r="AW471" s="294" t="s">
        <v>1</v>
      </c>
      <c r="AX471" s="298">
        <v>14.13</v>
      </c>
      <c r="AY471" s="297">
        <v>71.45</v>
      </c>
      <c r="AZ471" s="298" cm="1">
        <f t="array" aca="1" ref="AZ471" ca="1">INDIRECT("'"&amp;$C471&amp;"'!"&amp;"$"&amp;$D471&amp;$AZ$1&amp;"")</f>
        <v>14.1</v>
      </c>
      <c r="BA471" s="296">
        <v>0.99</v>
      </c>
      <c r="BB471" s="294">
        <v>2.4</v>
      </c>
      <c r="BC471" s="299">
        <v>68.400000000000006</v>
      </c>
      <c r="BD471" s="293" cm="1">
        <f t="array" aca="1" ref="BD471" ca="1">INDIRECT("'"&amp;$C471&amp;"'!"&amp;"$"&amp;$D471&amp;$BC$1&amp;"")</f>
        <v>2.2000000000000002</v>
      </c>
      <c r="BE471" s="295">
        <v>0.96</v>
      </c>
      <c r="BF471" s="294">
        <v>0.63</v>
      </c>
      <c r="BG471" s="298" cm="1">
        <f t="array" aca="1" ref="BG471" ca="1">INDIRECT("'"&amp;$C471&amp;"'!"&amp;"$"&amp;$D471&amp;$BG$1&amp;"")</f>
        <v>1.29</v>
      </c>
      <c r="BH471" s="296"/>
      <c r="BI471" s="296">
        <v>0.99</v>
      </c>
      <c r="BJ471" s="294">
        <v>0.25</v>
      </c>
      <c r="BK471" s="299" cm="1">
        <f t="array" aca="1" ref="BK471" ca="1">INDIRECT("'"&amp;$C471&amp;"'!"&amp;"$"&amp;$D471&amp;$BK$1&amp;"")</f>
        <v>0.84</v>
      </c>
      <c r="BL471" s="296"/>
      <c r="BM471" s="296">
        <v>0.96</v>
      </c>
      <c r="BN471" s="294">
        <v>0.24</v>
      </c>
    </row>
    <row r="472" spans="1:66">
      <c r="A472" s="361">
        <v>45766</v>
      </c>
      <c r="B472" s="358">
        <v>0.70833333333333404</v>
      </c>
      <c r="C472" s="313">
        <f t="shared" si="17"/>
        <v>19</v>
      </c>
      <c r="D472" s="314" t="s">
        <v>144</v>
      </c>
      <c r="E472" s="286">
        <v>14.3</v>
      </c>
      <c r="F472" s="287">
        <v>69.430000000000007</v>
      </c>
      <c r="G472" s="288" cm="1">
        <f t="array" aca="1" ref="G472" ca="1">INDIRECT("'"&amp;$C472&amp;"'!"&amp;"$"&amp;$D472&amp;$E$1&amp;"")</f>
        <v>6.7</v>
      </c>
      <c r="H472" s="289">
        <v>0.92</v>
      </c>
      <c r="I472" s="287">
        <v>2.88</v>
      </c>
      <c r="J472" s="288" cm="1">
        <f t="array" aca="1" ref="J472" ca="1">INDIRECT("'"&amp;$C472&amp;"'!"&amp;"$"&amp;$D472&amp;$J$1&amp;"")</f>
        <v>0</v>
      </c>
      <c r="K472" s="289"/>
      <c r="L472" s="289" t="s">
        <v>1</v>
      </c>
      <c r="M472" s="287" t="s">
        <v>1</v>
      </c>
      <c r="N472" s="288" cm="1">
        <f t="array" aca="1" ref="N472" ca="1">INDIRECT("'"&amp;$C472&amp;"'!"&amp;"$"&amp;$D472&amp;$N$1&amp;"")</f>
        <v>6.7</v>
      </c>
      <c r="O472" s="289"/>
      <c r="P472" s="289">
        <v>0.92</v>
      </c>
      <c r="Q472" s="287">
        <v>2.8</v>
      </c>
      <c r="R472" s="288" cm="1">
        <f t="array" aca="1" ref="R472" ca="1">INDIRECT("'"&amp;$C472&amp;"'!"&amp;"$"&amp;$D472&amp;$R$1&amp;"")</f>
        <v>6.7</v>
      </c>
      <c r="S472" s="289"/>
      <c r="T472" s="289">
        <v>0.92</v>
      </c>
      <c r="U472" s="287">
        <v>2.79</v>
      </c>
      <c r="V472" s="288" cm="1">
        <f t="array" aca="1" ref="V472" ca="1">INDIRECT("'"&amp;$C472&amp;"'!"&amp;"$"&amp;$D472&amp;$V$1&amp;"")</f>
        <v>2.8</v>
      </c>
      <c r="W472" s="289">
        <f>3.8*3.55</f>
        <v>13.489999999999998</v>
      </c>
      <c r="X472" s="289">
        <v>0.91</v>
      </c>
      <c r="Y472" s="290">
        <v>1.28</v>
      </c>
      <c r="Z472" s="286" cm="1">
        <f t="array" aca="1" ref="Z472" ca="1">INDIRECT("'"&amp;$C472&amp;"'!"&amp;"$"&amp;$D472&amp;$Z$1&amp;"")</f>
        <v>0</v>
      </c>
      <c r="AA472" s="289" t="s">
        <v>1</v>
      </c>
      <c r="AB472" s="289" t="s">
        <v>1</v>
      </c>
      <c r="AC472" s="287" t="s">
        <v>1</v>
      </c>
      <c r="AD472" s="288" cm="1">
        <f t="array" aca="1" ref="AD472" ca="1">INDIRECT("'"&amp;$C472&amp;"'!"&amp;"$"&amp;$D472&amp;$AD$1&amp;"")</f>
        <v>3.8</v>
      </c>
      <c r="AE472" s="289">
        <f>3.8*3.55</f>
        <v>13.489999999999998</v>
      </c>
      <c r="AF472" s="289">
        <v>0.91</v>
      </c>
      <c r="AG472" s="290">
        <v>1.82</v>
      </c>
      <c r="AH472" s="286" cm="1">
        <f t="array" aca="1" ref="AH472" ca="1">INDIRECT("'"&amp;$C472&amp;"'!"&amp;"$"&amp;$D472&amp;$AH$1&amp;"")</f>
        <v>3.8</v>
      </c>
      <c r="AI472" s="289">
        <v>14</v>
      </c>
      <c r="AJ472" s="289">
        <v>0.98</v>
      </c>
      <c r="AK472" s="287">
        <v>0.72499999999999998</v>
      </c>
      <c r="AL472" s="286">
        <v>11.9</v>
      </c>
      <c r="AM472" s="290">
        <v>70.3</v>
      </c>
      <c r="AN472" s="286" cm="1">
        <f t="array" aca="1" ref="AN472" ca="1">INDIRECT("'"&amp;$C472&amp;"'!"&amp;"$"&amp;$D472&amp;$AL$1&amp;"")</f>
        <v>4.0999999999999996</v>
      </c>
      <c r="AO472" s="289">
        <v>0.97</v>
      </c>
      <c r="AP472" s="287">
        <v>1</v>
      </c>
      <c r="AQ472" s="288" cm="1">
        <f t="array" aca="1" ref="AQ472" ca="1">INDIRECT("'"&amp;$C472&amp;"'!"&amp;"$"&amp;$D472&amp;$AQ$1&amp;"")</f>
        <v>4.0999999999999996</v>
      </c>
      <c r="AR472" s="289">
        <v>0.97</v>
      </c>
      <c r="AS472" s="287">
        <v>1</v>
      </c>
      <c r="AT472" s="289" cm="1">
        <f t="array" aca="1" ref="AT472" ca="1">INDIRECT("'"&amp;$C472&amp;"'!"&amp;"$"&amp;$D472&amp;$AT$1&amp;"")</f>
        <v>0</v>
      </c>
      <c r="AU472" s="288" t="s">
        <v>1</v>
      </c>
      <c r="AV472" s="289" t="s">
        <v>1</v>
      </c>
      <c r="AW472" s="287" t="s">
        <v>1</v>
      </c>
      <c r="AX472" s="291">
        <v>14.13</v>
      </c>
      <c r="AY472" s="290">
        <v>71.47</v>
      </c>
      <c r="AZ472" s="291" cm="1">
        <f t="array" aca="1" ref="AZ472" ca="1">INDIRECT("'"&amp;$C472&amp;"'!"&amp;"$"&amp;$D472&amp;$AZ$1&amp;"")</f>
        <v>14.31</v>
      </c>
      <c r="BA472" s="289">
        <v>0.99</v>
      </c>
      <c r="BB472" s="287">
        <v>2.4</v>
      </c>
      <c r="BC472" s="292">
        <v>68.3</v>
      </c>
      <c r="BD472" s="286" cm="1">
        <f t="array" aca="1" ref="BD472" ca="1">INDIRECT("'"&amp;$C472&amp;"'!"&amp;"$"&amp;$D472&amp;$BC$1&amp;"")</f>
        <v>1.5</v>
      </c>
      <c r="BE472" s="288">
        <v>0.96</v>
      </c>
      <c r="BF472" s="287">
        <v>0.43</v>
      </c>
      <c r="BG472" s="291" cm="1">
        <f t="array" aca="1" ref="BG472" ca="1">INDIRECT("'"&amp;$C472&amp;"'!"&amp;"$"&amp;$D472&amp;$BG$1&amp;"")</f>
        <v>1.1499999999999999</v>
      </c>
      <c r="BH472" s="289"/>
      <c r="BI472" s="289">
        <v>0.99</v>
      </c>
      <c r="BJ472" s="287">
        <v>0.2</v>
      </c>
      <c r="BK472" s="292" cm="1">
        <f t="array" aca="1" ref="BK472" ca="1">INDIRECT("'"&amp;$C472&amp;"'!"&amp;"$"&amp;$D472&amp;$BK$1&amp;"")</f>
        <v>0.82</v>
      </c>
      <c r="BL472" s="289"/>
      <c r="BM472" s="289">
        <v>0.96</v>
      </c>
      <c r="BN472" s="287">
        <v>0.25</v>
      </c>
    </row>
    <row r="473" spans="1:66">
      <c r="A473" s="361">
        <v>45766</v>
      </c>
      <c r="B473" s="358">
        <v>0.750000000000001</v>
      </c>
      <c r="C473" s="313">
        <f t="shared" si="17"/>
        <v>19</v>
      </c>
      <c r="D473" s="314" t="s">
        <v>145</v>
      </c>
      <c r="E473" s="293">
        <v>14.3</v>
      </c>
      <c r="F473" s="294">
        <v>69.819999999999993</v>
      </c>
      <c r="G473" s="295" cm="1">
        <f t="array" aca="1" ref="G473" ca="1">INDIRECT("'"&amp;$C473&amp;"'!"&amp;"$"&amp;$D473&amp;$E$1&amp;"")</f>
        <v>6.5</v>
      </c>
      <c r="H473" s="296">
        <v>0.94</v>
      </c>
      <c r="I473" s="294">
        <v>2.4900000000000002</v>
      </c>
      <c r="J473" s="295" cm="1">
        <f t="array" aca="1" ref="J473" ca="1">INDIRECT("'"&amp;$C473&amp;"'!"&amp;"$"&amp;$D473&amp;$J$1&amp;"")</f>
        <v>0</v>
      </c>
      <c r="K473" s="296"/>
      <c r="L473" s="296" t="s">
        <v>1</v>
      </c>
      <c r="M473" s="294" t="s">
        <v>1</v>
      </c>
      <c r="N473" s="295" cm="1">
        <f t="array" aca="1" ref="N473" ca="1">INDIRECT("'"&amp;$C473&amp;"'!"&amp;"$"&amp;$D473&amp;$N$1&amp;"")</f>
        <v>6.5</v>
      </c>
      <c r="O473" s="296"/>
      <c r="P473" s="296">
        <v>0.94</v>
      </c>
      <c r="Q473" s="294">
        <v>2.48</v>
      </c>
      <c r="R473" s="295" cm="1">
        <f t="array" aca="1" ref="R473" ca="1">INDIRECT("'"&amp;$C473&amp;"'!"&amp;"$"&amp;$D473&amp;$R$1&amp;"")</f>
        <v>6.4</v>
      </c>
      <c r="S473" s="296"/>
      <c r="T473" s="296">
        <v>0.93</v>
      </c>
      <c r="U473" s="294">
        <v>2.5299999999999998</v>
      </c>
      <c r="V473" s="295" cm="1">
        <f t="array" aca="1" ref="V473" ca="1">INDIRECT("'"&amp;$C473&amp;"'!"&amp;"$"&amp;$D473&amp;$V$1&amp;"")</f>
        <v>2.8</v>
      </c>
      <c r="W473" s="296">
        <f>3.8*3.57</f>
        <v>13.565999999999999</v>
      </c>
      <c r="X473" s="296">
        <v>0.91</v>
      </c>
      <c r="Y473" s="297">
        <v>1.26</v>
      </c>
      <c r="Z473" s="293" cm="1">
        <f t="array" aca="1" ref="Z473" ca="1">INDIRECT("'"&amp;$C473&amp;"'!"&amp;"$"&amp;$D473&amp;$Z$1&amp;"")</f>
        <v>0</v>
      </c>
      <c r="AA473" s="296" t="s">
        <v>1</v>
      </c>
      <c r="AB473" s="296" t="s">
        <v>1</v>
      </c>
      <c r="AC473" s="294" t="s">
        <v>1</v>
      </c>
      <c r="AD473" s="295" cm="1">
        <f t="array" aca="1" ref="AD473" ca="1">INDIRECT("'"&amp;$C473&amp;"'!"&amp;"$"&amp;$D473&amp;$AD$1&amp;"")</f>
        <v>3.8</v>
      </c>
      <c r="AE473" s="296">
        <f>3.8*3.57</f>
        <v>13.565999999999999</v>
      </c>
      <c r="AF473" s="296">
        <v>0.91</v>
      </c>
      <c r="AG473" s="297">
        <v>1.85</v>
      </c>
      <c r="AH473" s="293" cm="1">
        <f t="array" aca="1" ref="AH473" ca="1">INDIRECT("'"&amp;$C473&amp;"'!"&amp;"$"&amp;$D473&amp;$AH$1&amp;"")</f>
        <v>3.8</v>
      </c>
      <c r="AI473" s="296">
        <v>14</v>
      </c>
      <c r="AJ473" s="296">
        <v>0.98</v>
      </c>
      <c r="AK473" s="294">
        <v>0.69599999999999995</v>
      </c>
      <c r="AL473" s="293">
        <v>11.9</v>
      </c>
      <c r="AM473" s="297">
        <v>70.5</v>
      </c>
      <c r="AN473" s="293" cm="1">
        <f t="array" aca="1" ref="AN473" ca="1">INDIRECT("'"&amp;$C473&amp;"'!"&amp;"$"&amp;$D473&amp;$AL$1&amp;"")</f>
        <v>4</v>
      </c>
      <c r="AO473" s="296">
        <v>0.98</v>
      </c>
      <c r="AP473" s="294">
        <v>0.8</v>
      </c>
      <c r="AQ473" s="295" cm="1">
        <f t="array" aca="1" ref="AQ473" ca="1">INDIRECT("'"&amp;$C473&amp;"'!"&amp;"$"&amp;$D473&amp;$AQ$1&amp;"")</f>
        <v>4</v>
      </c>
      <c r="AR473" s="296">
        <v>0.98</v>
      </c>
      <c r="AS473" s="294">
        <v>0.8</v>
      </c>
      <c r="AT473" s="296" cm="1">
        <f t="array" aca="1" ref="AT473" ca="1">INDIRECT("'"&amp;$C473&amp;"'!"&amp;"$"&amp;$D473&amp;$AT$1&amp;"")</f>
        <v>0</v>
      </c>
      <c r="AU473" s="295" t="s">
        <v>1</v>
      </c>
      <c r="AV473" s="296" t="s">
        <v>1</v>
      </c>
      <c r="AW473" s="294" t="s">
        <v>1</v>
      </c>
      <c r="AX473" s="298">
        <v>14.12</v>
      </c>
      <c r="AY473" s="297">
        <v>71.569999999999993</v>
      </c>
      <c r="AZ473" s="298" cm="1">
        <f t="array" aca="1" ref="AZ473" ca="1">INDIRECT("'"&amp;$C473&amp;"'!"&amp;"$"&amp;$D473&amp;$AZ$1&amp;"")</f>
        <v>14.19</v>
      </c>
      <c r="BA473" s="296">
        <v>0.99</v>
      </c>
      <c r="BB473" s="294">
        <v>2.5</v>
      </c>
      <c r="BC473" s="299">
        <v>68.7</v>
      </c>
      <c r="BD473" s="293" cm="1">
        <f t="array" aca="1" ref="BD473" ca="1">INDIRECT("'"&amp;$C473&amp;"'!"&amp;"$"&amp;$D473&amp;$BC$1&amp;"")</f>
        <v>1.5</v>
      </c>
      <c r="BE473" s="295">
        <v>0.96</v>
      </c>
      <c r="BF473" s="294">
        <v>0.42</v>
      </c>
      <c r="BG473" s="298" cm="1">
        <f t="array" aca="1" ref="BG473" ca="1">INDIRECT("'"&amp;$C473&amp;"'!"&amp;"$"&amp;$D473&amp;$BG$1&amp;"")</f>
        <v>1.34</v>
      </c>
      <c r="BH473" s="296"/>
      <c r="BI473" s="296">
        <v>0.99</v>
      </c>
      <c r="BJ473" s="294">
        <v>0.21</v>
      </c>
      <c r="BK473" s="299" cm="1">
        <f t="array" aca="1" ref="BK473" ca="1">INDIRECT("'"&amp;$C473&amp;"'!"&amp;"$"&amp;$D473&amp;$BK$1&amp;"")</f>
        <v>0.82</v>
      </c>
      <c r="BL473" s="296"/>
      <c r="BM473" s="296">
        <v>0.95</v>
      </c>
      <c r="BN473" s="294">
        <v>0.25</v>
      </c>
    </row>
    <row r="474" spans="1:66">
      <c r="A474" s="361">
        <v>45766</v>
      </c>
      <c r="B474" s="358">
        <v>0.79166666666666663</v>
      </c>
      <c r="C474" s="313">
        <f t="shared" si="17"/>
        <v>19</v>
      </c>
      <c r="D474" s="314" t="s">
        <v>146</v>
      </c>
      <c r="E474" s="286">
        <v>14.3</v>
      </c>
      <c r="F474" s="287">
        <v>69.64</v>
      </c>
      <c r="G474" s="288" cm="1">
        <f t="array" aca="1" ref="G474" ca="1">INDIRECT("'"&amp;$C474&amp;"'!"&amp;"$"&amp;$D474&amp;$E$1&amp;"")</f>
        <v>6.7</v>
      </c>
      <c r="H474" s="289">
        <v>0.94</v>
      </c>
      <c r="I474" s="287">
        <v>2.5099999999999998</v>
      </c>
      <c r="J474" s="288" cm="1">
        <f t="array" aca="1" ref="J474" ca="1">INDIRECT("'"&amp;$C474&amp;"'!"&amp;"$"&amp;$D474&amp;$J$1&amp;"")</f>
        <v>0</v>
      </c>
      <c r="K474" s="300"/>
      <c r="L474" s="289" t="s">
        <v>1</v>
      </c>
      <c r="M474" s="287" t="s">
        <v>1</v>
      </c>
      <c r="N474" s="288" cm="1">
        <f t="array" aca="1" ref="N474" ca="1">INDIRECT("'"&amp;$C474&amp;"'!"&amp;"$"&amp;$D474&amp;$N$1&amp;"")</f>
        <v>6.7</v>
      </c>
      <c r="O474" s="289"/>
      <c r="P474" s="289">
        <v>0.93</v>
      </c>
      <c r="Q474" s="287">
        <v>2.66</v>
      </c>
      <c r="R474" s="288" cm="1">
        <f t="array" aca="1" ref="R474" ca="1">INDIRECT("'"&amp;$C474&amp;"'!"&amp;"$"&amp;$D474&amp;$R$1&amp;"")</f>
        <v>6.7</v>
      </c>
      <c r="S474" s="289"/>
      <c r="T474" s="289">
        <v>0.93</v>
      </c>
      <c r="U474" s="287">
        <v>2.64</v>
      </c>
      <c r="V474" s="288" cm="1">
        <f t="array" aca="1" ref="V474" ca="1">INDIRECT("'"&amp;$C474&amp;"'!"&amp;"$"&amp;$D474&amp;$V$1&amp;"")</f>
        <v>2.8</v>
      </c>
      <c r="W474" s="289">
        <f>3.8*3.56</f>
        <v>13.527999999999999</v>
      </c>
      <c r="X474" s="289">
        <v>0.91</v>
      </c>
      <c r="Y474" s="290">
        <v>1.27</v>
      </c>
      <c r="Z474" s="286" cm="1">
        <f t="array" aca="1" ref="Z474" ca="1">INDIRECT("'"&amp;$C474&amp;"'!"&amp;"$"&amp;$D474&amp;$Z$1&amp;"")</f>
        <v>0</v>
      </c>
      <c r="AA474" s="289" t="s">
        <v>1</v>
      </c>
      <c r="AB474" s="289" t="s">
        <v>1</v>
      </c>
      <c r="AC474" s="287" t="s">
        <v>1</v>
      </c>
      <c r="AD474" s="288" cm="1">
        <f t="array" aca="1" ref="AD474" ca="1">INDIRECT("'"&amp;$C474&amp;"'!"&amp;"$"&amp;$D474&amp;$AD$1&amp;"")</f>
        <v>3.8</v>
      </c>
      <c r="AE474" s="289">
        <f>3.8*3.56</f>
        <v>13.527999999999999</v>
      </c>
      <c r="AF474" s="289">
        <v>0.91</v>
      </c>
      <c r="AG474" s="290">
        <v>1.71</v>
      </c>
      <c r="AH474" s="286" cm="1">
        <f t="array" aca="1" ref="AH474" ca="1">INDIRECT("'"&amp;$C474&amp;"'!"&amp;"$"&amp;$D474&amp;$AH$1&amp;"")</f>
        <v>3.8</v>
      </c>
      <c r="AI474" s="289">
        <v>14.04</v>
      </c>
      <c r="AJ474" s="289">
        <v>0.98</v>
      </c>
      <c r="AK474" s="287">
        <v>0.63700000000000001</v>
      </c>
      <c r="AL474" s="286">
        <v>11.9</v>
      </c>
      <c r="AM474" s="290">
        <v>70.7</v>
      </c>
      <c r="AN474" s="286" cm="1">
        <f t="array" aca="1" ref="AN474" ca="1">INDIRECT("'"&amp;$C474&amp;"'!"&amp;"$"&amp;$D474&amp;$AL$1&amp;"")</f>
        <v>4.0999999999999996</v>
      </c>
      <c r="AO474" s="289">
        <v>0.98</v>
      </c>
      <c r="AP474" s="287">
        <v>0.7</v>
      </c>
      <c r="AQ474" s="288" cm="1">
        <f t="array" aca="1" ref="AQ474" ca="1">INDIRECT("'"&amp;$C474&amp;"'!"&amp;"$"&amp;$D474&amp;$AQ$1&amp;"")</f>
        <v>4.0999999999999996</v>
      </c>
      <c r="AR474" s="289">
        <v>0.98</v>
      </c>
      <c r="AS474" s="287">
        <v>0.7</v>
      </c>
      <c r="AT474" s="289" cm="1">
        <f t="array" aca="1" ref="AT474" ca="1">INDIRECT("'"&amp;$C474&amp;"'!"&amp;"$"&amp;$D474&amp;$AT$1&amp;"")</f>
        <v>3.9</v>
      </c>
      <c r="AU474" s="288">
        <v>13.8</v>
      </c>
      <c r="AV474" s="289">
        <v>0.99</v>
      </c>
      <c r="AW474" s="287">
        <v>0.57999999999999996</v>
      </c>
      <c r="AX474" s="291">
        <v>14.16</v>
      </c>
      <c r="AY474" s="290">
        <v>71.650000000000006</v>
      </c>
      <c r="AZ474" s="291" cm="1">
        <f t="array" aca="1" ref="AZ474" ca="1">INDIRECT("'"&amp;$C474&amp;"'!"&amp;"$"&amp;$D474&amp;$AZ$1&amp;"")</f>
        <v>14.25</v>
      </c>
      <c r="BA474" s="289">
        <v>0.99</v>
      </c>
      <c r="BB474" s="287">
        <v>2.5</v>
      </c>
      <c r="BC474" s="292">
        <v>68.5</v>
      </c>
      <c r="BD474" s="286" cm="1">
        <f t="array" aca="1" ref="BD474" ca="1">INDIRECT("'"&amp;$C474&amp;"'!"&amp;"$"&amp;$D474&amp;$BC$1&amp;"")</f>
        <v>1.5</v>
      </c>
      <c r="BE474" s="288">
        <v>0.97</v>
      </c>
      <c r="BF474" s="287">
        <v>0.37</v>
      </c>
      <c r="BG474" s="291" cm="1">
        <f t="array" aca="1" ref="BG474" ca="1">INDIRECT("'"&amp;$C474&amp;"'!"&amp;"$"&amp;$D474&amp;$BG$1&amp;"")</f>
        <v>1.63</v>
      </c>
      <c r="BH474" s="289"/>
      <c r="BI474" s="289">
        <v>0.99</v>
      </c>
      <c r="BJ474" s="287">
        <v>0.21</v>
      </c>
      <c r="BK474" s="292" cm="1">
        <f t="array" aca="1" ref="BK474" ca="1">INDIRECT("'"&amp;$C474&amp;"'!"&amp;"$"&amp;$D474&amp;$BK$1&amp;"")</f>
        <v>0.94</v>
      </c>
      <c r="BL474" s="289"/>
      <c r="BM474" s="289">
        <v>0.96</v>
      </c>
      <c r="BN474" s="287">
        <v>0.25</v>
      </c>
    </row>
    <row r="475" spans="1:66">
      <c r="A475" s="361">
        <v>45766</v>
      </c>
      <c r="B475" s="358">
        <v>0.83333333333333337</v>
      </c>
      <c r="C475" s="313">
        <f t="shared" si="17"/>
        <v>19</v>
      </c>
      <c r="D475" s="314" t="s">
        <v>147</v>
      </c>
      <c r="E475" s="293">
        <v>14.1</v>
      </c>
      <c r="F475" s="294">
        <v>69.91</v>
      </c>
      <c r="G475" s="295" cm="1">
        <f t="array" aca="1" ref="G475" ca="1">INDIRECT("'"&amp;$C475&amp;"'!"&amp;"$"&amp;$D475&amp;$E$1&amp;"")</f>
        <v>6.7</v>
      </c>
      <c r="H475" s="296">
        <v>0.93</v>
      </c>
      <c r="I475" s="294">
        <v>2.71</v>
      </c>
      <c r="J475" s="295" cm="1">
        <f t="array" aca="1" ref="J475" ca="1">INDIRECT("'"&amp;$C475&amp;"'!"&amp;"$"&amp;$D475&amp;$J$1&amp;"")</f>
        <v>0</v>
      </c>
      <c r="K475" s="296"/>
      <c r="L475" s="296" t="s">
        <v>1</v>
      </c>
      <c r="M475" s="294" t="s">
        <v>1</v>
      </c>
      <c r="N475" s="295" cm="1">
        <f t="array" aca="1" ref="N475" ca="1">INDIRECT("'"&amp;$C475&amp;"'!"&amp;"$"&amp;$D475&amp;$N$1&amp;"")</f>
        <v>6.7</v>
      </c>
      <c r="O475" s="296"/>
      <c r="P475" s="296">
        <v>0.93</v>
      </c>
      <c r="Q475" s="294">
        <v>2.74</v>
      </c>
      <c r="R475" s="295" cm="1">
        <f t="array" aca="1" ref="R475" ca="1">INDIRECT("'"&amp;$C475&amp;"'!"&amp;"$"&amp;$D475&amp;$R$1&amp;"")</f>
        <v>6.7</v>
      </c>
      <c r="S475" s="296"/>
      <c r="T475" s="296">
        <v>0.93</v>
      </c>
      <c r="U475" s="294">
        <v>2.7</v>
      </c>
      <c r="V475" s="295" cm="1">
        <f t="array" aca="1" ref="V475" ca="1">INDIRECT("'"&amp;$C475&amp;"'!"&amp;"$"&amp;$D475&amp;$V$1&amp;"")</f>
        <v>2.8</v>
      </c>
      <c r="W475" s="296">
        <f>3.8*3.56</f>
        <v>13.527999999999999</v>
      </c>
      <c r="X475" s="296">
        <v>0.91</v>
      </c>
      <c r="Y475" s="297">
        <v>1.28</v>
      </c>
      <c r="Z475" s="293" cm="1">
        <f t="array" aca="1" ref="Z475" ca="1">INDIRECT("'"&amp;$C475&amp;"'!"&amp;"$"&amp;$D475&amp;$Z$1&amp;"")</f>
        <v>0</v>
      </c>
      <c r="AA475" s="296" t="s">
        <v>1</v>
      </c>
      <c r="AB475" s="296" t="s">
        <v>1</v>
      </c>
      <c r="AC475" s="294" t="s">
        <v>1</v>
      </c>
      <c r="AD475" s="295" cm="1">
        <f t="array" aca="1" ref="AD475" ca="1">INDIRECT("'"&amp;$C475&amp;"'!"&amp;"$"&amp;$D475&amp;$AD$1&amp;"")</f>
        <v>3.8</v>
      </c>
      <c r="AE475" s="296">
        <f>3.8*3.56</f>
        <v>13.527999999999999</v>
      </c>
      <c r="AF475" s="296">
        <v>0.91</v>
      </c>
      <c r="AG475" s="297">
        <v>1.67</v>
      </c>
      <c r="AH475" s="293" cm="1">
        <f t="array" aca="1" ref="AH475" ca="1">INDIRECT("'"&amp;$C475&amp;"'!"&amp;"$"&amp;$D475&amp;$AH$1&amp;"")</f>
        <v>3.8</v>
      </c>
      <c r="AI475" s="296">
        <v>14.04</v>
      </c>
      <c r="AJ475" s="296">
        <v>0.98</v>
      </c>
      <c r="AK475" s="294">
        <v>0.56499999999999995</v>
      </c>
      <c r="AL475" s="293">
        <v>11.9</v>
      </c>
      <c r="AM475" s="297">
        <v>70.7</v>
      </c>
      <c r="AN475" s="293" cm="1">
        <f t="array" aca="1" ref="AN475" ca="1">INDIRECT("'"&amp;$C475&amp;"'!"&amp;"$"&amp;$D475&amp;$AL$1&amp;"")</f>
        <v>4.0999999999999996</v>
      </c>
      <c r="AO475" s="296">
        <v>0.98</v>
      </c>
      <c r="AP475" s="294">
        <v>0.7</v>
      </c>
      <c r="AQ475" s="295" cm="1">
        <f t="array" aca="1" ref="AQ475" ca="1">INDIRECT("'"&amp;$C475&amp;"'!"&amp;"$"&amp;$D475&amp;$AQ$1&amp;"")</f>
        <v>4.0999999999999996</v>
      </c>
      <c r="AR475" s="296">
        <v>0.98</v>
      </c>
      <c r="AS475" s="294">
        <v>0.7</v>
      </c>
      <c r="AT475" s="296" cm="1">
        <f t="array" aca="1" ref="AT475" ca="1">INDIRECT("'"&amp;$C475&amp;"'!"&amp;"$"&amp;$D475&amp;$AT$1&amp;"")</f>
        <v>3.7</v>
      </c>
      <c r="AU475" s="295">
        <v>13.8</v>
      </c>
      <c r="AV475" s="296">
        <v>0.98</v>
      </c>
      <c r="AW475" s="294">
        <v>0.73</v>
      </c>
      <c r="AX475" s="298">
        <v>14.18</v>
      </c>
      <c r="AY475" s="297">
        <v>71.69</v>
      </c>
      <c r="AZ475" s="298" cm="1">
        <f t="array" aca="1" ref="AZ475" ca="1">INDIRECT("'"&amp;$C475&amp;"'!"&amp;"$"&amp;$D475&amp;$AZ$1&amp;"")</f>
        <v>14.28</v>
      </c>
      <c r="BA475" s="296">
        <v>0.99</v>
      </c>
      <c r="BB475" s="294">
        <v>2.5</v>
      </c>
      <c r="BC475" s="299">
        <v>68.400000000000006</v>
      </c>
      <c r="BD475" s="293" cm="1">
        <f t="array" aca="1" ref="BD475" ca="1">INDIRECT("'"&amp;$C475&amp;"'!"&amp;"$"&amp;$D475&amp;$BC$1&amp;"")</f>
        <v>0</v>
      </c>
      <c r="BE475" s="295" t="s">
        <v>1</v>
      </c>
      <c r="BF475" s="294" t="s">
        <v>1</v>
      </c>
      <c r="BG475" s="298" cm="1">
        <f t="array" aca="1" ref="BG475" ca="1">INDIRECT("'"&amp;$C475&amp;"'!"&amp;"$"&amp;$D475&amp;$BG$1&amp;"")</f>
        <v>1.65</v>
      </c>
      <c r="BH475" s="296"/>
      <c r="BI475" s="296">
        <v>0.99</v>
      </c>
      <c r="BJ475" s="294">
        <v>0.21</v>
      </c>
      <c r="BK475" s="299" cm="1">
        <f t="array" aca="1" ref="BK475" ca="1">INDIRECT("'"&amp;$C475&amp;"'!"&amp;"$"&amp;$D475&amp;$BK$1&amp;"")</f>
        <v>0.95</v>
      </c>
      <c r="BL475" s="296"/>
      <c r="BM475" s="296">
        <v>0.96</v>
      </c>
      <c r="BN475" s="294">
        <v>0.25</v>
      </c>
    </row>
    <row r="476" spans="1:66">
      <c r="A476" s="361">
        <v>45766</v>
      </c>
      <c r="B476" s="358">
        <v>0.875000000000001</v>
      </c>
      <c r="C476" s="313">
        <f t="shared" si="17"/>
        <v>19</v>
      </c>
      <c r="D476" s="314" t="s">
        <v>148</v>
      </c>
      <c r="E476" s="286">
        <v>14.1</v>
      </c>
      <c r="F476" s="287">
        <v>69.510000000000005</v>
      </c>
      <c r="G476" s="288" cm="1">
        <f t="array" aca="1" ref="G476" ca="1">INDIRECT("'"&amp;$C476&amp;"'!"&amp;"$"&amp;$D476&amp;$E$1&amp;"")</f>
        <v>6.8</v>
      </c>
      <c r="H476" s="289">
        <v>0.93</v>
      </c>
      <c r="I476" s="287">
        <v>2.8</v>
      </c>
      <c r="J476" s="288" cm="1">
        <f t="array" aca="1" ref="J476" ca="1">INDIRECT("'"&amp;$C476&amp;"'!"&amp;"$"&amp;$D476&amp;$J$1&amp;"")</f>
        <v>0</v>
      </c>
      <c r="K476" s="289"/>
      <c r="L476" s="289" t="s">
        <v>1</v>
      </c>
      <c r="M476" s="287" t="s">
        <v>1</v>
      </c>
      <c r="N476" s="288" cm="1">
        <f t="array" aca="1" ref="N476" ca="1">INDIRECT("'"&amp;$C476&amp;"'!"&amp;"$"&amp;$D476&amp;$N$1&amp;"")</f>
        <v>6.8</v>
      </c>
      <c r="O476" s="289"/>
      <c r="P476" s="289">
        <v>0.93</v>
      </c>
      <c r="Q476" s="287">
        <v>2.82</v>
      </c>
      <c r="R476" s="288" cm="1">
        <f t="array" aca="1" ref="R476" ca="1">INDIRECT("'"&amp;$C476&amp;"'!"&amp;"$"&amp;$D476&amp;$R$1&amp;"")</f>
        <v>6.8</v>
      </c>
      <c r="S476" s="289"/>
      <c r="T476" s="289">
        <v>0.93</v>
      </c>
      <c r="U476" s="287">
        <v>2.79</v>
      </c>
      <c r="V476" s="288" cm="1">
        <f t="array" aca="1" ref="V476" ca="1">INDIRECT("'"&amp;$C476&amp;"'!"&amp;"$"&amp;$D476&amp;$V$1&amp;"")</f>
        <v>2.8</v>
      </c>
      <c r="W476" s="289">
        <f>3.8*3.56</f>
        <v>13.527999999999999</v>
      </c>
      <c r="X476" s="289">
        <v>0.96</v>
      </c>
      <c r="Y476" s="290">
        <v>0.74</v>
      </c>
      <c r="Z476" s="286" cm="1">
        <f t="array" aca="1" ref="Z476" ca="1">INDIRECT("'"&amp;$C476&amp;"'!"&amp;"$"&amp;$D476&amp;$Z$1&amp;"")</f>
        <v>0</v>
      </c>
      <c r="AA476" s="289" t="s">
        <v>1</v>
      </c>
      <c r="AB476" s="289" t="s">
        <v>1</v>
      </c>
      <c r="AC476" s="287" t="s">
        <v>1</v>
      </c>
      <c r="AD476" s="288" cm="1">
        <f t="array" aca="1" ref="AD476" ca="1">INDIRECT("'"&amp;$C476&amp;"'!"&amp;"$"&amp;$D476&amp;$AD$1&amp;"")</f>
        <v>3.8</v>
      </c>
      <c r="AE476" s="289">
        <f>3.8*3.56</f>
        <v>13.527999999999999</v>
      </c>
      <c r="AF476" s="289">
        <v>0.96</v>
      </c>
      <c r="AG476" s="290">
        <v>1.05</v>
      </c>
      <c r="AH476" s="286" cm="1">
        <f t="array" aca="1" ref="AH476" ca="1">INDIRECT("'"&amp;$C476&amp;"'!"&amp;"$"&amp;$D476&amp;$AH$1&amp;"")</f>
        <v>3.8</v>
      </c>
      <c r="AI476" s="289">
        <v>14.04</v>
      </c>
      <c r="AJ476" s="289">
        <v>0.96</v>
      </c>
      <c r="AK476" s="287">
        <v>0.70899999999999996</v>
      </c>
      <c r="AL476" s="286">
        <v>11.9</v>
      </c>
      <c r="AM476" s="290">
        <v>70.5</v>
      </c>
      <c r="AN476" s="286" cm="1">
        <f t="array" aca="1" ref="AN476" ca="1">INDIRECT("'"&amp;$C476&amp;"'!"&amp;"$"&amp;$D476&amp;$AL$1&amp;"")</f>
        <v>4.4000000000000004</v>
      </c>
      <c r="AO476" s="289">
        <v>0.97</v>
      </c>
      <c r="AP476" s="287">
        <v>0.9</v>
      </c>
      <c r="AQ476" s="288" cm="1">
        <f t="array" aca="1" ref="AQ476" ca="1">INDIRECT("'"&amp;$C476&amp;"'!"&amp;"$"&amp;$D476&amp;$AQ$1&amp;"")</f>
        <v>4.4000000000000004</v>
      </c>
      <c r="AR476" s="289">
        <v>0.97</v>
      </c>
      <c r="AS476" s="287">
        <v>0.9</v>
      </c>
      <c r="AT476" s="289" cm="1">
        <f t="array" aca="1" ref="AT476" ca="1">INDIRECT("'"&amp;$C476&amp;"'!"&amp;"$"&amp;$D476&amp;$AT$1&amp;"")</f>
        <v>1.5</v>
      </c>
      <c r="AU476" s="288">
        <v>13.7</v>
      </c>
      <c r="AV476" s="289">
        <v>0.93</v>
      </c>
      <c r="AW476" s="287">
        <v>0.56000000000000005</v>
      </c>
      <c r="AX476" s="291">
        <v>14.14</v>
      </c>
      <c r="AY476" s="290">
        <v>71.58</v>
      </c>
      <c r="AZ476" s="291" cm="1">
        <f t="array" aca="1" ref="AZ476" ca="1">INDIRECT("'"&amp;$C476&amp;"'!"&amp;"$"&amp;$D476&amp;$AZ$1&amp;"")</f>
        <v>14.31</v>
      </c>
      <c r="BA476" s="289">
        <v>0.99</v>
      </c>
      <c r="BB476" s="287">
        <v>2.5</v>
      </c>
      <c r="BC476" s="292">
        <v>68.099999999999994</v>
      </c>
      <c r="BD476" s="286" cm="1">
        <f t="array" aca="1" ref="BD476" ca="1">INDIRECT("'"&amp;$C476&amp;"'!"&amp;"$"&amp;$D476&amp;$BC$1&amp;"")</f>
        <v>0</v>
      </c>
      <c r="BE476" s="288" t="s">
        <v>1</v>
      </c>
      <c r="BF476" s="287" t="s">
        <v>1</v>
      </c>
      <c r="BG476" s="291" cm="1">
        <f t="array" aca="1" ref="BG476" ca="1">INDIRECT("'"&amp;$C476&amp;"'!"&amp;"$"&amp;$D476&amp;$BG$1&amp;"")</f>
        <v>1.55</v>
      </c>
      <c r="BH476" s="289"/>
      <c r="BI476" s="289">
        <v>0.99</v>
      </c>
      <c r="BJ476" s="287">
        <v>0.19</v>
      </c>
      <c r="BK476" s="292" cm="1">
        <f t="array" aca="1" ref="BK476" ca="1">INDIRECT("'"&amp;$C476&amp;"'!"&amp;"$"&amp;$D476&amp;$BK$1&amp;"")</f>
        <v>0.94</v>
      </c>
      <c r="BL476" s="289"/>
      <c r="BM476" s="289">
        <v>0.96</v>
      </c>
      <c r="BN476" s="287">
        <v>0.25</v>
      </c>
    </row>
    <row r="477" spans="1:66">
      <c r="A477" s="361">
        <v>45766</v>
      </c>
      <c r="B477" s="358">
        <v>0.91666666666666696</v>
      </c>
      <c r="C477" s="313">
        <f t="shared" si="17"/>
        <v>19</v>
      </c>
      <c r="D477" s="314" t="s">
        <v>149</v>
      </c>
      <c r="E477" s="293">
        <v>14.2</v>
      </c>
      <c r="F477" s="294">
        <v>70.05</v>
      </c>
      <c r="G477" s="295" cm="1">
        <f t="array" aca="1" ref="G477" ca="1">INDIRECT("'"&amp;$C477&amp;"'!"&amp;"$"&amp;$D477&amp;$E$1&amp;"")</f>
        <v>6.7</v>
      </c>
      <c r="H477" s="296">
        <v>0.96</v>
      </c>
      <c r="I477" s="294">
        <v>2.04</v>
      </c>
      <c r="J477" s="295" cm="1">
        <f t="array" aca="1" ref="J477" ca="1">INDIRECT("'"&amp;$C477&amp;"'!"&amp;"$"&amp;$D477&amp;$J$1&amp;"")</f>
        <v>0</v>
      </c>
      <c r="K477" s="296"/>
      <c r="L477" s="296" t="s">
        <v>1</v>
      </c>
      <c r="M477" s="294" t="s">
        <v>1</v>
      </c>
      <c r="N477" s="295" cm="1">
        <f t="array" aca="1" ref="N477" ca="1">INDIRECT("'"&amp;$C477&amp;"'!"&amp;"$"&amp;$D477&amp;$N$1&amp;"")</f>
        <v>6.7</v>
      </c>
      <c r="O477" s="296"/>
      <c r="P477" s="296">
        <v>0.96</v>
      </c>
      <c r="Q477" s="294">
        <v>2.02</v>
      </c>
      <c r="R477" s="295" cm="1">
        <f t="array" aca="1" ref="R477" ca="1">INDIRECT("'"&amp;$C477&amp;"'!"&amp;"$"&amp;$D477&amp;$R$1&amp;"")</f>
        <v>6.7</v>
      </c>
      <c r="S477" s="296"/>
      <c r="T477" s="296">
        <v>0.96</v>
      </c>
      <c r="U477" s="294">
        <v>2.0499999999999998</v>
      </c>
      <c r="V477" s="295" cm="1">
        <f t="array" aca="1" ref="V477" ca="1">INDIRECT("'"&amp;$C477&amp;"'!"&amp;"$"&amp;$D477&amp;$V$1&amp;"")</f>
        <v>2.4</v>
      </c>
      <c r="W477" s="296">
        <f>3.8*3.58</f>
        <v>13.603999999999999</v>
      </c>
      <c r="X477" s="296">
        <v>0.98</v>
      </c>
      <c r="Y477" s="297">
        <v>0.41</v>
      </c>
      <c r="Z477" s="293" cm="1">
        <f t="array" aca="1" ref="Z477" ca="1">INDIRECT("'"&amp;$C477&amp;"'!"&amp;"$"&amp;$D477&amp;$Z$1&amp;"")</f>
        <v>0</v>
      </c>
      <c r="AA477" s="296" t="s">
        <v>1</v>
      </c>
      <c r="AB477" s="296" t="s">
        <v>1</v>
      </c>
      <c r="AC477" s="294" t="s">
        <v>1</v>
      </c>
      <c r="AD477" s="295" cm="1">
        <f t="array" aca="1" ref="AD477" ca="1">INDIRECT("'"&amp;$C477&amp;"'!"&amp;"$"&amp;$D477&amp;$AD$1&amp;"")</f>
        <v>3</v>
      </c>
      <c r="AE477" s="296">
        <f>3.8*3.58</f>
        <v>13.603999999999999</v>
      </c>
      <c r="AF477" s="296">
        <v>0.98</v>
      </c>
      <c r="AG477" s="297">
        <v>0.52</v>
      </c>
      <c r="AH477" s="293" cm="1">
        <f t="array" aca="1" ref="AH477" ca="1">INDIRECT("'"&amp;$C477&amp;"'!"&amp;"$"&amp;$D477&amp;$AH$1&amp;"")</f>
        <v>3</v>
      </c>
      <c r="AI477" s="296">
        <v>14</v>
      </c>
      <c r="AJ477" s="296">
        <v>0.98</v>
      </c>
      <c r="AK477" s="294">
        <v>0.624</v>
      </c>
      <c r="AL477" s="293">
        <v>11.9</v>
      </c>
      <c r="AM477" s="297">
        <v>70.7</v>
      </c>
      <c r="AN477" s="293" cm="1">
        <f t="array" aca="1" ref="AN477" ca="1">INDIRECT("'"&amp;$C477&amp;"'!"&amp;"$"&amp;$D477&amp;$AL$1&amp;"")</f>
        <v>4.0999999999999996</v>
      </c>
      <c r="AO477" s="296">
        <v>0.98</v>
      </c>
      <c r="AP477" s="294">
        <v>0.74</v>
      </c>
      <c r="AQ477" s="295" cm="1">
        <f t="array" aca="1" ref="AQ477" ca="1">INDIRECT("'"&amp;$C477&amp;"'!"&amp;"$"&amp;$D477&amp;$AQ$1&amp;"")</f>
        <v>4.0999999999999996</v>
      </c>
      <c r="AR477" s="296">
        <v>0.98</v>
      </c>
      <c r="AS477" s="294">
        <v>0.74</v>
      </c>
      <c r="AT477" s="296" cm="1">
        <f t="array" aca="1" ref="AT477" ca="1">INDIRECT("'"&amp;$C477&amp;"'!"&amp;"$"&amp;$D477&amp;$AT$1&amp;"")</f>
        <v>0</v>
      </c>
      <c r="AU477" s="295" t="s">
        <v>1</v>
      </c>
      <c r="AV477" s="296" t="s">
        <v>1</v>
      </c>
      <c r="AW477" s="294" t="s">
        <v>1</v>
      </c>
      <c r="AX477" s="298">
        <v>14.16</v>
      </c>
      <c r="AY477" s="297">
        <v>71.62</v>
      </c>
      <c r="AZ477" s="298" cm="1">
        <f t="array" aca="1" ref="AZ477" ca="1">INDIRECT("'"&amp;$C477&amp;"'!"&amp;"$"&amp;$D477&amp;$AZ$1&amp;"")</f>
        <v>14.29</v>
      </c>
      <c r="BA477" s="296">
        <v>0.99</v>
      </c>
      <c r="BB477" s="294">
        <v>2.5</v>
      </c>
      <c r="BC477" s="299">
        <v>68.599999999999994</v>
      </c>
      <c r="BD477" s="293" cm="1">
        <f t="array" aca="1" ref="BD477" ca="1">INDIRECT("'"&amp;$C477&amp;"'!"&amp;"$"&amp;$D477&amp;$BC$1&amp;"")</f>
        <v>0</v>
      </c>
      <c r="BE477" s="295" t="s">
        <v>1</v>
      </c>
      <c r="BF477" s="294" t="s">
        <v>1</v>
      </c>
      <c r="BG477" s="298" cm="1">
        <f t="array" aca="1" ref="BG477" ca="1">INDIRECT("'"&amp;$C477&amp;"'!"&amp;"$"&amp;$D477&amp;$BG$1&amp;"")</f>
        <v>1.39</v>
      </c>
      <c r="BH477" s="296"/>
      <c r="BI477" s="296">
        <v>0.99</v>
      </c>
      <c r="BJ477" s="294">
        <v>0.18</v>
      </c>
      <c r="BK477" s="299" cm="1">
        <f t="array" aca="1" ref="BK477" ca="1">INDIRECT("'"&amp;$C477&amp;"'!"&amp;"$"&amp;$D477&amp;$BK$1&amp;"")</f>
        <v>0.88</v>
      </c>
      <c r="BL477" s="296"/>
      <c r="BM477" s="296">
        <v>0.97</v>
      </c>
      <c r="BN477" s="294">
        <v>0.24</v>
      </c>
    </row>
    <row r="478" spans="1:66" ht="14.45" thickBot="1">
      <c r="A478" s="362">
        <v>45766</v>
      </c>
      <c r="B478" s="359">
        <v>0.95833333333333404</v>
      </c>
      <c r="C478" s="315">
        <f t="shared" si="17"/>
        <v>19</v>
      </c>
      <c r="D478" s="316" t="s">
        <v>150</v>
      </c>
      <c r="E478" s="301">
        <v>14.2</v>
      </c>
      <c r="F478" s="302">
        <v>70.06</v>
      </c>
      <c r="G478" s="303" cm="1">
        <f t="array" aca="1" ref="G478" ca="1">INDIRECT("'"&amp;$C478&amp;"'!"&amp;"$"&amp;$D478&amp;$E$1&amp;"")</f>
        <v>6.7</v>
      </c>
      <c r="H478" s="304">
        <v>0.96</v>
      </c>
      <c r="I478" s="302">
        <v>2.0299999999999998</v>
      </c>
      <c r="J478" s="303" cm="1">
        <f t="array" aca="1" ref="J478" ca="1">INDIRECT("'"&amp;$C478&amp;"'!"&amp;"$"&amp;$D478&amp;$J$1&amp;"")</f>
        <v>0</v>
      </c>
      <c r="K478" s="304"/>
      <c r="L478" s="304" t="s">
        <v>1</v>
      </c>
      <c r="M478" s="302" t="s">
        <v>1</v>
      </c>
      <c r="N478" s="303" cm="1">
        <f t="array" aca="1" ref="N478" ca="1">INDIRECT("'"&amp;$C478&amp;"'!"&amp;"$"&amp;$D478&amp;$N$1&amp;"")</f>
        <v>6.7</v>
      </c>
      <c r="O478" s="304"/>
      <c r="P478" s="304">
        <v>0.96</v>
      </c>
      <c r="Q478" s="302">
        <v>2.0099999999999998</v>
      </c>
      <c r="R478" s="303" cm="1">
        <f t="array" aca="1" ref="R478" ca="1">INDIRECT("'"&amp;$C478&amp;"'!"&amp;"$"&amp;$D478&amp;$R$1&amp;"")</f>
        <v>6.7</v>
      </c>
      <c r="S478" s="304"/>
      <c r="T478" s="304">
        <v>0.96</v>
      </c>
      <c r="U478" s="302">
        <v>2.02</v>
      </c>
      <c r="V478" s="303" cm="1">
        <f t="array" aca="1" ref="V478" ca="1">INDIRECT("'"&amp;$C478&amp;"'!"&amp;"$"&amp;$D478&amp;$V$1&amp;"")</f>
        <v>0</v>
      </c>
      <c r="W478" s="304" t="s">
        <v>1</v>
      </c>
      <c r="X478" s="304" t="s">
        <v>1</v>
      </c>
      <c r="Y478" s="305" t="s">
        <v>1</v>
      </c>
      <c r="Z478" s="301" cm="1">
        <f t="array" aca="1" ref="Z478" ca="1">INDIRECT("'"&amp;$C478&amp;"'!"&amp;"$"&amp;$D478&amp;$Z$1&amp;"")</f>
        <v>0</v>
      </c>
      <c r="AA478" s="304" t="s">
        <v>1</v>
      </c>
      <c r="AB478" s="304" t="s">
        <v>1</v>
      </c>
      <c r="AC478" s="302" t="s">
        <v>1</v>
      </c>
      <c r="AD478" s="303" cm="1">
        <f t="array" aca="1" ref="AD478" ca="1">INDIRECT("'"&amp;$C478&amp;"'!"&amp;"$"&amp;$D478&amp;$AD$1&amp;"")</f>
        <v>3.8</v>
      </c>
      <c r="AE478" s="304">
        <f>3.8*3.59</f>
        <v>13.641999999999999</v>
      </c>
      <c r="AF478" s="304">
        <v>0.98</v>
      </c>
      <c r="AG478" s="305">
        <v>0.74</v>
      </c>
      <c r="AH478" s="301" cm="1">
        <f t="array" aca="1" ref="AH478" ca="1">INDIRECT("'"&amp;$C478&amp;"'!"&amp;"$"&amp;$D478&amp;$AH$1&amp;"")</f>
        <v>3</v>
      </c>
      <c r="AI478" s="304">
        <v>14</v>
      </c>
      <c r="AJ478" s="304">
        <v>0.97</v>
      </c>
      <c r="AK478" s="302">
        <v>0.59</v>
      </c>
      <c r="AL478" s="301">
        <v>11.9</v>
      </c>
      <c r="AM478" s="305">
        <v>70.7</v>
      </c>
      <c r="AN478" s="301" cm="1">
        <f t="array" aca="1" ref="AN478" ca="1">INDIRECT("'"&amp;$C478&amp;"'!"&amp;"$"&amp;$D478&amp;$AL$1&amp;"")</f>
        <v>4.2</v>
      </c>
      <c r="AO478" s="304">
        <v>0.98</v>
      </c>
      <c r="AP478" s="302">
        <v>0.77</v>
      </c>
      <c r="AQ478" s="303" cm="1">
        <f t="array" aca="1" ref="AQ478" ca="1">INDIRECT("'"&amp;$C478&amp;"'!"&amp;"$"&amp;$D478&amp;$AQ$1&amp;"")</f>
        <v>4.2</v>
      </c>
      <c r="AR478" s="304">
        <v>0.98</v>
      </c>
      <c r="AS478" s="302">
        <v>0.77</v>
      </c>
      <c r="AT478" s="304" cm="1">
        <f t="array" aca="1" ref="AT478" ca="1">INDIRECT("'"&amp;$C478&amp;"'!"&amp;"$"&amp;$D478&amp;$AT$1&amp;"")</f>
        <v>0</v>
      </c>
      <c r="AU478" s="303" t="s">
        <v>1</v>
      </c>
      <c r="AV478" s="304" t="s">
        <v>1</v>
      </c>
      <c r="AW478" s="302" t="s">
        <v>1</v>
      </c>
      <c r="AX478" s="306">
        <v>14.19</v>
      </c>
      <c r="AY478" s="305">
        <v>71.760000000000005</v>
      </c>
      <c r="AZ478" s="306" cm="1">
        <f t="array" aca="1" ref="AZ478" ca="1">INDIRECT("'"&amp;$C478&amp;"'!"&amp;"$"&amp;$D478&amp;$AZ$1&amp;"")</f>
        <v>14.32</v>
      </c>
      <c r="BA478" s="304">
        <v>0.99</v>
      </c>
      <c r="BB478" s="302">
        <v>2.5</v>
      </c>
      <c r="BC478" s="307">
        <v>68.7</v>
      </c>
      <c r="BD478" s="301" cm="1">
        <f t="array" aca="1" ref="BD478" ca="1">INDIRECT("'"&amp;$C478&amp;"'!"&amp;"$"&amp;$D478&amp;$BC$1&amp;"")</f>
        <v>0</v>
      </c>
      <c r="BE478" s="303" t="s">
        <v>1</v>
      </c>
      <c r="BF478" s="302" t="s">
        <v>1</v>
      </c>
      <c r="BG478" s="306" cm="1">
        <f t="array" aca="1" ref="BG478" ca="1">INDIRECT("'"&amp;$C478&amp;"'!"&amp;"$"&amp;$D478&amp;$BG$1&amp;"")</f>
        <v>1.29</v>
      </c>
      <c r="BH478" s="304"/>
      <c r="BI478" s="304">
        <v>0.99</v>
      </c>
      <c r="BJ478" s="302">
        <v>0.17</v>
      </c>
      <c r="BK478" s="307" cm="1">
        <f t="array" aca="1" ref="BK478" ca="1">INDIRECT("'"&amp;$C478&amp;"'!"&amp;"$"&amp;$D478&amp;$BK$1&amp;"")</f>
        <v>0.88</v>
      </c>
      <c r="BL478" s="304"/>
      <c r="BM478" s="304">
        <v>0.97</v>
      </c>
      <c r="BN478" s="302">
        <v>0.23</v>
      </c>
    </row>
    <row r="479" spans="1:66" ht="14.45" thickBot="1"/>
    <row r="480" spans="1:66">
      <c r="A480" s="360">
        <v>45767</v>
      </c>
      <c r="B480" s="357">
        <v>0</v>
      </c>
      <c r="C480" s="310">
        <f>C455+1</f>
        <v>20</v>
      </c>
      <c r="D480" s="311" t="s">
        <v>127</v>
      </c>
      <c r="E480" s="280">
        <v>14.2</v>
      </c>
      <c r="F480" s="281">
        <v>69.73</v>
      </c>
      <c r="G480" s="282" cm="1">
        <f t="array" aca="1" ref="G480" ca="1">INDIRECT("'"&amp;$C480&amp;"'!"&amp;"$"&amp;$D480&amp;$E$1&amp;"")</f>
        <v>6.9</v>
      </c>
      <c r="H480" s="283">
        <v>0.96</v>
      </c>
      <c r="I480" s="281">
        <v>2.14</v>
      </c>
      <c r="J480" s="282" cm="1">
        <f t="array" aca="1" ref="J480" ca="1">INDIRECT("'"&amp;$C480&amp;"'!"&amp;"$"&amp;$D480&amp;$J$1&amp;"")</f>
        <v>0</v>
      </c>
      <c r="K480" s="283"/>
      <c r="L480" s="283" t="s">
        <v>1</v>
      </c>
      <c r="M480" s="281" t="s">
        <v>1</v>
      </c>
      <c r="N480" s="282" cm="1">
        <f t="array" aca="1" ref="N480" ca="1">INDIRECT("'"&amp;$C480&amp;"'!"&amp;"$"&amp;$D480&amp;$N$1&amp;"")</f>
        <v>6.9</v>
      </c>
      <c r="O480" s="283"/>
      <c r="P480" s="283">
        <v>0.96</v>
      </c>
      <c r="Q480" s="281">
        <v>2.16</v>
      </c>
      <c r="R480" s="282" cm="1">
        <f t="array" aca="1" ref="R480" ca="1">INDIRECT("'"&amp;$C480&amp;"'!"&amp;"$"&amp;$D480&amp;$R$1&amp;"")</f>
        <v>6.9</v>
      </c>
      <c r="S480" s="283"/>
      <c r="T480" s="283">
        <v>0.96</v>
      </c>
      <c r="U480" s="281">
        <v>2.13</v>
      </c>
      <c r="V480" s="282" cm="1">
        <f t="array" aca="1" ref="V480" ca="1">INDIRECT("'"&amp;$C480&amp;"'!"&amp;"$"&amp;$D480&amp;$V$1&amp;"")</f>
        <v>0</v>
      </c>
      <c r="W480" s="283" t="s">
        <v>1</v>
      </c>
      <c r="X480" s="283" t="s">
        <v>1</v>
      </c>
      <c r="Y480" s="284" t="s">
        <v>1</v>
      </c>
      <c r="Z480" s="280" cm="1">
        <f t="array" aca="1" ref="Z480" ca="1">INDIRECT("'"&amp;$C480&amp;"'!"&amp;"$"&amp;$D480&amp;$Z$1&amp;"")</f>
        <v>0</v>
      </c>
      <c r="AA480" s="283" t="s">
        <v>1</v>
      </c>
      <c r="AB480" s="283" t="s">
        <v>1</v>
      </c>
      <c r="AC480" s="281" t="s">
        <v>1</v>
      </c>
      <c r="AD480" s="282" cm="1">
        <f t="array" aca="1" ref="AD480" ca="1">INDIRECT("'"&amp;$C480&amp;"'!"&amp;"$"&amp;$D480&amp;$AD$1&amp;"")</f>
        <v>0</v>
      </c>
      <c r="AE480" s="283" t="s">
        <v>1</v>
      </c>
      <c r="AF480" s="283" t="s">
        <v>1</v>
      </c>
      <c r="AG480" s="281" t="s">
        <v>1</v>
      </c>
      <c r="AH480" s="280" cm="1">
        <f t="array" aca="1" ref="AH480" ca="1">INDIRECT("'"&amp;$C480&amp;"'!"&amp;"$"&amp;$D480&amp;$AH$1&amp;"")</f>
        <v>0</v>
      </c>
      <c r="AI480" s="283" t="s">
        <v>1</v>
      </c>
      <c r="AJ480" s="283" t="s">
        <v>1</v>
      </c>
      <c r="AK480" s="281" t="s">
        <v>1</v>
      </c>
      <c r="AL480" s="280">
        <v>11.9</v>
      </c>
      <c r="AM480" s="284">
        <v>70.5</v>
      </c>
      <c r="AN480" s="280" cm="1">
        <f t="array" aca="1" ref="AN480" ca="1">INDIRECT("'"&amp;$C480&amp;"'!"&amp;"$"&amp;$D480&amp;$AL$1&amp;"")</f>
        <v>4.4000000000000004</v>
      </c>
      <c r="AO480" s="283">
        <v>0.98</v>
      </c>
      <c r="AP480" s="281">
        <v>0.86</v>
      </c>
      <c r="AQ480" s="282" cm="1">
        <f t="array" aca="1" ref="AQ480" ca="1">INDIRECT("'"&amp;$C480&amp;"'!"&amp;"$"&amp;$D480&amp;$AQ$1&amp;"")</f>
        <v>4.4000000000000004</v>
      </c>
      <c r="AR480" s="283">
        <v>0.98</v>
      </c>
      <c r="AS480" s="281">
        <v>0.86</v>
      </c>
      <c r="AT480" s="283" cm="1">
        <f t="array" aca="1" ref="AT480" ca="1">INDIRECT("'"&amp;$C480&amp;"'!"&amp;"$"&amp;$D480&amp;$AT$1&amp;"")</f>
        <v>0</v>
      </c>
      <c r="AU480" s="282" t="s">
        <v>1</v>
      </c>
      <c r="AV480" s="283" t="s">
        <v>1</v>
      </c>
      <c r="AW480" s="281" t="s">
        <v>1</v>
      </c>
      <c r="AX480" s="285">
        <v>14.11</v>
      </c>
      <c r="AY480" s="284">
        <v>71.56</v>
      </c>
      <c r="AZ480" s="285" cm="1">
        <f t="array" aca="1" ref="AZ480" ca="1">INDIRECT("'"&amp;$C480&amp;"'!"&amp;"$"&amp;$D480&amp;$AZ$1&amp;"")</f>
        <v>14.28</v>
      </c>
      <c r="BA480" s="283">
        <v>0.99</v>
      </c>
      <c r="BB480" s="281">
        <v>2.5</v>
      </c>
      <c r="BC480" s="281">
        <v>68.599999999999994</v>
      </c>
      <c r="BD480" s="280" cm="1">
        <f t="array" aca="1" ref="BD480" ca="1">INDIRECT("'"&amp;$C480&amp;"'!"&amp;"$"&amp;$D480&amp;$BC$1&amp;"")</f>
        <v>1.5</v>
      </c>
      <c r="BE480" s="282">
        <v>0.97</v>
      </c>
      <c r="BF480" s="281">
        <v>0.37</v>
      </c>
      <c r="BG480" s="285" cm="1">
        <f t="array" aca="1" ref="BG480" ca="1">INDIRECT("'"&amp;$C480&amp;"'!"&amp;"$"&amp;$D480&amp;$BG$1&amp;"")</f>
        <v>1.1299999999999999</v>
      </c>
      <c r="BH480" s="283"/>
      <c r="BI480" s="283">
        <v>0.99</v>
      </c>
      <c r="BJ480" s="281">
        <v>0.14000000000000001</v>
      </c>
      <c r="BK480" s="285" cm="1">
        <f t="array" aca="1" ref="BK480" ca="1">INDIRECT("'"&amp;$C480&amp;"'!"&amp;"$"&amp;$D480&amp;$BK$1&amp;"")</f>
        <v>0.84</v>
      </c>
      <c r="BL480" s="283"/>
      <c r="BM480" s="283">
        <v>0.96</v>
      </c>
      <c r="BN480" s="281">
        <v>0.22</v>
      </c>
    </row>
    <row r="481" spans="1:66">
      <c r="A481" s="361">
        <v>45767</v>
      </c>
      <c r="B481" s="358">
        <v>4.1666666666666699E-2</v>
      </c>
      <c r="C481" s="313">
        <f t="shared" ref="C481:C503" si="19">C456+1</f>
        <v>20</v>
      </c>
      <c r="D481" s="314" t="s">
        <v>128</v>
      </c>
      <c r="E481" s="286">
        <v>14.2</v>
      </c>
      <c r="F481" s="287">
        <v>70.16</v>
      </c>
      <c r="G481" s="288" cm="1">
        <f t="array" aca="1" ref="G481" ca="1">INDIRECT("'"&amp;$C481&amp;"'!"&amp;"$"&amp;$D481&amp;$E$1&amp;"")</f>
        <v>6.7</v>
      </c>
      <c r="H481" s="289">
        <v>0.98</v>
      </c>
      <c r="I481" s="287">
        <v>1.46</v>
      </c>
      <c r="J481" s="288" cm="1">
        <f t="array" aca="1" ref="J481" ca="1">INDIRECT("'"&amp;$C481&amp;"'!"&amp;"$"&amp;$D481&amp;$J$1&amp;"")</f>
        <v>0</v>
      </c>
      <c r="K481" s="289"/>
      <c r="L481" s="289" t="s">
        <v>1</v>
      </c>
      <c r="M481" s="287" t="s">
        <v>1</v>
      </c>
      <c r="N481" s="288" cm="1">
        <f t="array" aca="1" ref="N481" ca="1">INDIRECT("'"&amp;$C481&amp;"'!"&amp;"$"&amp;$D481&amp;$N$1&amp;"")</f>
        <v>6.7</v>
      </c>
      <c r="O481" s="289"/>
      <c r="P481" s="289">
        <v>0.98</v>
      </c>
      <c r="Q481" s="287">
        <v>1.48</v>
      </c>
      <c r="R481" s="288" cm="1">
        <f t="array" aca="1" ref="R481" ca="1">INDIRECT("'"&amp;$C481&amp;"'!"&amp;"$"&amp;$D481&amp;$R$1&amp;"")</f>
        <v>6.7</v>
      </c>
      <c r="S481" s="289"/>
      <c r="T481" s="289">
        <v>0.98</v>
      </c>
      <c r="U481" s="287">
        <v>1.44</v>
      </c>
      <c r="V481" s="288" cm="1">
        <f t="array" aca="1" ref="V481" ca="1">INDIRECT("'"&amp;$C481&amp;"'!"&amp;"$"&amp;$D481&amp;$V$1&amp;"")</f>
        <v>0</v>
      </c>
      <c r="W481" s="289" t="s">
        <v>1</v>
      </c>
      <c r="X481" s="289" t="s">
        <v>1</v>
      </c>
      <c r="Y481" s="290" t="s">
        <v>1</v>
      </c>
      <c r="Z481" s="286" cm="1">
        <f t="array" aca="1" ref="Z481" ca="1">INDIRECT("'"&amp;$C481&amp;"'!"&amp;"$"&amp;$D481&amp;$Z$1&amp;"")</f>
        <v>0</v>
      </c>
      <c r="AA481" s="289" t="s">
        <v>1</v>
      </c>
      <c r="AB481" s="289" t="s">
        <v>1</v>
      </c>
      <c r="AC481" s="287" t="s">
        <v>1</v>
      </c>
      <c r="AD481" s="288" cm="1">
        <f t="array" aca="1" ref="AD481" ca="1">INDIRECT("'"&amp;$C481&amp;"'!"&amp;"$"&amp;$D481&amp;$AD$1&amp;"")</f>
        <v>0</v>
      </c>
      <c r="AE481" s="289" t="s">
        <v>1</v>
      </c>
      <c r="AF481" s="289" t="s">
        <v>1</v>
      </c>
      <c r="AG481" s="290" t="s">
        <v>1</v>
      </c>
      <c r="AH481" s="286" cm="1">
        <f t="array" aca="1" ref="AH481" ca="1">INDIRECT("'"&amp;$C481&amp;"'!"&amp;"$"&amp;$D481&amp;$AH$1&amp;"")</f>
        <v>0</v>
      </c>
      <c r="AI481" s="289" t="s">
        <v>1</v>
      </c>
      <c r="AJ481" s="289" t="s">
        <v>1</v>
      </c>
      <c r="AK481" s="287" t="s">
        <v>1</v>
      </c>
      <c r="AL481" s="286">
        <v>11.9</v>
      </c>
      <c r="AM481" s="290">
        <v>70.7</v>
      </c>
      <c r="AN481" s="286" cm="1">
        <f t="array" aca="1" ref="AN481" ca="1">INDIRECT("'"&amp;$C481&amp;"'!"&amp;"$"&amp;$D481&amp;$AL$1&amp;"")</f>
        <v>4</v>
      </c>
      <c r="AO481" s="289">
        <v>0.98</v>
      </c>
      <c r="AP481" s="287">
        <v>0.79</v>
      </c>
      <c r="AQ481" s="288" cm="1">
        <f t="array" aca="1" ref="AQ481" ca="1">INDIRECT("'"&amp;$C481&amp;"'!"&amp;"$"&amp;$D481&amp;$AQ$1&amp;"")</f>
        <v>4</v>
      </c>
      <c r="AR481" s="289">
        <v>0.98</v>
      </c>
      <c r="AS481" s="287">
        <v>0.79</v>
      </c>
      <c r="AT481" s="289" cm="1">
        <f t="array" aca="1" ref="AT481" ca="1">INDIRECT("'"&amp;$C481&amp;"'!"&amp;"$"&amp;$D481&amp;$AT$1&amp;"")</f>
        <v>0</v>
      </c>
      <c r="AU481" s="288" t="s">
        <v>1</v>
      </c>
      <c r="AV481" s="289" t="s">
        <v>1</v>
      </c>
      <c r="AW481" s="287" t="s">
        <v>1</v>
      </c>
      <c r="AX481" s="291">
        <v>14.17</v>
      </c>
      <c r="AY481" s="290">
        <v>71.78</v>
      </c>
      <c r="AZ481" s="291" cm="1">
        <f t="array" aca="1" ref="AZ481" ca="1">INDIRECT("'"&amp;$C481&amp;"'!"&amp;"$"&amp;$D481&amp;$AZ$1&amp;"")</f>
        <v>14.33</v>
      </c>
      <c r="BA481" s="289">
        <v>0.99</v>
      </c>
      <c r="BB481" s="287">
        <v>2.4</v>
      </c>
      <c r="BC481" s="292">
        <v>68.7</v>
      </c>
      <c r="BD481" s="286" cm="1">
        <f t="array" aca="1" ref="BD481" ca="1">INDIRECT("'"&amp;$C481&amp;"'!"&amp;"$"&amp;$D481&amp;$BC$1&amp;"")</f>
        <v>0</v>
      </c>
      <c r="BE481" s="288" t="s">
        <v>1</v>
      </c>
      <c r="BF481" s="287" t="s">
        <v>1</v>
      </c>
      <c r="BG481" s="291" cm="1">
        <f t="array" aca="1" ref="BG481" ca="1">INDIRECT("'"&amp;$C481&amp;"'!"&amp;"$"&amp;$D481&amp;$BG$1&amp;"")</f>
        <v>1.06</v>
      </c>
      <c r="BH481" s="289"/>
      <c r="BI481" s="289">
        <v>0.99</v>
      </c>
      <c r="BJ481" s="287">
        <v>0.13</v>
      </c>
      <c r="BK481" s="291" cm="1">
        <f t="array" aca="1" ref="BK481" ca="1">INDIRECT("'"&amp;$C481&amp;"'!"&amp;"$"&amp;$D481&amp;$BK$1&amp;"")</f>
        <v>0.8</v>
      </c>
      <c r="BL481" s="289"/>
      <c r="BM481" s="289">
        <v>0.96</v>
      </c>
      <c r="BN481" s="287">
        <v>0.21</v>
      </c>
    </row>
    <row r="482" spans="1:66">
      <c r="A482" s="361">
        <v>45767</v>
      </c>
      <c r="B482" s="358">
        <v>8.3333333333333301E-2</v>
      </c>
      <c r="C482" s="313">
        <f t="shared" si="19"/>
        <v>20</v>
      </c>
      <c r="D482" s="314" t="s">
        <v>129</v>
      </c>
      <c r="E482" s="293">
        <v>14.2</v>
      </c>
      <c r="F482" s="294">
        <v>70.38</v>
      </c>
      <c r="G482" s="295" cm="1">
        <f t="array" aca="1" ref="G482" ca="1">INDIRECT("'"&amp;$C482&amp;"'!"&amp;"$"&amp;$D482&amp;$E$1&amp;"")</f>
        <v>6.5</v>
      </c>
      <c r="H482" s="296">
        <v>0.96</v>
      </c>
      <c r="I482" s="294">
        <v>1.87</v>
      </c>
      <c r="J482" s="295" cm="1">
        <f t="array" aca="1" ref="J482" ca="1">INDIRECT("'"&amp;$C482&amp;"'!"&amp;"$"&amp;$D482&amp;$J$1&amp;"")</f>
        <v>0</v>
      </c>
      <c r="K482" s="296"/>
      <c r="L482" s="296" t="s">
        <v>1</v>
      </c>
      <c r="M482" s="294" t="s">
        <v>1</v>
      </c>
      <c r="N482" s="295" cm="1">
        <f t="array" aca="1" ref="N482" ca="1">INDIRECT("'"&amp;$C482&amp;"'!"&amp;"$"&amp;$D482&amp;$N$1&amp;"")</f>
        <v>6.5</v>
      </c>
      <c r="O482" s="296"/>
      <c r="P482" s="296">
        <v>0.96</v>
      </c>
      <c r="Q482" s="294">
        <v>1.85</v>
      </c>
      <c r="R482" s="295" cm="1">
        <f t="array" aca="1" ref="R482" ca="1">INDIRECT("'"&amp;$C482&amp;"'!"&amp;"$"&amp;$D482&amp;$R$1&amp;"")</f>
        <v>6.5</v>
      </c>
      <c r="S482" s="296"/>
      <c r="T482" s="296">
        <v>0.96</v>
      </c>
      <c r="U482" s="294">
        <v>1.86</v>
      </c>
      <c r="V482" s="295" cm="1">
        <f t="array" aca="1" ref="V482" ca="1">INDIRECT("'"&amp;$C482&amp;"'!"&amp;"$"&amp;$D482&amp;$V$1&amp;"")</f>
        <v>0</v>
      </c>
      <c r="W482" s="295" t="s">
        <v>1</v>
      </c>
      <c r="X482" s="296" t="s">
        <v>1</v>
      </c>
      <c r="Y482" s="294" t="s">
        <v>1</v>
      </c>
      <c r="Z482" s="293" cm="1">
        <f t="array" aca="1" ref="Z482" ca="1">INDIRECT("'"&amp;$C482&amp;"'!"&amp;"$"&amp;$D482&amp;$Z$1&amp;"")</f>
        <v>0</v>
      </c>
      <c r="AA482" s="296" t="s">
        <v>1</v>
      </c>
      <c r="AB482" s="296" t="s">
        <v>1</v>
      </c>
      <c r="AC482" s="294" t="s">
        <v>1</v>
      </c>
      <c r="AD482" s="295" cm="1">
        <f t="array" aca="1" ref="AD482" ca="1">INDIRECT("'"&amp;$C482&amp;"'!"&amp;"$"&amp;$D482&amp;$AD$1&amp;"")</f>
        <v>0</v>
      </c>
      <c r="AE482" s="295" t="s">
        <v>1</v>
      </c>
      <c r="AF482" s="296" t="s">
        <v>1</v>
      </c>
      <c r="AG482" s="294" t="s">
        <v>1</v>
      </c>
      <c r="AH482" s="293" cm="1">
        <f t="array" aca="1" ref="AH482" ca="1">INDIRECT("'"&amp;$C482&amp;"'!"&amp;"$"&amp;$D482&amp;$AH$1&amp;"")</f>
        <v>0</v>
      </c>
      <c r="AI482" s="295" t="s">
        <v>1</v>
      </c>
      <c r="AJ482" s="296" t="s">
        <v>1</v>
      </c>
      <c r="AK482" s="294" t="s">
        <v>1</v>
      </c>
      <c r="AL482" s="293">
        <v>11.9</v>
      </c>
      <c r="AM482" s="297">
        <v>70.8</v>
      </c>
      <c r="AN482" s="293" cm="1">
        <f t="array" aca="1" ref="AN482" ca="1">INDIRECT("'"&amp;$C482&amp;"'!"&amp;"$"&amp;$D482&amp;$AL$1&amp;"")</f>
        <v>3.5</v>
      </c>
      <c r="AO482" s="296">
        <v>0.97</v>
      </c>
      <c r="AP482" s="294">
        <v>0.76</v>
      </c>
      <c r="AQ482" s="295" cm="1">
        <f t="array" aca="1" ref="AQ482" ca="1">INDIRECT("'"&amp;$C482&amp;"'!"&amp;"$"&amp;$D482&amp;$AQ$1&amp;"")</f>
        <v>3.5</v>
      </c>
      <c r="AR482" s="296">
        <v>0.97</v>
      </c>
      <c r="AS482" s="294">
        <v>0.76</v>
      </c>
      <c r="AT482" s="296" cm="1">
        <f t="array" aca="1" ref="AT482" ca="1">INDIRECT("'"&amp;$C482&amp;"'!"&amp;"$"&amp;$D482&amp;$AT$1&amp;"")</f>
        <v>0</v>
      </c>
      <c r="AU482" s="295" t="s">
        <v>1</v>
      </c>
      <c r="AV482" s="296" t="s">
        <v>1</v>
      </c>
      <c r="AW482" s="294" t="s">
        <v>1</v>
      </c>
      <c r="AX482" s="298">
        <v>14.18</v>
      </c>
      <c r="AY482" s="297">
        <v>71.739999999999995</v>
      </c>
      <c r="AZ482" s="298" cm="1">
        <f t="array" aca="1" ref="AZ482" ca="1">INDIRECT("'"&amp;$C482&amp;"'!"&amp;"$"&amp;$D482&amp;$AZ$1&amp;"")</f>
        <v>14.31</v>
      </c>
      <c r="BA482" s="296">
        <v>0.99</v>
      </c>
      <c r="BB482" s="294">
        <v>2.4</v>
      </c>
      <c r="BC482" s="299">
        <v>68.8</v>
      </c>
      <c r="BD482" s="293" cm="1">
        <f t="array" aca="1" ref="BD482" ca="1">INDIRECT("'"&amp;$C482&amp;"'!"&amp;"$"&amp;$D482&amp;$BC$1&amp;"")</f>
        <v>0</v>
      </c>
      <c r="BE482" s="295" t="s">
        <v>1</v>
      </c>
      <c r="BF482" s="294" t="s">
        <v>1</v>
      </c>
      <c r="BG482" s="298" cm="1">
        <f t="array" aca="1" ref="BG482" ca="1">INDIRECT("'"&amp;$C482&amp;"'!"&amp;"$"&amp;$D482&amp;$BG$1&amp;"")</f>
        <v>1.02</v>
      </c>
      <c r="BH482" s="296"/>
      <c r="BI482" s="296">
        <v>0.99</v>
      </c>
      <c r="BJ482" s="294">
        <v>0.13</v>
      </c>
      <c r="BK482" s="298" cm="1">
        <f t="array" aca="1" ref="BK482" ca="1">INDIRECT("'"&amp;$C482&amp;"'!"&amp;"$"&amp;$D482&amp;$BK$1&amp;"")</f>
        <v>0.76</v>
      </c>
      <c r="BL482" s="296"/>
      <c r="BM482" s="296">
        <v>0.96</v>
      </c>
      <c r="BN482" s="294">
        <v>0.2</v>
      </c>
    </row>
    <row r="483" spans="1:66">
      <c r="A483" s="361">
        <v>45767</v>
      </c>
      <c r="B483" s="358">
        <v>0.125</v>
      </c>
      <c r="C483" s="313">
        <f t="shared" si="19"/>
        <v>20</v>
      </c>
      <c r="D483" s="314" t="s">
        <v>130</v>
      </c>
      <c r="E483" s="286">
        <v>14.1</v>
      </c>
      <c r="F483" s="287">
        <v>70.59</v>
      </c>
      <c r="G483" s="288" cm="1">
        <f t="array" aca="1" ref="G483" ca="1">INDIRECT("'"&amp;$C483&amp;"'!"&amp;"$"&amp;$D483&amp;$E$1&amp;"")</f>
        <v>6.5</v>
      </c>
      <c r="H483" s="289">
        <v>0.97</v>
      </c>
      <c r="I483" s="287">
        <v>1.66</v>
      </c>
      <c r="J483" s="288" cm="1">
        <f t="array" aca="1" ref="J483" ca="1">INDIRECT("'"&amp;$C483&amp;"'!"&amp;"$"&amp;$D483&amp;$J$1&amp;"")</f>
        <v>0</v>
      </c>
      <c r="K483" s="289"/>
      <c r="L483" s="289" t="s">
        <v>1</v>
      </c>
      <c r="M483" s="287" t="s">
        <v>1</v>
      </c>
      <c r="N483" s="288" cm="1">
        <f t="array" aca="1" ref="N483" ca="1">INDIRECT("'"&amp;$C483&amp;"'!"&amp;"$"&amp;$D483&amp;$N$1&amp;"")</f>
        <v>6.5</v>
      </c>
      <c r="O483" s="289"/>
      <c r="P483" s="289">
        <v>0.97</v>
      </c>
      <c r="Q483" s="287">
        <v>1.65</v>
      </c>
      <c r="R483" s="288" cm="1">
        <f t="array" aca="1" ref="R483" ca="1">INDIRECT("'"&amp;$C483&amp;"'!"&amp;"$"&amp;$D483&amp;$R$1&amp;"")</f>
        <v>6.5</v>
      </c>
      <c r="S483" s="289"/>
      <c r="T483" s="289">
        <v>0.97</v>
      </c>
      <c r="U483" s="287">
        <v>1.65</v>
      </c>
      <c r="V483" s="288" cm="1">
        <f t="array" aca="1" ref="V483" ca="1">INDIRECT("'"&amp;$C483&amp;"'!"&amp;"$"&amp;$D483&amp;$V$1&amp;"")</f>
        <v>0</v>
      </c>
      <c r="W483" s="288" t="s">
        <v>1</v>
      </c>
      <c r="X483" s="289" t="s">
        <v>1</v>
      </c>
      <c r="Y483" s="287" t="s">
        <v>1</v>
      </c>
      <c r="Z483" s="286" cm="1">
        <f t="array" aca="1" ref="Z483" ca="1">INDIRECT("'"&amp;$C483&amp;"'!"&amp;"$"&amp;$D483&amp;$Z$1&amp;"")</f>
        <v>0</v>
      </c>
      <c r="AA483" s="289" t="s">
        <v>1</v>
      </c>
      <c r="AB483" s="289" t="s">
        <v>1</v>
      </c>
      <c r="AC483" s="287" t="s">
        <v>1</v>
      </c>
      <c r="AD483" s="288" cm="1">
        <f t="array" aca="1" ref="AD483" ca="1">INDIRECT("'"&amp;$C483&amp;"'!"&amp;"$"&amp;$D483&amp;$AD$1&amp;"")</f>
        <v>0</v>
      </c>
      <c r="AE483" s="288" t="s">
        <v>1</v>
      </c>
      <c r="AF483" s="289" t="s">
        <v>1</v>
      </c>
      <c r="AG483" s="287" t="s">
        <v>1</v>
      </c>
      <c r="AH483" s="286" cm="1">
        <f t="array" aca="1" ref="AH483" ca="1">INDIRECT("'"&amp;$C483&amp;"'!"&amp;"$"&amp;$D483&amp;$AH$1&amp;"")</f>
        <v>0</v>
      </c>
      <c r="AI483" s="288" t="s">
        <v>1</v>
      </c>
      <c r="AJ483" s="289" t="s">
        <v>1</v>
      </c>
      <c r="AK483" s="287" t="s">
        <v>1</v>
      </c>
      <c r="AL483" s="286">
        <v>11.9</v>
      </c>
      <c r="AM483" s="290">
        <v>70.900000000000006</v>
      </c>
      <c r="AN483" s="286" cm="1">
        <f t="array" aca="1" ref="AN483" ca="1">INDIRECT("'"&amp;$C483&amp;"'!"&amp;"$"&amp;$D483&amp;$AL$1&amp;"")</f>
        <v>3</v>
      </c>
      <c r="AO483" s="289">
        <v>0.98</v>
      </c>
      <c r="AP483" s="287">
        <v>0.52</v>
      </c>
      <c r="AQ483" s="288" cm="1">
        <f t="array" aca="1" ref="AQ483" ca="1">INDIRECT("'"&amp;$C483&amp;"'!"&amp;"$"&amp;$D483&amp;$AQ$1&amp;"")</f>
        <v>3</v>
      </c>
      <c r="AR483" s="289">
        <v>0.98</v>
      </c>
      <c r="AS483" s="287">
        <v>0.52</v>
      </c>
      <c r="AT483" s="289" cm="1">
        <f t="array" aca="1" ref="AT483" ca="1">INDIRECT("'"&amp;$C483&amp;"'!"&amp;"$"&amp;$D483&amp;$AT$1&amp;"")</f>
        <v>0</v>
      </c>
      <c r="AU483" s="288" t="s">
        <v>1</v>
      </c>
      <c r="AV483" s="289" t="s">
        <v>1</v>
      </c>
      <c r="AW483" s="287" t="s">
        <v>1</v>
      </c>
      <c r="AX483" s="291">
        <v>14.22</v>
      </c>
      <c r="AY483" s="290">
        <v>71.94</v>
      </c>
      <c r="AZ483" s="291" cm="1">
        <f t="array" aca="1" ref="AZ483" ca="1">INDIRECT("'"&amp;$C483&amp;"'!"&amp;"$"&amp;$D483&amp;$AZ$1&amp;"")</f>
        <v>13.82</v>
      </c>
      <c r="BA483" s="289">
        <v>0.99</v>
      </c>
      <c r="BB483" s="287">
        <v>2.4</v>
      </c>
      <c r="BC483" s="292">
        <v>69.099999999999994</v>
      </c>
      <c r="BD483" s="286" cm="1">
        <f t="array" aca="1" ref="BD483" ca="1">INDIRECT("'"&amp;$C483&amp;"'!"&amp;"$"&amp;$D483&amp;$BC$1&amp;"")</f>
        <v>0</v>
      </c>
      <c r="BE483" s="288" t="s">
        <v>1</v>
      </c>
      <c r="BF483" s="287" t="s">
        <v>1</v>
      </c>
      <c r="BG483" s="291" cm="1">
        <f t="array" aca="1" ref="BG483" ca="1">INDIRECT("'"&amp;$C483&amp;"'!"&amp;"$"&amp;$D483&amp;$BG$1&amp;"")</f>
        <v>1.01</v>
      </c>
      <c r="BH483" s="289"/>
      <c r="BI483" s="289">
        <v>0.99</v>
      </c>
      <c r="BJ483" s="287">
        <v>0.12</v>
      </c>
      <c r="BK483" s="291" cm="1">
        <f t="array" aca="1" ref="BK483" ca="1">INDIRECT("'"&amp;$C483&amp;"'!"&amp;"$"&amp;$D483&amp;$BK$1&amp;"")</f>
        <v>0.74</v>
      </c>
      <c r="BL483" s="289"/>
      <c r="BM483" s="289">
        <v>0.96</v>
      </c>
      <c r="BN483" s="287">
        <v>0.2</v>
      </c>
    </row>
    <row r="484" spans="1:66">
      <c r="A484" s="361">
        <v>45767</v>
      </c>
      <c r="B484" s="358">
        <v>0.16666666666666699</v>
      </c>
      <c r="C484" s="313">
        <f t="shared" si="19"/>
        <v>20</v>
      </c>
      <c r="D484" s="314" t="s">
        <v>131</v>
      </c>
      <c r="E484" s="293">
        <v>14</v>
      </c>
      <c r="F484" s="294">
        <v>69.81</v>
      </c>
      <c r="G484" s="295" cm="1">
        <f t="array" aca="1" ref="G484" ca="1">INDIRECT("'"&amp;$C484&amp;"'!"&amp;"$"&amp;$D484&amp;$E$1&amp;"")</f>
        <v>0</v>
      </c>
      <c r="H484" s="296" t="s">
        <v>1</v>
      </c>
      <c r="I484" s="294" t="s">
        <v>1</v>
      </c>
      <c r="J484" s="295" cm="1">
        <f t="array" aca="1" ref="J484" ca="1">INDIRECT("'"&amp;$C484&amp;"'!"&amp;"$"&amp;$D484&amp;$J$1&amp;"")</f>
        <v>6.6</v>
      </c>
      <c r="K484" s="296"/>
      <c r="L484" s="296">
        <v>0.97</v>
      </c>
      <c r="M484" s="294">
        <v>1.61</v>
      </c>
      <c r="N484" s="295" cm="1">
        <f t="array" aca="1" ref="N484" ca="1">INDIRECT("'"&amp;$C484&amp;"'!"&amp;"$"&amp;$D484&amp;$N$1&amp;"")</f>
        <v>6.6</v>
      </c>
      <c r="O484" s="296"/>
      <c r="P484" s="296">
        <v>0.97</v>
      </c>
      <c r="Q484" s="294">
        <v>1.62</v>
      </c>
      <c r="R484" s="295" cm="1">
        <f t="array" aca="1" ref="R484" ca="1">INDIRECT("'"&amp;$C484&amp;"'!"&amp;"$"&amp;$D484&amp;$R$1&amp;"")</f>
        <v>6.6</v>
      </c>
      <c r="S484" s="296"/>
      <c r="T484" s="296">
        <v>0.97</v>
      </c>
      <c r="U484" s="294">
        <v>1.6</v>
      </c>
      <c r="V484" s="295" cm="1">
        <f t="array" aca="1" ref="V484" ca="1">INDIRECT("'"&amp;$C484&amp;"'!"&amp;"$"&amp;$D484&amp;$V$1&amp;"")</f>
        <v>0</v>
      </c>
      <c r="W484" s="295" t="s">
        <v>1</v>
      </c>
      <c r="X484" s="296" t="s">
        <v>1</v>
      </c>
      <c r="Y484" s="294" t="s">
        <v>1</v>
      </c>
      <c r="Z484" s="293" cm="1">
        <f t="array" aca="1" ref="Z484" ca="1">INDIRECT("'"&amp;$C484&amp;"'!"&amp;"$"&amp;$D484&amp;$Z$1&amp;"")</f>
        <v>0</v>
      </c>
      <c r="AA484" s="296" t="s">
        <v>1</v>
      </c>
      <c r="AB484" s="296" t="s">
        <v>1</v>
      </c>
      <c r="AC484" s="294" t="s">
        <v>1</v>
      </c>
      <c r="AD484" s="295" cm="1">
        <f t="array" aca="1" ref="AD484" ca="1">INDIRECT("'"&amp;$C484&amp;"'!"&amp;"$"&amp;$D484&amp;$AD$1&amp;"")</f>
        <v>0</v>
      </c>
      <c r="AE484" s="295" t="s">
        <v>1</v>
      </c>
      <c r="AF484" s="296" t="s">
        <v>1</v>
      </c>
      <c r="AG484" s="294" t="s">
        <v>1</v>
      </c>
      <c r="AH484" s="293" cm="1">
        <f t="array" aca="1" ref="AH484" ca="1">INDIRECT("'"&amp;$C484&amp;"'!"&amp;"$"&amp;$D484&amp;$AH$1&amp;"")</f>
        <v>0</v>
      </c>
      <c r="AI484" s="295" t="s">
        <v>1</v>
      </c>
      <c r="AJ484" s="296" t="s">
        <v>1</v>
      </c>
      <c r="AK484" s="294" t="s">
        <v>1</v>
      </c>
      <c r="AL484" s="293">
        <v>11.9</v>
      </c>
      <c r="AM484" s="297">
        <v>70.599999999999994</v>
      </c>
      <c r="AN484" s="293" cm="1">
        <f t="array" aca="1" ref="AN484" ca="1">INDIRECT("'"&amp;$C484&amp;"'!"&amp;"$"&amp;$D484&amp;$AL$1&amp;"")</f>
        <v>3</v>
      </c>
      <c r="AO484" s="296">
        <v>0.98</v>
      </c>
      <c r="AP484" s="294">
        <v>0.72</v>
      </c>
      <c r="AQ484" s="295" cm="1">
        <f t="array" aca="1" ref="AQ484" ca="1">INDIRECT("'"&amp;$C484&amp;"'!"&amp;"$"&amp;$D484&amp;$AQ$1&amp;"")</f>
        <v>3</v>
      </c>
      <c r="AR484" s="296">
        <v>0.98</v>
      </c>
      <c r="AS484" s="294">
        <v>0.72</v>
      </c>
      <c r="AT484" s="296" cm="1">
        <f t="array" aca="1" ref="AT484" ca="1">INDIRECT("'"&amp;$C484&amp;"'!"&amp;"$"&amp;$D484&amp;$AT$1&amp;"")</f>
        <v>0</v>
      </c>
      <c r="AU484" s="295" t="s">
        <v>1</v>
      </c>
      <c r="AV484" s="296" t="s">
        <v>1</v>
      </c>
      <c r="AW484" s="294" t="s">
        <v>1</v>
      </c>
      <c r="AX484" s="298">
        <v>14.12</v>
      </c>
      <c r="AY484" s="297">
        <v>71.459999999999994</v>
      </c>
      <c r="AZ484" s="298" cm="1">
        <f t="array" aca="1" ref="AZ484" ca="1">INDIRECT("'"&amp;$C484&amp;"'!"&amp;"$"&amp;$D484&amp;$AZ$1&amp;"")</f>
        <v>13.31</v>
      </c>
      <c r="BA484" s="296">
        <v>0.99</v>
      </c>
      <c r="BB484" s="294">
        <v>2.2999999999999998</v>
      </c>
      <c r="BC484" s="299">
        <v>68.8</v>
      </c>
      <c r="BD484" s="293" cm="1">
        <f t="array" aca="1" ref="BD484" ca="1">INDIRECT("'"&amp;$C484&amp;"'!"&amp;"$"&amp;$D484&amp;$BC$1&amp;"")</f>
        <v>0</v>
      </c>
      <c r="BE484" s="295" t="s">
        <v>1</v>
      </c>
      <c r="BF484" s="294" t="s">
        <v>1</v>
      </c>
      <c r="BG484" s="298" cm="1">
        <f t="array" aca="1" ref="BG484" ca="1">INDIRECT("'"&amp;$C484&amp;"'!"&amp;"$"&amp;$D484&amp;$BG$1&amp;"")</f>
        <v>1.01</v>
      </c>
      <c r="BH484" s="296"/>
      <c r="BI484" s="296">
        <v>0.99</v>
      </c>
      <c r="BJ484" s="294">
        <v>0.12</v>
      </c>
      <c r="BK484" s="298" cm="1">
        <f t="array" aca="1" ref="BK484" ca="1">INDIRECT("'"&amp;$C484&amp;"'!"&amp;"$"&amp;$D484&amp;$BK$1&amp;"")</f>
        <v>0.75</v>
      </c>
      <c r="BL484" s="296"/>
      <c r="BM484" s="296">
        <v>0.96</v>
      </c>
      <c r="BN484" s="294">
        <v>0.2</v>
      </c>
    </row>
    <row r="485" spans="1:66">
      <c r="A485" s="361">
        <v>45767</v>
      </c>
      <c r="B485" s="358">
        <v>0.20833333333333301</v>
      </c>
      <c r="C485" s="313">
        <f t="shared" si="19"/>
        <v>20</v>
      </c>
      <c r="D485" s="314" t="s">
        <v>132</v>
      </c>
      <c r="E485" s="286">
        <v>14</v>
      </c>
      <c r="F485" s="287">
        <v>70.06</v>
      </c>
      <c r="G485" s="288" cm="1">
        <f t="array" aca="1" ref="G485" ca="1">INDIRECT("'"&amp;$C485&amp;"'!"&amp;"$"&amp;$D485&amp;$E$1&amp;"")</f>
        <v>0</v>
      </c>
      <c r="H485" s="289" t="s">
        <v>1</v>
      </c>
      <c r="I485" s="287" t="s">
        <v>1</v>
      </c>
      <c r="J485" s="288" cm="1">
        <f t="array" aca="1" ref="J485" ca="1">INDIRECT("'"&amp;$C485&amp;"'!"&amp;"$"&amp;$D485&amp;$J$1&amp;"")</f>
        <v>6.6</v>
      </c>
      <c r="K485" s="289"/>
      <c r="L485" s="289">
        <v>0.98</v>
      </c>
      <c r="M485" s="287">
        <v>1.32</v>
      </c>
      <c r="N485" s="288" cm="1">
        <f t="array" aca="1" ref="N485" ca="1">INDIRECT("'"&amp;$C485&amp;"'!"&amp;"$"&amp;$D485&amp;$N$1&amp;"")</f>
        <v>6.5</v>
      </c>
      <c r="O485" s="289"/>
      <c r="P485" s="289">
        <v>0.97</v>
      </c>
      <c r="Q485" s="287">
        <v>1.6</v>
      </c>
      <c r="R485" s="288" cm="1">
        <f t="array" aca="1" ref="R485" ca="1">INDIRECT("'"&amp;$C485&amp;"'!"&amp;"$"&amp;$D485&amp;$R$1&amp;"")</f>
        <v>6.5</v>
      </c>
      <c r="S485" s="289"/>
      <c r="T485" s="289">
        <v>0.97</v>
      </c>
      <c r="U485" s="287">
        <v>1.6</v>
      </c>
      <c r="V485" s="288" cm="1">
        <f t="array" aca="1" ref="V485" ca="1">INDIRECT("'"&amp;$C485&amp;"'!"&amp;"$"&amp;$D485&amp;$V$1&amp;"")</f>
        <v>0</v>
      </c>
      <c r="W485" s="289" t="s">
        <v>1</v>
      </c>
      <c r="X485" s="289" t="s">
        <v>1</v>
      </c>
      <c r="Y485" s="290" t="s">
        <v>1</v>
      </c>
      <c r="Z485" s="286" cm="1">
        <f t="array" aca="1" ref="Z485" ca="1">INDIRECT("'"&amp;$C485&amp;"'!"&amp;"$"&amp;$D485&amp;$Z$1&amp;"")</f>
        <v>0</v>
      </c>
      <c r="AA485" s="289" t="s">
        <v>1</v>
      </c>
      <c r="AB485" s="289" t="s">
        <v>1</v>
      </c>
      <c r="AC485" s="287" t="s">
        <v>1</v>
      </c>
      <c r="AD485" s="288" cm="1">
        <f t="array" aca="1" ref="AD485" ca="1">INDIRECT("'"&amp;$C485&amp;"'!"&amp;"$"&amp;$D485&amp;$AD$1&amp;"")</f>
        <v>0</v>
      </c>
      <c r="AE485" s="289" t="s">
        <v>1</v>
      </c>
      <c r="AF485" s="289" t="s">
        <v>1</v>
      </c>
      <c r="AG485" s="290" t="s">
        <v>1</v>
      </c>
      <c r="AH485" s="286" cm="1">
        <f t="array" aca="1" ref="AH485" ca="1">INDIRECT("'"&amp;$C485&amp;"'!"&amp;"$"&amp;$D485&amp;$AH$1&amp;"")</f>
        <v>0</v>
      </c>
      <c r="AI485" s="289" t="s">
        <v>1</v>
      </c>
      <c r="AJ485" s="289" t="s">
        <v>1</v>
      </c>
      <c r="AK485" s="290" t="s">
        <v>1</v>
      </c>
      <c r="AL485" s="286">
        <v>11.9</v>
      </c>
      <c r="AM485" s="290">
        <v>70.5</v>
      </c>
      <c r="AN485" s="286" cm="1">
        <f t="array" aca="1" ref="AN485" ca="1">INDIRECT("'"&amp;$C485&amp;"'!"&amp;"$"&amp;$D485&amp;$AL$1&amp;"")</f>
        <v>3</v>
      </c>
      <c r="AO485" s="289">
        <v>0.98</v>
      </c>
      <c r="AP485" s="287">
        <v>0.75</v>
      </c>
      <c r="AQ485" s="288" cm="1">
        <f t="array" aca="1" ref="AQ485" ca="1">INDIRECT("'"&amp;$C485&amp;"'!"&amp;"$"&amp;$D485&amp;$AQ$1&amp;"")</f>
        <v>3</v>
      </c>
      <c r="AR485" s="289">
        <v>0.98</v>
      </c>
      <c r="AS485" s="287">
        <v>0.75</v>
      </c>
      <c r="AT485" s="289" cm="1">
        <f t="array" aca="1" ref="AT485" ca="1">INDIRECT("'"&amp;$C485&amp;"'!"&amp;"$"&amp;$D485&amp;$AT$1&amp;"")</f>
        <v>0</v>
      </c>
      <c r="AU485" s="288" t="s">
        <v>1</v>
      </c>
      <c r="AV485" s="289" t="s">
        <v>1</v>
      </c>
      <c r="AW485" s="287" t="s">
        <v>1</v>
      </c>
      <c r="AX485" s="291">
        <v>14.14</v>
      </c>
      <c r="AY485" s="290">
        <v>71.64</v>
      </c>
      <c r="AZ485" s="291" cm="1">
        <f t="array" aca="1" ref="AZ485" ca="1">INDIRECT("'"&amp;$C485&amp;"'!"&amp;"$"&amp;$D485&amp;$AZ$1&amp;"")</f>
        <v>13.31</v>
      </c>
      <c r="BA485" s="289">
        <v>0.99</v>
      </c>
      <c r="BB485" s="287">
        <v>2.2999999999999998</v>
      </c>
      <c r="BC485" s="292">
        <v>68.599999999999994</v>
      </c>
      <c r="BD485" s="286" cm="1">
        <f t="array" aca="1" ref="BD485" ca="1">INDIRECT("'"&amp;$C485&amp;"'!"&amp;"$"&amp;$D485&amp;$BC$1&amp;"")</f>
        <v>0</v>
      </c>
      <c r="BE485" s="288" t="s">
        <v>1</v>
      </c>
      <c r="BF485" s="287" t="s">
        <v>1</v>
      </c>
      <c r="BG485" s="291" cm="1">
        <f t="array" aca="1" ref="BG485" ca="1">INDIRECT("'"&amp;$C485&amp;"'!"&amp;"$"&amp;$D485&amp;$BG$1&amp;"")</f>
        <v>1.02</v>
      </c>
      <c r="BH485" s="289"/>
      <c r="BI485" s="289">
        <v>0.99</v>
      </c>
      <c r="BJ485" s="287">
        <v>0.12</v>
      </c>
      <c r="BK485" s="291" cm="1">
        <f t="array" aca="1" ref="BK485" ca="1">INDIRECT("'"&amp;$C485&amp;"'!"&amp;"$"&amp;$D485&amp;$BK$1&amp;"")</f>
        <v>0</v>
      </c>
      <c r="BL485" s="289"/>
      <c r="BM485" s="289" t="s">
        <v>1</v>
      </c>
      <c r="BN485" s="287" t="s">
        <v>1</v>
      </c>
    </row>
    <row r="486" spans="1:66">
      <c r="A486" s="361">
        <v>45767</v>
      </c>
      <c r="B486" s="358">
        <v>0.25</v>
      </c>
      <c r="C486" s="313">
        <f t="shared" si="19"/>
        <v>20</v>
      </c>
      <c r="D486" s="314" t="s">
        <v>133</v>
      </c>
      <c r="E486" s="293">
        <v>14</v>
      </c>
      <c r="F486" s="294">
        <v>69.98</v>
      </c>
      <c r="G486" s="295" cm="1">
        <f t="array" aca="1" ref="G486" ca="1">INDIRECT("'"&amp;$C486&amp;"'!"&amp;"$"&amp;$D486&amp;$E$1&amp;"")</f>
        <v>0</v>
      </c>
      <c r="H486" s="296" t="s">
        <v>1</v>
      </c>
      <c r="I486" s="294" t="s">
        <v>1</v>
      </c>
      <c r="J486" s="295" cm="1">
        <f t="array" aca="1" ref="J486" ca="1">INDIRECT("'"&amp;$C486&amp;"'!"&amp;"$"&amp;$D486&amp;$J$1&amp;"")</f>
        <v>6.4</v>
      </c>
      <c r="K486" s="296"/>
      <c r="L486" s="296">
        <v>0.97</v>
      </c>
      <c r="M486" s="294">
        <v>1.64</v>
      </c>
      <c r="N486" s="295" cm="1">
        <f t="array" aca="1" ref="N486" ca="1">INDIRECT("'"&amp;$C486&amp;"'!"&amp;"$"&amp;$D486&amp;$N$1&amp;"")</f>
        <v>6.4</v>
      </c>
      <c r="O486" s="296"/>
      <c r="P486" s="296">
        <v>0.97</v>
      </c>
      <c r="Q486" s="294">
        <v>1.64</v>
      </c>
      <c r="R486" s="295" cm="1">
        <f t="array" aca="1" ref="R486" ca="1">INDIRECT("'"&amp;$C486&amp;"'!"&amp;"$"&amp;$D486&amp;$R$1&amp;"")</f>
        <v>6.4</v>
      </c>
      <c r="S486" s="296"/>
      <c r="T486" s="296">
        <v>0.97</v>
      </c>
      <c r="U486" s="294">
        <v>1.66</v>
      </c>
      <c r="V486" s="295" cm="1">
        <f t="array" aca="1" ref="V486" ca="1">INDIRECT("'"&amp;$C486&amp;"'!"&amp;"$"&amp;$D486&amp;$V$1&amp;"")</f>
        <v>0</v>
      </c>
      <c r="W486" s="296" t="s">
        <v>1</v>
      </c>
      <c r="X486" s="296" t="s">
        <v>1</v>
      </c>
      <c r="Y486" s="297" t="s">
        <v>1</v>
      </c>
      <c r="Z486" s="293" cm="1">
        <f t="array" aca="1" ref="Z486" ca="1">INDIRECT("'"&amp;$C486&amp;"'!"&amp;"$"&amp;$D486&amp;$Z$1&amp;"")</f>
        <v>0</v>
      </c>
      <c r="AA486" s="296" t="s">
        <v>1</v>
      </c>
      <c r="AB486" s="296" t="s">
        <v>1</v>
      </c>
      <c r="AC486" s="294" t="s">
        <v>1</v>
      </c>
      <c r="AD486" s="295" cm="1">
        <f t="array" aca="1" ref="AD486" ca="1">INDIRECT("'"&amp;$C486&amp;"'!"&amp;"$"&amp;$D486&amp;$AD$1&amp;"")</f>
        <v>0</v>
      </c>
      <c r="AE486" s="296" t="s">
        <v>1</v>
      </c>
      <c r="AF486" s="296" t="s">
        <v>1</v>
      </c>
      <c r="AG486" s="297" t="s">
        <v>1</v>
      </c>
      <c r="AH486" s="293" cm="1">
        <f t="array" aca="1" ref="AH486" ca="1">INDIRECT("'"&amp;$C486&amp;"'!"&amp;"$"&amp;$D486&amp;$AH$1&amp;"")</f>
        <v>0</v>
      </c>
      <c r="AI486" s="296" t="s">
        <v>1</v>
      </c>
      <c r="AJ486" s="296" t="s">
        <v>1</v>
      </c>
      <c r="AK486" s="297" t="s">
        <v>1</v>
      </c>
      <c r="AL486" s="293">
        <v>11.9</v>
      </c>
      <c r="AM486" s="297">
        <v>70.599999999999994</v>
      </c>
      <c r="AN486" s="293" cm="1">
        <f t="array" aca="1" ref="AN486" ca="1">INDIRECT("'"&amp;$C486&amp;"'!"&amp;"$"&amp;$D486&amp;$AL$1&amp;"")</f>
        <v>3.1</v>
      </c>
      <c r="AO486" s="296">
        <v>0.96</v>
      </c>
      <c r="AP486" s="294">
        <v>0.79</v>
      </c>
      <c r="AQ486" s="295" cm="1">
        <f t="array" aca="1" ref="AQ486" ca="1">INDIRECT("'"&amp;$C486&amp;"'!"&amp;"$"&amp;$D486&amp;$AQ$1&amp;"")</f>
        <v>3.1</v>
      </c>
      <c r="AR486" s="296">
        <v>0.96</v>
      </c>
      <c r="AS486" s="294">
        <v>0.79</v>
      </c>
      <c r="AT486" s="296" cm="1">
        <f t="array" aca="1" ref="AT486" ca="1">INDIRECT("'"&amp;$C486&amp;"'!"&amp;"$"&amp;$D486&amp;$AT$1&amp;"")</f>
        <v>0</v>
      </c>
      <c r="AU486" s="295" t="s">
        <v>1</v>
      </c>
      <c r="AV486" s="296" t="s">
        <v>1</v>
      </c>
      <c r="AW486" s="294" t="s">
        <v>1</v>
      </c>
      <c r="AX486" s="298">
        <v>14.13</v>
      </c>
      <c r="AY486" s="297">
        <v>71.540000000000006</v>
      </c>
      <c r="AZ486" s="298" cm="1">
        <f t="array" aca="1" ref="AZ486" ca="1">INDIRECT("'"&amp;$C486&amp;"'!"&amp;"$"&amp;$D486&amp;$AZ$1&amp;"")</f>
        <v>13.29</v>
      </c>
      <c r="BA486" s="296">
        <v>0.99</v>
      </c>
      <c r="BB486" s="294">
        <v>2.2999999999999998</v>
      </c>
      <c r="BC486" s="299">
        <v>68.599999999999994</v>
      </c>
      <c r="BD486" s="293" cm="1">
        <f t="array" aca="1" ref="BD486" ca="1">INDIRECT("'"&amp;$C486&amp;"'!"&amp;"$"&amp;$D486&amp;$BC$1&amp;"")</f>
        <v>0</v>
      </c>
      <c r="BE486" s="295" t="s">
        <v>1</v>
      </c>
      <c r="BF486" s="294" t="s">
        <v>1</v>
      </c>
      <c r="BG486" s="298" cm="1">
        <f t="array" aca="1" ref="BG486" ca="1">INDIRECT("'"&amp;$C486&amp;"'!"&amp;"$"&amp;$D486&amp;$BG$1&amp;"")</f>
        <v>1.05</v>
      </c>
      <c r="BH486" s="296"/>
      <c r="BI486" s="296">
        <v>0.99</v>
      </c>
      <c r="BJ486" s="294">
        <v>0.12</v>
      </c>
      <c r="BK486" s="298" cm="1">
        <f t="array" aca="1" ref="BK486" ca="1">INDIRECT("'"&amp;$C486&amp;"'!"&amp;"$"&amp;$D486&amp;$BK$1&amp;"")</f>
        <v>0</v>
      </c>
      <c r="BL486" s="296"/>
      <c r="BM486" s="296" t="s">
        <v>1</v>
      </c>
      <c r="BN486" s="294" t="s">
        <v>1</v>
      </c>
    </row>
    <row r="487" spans="1:66">
      <c r="A487" s="361">
        <v>45767</v>
      </c>
      <c r="B487" s="358">
        <v>0.29166666666666702</v>
      </c>
      <c r="C487" s="313">
        <f t="shared" si="19"/>
        <v>20</v>
      </c>
      <c r="D487" s="314" t="s">
        <v>134</v>
      </c>
      <c r="E487" s="286">
        <v>14</v>
      </c>
      <c r="F487" s="287">
        <v>69.73</v>
      </c>
      <c r="G487" s="288" cm="1">
        <f t="array" aca="1" ref="G487" ca="1">INDIRECT("'"&amp;$C487&amp;"'!"&amp;"$"&amp;$D487&amp;$E$1&amp;"")</f>
        <v>6.3</v>
      </c>
      <c r="H487" s="289">
        <v>0.94</v>
      </c>
      <c r="I487" s="287">
        <v>2.27</v>
      </c>
      <c r="J487" s="288" cm="1">
        <f t="array" aca="1" ref="J487" ca="1">INDIRECT("'"&amp;$C487&amp;"'!"&amp;"$"&amp;$D487&amp;$J$1&amp;"")</f>
        <v>2.2999999999999998</v>
      </c>
      <c r="K487" s="289"/>
      <c r="L487" s="289">
        <v>0.98</v>
      </c>
      <c r="M487" s="287">
        <v>0.47</v>
      </c>
      <c r="N487" s="288" cm="1">
        <f t="array" aca="1" ref="N487" ca="1">INDIRECT("'"&amp;$C487&amp;"'!"&amp;"$"&amp;$D487&amp;$N$1&amp;"")</f>
        <v>5.3</v>
      </c>
      <c r="O487" s="289"/>
      <c r="P487" s="289">
        <v>0.97</v>
      </c>
      <c r="Q487" s="287">
        <v>1.24</v>
      </c>
      <c r="R487" s="288" cm="1">
        <f t="array" aca="1" ref="R487" ca="1">INDIRECT("'"&amp;$C487&amp;"'!"&amp;"$"&amp;$D487&amp;$R$1&amp;"")</f>
        <v>5.3</v>
      </c>
      <c r="S487" s="289"/>
      <c r="T487" s="289">
        <v>0.97</v>
      </c>
      <c r="U487" s="287">
        <v>1.2</v>
      </c>
      <c r="V487" s="288" cm="1">
        <f t="array" aca="1" ref="V487" ca="1">INDIRECT("'"&amp;$C487&amp;"'!"&amp;"$"&amp;$D487&amp;$V$1&amp;"")</f>
        <v>0</v>
      </c>
      <c r="W487" s="289" t="s">
        <v>1</v>
      </c>
      <c r="X487" s="289" t="s">
        <v>1</v>
      </c>
      <c r="Y487" s="290" t="s">
        <v>1</v>
      </c>
      <c r="Z487" s="286" cm="1">
        <f t="array" aca="1" ref="Z487" ca="1">INDIRECT("'"&amp;$C487&amp;"'!"&amp;"$"&amp;$D487&amp;$Z$1&amp;"")</f>
        <v>0</v>
      </c>
      <c r="AA487" s="289" t="s">
        <v>1</v>
      </c>
      <c r="AB487" s="289" t="s">
        <v>1</v>
      </c>
      <c r="AC487" s="287" t="s">
        <v>1</v>
      </c>
      <c r="AD487" s="288" cm="1">
        <f t="array" aca="1" ref="AD487" ca="1">INDIRECT("'"&amp;$C487&amp;"'!"&amp;"$"&amp;$D487&amp;$AD$1&amp;"")</f>
        <v>0</v>
      </c>
      <c r="AE487" s="289" t="s">
        <v>1</v>
      </c>
      <c r="AF487" s="289" t="s">
        <v>1</v>
      </c>
      <c r="AG487" s="290" t="s">
        <v>1</v>
      </c>
      <c r="AH487" s="286" cm="1">
        <f t="array" aca="1" ref="AH487" ca="1">INDIRECT("'"&amp;$C487&amp;"'!"&amp;"$"&amp;$D487&amp;$AH$1&amp;"")</f>
        <v>0</v>
      </c>
      <c r="AI487" s="289" t="s">
        <v>1</v>
      </c>
      <c r="AJ487" s="289" t="s">
        <v>1</v>
      </c>
      <c r="AK487" s="290" t="s">
        <v>1</v>
      </c>
      <c r="AL487" s="286">
        <v>11.9</v>
      </c>
      <c r="AM487" s="290">
        <v>70.3</v>
      </c>
      <c r="AN487" s="286" cm="1">
        <f t="array" aca="1" ref="AN487" ca="1">INDIRECT("'"&amp;$C487&amp;"'!"&amp;"$"&amp;$D487&amp;$AL$1&amp;"")</f>
        <v>3.4</v>
      </c>
      <c r="AO487" s="289">
        <v>0.96</v>
      </c>
      <c r="AP487" s="287">
        <v>0.92</v>
      </c>
      <c r="AQ487" s="288" cm="1">
        <f t="array" aca="1" ref="AQ487" ca="1">INDIRECT("'"&amp;$C487&amp;"'!"&amp;"$"&amp;$D487&amp;$AQ$1&amp;"")</f>
        <v>3.4</v>
      </c>
      <c r="AR487" s="289">
        <v>0.96</v>
      </c>
      <c r="AS487" s="287">
        <v>0.92</v>
      </c>
      <c r="AT487" s="289" cm="1">
        <f t="array" aca="1" ref="AT487" ca="1">INDIRECT("'"&amp;$C487&amp;"'!"&amp;"$"&amp;$D487&amp;$AT$1&amp;"")</f>
        <v>0</v>
      </c>
      <c r="AU487" s="288" t="s">
        <v>1</v>
      </c>
      <c r="AV487" s="289" t="s">
        <v>1</v>
      </c>
      <c r="AW487" s="287" t="s">
        <v>1</v>
      </c>
      <c r="AX487" s="291">
        <v>14.12</v>
      </c>
      <c r="AY487" s="290">
        <v>71.42</v>
      </c>
      <c r="AZ487" s="291" cm="1">
        <f t="array" aca="1" ref="AZ487" ca="1">INDIRECT("'"&amp;$C487&amp;"'!"&amp;"$"&amp;$D487&amp;$AZ$1&amp;"")</f>
        <v>13.32</v>
      </c>
      <c r="BA487" s="289">
        <v>0.99</v>
      </c>
      <c r="BB487" s="287">
        <v>2.2999999999999998</v>
      </c>
      <c r="BC487" s="292">
        <v>68.3</v>
      </c>
      <c r="BD487" s="286" cm="1">
        <f t="array" aca="1" ref="BD487" ca="1">INDIRECT("'"&amp;$C487&amp;"'!"&amp;"$"&amp;$D487&amp;$BC$1&amp;"")</f>
        <v>0</v>
      </c>
      <c r="BE487" s="288" t="s">
        <v>1</v>
      </c>
      <c r="BF487" s="287" t="s">
        <v>1</v>
      </c>
      <c r="BG487" s="291" cm="1">
        <f t="array" aca="1" ref="BG487" ca="1">INDIRECT("'"&amp;$C487&amp;"'!"&amp;"$"&amp;$D487&amp;$BG$1&amp;"")</f>
        <v>1.1100000000000001</v>
      </c>
      <c r="BH487" s="289"/>
      <c r="BI487" s="289">
        <v>0.99</v>
      </c>
      <c r="BJ487" s="287">
        <v>0.14000000000000001</v>
      </c>
      <c r="BK487" s="292" cm="1">
        <f t="array" aca="1" ref="BK487" ca="1">INDIRECT("'"&amp;$C487&amp;"'!"&amp;"$"&amp;$D487&amp;$BK$1&amp;"")</f>
        <v>0</v>
      </c>
      <c r="BL487" s="289"/>
      <c r="BM487" s="289" t="s">
        <v>1</v>
      </c>
      <c r="BN487" s="287" t="s">
        <v>1</v>
      </c>
    </row>
    <row r="488" spans="1:66">
      <c r="A488" s="361">
        <v>45767</v>
      </c>
      <c r="B488" s="358">
        <v>0.33333333333333398</v>
      </c>
      <c r="C488" s="313">
        <f t="shared" si="19"/>
        <v>20</v>
      </c>
      <c r="D488" s="314" t="s">
        <v>135</v>
      </c>
      <c r="E488" s="293">
        <v>14.1</v>
      </c>
      <c r="F488" s="294">
        <v>68.84</v>
      </c>
      <c r="G488" s="295" cm="1">
        <f t="array" aca="1" ref="G488" ca="1">INDIRECT("'"&amp;$C488&amp;"'!"&amp;"$"&amp;$D488&amp;$E$1&amp;"")</f>
        <v>0</v>
      </c>
      <c r="H488" s="296" t="s">
        <v>1</v>
      </c>
      <c r="I488" s="294" t="s">
        <v>1</v>
      </c>
      <c r="J488" s="295" cm="1">
        <f t="array" aca="1" ref="J488" ca="1">INDIRECT("'"&amp;$C488&amp;"'!"&amp;"$"&amp;$D488&amp;$J$1&amp;"")</f>
        <v>6.7</v>
      </c>
      <c r="K488" s="296"/>
      <c r="L488" s="296">
        <v>0.96</v>
      </c>
      <c r="M488" s="294">
        <v>1.85</v>
      </c>
      <c r="N488" s="295" cm="1">
        <f t="array" aca="1" ref="N488" ca="1">INDIRECT("'"&amp;$C488&amp;"'!"&amp;"$"&amp;$D488&amp;$N$1&amp;"")</f>
        <v>6.7</v>
      </c>
      <c r="O488" s="296"/>
      <c r="P488" s="296">
        <v>0.96</v>
      </c>
      <c r="Q488" s="294">
        <v>1.84</v>
      </c>
      <c r="R488" s="295" cm="1">
        <f t="array" aca="1" ref="R488" ca="1">INDIRECT("'"&amp;$C488&amp;"'!"&amp;"$"&amp;$D488&amp;$R$1&amp;"")</f>
        <v>6.8</v>
      </c>
      <c r="S488" s="296"/>
      <c r="T488" s="296">
        <v>0.92</v>
      </c>
      <c r="U488" s="294">
        <v>2.9</v>
      </c>
      <c r="V488" s="295" cm="1">
        <f t="array" aca="1" ref="V488" ca="1">INDIRECT("'"&amp;$C488&amp;"'!"&amp;"$"&amp;$D488&amp;$V$1&amp;"")</f>
        <v>0</v>
      </c>
      <c r="W488" s="296" t="s">
        <v>1</v>
      </c>
      <c r="X488" s="296" t="s">
        <v>1</v>
      </c>
      <c r="Y488" s="297" t="s">
        <v>1</v>
      </c>
      <c r="Z488" s="293" cm="1">
        <f t="array" aca="1" ref="Z488" ca="1">INDIRECT("'"&amp;$C488&amp;"'!"&amp;"$"&amp;$D488&amp;$Z$1&amp;"")</f>
        <v>0</v>
      </c>
      <c r="AA488" s="296" t="s">
        <v>1</v>
      </c>
      <c r="AB488" s="296" t="s">
        <v>1</v>
      </c>
      <c r="AC488" s="294" t="s">
        <v>1</v>
      </c>
      <c r="AD488" s="295" cm="1">
        <f t="array" aca="1" ref="AD488" ca="1">INDIRECT("'"&amp;$C488&amp;"'!"&amp;"$"&amp;$D488&amp;$AD$1&amp;"")</f>
        <v>0</v>
      </c>
      <c r="AE488" s="296" t="s">
        <v>1</v>
      </c>
      <c r="AF488" s="296" t="s">
        <v>1</v>
      </c>
      <c r="AG488" s="297" t="s">
        <v>1</v>
      </c>
      <c r="AH488" s="293" cm="1">
        <f t="array" aca="1" ref="AH488" ca="1">INDIRECT("'"&amp;$C488&amp;"'!"&amp;"$"&amp;$D488&amp;$AH$1&amp;"")</f>
        <v>0</v>
      </c>
      <c r="AI488" s="296" t="s">
        <v>1</v>
      </c>
      <c r="AJ488" s="296" t="s">
        <v>1</v>
      </c>
      <c r="AK488" s="297" t="s">
        <v>1</v>
      </c>
      <c r="AL488" s="293">
        <v>11.9</v>
      </c>
      <c r="AM488" s="297">
        <v>70</v>
      </c>
      <c r="AN488" s="293" cm="1">
        <f t="array" aca="1" ref="AN488" ca="1">INDIRECT("'"&amp;$C488&amp;"'!"&amp;"$"&amp;$D488&amp;$AL$1&amp;"")</f>
        <v>3.5</v>
      </c>
      <c r="AO488" s="296">
        <v>0.95</v>
      </c>
      <c r="AP488" s="294">
        <v>1.18</v>
      </c>
      <c r="AQ488" s="295" cm="1">
        <f t="array" aca="1" ref="AQ488" ca="1">INDIRECT("'"&amp;$C488&amp;"'!"&amp;"$"&amp;$D488&amp;$AQ$1&amp;"")</f>
        <v>3.5</v>
      </c>
      <c r="AR488" s="296">
        <v>0.95</v>
      </c>
      <c r="AS488" s="294">
        <v>1.18</v>
      </c>
      <c r="AT488" s="296" cm="1">
        <f t="array" aca="1" ref="AT488" ca="1">INDIRECT("'"&amp;$C488&amp;"'!"&amp;"$"&amp;$D488&amp;$AT$1&amp;"")</f>
        <v>0</v>
      </c>
      <c r="AU488" s="295" t="s">
        <v>1</v>
      </c>
      <c r="AV488" s="296" t="s">
        <v>1</v>
      </c>
      <c r="AW488" s="294" t="s">
        <v>1</v>
      </c>
      <c r="AX488" s="298">
        <v>14.06</v>
      </c>
      <c r="AY488" s="297">
        <v>71.040000000000006</v>
      </c>
      <c r="AZ488" s="298" cm="1">
        <f t="array" aca="1" ref="AZ488" ca="1">INDIRECT("'"&amp;$C488&amp;"'!"&amp;"$"&amp;$D488&amp;$AZ$1&amp;"")</f>
        <v>14.28</v>
      </c>
      <c r="BA488" s="296">
        <v>0.99</v>
      </c>
      <c r="BB488" s="294">
        <v>2.4</v>
      </c>
      <c r="BC488" s="299">
        <v>67.8</v>
      </c>
      <c r="BD488" s="293" cm="1">
        <f t="array" aca="1" ref="BD488" ca="1">INDIRECT("'"&amp;$C488&amp;"'!"&amp;"$"&amp;$D488&amp;$BC$1&amp;"")</f>
        <v>0</v>
      </c>
      <c r="BE488" s="295" t="s">
        <v>1</v>
      </c>
      <c r="BF488" s="294" t="s">
        <v>1</v>
      </c>
      <c r="BG488" s="298" cm="1">
        <f t="array" aca="1" ref="BG488" ca="1">INDIRECT("'"&amp;$C488&amp;"'!"&amp;"$"&amp;$D488&amp;$BG$1&amp;"")</f>
        <v>1.1299999999999999</v>
      </c>
      <c r="BH488" s="296"/>
      <c r="BI488" s="296">
        <v>0.99</v>
      </c>
      <c r="BJ488" s="294">
        <v>0.16</v>
      </c>
      <c r="BK488" s="299" cm="1">
        <f t="array" aca="1" ref="BK488" ca="1">INDIRECT("'"&amp;$C488&amp;"'!"&amp;"$"&amp;$D488&amp;$BK$1&amp;"")</f>
        <v>0</v>
      </c>
      <c r="BL488" s="296"/>
      <c r="BM488" s="296" t="s">
        <v>1</v>
      </c>
      <c r="BN488" s="294" t="s">
        <v>1</v>
      </c>
    </row>
    <row r="489" spans="1:66">
      <c r="A489" s="361">
        <v>45767</v>
      </c>
      <c r="B489" s="358">
        <v>0.375</v>
      </c>
      <c r="C489" s="313">
        <f t="shared" si="19"/>
        <v>20</v>
      </c>
      <c r="D489" s="314" t="s">
        <v>136</v>
      </c>
      <c r="E489" s="286">
        <v>14.1</v>
      </c>
      <c r="F489" s="287">
        <v>68.22</v>
      </c>
      <c r="G489" s="288" cm="1">
        <f t="array" aca="1" ref="G489" ca="1">INDIRECT("'"&amp;$C489&amp;"'!"&amp;"$"&amp;$D489&amp;$E$1&amp;"")</f>
        <v>0</v>
      </c>
      <c r="H489" s="289" t="s">
        <v>1</v>
      </c>
      <c r="I489" s="287" t="s">
        <v>1</v>
      </c>
      <c r="J489" s="288" cm="1">
        <f t="array" aca="1" ref="J489" ca="1">INDIRECT("'"&amp;$C489&amp;"'!"&amp;"$"&amp;$D489&amp;$J$1&amp;"")</f>
        <v>6.9</v>
      </c>
      <c r="K489" s="289"/>
      <c r="L489" s="289">
        <v>0.95</v>
      </c>
      <c r="M489" s="287">
        <v>2.3199999999999998</v>
      </c>
      <c r="N489" s="288" cm="1">
        <f t="array" aca="1" ref="N489" ca="1">INDIRECT("'"&amp;$C489&amp;"'!"&amp;"$"&amp;$D489&amp;$N$1&amp;"")</f>
        <v>6.7</v>
      </c>
      <c r="O489" s="289"/>
      <c r="P489" s="289">
        <v>0.95</v>
      </c>
      <c r="Q489" s="287">
        <v>2.23</v>
      </c>
      <c r="R489" s="288" cm="1">
        <f t="array" aca="1" ref="R489" ca="1">INDIRECT("'"&amp;$C489&amp;"'!"&amp;"$"&amp;$D489&amp;$R$1&amp;"")</f>
        <v>6.7</v>
      </c>
      <c r="S489" s="289"/>
      <c r="T489" s="289">
        <v>0.94</v>
      </c>
      <c r="U489" s="287">
        <v>2.48</v>
      </c>
      <c r="V489" s="288" cm="1">
        <f t="array" aca="1" ref="V489" ca="1">INDIRECT("'"&amp;$C489&amp;"'!"&amp;"$"&amp;$D489&amp;$V$1&amp;"")</f>
        <v>0</v>
      </c>
      <c r="W489" s="289" t="s">
        <v>1</v>
      </c>
      <c r="X489" s="289" t="s">
        <v>1</v>
      </c>
      <c r="Y489" s="290" t="s">
        <v>1</v>
      </c>
      <c r="Z489" s="286" cm="1">
        <f t="array" aca="1" ref="Z489" ca="1">INDIRECT("'"&amp;$C489&amp;"'!"&amp;"$"&amp;$D489&amp;$Z$1&amp;"")</f>
        <v>0</v>
      </c>
      <c r="AA489" s="289" t="s">
        <v>1</v>
      </c>
      <c r="AB489" s="289" t="s">
        <v>1</v>
      </c>
      <c r="AC489" s="287" t="s">
        <v>1</v>
      </c>
      <c r="AD489" s="288" cm="1">
        <f t="array" aca="1" ref="AD489" ca="1">INDIRECT("'"&amp;$C489&amp;"'!"&amp;"$"&amp;$D489&amp;$AD$1&amp;"")</f>
        <v>2.5</v>
      </c>
      <c r="AE489" s="289">
        <f>3.8*3.48</f>
        <v>13.224</v>
      </c>
      <c r="AF489" s="289">
        <v>0.96</v>
      </c>
      <c r="AG489" s="290">
        <v>0.68</v>
      </c>
      <c r="AH489" s="286" cm="1">
        <f t="array" aca="1" ref="AH489" ca="1">INDIRECT("'"&amp;$C489&amp;"'!"&amp;"$"&amp;$D489&amp;$AH$1&amp;"")</f>
        <v>0</v>
      </c>
      <c r="AI489" s="289" t="s">
        <v>1</v>
      </c>
      <c r="AJ489" s="289" t="s">
        <v>1</v>
      </c>
      <c r="AK489" s="290" t="s">
        <v>1</v>
      </c>
      <c r="AL489" s="286">
        <v>11.9</v>
      </c>
      <c r="AM489" s="290">
        <v>70.099999999999994</v>
      </c>
      <c r="AN489" s="286" cm="1">
        <f t="array" aca="1" ref="AN489" ca="1">INDIRECT("'"&amp;$C489&amp;"'!"&amp;"$"&amp;$D489&amp;$AL$1&amp;"")</f>
        <v>4</v>
      </c>
      <c r="AO489" s="289">
        <v>0.93</v>
      </c>
      <c r="AP489" s="287">
        <v>1.4</v>
      </c>
      <c r="AQ489" s="288" cm="1">
        <f t="array" aca="1" ref="AQ489" ca="1">INDIRECT("'"&amp;$C489&amp;"'!"&amp;"$"&amp;$D489&amp;$AQ$1&amp;"")</f>
        <v>4</v>
      </c>
      <c r="AR489" s="289">
        <v>0.93</v>
      </c>
      <c r="AS489" s="287">
        <v>1.4</v>
      </c>
      <c r="AT489" s="289" cm="1">
        <f t="array" aca="1" ref="AT489" ca="1">INDIRECT("'"&amp;$C489&amp;"'!"&amp;"$"&amp;$D489&amp;$AT$1&amp;"")</f>
        <v>0</v>
      </c>
      <c r="AU489" s="288" t="s">
        <v>1</v>
      </c>
      <c r="AV489" s="289" t="s">
        <v>1</v>
      </c>
      <c r="AW489" s="287" t="s">
        <v>1</v>
      </c>
      <c r="AX489" s="291">
        <v>14.12</v>
      </c>
      <c r="AY489" s="290">
        <v>71.08</v>
      </c>
      <c r="AZ489" s="291" cm="1">
        <f t="array" aca="1" ref="AZ489" ca="1">INDIRECT("'"&amp;$C489&amp;"'!"&amp;"$"&amp;$D489&amp;$AZ$1&amp;"")</f>
        <v>14.18</v>
      </c>
      <c r="BA489" s="289">
        <v>0.98</v>
      </c>
      <c r="BB489" s="287">
        <v>3.5</v>
      </c>
      <c r="BC489" s="292">
        <v>67.8</v>
      </c>
      <c r="BD489" s="286" cm="1">
        <f t="array" aca="1" ref="BD489" ca="1">INDIRECT("'"&amp;$C489&amp;"'!"&amp;"$"&amp;$D489&amp;$BC$1&amp;"")</f>
        <v>2.2000000000000002</v>
      </c>
      <c r="BE489" s="288">
        <v>0.97</v>
      </c>
      <c r="BF489" s="287">
        <v>0.55000000000000004</v>
      </c>
      <c r="BG489" s="291" cm="1">
        <f t="array" aca="1" ref="BG489" ca="1">INDIRECT("'"&amp;$C489&amp;"'!"&amp;"$"&amp;$D489&amp;$BG$1&amp;"")</f>
        <v>1.19</v>
      </c>
      <c r="BH489" s="289"/>
      <c r="BI489" s="289">
        <v>0.99</v>
      </c>
      <c r="BJ489" s="287">
        <v>0.19</v>
      </c>
      <c r="BK489" s="292" cm="1">
        <f t="array" aca="1" ref="BK489" ca="1">INDIRECT("'"&amp;$C489&amp;"'!"&amp;"$"&amp;$D489&amp;$BK$1&amp;"")</f>
        <v>0.88</v>
      </c>
      <c r="BL489" s="289"/>
      <c r="BM489" s="289">
        <v>0.95</v>
      </c>
      <c r="BN489" s="287">
        <v>0.26</v>
      </c>
    </row>
    <row r="490" spans="1:66">
      <c r="A490" s="361">
        <v>45767</v>
      </c>
      <c r="B490" s="358">
        <v>0.41666666666666702</v>
      </c>
      <c r="C490" s="313">
        <f t="shared" si="19"/>
        <v>20</v>
      </c>
      <c r="D490" s="314" t="s">
        <v>137</v>
      </c>
      <c r="E490" s="293">
        <v>14</v>
      </c>
      <c r="F490" s="294">
        <v>68.760000000000005</v>
      </c>
      <c r="G490" s="295" cm="1">
        <f t="array" aca="1" ref="G490" ca="1">INDIRECT("'"&amp;$C490&amp;"'!"&amp;"$"&amp;$D490&amp;$E$1&amp;"")</f>
        <v>0</v>
      </c>
      <c r="H490" s="296" t="s">
        <v>1</v>
      </c>
      <c r="I490" s="294" t="s">
        <v>1</v>
      </c>
      <c r="J490" s="295" cm="1">
        <f t="array" aca="1" ref="J490" ca="1">INDIRECT("'"&amp;$C490&amp;"'!"&amp;"$"&amp;$D490&amp;$J$1&amp;"")</f>
        <v>7</v>
      </c>
      <c r="K490" s="296"/>
      <c r="L490" s="296">
        <v>0.92</v>
      </c>
      <c r="M490" s="294">
        <v>2.91</v>
      </c>
      <c r="N490" s="295" cm="1">
        <f t="array" aca="1" ref="N490" ca="1">INDIRECT("'"&amp;$C490&amp;"'!"&amp;"$"&amp;$D490&amp;$N$1&amp;"")</f>
        <v>6.8</v>
      </c>
      <c r="O490" s="296"/>
      <c r="P490" s="296">
        <v>0.92</v>
      </c>
      <c r="Q490" s="294">
        <v>2.85</v>
      </c>
      <c r="R490" s="295" cm="1">
        <f t="array" aca="1" ref="R490" ca="1">INDIRECT("'"&amp;$C490&amp;"'!"&amp;"$"&amp;$D490&amp;$R$1&amp;"")</f>
        <v>6.9</v>
      </c>
      <c r="S490" s="296"/>
      <c r="T490" s="296">
        <v>0.92</v>
      </c>
      <c r="U490" s="294">
        <v>2.97</v>
      </c>
      <c r="V490" s="295" cm="1">
        <f t="array" aca="1" ref="V490" ca="1">INDIRECT("'"&amp;$C490&amp;"'!"&amp;"$"&amp;$D490&amp;$V$1&amp;"")</f>
        <v>0</v>
      </c>
      <c r="W490" s="296" t="s">
        <v>1</v>
      </c>
      <c r="X490" s="296" t="s">
        <v>1</v>
      </c>
      <c r="Y490" s="297" t="s">
        <v>1</v>
      </c>
      <c r="Z490" s="293" cm="1">
        <f t="array" aca="1" ref="Z490" ca="1">INDIRECT("'"&amp;$C490&amp;"'!"&amp;"$"&amp;$D490&amp;$Z$1&amp;"")</f>
        <v>0</v>
      </c>
      <c r="AA490" s="296" t="s">
        <v>1</v>
      </c>
      <c r="AB490" s="296" t="s">
        <v>1</v>
      </c>
      <c r="AC490" s="294" t="s">
        <v>1</v>
      </c>
      <c r="AD490" s="295" cm="1">
        <f t="array" aca="1" ref="AD490" ca="1">INDIRECT("'"&amp;$C490&amp;"'!"&amp;"$"&amp;$D490&amp;$AD$1&amp;"")</f>
        <v>3.8</v>
      </c>
      <c r="AE490" s="296">
        <f>3.8*3.48</f>
        <v>13.224</v>
      </c>
      <c r="AF490" s="296">
        <v>0.92</v>
      </c>
      <c r="AG490" s="297">
        <v>1.61</v>
      </c>
      <c r="AH490" s="293" cm="1">
        <f t="array" aca="1" ref="AH490" ca="1">INDIRECT("'"&amp;$C490&amp;"'!"&amp;"$"&amp;$D490&amp;$AH$1&amp;"")</f>
        <v>3.8</v>
      </c>
      <c r="AI490" s="296">
        <v>14</v>
      </c>
      <c r="AJ490" s="296">
        <v>0.97</v>
      </c>
      <c r="AK490" s="297">
        <v>0.82199999999999995</v>
      </c>
      <c r="AL490" s="293">
        <v>11.9</v>
      </c>
      <c r="AM490" s="297">
        <v>70.099999999999994</v>
      </c>
      <c r="AN490" s="293" cm="1">
        <f t="array" aca="1" ref="AN490" ca="1">INDIRECT("'"&amp;$C490&amp;"'!"&amp;"$"&amp;$D490&amp;$AL$1&amp;"")</f>
        <v>4</v>
      </c>
      <c r="AO490" s="296">
        <v>0.97</v>
      </c>
      <c r="AP490" s="294">
        <v>1</v>
      </c>
      <c r="AQ490" s="295" cm="1">
        <f t="array" aca="1" ref="AQ490" ca="1">INDIRECT("'"&amp;$C490&amp;"'!"&amp;"$"&amp;$D490&amp;$AQ$1&amp;"")</f>
        <v>4</v>
      </c>
      <c r="AR490" s="296">
        <v>0.97</v>
      </c>
      <c r="AS490" s="294">
        <v>1</v>
      </c>
      <c r="AT490" s="296" cm="1">
        <f t="array" aca="1" ref="AT490" ca="1">INDIRECT("'"&amp;$C490&amp;"'!"&amp;"$"&amp;$D490&amp;$AT$1&amp;"")</f>
        <v>0</v>
      </c>
      <c r="AU490" s="295" t="s">
        <v>1</v>
      </c>
      <c r="AV490" s="296" t="s">
        <v>1</v>
      </c>
      <c r="AW490" s="294" t="s">
        <v>1</v>
      </c>
      <c r="AX490" s="298">
        <v>14.26</v>
      </c>
      <c r="AY490" s="297">
        <v>71.73</v>
      </c>
      <c r="AZ490" s="298" cm="1">
        <f t="array" aca="1" ref="AZ490" ca="1">INDIRECT("'"&amp;$C490&amp;"'!"&amp;"$"&amp;$D490&amp;$AZ$1&amp;"")</f>
        <v>14.25</v>
      </c>
      <c r="BA490" s="296">
        <v>0.98</v>
      </c>
      <c r="BB490" s="294">
        <v>3.5</v>
      </c>
      <c r="BC490" s="299">
        <v>67.400000000000006</v>
      </c>
      <c r="BD490" s="293" cm="1">
        <f t="array" aca="1" ref="BD490" ca="1">INDIRECT("'"&amp;$C490&amp;"'!"&amp;"$"&amp;$D490&amp;$BC$1&amp;"")</f>
        <v>0</v>
      </c>
      <c r="BE490" s="295" t="s">
        <v>1</v>
      </c>
      <c r="BF490" s="294" t="s">
        <v>1</v>
      </c>
      <c r="BG490" s="298" cm="1">
        <f t="array" aca="1" ref="BG490" ca="1">INDIRECT("'"&amp;$C490&amp;"'!"&amp;"$"&amp;$D490&amp;$BG$1&amp;"")</f>
        <v>1.1000000000000001</v>
      </c>
      <c r="BH490" s="296"/>
      <c r="BI490" s="296">
        <v>0.99</v>
      </c>
      <c r="BJ490" s="294">
        <v>0.17</v>
      </c>
      <c r="BK490" s="299" cm="1">
        <f t="array" aca="1" ref="BK490" ca="1">INDIRECT("'"&amp;$C490&amp;"'!"&amp;"$"&amp;$D490&amp;$BK$1&amp;"")</f>
        <v>0.87</v>
      </c>
      <c r="BL490" s="296"/>
      <c r="BM490" s="296">
        <v>0.95</v>
      </c>
      <c r="BN490" s="294">
        <v>0.26</v>
      </c>
    </row>
    <row r="491" spans="1:66">
      <c r="A491" s="361">
        <v>45767</v>
      </c>
      <c r="B491" s="358">
        <v>0.45833333333333398</v>
      </c>
      <c r="C491" s="313">
        <f t="shared" si="19"/>
        <v>20</v>
      </c>
      <c r="D491" s="314" t="s">
        <v>138</v>
      </c>
      <c r="E491" s="286">
        <v>14.2</v>
      </c>
      <c r="F491" s="287">
        <v>69.17</v>
      </c>
      <c r="G491" s="288" cm="1">
        <f t="array" aca="1" ref="G491" ca="1">INDIRECT("'"&amp;$C491&amp;"'!"&amp;"$"&amp;$D491&amp;$E$1&amp;"")</f>
        <v>0</v>
      </c>
      <c r="H491" s="289" t="s">
        <v>1</v>
      </c>
      <c r="I491" s="287" t="s">
        <v>1</v>
      </c>
      <c r="J491" s="288" cm="1">
        <f t="array" aca="1" ref="J491" ca="1">INDIRECT("'"&amp;$C491&amp;"'!"&amp;"$"&amp;$D491&amp;$J$1&amp;"")</f>
        <v>6.6</v>
      </c>
      <c r="K491" s="289"/>
      <c r="L491" s="289">
        <v>0.9</v>
      </c>
      <c r="M491" s="287">
        <v>3</v>
      </c>
      <c r="N491" s="288" cm="1">
        <f t="array" aca="1" ref="N491" ca="1">INDIRECT("'"&amp;$C491&amp;"'!"&amp;"$"&amp;$D491&amp;$N$1&amp;"")</f>
        <v>6.6</v>
      </c>
      <c r="O491" s="289"/>
      <c r="P491" s="289">
        <v>0.91</v>
      </c>
      <c r="Q491" s="287">
        <v>2.99</v>
      </c>
      <c r="R491" s="288" cm="1">
        <f t="array" aca="1" ref="R491" ca="1">INDIRECT("'"&amp;$C491&amp;"'!"&amp;"$"&amp;$D491&amp;$R$1&amp;"")</f>
        <v>6.7</v>
      </c>
      <c r="S491" s="289"/>
      <c r="T491" s="289">
        <v>0.93</v>
      </c>
      <c r="U491" s="287">
        <v>2.76</v>
      </c>
      <c r="V491" s="288" cm="1">
        <f t="array" aca="1" ref="V491" ca="1">INDIRECT("'"&amp;$C491&amp;"'!"&amp;"$"&amp;$D491&amp;$V$1&amp;"")</f>
        <v>2</v>
      </c>
      <c r="W491" s="289">
        <f>3.5*3.8</f>
        <v>13.299999999999999</v>
      </c>
      <c r="X491" s="289">
        <v>0.95</v>
      </c>
      <c r="Y491" s="290">
        <v>0.64</v>
      </c>
      <c r="Z491" s="286" cm="1">
        <f t="array" aca="1" ref="Z491" ca="1">INDIRECT("'"&amp;$C491&amp;"'!"&amp;"$"&amp;$D491&amp;$Z$1&amp;"")</f>
        <v>0</v>
      </c>
      <c r="AA491" s="289" t="s">
        <v>1</v>
      </c>
      <c r="AB491" s="289" t="s">
        <v>1</v>
      </c>
      <c r="AC491" s="287" t="s">
        <v>1</v>
      </c>
      <c r="AD491" s="288" cm="1">
        <f t="array" aca="1" ref="AD491" ca="1">INDIRECT("'"&amp;$C491&amp;"'!"&amp;"$"&amp;$D491&amp;$AD$1&amp;"")</f>
        <v>3.8</v>
      </c>
      <c r="AE491" s="289">
        <v>13.3</v>
      </c>
      <c r="AF491" s="289">
        <v>0.93</v>
      </c>
      <c r="AG491" s="290">
        <v>1.47</v>
      </c>
      <c r="AH491" s="286" cm="1">
        <f t="array" aca="1" ref="AH491" ca="1">INDIRECT("'"&amp;$C491&amp;"'!"&amp;"$"&amp;$D491&amp;$AH$1&amp;"")</f>
        <v>3.8</v>
      </c>
      <c r="AI491" s="289">
        <v>14.04</v>
      </c>
      <c r="AJ491" s="289">
        <v>0.97</v>
      </c>
      <c r="AK491" s="287">
        <v>0.75</v>
      </c>
      <c r="AL491" s="286">
        <v>11.9</v>
      </c>
      <c r="AM491" s="290">
        <v>70.400000000000006</v>
      </c>
      <c r="AN491" s="286" cm="1">
        <f t="array" aca="1" ref="AN491" ca="1">INDIRECT("'"&amp;$C491&amp;"'!"&amp;"$"&amp;$D491&amp;$AL$1&amp;"")</f>
        <v>4</v>
      </c>
      <c r="AO491" s="289">
        <v>0.97</v>
      </c>
      <c r="AP491" s="287">
        <v>0.91</v>
      </c>
      <c r="AQ491" s="288" cm="1">
        <f t="array" aca="1" ref="AQ491" ca="1">INDIRECT("'"&amp;$C491&amp;"'!"&amp;"$"&amp;$D491&amp;$AQ$1&amp;"")</f>
        <v>4</v>
      </c>
      <c r="AR491" s="289">
        <v>0.97</v>
      </c>
      <c r="AS491" s="287">
        <v>0.91</v>
      </c>
      <c r="AT491" s="289" cm="1">
        <f t="array" aca="1" ref="AT491" ca="1">INDIRECT("'"&amp;$C491&amp;"'!"&amp;"$"&amp;$D491&amp;$AT$1&amp;"")</f>
        <v>0</v>
      </c>
      <c r="AU491" s="288" t="s">
        <v>1</v>
      </c>
      <c r="AV491" s="289" t="s">
        <v>1</v>
      </c>
      <c r="AW491" s="287" t="s">
        <v>1</v>
      </c>
      <c r="AX491" s="291">
        <v>14.27</v>
      </c>
      <c r="AY491" s="290">
        <v>71.81</v>
      </c>
      <c r="AZ491" s="291" cm="1">
        <f t="array" aca="1" ref="AZ491" ca="1">INDIRECT("'"&amp;$C491&amp;"'!"&amp;"$"&amp;$D491&amp;$AZ$1&amp;"")</f>
        <v>14.23</v>
      </c>
      <c r="BA491" s="289">
        <v>0.98</v>
      </c>
      <c r="BB491" s="287">
        <v>3.5</v>
      </c>
      <c r="BC491" s="292">
        <v>68.099999999999994</v>
      </c>
      <c r="BD491" s="286" cm="1">
        <f t="array" aca="1" ref="BD491" ca="1">INDIRECT("'"&amp;$C491&amp;"'!"&amp;"$"&amp;$D491&amp;$BC$1&amp;"")</f>
        <v>0</v>
      </c>
      <c r="BE491" s="288" t="s">
        <v>1</v>
      </c>
      <c r="BF491" s="287" t="s">
        <v>1</v>
      </c>
      <c r="BG491" s="291" cm="1">
        <f t="array" aca="1" ref="BG491" ca="1">INDIRECT("'"&amp;$C491&amp;"'!"&amp;"$"&amp;$D491&amp;$BG$1&amp;"")</f>
        <v>1.18</v>
      </c>
      <c r="BH491" s="289"/>
      <c r="BI491" s="289">
        <v>0.99</v>
      </c>
      <c r="BJ491" s="287">
        <v>0.18</v>
      </c>
      <c r="BK491" s="292" cm="1">
        <f t="array" aca="1" ref="BK491" ca="1">INDIRECT("'"&amp;$C491&amp;"'!"&amp;"$"&amp;$D491&amp;$BK$1&amp;"")</f>
        <v>0.87</v>
      </c>
      <c r="BL491" s="289"/>
      <c r="BM491" s="289">
        <v>0.95</v>
      </c>
      <c r="BN491" s="287">
        <v>0.26</v>
      </c>
    </row>
    <row r="492" spans="1:66">
      <c r="A492" s="361">
        <v>45767</v>
      </c>
      <c r="B492" s="358">
        <v>0.5</v>
      </c>
      <c r="C492" s="313">
        <f t="shared" si="19"/>
        <v>20</v>
      </c>
      <c r="D492" s="314" t="s">
        <v>139</v>
      </c>
      <c r="E492" s="293">
        <v>14.3</v>
      </c>
      <c r="F492" s="294">
        <v>69.39</v>
      </c>
      <c r="G492" s="295" cm="1">
        <f t="array" aca="1" ref="G492" ca="1">INDIRECT("'"&amp;$C492&amp;"'!"&amp;"$"&amp;$D492&amp;$E$1&amp;"")</f>
        <v>0</v>
      </c>
      <c r="H492" s="296" t="s">
        <v>1</v>
      </c>
      <c r="I492" s="294" t="s">
        <v>1</v>
      </c>
      <c r="J492" s="295" cm="1">
        <f t="array" aca="1" ref="J492" ca="1">INDIRECT("'"&amp;$C492&amp;"'!"&amp;"$"&amp;$D492&amp;$J$1&amp;"")</f>
        <v>6.6</v>
      </c>
      <c r="K492" s="296"/>
      <c r="L492" s="296">
        <v>0.92</v>
      </c>
      <c r="M492" s="294">
        <v>2.74</v>
      </c>
      <c r="N492" s="295" cm="1">
        <f t="array" aca="1" ref="N492" ca="1">INDIRECT("'"&amp;$C492&amp;"'!"&amp;"$"&amp;$D492&amp;$N$1&amp;"")</f>
        <v>6.6</v>
      </c>
      <c r="O492" s="296"/>
      <c r="P492" s="296">
        <v>0.92</v>
      </c>
      <c r="Q492" s="294">
        <v>2.75</v>
      </c>
      <c r="R492" s="295" cm="1">
        <f t="array" aca="1" ref="R492" ca="1">INDIRECT("'"&amp;$C492&amp;"'!"&amp;"$"&amp;$D492&amp;$R$1&amp;"")</f>
        <v>6.7</v>
      </c>
      <c r="S492" s="296"/>
      <c r="T492" s="296">
        <v>0.92</v>
      </c>
      <c r="U492" s="294">
        <v>2.68</v>
      </c>
      <c r="V492" s="295" cm="1">
        <f t="array" aca="1" ref="V492" ca="1">INDIRECT("'"&amp;$C492&amp;"'!"&amp;"$"&amp;$D492&amp;$V$1&amp;"")</f>
        <v>2</v>
      </c>
      <c r="W492" s="296">
        <f>3.8*3.51</f>
        <v>13.337999999999999</v>
      </c>
      <c r="X492" s="296">
        <v>0.94</v>
      </c>
      <c r="Y492" s="297">
        <v>0.73</v>
      </c>
      <c r="Z492" s="293" cm="1">
        <f t="array" aca="1" ref="Z492" ca="1">INDIRECT("'"&amp;$C492&amp;"'!"&amp;"$"&amp;$D492&amp;$Z$1&amp;"")</f>
        <v>0</v>
      </c>
      <c r="AA492" s="296" t="s">
        <v>1</v>
      </c>
      <c r="AB492" s="296" t="s">
        <v>1</v>
      </c>
      <c r="AC492" s="294" t="s">
        <v>1</v>
      </c>
      <c r="AD492" s="295" cm="1">
        <f t="array" aca="1" ref="AD492" ca="1">INDIRECT("'"&amp;$C492&amp;"'!"&amp;"$"&amp;$D492&amp;$AD$1&amp;"")</f>
        <v>3.8</v>
      </c>
      <c r="AE492" s="296">
        <v>13.34</v>
      </c>
      <c r="AF492" s="296">
        <v>0.97</v>
      </c>
      <c r="AG492" s="297">
        <v>1.48</v>
      </c>
      <c r="AH492" s="293" cm="1">
        <f t="array" aca="1" ref="AH492" ca="1">INDIRECT("'"&amp;$C492&amp;"'!"&amp;"$"&amp;$D492&amp;$AH$1&amp;"")</f>
        <v>3.8</v>
      </c>
      <c r="AI492" s="296">
        <v>14.08</v>
      </c>
      <c r="AJ492" s="296">
        <v>0.97</v>
      </c>
      <c r="AK492" s="294">
        <v>0.84199999999999997</v>
      </c>
      <c r="AL492" s="293">
        <v>11.8</v>
      </c>
      <c r="AM492" s="297">
        <v>70.5</v>
      </c>
      <c r="AN492" s="293" cm="1">
        <f t="array" aca="1" ref="AN492" ca="1">INDIRECT("'"&amp;$C492&amp;"'!"&amp;"$"&amp;$D492&amp;$AL$1&amp;"")</f>
        <v>4</v>
      </c>
      <c r="AO492" s="296">
        <v>0.98</v>
      </c>
      <c r="AP492" s="294">
        <v>0.77</v>
      </c>
      <c r="AQ492" s="295" cm="1">
        <f t="array" aca="1" ref="AQ492" ca="1">INDIRECT("'"&amp;$C492&amp;"'!"&amp;"$"&amp;$D492&amp;$AQ$1&amp;"")</f>
        <v>4</v>
      </c>
      <c r="AR492" s="296">
        <v>0.98</v>
      </c>
      <c r="AS492" s="294">
        <v>0.77</v>
      </c>
      <c r="AT492" s="296" cm="1">
        <f t="array" aca="1" ref="AT492" ca="1">INDIRECT("'"&amp;$C492&amp;"'!"&amp;"$"&amp;$D492&amp;$AT$1&amp;"")</f>
        <v>0</v>
      </c>
      <c r="AU492" s="295" t="s">
        <v>1</v>
      </c>
      <c r="AV492" s="296" t="s">
        <v>1</v>
      </c>
      <c r="AW492" s="294" t="s">
        <v>1</v>
      </c>
      <c r="AX492" s="298">
        <v>14.3</v>
      </c>
      <c r="AY492" s="297">
        <v>71.87</v>
      </c>
      <c r="AZ492" s="298" cm="1">
        <f t="array" aca="1" ref="AZ492" ca="1">INDIRECT("'"&amp;$C492&amp;"'!"&amp;"$"&amp;$D492&amp;$AZ$1&amp;"")</f>
        <v>14.3</v>
      </c>
      <c r="BA492" s="296">
        <v>0.98</v>
      </c>
      <c r="BB492" s="294">
        <v>3.5</v>
      </c>
      <c r="BC492" s="299">
        <v>68.2</v>
      </c>
      <c r="BD492" s="293" cm="1">
        <f t="array" aca="1" ref="BD492" ca="1">INDIRECT("'"&amp;$C492&amp;"'!"&amp;"$"&amp;$D492&amp;$BC$1&amp;"")</f>
        <v>0</v>
      </c>
      <c r="BE492" s="295" t="s">
        <v>1</v>
      </c>
      <c r="BF492" s="294" t="s">
        <v>1</v>
      </c>
      <c r="BG492" s="298" cm="1">
        <f t="array" aca="1" ref="BG492" ca="1">INDIRECT("'"&amp;$C492&amp;"'!"&amp;"$"&amp;$D492&amp;$BG$1&amp;"")</f>
        <v>1.22</v>
      </c>
      <c r="BH492" s="296"/>
      <c r="BI492" s="296">
        <v>0.98</v>
      </c>
      <c r="BJ492" s="294">
        <v>0.21</v>
      </c>
      <c r="BK492" s="299" cm="1">
        <f t="array" aca="1" ref="BK492" ca="1">INDIRECT("'"&amp;$C492&amp;"'!"&amp;"$"&amp;$D492&amp;$BK$1&amp;"")</f>
        <v>0.85</v>
      </c>
      <c r="BL492" s="296"/>
      <c r="BM492" s="296">
        <v>0.95</v>
      </c>
      <c r="BN492" s="294">
        <v>0.25</v>
      </c>
    </row>
    <row r="493" spans="1:66">
      <c r="A493" s="361">
        <v>45767</v>
      </c>
      <c r="B493" s="358">
        <v>0.54166666666666696</v>
      </c>
      <c r="C493" s="313">
        <f t="shared" si="19"/>
        <v>20</v>
      </c>
      <c r="D493" s="314" t="s">
        <v>140</v>
      </c>
      <c r="E493" s="286">
        <v>14.2</v>
      </c>
      <c r="F493" s="287">
        <v>68.97</v>
      </c>
      <c r="G493" s="288" cm="1">
        <f t="array" aca="1" ref="G493" ca="1">INDIRECT("'"&amp;$C493&amp;"'!"&amp;"$"&amp;$D493&amp;$E$1&amp;"")</f>
        <v>0</v>
      </c>
      <c r="H493" s="289" t="s">
        <v>1</v>
      </c>
      <c r="I493" s="287" t="s">
        <v>1</v>
      </c>
      <c r="J493" s="288" cm="1">
        <f t="array" aca="1" ref="J493" ca="1">INDIRECT("'"&amp;$C493&amp;"'!"&amp;"$"&amp;$D493&amp;$J$1&amp;"")</f>
        <v>6.7</v>
      </c>
      <c r="K493" s="289"/>
      <c r="L493" s="289">
        <v>0.92</v>
      </c>
      <c r="M493" s="287">
        <v>2.77</v>
      </c>
      <c r="N493" s="288" cm="1">
        <f t="array" aca="1" ref="N493" ca="1">INDIRECT("'"&amp;$C493&amp;"'!"&amp;"$"&amp;$D493&amp;$N$1&amp;"")</f>
        <v>6.7</v>
      </c>
      <c r="O493" s="289"/>
      <c r="P493" s="289">
        <v>0.92</v>
      </c>
      <c r="Q493" s="287">
        <v>2.77</v>
      </c>
      <c r="R493" s="288" cm="1">
        <f t="array" aca="1" ref="R493" ca="1">INDIRECT("'"&amp;$C493&amp;"'!"&amp;"$"&amp;$D493&amp;$R$1&amp;"")</f>
        <v>6.7</v>
      </c>
      <c r="S493" s="289"/>
      <c r="T493" s="289">
        <v>0.92</v>
      </c>
      <c r="U493" s="287">
        <v>2.76</v>
      </c>
      <c r="V493" s="288" cm="1">
        <f t="array" aca="1" ref="V493" ca="1">INDIRECT("'"&amp;$C493&amp;"'!"&amp;"$"&amp;$D493&amp;$V$1&amp;"")</f>
        <v>2</v>
      </c>
      <c r="W493" s="289">
        <f>3.8*3.49</f>
        <v>13.262</v>
      </c>
      <c r="X493" s="289">
        <v>0.92</v>
      </c>
      <c r="Y493" s="290">
        <v>1.25</v>
      </c>
      <c r="Z493" s="286" cm="1">
        <f t="array" aca="1" ref="Z493" ca="1">INDIRECT("'"&amp;$C493&amp;"'!"&amp;"$"&amp;$D493&amp;$Z$1&amp;"")</f>
        <v>0</v>
      </c>
      <c r="AA493" s="289" t="s">
        <v>1</v>
      </c>
      <c r="AB493" s="289" t="s">
        <v>1</v>
      </c>
      <c r="AC493" s="287" t="s">
        <v>1</v>
      </c>
      <c r="AD493" s="288" cm="1">
        <f t="array" aca="1" ref="AD493" ca="1">INDIRECT("'"&amp;$C493&amp;"'!"&amp;"$"&amp;$D493&amp;$AD$1&amp;"")</f>
        <v>3.5</v>
      </c>
      <c r="AE493" s="289">
        <v>13.26</v>
      </c>
      <c r="AF493" s="289">
        <v>0.92</v>
      </c>
      <c r="AG493" s="290">
        <v>1.25</v>
      </c>
      <c r="AH493" s="286" cm="1">
        <f t="array" aca="1" ref="AH493" ca="1">INDIRECT("'"&amp;$C493&amp;"'!"&amp;"$"&amp;$D493&amp;$AH$1&amp;"")</f>
        <v>3.8</v>
      </c>
      <c r="AI493" s="289">
        <v>14.04</v>
      </c>
      <c r="AJ493" s="289">
        <v>0.97</v>
      </c>
      <c r="AK493" s="287">
        <v>0.81799999999999995</v>
      </c>
      <c r="AL493" s="286">
        <v>11.8</v>
      </c>
      <c r="AM493" s="290">
        <v>70.5</v>
      </c>
      <c r="AN493" s="286" cm="1">
        <f t="array" aca="1" ref="AN493" ca="1">INDIRECT("'"&amp;$C493&amp;"'!"&amp;"$"&amp;$D493&amp;$AL$1&amp;"")</f>
        <v>4</v>
      </c>
      <c r="AO493" s="289">
        <v>0.98</v>
      </c>
      <c r="AP493" s="287">
        <v>0.84</v>
      </c>
      <c r="AQ493" s="288" cm="1">
        <f t="array" aca="1" ref="AQ493" ca="1">INDIRECT("'"&amp;$C493&amp;"'!"&amp;"$"&amp;$D493&amp;$AQ$1&amp;"")</f>
        <v>4</v>
      </c>
      <c r="AR493" s="289">
        <v>0.98</v>
      </c>
      <c r="AS493" s="287">
        <v>0.84</v>
      </c>
      <c r="AT493" s="289" cm="1">
        <f t="array" aca="1" ref="AT493" ca="1">INDIRECT("'"&amp;$C493&amp;"'!"&amp;"$"&amp;$D493&amp;$AT$1&amp;"")</f>
        <v>0</v>
      </c>
      <c r="AU493" s="288" t="s">
        <v>1</v>
      </c>
      <c r="AV493" s="289" t="s">
        <v>1</v>
      </c>
      <c r="AW493" s="287" t="s">
        <v>1</v>
      </c>
      <c r="AX493" s="291">
        <v>14.5</v>
      </c>
      <c r="AY493" s="290">
        <v>71.680000000000007</v>
      </c>
      <c r="AZ493" s="291" cm="1">
        <f t="array" aca="1" ref="AZ493" ca="1">INDIRECT("'"&amp;$C493&amp;"'!"&amp;"$"&amp;$D493&amp;$AZ$1&amp;"")</f>
        <v>14.22</v>
      </c>
      <c r="BA493" s="289">
        <v>0.98</v>
      </c>
      <c r="BB493" s="287">
        <v>3.5</v>
      </c>
      <c r="BC493" s="292">
        <v>67.7</v>
      </c>
      <c r="BD493" s="286" cm="1">
        <f t="array" aca="1" ref="BD493" ca="1">INDIRECT("'"&amp;$C493&amp;"'!"&amp;"$"&amp;$D493&amp;$BC$1&amp;"")</f>
        <v>0</v>
      </c>
      <c r="BE493" s="288" t="s">
        <v>1</v>
      </c>
      <c r="BF493" s="287" t="s">
        <v>1</v>
      </c>
      <c r="BG493" s="291" cm="1">
        <f t="array" aca="1" ref="BG493" ca="1">INDIRECT("'"&amp;$C493&amp;"'!"&amp;"$"&amp;$D493&amp;$BG$1&amp;"")</f>
        <v>1.24</v>
      </c>
      <c r="BH493" s="289"/>
      <c r="BI493" s="289">
        <v>0.99</v>
      </c>
      <c r="BJ493" s="287">
        <v>0.19</v>
      </c>
      <c r="BK493" s="292" cm="1">
        <f t="array" aca="1" ref="BK493" ca="1">INDIRECT("'"&amp;$C493&amp;"'!"&amp;"$"&amp;$D493&amp;$BK$1&amp;"")</f>
        <v>0.86</v>
      </c>
      <c r="BL493" s="289"/>
      <c r="BM493" s="289">
        <v>0.95</v>
      </c>
      <c r="BN493" s="287">
        <v>0.25</v>
      </c>
    </row>
    <row r="494" spans="1:66">
      <c r="A494" s="361">
        <v>45767</v>
      </c>
      <c r="B494" s="358">
        <v>0.58333333333333404</v>
      </c>
      <c r="C494" s="313">
        <f t="shared" si="19"/>
        <v>20</v>
      </c>
      <c r="D494" s="314" t="s">
        <v>141</v>
      </c>
      <c r="E494" s="293">
        <v>14.2</v>
      </c>
      <c r="F494" s="294">
        <v>69.010000000000005</v>
      </c>
      <c r="G494" s="295" cm="1">
        <f t="array" aca="1" ref="G494" ca="1">INDIRECT("'"&amp;$C494&amp;"'!"&amp;"$"&amp;$D494&amp;$E$1&amp;"")</f>
        <v>0</v>
      </c>
      <c r="H494" s="296" t="s">
        <v>1</v>
      </c>
      <c r="I494" s="294" t="s">
        <v>1</v>
      </c>
      <c r="J494" s="295" cm="1">
        <f t="array" aca="1" ref="J494" ca="1">INDIRECT("'"&amp;$C494&amp;"'!"&amp;"$"&amp;$D494&amp;$J$1&amp;"")</f>
        <v>6.9</v>
      </c>
      <c r="K494" s="296"/>
      <c r="L494" s="296">
        <v>0.92</v>
      </c>
      <c r="M494" s="294">
        <v>3</v>
      </c>
      <c r="N494" s="295" cm="1">
        <f t="array" aca="1" ref="N494" ca="1">INDIRECT("'"&amp;$C494&amp;"'!"&amp;"$"&amp;$D494&amp;$N$1&amp;"")</f>
        <v>6.9</v>
      </c>
      <c r="O494" s="296"/>
      <c r="P494" s="296">
        <v>0.92</v>
      </c>
      <c r="Q494" s="294">
        <v>2.85</v>
      </c>
      <c r="R494" s="295" cm="1">
        <f t="array" aca="1" ref="R494" ca="1">INDIRECT("'"&amp;$C494&amp;"'!"&amp;"$"&amp;$D494&amp;$R$1&amp;"")</f>
        <v>6.9</v>
      </c>
      <c r="S494" s="296"/>
      <c r="T494" s="296">
        <v>0.92</v>
      </c>
      <c r="U494" s="294">
        <v>2.84</v>
      </c>
      <c r="V494" s="295" cm="1">
        <f t="array" aca="1" ref="V494" ca="1">INDIRECT("'"&amp;$C494&amp;"'!"&amp;"$"&amp;$D494&amp;$V$1&amp;"")</f>
        <v>2.8</v>
      </c>
      <c r="W494" s="296">
        <f>3.8*3.49</f>
        <v>13.262</v>
      </c>
      <c r="X494" s="296">
        <v>0.93</v>
      </c>
      <c r="Y494" s="297">
        <v>1.04</v>
      </c>
      <c r="Z494" s="293" cm="1">
        <f t="array" aca="1" ref="Z494" ca="1">INDIRECT("'"&amp;$C494&amp;"'!"&amp;"$"&amp;$D494&amp;$Z$1&amp;"")</f>
        <v>0</v>
      </c>
      <c r="AA494" s="296" t="s">
        <v>1</v>
      </c>
      <c r="AB494" s="296" t="s">
        <v>1</v>
      </c>
      <c r="AC494" s="294" t="s">
        <v>1</v>
      </c>
      <c r="AD494" s="295" cm="1">
        <f t="array" aca="1" ref="AD494" ca="1">INDIRECT("'"&amp;$C494&amp;"'!"&amp;"$"&amp;$D494&amp;$AD$1&amp;"")</f>
        <v>3.8</v>
      </c>
      <c r="AE494" s="296">
        <v>13.26</v>
      </c>
      <c r="AF494" s="296">
        <v>0.92</v>
      </c>
      <c r="AG494" s="297">
        <v>1.6</v>
      </c>
      <c r="AH494" s="293" cm="1">
        <f t="array" aca="1" ref="AH494" ca="1">INDIRECT("'"&amp;$C494&amp;"'!"&amp;"$"&amp;$D494&amp;$AH$1&amp;"")</f>
        <v>3.8</v>
      </c>
      <c r="AI494" s="296">
        <v>14.04</v>
      </c>
      <c r="AJ494" s="296">
        <v>0.97</v>
      </c>
      <c r="AK494" s="294">
        <v>0.80300000000000005</v>
      </c>
      <c r="AL494" s="293">
        <v>11.8</v>
      </c>
      <c r="AM494" s="297">
        <v>70.3</v>
      </c>
      <c r="AN494" s="293" cm="1">
        <f t="array" aca="1" ref="AN494" ca="1">INDIRECT("'"&amp;$C494&amp;"'!"&amp;"$"&amp;$D494&amp;$AL$1&amp;"")</f>
        <v>4</v>
      </c>
      <c r="AO494" s="296">
        <v>0.98</v>
      </c>
      <c r="AP494" s="294">
        <v>0.78</v>
      </c>
      <c r="AQ494" s="295" cm="1">
        <f t="array" aca="1" ref="AQ494" ca="1">INDIRECT("'"&amp;$C494&amp;"'!"&amp;"$"&amp;$D494&amp;$AQ$1&amp;"")</f>
        <v>4</v>
      </c>
      <c r="AR494" s="296">
        <v>0.98</v>
      </c>
      <c r="AS494" s="294">
        <v>0.78</v>
      </c>
      <c r="AT494" s="296" cm="1">
        <f t="array" aca="1" ref="AT494" ca="1">INDIRECT("'"&amp;$C494&amp;"'!"&amp;"$"&amp;$D494&amp;$AT$1&amp;"")</f>
        <v>0</v>
      </c>
      <c r="AU494" s="295" t="s">
        <v>1</v>
      </c>
      <c r="AV494" s="296" t="s">
        <v>1</v>
      </c>
      <c r="AW494" s="294" t="s">
        <v>1</v>
      </c>
      <c r="AX494" s="298">
        <v>14.25</v>
      </c>
      <c r="AY494" s="297">
        <v>71.69</v>
      </c>
      <c r="AZ494" s="298" cm="1">
        <f t="array" aca="1" ref="AZ494" ca="1">INDIRECT("'"&amp;$C494&amp;"'!"&amp;"$"&amp;$D494&amp;$AZ$1&amp;"")</f>
        <v>14.25</v>
      </c>
      <c r="BA494" s="296">
        <v>0.98</v>
      </c>
      <c r="BB494" s="294">
        <v>3.5</v>
      </c>
      <c r="BC494" s="299">
        <v>67.900000000000006</v>
      </c>
      <c r="BD494" s="293" cm="1">
        <f t="array" aca="1" ref="BD494" ca="1">INDIRECT("'"&amp;$C494&amp;"'!"&amp;"$"&amp;$D494&amp;$BC$1&amp;"")</f>
        <v>0.8</v>
      </c>
      <c r="BE494" s="295">
        <v>0.97</v>
      </c>
      <c r="BF494" s="294">
        <v>0.2</v>
      </c>
      <c r="BG494" s="298" cm="1">
        <f t="array" aca="1" ref="BG494" ca="1">INDIRECT("'"&amp;$C494&amp;"'!"&amp;"$"&amp;$D494&amp;$BG$1&amp;"")</f>
        <v>1.24</v>
      </c>
      <c r="BH494" s="296"/>
      <c r="BI494" s="296">
        <v>0.99</v>
      </c>
      <c r="BJ494" s="294">
        <v>0.2</v>
      </c>
      <c r="BK494" s="299" cm="1">
        <f t="array" aca="1" ref="BK494" ca="1">INDIRECT("'"&amp;$C494&amp;"'!"&amp;"$"&amp;$D494&amp;$BK$1&amp;"")</f>
        <v>0.87</v>
      </c>
      <c r="BL494" s="296"/>
      <c r="BM494" s="296">
        <v>0.95</v>
      </c>
      <c r="BN494" s="294">
        <v>0.26</v>
      </c>
    </row>
    <row r="495" spans="1:66">
      <c r="A495" s="361">
        <v>45767</v>
      </c>
      <c r="B495" s="358">
        <v>0.625</v>
      </c>
      <c r="C495" s="313">
        <f t="shared" si="19"/>
        <v>20</v>
      </c>
      <c r="D495" s="314" t="s">
        <v>142</v>
      </c>
      <c r="E495" s="286">
        <v>14.2</v>
      </c>
      <c r="F495" s="287">
        <v>69.05</v>
      </c>
      <c r="G495" s="288" cm="1">
        <f t="array" aca="1" ref="G495" ca="1">INDIRECT("'"&amp;$C495&amp;"'!"&amp;"$"&amp;$D495&amp;$E$1&amp;"")</f>
        <v>0</v>
      </c>
      <c r="H495" s="289" t="s">
        <v>1</v>
      </c>
      <c r="I495" s="287" t="s">
        <v>1</v>
      </c>
      <c r="J495" s="288" cm="1">
        <f t="array" aca="1" ref="J495" ca="1">INDIRECT("'"&amp;$C495&amp;"'!"&amp;"$"&amp;$D495&amp;$J$1&amp;"")</f>
        <v>6.8</v>
      </c>
      <c r="K495" s="289"/>
      <c r="L495" s="289">
        <v>0.92</v>
      </c>
      <c r="M495" s="287">
        <v>2.79</v>
      </c>
      <c r="N495" s="288" cm="1">
        <f t="array" aca="1" ref="N495" ca="1">INDIRECT("'"&amp;$C495&amp;"'!"&amp;"$"&amp;$D495&amp;$N$1&amp;"")</f>
        <v>6.8</v>
      </c>
      <c r="O495" s="289"/>
      <c r="P495" s="289">
        <v>0.92</v>
      </c>
      <c r="Q495" s="287">
        <v>2.8</v>
      </c>
      <c r="R495" s="288" cm="1">
        <f t="array" aca="1" ref="R495" ca="1">INDIRECT("'"&amp;$C495&amp;"'!"&amp;"$"&amp;$D495&amp;$R$1&amp;"")</f>
        <v>6.8</v>
      </c>
      <c r="S495" s="289"/>
      <c r="T495" s="289">
        <v>0.94</v>
      </c>
      <c r="U495" s="287">
        <v>2.48</v>
      </c>
      <c r="V495" s="288" cm="1">
        <f t="array" aca="1" ref="V495" ca="1">INDIRECT("'"&amp;$C495&amp;"'!"&amp;"$"&amp;$D495&amp;$V$1&amp;"")</f>
        <v>2.8</v>
      </c>
      <c r="W495" s="289">
        <f>3.8*3.49</f>
        <v>13.262</v>
      </c>
      <c r="X495" s="289">
        <v>0.93</v>
      </c>
      <c r="Y495" s="290">
        <v>1.05</v>
      </c>
      <c r="Z495" s="286" cm="1">
        <f t="array" aca="1" ref="Z495" ca="1">INDIRECT("'"&amp;$C495&amp;"'!"&amp;"$"&amp;$D495&amp;$Z$1&amp;"")</f>
        <v>0</v>
      </c>
      <c r="AA495" s="289" t="s">
        <v>1</v>
      </c>
      <c r="AB495" s="289" t="s">
        <v>1</v>
      </c>
      <c r="AC495" s="287" t="s">
        <v>1</v>
      </c>
      <c r="AD495" s="288" cm="1">
        <f t="array" aca="1" ref="AD495" ca="1">INDIRECT("'"&amp;$C495&amp;"'!"&amp;"$"&amp;$D495&amp;$AD$1&amp;"")</f>
        <v>3.8</v>
      </c>
      <c r="AE495" s="289">
        <f>3.8*3.49</f>
        <v>13.262</v>
      </c>
      <c r="AF495" s="289">
        <v>0.92</v>
      </c>
      <c r="AG495" s="290">
        <v>1.62</v>
      </c>
      <c r="AH495" s="286" cm="1">
        <f t="array" aca="1" ref="AH495" ca="1">INDIRECT("'"&amp;$C495&amp;"'!"&amp;"$"&amp;$D495&amp;$AH$1&amp;"")</f>
        <v>3.8</v>
      </c>
      <c r="AI495" s="289">
        <v>14.04</v>
      </c>
      <c r="AJ495" s="289">
        <v>0.97</v>
      </c>
      <c r="AK495" s="287">
        <v>0.81299999999999994</v>
      </c>
      <c r="AL495" s="286">
        <v>11.8</v>
      </c>
      <c r="AM495" s="290">
        <v>70.3</v>
      </c>
      <c r="AN495" s="286" cm="1">
        <f t="array" aca="1" ref="AN495" ca="1">INDIRECT("'"&amp;$C495&amp;"'!"&amp;"$"&amp;$D495&amp;$AL$1&amp;"")</f>
        <v>4</v>
      </c>
      <c r="AO495" s="289">
        <v>0.98</v>
      </c>
      <c r="AP495" s="287">
        <v>0.83</v>
      </c>
      <c r="AQ495" s="288" cm="1">
        <f t="array" aca="1" ref="AQ495" ca="1">INDIRECT("'"&amp;$C495&amp;"'!"&amp;"$"&amp;$D495&amp;$AQ$1&amp;"")</f>
        <v>4</v>
      </c>
      <c r="AR495" s="289">
        <v>0.98</v>
      </c>
      <c r="AS495" s="287">
        <v>0.83</v>
      </c>
      <c r="AT495" s="289" cm="1">
        <f t="array" aca="1" ref="AT495" ca="1">INDIRECT("'"&amp;$C495&amp;"'!"&amp;"$"&amp;$D495&amp;$AT$1&amp;"")</f>
        <v>0</v>
      </c>
      <c r="AU495" s="288" t="s">
        <v>1</v>
      </c>
      <c r="AV495" s="289" t="s">
        <v>1</v>
      </c>
      <c r="AW495" s="287" t="s">
        <v>1</v>
      </c>
      <c r="AX495" s="291">
        <v>14.26</v>
      </c>
      <c r="AY495" s="290">
        <v>71.72</v>
      </c>
      <c r="AZ495" s="291" cm="1">
        <f t="array" aca="1" ref="AZ495" ca="1">INDIRECT("'"&amp;$C495&amp;"'!"&amp;"$"&amp;$D495&amp;$AZ$1&amp;"")</f>
        <v>14.29</v>
      </c>
      <c r="BA495" s="289">
        <v>0.98</v>
      </c>
      <c r="BB495" s="287">
        <v>3.5</v>
      </c>
      <c r="BC495" s="292">
        <v>67.900000000000006</v>
      </c>
      <c r="BD495" s="286" cm="1">
        <f t="array" aca="1" ref="BD495" ca="1">INDIRECT("'"&amp;$C495&amp;"'!"&amp;"$"&amp;$D495&amp;$BC$1&amp;"")</f>
        <v>1.5</v>
      </c>
      <c r="BE495" s="288">
        <v>0.97</v>
      </c>
      <c r="BF495" s="287">
        <v>0.37</v>
      </c>
      <c r="BG495" s="291" cm="1">
        <f t="array" aca="1" ref="BG495" ca="1">INDIRECT("'"&amp;$C495&amp;"'!"&amp;"$"&amp;$D495&amp;$BG$1&amp;"")</f>
        <v>1.24</v>
      </c>
      <c r="BH495" s="289"/>
      <c r="BI495" s="289">
        <v>0.99</v>
      </c>
      <c r="BJ495" s="287">
        <v>0.21</v>
      </c>
      <c r="BK495" s="292" cm="1">
        <f t="array" aca="1" ref="BK495" ca="1">INDIRECT("'"&amp;$C495&amp;"'!"&amp;"$"&amp;$D495&amp;$BK$1&amp;"")</f>
        <v>0.86</v>
      </c>
      <c r="BL495" s="289"/>
      <c r="BM495" s="289">
        <v>0.95</v>
      </c>
      <c r="BN495" s="287">
        <v>0.26</v>
      </c>
    </row>
    <row r="496" spans="1:66">
      <c r="A496" s="361">
        <v>45767</v>
      </c>
      <c r="B496" s="358">
        <v>0.66666666666666696</v>
      </c>
      <c r="C496" s="313">
        <f t="shared" si="19"/>
        <v>20</v>
      </c>
      <c r="D496" s="314" t="s">
        <v>143</v>
      </c>
      <c r="E496" s="293">
        <v>14.2</v>
      </c>
      <c r="F496" s="294">
        <v>69.13</v>
      </c>
      <c r="G496" s="295" cm="1">
        <f t="array" aca="1" ref="G496" ca="1">INDIRECT("'"&amp;$C496&amp;"'!"&amp;"$"&amp;$D496&amp;$E$1&amp;"")</f>
        <v>0</v>
      </c>
      <c r="H496" s="296" t="s">
        <v>1</v>
      </c>
      <c r="I496" s="294" t="s">
        <v>1</v>
      </c>
      <c r="J496" s="295" cm="1">
        <f t="array" aca="1" ref="J496" ca="1">INDIRECT("'"&amp;$C496&amp;"'!"&amp;"$"&amp;$D496&amp;$J$1&amp;"")</f>
        <v>6.7</v>
      </c>
      <c r="K496" s="296"/>
      <c r="L496" s="296">
        <v>0.92</v>
      </c>
      <c r="M496" s="294">
        <v>2.79</v>
      </c>
      <c r="N496" s="295" cm="1">
        <f t="array" aca="1" ref="N496" ca="1">INDIRECT("'"&amp;$C496&amp;"'!"&amp;"$"&amp;$D496&amp;$N$1&amp;"")</f>
        <v>6.7</v>
      </c>
      <c r="O496" s="296"/>
      <c r="P496" s="296">
        <v>0.92</v>
      </c>
      <c r="Q496" s="294">
        <v>2.8</v>
      </c>
      <c r="R496" s="295" cm="1">
        <f t="array" aca="1" ref="R496" ca="1">INDIRECT("'"&amp;$C496&amp;"'!"&amp;"$"&amp;$D496&amp;$R$1&amp;"")</f>
        <v>6.7</v>
      </c>
      <c r="S496" s="296"/>
      <c r="T496" s="296">
        <v>0.95</v>
      </c>
      <c r="U496" s="294">
        <v>2.2400000000000002</v>
      </c>
      <c r="V496" s="295" cm="1">
        <f t="array" aca="1" ref="V496" ca="1">INDIRECT("'"&amp;$C496&amp;"'!"&amp;"$"&amp;$D496&amp;$V$1&amp;"")</f>
        <v>2.8</v>
      </c>
      <c r="W496" s="296">
        <f>3.8*3.49</f>
        <v>13.262</v>
      </c>
      <c r="X496" s="296">
        <v>0.93</v>
      </c>
      <c r="Y496" s="297">
        <v>1.03</v>
      </c>
      <c r="Z496" s="293" cm="1">
        <f t="array" aca="1" ref="Z496" ca="1">INDIRECT("'"&amp;$C496&amp;"'!"&amp;"$"&amp;$D496&amp;$Z$1&amp;"")</f>
        <v>0</v>
      </c>
      <c r="AA496" s="296" t="s">
        <v>1</v>
      </c>
      <c r="AB496" s="296" t="s">
        <v>1</v>
      </c>
      <c r="AC496" s="294" t="s">
        <v>1</v>
      </c>
      <c r="AD496" s="295" cm="1">
        <f t="array" aca="1" ref="AD496" ca="1">INDIRECT("'"&amp;$C496&amp;"'!"&amp;"$"&amp;$D496&amp;$AD$1&amp;"")</f>
        <v>3.8</v>
      </c>
      <c r="AE496" s="296">
        <f>3.8*3.49</f>
        <v>13.262</v>
      </c>
      <c r="AF496" s="296">
        <v>0.93</v>
      </c>
      <c r="AG496" s="297">
        <v>1.47</v>
      </c>
      <c r="AH496" s="293" cm="1">
        <f t="array" aca="1" ref="AH496" ca="1">INDIRECT("'"&amp;$C496&amp;"'!"&amp;"$"&amp;$D496&amp;$AH$1&amp;"")</f>
        <v>3.8</v>
      </c>
      <c r="AI496" s="296">
        <v>14.04</v>
      </c>
      <c r="AJ496" s="296">
        <v>0.98</v>
      </c>
      <c r="AK496" s="294">
        <v>0.83499999999999996</v>
      </c>
      <c r="AL496" s="293">
        <v>11.8</v>
      </c>
      <c r="AM496" s="297">
        <v>70.3</v>
      </c>
      <c r="AN496" s="293" cm="1">
        <f t="array" aca="1" ref="AN496" ca="1">INDIRECT("'"&amp;$C496&amp;"'!"&amp;"$"&amp;$D496&amp;$AL$1&amp;"")</f>
        <v>4</v>
      </c>
      <c r="AO496" s="296">
        <v>0.98</v>
      </c>
      <c r="AP496" s="294">
        <v>0.82</v>
      </c>
      <c r="AQ496" s="295" cm="1">
        <f t="array" aca="1" ref="AQ496" ca="1">INDIRECT("'"&amp;$C496&amp;"'!"&amp;"$"&amp;$D496&amp;$AQ$1&amp;"")</f>
        <v>4</v>
      </c>
      <c r="AR496" s="296">
        <v>0.98</v>
      </c>
      <c r="AS496" s="294">
        <v>0.82</v>
      </c>
      <c r="AT496" s="296" cm="1">
        <f t="array" aca="1" ref="AT496" ca="1">INDIRECT("'"&amp;$C496&amp;"'!"&amp;"$"&amp;$D496&amp;$AT$1&amp;"")</f>
        <v>0</v>
      </c>
      <c r="AU496" s="295" t="s">
        <v>1</v>
      </c>
      <c r="AV496" s="296" t="s">
        <v>1</v>
      </c>
      <c r="AW496" s="294" t="s">
        <v>1</v>
      </c>
      <c r="AX496" s="298">
        <v>14.24</v>
      </c>
      <c r="AY496" s="297">
        <v>71.790000000000006</v>
      </c>
      <c r="AZ496" s="298" cm="1">
        <f t="array" aca="1" ref="AZ496" ca="1">INDIRECT("'"&amp;$C496&amp;"'!"&amp;"$"&amp;$D496&amp;$AZ$1&amp;"")</f>
        <v>14.28</v>
      </c>
      <c r="BA496" s="296">
        <v>0.98</v>
      </c>
      <c r="BB496" s="294">
        <v>3.5</v>
      </c>
      <c r="BC496" s="299">
        <v>68</v>
      </c>
      <c r="BD496" s="293" cm="1">
        <f t="array" aca="1" ref="BD496" ca="1">INDIRECT("'"&amp;$C496&amp;"'!"&amp;"$"&amp;$D496&amp;$BC$1&amp;"")</f>
        <v>1.6</v>
      </c>
      <c r="BE496" s="295">
        <v>0.97</v>
      </c>
      <c r="BF496" s="294">
        <v>0.4</v>
      </c>
      <c r="BG496" s="298" cm="1">
        <f t="array" aca="1" ref="BG496" ca="1">INDIRECT("'"&amp;$C496&amp;"'!"&amp;"$"&amp;$D496&amp;$BG$1&amp;"")</f>
        <v>1.06</v>
      </c>
      <c r="BH496" s="296"/>
      <c r="BI496" s="296">
        <v>0.98</v>
      </c>
      <c r="BJ496" s="294">
        <v>0.17</v>
      </c>
      <c r="BK496" s="299" cm="1">
        <f t="array" aca="1" ref="BK496" ca="1">INDIRECT("'"&amp;$C496&amp;"'!"&amp;"$"&amp;$D496&amp;$BK$1&amp;"")</f>
        <v>0.87</v>
      </c>
      <c r="BL496" s="296"/>
      <c r="BM496" s="296">
        <v>0.95</v>
      </c>
      <c r="BN496" s="294">
        <v>0.26</v>
      </c>
    </row>
    <row r="497" spans="1:66">
      <c r="A497" s="361">
        <v>45767</v>
      </c>
      <c r="B497" s="358">
        <v>0.70833333333333404</v>
      </c>
      <c r="C497" s="313">
        <f t="shared" si="19"/>
        <v>20</v>
      </c>
      <c r="D497" s="314" t="s">
        <v>144</v>
      </c>
      <c r="E497" s="286">
        <v>14.2</v>
      </c>
      <c r="F497" s="287">
        <v>69.03</v>
      </c>
      <c r="G497" s="288" cm="1">
        <f t="array" aca="1" ref="G497" ca="1">INDIRECT("'"&amp;$C497&amp;"'!"&amp;"$"&amp;$D497&amp;$E$1&amp;"")</f>
        <v>0</v>
      </c>
      <c r="H497" s="289" t="s">
        <v>1</v>
      </c>
      <c r="I497" s="287" t="s">
        <v>1</v>
      </c>
      <c r="J497" s="288" cm="1">
        <f t="array" aca="1" ref="J497" ca="1">INDIRECT("'"&amp;$C497&amp;"'!"&amp;"$"&amp;$D497&amp;$J$1&amp;"")</f>
        <v>6.7</v>
      </c>
      <c r="K497" s="289"/>
      <c r="L497" s="289">
        <v>0.92</v>
      </c>
      <c r="M497" s="287">
        <v>2.79</v>
      </c>
      <c r="N497" s="288" cm="1">
        <f t="array" aca="1" ref="N497" ca="1">INDIRECT("'"&amp;$C497&amp;"'!"&amp;"$"&amp;$D497&amp;$N$1&amp;"")</f>
        <v>6.7</v>
      </c>
      <c r="O497" s="289"/>
      <c r="P497" s="289">
        <v>0.92</v>
      </c>
      <c r="Q497" s="287">
        <v>2.75</v>
      </c>
      <c r="R497" s="288" cm="1">
        <f t="array" aca="1" ref="R497" ca="1">INDIRECT("'"&amp;$C497&amp;"'!"&amp;"$"&amp;$D497&amp;$R$1&amp;"")</f>
        <v>6.7</v>
      </c>
      <c r="S497" s="289"/>
      <c r="T497" s="289">
        <v>0.94</v>
      </c>
      <c r="U497" s="287">
        <v>2.14</v>
      </c>
      <c r="V497" s="288" cm="1">
        <f t="array" aca="1" ref="V497" ca="1">INDIRECT("'"&amp;$C497&amp;"'!"&amp;"$"&amp;$D497&amp;$V$1&amp;"")</f>
        <v>2.8</v>
      </c>
      <c r="W497" s="289">
        <f>3.8*3.5</f>
        <v>13.299999999999999</v>
      </c>
      <c r="X497" s="289">
        <v>0.93</v>
      </c>
      <c r="Y497" s="290">
        <v>1.03</v>
      </c>
      <c r="Z497" s="286" cm="1">
        <f t="array" aca="1" ref="Z497" ca="1">INDIRECT("'"&amp;$C497&amp;"'!"&amp;"$"&amp;$D497&amp;$Z$1&amp;"")</f>
        <v>0</v>
      </c>
      <c r="AA497" s="289" t="s">
        <v>1</v>
      </c>
      <c r="AB497" s="289" t="s">
        <v>1</v>
      </c>
      <c r="AC497" s="287" t="s">
        <v>1</v>
      </c>
      <c r="AD497" s="288" cm="1">
        <f t="array" aca="1" ref="AD497" ca="1">INDIRECT("'"&amp;$C497&amp;"'!"&amp;"$"&amp;$D497&amp;$AD$1&amp;"")</f>
        <v>3.8</v>
      </c>
      <c r="AE497" s="289">
        <f>3.8*3.5</f>
        <v>13.299999999999999</v>
      </c>
      <c r="AF497" s="289">
        <v>0.93</v>
      </c>
      <c r="AG497" s="290">
        <v>1.48</v>
      </c>
      <c r="AH497" s="286" cm="1">
        <f t="array" aca="1" ref="AH497" ca="1">INDIRECT("'"&amp;$C497&amp;"'!"&amp;"$"&amp;$D497&amp;$AH$1&amp;"")</f>
        <v>3.8</v>
      </c>
      <c r="AI497" s="289">
        <v>14.04</v>
      </c>
      <c r="AJ497" s="289">
        <v>0.98</v>
      </c>
      <c r="AK497" s="287">
        <v>0.752</v>
      </c>
      <c r="AL497" s="286">
        <v>11.8</v>
      </c>
      <c r="AM497" s="290">
        <v>70.3</v>
      </c>
      <c r="AN497" s="286" cm="1">
        <f t="array" aca="1" ref="AN497" ca="1">INDIRECT("'"&amp;$C497&amp;"'!"&amp;"$"&amp;$D497&amp;$AL$1&amp;"")</f>
        <v>4</v>
      </c>
      <c r="AO497" s="289">
        <v>0.98</v>
      </c>
      <c r="AP497" s="287">
        <v>0.82</v>
      </c>
      <c r="AQ497" s="288" cm="1">
        <f t="array" aca="1" ref="AQ497" ca="1">INDIRECT("'"&amp;$C497&amp;"'!"&amp;"$"&amp;$D497&amp;$AQ$1&amp;"")</f>
        <v>4</v>
      </c>
      <c r="AR497" s="289">
        <v>0.98</v>
      </c>
      <c r="AS497" s="287">
        <v>0.82</v>
      </c>
      <c r="AT497" s="289" cm="1">
        <f t="array" aca="1" ref="AT497" ca="1">INDIRECT("'"&amp;$C497&amp;"'!"&amp;"$"&amp;$D497&amp;$AT$1&amp;"")</f>
        <v>0</v>
      </c>
      <c r="AU497" s="288" t="s">
        <v>1</v>
      </c>
      <c r="AV497" s="289" t="s">
        <v>1</v>
      </c>
      <c r="AW497" s="287" t="s">
        <v>1</v>
      </c>
      <c r="AX497" s="291">
        <v>14.27</v>
      </c>
      <c r="AY497" s="290">
        <v>71.790000000000006</v>
      </c>
      <c r="AZ497" s="291" cm="1">
        <f t="array" aca="1" ref="AZ497" ca="1">INDIRECT("'"&amp;$C497&amp;"'!"&amp;"$"&amp;$D497&amp;$AZ$1&amp;"")</f>
        <v>14.18</v>
      </c>
      <c r="BA497" s="289">
        <v>0.98</v>
      </c>
      <c r="BB497" s="287">
        <v>3.5</v>
      </c>
      <c r="BC497" s="292">
        <v>68</v>
      </c>
      <c r="BD497" s="286" cm="1">
        <f t="array" aca="1" ref="BD497" ca="1">INDIRECT("'"&amp;$C497&amp;"'!"&amp;"$"&amp;$D497&amp;$BC$1&amp;"")</f>
        <v>0.8</v>
      </c>
      <c r="BE497" s="288">
        <v>0.97</v>
      </c>
      <c r="BF497" s="287">
        <v>0.21</v>
      </c>
      <c r="BG497" s="291" cm="1">
        <f t="array" aca="1" ref="BG497" ca="1">INDIRECT("'"&amp;$C497&amp;"'!"&amp;"$"&amp;$D497&amp;$BG$1&amp;"")</f>
        <v>1.1299999999999999</v>
      </c>
      <c r="BH497" s="289"/>
      <c r="BI497" s="289">
        <v>0.99</v>
      </c>
      <c r="BJ497" s="287">
        <v>0.17</v>
      </c>
      <c r="BK497" s="292" cm="1">
        <f t="array" aca="1" ref="BK497" ca="1">INDIRECT("'"&amp;$C497&amp;"'!"&amp;"$"&amp;$D497&amp;$BK$1&amp;"")</f>
        <v>0.84</v>
      </c>
      <c r="BL497" s="289"/>
      <c r="BM497" s="289">
        <v>0.96</v>
      </c>
      <c r="BN497" s="287">
        <v>0.25</v>
      </c>
    </row>
    <row r="498" spans="1:66">
      <c r="A498" s="361">
        <v>45767</v>
      </c>
      <c r="B498" s="358">
        <v>0.750000000000001</v>
      </c>
      <c r="C498" s="313">
        <f t="shared" si="19"/>
        <v>20</v>
      </c>
      <c r="D498" s="314" t="s">
        <v>145</v>
      </c>
      <c r="E498" s="293">
        <v>14.2</v>
      </c>
      <c r="F498" s="294">
        <v>69.260000000000005</v>
      </c>
      <c r="G498" s="295" cm="1">
        <f t="array" aca="1" ref="G498" ca="1">INDIRECT("'"&amp;$C498&amp;"'!"&amp;"$"&amp;$D498&amp;$E$1&amp;"")</f>
        <v>0</v>
      </c>
      <c r="H498" s="296" t="s">
        <v>1</v>
      </c>
      <c r="I498" s="294" t="s">
        <v>1</v>
      </c>
      <c r="J498" s="295" cm="1">
        <f t="array" aca="1" ref="J498" ca="1">INDIRECT("'"&amp;$C498&amp;"'!"&amp;"$"&amp;$D498&amp;$J$1&amp;"")</f>
        <v>6.7</v>
      </c>
      <c r="K498" s="296"/>
      <c r="L498" s="296">
        <v>0.93</v>
      </c>
      <c r="M498" s="294">
        <v>2.75</v>
      </c>
      <c r="N498" s="295" cm="1">
        <f t="array" aca="1" ref="N498" ca="1">INDIRECT("'"&amp;$C498&amp;"'!"&amp;"$"&amp;$D498&amp;$N$1&amp;"")</f>
        <v>6.7</v>
      </c>
      <c r="O498" s="296"/>
      <c r="P498" s="296">
        <v>0.93</v>
      </c>
      <c r="Q498" s="294">
        <v>2.69</v>
      </c>
      <c r="R498" s="295" cm="1">
        <f t="array" aca="1" ref="R498" ca="1">INDIRECT("'"&amp;$C498&amp;"'!"&amp;"$"&amp;$D498&amp;$R$1&amp;"")</f>
        <v>6.7</v>
      </c>
      <c r="S498" s="296"/>
      <c r="T498" s="296">
        <v>0.95</v>
      </c>
      <c r="U498" s="294">
        <v>2.16</v>
      </c>
      <c r="V498" s="295" cm="1">
        <f t="array" aca="1" ref="V498" ca="1">INDIRECT("'"&amp;$C498&amp;"'!"&amp;"$"&amp;$D498&amp;$V$1&amp;"")</f>
        <v>2.8</v>
      </c>
      <c r="W498" s="296">
        <f>3.8*3.51</f>
        <v>13.337999999999999</v>
      </c>
      <c r="X498" s="296">
        <v>0.93</v>
      </c>
      <c r="Y498" s="297">
        <v>2.69</v>
      </c>
      <c r="Z498" s="293" cm="1">
        <f t="array" aca="1" ref="Z498" ca="1">INDIRECT("'"&amp;$C498&amp;"'!"&amp;"$"&amp;$D498&amp;$Z$1&amp;"")</f>
        <v>0</v>
      </c>
      <c r="AA498" s="296" t="s">
        <v>1</v>
      </c>
      <c r="AB498" s="296" t="s">
        <v>1</v>
      </c>
      <c r="AC498" s="294" t="s">
        <v>1</v>
      </c>
      <c r="AD498" s="295" cm="1">
        <f t="array" aca="1" ref="AD498" ca="1">INDIRECT("'"&amp;$C498&amp;"'!"&amp;"$"&amp;$D498&amp;$AD$1&amp;"")</f>
        <v>3.8</v>
      </c>
      <c r="AE498" s="296">
        <f>3.8*3.51</f>
        <v>13.337999999999999</v>
      </c>
      <c r="AF498" s="296">
        <v>0.93</v>
      </c>
      <c r="AG498" s="297">
        <v>2.69</v>
      </c>
      <c r="AH498" s="293" cm="1">
        <f t="array" aca="1" ref="AH498" ca="1">INDIRECT("'"&amp;$C498&amp;"'!"&amp;"$"&amp;$D498&amp;$AH$1&amp;"")</f>
        <v>3.8</v>
      </c>
      <c r="AI498" s="296">
        <v>14.04</v>
      </c>
      <c r="AJ498" s="296">
        <v>0.98</v>
      </c>
      <c r="AK498" s="294">
        <v>0.75</v>
      </c>
      <c r="AL498" s="293">
        <v>11.8</v>
      </c>
      <c r="AM498" s="297">
        <v>70.3</v>
      </c>
      <c r="AN498" s="293" cm="1">
        <f t="array" aca="1" ref="AN498" ca="1">INDIRECT("'"&amp;$C498&amp;"'!"&amp;"$"&amp;$D498&amp;$AL$1&amp;"")</f>
        <v>4.2</v>
      </c>
      <c r="AO498" s="296">
        <v>0.98</v>
      </c>
      <c r="AP498" s="294">
        <v>0.68</v>
      </c>
      <c r="AQ498" s="295" cm="1">
        <f t="array" aca="1" ref="AQ498" ca="1">INDIRECT("'"&amp;$C498&amp;"'!"&amp;"$"&amp;$D498&amp;$AQ$1&amp;"")</f>
        <v>4.2</v>
      </c>
      <c r="AR498" s="296">
        <v>0.98</v>
      </c>
      <c r="AS498" s="294">
        <v>0.68</v>
      </c>
      <c r="AT498" s="296" cm="1">
        <f t="array" aca="1" ref="AT498" ca="1">INDIRECT("'"&amp;$C498&amp;"'!"&amp;"$"&amp;$D498&amp;$AT$1&amp;"")</f>
        <v>0</v>
      </c>
      <c r="AU498" s="295" t="s">
        <v>1</v>
      </c>
      <c r="AV498" s="296" t="s">
        <v>1</v>
      </c>
      <c r="AW498" s="294" t="s">
        <v>1</v>
      </c>
      <c r="AX498" s="298">
        <v>14.26</v>
      </c>
      <c r="AY498" s="297">
        <v>71.709999999999994</v>
      </c>
      <c r="AZ498" s="298" cm="1">
        <f t="array" aca="1" ref="AZ498" ca="1">INDIRECT("'"&amp;$C498&amp;"'!"&amp;"$"&amp;$D498&amp;$AZ$1&amp;"")</f>
        <v>14.29</v>
      </c>
      <c r="BA498" s="296">
        <v>0.98</v>
      </c>
      <c r="BB498" s="294">
        <v>3.5</v>
      </c>
      <c r="BC498" s="299">
        <v>67.900000000000006</v>
      </c>
      <c r="BD498" s="293" cm="1">
        <f t="array" aca="1" ref="BD498" ca="1">INDIRECT("'"&amp;$C498&amp;"'!"&amp;"$"&amp;$D498&amp;$BC$1&amp;"")</f>
        <v>0.8</v>
      </c>
      <c r="BE498" s="295">
        <v>0.97</v>
      </c>
      <c r="BF498" s="294">
        <v>0.2</v>
      </c>
      <c r="BG498" s="298" cm="1">
        <f t="array" aca="1" ref="BG498" ca="1">INDIRECT("'"&amp;$C498&amp;"'!"&amp;"$"&amp;$D498&amp;$BG$1&amp;"")</f>
        <v>1.22</v>
      </c>
      <c r="BH498" s="296"/>
      <c r="BI498" s="296">
        <v>0.99</v>
      </c>
      <c r="BJ498" s="294">
        <v>0.17</v>
      </c>
      <c r="BK498" s="299" cm="1">
        <f t="array" aca="1" ref="BK498" ca="1">INDIRECT("'"&amp;$C498&amp;"'!"&amp;"$"&amp;$D498&amp;$BK$1&amp;"")</f>
        <v>0.84</v>
      </c>
      <c r="BL498" s="296"/>
      <c r="BM498" s="296">
        <v>0.96</v>
      </c>
      <c r="BN498" s="294">
        <v>0.25</v>
      </c>
    </row>
    <row r="499" spans="1:66">
      <c r="A499" s="361">
        <v>45767</v>
      </c>
      <c r="B499" s="358">
        <v>0.79166666666666663</v>
      </c>
      <c r="C499" s="313">
        <f t="shared" si="19"/>
        <v>20</v>
      </c>
      <c r="D499" s="314" t="s">
        <v>146</v>
      </c>
      <c r="E499" s="286">
        <v>14.2</v>
      </c>
      <c r="F499" s="287">
        <v>69.319999999999993</v>
      </c>
      <c r="G499" s="288" cm="1">
        <f t="array" aca="1" ref="G499" ca="1">INDIRECT("'"&amp;$C499&amp;"'!"&amp;"$"&amp;$D499&amp;$E$1&amp;"")</f>
        <v>0</v>
      </c>
      <c r="H499" s="289" t="s">
        <v>1</v>
      </c>
      <c r="I499" s="287" t="s">
        <v>1</v>
      </c>
      <c r="J499" s="288" cm="1">
        <f t="array" aca="1" ref="J499" ca="1">INDIRECT("'"&amp;$C499&amp;"'!"&amp;"$"&amp;$D499&amp;$J$1&amp;"")</f>
        <v>6.6</v>
      </c>
      <c r="K499" s="300"/>
      <c r="L499" s="289">
        <v>0.95</v>
      </c>
      <c r="M499" s="287">
        <v>2.2599999999999998</v>
      </c>
      <c r="N499" s="288" cm="1">
        <f t="array" aca="1" ref="N499" ca="1">INDIRECT("'"&amp;$C499&amp;"'!"&amp;"$"&amp;$D499&amp;$N$1&amp;"")</f>
        <v>6.6</v>
      </c>
      <c r="O499" s="289"/>
      <c r="P499" s="289">
        <v>0.95</v>
      </c>
      <c r="Q499" s="287">
        <v>2.2799999999999998</v>
      </c>
      <c r="R499" s="288" cm="1">
        <f t="array" aca="1" ref="R499" ca="1">INDIRECT("'"&amp;$C499&amp;"'!"&amp;"$"&amp;$D499&amp;$R$1&amp;"")</f>
        <v>6.6</v>
      </c>
      <c r="S499" s="289"/>
      <c r="T499" s="289">
        <v>0.94</v>
      </c>
      <c r="U499" s="287">
        <v>2.36</v>
      </c>
      <c r="V499" s="288" cm="1">
        <f t="array" aca="1" ref="V499" ca="1">INDIRECT("'"&amp;$C499&amp;"'!"&amp;"$"&amp;$D499&amp;$V$1&amp;"")</f>
        <v>2.8</v>
      </c>
      <c r="W499" s="289">
        <f>3.8*3.52</f>
        <v>13.375999999999999</v>
      </c>
      <c r="X499" s="289">
        <v>0.95</v>
      </c>
      <c r="Y499" s="290">
        <v>0.82</v>
      </c>
      <c r="Z499" s="286" cm="1">
        <f t="array" aca="1" ref="Z499" ca="1">INDIRECT("'"&amp;$C499&amp;"'!"&amp;"$"&amp;$D499&amp;$Z$1&amp;"")</f>
        <v>0</v>
      </c>
      <c r="AA499" s="289" t="s">
        <v>1</v>
      </c>
      <c r="AB499" s="289" t="s">
        <v>1</v>
      </c>
      <c r="AC499" s="287" t="s">
        <v>1</v>
      </c>
      <c r="AD499" s="288" cm="1">
        <f t="array" aca="1" ref="AD499" ca="1">INDIRECT("'"&amp;$C499&amp;"'!"&amp;"$"&amp;$D499&amp;$AD$1&amp;"")</f>
        <v>3.8</v>
      </c>
      <c r="AE499" s="289">
        <f>3.8*3.52</f>
        <v>13.375999999999999</v>
      </c>
      <c r="AF499" s="289">
        <v>0.94</v>
      </c>
      <c r="AG499" s="290">
        <v>1.32</v>
      </c>
      <c r="AH499" s="286" cm="1">
        <f t="array" aca="1" ref="AH499" ca="1">INDIRECT("'"&amp;$C499&amp;"'!"&amp;"$"&amp;$D499&amp;$AH$1&amp;"")</f>
        <v>3.8</v>
      </c>
      <c r="AI499" s="289">
        <v>14.04</v>
      </c>
      <c r="AJ499" s="289">
        <v>0.98</v>
      </c>
      <c r="AK499" s="287">
        <v>0.82799999999999996</v>
      </c>
      <c r="AL499" s="286">
        <v>11.8</v>
      </c>
      <c r="AM499" s="290">
        <v>70.5</v>
      </c>
      <c r="AN499" s="286" cm="1">
        <f t="array" aca="1" ref="AN499" ca="1">INDIRECT("'"&amp;$C499&amp;"'!"&amp;"$"&amp;$D499&amp;$AL$1&amp;"")</f>
        <v>4</v>
      </c>
      <c r="AO499" s="289">
        <v>0.99</v>
      </c>
      <c r="AP499" s="287">
        <v>0.56000000000000005</v>
      </c>
      <c r="AQ499" s="288" cm="1">
        <f t="array" aca="1" ref="AQ499" ca="1">INDIRECT("'"&amp;$C499&amp;"'!"&amp;"$"&amp;$D499&amp;$AQ$1&amp;"")</f>
        <v>4</v>
      </c>
      <c r="AR499" s="289">
        <v>0.99</v>
      </c>
      <c r="AS499" s="287">
        <v>0.56000000000000005</v>
      </c>
      <c r="AT499" s="289" cm="1">
        <f t="array" aca="1" ref="AT499" ca="1">INDIRECT("'"&amp;$C499&amp;"'!"&amp;"$"&amp;$D499&amp;$AT$1&amp;"")</f>
        <v>3.3</v>
      </c>
      <c r="AU499" s="288">
        <v>13.8</v>
      </c>
      <c r="AV499" s="289">
        <v>1</v>
      </c>
      <c r="AW499" s="287">
        <v>0.25600000000000001</v>
      </c>
      <c r="AX499" s="291">
        <v>14.24</v>
      </c>
      <c r="AY499" s="290">
        <v>71.63</v>
      </c>
      <c r="AZ499" s="291" cm="1">
        <f t="array" aca="1" ref="AZ499" ca="1">INDIRECT("'"&amp;$C499&amp;"'!"&amp;"$"&amp;$D499&amp;$AZ$1&amp;"")</f>
        <v>14.3</v>
      </c>
      <c r="BA499" s="289">
        <v>0.98</v>
      </c>
      <c r="BB499" s="287">
        <v>3.5</v>
      </c>
      <c r="BC499" s="292">
        <v>68.3</v>
      </c>
      <c r="BD499" s="286" cm="1">
        <f t="array" aca="1" ref="BD499" ca="1">INDIRECT("'"&amp;$C499&amp;"'!"&amp;"$"&amp;$D499&amp;$BC$1&amp;"")</f>
        <v>4.1000000000000005</v>
      </c>
      <c r="BE499" s="288">
        <v>0.98</v>
      </c>
      <c r="BF499" s="287">
        <v>0.83</v>
      </c>
      <c r="BG499" s="291" cm="1">
        <f t="array" aca="1" ref="BG499" ca="1">INDIRECT("'"&amp;$C499&amp;"'!"&amp;"$"&amp;$D499&amp;$BG$1&amp;"")</f>
        <v>1.43</v>
      </c>
      <c r="BH499" s="289"/>
      <c r="BI499" s="289">
        <v>0.99</v>
      </c>
      <c r="BJ499" s="287">
        <v>0.19</v>
      </c>
      <c r="BK499" s="292" cm="1">
        <f t="array" aca="1" ref="BK499" ca="1">INDIRECT("'"&amp;$C499&amp;"'!"&amp;"$"&amp;$D499&amp;$BK$1&amp;"")</f>
        <v>1.01</v>
      </c>
      <c r="BL499" s="289"/>
      <c r="BM499" s="289">
        <v>0.96</v>
      </c>
      <c r="BN499" s="287">
        <v>0.27</v>
      </c>
    </row>
    <row r="500" spans="1:66">
      <c r="A500" s="361">
        <v>45767</v>
      </c>
      <c r="B500" s="358">
        <v>0.83333333333333337</v>
      </c>
      <c r="C500" s="313">
        <f t="shared" si="19"/>
        <v>20</v>
      </c>
      <c r="D500" s="314" t="s">
        <v>147</v>
      </c>
      <c r="E500" s="293">
        <v>14.1</v>
      </c>
      <c r="F500" s="294">
        <v>69.02</v>
      </c>
      <c r="G500" s="295" cm="1">
        <f t="array" aca="1" ref="G500" ca="1">INDIRECT("'"&amp;$C500&amp;"'!"&amp;"$"&amp;$D500&amp;$E$1&amp;"")</f>
        <v>0</v>
      </c>
      <c r="H500" s="296" t="s">
        <v>1</v>
      </c>
      <c r="I500" s="294" t="s">
        <v>1</v>
      </c>
      <c r="J500" s="295" cm="1">
        <f t="array" aca="1" ref="J500" ca="1">INDIRECT("'"&amp;$C500&amp;"'!"&amp;"$"&amp;$D500&amp;$J$1&amp;"")</f>
        <v>6.7</v>
      </c>
      <c r="K500" s="296"/>
      <c r="L500" s="296">
        <v>0.92</v>
      </c>
      <c r="M500" s="294">
        <v>2.79</v>
      </c>
      <c r="N500" s="295" cm="1">
        <f t="array" aca="1" ref="N500" ca="1">INDIRECT("'"&amp;$C500&amp;"'!"&amp;"$"&amp;$D500&amp;$N$1&amp;"")</f>
        <v>6.7</v>
      </c>
      <c r="O500" s="296"/>
      <c r="P500" s="296">
        <v>0.92</v>
      </c>
      <c r="Q500" s="294">
        <v>2.8</v>
      </c>
      <c r="R500" s="295" cm="1">
        <f t="array" aca="1" ref="R500" ca="1">INDIRECT("'"&amp;$C500&amp;"'!"&amp;"$"&amp;$D500&amp;$R$1&amp;"")</f>
        <v>6.7</v>
      </c>
      <c r="S500" s="296"/>
      <c r="T500" s="296">
        <v>0.92</v>
      </c>
      <c r="U500" s="294">
        <v>2.77</v>
      </c>
      <c r="V500" s="295" cm="1">
        <f t="array" aca="1" ref="V500" ca="1">INDIRECT("'"&amp;$C500&amp;"'!"&amp;"$"&amp;$D500&amp;$V$1&amp;"")</f>
        <v>2.8</v>
      </c>
      <c r="W500" s="296">
        <f>3.8*3.51</f>
        <v>13.337999999999999</v>
      </c>
      <c r="X500" s="296">
        <v>0.95</v>
      </c>
      <c r="Y500" s="297">
        <v>0.85</v>
      </c>
      <c r="Z500" s="293" cm="1">
        <f t="array" aca="1" ref="Z500" ca="1">INDIRECT("'"&amp;$C500&amp;"'!"&amp;"$"&amp;$D500&amp;$Z$1&amp;"")</f>
        <v>0</v>
      </c>
      <c r="AA500" s="296" t="s">
        <v>1</v>
      </c>
      <c r="AB500" s="296" t="s">
        <v>1</v>
      </c>
      <c r="AC500" s="294" t="s">
        <v>1</v>
      </c>
      <c r="AD500" s="295" cm="1">
        <f t="array" aca="1" ref="AD500" ca="1">INDIRECT("'"&amp;$C500&amp;"'!"&amp;"$"&amp;$D500&amp;$AD$1&amp;"")</f>
        <v>3.8</v>
      </c>
      <c r="AE500" s="296">
        <f>3.8*3.51</f>
        <v>13.337999999999999</v>
      </c>
      <c r="AF500" s="296">
        <v>0.95</v>
      </c>
      <c r="AG500" s="297">
        <v>1.21</v>
      </c>
      <c r="AH500" s="293" cm="1">
        <f t="array" aca="1" ref="AH500" ca="1">INDIRECT("'"&amp;$C500&amp;"'!"&amp;"$"&amp;$D500&amp;$AH$1&amp;"")</f>
        <v>3.8</v>
      </c>
      <c r="AI500" s="296">
        <v>14.04</v>
      </c>
      <c r="AJ500" s="296">
        <v>0.95</v>
      </c>
      <c r="AK500" s="294">
        <v>1.21</v>
      </c>
      <c r="AL500" s="293">
        <v>11.8</v>
      </c>
      <c r="AM500" s="297">
        <v>70.5</v>
      </c>
      <c r="AN500" s="293" cm="1">
        <f t="array" aca="1" ref="AN500" ca="1">INDIRECT("'"&amp;$C500&amp;"'!"&amp;"$"&amp;$D500&amp;$AL$1&amp;"")</f>
        <v>4</v>
      </c>
      <c r="AO500" s="296">
        <v>0.99</v>
      </c>
      <c r="AP500" s="294">
        <v>0.62</v>
      </c>
      <c r="AQ500" s="295" cm="1">
        <f t="array" aca="1" ref="AQ500" ca="1">INDIRECT("'"&amp;$C500&amp;"'!"&amp;"$"&amp;$D500&amp;$AQ$1&amp;"")</f>
        <v>4</v>
      </c>
      <c r="AR500" s="296">
        <v>0.99</v>
      </c>
      <c r="AS500" s="294">
        <v>0.62</v>
      </c>
      <c r="AT500" s="296" cm="1">
        <f t="array" aca="1" ref="AT500" ca="1">INDIRECT("'"&amp;$C500&amp;"'!"&amp;"$"&amp;$D500&amp;$AT$1&amp;"")</f>
        <v>3.3</v>
      </c>
      <c r="AU500" s="295">
        <v>13.8</v>
      </c>
      <c r="AV500" s="296">
        <v>0.99</v>
      </c>
      <c r="AW500" s="294">
        <v>0.46800000000000003</v>
      </c>
      <c r="AX500" s="298">
        <v>14.24</v>
      </c>
      <c r="AY500" s="297">
        <v>71.66</v>
      </c>
      <c r="AZ500" s="298" cm="1">
        <f t="array" aca="1" ref="AZ500" ca="1">INDIRECT("'"&amp;$C500&amp;"'!"&amp;"$"&amp;$D500&amp;$AZ$1&amp;"")</f>
        <v>14.27</v>
      </c>
      <c r="BA500" s="296">
        <v>0.98</v>
      </c>
      <c r="BB500" s="294">
        <v>3.5</v>
      </c>
      <c r="BC500" s="299">
        <v>67.900000000000006</v>
      </c>
      <c r="BD500" s="293" cm="1">
        <f t="array" aca="1" ref="BD500" ca="1">INDIRECT("'"&amp;$C500&amp;"'!"&amp;"$"&amp;$D500&amp;$BC$1&amp;"")</f>
        <v>0</v>
      </c>
      <c r="BE500" s="295" t="s">
        <v>1</v>
      </c>
      <c r="BF500" s="294" t="s">
        <v>1</v>
      </c>
      <c r="BG500" s="298" cm="1">
        <f t="array" aca="1" ref="BG500" ca="1">INDIRECT("'"&amp;$C500&amp;"'!"&amp;"$"&amp;$D500&amp;$BG$1&amp;"")</f>
        <v>1.42</v>
      </c>
      <c r="BH500" s="296"/>
      <c r="BI500" s="296">
        <v>0.99</v>
      </c>
      <c r="BJ500" s="294">
        <v>0.9</v>
      </c>
      <c r="BK500" s="299" cm="1">
        <f t="array" aca="1" ref="BK500" ca="1">INDIRECT("'"&amp;$C500&amp;"'!"&amp;"$"&amp;$D500&amp;$BK$1&amp;"")</f>
        <v>1.05</v>
      </c>
      <c r="BL500" s="296"/>
      <c r="BM500" s="296">
        <v>0.96</v>
      </c>
      <c r="BN500" s="294">
        <v>0.27</v>
      </c>
    </row>
    <row r="501" spans="1:66">
      <c r="A501" s="361">
        <v>45767</v>
      </c>
      <c r="B501" s="358">
        <v>0.875000000000001</v>
      </c>
      <c r="C501" s="313">
        <f t="shared" si="19"/>
        <v>20</v>
      </c>
      <c r="D501" s="314" t="s">
        <v>148</v>
      </c>
      <c r="E501" s="286">
        <v>14</v>
      </c>
      <c r="F501" s="287">
        <v>68.94</v>
      </c>
      <c r="G501" s="288" cm="1">
        <f t="array" aca="1" ref="G501" ca="1">INDIRECT("'"&amp;$C501&amp;"'!"&amp;"$"&amp;$D501&amp;$E$1&amp;"")</f>
        <v>0</v>
      </c>
      <c r="H501" s="289" t="s">
        <v>1</v>
      </c>
      <c r="I501" s="287" t="s">
        <v>1</v>
      </c>
      <c r="J501" s="288" cm="1">
        <f t="array" aca="1" ref="J501" ca="1">INDIRECT("'"&amp;$C501&amp;"'!"&amp;"$"&amp;$D501&amp;$J$1&amp;"")</f>
        <v>6.7</v>
      </c>
      <c r="K501" s="289"/>
      <c r="L501" s="289">
        <v>0.93</v>
      </c>
      <c r="M501" s="287">
        <v>2.65</v>
      </c>
      <c r="N501" s="288" cm="1">
        <f t="array" aca="1" ref="N501" ca="1">INDIRECT("'"&amp;$C501&amp;"'!"&amp;"$"&amp;$D501&amp;$N$1&amp;"")</f>
        <v>6.7</v>
      </c>
      <c r="O501" s="289"/>
      <c r="P501" s="289">
        <v>0.93</v>
      </c>
      <c r="Q501" s="287">
        <v>2.68</v>
      </c>
      <c r="R501" s="288" cm="1">
        <f t="array" aca="1" ref="R501" ca="1">INDIRECT("'"&amp;$C501&amp;"'!"&amp;"$"&amp;$D501&amp;$R$1&amp;"")</f>
        <v>6.7</v>
      </c>
      <c r="S501" s="289"/>
      <c r="T501" s="289">
        <v>0.93</v>
      </c>
      <c r="U501" s="287">
        <v>2.64</v>
      </c>
      <c r="V501" s="288" cm="1">
        <f t="array" aca="1" ref="V501" ca="1">INDIRECT("'"&amp;$C501&amp;"'!"&amp;"$"&amp;$D501&amp;$V$1&amp;"")</f>
        <v>2.8</v>
      </c>
      <c r="W501" s="289">
        <f>3.8*3.52</f>
        <v>13.375999999999999</v>
      </c>
      <c r="X501" s="289">
        <v>0.95</v>
      </c>
      <c r="Y501" s="290">
        <v>0.81</v>
      </c>
      <c r="Z501" s="286" cm="1">
        <f t="array" aca="1" ref="Z501" ca="1">INDIRECT("'"&amp;$C501&amp;"'!"&amp;"$"&amp;$D501&amp;$Z$1&amp;"")</f>
        <v>0</v>
      </c>
      <c r="AA501" s="289" t="s">
        <v>1</v>
      </c>
      <c r="AB501" s="289" t="s">
        <v>1</v>
      </c>
      <c r="AC501" s="287" t="s">
        <v>1</v>
      </c>
      <c r="AD501" s="288" cm="1">
        <f t="array" aca="1" ref="AD501" ca="1">INDIRECT("'"&amp;$C501&amp;"'!"&amp;"$"&amp;$D501&amp;$AD$1&amp;"")</f>
        <v>3.8</v>
      </c>
      <c r="AE501" s="289">
        <f>3.8*3.52</f>
        <v>13.375999999999999</v>
      </c>
      <c r="AF501" s="289">
        <v>0.94</v>
      </c>
      <c r="AG501" s="290">
        <v>0.57999999999999996</v>
      </c>
      <c r="AH501" s="286" cm="1">
        <f t="array" aca="1" ref="AH501" ca="1">INDIRECT("'"&amp;$C501&amp;"'!"&amp;"$"&amp;$D501&amp;$AH$1&amp;"")</f>
        <v>3.8</v>
      </c>
      <c r="AI501" s="289">
        <v>14.04</v>
      </c>
      <c r="AJ501" s="289">
        <v>0.97</v>
      </c>
      <c r="AK501" s="287">
        <v>0.72</v>
      </c>
      <c r="AL501" s="286">
        <v>11.8</v>
      </c>
      <c r="AM501" s="290">
        <v>70.5</v>
      </c>
      <c r="AN501" s="286" cm="1">
        <f t="array" aca="1" ref="AN501" ca="1">INDIRECT("'"&amp;$C501&amp;"'!"&amp;"$"&amp;$D501&amp;$AL$1&amp;"")</f>
        <v>4</v>
      </c>
      <c r="AO501" s="289">
        <v>0.99</v>
      </c>
      <c r="AP501" s="287">
        <v>0.64</v>
      </c>
      <c r="AQ501" s="288" cm="1">
        <f t="array" aca="1" ref="AQ501" ca="1">INDIRECT("'"&amp;$C501&amp;"'!"&amp;"$"&amp;$D501&amp;$AQ$1&amp;"")</f>
        <v>4</v>
      </c>
      <c r="AR501" s="289">
        <v>0.99</v>
      </c>
      <c r="AS501" s="287">
        <v>0.64</v>
      </c>
      <c r="AT501" s="289" cm="1">
        <f t="array" aca="1" ref="AT501" ca="1">INDIRECT("'"&amp;$C501&amp;"'!"&amp;"$"&amp;$D501&amp;$AT$1&amp;"")</f>
        <v>5.19</v>
      </c>
      <c r="AU501" s="288">
        <v>13.81</v>
      </c>
      <c r="AV501" s="289">
        <v>0.99</v>
      </c>
      <c r="AW501" s="287">
        <v>0.52</v>
      </c>
      <c r="AX501" s="291">
        <v>14.24</v>
      </c>
      <c r="AY501" s="290">
        <v>71.67</v>
      </c>
      <c r="AZ501" s="291" cm="1">
        <f t="array" aca="1" ref="AZ501" ca="1">INDIRECT("'"&amp;$C501&amp;"'!"&amp;"$"&amp;$D501&amp;$AZ$1&amp;"")</f>
        <v>14.29</v>
      </c>
      <c r="BA501" s="289">
        <v>0.98</v>
      </c>
      <c r="BB501" s="287">
        <v>3.5</v>
      </c>
      <c r="BC501" s="292">
        <v>67.7</v>
      </c>
      <c r="BD501" s="286" cm="1">
        <f t="array" aca="1" ref="BD501" ca="1">INDIRECT("'"&amp;$C501&amp;"'!"&amp;"$"&amp;$D501&amp;$BC$1&amp;"")</f>
        <v>0</v>
      </c>
      <c r="BE501" s="288" t="s">
        <v>1</v>
      </c>
      <c r="BF501" s="287" t="s">
        <v>1</v>
      </c>
      <c r="BG501" s="291" cm="1">
        <f t="array" aca="1" ref="BG501" ca="1">INDIRECT("'"&amp;$C501&amp;"'!"&amp;"$"&amp;$D501&amp;$BG$1&amp;"")</f>
        <v>1.34</v>
      </c>
      <c r="BH501" s="289"/>
      <c r="BI501" s="289">
        <v>0.99</v>
      </c>
      <c r="BJ501" s="287">
        <v>0.17</v>
      </c>
      <c r="BK501" s="292" cm="1">
        <f t="array" aca="1" ref="BK501" ca="1">INDIRECT("'"&amp;$C501&amp;"'!"&amp;"$"&amp;$D501&amp;$BK$1&amp;"")</f>
        <v>1</v>
      </c>
      <c r="BL501" s="289"/>
      <c r="BM501" s="289">
        <v>0.96</v>
      </c>
      <c r="BN501" s="287">
        <v>0.27</v>
      </c>
    </row>
    <row r="502" spans="1:66">
      <c r="A502" s="361">
        <v>45767</v>
      </c>
      <c r="B502" s="358">
        <v>0.91666666666666696</v>
      </c>
      <c r="C502" s="313">
        <f t="shared" si="19"/>
        <v>20</v>
      </c>
      <c r="D502" s="314" t="s">
        <v>149</v>
      </c>
      <c r="E502" s="293">
        <v>14</v>
      </c>
      <c r="F502" s="294">
        <v>68.72</v>
      </c>
      <c r="G502" s="295" cm="1">
        <f t="array" aca="1" ref="G502" ca="1">INDIRECT("'"&amp;$C502&amp;"'!"&amp;"$"&amp;$D502&amp;$E$1&amp;"")</f>
        <v>0</v>
      </c>
      <c r="H502" s="296" t="s">
        <v>1</v>
      </c>
      <c r="I502" s="294" t="s">
        <v>1</v>
      </c>
      <c r="J502" s="295" cm="1">
        <f t="array" aca="1" ref="J502" ca="1">INDIRECT("'"&amp;$C502&amp;"'!"&amp;"$"&amp;$D502&amp;$J$1&amp;"")</f>
        <v>6.9</v>
      </c>
      <c r="K502" s="296"/>
      <c r="L502" s="296">
        <v>0.91</v>
      </c>
      <c r="M502" s="294">
        <v>3.1</v>
      </c>
      <c r="N502" s="295" cm="1">
        <f t="array" aca="1" ref="N502" ca="1">INDIRECT("'"&amp;$C502&amp;"'!"&amp;"$"&amp;$D502&amp;$N$1&amp;"")</f>
        <v>6.9</v>
      </c>
      <c r="O502" s="296"/>
      <c r="P502" s="296">
        <v>0.91</v>
      </c>
      <c r="Q502" s="294">
        <v>3.12</v>
      </c>
      <c r="R502" s="295" cm="1">
        <f t="array" aca="1" ref="R502" ca="1">INDIRECT("'"&amp;$C502&amp;"'!"&amp;"$"&amp;$D502&amp;$R$1&amp;"")</f>
        <v>0</v>
      </c>
      <c r="S502" s="296"/>
      <c r="T502" s="296" t="s">
        <v>1</v>
      </c>
      <c r="U502" s="294" t="s">
        <v>1</v>
      </c>
      <c r="V502" s="295" cm="1">
        <f t="array" aca="1" ref="V502" ca="1">INDIRECT("'"&amp;$C502&amp;"'!"&amp;"$"&amp;$D502&amp;$V$1&amp;"")</f>
        <v>2.8</v>
      </c>
      <c r="W502" s="296">
        <f>3.8*3.53</f>
        <v>13.413999999999998</v>
      </c>
      <c r="X502" s="296">
        <v>0.95</v>
      </c>
      <c r="Y502" s="297">
        <v>0.8</v>
      </c>
      <c r="Z502" s="293" cm="1">
        <f t="array" aca="1" ref="Z502" ca="1">INDIRECT("'"&amp;$C502&amp;"'!"&amp;"$"&amp;$D502&amp;$Z$1&amp;"")</f>
        <v>0</v>
      </c>
      <c r="AA502" s="296" t="s">
        <v>1</v>
      </c>
      <c r="AB502" s="296" t="s">
        <v>1</v>
      </c>
      <c r="AC502" s="294" t="s">
        <v>1</v>
      </c>
      <c r="AD502" s="295" cm="1">
        <f t="array" aca="1" ref="AD502" ca="1">INDIRECT("'"&amp;$C502&amp;"'!"&amp;"$"&amp;$D502&amp;$AD$1&amp;"")</f>
        <v>3.8</v>
      </c>
      <c r="AE502" s="296">
        <f>3.8*3.53</f>
        <v>13.413999999999998</v>
      </c>
      <c r="AF502" s="296">
        <v>0.94</v>
      </c>
      <c r="AG502" s="297">
        <v>1.22</v>
      </c>
      <c r="AH502" s="293" cm="1">
        <f t="array" aca="1" ref="AH502" ca="1">INDIRECT("'"&amp;$C502&amp;"'!"&amp;"$"&amp;$D502&amp;$AH$1&amp;"")</f>
        <v>3.8</v>
      </c>
      <c r="AI502" s="296">
        <v>14.04</v>
      </c>
      <c r="AJ502" s="296">
        <v>0.99</v>
      </c>
      <c r="AK502" s="294">
        <v>0.371</v>
      </c>
      <c r="AL502" s="293">
        <v>11.8</v>
      </c>
      <c r="AM502" s="297">
        <v>70.5</v>
      </c>
      <c r="AN502" s="293" cm="1">
        <f t="array" aca="1" ref="AN502" ca="1">INDIRECT("'"&amp;$C502&amp;"'!"&amp;"$"&amp;$D502&amp;$AL$1&amp;"")</f>
        <v>4.3</v>
      </c>
      <c r="AO502" s="296">
        <v>0.99</v>
      </c>
      <c r="AP502" s="294">
        <v>0.53</v>
      </c>
      <c r="AQ502" s="295" cm="1">
        <f t="array" aca="1" ref="AQ502" ca="1">INDIRECT("'"&amp;$C502&amp;"'!"&amp;"$"&amp;$D502&amp;$AQ$1&amp;"")</f>
        <v>4.3</v>
      </c>
      <c r="AR502" s="296">
        <v>0.99</v>
      </c>
      <c r="AS502" s="294">
        <v>0.53</v>
      </c>
      <c r="AT502" s="296" cm="1">
        <f t="array" aca="1" ref="AT502" ca="1">INDIRECT("'"&amp;$C502&amp;"'!"&amp;"$"&amp;$D502&amp;$AT$1&amp;"")</f>
        <v>7.1</v>
      </c>
      <c r="AU502" s="295">
        <v>13.83</v>
      </c>
      <c r="AV502" s="296">
        <v>1</v>
      </c>
      <c r="AW502" s="294">
        <v>0.62</v>
      </c>
      <c r="AX502" s="298">
        <v>14.28</v>
      </c>
      <c r="AY502" s="297">
        <v>71.8</v>
      </c>
      <c r="AZ502" s="298" cm="1">
        <f t="array" aca="1" ref="AZ502" ca="1">INDIRECT("'"&amp;$C502&amp;"'!"&amp;"$"&amp;$D502&amp;$AZ$1&amp;"")</f>
        <v>14.3</v>
      </c>
      <c r="BA502" s="296">
        <v>0.98</v>
      </c>
      <c r="BB502" s="294">
        <v>3.5</v>
      </c>
      <c r="BC502" s="299">
        <v>67.7</v>
      </c>
      <c r="BD502" s="293" cm="1">
        <f t="array" aca="1" ref="BD502" ca="1">INDIRECT("'"&amp;$C502&amp;"'!"&amp;"$"&amp;$D502&amp;$BC$1&amp;"")</f>
        <v>0</v>
      </c>
      <c r="BE502" s="295" t="s">
        <v>1</v>
      </c>
      <c r="BF502" s="294" t="s">
        <v>1</v>
      </c>
      <c r="BG502" s="298" cm="1">
        <f t="array" aca="1" ref="BG502" ca="1">INDIRECT("'"&amp;$C502&amp;"'!"&amp;"$"&amp;$D502&amp;$BG$1&amp;"")</f>
        <v>1.24</v>
      </c>
      <c r="BH502" s="296"/>
      <c r="BI502" s="296">
        <v>0.99</v>
      </c>
      <c r="BJ502" s="294">
        <v>0.16</v>
      </c>
      <c r="BK502" s="299" cm="1">
        <f t="array" aca="1" ref="BK502" ca="1">INDIRECT("'"&amp;$C502&amp;"'!"&amp;"$"&amp;$D502&amp;$BK$1&amp;"")</f>
        <v>1</v>
      </c>
      <c r="BL502" s="296"/>
      <c r="BM502" s="296">
        <v>0.97</v>
      </c>
      <c r="BN502" s="294">
        <v>0.25</v>
      </c>
    </row>
    <row r="503" spans="1:66" ht="14.45" thickBot="1">
      <c r="A503" s="362">
        <v>45767</v>
      </c>
      <c r="B503" s="359">
        <v>0.95833333333333404</v>
      </c>
      <c r="C503" s="315">
        <f t="shared" si="19"/>
        <v>20</v>
      </c>
      <c r="D503" s="316" t="s">
        <v>150</v>
      </c>
      <c r="E503" s="301">
        <v>13.9</v>
      </c>
      <c r="F503" s="302">
        <v>68.849999999999994</v>
      </c>
      <c r="G503" s="303" cm="1">
        <f t="array" aca="1" ref="G503" ca="1">INDIRECT("'"&amp;$C503&amp;"'!"&amp;"$"&amp;$D503&amp;$E$1&amp;"")</f>
        <v>0</v>
      </c>
      <c r="H503" s="304" t="s">
        <v>1</v>
      </c>
      <c r="I503" s="302" t="s">
        <v>1</v>
      </c>
      <c r="J503" s="303" cm="1">
        <f t="array" aca="1" ref="J503" ca="1">INDIRECT("'"&amp;$C503&amp;"'!"&amp;"$"&amp;$D503&amp;$J$1&amp;"")</f>
        <v>6.6</v>
      </c>
      <c r="K503" s="304"/>
      <c r="L503" s="304">
        <v>0.94</v>
      </c>
      <c r="M503" s="302">
        <v>2.4500000000000002</v>
      </c>
      <c r="N503" s="303" cm="1">
        <f t="array" aca="1" ref="N503" ca="1">INDIRECT("'"&amp;$C503&amp;"'!"&amp;"$"&amp;$D503&amp;$N$1&amp;"")</f>
        <v>6.6</v>
      </c>
      <c r="O503" s="304"/>
      <c r="P503" s="304">
        <v>0.94</v>
      </c>
      <c r="Q503" s="302">
        <v>2.4300000000000002</v>
      </c>
      <c r="R503" s="303" cm="1">
        <f t="array" aca="1" ref="R503" ca="1">INDIRECT("'"&amp;$C503&amp;"'!"&amp;"$"&amp;$D503&amp;$R$1&amp;"")</f>
        <v>0</v>
      </c>
      <c r="S503" s="304"/>
      <c r="T503" s="304" t="s">
        <v>1</v>
      </c>
      <c r="U503" s="302" t="s">
        <v>1</v>
      </c>
      <c r="V503" s="303" cm="1">
        <f t="array" aca="1" ref="V503" ca="1">INDIRECT("'"&amp;$C503&amp;"'!"&amp;"$"&amp;$D503&amp;$V$1&amp;"")</f>
        <v>2.8</v>
      </c>
      <c r="W503" s="304">
        <f>3.8*3.54</f>
        <v>13.452</v>
      </c>
      <c r="X503" s="304">
        <v>0.98</v>
      </c>
      <c r="Y503" s="305">
        <v>0.49</v>
      </c>
      <c r="Z503" s="301" cm="1">
        <f t="array" aca="1" ref="Z503" ca="1">INDIRECT("'"&amp;$C503&amp;"'!"&amp;"$"&amp;$D503&amp;$Z$1&amp;"")</f>
        <v>0</v>
      </c>
      <c r="AA503" s="304" t="s">
        <v>1</v>
      </c>
      <c r="AB503" s="304" t="s">
        <v>1</v>
      </c>
      <c r="AC503" s="302" t="s">
        <v>1</v>
      </c>
      <c r="AD503" s="303" cm="1">
        <f t="array" aca="1" ref="AD503" ca="1">INDIRECT("'"&amp;$C503&amp;"'!"&amp;"$"&amp;$D503&amp;$AD$1&amp;"")</f>
        <v>3</v>
      </c>
      <c r="AE503" s="304">
        <f>3.8*3.54</f>
        <v>13.452</v>
      </c>
      <c r="AF503" s="304">
        <v>0.98</v>
      </c>
      <c r="AG503" s="305">
        <v>0.53</v>
      </c>
      <c r="AH503" s="301" cm="1">
        <f t="array" aca="1" ref="AH503" ca="1">INDIRECT("'"&amp;$C503&amp;"'!"&amp;"$"&amp;$D503&amp;$AH$1&amp;"")</f>
        <v>3.8</v>
      </c>
      <c r="AI503" s="304">
        <v>14.04</v>
      </c>
      <c r="AJ503" s="304">
        <v>0.99</v>
      </c>
      <c r="AK503" s="302">
        <v>0.26100000000000001</v>
      </c>
      <c r="AL503" s="301">
        <v>11.8</v>
      </c>
      <c r="AM503" s="305">
        <v>70.7</v>
      </c>
      <c r="AN503" s="301" cm="1">
        <f t="array" aca="1" ref="AN503" ca="1">INDIRECT("'"&amp;$C503&amp;"'!"&amp;"$"&amp;$D503&amp;$AL$1&amp;"")</f>
        <v>4.2</v>
      </c>
      <c r="AO503" s="304">
        <v>0.99</v>
      </c>
      <c r="AP503" s="302">
        <v>0.4</v>
      </c>
      <c r="AQ503" s="303" cm="1">
        <f t="array" aca="1" ref="AQ503" ca="1">INDIRECT("'"&amp;$C503&amp;"'!"&amp;"$"&amp;$D503&amp;$AQ$1&amp;"")</f>
        <v>4.2</v>
      </c>
      <c r="AR503" s="304">
        <v>0.99</v>
      </c>
      <c r="AS503" s="302">
        <v>0.4</v>
      </c>
      <c r="AT503" s="304" cm="1">
        <f t="array" aca="1" ref="AT503" ca="1">INDIRECT("'"&amp;$C503&amp;"'!"&amp;"$"&amp;$D503&amp;$AT$1&amp;"")</f>
        <v>4.9800000000000004</v>
      </c>
      <c r="AU503" s="303">
        <v>13.84</v>
      </c>
      <c r="AV503" s="304">
        <v>0.99</v>
      </c>
      <c r="AW503" s="302">
        <v>0.57999999999999996</v>
      </c>
      <c r="AX503" s="306">
        <v>14.33</v>
      </c>
      <c r="AY503" s="305">
        <v>72.17</v>
      </c>
      <c r="AZ503" s="306" cm="1">
        <f t="array" aca="1" ref="AZ503" ca="1">INDIRECT("'"&amp;$C503&amp;"'!"&amp;"$"&amp;$D503&amp;$AZ$1&amp;"")</f>
        <v>14.32</v>
      </c>
      <c r="BA503" s="304">
        <v>0.98</v>
      </c>
      <c r="BB503" s="302">
        <v>3.5</v>
      </c>
      <c r="BC503" s="307">
        <v>68</v>
      </c>
      <c r="BD503" s="301" cm="1">
        <f t="array" aca="1" ref="BD503" ca="1">INDIRECT("'"&amp;$C503&amp;"'!"&amp;"$"&amp;$D503&amp;$BC$1&amp;"")</f>
        <v>0</v>
      </c>
      <c r="BE503" s="303" t="s">
        <v>1</v>
      </c>
      <c r="BF503" s="302" t="s">
        <v>1</v>
      </c>
      <c r="BG503" s="306" cm="1">
        <f t="array" aca="1" ref="BG503" ca="1">INDIRECT("'"&amp;$C503&amp;"'!"&amp;"$"&amp;$D503&amp;$BG$1&amp;"")</f>
        <v>1.1599999999999999</v>
      </c>
      <c r="BH503" s="304"/>
      <c r="BI503" s="304">
        <v>0.98</v>
      </c>
      <c r="BJ503" s="302">
        <v>0.2</v>
      </c>
      <c r="BK503" s="307" cm="1">
        <f t="array" aca="1" ref="BK503" ca="1">INDIRECT("'"&amp;$C503&amp;"'!"&amp;"$"&amp;$D503&amp;$BK$1&amp;"")</f>
        <v>0.91</v>
      </c>
      <c r="BL503" s="304"/>
      <c r="BM503" s="304">
        <v>0.97</v>
      </c>
      <c r="BN503" s="302">
        <v>0.23</v>
      </c>
    </row>
    <row r="504" spans="1:66" ht="14.45" thickBot="1"/>
    <row r="505" spans="1:66">
      <c r="A505" s="360">
        <v>45768</v>
      </c>
      <c r="B505" s="357">
        <v>0</v>
      </c>
      <c r="C505" s="310">
        <f>C480+1</f>
        <v>21</v>
      </c>
      <c r="D505" s="311" t="s">
        <v>127</v>
      </c>
      <c r="E505" s="280">
        <v>13.9</v>
      </c>
      <c r="F505" s="281">
        <v>69.209999999999994</v>
      </c>
      <c r="G505" s="282" cm="1">
        <f t="array" aca="1" ref="G505" ca="1">INDIRECT("'"&amp;$C505&amp;"'!"&amp;"$"&amp;$D505&amp;$E$1&amp;"")</f>
        <v>0</v>
      </c>
      <c r="H505" s="283" t="s">
        <v>1</v>
      </c>
      <c r="I505" s="281" t="s">
        <v>1</v>
      </c>
      <c r="J505" s="282" cm="1">
        <f t="array" aca="1" ref="J505" ca="1">INDIRECT("'"&amp;$C505&amp;"'!"&amp;"$"&amp;$D505&amp;$J$1&amp;"")</f>
        <v>6.6</v>
      </c>
      <c r="K505" s="283"/>
      <c r="L505" s="283">
        <v>0.96</v>
      </c>
      <c r="M505" s="281">
        <v>1.94</v>
      </c>
      <c r="N505" s="282" cm="1">
        <f t="array" aca="1" ref="N505" ca="1">INDIRECT("'"&amp;$C505&amp;"'!"&amp;"$"&amp;$D505&amp;$N$1&amp;"")</f>
        <v>6.6</v>
      </c>
      <c r="O505" s="283"/>
      <c r="P505" s="283">
        <v>0.96</v>
      </c>
      <c r="Q505" s="281">
        <v>1.95</v>
      </c>
      <c r="R505" s="282" cm="1">
        <f t="array" aca="1" ref="R505" ca="1">INDIRECT("'"&amp;$C505&amp;"'!"&amp;"$"&amp;$D505&amp;$R$1&amp;"")</f>
        <v>0</v>
      </c>
      <c r="S505" s="283"/>
      <c r="T505" s="283" t="s">
        <v>1</v>
      </c>
      <c r="U505" s="281" t="s">
        <v>1</v>
      </c>
      <c r="V505" s="282" cm="1">
        <f t="array" aca="1" ref="V505" ca="1">INDIRECT("'"&amp;$C505&amp;"'!"&amp;"$"&amp;$D505&amp;$V$1&amp;"")</f>
        <v>2</v>
      </c>
      <c r="W505" s="283">
        <f>3.8*3.56</f>
        <v>13.527999999999999</v>
      </c>
      <c r="X505" s="283">
        <v>0.98</v>
      </c>
      <c r="Y505" s="284">
        <v>0.45</v>
      </c>
      <c r="Z505" s="280" cm="1">
        <f t="array" aca="1" ref="Z505" ca="1">INDIRECT("'"&amp;$C505&amp;"'!"&amp;"$"&amp;$D505&amp;$Z$1&amp;"")</f>
        <v>0</v>
      </c>
      <c r="AA505" s="283" t="s">
        <v>1</v>
      </c>
      <c r="AB505" s="283" t="s">
        <v>1</v>
      </c>
      <c r="AC505" s="281" t="s">
        <v>1</v>
      </c>
      <c r="AD505" s="282" cm="1">
        <f t="array" aca="1" ref="AD505" ca="1">INDIRECT("'"&amp;$C505&amp;"'!"&amp;"$"&amp;$D505&amp;$AD$1&amp;"")</f>
        <v>3</v>
      </c>
      <c r="AE505" s="283">
        <f>3.8*3.56</f>
        <v>13.527999999999999</v>
      </c>
      <c r="AF505" s="283">
        <v>0.98</v>
      </c>
      <c r="AG505" s="281">
        <v>0.51</v>
      </c>
      <c r="AH505" s="280" cm="1">
        <f t="array" aca="1" ref="AH505" ca="1">INDIRECT("'"&amp;$C505&amp;"'!"&amp;"$"&amp;$D505&amp;$AH$1&amp;"")</f>
        <v>3</v>
      </c>
      <c r="AI505" s="283">
        <v>14.04</v>
      </c>
      <c r="AJ505" s="283">
        <v>1</v>
      </c>
      <c r="AK505" s="281">
        <v>8.5000000000000006E-2</v>
      </c>
      <c r="AL505" s="280">
        <v>11.8</v>
      </c>
      <c r="AM505" s="284">
        <v>70.7</v>
      </c>
      <c r="AN505" s="280" cm="1">
        <f t="array" aca="1" ref="AN505" ca="1">INDIRECT("'"&amp;$C505&amp;"'!"&amp;"$"&amp;$D505&amp;$AL$1&amp;"")</f>
        <v>3.5</v>
      </c>
      <c r="AO505" s="283">
        <v>0.99</v>
      </c>
      <c r="AP505" s="281">
        <v>0.52</v>
      </c>
      <c r="AQ505" s="282" cm="1">
        <f t="array" aca="1" ref="AQ505" ca="1">INDIRECT("'"&amp;$C505&amp;"'!"&amp;"$"&amp;$D505&amp;$AQ$1&amp;"")</f>
        <v>3.5</v>
      </c>
      <c r="AR505" s="283">
        <v>0.99</v>
      </c>
      <c r="AS505" s="281">
        <v>0.52</v>
      </c>
      <c r="AT505" s="283" cm="1">
        <f t="array" aca="1" ref="AT505" ca="1">INDIRECT("'"&amp;$C505&amp;"'!"&amp;"$"&amp;$D505&amp;$AT$1&amp;"")</f>
        <v>2.96</v>
      </c>
      <c r="AU505" s="282">
        <v>13.83</v>
      </c>
      <c r="AV505" s="283">
        <v>0.98</v>
      </c>
      <c r="AW505" s="281">
        <v>0.62</v>
      </c>
      <c r="AX505" s="285">
        <v>14.17</v>
      </c>
      <c r="AY505" s="284">
        <v>71.73</v>
      </c>
      <c r="AZ505" s="285" cm="1">
        <f t="array" aca="1" ref="AZ505" ca="1">INDIRECT("'"&amp;$C505&amp;"'!"&amp;"$"&amp;$D505&amp;$AZ$1&amp;"")</f>
        <v>14.29</v>
      </c>
      <c r="BA505" s="283">
        <v>0.99</v>
      </c>
      <c r="BB505" s="281">
        <v>2.4</v>
      </c>
      <c r="BC505" s="281">
        <v>68.3</v>
      </c>
      <c r="BD505" s="280" cm="1">
        <f t="array" aca="1" ref="BD505" ca="1">INDIRECT("'"&amp;$C505&amp;"'!"&amp;"$"&amp;$D505&amp;$BC$1&amp;"")</f>
        <v>0</v>
      </c>
      <c r="BE505" s="282" t="s">
        <v>1</v>
      </c>
      <c r="BF505" s="281" t="s">
        <v>1</v>
      </c>
      <c r="BG505" s="285" cm="1">
        <f t="array" aca="1" ref="BG505" ca="1">INDIRECT("'"&amp;$C505&amp;"'!"&amp;"$"&amp;$D505&amp;$BG$1&amp;"")</f>
        <v>1</v>
      </c>
      <c r="BH505" s="283"/>
      <c r="BI505" s="283">
        <v>0.99</v>
      </c>
      <c r="BJ505" s="281">
        <v>0.15</v>
      </c>
      <c r="BK505" s="285" cm="1">
        <f t="array" aca="1" ref="BK505" ca="1">INDIRECT("'"&amp;$C505&amp;"'!"&amp;"$"&amp;$D505&amp;$BK$1&amp;"")</f>
        <v>0.87</v>
      </c>
      <c r="BL505" s="283"/>
      <c r="BM505" s="283">
        <v>0.96</v>
      </c>
      <c r="BN505" s="281">
        <v>0.23</v>
      </c>
    </row>
    <row r="506" spans="1:66">
      <c r="A506" s="361">
        <v>45768</v>
      </c>
      <c r="B506" s="358">
        <v>4.1666666666666699E-2</v>
      </c>
      <c r="C506" s="313">
        <f t="shared" ref="C506:C528" si="20">C481+1</f>
        <v>21</v>
      </c>
      <c r="D506" s="314" t="s">
        <v>128</v>
      </c>
      <c r="E506" s="286">
        <v>13.8</v>
      </c>
      <c r="F506" s="287">
        <v>68.739999999999995</v>
      </c>
      <c r="G506" s="288" cm="1">
        <f t="array" aca="1" ref="G506" ca="1">INDIRECT("'"&amp;$C506&amp;"'!"&amp;"$"&amp;$D506&amp;$E$1&amp;"")</f>
        <v>0</v>
      </c>
      <c r="H506" s="289" t="s">
        <v>1</v>
      </c>
      <c r="I506" s="287" t="s">
        <v>1</v>
      </c>
      <c r="J506" s="288" cm="1">
        <f t="array" aca="1" ref="J506" ca="1">INDIRECT("'"&amp;$C506&amp;"'!"&amp;"$"&amp;$D506&amp;$J$1&amp;"")</f>
        <v>0</v>
      </c>
      <c r="K506" s="289"/>
      <c r="L506" s="289" t="s">
        <v>1</v>
      </c>
      <c r="M506" s="287" t="s">
        <v>1</v>
      </c>
      <c r="N506" s="288" cm="1">
        <f t="array" aca="1" ref="N506" ca="1">INDIRECT("'"&amp;$C506&amp;"'!"&amp;"$"&amp;$D506&amp;$N$1&amp;"")</f>
        <v>6.6</v>
      </c>
      <c r="O506" s="289"/>
      <c r="P506" s="289">
        <v>0.89</v>
      </c>
      <c r="Q506" s="287">
        <v>3.39</v>
      </c>
      <c r="R506" s="288" cm="1">
        <f t="array" aca="1" ref="R506" ca="1">INDIRECT("'"&amp;$C506&amp;"'!"&amp;"$"&amp;$D506&amp;$R$1&amp;"")</f>
        <v>0</v>
      </c>
      <c r="S506" s="289"/>
      <c r="T506" s="289" t="s">
        <v>1</v>
      </c>
      <c r="U506" s="287" t="s">
        <v>1</v>
      </c>
      <c r="V506" s="288" cm="1">
        <f t="array" aca="1" ref="V506" ca="1">INDIRECT("'"&amp;$C506&amp;"'!"&amp;"$"&amp;$D506&amp;$V$1&amp;"")</f>
        <v>2.8</v>
      </c>
      <c r="W506" s="289">
        <f>3.8*3.56</f>
        <v>13.527999999999999</v>
      </c>
      <c r="X506" s="289">
        <v>0.98</v>
      </c>
      <c r="Y506" s="290">
        <v>0.46</v>
      </c>
      <c r="Z506" s="286" cm="1">
        <f t="array" aca="1" ref="Z506" ca="1">INDIRECT("'"&amp;$C506&amp;"'!"&amp;"$"&amp;$D506&amp;$Z$1&amp;"")</f>
        <v>0</v>
      </c>
      <c r="AA506" s="289" t="s">
        <v>1</v>
      </c>
      <c r="AB506" s="289" t="s">
        <v>1</v>
      </c>
      <c r="AC506" s="287" t="s">
        <v>1</v>
      </c>
      <c r="AD506" s="288" cm="1">
        <f t="array" aca="1" ref="AD506" ca="1">INDIRECT("'"&amp;$C506&amp;"'!"&amp;"$"&amp;$D506&amp;$AD$1&amp;"")</f>
        <v>3.8</v>
      </c>
      <c r="AE506" s="289">
        <f>3.8*3.56</f>
        <v>13.527999999999999</v>
      </c>
      <c r="AF506" s="289">
        <v>0.98</v>
      </c>
      <c r="AG506" s="290">
        <v>0.71</v>
      </c>
      <c r="AH506" s="286" cm="1">
        <f t="array" aca="1" ref="AH506" ca="1">INDIRECT("'"&amp;$C506&amp;"'!"&amp;"$"&amp;$D506&amp;$AH$1&amp;"")</f>
        <v>3.8</v>
      </c>
      <c r="AI506" s="289">
        <v>14</v>
      </c>
      <c r="AJ506" s="289">
        <v>0.99</v>
      </c>
      <c r="AK506" s="287">
        <v>0.19600000000000001</v>
      </c>
      <c r="AL506" s="286">
        <v>11.8</v>
      </c>
      <c r="AM506" s="290">
        <v>70.599999999999994</v>
      </c>
      <c r="AN506" s="286" cm="1">
        <f t="array" aca="1" ref="AN506" ca="1">INDIRECT("'"&amp;$C506&amp;"'!"&amp;"$"&amp;$D506&amp;$AL$1&amp;"")</f>
        <v>4</v>
      </c>
      <c r="AO506" s="289">
        <v>0.99</v>
      </c>
      <c r="AP506" s="287">
        <v>0.52</v>
      </c>
      <c r="AQ506" s="288" cm="1">
        <f t="array" aca="1" ref="AQ506" ca="1">INDIRECT("'"&amp;$C506&amp;"'!"&amp;"$"&amp;$D506&amp;$AQ$1&amp;"")</f>
        <v>4</v>
      </c>
      <c r="AR506" s="289">
        <v>0.99</v>
      </c>
      <c r="AS506" s="287">
        <v>0.52</v>
      </c>
      <c r="AT506" s="289" cm="1">
        <f t="array" aca="1" ref="AT506" ca="1">INDIRECT("'"&amp;$C506&amp;"'!"&amp;"$"&amp;$D506&amp;$AT$1&amp;"")</f>
        <v>5.61</v>
      </c>
      <c r="AU506" s="288">
        <v>13.84</v>
      </c>
      <c r="AV506" s="289">
        <v>0.99</v>
      </c>
      <c r="AW506" s="287">
        <v>0.57999999999999996</v>
      </c>
      <c r="AX506" s="291">
        <v>14.2</v>
      </c>
      <c r="AY506" s="290">
        <v>71.94</v>
      </c>
      <c r="AZ506" s="291" cm="1">
        <f t="array" aca="1" ref="AZ506" ca="1">INDIRECT("'"&amp;$C506&amp;"'!"&amp;"$"&amp;$D506&amp;$AZ$1&amp;"")</f>
        <v>14.28</v>
      </c>
      <c r="BA506" s="289">
        <v>0.99</v>
      </c>
      <c r="BB506" s="287">
        <v>2.4</v>
      </c>
      <c r="BC506" s="292">
        <v>68</v>
      </c>
      <c r="BD506" s="286" cm="1">
        <f t="array" aca="1" ref="BD506" ca="1">INDIRECT("'"&amp;$C506&amp;"'!"&amp;"$"&amp;$D506&amp;$BC$1&amp;"")</f>
        <v>0</v>
      </c>
      <c r="BE506" s="288" t="s">
        <v>1</v>
      </c>
      <c r="BF506" s="287" t="s">
        <v>1</v>
      </c>
      <c r="BG506" s="291" cm="1">
        <f t="array" aca="1" ref="BG506" ca="1">INDIRECT("'"&amp;$C506&amp;"'!"&amp;"$"&amp;$D506&amp;$BG$1&amp;"")</f>
        <v>1</v>
      </c>
      <c r="BH506" s="289"/>
      <c r="BI506" s="289">
        <v>0.98</v>
      </c>
      <c r="BJ506" s="287">
        <v>0.18</v>
      </c>
      <c r="BK506" s="291" cm="1">
        <f t="array" aca="1" ref="BK506" ca="1">INDIRECT("'"&amp;$C506&amp;"'!"&amp;"$"&amp;$D506&amp;$BK$1&amp;"")</f>
        <v>0.83</v>
      </c>
      <c r="BL506" s="289"/>
      <c r="BM506" s="289">
        <v>0.96</v>
      </c>
      <c r="BN506" s="287">
        <v>0.22</v>
      </c>
    </row>
    <row r="507" spans="1:66">
      <c r="A507" s="361">
        <v>45768</v>
      </c>
      <c r="B507" s="358">
        <v>8.3333333333333301E-2</v>
      </c>
      <c r="C507" s="313">
        <f t="shared" si="20"/>
        <v>21</v>
      </c>
      <c r="D507" s="314" t="s">
        <v>129</v>
      </c>
      <c r="E507" s="293">
        <v>13.8</v>
      </c>
      <c r="F507" s="294">
        <v>68.91</v>
      </c>
      <c r="G507" s="295" cm="1">
        <f t="array" aca="1" ref="G507" ca="1">INDIRECT("'"&amp;$C507&amp;"'!"&amp;"$"&amp;$D507&amp;$E$1&amp;"")</f>
        <v>0</v>
      </c>
      <c r="H507" s="296" t="s">
        <v>1</v>
      </c>
      <c r="I507" s="294" t="s">
        <v>1</v>
      </c>
      <c r="J507" s="295" cm="1">
        <f t="array" aca="1" ref="J507" ca="1">INDIRECT("'"&amp;$C507&amp;"'!"&amp;"$"&amp;$D507&amp;$J$1&amp;"")</f>
        <v>0</v>
      </c>
      <c r="K507" s="296"/>
      <c r="L507" s="296" t="s">
        <v>1</v>
      </c>
      <c r="M507" s="294" t="s">
        <v>1</v>
      </c>
      <c r="N507" s="295" cm="1">
        <f t="array" aca="1" ref="N507" ca="1">INDIRECT("'"&amp;$C507&amp;"'!"&amp;"$"&amp;$D507&amp;$N$1&amp;"")</f>
        <v>1.5</v>
      </c>
      <c r="O507" s="296"/>
      <c r="P507" s="296">
        <v>0.95</v>
      </c>
      <c r="Q507" s="294">
        <v>0.5</v>
      </c>
      <c r="R507" s="295" cm="1">
        <f t="array" aca="1" ref="R507" ca="1">INDIRECT("'"&amp;$C507&amp;"'!"&amp;"$"&amp;$D507&amp;$R$1&amp;"")</f>
        <v>1.5</v>
      </c>
      <c r="S507" s="296"/>
      <c r="T507" s="296">
        <v>0.95</v>
      </c>
      <c r="U507" s="294">
        <v>0.5</v>
      </c>
      <c r="V507" s="295" cm="1">
        <f t="array" aca="1" ref="V507" ca="1">INDIRECT("'"&amp;$C507&amp;"'!"&amp;"$"&amp;$D507&amp;$V$1&amp;"")</f>
        <v>2.8</v>
      </c>
      <c r="W507" s="296">
        <f>3.8*3.58</f>
        <v>13.603999999999999</v>
      </c>
      <c r="X507" s="296">
        <v>0.96</v>
      </c>
      <c r="Y507" s="297">
        <v>0.71</v>
      </c>
      <c r="Z507" s="293" cm="1">
        <f t="array" aca="1" ref="Z507" ca="1">INDIRECT("'"&amp;$C507&amp;"'!"&amp;"$"&amp;$D507&amp;$Z$1&amp;"")</f>
        <v>0</v>
      </c>
      <c r="AA507" s="296" t="s">
        <v>1</v>
      </c>
      <c r="AB507" s="296" t="s">
        <v>1</v>
      </c>
      <c r="AC507" s="294" t="s">
        <v>1</v>
      </c>
      <c r="AD507" s="295" cm="1">
        <f t="array" aca="1" ref="AD507" ca="1">INDIRECT("'"&amp;$C507&amp;"'!"&amp;"$"&amp;$D507&amp;$AD$1&amp;"")</f>
        <v>3.8</v>
      </c>
      <c r="AE507" s="296">
        <f>3.8*3.58</f>
        <v>13.603999999999999</v>
      </c>
      <c r="AF507" s="296">
        <v>0.95</v>
      </c>
      <c r="AG507" s="297">
        <v>1.21</v>
      </c>
      <c r="AH507" s="293" cm="1">
        <f t="array" aca="1" ref="AH507" ca="1">INDIRECT("'"&amp;$C507&amp;"'!"&amp;"$"&amp;$D507&amp;$AH$1&amp;"")</f>
        <v>3.8</v>
      </c>
      <c r="AI507" s="296">
        <v>14.08</v>
      </c>
      <c r="AJ507" s="296">
        <v>0.99</v>
      </c>
      <c r="AK507" s="297">
        <v>0.214</v>
      </c>
      <c r="AL507" s="293">
        <v>11.8</v>
      </c>
      <c r="AM507" s="297">
        <v>70.900000000000006</v>
      </c>
      <c r="AN507" s="293" cm="1">
        <f t="array" aca="1" ref="AN507" ca="1">INDIRECT("'"&amp;$C507&amp;"'!"&amp;"$"&amp;$D507&amp;$AL$1&amp;"")</f>
        <v>4</v>
      </c>
      <c r="AO507" s="296">
        <v>0.98</v>
      </c>
      <c r="AP507" s="294">
        <v>0.71</v>
      </c>
      <c r="AQ507" s="295" cm="1">
        <f t="array" aca="1" ref="AQ507" ca="1">INDIRECT("'"&amp;$C507&amp;"'!"&amp;"$"&amp;$D507&amp;$AQ$1&amp;"")</f>
        <v>4</v>
      </c>
      <c r="AR507" s="296">
        <v>0.98</v>
      </c>
      <c r="AS507" s="294">
        <v>0.71</v>
      </c>
      <c r="AT507" s="296" cm="1">
        <f t="array" aca="1" ref="AT507" ca="1">INDIRECT("'"&amp;$C507&amp;"'!"&amp;"$"&amp;$D507&amp;$AT$1&amp;"")</f>
        <v>4.3600000000000003</v>
      </c>
      <c r="AU507" s="295">
        <v>13.93</v>
      </c>
      <c r="AV507" s="296">
        <v>1</v>
      </c>
      <c r="AW507" s="294">
        <v>0.26</v>
      </c>
      <c r="AX507" s="298">
        <v>14.26</v>
      </c>
      <c r="AY507" s="297">
        <v>72.260000000000005</v>
      </c>
      <c r="AZ507" s="298" cm="1">
        <f t="array" aca="1" ref="AZ507" ca="1">INDIRECT("'"&amp;$C507&amp;"'!"&amp;"$"&amp;$D507&amp;$AZ$1&amp;"")</f>
        <v>14.27</v>
      </c>
      <c r="BA507" s="296">
        <v>0.99</v>
      </c>
      <c r="BB507" s="294">
        <v>2.5</v>
      </c>
      <c r="BC507" s="299">
        <v>68.8</v>
      </c>
      <c r="BD507" s="293" cm="1">
        <f t="array" aca="1" ref="BD507" ca="1">INDIRECT("'"&amp;$C507&amp;"'!"&amp;"$"&amp;$D507&amp;$BC$1&amp;"")</f>
        <v>4</v>
      </c>
      <c r="BE507" s="295">
        <v>0.98</v>
      </c>
      <c r="BF507" s="294">
        <v>0.8</v>
      </c>
      <c r="BG507" s="298" cm="1">
        <f t="array" aca="1" ref="BG507" ca="1">INDIRECT("'"&amp;$C507&amp;"'!"&amp;"$"&amp;$D507&amp;$BG$1&amp;"")</f>
        <v>0.99</v>
      </c>
      <c r="BH507" s="296"/>
      <c r="BI507" s="296">
        <v>0.98</v>
      </c>
      <c r="BJ507" s="294">
        <v>0.17</v>
      </c>
      <c r="BK507" s="298" cm="1">
        <f t="array" aca="1" ref="BK507" ca="1">INDIRECT("'"&amp;$C507&amp;"'!"&amp;"$"&amp;$D507&amp;$BK$1&amp;"")</f>
        <v>0.82</v>
      </c>
      <c r="BL507" s="296"/>
      <c r="BM507" s="296">
        <v>0.96</v>
      </c>
      <c r="BN507" s="294">
        <v>0.22</v>
      </c>
    </row>
    <row r="508" spans="1:66">
      <c r="A508" s="361">
        <v>45768</v>
      </c>
      <c r="B508" s="358">
        <v>0.125</v>
      </c>
      <c r="C508" s="313">
        <f t="shared" si="20"/>
        <v>21</v>
      </c>
      <c r="D508" s="314" t="s">
        <v>130</v>
      </c>
      <c r="E508" s="286">
        <v>14.1</v>
      </c>
      <c r="F508" s="287">
        <v>70.16</v>
      </c>
      <c r="G508" s="288" cm="1">
        <f t="array" aca="1" ref="G508" ca="1">INDIRECT("'"&amp;$C508&amp;"'!"&amp;"$"&amp;$D508&amp;$E$1&amp;"")</f>
        <v>0</v>
      </c>
      <c r="H508" s="289" t="s">
        <v>1</v>
      </c>
      <c r="I508" s="287" t="s">
        <v>1</v>
      </c>
      <c r="J508" s="288" cm="1">
        <f t="array" aca="1" ref="J508" ca="1">INDIRECT("'"&amp;$C508&amp;"'!"&amp;"$"&amp;$D508&amp;$J$1&amp;"")</f>
        <v>0</v>
      </c>
      <c r="K508" s="289"/>
      <c r="L508" s="289" t="s">
        <v>1</v>
      </c>
      <c r="M508" s="287" t="s">
        <v>1</v>
      </c>
      <c r="N508" s="288" cm="1">
        <f t="array" aca="1" ref="N508" ca="1">INDIRECT("'"&amp;$C508&amp;"'!"&amp;"$"&amp;$D508&amp;$N$1&amp;"")</f>
        <v>6.7</v>
      </c>
      <c r="O508" s="289"/>
      <c r="P508" s="289">
        <v>0.95</v>
      </c>
      <c r="Q508" s="287">
        <v>2.15</v>
      </c>
      <c r="R508" s="288" cm="1">
        <f t="array" aca="1" ref="R508" ca="1">INDIRECT("'"&amp;$C508&amp;"'!"&amp;"$"&amp;$D508&amp;$R$1&amp;"")</f>
        <v>6.7</v>
      </c>
      <c r="S508" s="289"/>
      <c r="T508" s="289">
        <v>0.95</v>
      </c>
      <c r="U508" s="287">
        <v>2.13</v>
      </c>
      <c r="V508" s="288" cm="1">
        <f t="array" aca="1" ref="V508" ca="1">INDIRECT("'"&amp;$C508&amp;"'!"&amp;"$"&amp;$D508&amp;$V$1&amp;"")</f>
        <v>0</v>
      </c>
      <c r="W508" s="289" t="s">
        <v>1</v>
      </c>
      <c r="X508" s="289" t="s">
        <v>1</v>
      </c>
      <c r="Y508" s="290" t="s">
        <v>1</v>
      </c>
      <c r="Z508" s="286" cm="1">
        <f t="array" aca="1" ref="Z508" ca="1">INDIRECT("'"&amp;$C508&amp;"'!"&amp;"$"&amp;$D508&amp;$Z$1&amp;"")</f>
        <v>0</v>
      </c>
      <c r="AA508" s="289" t="s">
        <v>1</v>
      </c>
      <c r="AB508" s="289" t="s">
        <v>1</v>
      </c>
      <c r="AC508" s="287" t="s">
        <v>1</v>
      </c>
      <c r="AD508" s="288" cm="1">
        <f t="array" aca="1" ref="AD508" ca="1">INDIRECT("'"&amp;$C508&amp;"'!"&amp;"$"&amp;$D508&amp;$AD$1&amp;"")</f>
        <v>3.8</v>
      </c>
      <c r="AE508" s="289">
        <f>3.8*3.57</f>
        <v>13.565999999999999</v>
      </c>
      <c r="AF508" s="289">
        <v>0.98</v>
      </c>
      <c r="AG508" s="287">
        <v>0.73</v>
      </c>
      <c r="AH508" s="286" cm="1">
        <f t="array" aca="1" ref="AH508" ca="1">INDIRECT("'"&amp;$C508&amp;"'!"&amp;"$"&amp;$D508&amp;$AH$1&amp;"")</f>
        <v>0</v>
      </c>
      <c r="AI508" s="289" t="s">
        <v>1</v>
      </c>
      <c r="AJ508" s="289" t="s">
        <v>1</v>
      </c>
      <c r="AK508" s="287" t="s">
        <v>1</v>
      </c>
      <c r="AL508" s="286">
        <v>11.9</v>
      </c>
      <c r="AM508" s="290">
        <v>70.400000000000006</v>
      </c>
      <c r="AN508" s="286" cm="1">
        <f t="array" aca="1" ref="AN508" ca="1">INDIRECT("'"&amp;$C508&amp;"'!"&amp;"$"&amp;$D508&amp;$AL$1&amp;"")</f>
        <v>4.3</v>
      </c>
      <c r="AO508" s="289">
        <v>0.99</v>
      </c>
      <c r="AP508" s="287">
        <v>0.67</v>
      </c>
      <c r="AQ508" s="288" cm="1">
        <f t="array" aca="1" ref="AQ508" ca="1">INDIRECT("'"&amp;$C508&amp;"'!"&amp;"$"&amp;$D508&amp;$AQ$1&amp;"")</f>
        <v>4.3</v>
      </c>
      <c r="AR508" s="289">
        <v>0.99</v>
      </c>
      <c r="AS508" s="287">
        <v>0.65</v>
      </c>
      <c r="AT508" s="289" cm="1">
        <f t="array" aca="1" ref="AT508" ca="1">INDIRECT("'"&amp;$C508&amp;"'!"&amp;"$"&amp;$D508&amp;$AT$1&amp;"")</f>
        <v>0</v>
      </c>
      <c r="AU508" s="288" t="s">
        <v>1</v>
      </c>
      <c r="AV508" s="289" t="s">
        <v>1</v>
      </c>
      <c r="AW508" s="287" t="s">
        <v>1</v>
      </c>
      <c r="AX508" s="291">
        <v>13.94</v>
      </c>
      <c r="AY508" s="290">
        <v>71.010000000000005</v>
      </c>
      <c r="AZ508" s="291" cm="1">
        <f t="array" aca="1" ref="AZ508" ca="1">INDIRECT("'"&amp;$C508&amp;"'!"&amp;"$"&amp;$D508&amp;$AZ$1&amp;"")</f>
        <v>14.29</v>
      </c>
      <c r="BA508" s="289">
        <v>1</v>
      </c>
      <c r="BB508" s="287">
        <v>1.4</v>
      </c>
      <c r="BC508" s="292">
        <v>68.900000000000006</v>
      </c>
      <c r="BD508" s="286" cm="1">
        <f t="array" aca="1" ref="BD508" ca="1">INDIRECT("'"&amp;$C508&amp;"'!"&amp;"$"&amp;$D508&amp;$BC$1&amp;"")</f>
        <v>0.8</v>
      </c>
      <c r="BE508" s="288">
        <v>0.98</v>
      </c>
      <c r="BF508" s="287">
        <v>0.16</v>
      </c>
      <c r="BG508" s="291" cm="1">
        <f t="array" aca="1" ref="BG508" ca="1">INDIRECT("'"&amp;$C508&amp;"'!"&amp;"$"&amp;$D508&amp;$BG$1&amp;"")</f>
        <v>0.98</v>
      </c>
      <c r="BH508" s="289"/>
      <c r="BI508" s="289">
        <v>0.99</v>
      </c>
      <c r="BJ508" s="287">
        <v>0.17</v>
      </c>
      <c r="BK508" s="291" cm="1">
        <f t="array" aca="1" ref="BK508" ca="1">INDIRECT("'"&amp;$C508&amp;"'!"&amp;"$"&amp;$D508&amp;$BK$1&amp;"")</f>
        <v>0.81</v>
      </c>
      <c r="BL508" s="289"/>
      <c r="BM508" s="289">
        <v>0.96</v>
      </c>
      <c r="BN508" s="287">
        <v>0.22</v>
      </c>
    </row>
    <row r="509" spans="1:66">
      <c r="A509" s="361">
        <v>45768</v>
      </c>
      <c r="B509" s="358">
        <v>0.16666666666666699</v>
      </c>
      <c r="C509" s="313">
        <f t="shared" si="20"/>
        <v>21</v>
      </c>
      <c r="D509" s="314" t="s">
        <v>131</v>
      </c>
      <c r="E509" s="293">
        <v>14.1</v>
      </c>
      <c r="F509" s="294">
        <v>70.150000000000006</v>
      </c>
      <c r="G509" s="295" cm="1">
        <f t="array" aca="1" ref="G509" ca="1">INDIRECT("'"&amp;$C509&amp;"'!"&amp;"$"&amp;$D509&amp;$E$1&amp;"")</f>
        <v>0</v>
      </c>
      <c r="H509" s="296" t="s">
        <v>1</v>
      </c>
      <c r="I509" s="294" t="s">
        <v>1</v>
      </c>
      <c r="J509" s="295" cm="1">
        <f t="array" aca="1" ref="J509" ca="1">INDIRECT("'"&amp;$C509&amp;"'!"&amp;"$"&amp;$D509&amp;$J$1&amp;"")</f>
        <v>0</v>
      </c>
      <c r="K509" s="296"/>
      <c r="L509" s="296" t="s">
        <v>1</v>
      </c>
      <c r="M509" s="294" t="s">
        <v>1</v>
      </c>
      <c r="N509" s="295" cm="1">
        <f t="array" aca="1" ref="N509" ca="1">INDIRECT("'"&amp;$C509&amp;"'!"&amp;"$"&amp;$D509&amp;$N$1&amp;"")</f>
        <v>6.6</v>
      </c>
      <c r="O509" s="296"/>
      <c r="P509" s="296">
        <v>0.94</v>
      </c>
      <c r="Q509" s="294">
        <v>2.21</v>
      </c>
      <c r="R509" s="295" cm="1">
        <f t="array" aca="1" ref="R509" ca="1">INDIRECT("'"&amp;$C509&amp;"'!"&amp;"$"&amp;$D509&amp;$R$1&amp;"")</f>
        <v>6.6</v>
      </c>
      <c r="S509" s="296"/>
      <c r="T509" s="296">
        <v>0.94</v>
      </c>
      <c r="U509" s="294">
        <v>2.2000000000000002</v>
      </c>
      <c r="V509" s="295" cm="1">
        <f t="array" aca="1" ref="V509" ca="1">INDIRECT("'"&amp;$C509&amp;"'!"&amp;"$"&amp;$D509&amp;$V$1&amp;"")</f>
        <v>0</v>
      </c>
      <c r="W509" s="296" t="s">
        <v>1</v>
      </c>
      <c r="X509" s="296" t="s">
        <v>1</v>
      </c>
      <c r="Y509" s="297" t="s">
        <v>1</v>
      </c>
      <c r="Z509" s="293" cm="1">
        <f t="array" aca="1" ref="Z509" ca="1">INDIRECT("'"&amp;$C509&amp;"'!"&amp;"$"&amp;$D509&amp;$Z$1&amp;"")</f>
        <v>0</v>
      </c>
      <c r="AA509" s="296" t="s">
        <v>1</v>
      </c>
      <c r="AB509" s="296" t="s">
        <v>1</v>
      </c>
      <c r="AC509" s="294" t="s">
        <v>1</v>
      </c>
      <c r="AD509" s="295" cm="1">
        <f t="array" aca="1" ref="AD509" ca="1">INDIRECT("'"&amp;$C509&amp;"'!"&amp;"$"&amp;$D509&amp;$AD$1&amp;"")</f>
        <v>3.8</v>
      </c>
      <c r="AE509" s="296">
        <f>3.8*3.59</f>
        <v>13.641999999999999</v>
      </c>
      <c r="AF509" s="296">
        <v>0.98</v>
      </c>
      <c r="AG509" s="294">
        <v>0.71</v>
      </c>
      <c r="AH509" s="293" cm="1">
        <f t="array" aca="1" ref="AH509" ca="1">INDIRECT("'"&amp;$C509&amp;"'!"&amp;"$"&amp;$D509&amp;$AH$1&amp;"")</f>
        <v>0</v>
      </c>
      <c r="AI509" s="296" t="s">
        <v>1</v>
      </c>
      <c r="AJ509" s="296" t="s">
        <v>1</v>
      </c>
      <c r="AK509" s="294" t="s">
        <v>1</v>
      </c>
      <c r="AL509" s="293">
        <v>11.9</v>
      </c>
      <c r="AM509" s="297">
        <v>70.400000000000006</v>
      </c>
      <c r="AN509" s="293" cm="1">
        <f t="array" aca="1" ref="AN509" ca="1">INDIRECT("'"&amp;$C509&amp;"'!"&amp;"$"&amp;$D509&amp;$AL$1&amp;"")</f>
        <v>4.2</v>
      </c>
      <c r="AO509" s="296">
        <v>0.98</v>
      </c>
      <c r="AP509" s="294">
        <v>0.65</v>
      </c>
      <c r="AQ509" s="295" cm="1">
        <f t="array" aca="1" ref="AQ509" ca="1">INDIRECT("'"&amp;$C509&amp;"'!"&amp;"$"&amp;$D509&amp;$AQ$1&amp;"")</f>
        <v>4.2</v>
      </c>
      <c r="AR509" s="296">
        <v>0.98</v>
      </c>
      <c r="AS509" s="294">
        <v>0.65</v>
      </c>
      <c r="AT509" s="296" cm="1">
        <f t="array" aca="1" ref="AT509" ca="1">INDIRECT("'"&amp;$C509&amp;"'!"&amp;"$"&amp;$D509&amp;$AT$1&amp;"")</f>
        <v>0</v>
      </c>
      <c r="AU509" s="295" t="s">
        <v>1</v>
      </c>
      <c r="AV509" s="296" t="s">
        <v>1</v>
      </c>
      <c r="AW509" s="294" t="s">
        <v>1</v>
      </c>
      <c r="AX509" s="298">
        <v>13.97</v>
      </c>
      <c r="AY509" s="297">
        <v>71.14</v>
      </c>
      <c r="AZ509" s="298" cm="1">
        <f t="array" aca="1" ref="AZ509" ca="1">INDIRECT("'"&amp;$C509&amp;"'!"&amp;"$"&amp;$D509&amp;$AZ$1&amp;"")</f>
        <v>14.28</v>
      </c>
      <c r="BA509" s="296">
        <v>1</v>
      </c>
      <c r="BB509" s="294">
        <v>1.4</v>
      </c>
      <c r="BC509" s="299">
        <v>68.8</v>
      </c>
      <c r="BD509" s="293" cm="1">
        <f t="array" aca="1" ref="BD509" ca="1">INDIRECT("'"&amp;$C509&amp;"'!"&amp;"$"&amp;$D509&amp;$BC$1&amp;"")</f>
        <v>0</v>
      </c>
      <c r="BE509" s="295" t="s">
        <v>1</v>
      </c>
      <c r="BF509" s="294" t="s">
        <v>1</v>
      </c>
      <c r="BG509" s="298" cm="1">
        <f t="array" aca="1" ref="BG509" ca="1">INDIRECT("'"&amp;$C509&amp;"'!"&amp;"$"&amp;$D509&amp;$BG$1&amp;"")</f>
        <v>1</v>
      </c>
      <c r="BH509" s="296"/>
      <c r="BI509" s="296">
        <v>0.99</v>
      </c>
      <c r="BJ509" s="294">
        <v>0.12</v>
      </c>
      <c r="BK509" s="298" cm="1">
        <f t="array" aca="1" ref="BK509" ca="1">INDIRECT("'"&amp;$C509&amp;"'!"&amp;"$"&amp;$D509&amp;$BK$1&amp;"")</f>
        <v>0.78</v>
      </c>
      <c r="BL509" s="296"/>
      <c r="BM509" s="296">
        <v>0.96</v>
      </c>
      <c r="BN509" s="294">
        <v>0.2</v>
      </c>
    </row>
    <row r="510" spans="1:66">
      <c r="A510" s="361">
        <v>45768</v>
      </c>
      <c r="B510" s="358">
        <v>0.20833333333333301</v>
      </c>
      <c r="C510" s="313">
        <f t="shared" si="20"/>
        <v>21</v>
      </c>
      <c r="D510" s="314" t="s">
        <v>132</v>
      </c>
      <c r="E510" s="286">
        <v>14.1</v>
      </c>
      <c r="F510" s="287">
        <v>70.08</v>
      </c>
      <c r="G510" s="288" cm="1">
        <f t="array" aca="1" ref="G510" ca="1">INDIRECT("'"&amp;$C510&amp;"'!"&amp;"$"&amp;$D510&amp;$E$1&amp;"")</f>
        <v>0</v>
      </c>
      <c r="H510" s="289" t="s">
        <v>1</v>
      </c>
      <c r="I510" s="287" t="s">
        <v>1</v>
      </c>
      <c r="J510" s="288" cm="1">
        <f t="array" aca="1" ref="J510" ca="1">INDIRECT("'"&amp;$C510&amp;"'!"&amp;"$"&amp;$D510&amp;$J$1&amp;"")</f>
        <v>0</v>
      </c>
      <c r="K510" s="289"/>
      <c r="L510" s="289" t="s">
        <v>1</v>
      </c>
      <c r="M510" s="287" t="s">
        <v>1</v>
      </c>
      <c r="N510" s="288" cm="1">
        <f t="array" aca="1" ref="N510" ca="1">INDIRECT("'"&amp;$C510&amp;"'!"&amp;"$"&amp;$D510&amp;$N$1&amp;"")</f>
        <v>6.6</v>
      </c>
      <c r="O510" s="289"/>
      <c r="P510" s="289">
        <v>0.94</v>
      </c>
      <c r="Q510" s="287">
        <v>2.2799999999999998</v>
      </c>
      <c r="R510" s="288" cm="1">
        <f t="array" aca="1" ref="R510" ca="1">INDIRECT("'"&amp;$C510&amp;"'!"&amp;"$"&amp;$D510&amp;$R$1&amp;"")</f>
        <v>6.6</v>
      </c>
      <c r="S510" s="289"/>
      <c r="T510" s="289">
        <v>0.94</v>
      </c>
      <c r="U510" s="287">
        <v>2.29</v>
      </c>
      <c r="V510" s="288" cm="1">
        <f t="array" aca="1" ref="V510" ca="1">INDIRECT("'"&amp;$C510&amp;"'!"&amp;"$"&amp;$D510&amp;$V$1&amp;"")</f>
        <v>0</v>
      </c>
      <c r="W510" s="289" t="s">
        <v>1</v>
      </c>
      <c r="X510" s="289" t="s">
        <v>1</v>
      </c>
      <c r="Y510" s="290" t="s">
        <v>1</v>
      </c>
      <c r="Z510" s="286" cm="1">
        <f t="array" aca="1" ref="Z510" ca="1">INDIRECT("'"&amp;$C510&amp;"'!"&amp;"$"&amp;$D510&amp;$Z$1&amp;"")</f>
        <v>0</v>
      </c>
      <c r="AA510" s="289" t="s">
        <v>1</v>
      </c>
      <c r="AB510" s="289" t="s">
        <v>1</v>
      </c>
      <c r="AC510" s="287" t="s">
        <v>1</v>
      </c>
      <c r="AD510" s="288" cm="1">
        <f t="array" aca="1" ref="AD510" ca="1">INDIRECT("'"&amp;$C510&amp;"'!"&amp;"$"&amp;$D510&amp;$AD$1&amp;"")</f>
        <v>3.8</v>
      </c>
      <c r="AE510" s="289">
        <f>3.8*3.53</f>
        <v>13.413999999999998</v>
      </c>
      <c r="AF510" s="289">
        <v>0.98</v>
      </c>
      <c r="AG510" s="290">
        <v>0.74</v>
      </c>
      <c r="AH510" s="286" cm="1">
        <f t="array" aca="1" ref="AH510" ca="1">INDIRECT("'"&amp;$C510&amp;"'!"&amp;"$"&amp;$D510&amp;$AH$1&amp;"")</f>
        <v>0</v>
      </c>
      <c r="AI510" s="289" t="s">
        <v>1</v>
      </c>
      <c r="AJ510" s="289" t="s">
        <v>1</v>
      </c>
      <c r="AK510" s="290" t="s">
        <v>1</v>
      </c>
      <c r="AL510" s="286">
        <v>11.9</v>
      </c>
      <c r="AM510" s="290">
        <v>70.400000000000006</v>
      </c>
      <c r="AN510" s="286" cm="1">
        <f t="array" aca="1" ref="AN510" ca="1">INDIRECT("'"&amp;$C510&amp;"'!"&amp;"$"&amp;$D510&amp;$AL$1&amp;"")</f>
        <v>4.2</v>
      </c>
      <c r="AO510" s="289">
        <v>0.99</v>
      </c>
      <c r="AP510" s="287">
        <v>0.57999999999999996</v>
      </c>
      <c r="AQ510" s="288" cm="1">
        <f t="array" aca="1" ref="AQ510" ca="1">INDIRECT("'"&amp;$C510&amp;"'!"&amp;"$"&amp;$D510&amp;$AQ$1&amp;"")</f>
        <v>4.2</v>
      </c>
      <c r="AR510" s="289">
        <v>0.99</v>
      </c>
      <c r="AS510" s="287">
        <v>0.57999999999999996</v>
      </c>
      <c r="AT510" s="289" cm="1">
        <f t="array" aca="1" ref="AT510" ca="1">INDIRECT("'"&amp;$C510&amp;"'!"&amp;"$"&amp;$D510&amp;$AT$1&amp;"")</f>
        <v>0</v>
      </c>
      <c r="AU510" s="288" t="s">
        <v>1</v>
      </c>
      <c r="AV510" s="289" t="s">
        <v>1</v>
      </c>
      <c r="AW510" s="287" t="s">
        <v>1</v>
      </c>
      <c r="AX510" s="291">
        <v>13.999000000000001</v>
      </c>
      <c r="AY510" s="290">
        <v>71.222999999999999</v>
      </c>
      <c r="AZ510" s="291" cm="1">
        <f t="array" aca="1" ref="AZ510" ca="1">INDIRECT("'"&amp;$C510&amp;"'!"&amp;"$"&amp;$D510&amp;$AZ$1&amp;"")</f>
        <v>14.29</v>
      </c>
      <c r="BA510" s="289">
        <v>1</v>
      </c>
      <c r="BB510" s="287">
        <v>1.4</v>
      </c>
      <c r="BC510" s="292">
        <v>68.8</v>
      </c>
      <c r="BD510" s="286" cm="1">
        <f t="array" aca="1" ref="BD510" ca="1">INDIRECT("'"&amp;$C510&amp;"'!"&amp;"$"&amp;$D510&amp;$BC$1&amp;"")</f>
        <v>0</v>
      </c>
      <c r="BE510" s="288" t="s">
        <v>1</v>
      </c>
      <c r="BF510" s="287" t="s">
        <v>1</v>
      </c>
      <c r="BG510" s="291" cm="1">
        <f t="array" aca="1" ref="BG510" ca="1">INDIRECT("'"&amp;$C510&amp;"'!"&amp;"$"&amp;$D510&amp;$BG$1&amp;"")</f>
        <v>1</v>
      </c>
      <c r="BH510" s="289"/>
      <c r="BI510" s="289">
        <v>0.99</v>
      </c>
      <c r="BJ510" s="287">
        <v>0.13</v>
      </c>
      <c r="BK510" s="291" cm="1">
        <f t="array" aca="1" ref="BK510" ca="1">INDIRECT("'"&amp;$C510&amp;"'!"&amp;"$"&amp;$D510&amp;$BK$1&amp;"")</f>
        <v>0.8</v>
      </c>
      <c r="BL510" s="289"/>
      <c r="BM510" s="289">
        <v>0.96</v>
      </c>
      <c r="BN510" s="287">
        <v>0.21</v>
      </c>
    </row>
    <row r="511" spans="1:66">
      <c r="A511" s="361">
        <v>45768</v>
      </c>
      <c r="B511" s="358">
        <v>0.25</v>
      </c>
      <c r="C511" s="313">
        <f t="shared" si="20"/>
        <v>21</v>
      </c>
      <c r="D511" s="314" t="s">
        <v>133</v>
      </c>
      <c r="E511" s="293">
        <v>14.1</v>
      </c>
      <c r="F511" s="294">
        <v>70.19</v>
      </c>
      <c r="G511" s="295" cm="1">
        <f t="array" aca="1" ref="G511" ca="1">INDIRECT("'"&amp;$C511&amp;"'!"&amp;"$"&amp;$D511&amp;$E$1&amp;"")</f>
        <v>0</v>
      </c>
      <c r="H511" s="296" t="s">
        <v>1</v>
      </c>
      <c r="I511" s="294" t="s">
        <v>1</v>
      </c>
      <c r="J511" s="295" cm="1">
        <f t="array" aca="1" ref="J511" ca="1">INDIRECT("'"&amp;$C511&amp;"'!"&amp;"$"&amp;$D511&amp;$J$1&amp;"")</f>
        <v>0</v>
      </c>
      <c r="K511" s="296"/>
      <c r="L511" s="296" t="s">
        <v>1</v>
      </c>
      <c r="M511" s="294" t="s">
        <v>1</v>
      </c>
      <c r="N511" s="295" cm="1">
        <f t="array" aca="1" ref="N511" ca="1">INDIRECT("'"&amp;$C511&amp;"'!"&amp;"$"&amp;$D511&amp;$N$1&amp;"")</f>
        <v>6.7</v>
      </c>
      <c r="O511" s="296"/>
      <c r="P511" s="296">
        <v>0.95</v>
      </c>
      <c r="Q511" s="294">
        <v>2.15</v>
      </c>
      <c r="R511" s="295" cm="1">
        <f t="array" aca="1" ref="R511" ca="1">INDIRECT("'"&amp;$C511&amp;"'!"&amp;"$"&amp;$D511&amp;$R$1&amp;"")</f>
        <v>6.7</v>
      </c>
      <c r="S511" s="296"/>
      <c r="T511" s="296">
        <v>0.95</v>
      </c>
      <c r="U511" s="294">
        <v>2.14</v>
      </c>
      <c r="V511" s="295" cm="1">
        <f t="array" aca="1" ref="V511" ca="1">INDIRECT("'"&amp;$C511&amp;"'!"&amp;"$"&amp;$D511&amp;$V$1&amp;"")</f>
        <v>0</v>
      </c>
      <c r="W511" s="296" t="s">
        <v>1</v>
      </c>
      <c r="X511" s="296" t="s">
        <v>1</v>
      </c>
      <c r="Y511" s="297" t="s">
        <v>1</v>
      </c>
      <c r="Z511" s="293" cm="1">
        <f t="array" aca="1" ref="Z511" ca="1">INDIRECT("'"&amp;$C511&amp;"'!"&amp;"$"&amp;$D511&amp;$Z$1&amp;"")</f>
        <v>0</v>
      </c>
      <c r="AA511" s="296" t="s">
        <v>1</v>
      </c>
      <c r="AB511" s="296" t="s">
        <v>1</v>
      </c>
      <c r="AC511" s="294" t="s">
        <v>1</v>
      </c>
      <c r="AD511" s="295" cm="1">
        <f t="array" aca="1" ref="AD511" ca="1">INDIRECT("'"&amp;$C511&amp;"'!"&amp;"$"&amp;$D511&amp;$AD$1&amp;"")</f>
        <v>3.8</v>
      </c>
      <c r="AE511" s="296">
        <f>3.8*3.51</f>
        <v>13.337999999999999</v>
      </c>
      <c r="AF511" s="296">
        <v>0.98</v>
      </c>
      <c r="AG511" s="297">
        <v>0.52</v>
      </c>
      <c r="AH511" s="293" cm="1">
        <f t="array" aca="1" ref="AH511" ca="1">INDIRECT("'"&amp;$C511&amp;"'!"&amp;"$"&amp;$D511&amp;$AH$1&amp;"")</f>
        <v>0</v>
      </c>
      <c r="AI511" s="296" t="s">
        <v>1</v>
      </c>
      <c r="AJ511" s="296" t="s">
        <v>1</v>
      </c>
      <c r="AK511" s="294" t="s">
        <v>1</v>
      </c>
      <c r="AL511" s="293">
        <v>11.9</v>
      </c>
      <c r="AM511" s="297">
        <v>70.3</v>
      </c>
      <c r="AN511" s="293" cm="1">
        <f t="array" aca="1" ref="AN511" ca="1">INDIRECT("'"&amp;$C511&amp;"'!"&amp;"$"&amp;$D511&amp;$AL$1&amp;"")</f>
        <v>4.2</v>
      </c>
      <c r="AO511" s="296">
        <v>0.99</v>
      </c>
      <c r="AP511" s="294">
        <v>0.68</v>
      </c>
      <c r="AQ511" s="295" cm="1">
        <f t="array" aca="1" ref="AQ511" ca="1">INDIRECT("'"&amp;$C511&amp;"'!"&amp;"$"&amp;$D511&amp;$AQ$1&amp;"")</f>
        <v>4.2</v>
      </c>
      <c r="AR511" s="296">
        <v>0.99</v>
      </c>
      <c r="AS511" s="294">
        <v>0.68</v>
      </c>
      <c r="AT511" s="296" cm="1">
        <f t="array" aca="1" ref="AT511" ca="1">INDIRECT("'"&amp;$C511&amp;"'!"&amp;"$"&amp;$D511&amp;$AT$1&amp;"")</f>
        <v>0</v>
      </c>
      <c r="AU511" s="295" t="s">
        <v>1</v>
      </c>
      <c r="AV511" s="296" t="s">
        <v>1</v>
      </c>
      <c r="AW511" s="294" t="s">
        <v>1</v>
      </c>
      <c r="AX511" s="298">
        <v>13.91</v>
      </c>
      <c r="AY511" s="297">
        <v>71.23</v>
      </c>
      <c r="AZ511" s="298" cm="1">
        <f t="array" aca="1" ref="AZ511" ca="1">INDIRECT("'"&amp;$C511&amp;"'!"&amp;"$"&amp;$D511&amp;$AZ$1&amp;"")</f>
        <v>14.3</v>
      </c>
      <c r="BA511" s="296">
        <v>1</v>
      </c>
      <c r="BB511" s="294">
        <v>1.4</v>
      </c>
      <c r="BC511" s="299">
        <v>68.900000000000006</v>
      </c>
      <c r="BD511" s="293" cm="1">
        <f t="array" aca="1" ref="BD511" ca="1">INDIRECT("'"&amp;$C511&amp;"'!"&amp;"$"&amp;$D511&amp;$BC$1&amp;"")</f>
        <v>2.25</v>
      </c>
      <c r="BE511" s="295">
        <v>0.98</v>
      </c>
      <c r="BF511" s="294">
        <v>0.44</v>
      </c>
      <c r="BG511" s="298" cm="1">
        <f t="array" aca="1" ref="BG511" ca="1">INDIRECT("'"&amp;$C511&amp;"'!"&amp;"$"&amp;$D511&amp;$BG$1&amp;"")</f>
        <v>1.1399999999999999</v>
      </c>
      <c r="BH511" s="296"/>
      <c r="BI511" s="296">
        <v>0.99</v>
      </c>
      <c r="BJ511" s="294">
        <v>0.19</v>
      </c>
      <c r="BK511" s="298" cm="1">
        <f t="array" aca="1" ref="BK511" ca="1">INDIRECT("'"&amp;$C511&amp;"'!"&amp;"$"&amp;$D511&amp;$BK$1&amp;"")</f>
        <v>0.83</v>
      </c>
      <c r="BL511" s="296"/>
      <c r="BM511" s="296">
        <v>0.97</v>
      </c>
      <c r="BN511" s="294">
        <v>0.21</v>
      </c>
    </row>
    <row r="512" spans="1:66">
      <c r="A512" s="361">
        <v>45768</v>
      </c>
      <c r="B512" s="358">
        <v>0.29166666666666702</v>
      </c>
      <c r="C512" s="313">
        <f t="shared" si="20"/>
        <v>21</v>
      </c>
      <c r="D512" s="314" t="s">
        <v>134</v>
      </c>
      <c r="E512" s="286">
        <v>13.9</v>
      </c>
      <c r="F512" s="287">
        <v>69.540000000000006</v>
      </c>
      <c r="G512" s="288" cm="1">
        <f t="array" aca="1" ref="G512" ca="1">INDIRECT("'"&amp;$C512&amp;"'!"&amp;"$"&amp;$D512&amp;$E$1&amp;"")</f>
        <v>0</v>
      </c>
      <c r="H512" s="289" t="s">
        <v>1</v>
      </c>
      <c r="I512" s="287" t="s">
        <v>1</v>
      </c>
      <c r="J512" s="288" cm="1">
        <f t="array" aca="1" ref="J512" ca="1">INDIRECT("'"&amp;$C512&amp;"'!"&amp;"$"&amp;$D512&amp;$J$1&amp;"")</f>
        <v>0</v>
      </c>
      <c r="K512" s="289"/>
      <c r="L512" s="289" t="s">
        <v>1</v>
      </c>
      <c r="M512" s="287" t="s">
        <v>1</v>
      </c>
      <c r="N512" s="288" cm="1">
        <f t="array" aca="1" ref="N512" ca="1">INDIRECT("'"&amp;$C512&amp;"'!"&amp;"$"&amp;$D512&amp;$N$1&amp;"")</f>
        <v>6.6</v>
      </c>
      <c r="O512" s="289"/>
      <c r="P512" s="289">
        <v>0.92</v>
      </c>
      <c r="Q512" s="287">
        <v>2.82</v>
      </c>
      <c r="R512" s="288" cm="1">
        <f t="array" aca="1" ref="R512" ca="1">INDIRECT("'"&amp;$C512&amp;"'!"&amp;"$"&amp;$D512&amp;$R$1&amp;"")</f>
        <v>6.6</v>
      </c>
      <c r="S512" s="289"/>
      <c r="T512" s="289">
        <v>0.92</v>
      </c>
      <c r="U512" s="287">
        <v>2.8</v>
      </c>
      <c r="V512" s="288" cm="1">
        <f t="array" aca="1" ref="V512" ca="1">INDIRECT("'"&amp;$C512&amp;"'!"&amp;"$"&amp;$D512&amp;$V$1&amp;"")</f>
        <v>0</v>
      </c>
      <c r="W512" s="289" t="s">
        <v>1</v>
      </c>
      <c r="X512" s="289" t="s">
        <v>1</v>
      </c>
      <c r="Y512" s="290" t="s">
        <v>1</v>
      </c>
      <c r="Z512" s="286" cm="1">
        <f t="array" aca="1" ref="Z512" ca="1">INDIRECT("'"&amp;$C512&amp;"'!"&amp;"$"&amp;$D512&amp;$Z$1&amp;"")</f>
        <v>0</v>
      </c>
      <c r="AA512" s="289" t="s">
        <v>1</v>
      </c>
      <c r="AB512" s="289" t="s">
        <v>1</v>
      </c>
      <c r="AC512" s="287" t="s">
        <v>1</v>
      </c>
      <c r="AD512" s="288" cm="1">
        <f t="array" aca="1" ref="AD512" ca="1">INDIRECT("'"&amp;$C512&amp;"'!"&amp;"$"&amp;$D512&amp;$AD$1&amp;"")</f>
        <v>3</v>
      </c>
      <c r="AE512" s="289">
        <f>3.8*3.51</f>
        <v>13.337999999999999</v>
      </c>
      <c r="AF512" s="289">
        <v>0.98</v>
      </c>
      <c r="AG512" s="290">
        <v>0.52</v>
      </c>
      <c r="AH512" s="286" cm="1">
        <f t="array" aca="1" ref="AH512" ca="1">INDIRECT("'"&amp;$C512&amp;"'!"&amp;"$"&amp;$D512&amp;$AH$1&amp;"")</f>
        <v>3</v>
      </c>
      <c r="AI512" s="289">
        <v>13.92</v>
      </c>
      <c r="AJ512" s="289">
        <v>0.99</v>
      </c>
      <c r="AK512" s="287">
        <v>0.115</v>
      </c>
      <c r="AL512" s="286">
        <v>11.8</v>
      </c>
      <c r="AM512" s="290">
        <v>70.2</v>
      </c>
      <c r="AN512" s="286" cm="1">
        <f t="array" aca="1" ref="AN512" ca="1">INDIRECT("'"&amp;$C512&amp;"'!"&amp;"$"&amp;$D512&amp;$AL$1&amp;"")</f>
        <v>3.8</v>
      </c>
      <c r="AO512" s="289">
        <v>0.98</v>
      </c>
      <c r="AP512" s="287">
        <v>0.75</v>
      </c>
      <c r="AQ512" s="288" cm="1">
        <f t="array" aca="1" ref="AQ512" ca="1">INDIRECT("'"&amp;$C512&amp;"'!"&amp;"$"&amp;$D512&amp;$AQ$1&amp;"")</f>
        <v>3.8</v>
      </c>
      <c r="AR512" s="289">
        <v>0.98</v>
      </c>
      <c r="AS512" s="287">
        <v>0.71</v>
      </c>
      <c r="AT512" s="289" cm="1">
        <f t="array" aca="1" ref="AT512" ca="1">INDIRECT("'"&amp;$C512&amp;"'!"&amp;"$"&amp;$D512&amp;$AT$1&amp;"")</f>
        <v>0</v>
      </c>
      <c r="AU512" s="288" t="s">
        <v>1</v>
      </c>
      <c r="AV512" s="289" t="s">
        <v>1</v>
      </c>
      <c r="AW512" s="287" t="s">
        <v>1</v>
      </c>
      <c r="AX512" s="291">
        <v>14.16</v>
      </c>
      <c r="AY512" s="290">
        <v>71.56</v>
      </c>
      <c r="AZ512" s="291" cm="1">
        <f t="array" aca="1" ref="AZ512" ca="1">INDIRECT("'"&amp;$C512&amp;"'!"&amp;"$"&amp;$D512&amp;$AZ$1&amp;"")</f>
        <v>14.31</v>
      </c>
      <c r="BA512" s="289">
        <v>0.99</v>
      </c>
      <c r="BB512" s="287">
        <v>2.5</v>
      </c>
      <c r="BC512" s="292">
        <v>68.099999999999994</v>
      </c>
      <c r="BD512" s="286" cm="1">
        <f t="array" aca="1" ref="BD512" ca="1">INDIRECT("'"&amp;$C512&amp;"'!"&amp;"$"&amp;$D512&amp;$BC$1&amp;"")</f>
        <v>0</v>
      </c>
      <c r="BE512" s="288" t="s">
        <v>1</v>
      </c>
      <c r="BF512" s="287" t="s">
        <v>1</v>
      </c>
      <c r="BG512" s="291" cm="1">
        <f t="array" aca="1" ref="BG512" ca="1">INDIRECT("'"&amp;$C512&amp;"'!"&amp;"$"&amp;$D512&amp;$BG$1&amp;"")</f>
        <v>0.55000000000000004</v>
      </c>
      <c r="BH512" s="289"/>
      <c r="BI512" s="289">
        <v>0.99</v>
      </c>
      <c r="BJ512" s="287">
        <v>0.05</v>
      </c>
      <c r="BK512" s="292" cm="1">
        <f t="array" aca="1" ref="BK512" ca="1">INDIRECT("'"&amp;$C512&amp;"'!"&amp;"$"&amp;$D512&amp;$BK$1&amp;"")</f>
        <v>0.79</v>
      </c>
      <c r="BL512" s="289"/>
      <c r="BM512" s="289">
        <v>0.96</v>
      </c>
      <c r="BN512" s="287">
        <v>0.22</v>
      </c>
    </row>
    <row r="513" spans="1:66">
      <c r="A513" s="361">
        <v>45768</v>
      </c>
      <c r="B513" s="358">
        <v>0.33333333333333398</v>
      </c>
      <c r="C513" s="313">
        <f t="shared" si="20"/>
        <v>21</v>
      </c>
      <c r="D513" s="314" t="s">
        <v>135</v>
      </c>
      <c r="E513" s="293">
        <v>13.9</v>
      </c>
      <c r="F513" s="294">
        <v>68.91</v>
      </c>
      <c r="G513" s="295" cm="1">
        <f t="array" aca="1" ref="G513" ca="1">INDIRECT("'"&amp;$C513&amp;"'!"&amp;"$"&amp;$D513&amp;$E$1&amp;"")</f>
        <v>0</v>
      </c>
      <c r="H513" s="296" t="s">
        <v>1</v>
      </c>
      <c r="I513" s="294" t="s">
        <v>1</v>
      </c>
      <c r="J513" s="295" cm="1">
        <f t="array" aca="1" ref="J513" ca="1">INDIRECT("'"&amp;$C513&amp;"'!"&amp;"$"&amp;$D513&amp;$J$1&amp;"")</f>
        <v>2.6</v>
      </c>
      <c r="K513" s="296"/>
      <c r="L513" s="296">
        <v>0.94</v>
      </c>
      <c r="M513" s="294">
        <v>1</v>
      </c>
      <c r="N513" s="295" cm="1">
        <f t="array" aca="1" ref="N513" ca="1">INDIRECT("'"&amp;$C513&amp;"'!"&amp;"$"&amp;$D513&amp;$N$1&amp;"")</f>
        <v>6.6</v>
      </c>
      <c r="O513" s="296"/>
      <c r="P513" s="296">
        <v>0.94</v>
      </c>
      <c r="Q513" s="294">
        <v>2.5</v>
      </c>
      <c r="R513" s="295" cm="1">
        <f t="array" aca="1" ref="R513" ca="1">INDIRECT("'"&amp;$C513&amp;"'!"&amp;"$"&amp;$D513&amp;$R$1&amp;"")</f>
        <v>6.6</v>
      </c>
      <c r="S513" s="296"/>
      <c r="T513" s="296">
        <v>0.94</v>
      </c>
      <c r="U513" s="294">
        <v>2.5</v>
      </c>
      <c r="V513" s="295" cm="1">
        <f t="array" aca="1" ref="V513" ca="1">INDIRECT("'"&amp;$C513&amp;"'!"&amp;"$"&amp;$D513&amp;$V$1&amp;"")</f>
        <v>0</v>
      </c>
      <c r="W513" s="296" t="s">
        <v>1</v>
      </c>
      <c r="X513" s="296" t="s">
        <v>1</v>
      </c>
      <c r="Y513" s="297" t="s">
        <v>1</v>
      </c>
      <c r="Z513" s="293" cm="1">
        <f t="array" aca="1" ref="Z513" ca="1">INDIRECT("'"&amp;$C513&amp;"'!"&amp;"$"&amp;$D513&amp;$Z$1&amp;"")</f>
        <v>0</v>
      </c>
      <c r="AA513" s="296" t="s">
        <v>1</v>
      </c>
      <c r="AB513" s="296" t="s">
        <v>1</v>
      </c>
      <c r="AC513" s="294" t="s">
        <v>1</v>
      </c>
      <c r="AD513" s="295" cm="1">
        <f t="array" aca="1" ref="AD513" ca="1">INDIRECT("'"&amp;$C513&amp;"'!"&amp;"$"&amp;$D513&amp;$AD$1&amp;"")</f>
        <v>3.8</v>
      </c>
      <c r="AE513" s="296">
        <f>3.8*3.49</f>
        <v>13.262</v>
      </c>
      <c r="AF513" s="296">
        <v>0.95</v>
      </c>
      <c r="AG513" s="297">
        <v>1.24</v>
      </c>
      <c r="AH513" s="293" cm="1">
        <f t="array" aca="1" ref="AH513" ca="1">INDIRECT("'"&amp;$C513&amp;"'!"&amp;"$"&amp;$D513&amp;$AH$1&amp;"")</f>
        <v>3.8</v>
      </c>
      <c r="AI513" s="296">
        <v>13.92</v>
      </c>
      <c r="AJ513" s="296">
        <v>0.99</v>
      </c>
      <c r="AK513" s="294">
        <v>0.53900000000000003</v>
      </c>
      <c r="AL513" s="293">
        <v>11.8</v>
      </c>
      <c r="AM513" s="297">
        <v>70</v>
      </c>
      <c r="AN513" s="293" cm="1">
        <f t="array" aca="1" ref="AN513" ca="1">INDIRECT("'"&amp;$C513&amp;"'!"&amp;"$"&amp;$D513&amp;$AL$1&amp;"")</f>
        <v>4.2</v>
      </c>
      <c r="AO513" s="296">
        <v>0.97</v>
      </c>
      <c r="AP513" s="294">
        <v>0.9</v>
      </c>
      <c r="AQ513" s="295" cm="1">
        <f t="array" aca="1" ref="AQ513" ca="1">INDIRECT("'"&amp;$C513&amp;"'!"&amp;"$"&amp;$D513&amp;$AQ$1&amp;"")</f>
        <v>4.2</v>
      </c>
      <c r="AR513" s="296">
        <v>0.97</v>
      </c>
      <c r="AS513" s="294">
        <v>0.9</v>
      </c>
      <c r="AT513" s="296" cm="1">
        <f t="array" aca="1" ref="AT513" ca="1">INDIRECT("'"&amp;$C513&amp;"'!"&amp;"$"&amp;$D513&amp;$AT$1&amp;"")</f>
        <v>0</v>
      </c>
      <c r="AU513" s="295" t="s">
        <v>1</v>
      </c>
      <c r="AV513" s="296" t="s">
        <v>1</v>
      </c>
      <c r="AW513" s="294" t="s">
        <v>1</v>
      </c>
      <c r="AX513" s="298">
        <v>14.05</v>
      </c>
      <c r="AY513" s="297">
        <v>70.91</v>
      </c>
      <c r="AZ513" s="298" cm="1">
        <f t="array" aca="1" ref="AZ513" ca="1">INDIRECT("'"&amp;$C513&amp;"'!"&amp;"$"&amp;$D513&amp;$AZ$1&amp;"")</f>
        <v>14.32</v>
      </c>
      <c r="BA513" s="296">
        <v>0.99</v>
      </c>
      <c r="BB513" s="294">
        <v>2.4</v>
      </c>
      <c r="BC513" s="299">
        <v>67.7</v>
      </c>
      <c r="BD513" s="293" cm="1">
        <f t="array" aca="1" ref="BD513" ca="1">INDIRECT("'"&amp;$C513&amp;"'!"&amp;"$"&amp;$D513&amp;$BC$1&amp;"")</f>
        <v>3.1</v>
      </c>
      <c r="BE513" s="295">
        <v>0.96</v>
      </c>
      <c r="BF513" s="294">
        <v>0.89</v>
      </c>
      <c r="BG513" s="298" cm="1">
        <f t="array" aca="1" ref="BG513" ca="1">INDIRECT("'"&amp;$C513&amp;"'!"&amp;"$"&amp;$D513&amp;$BG$1&amp;"")</f>
        <v>0.66</v>
      </c>
      <c r="BH513" s="296"/>
      <c r="BI513" s="296">
        <v>0.99</v>
      </c>
      <c r="BJ513" s="294">
        <v>0.06</v>
      </c>
      <c r="BK513" s="299" cm="1">
        <f t="array" aca="1" ref="BK513" ca="1">INDIRECT("'"&amp;$C513&amp;"'!"&amp;"$"&amp;$D513&amp;$BK$1&amp;"")</f>
        <v>0.79</v>
      </c>
      <c r="BL513" s="296"/>
      <c r="BM513" s="296">
        <v>0.96</v>
      </c>
      <c r="BN513" s="294">
        <v>0.23</v>
      </c>
    </row>
    <row r="514" spans="1:66">
      <c r="A514" s="361">
        <v>45768</v>
      </c>
      <c r="B514" s="358">
        <v>0.375</v>
      </c>
      <c r="C514" s="313">
        <f t="shared" si="20"/>
        <v>21</v>
      </c>
      <c r="D514" s="314" t="s">
        <v>136</v>
      </c>
      <c r="E514" s="286">
        <v>14.1</v>
      </c>
      <c r="F514" s="287">
        <v>69.03</v>
      </c>
      <c r="G514" s="288" cm="1">
        <f t="array" aca="1" ref="G514" ca="1">INDIRECT("'"&amp;$C514&amp;"'!"&amp;"$"&amp;$D514&amp;$E$1&amp;"")</f>
        <v>0</v>
      </c>
      <c r="H514" s="289" t="s">
        <v>1</v>
      </c>
      <c r="I514" s="287" t="s">
        <v>1</v>
      </c>
      <c r="J514" s="288" cm="1">
        <f t="array" aca="1" ref="J514" ca="1">INDIRECT("'"&amp;$C514&amp;"'!"&amp;"$"&amp;$D514&amp;$J$1&amp;"")</f>
        <v>6.6</v>
      </c>
      <c r="K514" s="289"/>
      <c r="L514" s="289">
        <v>0.94</v>
      </c>
      <c r="M514" s="287">
        <v>2.98</v>
      </c>
      <c r="N514" s="288" cm="1">
        <f t="array" aca="1" ref="N514" ca="1">INDIRECT("'"&amp;$C514&amp;"'!"&amp;"$"&amp;$D514&amp;$N$1&amp;"")</f>
        <v>6.6</v>
      </c>
      <c r="O514" s="289"/>
      <c r="P514" s="289">
        <v>0.94</v>
      </c>
      <c r="Q514" s="287">
        <v>2.98</v>
      </c>
      <c r="R514" s="288" cm="1">
        <f t="array" aca="1" ref="R514" ca="1">INDIRECT("'"&amp;$C514&amp;"'!"&amp;"$"&amp;$D514&amp;$R$1&amp;"")</f>
        <v>6.6</v>
      </c>
      <c r="S514" s="289"/>
      <c r="T514" s="289">
        <v>0.94</v>
      </c>
      <c r="U514" s="287">
        <v>2.98</v>
      </c>
      <c r="V514" s="288" cm="1">
        <f t="array" aca="1" ref="V514" ca="1">INDIRECT("'"&amp;$C514&amp;"'!"&amp;"$"&amp;$D514&amp;$V$1&amp;"")</f>
        <v>2.8</v>
      </c>
      <c r="W514" s="289">
        <f>3.8*3.5</f>
        <v>13.299999999999999</v>
      </c>
      <c r="X514" s="289">
        <v>0.91</v>
      </c>
      <c r="Y514" s="290">
        <v>0.28000000000000003</v>
      </c>
      <c r="Z514" s="286" cm="1">
        <f t="array" aca="1" ref="Z514" ca="1">INDIRECT("'"&amp;$C514&amp;"'!"&amp;"$"&amp;$D514&amp;$Z$1&amp;"")</f>
        <v>0</v>
      </c>
      <c r="AA514" s="289" t="s">
        <v>1</v>
      </c>
      <c r="AB514" s="289" t="s">
        <v>1</v>
      </c>
      <c r="AC514" s="287" t="s">
        <v>1</v>
      </c>
      <c r="AD514" s="288" cm="1">
        <f t="array" aca="1" ref="AD514" ca="1">INDIRECT("'"&amp;$C514&amp;"'!"&amp;"$"&amp;$D514&amp;$AD$1&amp;"")</f>
        <v>3.8</v>
      </c>
      <c r="AE514" s="289">
        <f>3.8*3.5</f>
        <v>13.299999999999999</v>
      </c>
      <c r="AF514" s="289">
        <v>0.91</v>
      </c>
      <c r="AG514" s="290">
        <v>0.89</v>
      </c>
      <c r="AH514" s="286" cm="1">
        <f t="array" aca="1" ref="AH514" ca="1">INDIRECT("'"&amp;$C514&amp;"'!"&amp;"$"&amp;$D514&amp;$AH$1&amp;"")</f>
        <v>3.8</v>
      </c>
      <c r="AI514" s="289">
        <v>14.04</v>
      </c>
      <c r="AJ514" s="289">
        <v>0.96</v>
      </c>
      <c r="AK514" s="287">
        <v>0.93400000000000005</v>
      </c>
      <c r="AL514" s="286">
        <v>11.9</v>
      </c>
      <c r="AM514" s="290">
        <v>70.400000000000006</v>
      </c>
      <c r="AN514" s="286" cm="1">
        <f t="array" aca="1" ref="AN514" ca="1">INDIRECT("'"&amp;$C514&amp;"'!"&amp;"$"&amp;$D514&amp;$AL$1&amp;"")</f>
        <v>4.2</v>
      </c>
      <c r="AO514" s="289">
        <v>0.97</v>
      </c>
      <c r="AP514" s="287">
        <v>0.95</v>
      </c>
      <c r="AQ514" s="288" cm="1">
        <f t="array" aca="1" ref="AQ514" ca="1">INDIRECT("'"&amp;$C514&amp;"'!"&amp;"$"&amp;$D514&amp;$AQ$1&amp;"")</f>
        <v>4.2</v>
      </c>
      <c r="AR514" s="289">
        <v>0.97</v>
      </c>
      <c r="AS514" s="287">
        <v>0.95</v>
      </c>
      <c r="AT514" s="289" cm="1">
        <f t="array" aca="1" ref="AT514" ca="1">INDIRECT("'"&amp;$C514&amp;"'!"&amp;"$"&amp;$D514&amp;$AT$1&amp;"")</f>
        <v>4.2</v>
      </c>
      <c r="AU514" s="288">
        <v>13.8</v>
      </c>
      <c r="AV514" s="289">
        <v>0.99</v>
      </c>
      <c r="AW514" s="287">
        <v>0.52500000000000002</v>
      </c>
      <c r="AX514" s="291">
        <v>14.24</v>
      </c>
      <c r="AY514" s="290">
        <v>71.58</v>
      </c>
      <c r="AZ514" s="291" cm="1">
        <f t="array" aca="1" ref="AZ514" ca="1">INDIRECT("'"&amp;$C514&amp;"'!"&amp;"$"&amp;$D514&amp;$AZ$1&amp;"")</f>
        <v>14.23</v>
      </c>
      <c r="BA514" s="289">
        <v>0.98</v>
      </c>
      <c r="BB514" s="287">
        <v>3.2</v>
      </c>
      <c r="BC514" s="292">
        <v>68</v>
      </c>
      <c r="BD514" s="286" cm="1">
        <f t="array" aca="1" ref="BD514" ca="1">INDIRECT("'"&amp;$C514&amp;"'!"&amp;"$"&amp;$D514&amp;$BC$1&amp;"")</f>
        <v>3.1</v>
      </c>
      <c r="BE514" s="288">
        <v>0.96</v>
      </c>
      <c r="BF514" s="287">
        <v>0.9</v>
      </c>
      <c r="BG514" s="291" cm="1">
        <f t="array" aca="1" ref="BG514" ca="1">INDIRECT("'"&amp;$C514&amp;"'!"&amp;"$"&amp;$D514&amp;$BG$1&amp;"")</f>
        <v>1.46</v>
      </c>
      <c r="BH514" s="289"/>
      <c r="BI514" s="289">
        <v>0.99</v>
      </c>
      <c r="BJ514" s="287">
        <v>0.22</v>
      </c>
      <c r="BK514" s="292" cm="1">
        <f t="array" aca="1" ref="BK514" ca="1">INDIRECT("'"&amp;$C514&amp;"'!"&amp;"$"&amp;$D514&amp;$BK$1&amp;"")</f>
        <v>0.85</v>
      </c>
      <c r="BL514" s="289"/>
      <c r="BM514" s="289">
        <v>0.96</v>
      </c>
      <c r="BN514" s="287">
        <v>0.25</v>
      </c>
    </row>
    <row r="515" spans="1:66">
      <c r="A515" s="361">
        <v>45768</v>
      </c>
      <c r="B515" s="358">
        <v>0.41666666666666702</v>
      </c>
      <c r="C515" s="313">
        <f t="shared" si="20"/>
        <v>21</v>
      </c>
      <c r="D515" s="314" t="s">
        <v>137</v>
      </c>
      <c r="E515" s="293">
        <v>14.1</v>
      </c>
      <c r="F515" s="294">
        <v>68.63</v>
      </c>
      <c r="G515" s="295" cm="1">
        <f t="array" aca="1" ref="G515" ca="1">INDIRECT("'"&amp;$C515&amp;"'!"&amp;"$"&amp;$D515&amp;$E$1&amp;"")</f>
        <v>0</v>
      </c>
      <c r="H515" s="296" t="s">
        <v>1</v>
      </c>
      <c r="I515" s="294" t="s">
        <v>1</v>
      </c>
      <c r="J515" s="295" cm="1">
        <f t="array" aca="1" ref="J515" ca="1">INDIRECT("'"&amp;$C515&amp;"'!"&amp;"$"&amp;$D515&amp;$J$1&amp;"")</f>
        <v>6.9</v>
      </c>
      <c r="K515" s="296"/>
      <c r="L515" s="296">
        <v>0.91</v>
      </c>
      <c r="M515" s="294">
        <v>3.1</v>
      </c>
      <c r="N515" s="295" cm="1">
        <f t="array" aca="1" ref="N515" ca="1">INDIRECT("'"&amp;$C515&amp;"'!"&amp;"$"&amp;$D515&amp;$N$1&amp;"")</f>
        <v>6.9</v>
      </c>
      <c r="O515" s="296"/>
      <c r="P515" s="296">
        <v>0.91</v>
      </c>
      <c r="Q515" s="294">
        <v>3.1</v>
      </c>
      <c r="R515" s="295" cm="1">
        <f t="array" aca="1" ref="R515" ca="1">INDIRECT("'"&amp;$C515&amp;"'!"&amp;"$"&amp;$D515&amp;$R$1&amp;"")</f>
        <v>6.9</v>
      </c>
      <c r="S515" s="296"/>
      <c r="T515" s="296">
        <v>0.91</v>
      </c>
      <c r="U515" s="294">
        <v>3.1</v>
      </c>
      <c r="V515" s="295" cm="1">
        <f t="array" aca="1" ref="V515" ca="1">INDIRECT("'"&amp;$C515&amp;"'!"&amp;"$"&amp;$D515&amp;$V$1&amp;"")</f>
        <v>2.8</v>
      </c>
      <c r="W515" s="296">
        <f>3.8*3.46</f>
        <v>13.148</v>
      </c>
      <c r="X515" s="296">
        <v>0.9</v>
      </c>
      <c r="Y515" s="297">
        <v>1.36</v>
      </c>
      <c r="Z515" s="293" cm="1">
        <f t="array" aca="1" ref="Z515" ca="1">INDIRECT("'"&amp;$C515&amp;"'!"&amp;"$"&amp;$D515&amp;$Z$1&amp;"")</f>
        <v>0</v>
      </c>
      <c r="AA515" s="296" t="s">
        <v>1</v>
      </c>
      <c r="AB515" s="296" t="s">
        <v>1</v>
      </c>
      <c r="AC515" s="294" t="s">
        <v>1</v>
      </c>
      <c r="AD515" s="295" cm="1">
        <f t="array" aca="1" ref="AD515" ca="1">INDIRECT("'"&amp;$C515&amp;"'!"&amp;"$"&amp;$D515&amp;$AD$1&amp;"")</f>
        <v>3.8</v>
      </c>
      <c r="AE515" s="296">
        <f>3.8*3.46</f>
        <v>13.148</v>
      </c>
      <c r="AF515" s="296">
        <v>0.9</v>
      </c>
      <c r="AG515" s="297">
        <v>1.36</v>
      </c>
      <c r="AH515" s="293" cm="1">
        <f t="array" aca="1" ref="AH515" ca="1">INDIRECT("'"&amp;$C515&amp;"'!"&amp;"$"&amp;$D515&amp;$AH$1&amp;"")</f>
        <v>3.8</v>
      </c>
      <c r="AI515" s="296">
        <f>3.8*3.46</f>
        <v>13.148</v>
      </c>
      <c r="AJ515" s="296">
        <v>0.9</v>
      </c>
      <c r="AK515" s="294">
        <v>1.92</v>
      </c>
      <c r="AL515" s="293">
        <v>11.9</v>
      </c>
      <c r="AM515" s="297">
        <v>70.400000000000006</v>
      </c>
      <c r="AN515" s="293" cm="1">
        <f t="array" aca="1" ref="AN515" ca="1">INDIRECT("'"&amp;$C515&amp;"'!"&amp;"$"&amp;$D515&amp;$AL$1&amp;"")</f>
        <v>4.2</v>
      </c>
      <c r="AO515" s="296">
        <v>0.97</v>
      </c>
      <c r="AP515" s="294">
        <v>0.99</v>
      </c>
      <c r="AQ515" s="295" cm="1">
        <f t="array" aca="1" ref="AQ515" ca="1">INDIRECT("'"&amp;$C515&amp;"'!"&amp;"$"&amp;$D515&amp;$AQ$1&amp;"")</f>
        <v>4.2</v>
      </c>
      <c r="AR515" s="296">
        <v>0.97</v>
      </c>
      <c r="AS515" s="294">
        <v>0.88</v>
      </c>
      <c r="AT515" s="296" cm="1">
        <f t="array" aca="1" ref="AT515" ca="1">INDIRECT("'"&amp;$C515&amp;"'!"&amp;"$"&amp;$D515&amp;$AT$1&amp;"")</f>
        <v>5.9</v>
      </c>
      <c r="AU515" s="295">
        <v>13.8</v>
      </c>
      <c r="AV515" s="296">
        <v>0.99</v>
      </c>
      <c r="AW515" s="294">
        <v>0.92700000000000005</v>
      </c>
      <c r="AX515" s="298">
        <v>14.26</v>
      </c>
      <c r="AY515" s="297">
        <v>71.599999999999994</v>
      </c>
      <c r="AZ515" s="298" cm="1">
        <f t="array" aca="1" ref="AZ515" ca="1">INDIRECT("'"&amp;$C515&amp;"'!"&amp;"$"&amp;$D515&amp;$AZ$1&amp;"")</f>
        <v>14.23</v>
      </c>
      <c r="BA515" s="296">
        <v>0.98</v>
      </c>
      <c r="BB515" s="294">
        <v>3.5</v>
      </c>
      <c r="BC515" s="299">
        <v>67.3</v>
      </c>
      <c r="BD515" s="293" cm="1">
        <f t="array" aca="1" ref="BD515" ca="1">INDIRECT("'"&amp;$C515&amp;"'!"&amp;"$"&amp;$D515&amp;$BC$1&amp;"")</f>
        <v>3.2</v>
      </c>
      <c r="BE515" s="295">
        <v>0.94</v>
      </c>
      <c r="BF515" s="294">
        <v>1.1000000000000001</v>
      </c>
      <c r="BG515" s="298" cm="1">
        <f t="array" aca="1" ref="BG515" ca="1">INDIRECT("'"&amp;$C515&amp;"'!"&amp;"$"&amp;$D515&amp;$BG$1&amp;"")</f>
        <v>1.52</v>
      </c>
      <c r="BH515" s="296"/>
      <c r="BI515" s="296">
        <v>0.99</v>
      </c>
      <c r="BJ515" s="294">
        <v>0.22</v>
      </c>
      <c r="BK515" s="299" cm="1">
        <f t="array" aca="1" ref="BK515" ca="1">INDIRECT("'"&amp;$C515&amp;"'!"&amp;"$"&amp;$D515&amp;$BK$1&amp;"")</f>
        <v>0.87</v>
      </c>
      <c r="BL515" s="296"/>
      <c r="BM515" s="296">
        <v>0.96</v>
      </c>
      <c r="BN515" s="294">
        <v>0.25</v>
      </c>
    </row>
    <row r="516" spans="1:66">
      <c r="A516" s="361">
        <v>45768</v>
      </c>
      <c r="B516" s="358">
        <v>0.45833333333333398</v>
      </c>
      <c r="C516" s="313">
        <f t="shared" si="20"/>
        <v>21</v>
      </c>
      <c r="D516" s="314" t="s">
        <v>138</v>
      </c>
      <c r="E516" s="286">
        <v>14.2</v>
      </c>
      <c r="F516" s="287">
        <v>69.239999999999995</v>
      </c>
      <c r="G516" s="288" cm="1">
        <f t="array" aca="1" ref="G516" ca="1">INDIRECT("'"&amp;$C516&amp;"'!"&amp;"$"&amp;$D516&amp;$E$1&amp;"")</f>
        <v>6.6</v>
      </c>
      <c r="H516" s="289">
        <v>0.92</v>
      </c>
      <c r="I516" s="287">
        <v>2.7</v>
      </c>
      <c r="J516" s="288" cm="1">
        <f t="array" aca="1" ref="J516" ca="1">INDIRECT("'"&amp;$C516&amp;"'!"&amp;"$"&amp;$D516&amp;$J$1&amp;"")</f>
        <v>6.6</v>
      </c>
      <c r="K516" s="289"/>
      <c r="L516" s="289">
        <v>0.92</v>
      </c>
      <c r="M516" s="287">
        <v>2.7</v>
      </c>
      <c r="N516" s="288" cm="1">
        <f t="array" aca="1" ref="N516" ca="1">INDIRECT("'"&amp;$C516&amp;"'!"&amp;"$"&amp;$D516&amp;$N$1&amp;"")</f>
        <v>6.6</v>
      </c>
      <c r="O516" s="289"/>
      <c r="P516" s="289">
        <v>0.92</v>
      </c>
      <c r="Q516" s="287">
        <v>2.7</v>
      </c>
      <c r="R516" s="288" cm="1">
        <f t="array" aca="1" ref="R516" ca="1">INDIRECT("'"&amp;$C516&amp;"'!"&amp;"$"&amp;$D516&amp;$R$1&amp;"")</f>
        <v>6.6</v>
      </c>
      <c r="S516" s="289"/>
      <c r="T516" s="289">
        <v>0.92</v>
      </c>
      <c r="U516" s="287">
        <v>2.7</v>
      </c>
      <c r="V516" s="288" cm="1">
        <f t="array" aca="1" ref="V516" ca="1">INDIRECT("'"&amp;$C516&amp;"'!"&amp;"$"&amp;$D516&amp;$V$1&amp;"")</f>
        <v>2.8</v>
      </c>
      <c r="W516" s="289">
        <f>3.8*3.49</f>
        <v>13.262</v>
      </c>
      <c r="X516" s="289">
        <v>0.91</v>
      </c>
      <c r="Y516" s="290">
        <v>0.34</v>
      </c>
      <c r="Z516" s="286" cm="1">
        <f t="array" aca="1" ref="Z516" ca="1">INDIRECT("'"&amp;$C516&amp;"'!"&amp;"$"&amp;$D516&amp;$Z$1&amp;"")</f>
        <v>0</v>
      </c>
      <c r="AA516" s="289" t="s">
        <v>1</v>
      </c>
      <c r="AB516" s="289" t="s">
        <v>1</v>
      </c>
      <c r="AC516" s="287" t="s">
        <v>1</v>
      </c>
      <c r="AD516" s="288" cm="1">
        <f t="array" aca="1" ref="AD516" ca="1">INDIRECT("'"&amp;$C516&amp;"'!"&amp;"$"&amp;$D516&amp;$AD$1&amp;"")</f>
        <v>3.8</v>
      </c>
      <c r="AE516" s="289">
        <v>13.26</v>
      </c>
      <c r="AF516" s="289">
        <v>0.9</v>
      </c>
      <c r="AG516" s="290">
        <v>1.9</v>
      </c>
      <c r="AH516" s="286" cm="1">
        <f t="array" aca="1" ref="AH516" ca="1">INDIRECT("'"&amp;$C516&amp;"'!"&amp;"$"&amp;$D516&amp;$AH$1&amp;"")</f>
        <v>3.8</v>
      </c>
      <c r="AI516" s="289">
        <v>14.04</v>
      </c>
      <c r="AJ516" s="289">
        <v>0.96</v>
      </c>
      <c r="AK516" s="287">
        <v>0.35099999999999998</v>
      </c>
      <c r="AL516" s="286">
        <v>11.9</v>
      </c>
      <c r="AM516" s="290">
        <v>7.4</v>
      </c>
      <c r="AN516" s="286" cm="1">
        <f t="array" aca="1" ref="AN516" ca="1">INDIRECT("'"&amp;$C516&amp;"'!"&amp;"$"&amp;$D516&amp;$AL$1&amp;"")</f>
        <v>4.2</v>
      </c>
      <c r="AO516" s="289">
        <v>0.97</v>
      </c>
      <c r="AP516" s="287">
        <v>1.1000000000000001</v>
      </c>
      <c r="AQ516" s="288" cm="1">
        <f t="array" aca="1" ref="AQ516" ca="1">INDIRECT("'"&amp;$C516&amp;"'!"&amp;"$"&amp;$D516&amp;$AQ$1&amp;"")</f>
        <v>4.2</v>
      </c>
      <c r="AR516" s="289">
        <v>0.97</v>
      </c>
      <c r="AS516" s="287">
        <v>1.1000000000000001</v>
      </c>
      <c r="AT516" s="289" cm="1">
        <f t="array" aca="1" ref="AT516" ca="1">INDIRECT("'"&amp;$C516&amp;"'!"&amp;"$"&amp;$D516&amp;$AT$1&amp;"")</f>
        <v>2.4</v>
      </c>
      <c r="AU516" s="288">
        <v>13.8</v>
      </c>
      <c r="AV516" s="289">
        <v>0.94</v>
      </c>
      <c r="AW516" s="287">
        <v>0.87</v>
      </c>
      <c r="AX516" s="291">
        <v>14.25</v>
      </c>
      <c r="AY516" s="290">
        <v>71.62</v>
      </c>
      <c r="AZ516" s="291" cm="1">
        <f t="array" aca="1" ref="AZ516" ca="1">INDIRECT("'"&amp;$C516&amp;"'!"&amp;"$"&amp;$D516&amp;$AZ$1&amp;"")</f>
        <v>14.29</v>
      </c>
      <c r="BA516" s="289">
        <v>0.98</v>
      </c>
      <c r="BB516" s="287">
        <v>3.5</v>
      </c>
      <c r="BC516" s="292">
        <v>67.8</v>
      </c>
      <c r="BD516" s="286" cm="1">
        <f t="array" aca="1" ref="BD516" ca="1">INDIRECT("'"&amp;$C516&amp;"'!"&amp;"$"&amp;$D516&amp;$BC$1&amp;"")</f>
        <v>2.2999999999999998</v>
      </c>
      <c r="BE516" s="288">
        <v>0.94</v>
      </c>
      <c r="BF516" s="287">
        <v>0.84</v>
      </c>
      <c r="BG516" s="291" cm="1">
        <f t="array" aca="1" ref="BG516" ca="1">INDIRECT("'"&amp;$C516&amp;"'!"&amp;"$"&amp;$D516&amp;$BG$1&amp;"")</f>
        <v>1.53</v>
      </c>
      <c r="BH516" s="289"/>
      <c r="BI516" s="289">
        <v>0.99</v>
      </c>
      <c r="BJ516" s="287">
        <v>0.23</v>
      </c>
      <c r="BK516" s="292" cm="1">
        <f t="array" aca="1" ref="BK516" ca="1">INDIRECT("'"&amp;$C516&amp;"'!"&amp;"$"&amp;$D516&amp;$BK$1&amp;"")</f>
        <v>0.92</v>
      </c>
      <c r="BL516" s="289"/>
      <c r="BM516" s="289">
        <v>0.96</v>
      </c>
      <c r="BN516" s="287">
        <v>0.26</v>
      </c>
    </row>
    <row r="517" spans="1:66">
      <c r="A517" s="361">
        <v>45768</v>
      </c>
      <c r="B517" s="358">
        <v>0.5</v>
      </c>
      <c r="C517" s="313">
        <f t="shared" si="20"/>
        <v>21</v>
      </c>
      <c r="D517" s="314" t="s">
        <v>139</v>
      </c>
      <c r="E517" s="293">
        <v>14.3</v>
      </c>
      <c r="F517" s="294">
        <v>69.400000000000006</v>
      </c>
      <c r="G517" s="295" cm="1">
        <f t="array" aca="1" ref="G517" ca="1">INDIRECT("'"&amp;$C517&amp;"'!"&amp;"$"&amp;$D517&amp;$E$1&amp;"")</f>
        <v>6.6</v>
      </c>
      <c r="H517" s="296">
        <v>0.92</v>
      </c>
      <c r="I517" s="294">
        <v>2.77</v>
      </c>
      <c r="J517" s="295" cm="1">
        <f t="array" aca="1" ref="J517" ca="1">INDIRECT("'"&amp;$C517&amp;"'!"&amp;"$"&amp;$D517&amp;$J$1&amp;"")</f>
        <v>6.6</v>
      </c>
      <c r="K517" s="296"/>
      <c r="L517" s="296">
        <v>0.92</v>
      </c>
      <c r="M517" s="294">
        <v>2.77</v>
      </c>
      <c r="N517" s="295" cm="1">
        <f t="array" aca="1" ref="N517" ca="1">INDIRECT("'"&amp;$C517&amp;"'!"&amp;"$"&amp;$D517&amp;$N$1&amp;"")</f>
        <v>6.6</v>
      </c>
      <c r="O517" s="296"/>
      <c r="P517" s="296">
        <v>0.92</v>
      </c>
      <c r="Q517" s="294">
        <v>2.77</v>
      </c>
      <c r="R517" s="295" cm="1">
        <f t="array" aca="1" ref="R517" ca="1">INDIRECT("'"&amp;$C517&amp;"'!"&amp;"$"&amp;$D517&amp;$R$1&amp;"")</f>
        <v>6.6</v>
      </c>
      <c r="S517" s="296"/>
      <c r="T517" s="296">
        <v>0.92</v>
      </c>
      <c r="U517" s="294">
        <v>2.77</v>
      </c>
      <c r="V517" s="295" cm="1">
        <f t="array" aca="1" ref="V517" ca="1">INDIRECT("'"&amp;$C517&amp;"'!"&amp;"$"&amp;$D517&amp;$V$1&amp;"")</f>
        <v>2.8</v>
      </c>
      <c r="W517" s="296">
        <f>3.8*3.5</f>
        <v>13.299999999999999</v>
      </c>
      <c r="X517" s="296">
        <v>0.91</v>
      </c>
      <c r="Y517" s="297">
        <v>0.33</v>
      </c>
      <c r="Z517" s="293" cm="1">
        <f t="array" aca="1" ref="Z517" ca="1">INDIRECT("'"&amp;$C517&amp;"'!"&amp;"$"&amp;$D517&amp;$Z$1&amp;"")</f>
        <v>0</v>
      </c>
      <c r="AA517" s="296" t="s">
        <v>1</v>
      </c>
      <c r="AB517" s="296" t="s">
        <v>1</v>
      </c>
      <c r="AC517" s="294" t="s">
        <v>1</v>
      </c>
      <c r="AD517" s="295" cm="1">
        <f t="array" aca="1" ref="AD517" ca="1">INDIRECT("'"&amp;$C517&amp;"'!"&amp;"$"&amp;$D517&amp;$AD$1&amp;"")</f>
        <v>3.8</v>
      </c>
      <c r="AE517" s="296">
        <v>13.3</v>
      </c>
      <c r="AF517" s="296">
        <v>0.91</v>
      </c>
      <c r="AG517" s="297">
        <v>0.33</v>
      </c>
      <c r="AH517" s="293" cm="1">
        <f t="array" aca="1" ref="AH517" ca="1">INDIRECT("'"&amp;$C517&amp;"'!"&amp;"$"&amp;$D517&amp;$AH$1&amp;"")</f>
        <v>3.8</v>
      </c>
      <c r="AI517" s="296">
        <v>14.04</v>
      </c>
      <c r="AJ517" s="296">
        <v>0.96</v>
      </c>
      <c r="AK517" s="294">
        <v>1.07</v>
      </c>
      <c r="AL517" s="293">
        <v>11.9</v>
      </c>
      <c r="AM517" s="297">
        <v>7.5</v>
      </c>
      <c r="AN517" s="293" cm="1">
        <f t="array" aca="1" ref="AN517" ca="1">INDIRECT("'"&amp;$C517&amp;"'!"&amp;"$"&amp;$D517&amp;$AL$1&amp;"")</f>
        <v>4.3</v>
      </c>
      <c r="AO517" s="296">
        <v>0.97</v>
      </c>
      <c r="AP517" s="294">
        <v>1</v>
      </c>
      <c r="AQ517" s="295" cm="1">
        <f t="array" aca="1" ref="AQ517" ca="1">INDIRECT("'"&amp;$C517&amp;"'!"&amp;"$"&amp;$D517&amp;$AQ$1&amp;"")</f>
        <v>4.3</v>
      </c>
      <c r="AR517" s="296">
        <v>0.97</v>
      </c>
      <c r="AS517" s="294">
        <v>1</v>
      </c>
      <c r="AT517" s="296" cm="1">
        <f t="array" aca="1" ref="AT517" ca="1">INDIRECT("'"&amp;$C517&amp;"'!"&amp;"$"&amp;$D517&amp;$AT$1&amp;"")</f>
        <v>3.2</v>
      </c>
      <c r="AU517" s="295">
        <v>13.8</v>
      </c>
      <c r="AV517" s="296">
        <v>0.97</v>
      </c>
      <c r="AW517" s="294">
        <v>0.33</v>
      </c>
      <c r="AX517" s="298">
        <v>14.21</v>
      </c>
      <c r="AY517" s="297">
        <v>71.36</v>
      </c>
      <c r="AZ517" s="298" cm="1">
        <f t="array" aca="1" ref="AZ517" ca="1">INDIRECT("'"&amp;$C517&amp;"'!"&amp;"$"&amp;$D517&amp;$AZ$1&amp;"")</f>
        <v>14.23</v>
      </c>
      <c r="BA517" s="296">
        <v>0.98</v>
      </c>
      <c r="BB517" s="294">
        <v>3.5</v>
      </c>
      <c r="BC517" s="299">
        <v>68.099999999999994</v>
      </c>
      <c r="BD517" s="293" cm="1">
        <f t="array" aca="1" ref="BD517" ca="1">INDIRECT("'"&amp;$C517&amp;"'!"&amp;"$"&amp;$D517&amp;$BC$1&amp;"")</f>
        <v>3.0999999999999996</v>
      </c>
      <c r="BE517" s="295">
        <v>0.94</v>
      </c>
      <c r="BF517" s="294">
        <v>1.1000000000000001</v>
      </c>
      <c r="BG517" s="298" cm="1">
        <f t="array" aca="1" ref="BG517" ca="1">INDIRECT("'"&amp;$C517&amp;"'!"&amp;"$"&amp;$D517&amp;$BG$1&amp;"")</f>
        <v>1.6</v>
      </c>
      <c r="BH517" s="296"/>
      <c r="BI517" s="296">
        <v>0.99</v>
      </c>
      <c r="BJ517" s="294">
        <v>0.24</v>
      </c>
      <c r="BK517" s="299" cm="1">
        <f t="array" aca="1" ref="BK517" ca="1">INDIRECT("'"&amp;$C517&amp;"'!"&amp;"$"&amp;$D517&amp;$BK$1&amp;"")</f>
        <v>0.93</v>
      </c>
      <c r="BL517" s="296"/>
      <c r="BM517" s="296">
        <v>0.96</v>
      </c>
      <c r="BN517" s="294">
        <v>0.27</v>
      </c>
    </row>
    <row r="518" spans="1:66">
      <c r="A518" s="361">
        <v>45768</v>
      </c>
      <c r="B518" s="358">
        <v>0.54166666666666696</v>
      </c>
      <c r="C518" s="313">
        <f t="shared" si="20"/>
        <v>21</v>
      </c>
      <c r="D518" s="314" t="s">
        <v>140</v>
      </c>
      <c r="E518" s="286">
        <v>14.2</v>
      </c>
      <c r="F518" s="287">
        <v>69.13</v>
      </c>
      <c r="G518" s="288" cm="1">
        <f t="array" aca="1" ref="G518" ca="1">INDIRECT("'"&amp;$C518&amp;"'!"&amp;"$"&amp;$D518&amp;$E$1&amp;"")</f>
        <v>7</v>
      </c>
      <c r="H518" s="289">
        <v>0.91</v>
      </c>
      <c r="I518" s="287">
        <v>3</v>
      </c>
      <c r="J518" s="288" cm="1">
        <f t="array" aca="1" ref="J518" ca="1">INDIRECT("'"&amp;$C518&amp;"'!"&amp;"$"&amp;$D518&amp;$J$1&amp;"")</f>
        <v>7</v>
      </c>
      <c r="K518" s="289"/>
      <c r="L518" s="289">
        <v>0.91</v>
      </c>
      <c r="M518" s="287">
        <v>3</v>
      </c>
      <c r="N518" s="288" cm="1">
        <f t="array" aca="1" ref="N518" ca="1">INDIRECT("'"&amp;$C518&amp;"'!"&amp;"$"&amp;$D518&amp;$N$1&amp;"")</f>
        <v>7</v>
      </c>
      <c r="O518" s="289"/>
      <c r="P518" s="289">
        <v>0.91</v>
      </c>
      <c r="Q518" s="287">
        <v>3</v>
      </c>
      <c r="R518" s="288" cm="1">
        <f t="array" aca="1" ref="R518" ca="1">INDIRECT("'"&amp;$C518&amp;"'!"&amp;"$"&amp;$D518&amp;$R$1&amp;"")</f>
        <v>7</v>
      </c>
      <c r="S518" s="289"/>
      <c r="T518" s="289">
        <v>0.91</v>
      </c>
      <c r="U518" s="287">
        <v>3</v>
      </c>
      <c r="V518" s="288" cm="1">
        <f t="array" aca="1" ref="V518" ca="1">INDIRECT("'"&amp;$C518&amp;"'!"&amp;"$"&amp;$D518&amp;$V$1&amp;"")</f>
        <v>2.8</v>
      </c>
      <c r="W518" s="289">
        <f>3.8*3.49</f>
        <v>13.262</v>
      </c>
      <c r="X518" s="289">
        <v>0.9</v>
      </c>
      <c r="Y518" s="290">
        <v>1.35</v>
      </c>
      <c r="Z518" s="286" cm="1">
        <f t="array" aca="1" ref="Z518" ca="1">INDIRECT("'"&amp;$C518&amp;"'!"&amp;"$"&amp;$D518&amp;$Z$1&amp;"")</f>
        <v>0</v>
      </c>
      <c r="AA518" s="289" t="s">
        <v>1</v>
      </c>
      <c r="AB518" s="289" t="s">
        <v>1</v>
      </c>
      <c r="AC518" s="287" t="s">
        <v>1</v>
      </c>
      <c r="AD518" s="288" cm="1">
        <f t="array" aca="1" ref="AD518" ca="1">INDIRECT("'"&amp;$C518&amp;"'!"&amp;"$"&amp;$D518&amp;$AD$1&amp;"")</f>
        <v>4</v>
      </c>
      <c r="AE518" s="289">
        <v>13.26</v>
      </c>
      <c r="AF518" s="289">
        <v>0.9</v>
      </c>
      <c r="AG518" s="290">
        <v>1.97</v>
      </c>
      <c r="AH518" s="286" cm="1">
        <f t="array" aca="1" ref="AH518" ca="1">INDIRECT("'"&amp;$C518&amp;"'!"&amp;"$"&amp;$D518&amp;$AH$1&amp;"")</f>
        <v>3.8</v>
      </c>
      <c r="AI518" s="289">
        <v>14</v>
      </c>
      <c r="AJ518" s="289">
        <v>0.95</v>
      </c>
      <c r="AK518" s="287">
        <v>1.1100000000000001</v>
      </c>
      <c r="AL518" s="286">
        <v>11.9</v>
      </c>
      <c r="AM518" s="290">
        <v>70.400000000000006</v>
      </c>
      <c r="AN518" s="286" cm="1">
        <f t="array" aca="1" ref="AN518" ca="1">INDIRECT("'"&amp;$C518&amp;"'!"&amp;"$"&amp;$D518&amp;$AL$1&amp;"")</f>
        <v>4.2</v>
      </c>
      <c r="AO518" s="289">
        <v>0.97</v>
      </c>
      <c r="AP518" s="287">
        <v>1.03</v>
      </c>
      <c r="AQ518" s="288" cm="1">
        <f t="array" aca="1" ref="AQ518" ca="1">INDIRECT("'"&amp;$C518&amp;"'!"&amp;"$"&amp;$D518&amp;$AQ$1&amp;"")</f>
        <v>4.2</v>
      </c>
      <c r="AR518" s="289">
        <v>0.97</v>
      </c>
      <c r="AS518" s="287">
        <v>1.03</v>
      </c>
      <c r="AT518" s="289" cm="1">
        <f t="array" aca="1" ref="AT518" ca="1">INDIRECT("'"&amp;$C518&amp;"'!"&amp;"$"&amp;$D518&amp;$AT$1&amp;"")</f>
        <v>3.8</v>
      </c>
      <c r="AU518" s="288">
        <v>13.8</v>
      </c>
      <c r="AV518" s="289">
        <v>0.98</v>
      </c>
      <c r="AW518" s="287">
        <v>0.81499999999999995</v>
      </c>
      <c r="AX518" s="291">
        <v>14.19</v>
      </c>
      <c r="AY518" s="290">
        <v>71.28</v>
      </c>
      <c r="AZ518" s="291" cm="1">
        <f t="array" aca="1" ref="AZ518" ca="1">INDIRECT("'"&amp;$C518&amp;"'!"&amp;"$"&amp;$D518&amp;$AZ$1&amp;"")</f>
        <v>14.22</v>
      </c>
      <c r="BA518" s="289">
        <v>0.98</v>
      </c>
      <c r="BB518" s="287">
        <v>3.4</v>
      </c>
      <c r="BC518" s="292">
        <v>67.599999999999994</v>
      </c>
      <c r="BD518" s="286" cm="1">
        <f t="array" aca="1" ref="BD518" ca="1">INDIRECT("'"&amp;$C518&amp;"'!"&amp;"$"&amp;$D518&amp;$BC$1&amp;"")</f>
        <v>3.2</v>
      </c>
      <c r="BE518" s="288">
        <v>0.91</v>
      </c>
      <c r="BF518" s="287">
        <v>1.1000000000000001</v>
      </c>
      <c r="BG518" s="291" cm="1">
        <f t="array" aca="1" ref="BG518" ca="1">INDIRECT("'"&amp;$C518&amp;"'!"&amp;"$"&amp;$D518&amp;$BG$1&amp;"")</f>
        <v>1.6</v>
      </c>
      <c r="BH518" s="289"/>
      <c r="BI518" s="289">
        <v>0.99</v>
      </c>
      <c r="BJ518" s="287">
        <v>0.24</v>
      </c>
      <c r="BK518" s="292" cm="1">
        <f t="array" aca="1" ref="BK518" ca="1">INDIRECT("'"&amp;$C518&amp;"'!"&amp;"$"&amp;$D518&amp;$BK$1&amp;"")</f>
        <v>0.94</v>
      </c>
      <c r="BL518" s="289"/>
      <c r="BM518" s="289">
        <v>0.96</v>
      </c>
      <c r="BN518" s="287">
        <v>0.24</v>
      </c>
    </row>
    <row r="519" spans="1:66">
      <c r="A519" s="361">
        <v>45768</v>
      </c>
      <c r="B519" s="358">
        <v>0.58333333333333404</v>
      </c>
      <c r="C519" s="313">
        <f t="shared" si="20"/>
        <v>21</v>
      </c>
      <c r="D519" s="314" t="s">
        <v>141</v>
      </c>
      <c r="E519" s="293">
        <v>14.3</v>
      </c>
      <c r="F519" s="294">
        <v>69.23</v>
      </c>
      <c r="G519" s="295" cm="1">
        <f t="array" aca="1" ref="G519" ca="1">INDIRECT("'"&amp;$C519&amp;"'!"&amp;"$"&amp;$D519&amp;$E$1&amp;"")</f>
        <v>6.4</v>
      </c>
      <c r="H519" s="296">
        <v>0.95</v>
      </c>
      <c r="I519" s="294">
        <v>1.98</v>
      </c>
      <c r="J519" s="295" cm="1">
        <f t="array" aca="1" ref="J519" ca="1">INDIRECT("'"&amp;$C519&amp;"'!"&amp;"$"&amp;$D519&amp;$J$1&amp;"")</f>
        <v>6.4</v>
      </c>
      <c r="K519" s="296"/>
      <c r="L519" s="296">
        <v>0.95</v>
      </c>
      <c r="M519" s="294">
        <v>1.98</v>
      </c>
      <c r="N519" s="295" cm="1">
        <f t="array" aca="1" ref="N519" ca="1">INDIRECT("'"&amp;$C519&amp;"'!"&amp;"$"&amp;$D519&amp;$N$1&amp;"")</f>
        <v>6.4</v>
      </c>
      <c r="O519" s="296"/>
      <c r="P519" s="296">
        <v>0.95</v>
      </c>
      <c r="Q519" s="294">
        <v>1.98</v>
      </c>
      <c r="R519" s="295" cm="1">
        <f t="array" aca="1" ref="R519" ca="1">INDIRECT("'"&amp;$C519&amp;"'!"&amp;"$"&amp;$D519&amp;$R$1&amp;"")</f>
        <v>6.4</v>
      </c>
      <c r="S519" s="296"/>
      <c r="T519" s="296">
        <v>0.95</v>
      </c>
      <c r="U519" s="294">
        <v>1.98</v>
      </c>
      <c r="V519" s="295" cm="1">
        <f t="array" aca="1" ref="V519" ca="1">INDIRECT("'"&amp;$C519&amp;"'!"&amp;"$"&amp;$D519&amp;$V$1&amp;"")</f>
        <v>2.8</v>
      </c>
      <c r="W519" s="296">
        <f>3.8*3.52</f>
        <v>13.375999999999999</v>
      </c>
      <c r="X519" s="296">
        <v>0.91</v>
      </c>
      <c r="Y519" s="297">
        <v>1.34</v>
      </c>
      <c r="Z519" s="293" cm="1">
        <f t="array" aca="1" ref="Z519" ca="1">INDIRECT("'"&amp;$C519&amp;"'!"&amp;"$"&amp;$D519&amp;$Z$1&amp;"")</f>
        <v>0</v>
      </c>
      <c r="AA519" s="296" t="s">
        <v>1</v>
      </c>
      <c r="AB519" s="296" t="s">
        <v>1</v>
      </c>
      <c r="AC519" s="294" t="s">
        <v>1</v>
      </c>
      <c r="AD519" s="295" cm="1">
        <f t="array" aca="1" ref="AD519" ca="1">INDIRECT("'"&amp;$C519&amp;"'!"&amp;"$"&amp;$D519&amp;$AD$1&amp;"")</f>
        <v>3.9</v>
      </c>
      <c r="AE519" s="296">
        <v>13.38</v>
      </c>
      <c r="AF519" s="296">
        <v>0.9</v>
      </c>
      <c r="AG519" s="297">
        <v>1.95</v>
      </c>
      <c r="AH519" s="293" cm="1">
        <f t="array" aca="1" ref="AH519" ca="1">INDIRECT("'"&amp;$C519&amp;"'!"&amp;"$"&amp;$D519&amp;$AH$1&amp;"")</f>
        <v>3.8</v>
      </c>
      <c r="AI519" s="296">
        <v>14</v>
      </c>
      <c r="AJ519" s="296">
        <v>0.95</v>
      </c>
      <c r="AK519" s="294">
        <v>1.1100000000000001</v>
      </c>
      <c r="AL519" s="293">
        <v>11.9</v>
      </c>
      <c r="AM519" s="297">
        <v>70.5</v>
      </c>
      <c r="AN519" s="293" cm="1">
        <f t="array" aca="1" ref="AN519" ca="1">INDIRECT("'"&amp;$C519&amp;"'!"&amp;"$"&amp;$D519&amp;$AL$1&amp;"")</f>
        <v>3.7</v>
      </c>
      <c r="AO519" s="296">
        <v>0.97</v>
      </c>
      <c r="AP519" s="294">
        <v>0.88</v>
      </c>
      <c r="AQ519" s="295" cm="1">
        <f t="array" aca="1" ref="AQ519" ca="1">INDIRECT("'"&amp;$C519&amp;"'!"&amp;"$"&amp;$D519&amp;$AQ$1&amp;"")</f>
        <v>3.7</v>
      </c>
      <c r="AR519" s="296">
        <v>0.97</v>
      </c>
      <c r="AS519" s="294">
        <v>0.88</v>
      </c>
      <c r="AT519" s="296" t="str" cm="1">
        <f t="array" aca="1" ref="AT519" ca="1">INDIRECT("'"&amp;$C519&amp;"'!"&amp;"$"&amp;$D519&amp;$AT$1&amp;"")</f>
        <v>CMS</v>
      </c>
      <c r="AU519" s="295" t="s">
        <v>1</v>
      </c>
      <c r="AV519" s="296" t="s">
        <v>1</v>
      </c>
      <c r="AW519" s="294" t="s">
        <v>1</v>
      </c>
      <c r="AX519" s="298">
        <v>14.25</v>
      </c>
      <c r="AY519" s="297">
        <v>71.540000000000006</v>
      </c>
      <c r="AZ519" s="298" cm="1">
        <f t="array" aca="1" ref="AZ519" ca="1">INDIRECT("'"&amp;$C519&amp;"'!"&amp;"$"&amp;$D519&amp;$AZ$1&amp;"")</f>
        <v>14.23</v>
      </c>
      <c r="BA519" s="296">
        <v>0.98</v>
      </c>
      <c r="BB519" s="294">
        <v>3.5</v>
      </c>
      <c r="BC519" s="299">
        <v>68.2</v>
      </c>
      <c r="BD519" s="293" cm="1">
        <f t="array" aca="1" ref="BD519" ca="1">INDIRECT("'"&amp;$C519&amp;"'!"&amp;"$"&amp;$D519&amp;$BC$1&amp;"")</f>
        <v>6.4</v>
      </c>
      <c r="BE519" s="295">
        <v>0.94</v>
      </c>
      <c r="BF519" s="294">
        <v>2.1</v>
      </c>
      <c r="BG519" s="298" cm="1">
        <f t="array" aca="1" ref="BG519" ca="1">INDIRECT("'"&amp;$C519&amp;"'!"&amp;"$"&amp;$D519&amp;$BG$1&amp;"")</f>
        <v>1.59</v>
      </c>
      <c r="BH519" s="296"/>
      <c r="BI519" s="296">
        <v>0.99</v>
      </c>
      <c r="BJ519" s="294">
        <v>0.26</v>
      </c>
      <c r="BK519" s="299" cm="1">
        <f t="array" aca="1" ref="BK519" ca="1">INDIRECT("'"&amp;$C519&amp;"'!"&amp;"$"&amp;$D519&amp;$BK$1&amp;"")</f>
        <v>0.95</v>
      </c>
      <c r="BL519" s="296"/>
      <c r="BM519" s="296">
        <v>0.96</v>
      </c>
      <c r="BN519" s="294">
        <v>0.27</v>
      </c>
    </row>
    <row r="520" spans="1:66">
      <c r="A520" s="361">
        <v>45768</v>
      </c>
      <c r="B520" s="358">
        <v>0.625</v>
      </c>
      <c r="C520" s="313">
        <f t="shared" si="20"/>
        <v>21</v>
      </c>
      <c r="D520" s="314" t="s">
        <v>142</v>
      </c>
      <c r="E520" s="286">
        <v>14.3</v>
      </c>
      <c r="F520" s="287">
        <v>69.89</v>
      </c>
      <c r="G520" s="288" cm="1">
        <f t="array" aca="1" ref="G520" ca="1">INDIRECT("'"&amp;$C520&amp;"'!"&amp;"$"&amp;$D520&amp;$E$1&amp;"")</f>
        <v>6.7</v>
      </c>
      <c r="H520" s="289">
        <v>0.94</v>
      </c>
      <c r="I520" s="287">
        <v>2.5</v>
      </c>
      <c r="J520" s="288" cm="1">
        <f t="array" aca="1" ref="J520" ca="1">INDIRECT("'"&amp;$C520&amp;"'!"&amp;"$"&amp;$D520&amp;$J$1&amp;"")</f>
        <v>6.7</v>
      </c>
      <c r="K520" s="289"/>
      <c r="L520" s="289">
        <v>0.94</v>
      </c>
      <c r="M520" s="287">
        <v>2.5</v>
      </c>
      <c r="N520" s="288" cm="1">
        <f t="array" aca="1" ref="N520" ca="1">INDIRECT("'"&amp;$C520&amp;"'!"&amp;"$"&amp;$D520&amp;$N$1&amp;"")</f>
        <v>6.7</v>
      </c>
      <c r="O520" s="289"/>
      <c r="P520" s="289">
        <v>0.94</v>
      </c>
      <c r="Q520" s="287">
        <v>2.5</v>
      </c>
      <c r="R520" s="288" cm="1">
        <f t="array" aca="1" ref="R520" ca="1">INDIRECT("'"&amp;$C520&amp;"'!"&amp;"$"&amp;$D520&amp;$R$1&amp;"")</f>
        <v>6.7</v>
      </c>
      <c r="S520" s="289"/>
      <c r="T520" s="289">
        <v>0.94</v>
      </c>
      <c r="U520" s="287">
        <v>1.92</v>
      </c>
      <c r="V520" s="288" cm="1">
        <f t="array" aca="1" ref="V520" ca="1">INDIRECT("'"&amp;$C520&amp;"'!"&amp;"$"&amp;$D520&amp;$V$1&amp;"")</f>
        <v>2.8</v>
      </c>
      <c r="W520" s="289">
        <f>3.8*3.53</f>
        <v>13.413999999999998</v>
      </c>
      <c r="X520" s="289">
        <v>0.9</v>
      </c>
      <c r="Y520" s="290">
        <v>1.33</v>
      </c>
      <c r="Z520" s="286" cm="1">
        <f t="array" aca="1" ref="Z520" ca="1">INDIRECT("'"&amp;$C520&amp;"'!"&amp;"$"&amp;$D520&amp;$Z$1&amp;"")</f>
        <v>0</v>
      </c>
      <c r="AA520" s="289" t="s">
        <v>1</v>
      </c>
      <c r="AB520" s="289" t="s">
        <v>1</v>
      </c>
      <c r="AC520" s="287" t="s">
        <v>1</v>
      </c>
      <c r="AD520" s="288" cm="1">
        <f t="array" aca="1" ref="AD520" ca="1">INDIRECT("'"&amp;$C520&amp;"'!"&amp;"$"&amp;$D520&amp;$AD$1&amp;"")</f>
        <v>3.8</v>
      </c>
      <c r="AE520" s="289">
        <f>3.8*3.53</f>
        <v>13.413999999999998</v>
      </c>
      <c r="AF520" s="289">
        <v>0.9</v>
      </c>
      <c r="AG520" s="290">
        <v>1.92</v>
      </c>
      <c r="AH520" s="286" cm="1">
        <f t="array" aca="1" ref="AH520" ca="1">INDIRECT("'"&amp;$C520&amp;"'!"&amp;"$"&amp;$D520&amp;$AH$1&amp;"")</f>
        <v>3.8</v>
      </c>
      <c r="AI520" s="289">
        <v>14</v>
      </c>
      <c r="AJ520" s="289">
        <v>0.97</v>
      </c>
      <c r="AK520" s="287">
        <v>1.06</v>
      </c>
      <c r="AL520" s="286">
        <v>11.9</v>
      </c>
      <c r="AM520" s="290">
        <v>70.400000000000006</v>
      </c>
      <c r="AN520" s="286" cm="1">
        <f t="array" aca="1" ref="AN520" ca="1">INDIRECT("'"&amp;$C520&amp;"'!"&amp;"$"&amp;$D520&amp;$AL$1&amp;"")</f>
        <v>4.0999999999999996</v>
      </c>
      <c r="AO520" s="289">
        <v>0.97</v>
      </c>
      <c r="AP520" s="287">
        <v>0.99</v>
      </c>
      <c r="AQ520" s="288" cm="1">
        <f t="array" aca="1" ref="AQ520" ca="1">INDIRECT("'"&amp;$C520&amp;"'!"&amp;"$"&amp;$D520&amp;$AQ$1&amp;"")</f>
        <v>4.0999999999999996</v>
      </c>
      <c r="AR520" s="289">
        <v>0.97</v>
      </c>
      <c r="AS520" s="287">
        <v>0.99</v>
      </c>
      <c r="AT520" s="289" t="str" cm="1">
        <f t="array" aca="1" ref="AT520" ca="1">INDIRECT("'"&amp;$C520&amp;"'!"&amp;"$"&amp;$D520&amp;$AT$1&amp;"")</f>
        <v>CMS</v>
      </c>
      <c r="AU520" s="288" t="s">
        <v>1</v>
      </c>
      <c r="AV520" s="289" t="s">
        <v>1</v>
      </c>
      <c r="AW520" s="287" t="s">
        <v>1</v>
      </c>
      <c r="AX520" s="291">
        <v>14.21</v>
      </c>
      <c r="AY520" s="290">
        <v>71.34</v>
      </c>
      <c r="AZ520" s="291" cm="1">
        <f t="array" aca="1" ref="AZ520" ca="1">INDIRECT("'"&amp;$C520&amp;"'!"&amp;"$"&amp;$D520&amp;$AZ$1&amp;"")</f>
        <v>14.22</v>
      </c>
      <c r="BA520" s="289">
        <v>0.98</v>
      </c>
      <c r="BB520" s="287">
        <v>3.5</v>
      </c>
      <c r="BC520" s="292">
        <v>68.599999999999994</v>
      </c>
      <c r="BD520" s="286" cm="1">
        <f t="array" aca="1" ref="BD520" ca="1">INDIRECT("'"&amp;$C520&amp;"'!"&amp;"$"&amp;$D520&amp;$BC$1&amp;"")</f>
        <v>6.4</v>
      </c>
      <c r="BE520" s="288">
        <v>0.95</v>
      </c>
      <c r="BF520" s="287">
        <v>2.1</v>
      </c>
      <c r="BG520" s="291" cm="1">
        <f t="array" aca="1" ref="BG520" ca="1">INDIRECT("'"&amp;$C520&amp;"'!"&amp;"$"&amp;$D520&amp;$BG$1&amp;"")</f>
        <v>1.58</v>
      </c>
      <c r="BH520" s="289"/>
      <c r="BI520" s="289">
        <v>0.99</v>
      </c>
      <c r="BJ520" s="287">
        <v>0.26</v>
      </c>
      <c r="BK520" s="292" cm="1">
        <f t="array" aca="1" ref="BK520" ca="1">INDIRECT("'"&amp;$C520&amp;"'!"&amp;"$"&amp;$D520&amp;$BK$1&amp;"")</f>
        <v>0.97</v>
      </c>
      <c r="BL520" s="289"/>
      <c r="BM520" s="289">
        <v>0.96</v>
      </c>
      <c r="BN520" s="287">
        <v>0.27</v>
      </c>
    </row>
    <row r="521" spans="1:66">
      <c r="A521" s="361">
        <v>45768</v>
      </c>
      <c r="B521" s="358">
        <v>0.66666666666666696</v>
      </c>
      <c r="C521" s="313">
        <f t="shared" si="20"/>
        <v>21</v>
      </c>
      <c r="D521" s="314" t="s">
        <v>143</v>
      </c>
      <c r="E521" s="293">
        <v>14.3</v>
      </c>
      <c r="F521" s="294">
        <v>69.94</v>
      </c>
      <c r="G521" s="295" cm="1">
        <f t="array" aca="1" ref="G521" ca="1">INDIRECT("'"&amp;$C521&amp;"'!"&amp;"$"&amp;$D521&amp;$E$1&amp;"")</f>
        <v>6.7</v>
      </c>
      <c r="H521" s="296">
        <v>0.94</v>
      </c>
      <c r="I521" s="294">
        <v>2.4300000000000002</v>
      </c>
      <c r="J521" s="295" cm="1">
        <f t="array" aca="1" ref="J521" ca="1">INDIRECT("'"&amp;$C521&amp;"'!"&amp;"$"&amp;$D521&amp;$J$1&amp;"")</f>
        <v>6.7</v>
      </c>
      <c r="K521" s="296"/>
      <c r="L521" s="296">
        <v>0.94</v>
      </c>
      <c r="M521" s="294">
        <v>2.4300000000000002</v>
      </c>
      <c r="N521" s="295" cm="1">
        <f t="array" aca="1" ref="N521" ca="1">INDIRECT("'"&amp;$C521&amp;"'!"&amp;"$"&amp;$D521&amp;$N$1&amp;"")</f>
        <v>6.7</v>
      </c>
      <c r="O521" s="296"/>
      <c r="P521" s="296">
        <v>0.94</v>
      </c>
      <c r="Q521" s="294">
        <v>2.4300000000000002</v>
      </c>
      <c r="R521" s="295" cm="1">
        <f t="array" aca="1" ref="R521" ca="1">INDIRECT("'"&amp;$C521&amp;"'!"&amp;"$"&amp;$D521&amp;$R$1&amp;"")</f>
        <v>6.7</v>
      </c>
      <c r="S521" s="296"/>
      <c r="T521" s="296">
        <v>0.94</v>
      </c>
      <c r="U521" s="294">
        <v>2.4300000000000002</v>
      </c>
      <c r="V521" s="295" cm="1">
        <f t="array" aca="1" ref="V521" ca="1">INDIRECT("'"&amp;$C521&amp;"'!"&amp;"$"&amp;$D521&amp;$V$1&amp;"")</f>
        <v>2.8</v>
      </c>
      <c r="W521" s="296">
        <f>3.8*3.51</f>
        <v>13.337999999999999</v>
      </c>
      <c r="X521" s="296">
        <v>0.93</v>
      </c>
      <c r="Y521" s="297">
        <v>1.05</v>
      </c>
      <c r="Z521" s="293" cm="1">
        <f t="array" aca="1" ref="Z521" ca="1">INDIRECT("'"&amp;$C521&amp;"'!"&amp;"$"&amp;$D521&amp;$Z$1&amp;"")</f>
        <v>0</v>
      </c>
      <c r="AA521" s="296" t="s">
        <v>1</v>
      </c>
      <c r="AB521" s="296" t="s">
        <v>1</v>
      </c>
      <c r="AC521" s="294" t="s">
        <v>1</v>
      </c>
      <c r="AD521" s="295" cm="1">
        <f t="array" aca="1" ref="AD521" ca="1">INDIRECT("'"&amp;$C521&amp;"'!"&amp;"$"&amp;$D521&amp;$AD$1&amp;"")</f>
        <v>3.8</v>
      </c>
      <c r="AE521" s="296">
        <f>3.8*3.51</f>
        <v>13.337999999999999</v>
      </c>
      <c r="AF521" s="296">
        <v>0.93</v>
      </c>
      <c r="AG521" s="297">
        <v>1.48</v>
      </c>
      <c r="AH521" s="293" cm="1">
        <f t="array" aca="1" ref="AH521" ca="1">INDIRECT("'"&amp;$C521&amp;"'!"&amp;"$"&amp;$D521&amp;$AH$1&amp;"")</f>
        <v>3.8</v>
      </c>
      <c r="AI521" s="296">
        <v>14.04</v>
      </c>
      <c r="AJ521" s="296">
        <v>0.97</v>
      </c>
      <c r="AK521" s="294">
        <v>1.36</v>
      </c>
      <c r="AL521" s="293">
        <v>11.9</v>
      </c>
      <c r="AM521" s="297">
        <v>70.400000000000006</v>
      </c>
      <c r="AN521" s="293" cm="1">
        <f t="array" aca="1" ref="AN521" ca="1">INDIRECT("'"&amp;$C521&amp;"'!"&amp;"$"&amp;$D521&amp;$AL$1&amp;"")</f>
        <v>3.8</v>
      </c>
      <c r="AO521" s="296">
        <v>0.97</v>
      </c>
      <c r="AP521" s="294">
        <v>0.98</v>
      </c>
      <c r="AQ521" s="295" cm="1">
        <f t="array" aca="1" ref="AQ521" ca="1">INDIRECT("'"&amp;$C521&amp;"'!"&amp;"$"&amp;$D521&amp;$AQ$1&amp;"")</f>
        <v>3.8</v>
      </c>
      <c r="AR521" s="296">
        <v>0.97</v>
      </c>
      <c r="AS521" s="294">
        <v>0.98</v>
      </c>
      <c r="AT521" s="296" t="str" cm="1">
        <f t="array" aca="1" ref="AT521" ca="1">INDIRECT("'"&amp;$C521&amp;"'!"&amp;"$"&amp;$D521&amp;$AT$1&amp;"")</f>
        <v>CMS</v>
      </c>
      <c r="AU521" s="295" t="s">
        <v>1</v>
      </c>
      <c r="AV521" s="296" t="s">
        <v>1</v>
      </c>
      <c r="AW521" s="294" t="s">
        <v>1</v>
      </c>
      <c r="AX521" s="298">
        <v>14.27</v>
      </c>
      <c r="AY521" s="297">
        <v>71.48</v>
      </c>
      <c r="AZ521" s="298" cm="1">
        <f t="array" aca="1" ref="AZ521" ca="1">INDIRECT("'"&amp;$C521&amp;"'!"&amp;"$"&amp;$D521&amp;$AZ$1&amp;"")</f>
        <v>14.3</v>
      </c>
      <c r="BA521" s="296">
        <v>0.98</v>
      </c>
      <c r="BB521" s="294">
        <v>3.5</v>
      </c>
      <c r="BC521" s="299">
        <v>68.900000000000006</v>
      </c>
      <c r="BD521" s="293" cm="1">
        <f t="array" aca="1" ref="BD521" ca="1">INDIRECT("'"&amp;$C521&amp;"'!"&amp;"$"&amp;$D521&amp;$BC$1&amp;"")</f>
        <v>6.3000000000000007</v>
      </c>
      <c r="BE521" s="295">
        <v>0.95</v>
      </c>
      <c r="BF521" s="294">
        <v>2</v>
      </c>
      <c r="BG521" s="298" cm="1">
        <f t="array" aca="1" ref="BG521" ca="1">INDIRECT("'"&amp;$C521&amp;"'!"&amp;"$"&amp;$D521&amp;$BG$1&amp;"")</f>
        <v>1.56</v>
      </c>
      <c r="BH521" s="296"/>
      <c r="BI521" s="296">
        <v>0.99</v>
      </c>
      <c r="BJ521" s="294">
        <v>0.26</v>
      </c>
      <c r="BK521" s="299" cm="1">
        <f t="array" aca="1" ref="BK521" ca="1">INDIRECT("'"&amp;$C521&amp;"'!"&amp;"$"&amp;$D521&amp;$BK$1&amp;"")</f>
        <v>0.94</v>
      </c>
      <c r="BL521" s="296"/>
      <c r="BM521" s="296">
        <v>0.96</v>
      </c>
      <c r="BN521" s="294">
        <v>0.26</v>
      </c>
    </row>
    <row r="522" spans="1:66">
      <c r="A522" s="361">
        <v>45768</v>
      </c>
      <c r="B522" s="358">
        <v>0.70833333333333404</v>
      </c>
      <c r="C522" s="313">
        <f t="shared" si="20"/>
        <v>21</v>
      </c>
      <c r="D522" s="314" t="s">
        <v>144</v>
      </c>
      <c r="E522" s="286">
        <v>14.3</v>
      </c>
      <c r="F522" s="287">
        <v>69.52</v>
      </c>
      <c r="G522" s="288" cm="1">
        <f t="array" aca="1" ref="G522" ca="1">INDIRECT("'"&amp;$C522&amp;"'!"&amp;"$"&amp;$D522&amp;$E$1&amp;"")</f>
        <v>6.4</v>
      </c>
      <c r="H522" s="289">
        <v>0.92</v>
      </c>
      <c r="I522" s="287">
        <v>2.9</v>
      </c>
      <c r="J522" s="288" cm="1">
        <f t="array" aca="1" ref="J522" ca="1">INDIRECT("'"&amp;$C522&amp;"'!"&amp;"$"&amp;$D522&amp;$J$1&amp;"")</f>
        <v>6.4</v>
      </c>
      <c r="K522" s="289"/>
      <c r="L522" s="289">
        <v>0.92</v>
      </c>
      <c r="M522" s="287">
        <v>2.9</v>
      </c>
      <c r="N522" s="288" cm="1">
        <f t="array" aca="1" ref="N522" ca="1">INDIRECT("'"&amp;$C522&amp;"'!"&amp;"$"&amp;$D522&amp;$N$1&amp;"")</f>
        <v>6.4</v>
      </c>
      <c r="O522" s="289"/>
      <c r="P522" s="289">
        <v>0.92</v>
      </c>
      <c r="Q522" s="287">
        <v>2.9</v>
      </c>
      <c r="R522" s="288" cm="1">
        <f t="array" aca="1" ref="R522" ca="1">INDIRECT("'"&amp;$C522&amp;"'!"&amp;"$"&amp;$D522&amp;$R$1&amp;"")</f>
        <v>6.4</v>
      </c>
      <c r="S522" s="289"/>
      <c r="T522" s="289">
        <v>0.92</v>
      </c>
      <c r="U522" s="287">
        <v>2.9</v>
      </c>
      <c r="V522" s="288" cm="1">
        <f t="array" aca="1" ref="V522" ca="1">INDIRECT("'"&amp;$C522&amp;"'!"&amp;"$"&amp;$D522&amp;$V$1&amp;"")</f>
        <v>2.8</v>
      </c>
      <c r="W522" s="289">
        <f>3.8*3.49</f>
        <v>13.262</v>
      </c>
      <c r="X522" s="289">
        <v>0.93</v>
      </c>
      <c r="Y522" s="290">
        <v>1.03</v>
      </c>
      <c r="Z522" s="286" cm="1">
        <f t="array" aca="1" ref="Z522" ca="1">INDIRECT("'"&amp;$C522&amp;"'!"&amp;"$"&amp;$D522&amp;$Z$1&amp;"")</f>
        <v>0</v>
      </c>
      <c r="AA522" s="289" t="s">
        <v>1</v>
      </c>
      <c r="AB522" s="289" t="s">
        <v>1</v>
      </c>
      <c r="AC522" s="287" t="s">
        <v>1</v>
      </c>
      <c r="AD522" s="288" cm="1">
        <f t="array" aca="1" ref="AD522" ca="1">INDIRECT("'"&amp;$C522&amp;"'!"&amp;"$"&amp;$D522&amp;$AD$1&amp;"")</f>
        <v>3.8</v>
      </c>
      <c r="AE522" s="289">
        <f>3.8*3.49</f>
        <v>13.262</v>
      </c>
      <c r="AF522" s="289">
        <v>0.93</v>
      </c>
      <c r="AG522" s="290">
        <v>1.49</v>
      </c>
      <c r="AH522" s="286" cm="1">
        <f t="array" aca="1" ref="AH522" ca="1">INDIRECT("'"&amp;$C522&amp;"'!"&amp;"$"&amp;$D522&amp;$AH$1&amp;"")</f>
        <v>3.8</v>
      </c>
      <c r="AI522" s="289">
        <v>14.08</v>
      </c>
      <c r="AJ522" s="289">
        <v>0.97</v>
      </c>
      <c r="AK522" s="287">
        <v>0.90100000000000002</v>
      </c>
      <c r="AL522" s="286">
        <v>11.9</v>
      </c>
      <c r="AM522" s="290">
        <v>70.5</v>
      </c>
      <c r="AN522" s="286" cm="1">
        <f t="array" aca="1" ref="AN522" ca="1">INDIRECT("'"&amp;$C522&amp;"'!"&amp;"$"&amp;$D522&amp;$AL$1&amp;"")</f>
        <v>3.5</v>
      </c>
      <c r="AO522" s="289">
        <v>0.96</v>
      </c>
      <c r="AP522" s="287">
        <v>0.95</v>
      </c>
      <c r="AQ522" s="288" cm="1">
        <f t="array" aca="1" ref="AQ522" ca="1">INDIRECT("'"&amp;$C522&amp;"'!"&amp;"$"&amp;$D522&amp;$AQ$1&amp;"")</f>
        <v>3.5</v>
      </c>
      <c r="AR522" s="289">
        <v>0.96</v>
      </c>
      <c r="AS522" s="287">
        <v>0.95</v>
      </c>
      <c r="AT522" s="289" cm="1">
        <f t="array" aca="1" ref="AT522" ca="1">INDIRECT("'"&amp;$C522&amp;"'!"&amp;"$"&amp;$D522&amp;$AT$1&amp;"")</f>
        <v>3.2</v>
      </c>
      <c r="AU522" s="288">
        <v>13.8</v>
      </c>
      <c r="AV522" s="289">
        <v>0.99</v>
      </c>
      <c r="AW522" s="287">
        <v>0.33</v>
      </c>
      <c r="AX522" s="291">
        <v>14.3</v>
      </c>
      <c r="AY522" s="290">
        <v>71.760000000000005</v>
      </c>
      <c r="AZ522" s="291" cm="1">
        <f t="array" aca="1" ref="AZ522" ca="1">INDIRECT("'"&amp;$C522&amp;"'!"&amp;"$"&amp;$D522&amp;$AZ$1&amp;"")</f>
        <v>14.25</v>
      </c>
      <c r="BA522" s="289">
        <v>0.98</v>
      </c>
      <c r="BB522" s="287">
        <v>3.5</v>
      </c>
      <c r="BC522" s="292">
        <v>68.2</v>
      </c>
      <c r="BD522" s="286" cm="1">
        <f t="array" aca="1" ref="BD522" ca="1">INDIRECT("'"&amp;$C522&amp;"'!"&amp;"$"&amp;$D522&amp;$BC$1&amp;"")</f>
        <v>5.0999999999999996</v>
      </c>
      <c r="BE522" s="288">
        <v>0.95</v>
      </c>
      <c r="BF522" s="287">
        <v>1.6</v>
      </c>
      <c r="BG522" s="291" cm="1">
        <f t="array" aca="1" ref="BG522" ca="1">INDIRECT("'"&amp;$C522&amp;"'!"&amp;"$"&amp;$D522&amp;$BG$1&amp;"")</f>
        <v>1.52</v>
      </c>
      <c r="BH522" s="289"/>
      <c r="BI522" s="289">
        <v>0.99</v>
      </c>
      <c r="BJ522" s="287">
        <v>0.55000000000000004</v>
      </c>
      <c r="BK522" s="292" cm="1">
        <f t="array" aca="1" ref="BK522" ca="1">INDIRECT("'"&amp;$C522&amp;"'!"&amp;"$"&amp;$D522&amp;$BK$1&amp;"")</f>
        <v>0.93</v>
      </c>
      <c r="BL522" s="289"/>
      <c r="BM522" s="289">
        <v>0.96</v>
      </c>
      <c r="BN522" s="287">
        <v>0.26</v>
      </c>
    </row>
    <row r="523" spans="1:66">
      <c r="A523" s="361">
        <v>45768</v>
      </c>
      <c r="B523" s="358">
        <v>0.750000000000001</v>
      </c>
      <c r="C523" s="313">
        <f t="shared" si="20"/>
        <v>21</v>
      </c>
      <c r="D523" s="314" t="s">
        <v>145</v>
      </c>
      <c r="E523" s="293">
        <v>14.2</v>
      </c>
      <c r="F523" s="294">
        <v>69.36</v>
      </c>
      <c r="G523" s="295" cm="1">
        <f t="array" aca="1" ref="G523" ca="1">INDIRECT("'"&amp;$C523&amp;"'!"&amp;"$"&amp;$D523&amp;$E$1&amp;"")</f>
        <v>6.5</v>
      </c>
      <c r="H523" s="296">
        <v>0.91</v>
      </c>
      <c r="I523" s="294">
        <v>3.2</v>
      </c>
      <c r="J523" s="295" cm="1">
        <f t="array" aca="1" ref="J523" ca="1">INDIRECT("'"&amp;$C523&amp;"'!"&amp;"$"&amp;$D523&amp;$J$1&amp;"")</f>
        <v>6.5</v>
      </c>
      <c r="K523" s="296"/>
      <c r="L523" s="296">
        <v>0.91</v>
      </c>
      <c r="M523" s="294">
        <v>3.2</v>
      </c>
      <c r="N523" s="295" cm="1">
        <f t="array" aca="1" ref="N523" ca="1">INDIRECT("'"&amp;$C523&amp;"'!"&amp;"$"&amp;$D523&amp;$N$1&amp;"")</f>
        <v>6.5</v>
      </c>
      <c r="O523" s="296"/>
      <c r="P523" s="296">
        <v>0.91</v>
      </c>
      <c r="Q523" s="294">
        <v>3.2</v>
      </c>
      <c r="R523" s="295" cm="1">
        <f t="array" aca="1" ref="R523" ca="1">INDIRECT("'"&amp;$C523&amp;"'!"&amp;"$"&amp;$D523&amp;$R$1&amp;"")</f>
        <v>6.5</v>
      </c>
      <c r="S523" s="296"/>
      <c r="T523" s="296">
        <v>0.91</v>
      </c>
      <c r="U523" s="294">
        <v>3.2</v>
      </c>
      <c r="V523" s="295" cm="1">
        <f t="array" aca="1" ref="V523" ca="1">INDIRECT("'"&amp;$C523&amp;"'!"&amp;"$"&amp;$D523&amp;$V$1&amp;"")</f>
        <v>2</v>
      </c>
      <c r="W523" s="296">
        <f>3.8*3.49</f>
        <v>13.262</v>
      </c>
      <c r="X523" s="296">
        <v>0.94</v>
      </c>
      <c r="Y523" s="297">
        <v>0.72</v>
      </c>
      <c r="Z523" s="293" cm="1">
        <f t="array" aca="1" ref="Z523" ca="1">INDIRECT("'"&amp;$C523&amp;"'!"&amp;"$"&amp;$D523&amp;$Z$1&amp;"")</f>
        <v>0</v>
      </c>
      <c r="AA523" s="296" t="s">
        <v>1</v>
      </c>
      <c r="AB523" s="296" t="s">
        <v>1</v>
      </c>
      <c r="AC523" s="294" t="s">
        <v>1</v>
      </c>
      <c r="AD523" s="295" cm="1">
        <f t="array" aca="1" ref="AD523" ca="1">INDIRECT("'"&amp;$C523&amp;"'!"&amp;"$"&amp;$D523&amp;$AD$1&amp;"")</f>
        <v>3</v>
      </c>
      <c r="AE523" s="296">
        <f>3.8*3.49</f>
        <v>13.262</v>
      </c>
      <c r="AF523" s="296">
        <v>0.93</v>
      </c>
      <c r="AG523" s="297">
        <v>1.42</v>
      </c>
      <c r="AH523" s="293" cm="1">
        <f t="array" aca="1" ref="AH523" ca="1">INDIRECT("'"&amp;$C523&amp;"'!"&amp;"$"&amp;$D523&amp;$AH$1&amp;"")</f>
        <v>3</v>
      </c>
      <c r="AI523" s="296">
        <v>14.08</v>
      </c>
      <c r="AJ523" s="296">
        <v>0.97</v>
      </c>
      <c r="AK523" s="294">
        <v>0.875</v>
      </c>
      <c r="AL523" s="293">
        <v>11.9</v>
      </c>
      <c r="AM523" s="297">
        <v>70.599999999999994</v>
      </c>
      <c r="AN523" s="293" cm="1">
        <f t="array" aca="1" ref="AN523" ca="1">INDIRECT("'"&amp;$C523&amp;"'!"&amp;"$"&amp;$D523&amp;$AL$1&amp;"")</f>
        <v>3.5</v>
      </c>
      <c r="AO523" s="296">
        <v>0.96</v>
      </c>
      <c r="AP523" s="294">
        <v>0.97</v>
      </c>
      <c r="AQ523" s="295" cm="1">
        <f t="array" aca="1" ref="AQ523" ca="1">INDIRECT("'"&amp;$C523&amp;"'!"&amp;"$"&amp;$D523&amp;$AQ$1&amp;"")</f>
        <v>3.5</v>
      </c>
      <c r="AR523" s="296">
        <v>0.96</v>
      </c>
      <c r="AS523" s="294">
        <v>0.9</v>
      </c>
      <c r="AT523" s="296" cm="1">
        <f t="array" aca="1" ref="AT523" ca="1">INDIRECT("'"&amp;$C523&amp;"'!"&amp;"$"&amp;$D523&amp;$AT$1&amp;"")</f>
        <v>2.9</v>
      </c>
      <c r="AU523" s="295">
        <v>13.8</v>
      </c>
      <c r="AV523" s="296">
        <v>0.99</v>
      </c>
      <c r="AW523" s="294">
        <v>0.43099999999999999</v>
      </c>
      <c r="AX523" s="298">
        <v>14.3</v>
      </c>
      <c r="AY523" s="297">
        <v>71.930000000000007</v>
      </c>
      <c r="AZ523" s="298" cm="1">
        <f t="array" aca="1" ref="AZ523" ca="1">INDIRECT("'"&amp;$C523&amp;"'!"&amp;"$"&amp;$D523&amp;$AZ$1&amp;"")</f>
        <v>14.29</v>
      </c>
      <c r="BA523" s="296">
        <v>0.98</v>
      </c>
      <c r="BB523" s="294">
        <v>3.5</v>
      </c>
      <c r="BC523" s="299">
        <v>68</v>
      </c>
      <c r="BD523" s="293" cm="1">
        <f t="array" aca="1" ref="BD523" ca="1">INDIRECT("'"&amp;$C523&amp;"'!"&amp;"$"&amp;$D523&amp;$BC$1&amp;"")</f>
        <v>1.8</v>
      </c>
      <c r="BE523" s="295">
        <v>0.96</v>
      </c>
      <c r="BF523" s="294">
        <v>0.52</v>
      </c>
      <c r="BG523" s="298" cm="1">
        <f t="array" aca="1" ref="BG523" ca="1">INDIRECT("'"&amp;$C523&amp;"'!"&amp;"$"&amp;$D523&amp;$BG$1&amp;"")</f>
        <v>1.38</v>
      </c>
      <c r="BH523" s="296"/>
      <c r="BI523" s="296">
        <v>0.99</v>
      </c>
      <c r="BJ523" s="294">
        <v>0.22</v>
      </c>
      <c r="BK523" s="299" cm="1">
        <f t="array" aca="1" ref="BK523" ca="1">INDIRECT("'"&amp;$C523&amp;"'!"&amp;"$"&amp;$D523&amp;$BK$1&amp;"")</f>
        <v>0.92</v>
      </c>
      <c r="BL523" s="296"/>
      <c r="BM523" s="296">
        <v>0.96</v>
      </c>
      <c r="BN523" s="294">
        <v>0.26</v>
      </c>
    </row>
    <row r="524" spans="1:66">
      <c r="A524" s="361">
        <v>45768</v>
      </c>
      <c r="B524" s="358">
        <v>0.79166666666666663</v>
      </c>
      <c r="C524" s="313">
        <f t="shared" si="20"/>
        <v>21</v>
      </c>
      <c r="D524" s="314" t="s">
        <v>146</v>
      </c>
      <c r="E524" s="286">
        <v>14.3</v>
      </c>
      <c r="F524" s="287">
        <v>69.599999999999994</v>
      </c>
      <c r="G524" s="288" cm="1">
        <f t="array" aca="1" ref="G524" ca="1">INDIRECT("'"&amp;$C524&amp;"'!"&amp;"$"&amp;$D524&amp;$E$1&amp;"")</f>
        <v>6.4</v>
      </c>
      <c r="H524" s="289">
        <v>0.94</v>
      </c>
      <c r="I524" s="287">
        <v>2.34</v>
      </c>
      <c r="J524" s="288" cm="1">
        <f t="array" aca="1" ref="J524" ca="1">INDIRECT("'"&amp;$C524&amp;"'!"&amp;"$"&amp;$D524&amp;$J$1&amp;"")</f>
        <v>6.4</v>
      </c>
      <c r="K524" s="300"/>
      <c r="L524" s="289">
        <v>0.94</v>
      </c>
      <c r="M524" s="287">
        <v>2.34</v>
      </c>
      <c r="N524" s="288" cm="1">
        <f t="array" aca="1" ref="N524" ca="1">INDIRECT("'"&amp;$C524&amp;"'!"&amp;"$"&amp;$D524&amp;$N$1&amp;"")</f>
        <v>6.4</v>
      </c>
      <c r="O524" s="289"/>
      <c r="P524" s="289">
        <v>0.94</v>
      </c>
      <c r="Q524" s="287">
        <v>2.34</v>
      </c>
      <c r="R524" s="288" cm="1">
        <f t="array" aca="1" ref="R524" ca="1">INDIRECT("'"&amp;$C524&amp;"'!"&amp;"$"&amp;$D524&amp;$R$1&amp;"")</f>
        <v>6.4</v>
      </c>
      <c r="S524" s="289"/>
      <c r="T524" s="289">
        <v>0.94</v>
      </c>
      <c r="U524" s="287">
        <v>2.34</v>
      </c>
      <c r="V524" s="288" cm="1">
        <f t="array" aca="1" ref="V524" ca="1">INDIRECT("'"&amp;$C524&amp;"'!"&amp;"$"&amp;$D524&amp;$V$1&amp;"")</f>
        <v>2.8</v>
      </c>
      <c r="W524" s="289">
        <f>3.8*3.52</f>
        <v>13.375999999999999</v>
      </c>
      <c r="X524" s="289">
        <v>0.94</v>
      </c>
      <c r="Y524" s="290">
        <v>0.95</v>
      </c>
      <c r="Z524" s="286" cm="1">
        <f t="array" aca="1" ref="Z524" ca="1">INDIRECT("'"&amp;$C524&amp;"'!"&amp;"$"&amp;$D524&amp;$Z$1&amp;"")</f>
        <v>0</v>
      </c>
      <c r="AA524" s="289" t="s">
        <v>1</v>
      </c>
      <c r="AB524" s="289" t="s">
        <v>1</v>
      </c>
      <c r="AC524" s="287" t="s">
        <v>1</v>
      </c>
      <c r="AD524" s="288" cm="1">
        <f t="array" aca="1" ref="AD524" ca="1">INDIRECT("'"&amp;$C524&amp;"'!"&amp;"$"&amp;$D524&amp;$AD$1&amp;"")</f>
        <v>3.8</v>
      </c>
      <c r="AE524" s="289">
        <f>3.8*3.52</f>
        <v>13.375999999999999</v>
      </c>
      <c r="AF524" s="289">
        <v>0.93</v>
      </c>
      <c r="AG524" s="290">
        <v>1.47</v>
      </c>
      <c r="AH524" s="286" cm="1">
        <f t="array" aca="1" ref="AH524" ca="1">INDIRECT("'"&amp;$C524&amp;"'!"&amp;"$"&amp;$D524&amp;$AH$1&amp;"")</f>
        <v>3.8</v>
      </c>
      <c r="AI524" s="289">
        <v>14.04</v>
      </c>
      <c r="AJ524" s="289">
        <v>0.97</v>
      </c>
      <c r="AK524" s="287">
        <v>0.85699999999999998</v>
      </c>
      <c r="AL524" s="286">
        <v>11.9</v>
      </c>
      <c r="AM524" s="290">
        <v>70.7</v>
      </c>
      <c r="AN524" s="286" cm="1">
        <f t="array" aca="1" ref="AN524" ca="1">INDIRECT("'"&amp;$C524&amp;"'!"&amp;"$"&amp;$D524&amp;$AL$1&amp;"")</f>
        <v>4</v>
      </c>
      <c r="AO524" s="289">
        <v>0.98</v>
      </c>
      <c r="AP524" s="287">
        <v>0.66</v>
      </c>
      <c r="AQ524" s="288" cm="1">
        <f t="array" aca="1" ref="AQ524" ca="1">INDIRECT("'"&amp;$C524&amp;"'!"&amp;"$"&amp;$D524&amp;$AQ$1&amp;"")</f>
        <v>4</v>
      </c>
      <c r="AR524" s="289">
        <v>0.98</v>
      </c>
      <c r="AS524" s="287">
        <v>0.66</v>
      </c>
      <c r="AT524" s="289" cm="1">
        <f t="array" aca="1" ref="AT524" ca="1">INDIRECT("'"&amp;$C524&amp;"'!"&amp;"$"&amp;$D524&amp;$AT$1&amp;"")</f>
        <v>3.9</v>
      </c>
      <c r="AU524" s="288">
        <v>13.8</v>
      </c>
      <c r="AV524" s="289">
        <v>1</v>
      </c>
      <c r="AW524" s="287">
        <v>0.30499999999999999</v>
      </c>
      <c r="AX524" s="291">
        <v>14.28</v>
      </c>
      <c r="AY524" s="290">
        <v>71.78</v>
      </c>
      <c r="AZ524" s="291" cm="1">
        <f t="array" aca="1" ref="AZ524" ca="1">INDIRECT("'"&amp;$C524&amp;"'!"&amp;"$"&amp;$D524&amp;$AZ$1&amp;"")</f>
        <v>14.28</v>
      </c>
      <c r="BA524" s="289">
        <v>0.98</v>
      </c>
      <c r="BB524" s="287">
        <v>3.5</v>
      </c>
      <c r="BC524" s="292">
        <v>68.2</v>
      </c>
      <c r="BD524" s="286" cm="1">
        <f t="array" aca="1" ref="BD524" ca="1">INDIRECT("'"&amp;$C524&amp;"'!"&amp;"$"&amp;$D524&amp;$BC$1&amp;"")</f>
        <v>1.8</v>
      </c>
      <c r="BE524" s="288">
        <v>0.97</v>
      </c>
      <c r="BF524" s="287">
        <v>0.45</v>
      </c>
      <c r="BG524" s="291" cm="1">
        <f t="array" aca="1" ref="BG524" ca="1">INDIRECT("'"&amp;$C524&amp;"'!"&amp;"$"&amp;$D524&amp;$BG$1&amp;"")</f>
        <v>1.46</v>
      </c>
      <c r="BH524" s="289"/>
      <c r="BI524" s="289">
        <v>0.99</v>
      </c>
      <c r="BJ524" s="287">
        <v>0.19</v>
      </c>
      <c r="BK524" s="292" cm="1">
        <f t="array" aca="1" ref="BK524" ca="1">INDIRECT("'"&amp;$C524&amp;"'!"&amp;"$"&amp;$D524&amp;$BK$1&amp;"")</f>
        <v>1.04</v>
      </c>
      <c r="BL524" s="289"/>
      <c r="BM524" s="289">
        <v>0.97</v>
      </c>
      <c r="BN524" s="287">
        <v>0.27</v>
      </c>
    </row>
    <row r="525" spans="1:66">
      <c r="A525" s="361">
        <v>45768</v>
      </c>
      <c r="B525" s="358">
        <v>0.83333333333333337</v>
      </c>
      <c r="C525" s="313">
        <f t="shared" si="20"/>
        <v>21</v>
      </c>
      <c r="D525" s="314" t="s">
        <v>147</v>
      </c>
      <c r="E525" s="293">
        <v>14.4</v>
      </c>
      <c r="F525" s="294">
        <v>70</v>
      </c>
      <c r="G525" s="295" cm="1">
        <f t="array" aca="1" ref="G525" ca="1">INDIRECT("'"&amp;$C525&amp;"'!"&amp;"$"&amp;$D525&amp;$E$1&amp;"")</f>
        <v>6.6</v>
      </c>
      <c r="H525" s="296">
        <v>0.95</v>
      </c>
      <c r="I525" s="294">
        <v>2.2000000000000002</v>
      </c>
      <c r="J525" s="295" cm="1">
        <f t="array" aca="1" ref="J525" ca="1">INDIRECT("'"&amp;$C525&amp;"'!"&amp;"$"&amp;$D525&amp;$J$1&amp;"")</f>
        <v>6.5</v>
      </c>
      <c r="K525" s="296"/>
      <c r="L525" s="296">
        <v>0.95</v>
      </c>
      <c r="M525" s="294">
        <v>2.2200000000000002</v>
      </c>
      <c r="N525" s="295" cm="1">
        <f t="array" aca="1" ref="N525" ca="1">INDIRECT("'"&amp;$C525&amp;"'!"&amp;"$"&amp;$D525&amp;$N$1&amp;"")</f>
        <v>6.8</v>
      </c>
      <c r="O525" s="296"/>
      <c r="P525" s="296">
        <v>0.95</v>
      </c>
      <c r="Q525" s="294">
        <v>2.34</v>
      </c>
      <c r="R525" s="295" cm="1">
        <f t="array" aca="1" ref="R525" ca="1">INDIRECT("'"&amp;$C525&amp;"'!"&amp;"$"&amp;$D525&amp;$R$1&amp;"")</f>
        <v>6.6</v>
      </c>
      <c r="S525" s="296"/>
      <c r="T525" s="296">
        <v>0.93</v>
      </c>
      <c r="U525" s="294">
        <v>2.71</v>
      </c>
      <c r="V525" s="295" cm="1">
        <f t="array" aca="1" ref="V525" ca="1">INDIRECT("'"&amp;$C525&amp;"'!"&amp;"$"&amp;$D525&amp;$V$1&amp;"")</f>
        <v>2</v>
      </c>
      <c r="W525" s="296">
        <f>3.8*3.52</f>
        <v>13.375999999999999</v>
      </c>
      <c r="X525" s="296">
        <v>0.96</v>
      </c>
      <c r="Y525" s="297">
        <v>0.54</v>
      </c>
      <c r="Z525" s="293" cm="1">
        <f t="array" aca="1" ref="Z525" ca="1">INDIRECT("'"&amp;$C525&amp;"'!"&amp;"$"&amp;$D525&amp;$Z$1&amp;"")</f>
        <v>0</v>
      </c>
      <c r="AA525" s="296" t="s">
        <v>1</v>
      </c>
      <c r="AB525" s="296" t="s">
        <v>1</v>
      </c>
      <c r="AC525" s="294" t="s">
        <v>1</v>
      </c>
      <c r="AD525" s="295" cm="1">
        <f t="array" aca="1" ref="AD525" ca="1">INDIRECT("'"&amp;$C525&amp;"'!"&amp;"$"&amp;$D525&amp;$AD$1&amp;"")</f>
        <v>3</v>
      </c>
      <c r="AE525" s="296">
        <f>3.8*3.52</f>
        <v>13.375999999999999</v>
      </c>
      <c r="AF525" s="296">
        <v>0.96</v>
      </c>
      <c r="AG525" s="297">
        <v>1.1399999999999999</v>
      </c>
      <c r="AH525" s="293" cm="1">
        <f t="array" aca="1" ref="AH525" ca="1">INDIRECT("'"&amp;$C525&amp;"'!"&amp;"$"&amp;$D525&amp;$AH$1&amp;"")</f>
        <v>3</v>
      </c>
      <c r="AI525" s="296">
        <v>14.04</v>
      </c>
      <c r="AJ525" s="296">
        <v>0.97</v>
      </c>
      <c r="AK525" s="294">
        <v>0.91100000000000003</v>
      </c>
      <c r="AL525" s="293">
        <v>11.9</v>
      </c>
      <c r="AM525" s="297">
        <v>70.8</v>
      </c>
      <c r="AN525" s="293" cm="1">
        <f t="array" aca="1" ref="AN525" ca="1">INDIRECT("'"&amp;$C525&amp;"'!"&amp;"$"&amp;$D525&amp;$AL$1&amp;"")</f>
        <v>4</v>
      </c>
      <c r="AO525" s="296">
        <v>0.98</v>
      </c>
      <c r="AP525" s="294">
        <v>0.8</v>
      </c>
      <c r="AQ525" s="295" cm="1">
        <f t="array" aca="1" ref="AQ525" ca="1">INDIRECT("'"&amp;$C525&amp;"'!"&amp;"$"&amp;$D525&amp;$AQ$1&amp;"")</f>
        <v>4</v>
      </c>
      <c r="AR525" s="296">
        <v>0.98</v>
      </c>
      <c r="AS525" s="294">
        <v>0.8</v>
      </c>
      <c r="AT525" s="296" cm="1">
        <f t="array" aca="1" ref="AT525" ca="1">INDIRECT("'"&amp;$C525&amp;"'!"&amp;"$"&amp;$D525&amp;$AT$1&amp;"")</f>
        <v>3.6</v>
      </c>
      <c r="AU525" s="295">
        <v>13.8</v>
      </c>
      <c r="AV525" s="296">
        <v>1</v>
      </c>
      <c r="AW525" s="294">
        <v>0.216</v>
      </c>
      <c r="AX525" s="298">
        <v>14.28</v>
      </c>
      <c r="AY525" s="297">
        <v>71.849999999999994</v>
      </c>
      <c r="AZ525" s="298" cm="1">
        <f t="array" aca="1" ref="AZ525" ca="1">INDIRECT("'"&amp;$C525&amp;"'!"&amp;"$"&amp;$D525&amp;$AZ$1&amp;"")</f>
        <v>14.29</v>
      </c>
      <c r="BA525" s="296">
        <v>0.98</v>
      </c>
      <c r="BB525" s="294">
        <v>3.5</v>
      </c>
      <c r="BC525" s="299">
        <v>68.3</v>
      </c>
      <c r="BD525" s="293" cm="1">
        <f t="array" aca="1" ref="BD525" ca="1">INDIRECT("'"&amp;$C525&amp;"'!"&amp;"$"&amp;$D525&amp;$BC$1&amp;"")</f>
        <v>0.9</v>
      </c>
      <c r="BE525" s="295">
        <v>0.97</v>
      </c>
      <c r="BF525" s="294">
        <v>0.22</v>
      </c>
      <c r="BG525" s="298" cm="1">
        <f t="array" aca="1" ref="BG525" ca="1">INDIRECT("'"&amp;$C525&amp;"'!"&amp;"$"&amp;$D525&amp;$BG$1&amp;"")</f>
        <v>1.39</v>
      </c>
      <c r="BH525" s="296"/>
      <c r="BI525" s="296">
        <v>0.99</v>
      </c>
      <c r="BJ525" s="294">
        <v>0.13</v>
      </c>
      <c r="BK525" s="299" cm="1">
        <f t="array" aca="1" ref="BK525" ca="1">INDIRECT("'"&amp;$C525&amp;"'!"&amp;"$"&amp;$D525&amp;$BK$1&amp;"")</f>
        <v>1.06</v>
      </c>
      <c r="BL525" s="296"/>
      <c r="BM525" s="296">
        <v>0.97</v>
      </c>
      <c r="BN525" s="294">
        <v>0.27</v>
      </c>
    </row>
    <row r="526" spans="1:66">
      <c r="A526" s="361">
        <v>45768</v>
      </c>
      <c r="B526" s="358">
        <v>0.875000000000001</v>
      </c>
      <c r="C526" s="313">
        <f t="shared" si="20"/>
        <v>21</v>
      </c>
      <c r="D526" s="314" t="s">
        <v>148</v>
      </c>
      <c r="E526" s="286">
        <v>14.1</v>
      </c>
      <c r="F526" s="287">
        <v>70.06</v>
      </c>
      <c r="G526" s="288" cm="1">
        <f t="array" aca="1" ref="G526" ca="1">INDIRECT("'"&amp;$C526&amp;"'!"&amp;"$"&amp;$D526&amp;$E$1&amp;"")</f>
        <v>6.4</v>
      </c>
      <c r="H526" s="289">
        <v>0.96</v>
      </c>
      <c r="I526" s="287">
        <v>1.98</v>
      </c>
      <c r="J526" s="288" cm="1">
        <f t="array" aca="1" ref="J526" ca="1">INDIRECT("'"&amp;$C526&amp;"'!"&amp;"$"&amp;$D526&amp;$J$1&amp;"")</f>
        <v>6.4</v>
      </c>
      <c r="K526" s="289"/>
      <c r="L526" s="289">
        <v>0.96</v>
      </c>
      <c r="M526" s="287">
        <v>1.79</v>
      </c>
      <c r="N526" s="288" cm="1">
        <f t="array" aca="1" ref="N526" ca="1">INDIRECT("'"&amp;$C526&amp;"'!"&amp;"$"&amp;$D526&amp;$N$1&amp;"")</f>
        <v>6.8</v>
      </c>
      <c r="O526" s="289"/>
      <c r="P526" s="289">
        <v>0.96</v>
      </c>
      <c r="Q526" s="287">
        <v>1.96</v>
      </c>
      <c r="R526" s="288" cm="1">
        <f t="array" aca="1" ref="R526" ca="1">INDIRECT("'"&amp;$C526&amp;"'!"&amp;"$"&amp;$D526&amp;$R$1&amp;"")</f>
        <v>6.4</v>
      </c>
      <c r="S526" s="289"/>
      <c r="T526" s="289">
        <v>0.95</v>
      </c>
      <c r="U526" s="287">
        <v>2.21</v>
      </c>
      <c r="V526" s="288" cm="1">
        <f t="array" aca="1" ref="V526" ca="1">INDIRECT("'"&amp;$C526&amp;"'!"&amp;"$"&amp;$D526&amp;$V$1&amp;"")</f>
        <v>2.8</v>
      </c>
      <c r="W526" s="289">
        <f>3.8*3.53</f>
        <v>13.413999999999998</v>
      </c>
      <c r="X526" s="289">
        <v>0.96</v>
      </c>
      <c r="Y526" s="290">
        <v>0.77</v>
      </c>
      <c r="Z526" s="286" cm="1">
        <f t="array" aca="1" ref="Z526" ca="1">INDIRECT("'"&amp;$C526&amp;"'!"&amp;"$"&amp;$D526&amp;$Z$1&amp;"")</f>
        <v>0</v>
      </c>
      <c r="AA526" s="289" t="s">
        <v>1</v>
      </c>
      <c r="AB526" s="289" t="s">
        <v>1</v>
      </c>
      <c r="AC526" s="287" t="s">
        <v>1</v>
      </c>
      <c r="AD526" s="288" cm="1">
        <f t="array" aca="1" ref="AD526" ca="1">INDIRECT("'"&amp;$C526&amp;"'!"&amp;"$"&amp;$D526&amp;$AD$1&amp;"")</f>
        <v>3.8</v>
      </c>
      <c r="AE526" s="289">
        <f>3.8*3.53</f>
        <v>13.413999999999998</v>
      </c>
      <c r="AF526" s="289">
        <v>0.96</v>
      </c>
      <c r="AG526" s="290">
        <v>1.05</v>
      </c>
      <c r="AH526" s="286" cm="1">
        <f t="array" aca="1" ref="AH526" ca="1">INDIRECT("'"&amp;$C526&amp;"'!"&amp;"$"&amp;$D526&amp;$AH$1&amp;"")</f>
        <v>3.8</v>
      </c>
      <c r="AI526" s="289">
        <v>14.08</v>
      </c>
      <c r="AJ526" s="289">
        <v>0.98</v>
      </c>
      <c r="AK526" s="287">
        <v>0.81799999999999995</v>
      </c>
      <c r="AL526" s="286">
        <v>11.9</v>
      </c>
      <c r="AM526" s="290">
        <v>70.7</v>
      </c>
      <c r="AN526" s="286" cm="1">
        <f t="array" aca="1" ref="AN526" ca="1">INDIRECT("'"&amp;$C526&amp;"'!"&amp;"$"&amp;$D526&amp;$AL$1&amp;"")</f>
        <v>4.3</v>
      </c>
      <c r="AO526" s="289">
        <v>0.98</v>
      </c>
      <c r="AP526" s="287">
        <v>0.88</v>
      </c>
      <c r="AQ526" s="288" cm="1">
        <f t="array" aca="1" ref="AQ526" ca="1">INDIRECT("'"&amp;$C526&amp;"'!"&amp;"$"&amp;$D526&amp;$AQ$1&amp;"")</f>
        <v>4.3</v>
      </c>
      <c r="AR526" s="289">
        <v>0.98</v>
      </c>
      <c r="AS526" s="287">
        <v>0.76</v>
      </c>
      <c r="AT526" s="289" cm="1">
        <f t="array" aca="1" ref="AT526" ca="1">INDIRECT("'"&amp;$C526&amp;"'!"&amp;"$"&amp;$D526&amp;$AT$1&amp;"")</f>
        <v>0</v>
      </c>
      <c r="AU526" s="288" t="s">
        <v>1</v>
      </c>
      <c r="AV526" s="289" t="s">
        <v>1</v>
      </c>
      <c r="AW526" s="287" t="s">
        <v>1</v>
      </c>
      <c r="AX526" s="291">
        <v>14.29</v>
      </c>
      <c r="AY526" s="290">
        <v>71.819999999999993</v>
      </c>
      <c r="AZ526" s="291" cm="1">
        <f t="array" aca="1" ref="AZ526" ca="1">INDIRECT("'"&amp;$C526&amp;"'!"&amp;"$"&amp;$D526&amp;$AZ$1&amp;"")</f>
        <v>14.28</v>
      </c>
      <c r="BA526" s="289">
        <v>0.98</v>
      </c>
      <c r="BB526" s="287">
        <v>3.5</v>
      </c>
      <c r="BC526" s="292">
        <v>68.8</v>
      </c>
      <c r="BD526" s="286" cm="1">
        <f t="array" aca="1" ref="BD526" ca="1">INDIRECT("'"&amp;$C526&amp;"'!"&amp;"$"&amp;$D526&amp;$BC$1&amp;"")</f>
        <v>0.7</v>
      </c>
      <c r="BE526" s="288">
        <v>0.97</v>
      </c>
      <c r="BF526" s="287">
        <v>0.17</v>
      </c>
      <c r="BG526" s="291" cm="1">
        <f t="array" aca="1" ref="BG526" ca="1">INDIRECT("'"&amp;$C526&amp;"'!"&amp;"$"&amp;$D526&amp;$BG$1&amp;"")</f>
        <v>1.3</v>
      </c>
      <c r="BH526" s="289"/>
      <c r="BI526" s="289">
        <v>0.99</v>
      </c>
      <c r="BJ526" s="287">
        <v>0.18</v>
      </c>
      <c r="BK526" s="292" cm="1">
        <f t="array" aca="1" ref="BK526" ca="1">INDIRECT("'"&amp;$C526&amp;"'!"&amp;"$"&amp;$D526&amp;$BK$1&amp;"")</f>
        <v>1.06</v>
      </c>
      <c r="BL526" s="289"/>
      <c r="BM526" s="289">
        <v>0.97</v>
      </c>
      <c r="BN526" s="287">
        <v>0.27</v>
      </c>
    </row>
    <row r="527" spans="1:66">
      <c r="A527" s="361">
        <v>45768</v>
      </c>
      <c r="B527" s="358">
        <v>0.91666666666666696</v>
      </c>
      <c r="C527" s="313">
        <f t="shared" si="20"/>
        <v>21</v>
      </c>
      <c r="D527" s="314" t="s">
        <v>149</v>
      </c>
      <c r="E527" s="293">
        <v>14.2</v>
      </c>
      <c r="F527" s="294">
        <v>70.19</v>
      </c>
      <c r="G527" s="295" cm="1">
        <f t="array" aca="1" ref="G527" ca="1">INDIRECT("'"&amp;$C527&amp;"'!"&amp;"$"&amp;$D527&amp;$E$1&amp;"")</f>
        <v>6.6</v>
      </c>
      <c r="H527" s="296">
        <v>0.96</v>
      </c>
      <c r="I527" s="294">
        <v>1.87</v>
      </c>
      <c r="J527" s="295" cm="1">
        <f t="array" aca="1" ref="J527" ca="1">INDIRECT("'"&amp;$C527&amp;"'!"&amp;"$"&amp;$D527&amp;$J$1&amp;"")</f>
        <v>6.5</v>
      </c>
      <c r="K527" s="296"/>
      <c r="L527" s="296">
        <v>0.96</v>
      </c>
      <c r="M527" s="294">
        <v>1.78</v>
      </c>
      <c r="N527" s="295" cm="1">
        <f t="array" aca="1" ref="N527" ca="1">INDIRECT("'"&amp;$C527&amp;"'!"&amp;"$"&amp;$D527&amp;$N$1&amp;"")</f>
        <v>6.7</v>
      </c>
      <c r="O527" s="296"/>
      <c r="P527" s="296">
        <v>0.97</v>
      </c>
      <c r="Q527" s="294">
        <v>1.93</v>
      </c>
      <c r="R527" s="295" cm="1">
        <f t="array" aca="1" ref="R527" ca="1">INDIRECT("'"&amp;$C527&amp;"'!"&amp;"$"&amp;$D527&amp;$R$1&amp;"")</f>
        <v>6.5</v>
      </c>
      <c r="S527" s="296"/>
      <c r="T527" s="296">
        <v>0.96</v>
      </c>
      <c r="U527" s="294">
        <v>1.96</v>
      </c>
      <c r="V527" s="295" cm="1">
        <f t="array" aca="1" ref="V527" ca="1">INDIRECT("'"&amp;$C527&amp;"'!"&amp;"$"&amp;$D527&amp;$V$1&amp;"")</f>
        <v>2</v>
      </c>
      <c r="W527" s="296">
        <f>3.8*3.54</f>
        <v>13.452</v>
      </c>
      <c r="X527" s="296">
        <v>0.97</v>
      </c>
      <c r="Y527" s="297">
        <v>0.57999999999999996</v>
      </c>
      <c r="Z527" s="293" cm="1">
        <f t="array" aca="1" ref="Z527" ca="1">INDIRECT("'"&amp;$C527&amp;"'!"&amp;"$"&amp;$D527&amp;$Z$1&amp;"")</f>
        <v>0</v>
      </c>
      <c r="AA527" s="296" t="s">
        <v>1</v>
      </c>
      <c r="AB527" s="296" t="s">
        <v>1</v>
      </c>
      <c r="AC527" s="294" t="s">
        <v>1</v>
      </c>
      <c r="AD527" s="295" cm="1">
        <f t="array" aca="1" ref="AD527" ca="1">INDIRECT("'"&amp;$C527&amp;"'!"&amp;"$"&amp;$D527&amp;$AD$1&amp;"")</f>
        <v>3.2</v>
      </c>
      <c r="AE527" s="296">
        <f>3.8*3.54</f>
        <v>13.452</v>
      </c>
      <c r="AF527" s="296">
        <v>0.96</v>
      </c>
      <c r="AG527" s="297">
        <v>0.99</v>
      </c>
      <c r="AH527" s="293" cm="1">
        <f t="array" aca="1" ref="AH527" ca="1">INDIRECT("'"&amp;$C527&amp;"'!"&amp;"$"&amp;$D527&amp;$AH$1&amp;"")</f>
        <v>3</v>
      </c>
      <c r="AI527" s="296">
        <v>14.04</v>
      </c>
      <c r="AJ527" s="296">
        <v>0.96</v>
      </c>
      <c r="AK527" s="294">
        <v>0.99</v>
      </c>
      <c r="AL527" s="293">
        <v>11.9</v>
      </c>
      <c r="AM527" s="297">
        <v>70.7</v>
      </c>
      <c r="AN527" s="293" cm="1">
        <f t="array" aca="1" ref="AN527" ca="1">INDIRECT("'"&amp;$C527&amp;"'!"&amp;"$"&amp;$D527&amp;$AL$1&amp;"")</f>
        <v>3</v>
      </c>
      <c r="AO527" s="296">
        <v>0.95</v>
      </c>
      <c r="AP527" s="294">
        <v>0.95</v>
      </c>
      <c r="AQ527" s="295" cm="1">
        <f t="array" aca="1" ref="AQ527" ca="1">INDIRECT("'"&amp;$C527&amp;"'!"&amp;"$"&amp;$D527&amp;$AQ$1&amp;"")</f>
        <v>3</v>
      </c>
      <c r="AR527" s="296">
        <v>0.95</v>
      </c>
      <c r="AS527" s="294">
        <v>0.75</v>
      </c>
      <c r="AT527" s="296" cm="1">
        <f t="array" aca="1" ref="AT527" ca="1">INDIRECT("'"&amp;$C527&amp;"'!"&amp;"$"&amp;$D527&amp;$AT$1&amp;"")</f>
        <v>0</v>
      </c>
      <c r="AU527" s="295" t="s">
        <v>1</v>
      </c>
      <c r="AV527" s="296" t="s">
        <v>1</v>
      </c>
      <c r="AW527" s="294" t="s">
        <v>1</v>
      </c>
      <c r="AX527" s="298">
        <v>14.14</v>
      </c>
      <c r="AY527" s="297">
        <v>71.599999999999994</v>
      </c>
      <c r="AZ527" s="298" cm="1">
        <f t="array" aca="1" ref="AZ527" ca="1">INDIRECT("'"&amp;$C527&amp;"'!"&amp;"$"&amp;$D527&amp;$AZ$1&amp;"")</f>
        <v>14.3</v>
      </c>
      <c r="BA527" s="296">
        <v>0.99</v>
      </c>
      <c r="BB527" s="294">
        <v>2.4</v>
      </c>
      <c r="BC527" s="299">
        <v>68.900000000000006</v>
      </c>
      <c r="BD527" s="293" cm="1">
        <f t="array" aca="1" ref="BD527" ca="1">INDIRECT("'"&amp;$C527&amp;"'!"&amp;"$"&amp;$D527&amp;$BC$1&amp;"")</f>
        <v>0</v>
      </c>
      <c r="BE527" s="295" t="s">
        <v>1</v>
      </c>
      <c r="BF527" s="294" t="s">
        <v>1</v>
      </c>
      <c r="BG527" s="298" cm="1">
        <f t="array" aca="1" ref="BG527" ca="1">INDIRECT("'"&amp;$C527&amp;"'!"&amp;"$"&amp;$D527&amp;$BG$1&amp;"")</f>
        <v>1.45</v>
      </c>
      <c r="BH527" s="296"/>
      <c r="BI527" s="296">
        <v>0.99</v>
      </c>
      <c r="BJ527" s="294">
        <v>0.19</v>
      </c>
      <c r="BK527" s="299" cm="1">
        <f t="array" aca="1" ref="BK527" ca="1">INDIRECT("'"&amp;$C527&amp;"'!"&amp;"$"&amp;$D527&amp;$BK$1&amp;"")</f>
        <v>1</v>
      </c>
      <c r="BL527" s="296"/>
      <c r="BM527" s="296">
        <v>0.97</v>
      </c>
      <c r="BN527" s="294">
        <v>0.25</v>
      </c>
    </row>
    <row r="528" spans="1:66" ht="14.45" thickBot="1">
      <c r="A528" s="362">
        <v>45768</v>
      </c>
      <c r="B528" s="359">
        <v>0.95833333333333404</v>
      </c>
      <c r="C528" s="315">
        <f t="shared" si="20"/>
        <v>21</v>
      </c>
      <c r="D528" s="316" t="s">
        <v>150</v>
      </c>
      <c r="E528" s="301">
        <v>14.1</v>
      </c>
      <c r="F528" s="302">
        <v>69.47</v>
      </c>
      <c r="G528" s="303" cm="1">
        <f t="array" aca="1" ref="G528" ca="1">INDIRECT("'"&amp;$C528&amp;"'!"&amp;"$"&amp;$D528&amp;$E$1&amp;"")</f>
        <v>6.5</v>
      </c>
      <c r="H528" s="304">
        <v>0.97</v>
      </c>
      <c r="I528" s="302">
        <v>1.72</v>
      </c>
      <c r="J528" s="303" cm="1">
        <f t="array" aca="1" ref="J528" ca="1">INDIRECT("'"&amp;$C528&amp;"'!"&amp;"$"&amp;$D528&amp;$J$1&amp;"")</f>
        <v>6.5</v>
      </c>
      <c r="K528" s="304"/>
      <c r="L528" s="304">
        <v>0.97</v>
      </c>
      <c r="M528" s="302">
        <v>1.71</v>
      </c>
      <c r="N528" s="303" cm="1">
        <f t="array" aca="1" ref="N528" ca="1">INDIRECT("'"&amp;$C528&amp;"'!"&amp;"$"&amp;$D528&amp;$N$1&amp;"")</f>
        <v>0</v>
      </c>
      <c r="O528" s="304"/>
      <c r="P528" s="304" t="s">
        <v>1</v>
      </c>
      <c r="Q528" s="302" t="s">
        <v>1</v>
      </c>
      <c r="R528" s="303" cm="1">
        <f t="array" aca="1" ref="R528" ca="1">INDIRECT("'"&amp;$C528&amp;"'!"&amp;"$"&amp;$D528&amp;$R$1&amp;"")</f>
        <v>6.5</v>
      </c>
      <c r="S528" s="304"/>
      <c r="T528" s="304">
        <v>0.97</v>
      </c>
      <c r="U528" s="302">
        <v>1.71</v>
      </c>
      <c r="V528" s="303" cm="1">
        <f t="array" aca="1" ref="V528" ca="1">INDIRECT("'"&amp;$C528&amp;"'!"&amp;"$"&amp;$D528&amp;$V$1&amp;"")</f>
        <v>2.8</v>
      </c>
      <c r="W528" s="304">
        <f>3.54*3.8</f>
        <v>13.452</v>
      </c>
      <c r="X528" s="304">
        <v>0.98</v>
      </c>
      <c r="Y528" s="305">
        <v>0.47</v>
      </c>
      <c r="Z528" s="301" cm="1">
        <f t="array" aca="1" ref="Z528" ca="1">INDIRECT("'"&amp;$C528&amp;"'!"&amp;"$"&amp;$D528&amp;$Z$1&amp;"")</f>
        <v>0</v>
      </c>
      <c r="AA528" s="304" t="s">
        <v>1</v>
      </c>
      <c r="AB528" s="304" t="s">
        <v>1</v>
      </c>
      <c r="AC528" s="302" t="s">
        <v>1</v>
      </c>
      <c r="AD528" s="303" cm="1">
        <f t="array" aca="1" ref="AD528" ca="1">INDIRECT("'"&amp;$C528&amp;"'!"&amp;"$"&amp;$D528&amp;$AD$1&amp;"")</f>
        <v>3.8</v>
      </c>
      <c r="AE528" s="304">
        <f>3.54*3.8</f>
        <v>13.452</v>
      </c>
      <c r="AF528" s="304">
        <v>0.96</v>
      </c>
      <c r="AG528" s="305">
        <v>1.02</v>
      </c>
      <c r="AH528" s="301" cm="1">
        <f t="array" aca="1" ref="AH528" ca="1">INDIRECT("'"&amp;$C528&amp;"'!"&amp;"$"&amp;$D528&amp;$AH$1&amp;"")</f>
        <v>3.8</v>
      </c>
      <c r="AI528" s="304">
        <v>14.04</v>
      </c>
      <c r="AJ528" s="304">
        <v>0.98</v>
      </c>
      <c r="AK528" s="302">
        <v>0.84799999999999998</v>
      </c>
      <c r="AL528" s="301">
        <v>11.9</v>
      </c>
      <c r="AM528" s="305">
        <v>70.5</v>
      </c>
      <c r="AN528" s="301" cm="1">
        <f t="array" aca="1" ref="AN528" ca="1">INDIRECT("'"&amp;$C528&amp;"'!"&amp;"$"&amp;$D528&amp;$AL$1&amp;"")</f>
        <v>4.4000000000000004</v>
      </c>
      <c r="AO528" s="304">
        <v>0.97</v>
      </c>
      <c r="AP528" s="302">
        <v>0.87</v>
      </c>
      <c r="AQ528" s="303" cm="1">
        <f t="array" aca="1" ref="AQ528" ca="1">INDIRECT("'"&amp;$C528&amp;"'!"&amp;"$"&amp;$D528&amp;$AQ$1&amp;"")</f>
        <v>4.4000000000000004</v>
      </c>
      <c r="AR528" s="304">
        <v>0.97</v>
      </c>
      <c r="AS528" s="302">
        <v>0.94</v>
      </c>
      <c r="AT528" s="304" cm="1">
        <f t="array" aca="1" ref="AT528" ca="1">INDIRECT("'"&amp;$C528&amp;"'!"&amp;"$"&amp;$D528&amp;$AT$1&amp;"")</f>
        <v>0</v>
      </c>
      <c r="AU528" s="303" t="s">
        <v>1</v>
      </c>
      <c r="AV528" s="304" t="s">
        <v>1</v>
      </c>
      <c r="AW528" s="302" t="s">
        <v>1</v>
      </c>
      <c r="AX528" s="306">
        <v>14.06</v>
      </c>
      <c r="AY528" s="305">
        <v>71.7</v>
      </c>
      <c r="AZ528" s="306" cm="1">
        <f t="array" aca="1" ref="AZ528" ca="1">INDIRECT("'"&amp;$C528&amp;"'!"&amp;"$"&amp;$D528&amp;$AZ$1&amp;"")</f>
        <v>14.31</v>
      </c>
      <c r="BA528" s="304">
        <v>0.99</v>
      </c>
      <c r="BB528" s="302">
        <v>2.7</v>
      </c>
      <c r="BC528" s="307">
        <v>68.400000000000006</v>
      </c>
      <c r="BD528" s="301" cm="1">
        <f t="array" aca="1" ref="BD528" ca="1">INDIRECT("'"&amp;$C528&amp;"'!"&amp;"$"&amp;$D528&amp;$BC$1&amp;"")</f>
        <v>0</v>
      </c>
      <c r="BE528" s="303" t="s">
        <v>1</v>
      </c>
      <c r="BF528" s="302" t="s">
        <v>1</v>
      </c>
      <c r="BG528" s="306" cm="1">
        <f t="array" aca="1" ref="BG528" ca="1">INDIRECT("'"&amp;$C528&amp;"'!"&amp;"$"&amp;$D528&amp;$BG$1&amp;"")</f>
        <v>1.2</v>
      </c>
      <c r="BH528" s="304"/>
      <c r="BI528" s="304">
        <v>0.99</v>
      </c>
      <c r="BJ528" s="302">
        <v>0.2</v>
      </c>
      <c r="BK528" s="307" cm="1">
        <f t="array" aca="1" ref="BK528" ca="1">INDIRECT("'"&amp;$C528&amp;"'!"&amp;"$"&amp;$D528&amp;$BK$1&amp;"")</f>
        <v>0.95</v>
      </c>
      <c r="BL528" s="304"/>
      <c r="BM528" s="304">
        <v>0.97</v>
      </c>
      <c r="BN528" s="302">
        <v>0.24</v>
      </c>
    </row>
    <row r="529" spans="1:66" ht="14.45" thickBot="1"/>
    <row r="530" spans="1:66" ht="14.45" thickBot="1">
      <c r="A530" s="360">
        <v>45769</v>
      </c>
      <c r="B530" s="357">
        <v>0</v>
      </c>
      <c r="C530" s="310">
        <f>C505+1</f>
        <v>22</v>
      </c>
      <c r="D530" s="311" t="s">
        <v>127</v>
      </c>
      <c r="E530" s="280">
        <v>14.1</v>
      </c>
      <c r="F530" s="281">
        <v>69.7</v>
      </c>
      <c r="G530" s="282" cm="1">
        <f t="array" aca="1" ref="G530" ca="1">INDIRECT("'"&amp;$C530&amp;"'!"&amp;"$"&amp;$D530&amp;$E$1&amp;"")</f>
        <v>6.4</v>
      </c>
      <c r="H530" s="283">
        <v>0.97</v>
      </c>
      <c r="I530" s="281">
        <v>1.72</v>
      </c>
      <c r="J530" s="282" cm="1">
        <f t="array" aca="1" ref="J530" ca="1">INDIRECT("'"&amp;$C530&amp;"'!"&amp;"$"&amp;$D530&amp;$J$1&amp;"")</f>
        <v>6.5</v>
      </c>
      <c r="K530" s="283"/>
      <c r="L530" s="283">
        <v>0.97</v>
      </c>
      <c r="M530" s="281">
        <v>1.71</v>
      </c>
      <c r="N530" s="282" cm="1">
        <f t="array" aca="1" ref="N530" ca="1">INDIRECT("'"&amp;$C530&amp;"'!"&amp;"$"&amp;$D530&amp;$N$1&amp;"")</f>
        <v>0</v>
      </c>
      <c r="O530" s="283"/>
      <c r="P530" s="283" t="s">
        <v>1</v>
      </c>
      <c r="Q530" s="281" t="s">
        <v>1</v>
      </c>
      <c r="R530" s="282" cm="1">
        <f t="array" aca="1" ref="R530" ca="1">INDIRECT("'"&amp;$C530&amp;"'!"&amp;"$"&amp;$D530&amp;$R$1&amp;"")</f>
        <v>6.5</v>
      </c>
      <c r="S530" s="283"/>
      <c r="T530" s="283">
        <v>0.97</v>
      </c>
      <c r="U530" s="281">
        <v>1.69</v>
      </c>
      <c r="V530" s="282" cm="1">
        <f t="array" aca="1" ref="V530" ca="1">INDIRECT("'"&amp;$C530&amp;"'!"&amp;"$"&amp;$D530&amp;$V$1&amp;"")</f>
        <v>0</v>
      </c>
      <c r="W530" s="283" t="s">
        <v>1</v>
      </c>
      <c r="X530" s="283" t="s">
        <v>1</v>
      </c>
      <c r="Y530" s="284" t="s">
        <v>1</v>
      </c>
      <c r="Z530" s="280" cm="1">
        <f t="array" aca="1" ref="Z530" ca="1">INDIRECT("'"&amp;$C530&amp;"'!"&amp;"$"&amp;$D530&amp;$Z$1&amp;"")</f>
        <v>0</v>
      </c>
      <c r="AA530" s="283" t="s">
        <v>1</v>
      </c>
      <c r="AB530" s="283" t="s">
        <v>1</v>
      </c>
      <c r="AC530" s="281" t="s">
        <v>1</v>
      </c>
      <c r="AD530" s="282" cm="1">
        <f t="array" aca="1" ref="AD530" ca="1">INDIRECT("'"&amp;$C530&amp;"'!"&amp;"$"&amp;$D530&amp;$AD$1&amp;"")</f>
        <v>3</v>
      </c>
      <c r="AE530" s="283">
        <f>3.55*3.8</f>
        <v>13.489999999999998</v>
      </c>
      <c r="AF530" s="283">
        <v>0.98</v>
      </c>
      <c r="AG530" s="281">
        <v>0.52</v>
      </c>
      <c r="AH530" s="280" cm="1">
        <f t="array" aca="1" ref="AH530" ca="1">INDIRECT("'"&amp;$C530&amp;"'!"&amp;"$"&amp;$D530&amp;$AH$1&amp;"")</f>
        <v>3</v>
      </c>
      <c r="AI530" s="283">
        <v>14</v>
      </c>
      <c r="AJ530" s="283">
        <v>0.98</v>
      </c>
      <c r="AK530" s="281">
        <v>0.61099999999999999</v>
      </c>
      <c r="AL530" s="280">
        <v>11.9</v>
      </c>
      <c r="AM530" s="284">
        <v>70.599999999999994</v>
      </c>
      <c r="AN530" s="280" cm="1">
        <f t="array" aca="1" ref="AN530" ca="1">INDIRECT("'"&amp;$C530&amp;"'!"&amp;"$"&amp;$D530&amp;$AL$1&amp;"")</f>
        <v>4</v>
      </c>
      <c r="AO530" s="283">
        <v>0.97</v>
      </c>
      <c r="AP530" s="281">
        <v>0.78</v>
      </c>
      <c r="AQ530" s="282" cm="1">
        <f t="array" aca="1" ref="AQ530" ca="1">INDIRECT("'"&amp;$C530&amp;"'!"&amp;"$"&amp;$D530&amp;$AQ$1&amp;"")</f>
        <v>4</v>
      </c>
      <c r="AR530" s="283">
        <v>0.97</v>
      </c>
      <c r="AS530" s="281">
        <v>0.87</v>
      </c>
      <c r="AT530" s="283" cm="1">
        <f t="array" aca="1" ref="AT530" ca="1">INDIRECT("'"&amp;$C530&amp;"'!"&amp;"$"&amp;$D530&amp;$AT$1&amp;"")</f>
        <v>0</v>
      </c>
      <c r="AU530" s="282" t="s">
        <v>1</v>
      </c>
      <c r="AV530" s="283" t="s">
        <v>1</v>
      </c>
      <c r="AW530" s="281" t="s">
        <v>1</v>
      </c>
      <c r="AX530" s="285">
        <v>14.16</v>
      </c>
      <c r="AY530" s="284">
        <v>71.709999999999994</v>
      </c>
      <c r="AZ530" s="285" cm="1">
        <f t="array" aca="1" ref="AZ530" ca="1">INDIRECT("'"&amp;$C530&amp;"'!"&amp;"$"&amp;$D530&amp;$AZ$1&amp;"")</f>
        <v>14.28</v>
      </c>
      <c r="BA530" s="283">
        <v>0.99</v>
      </c>
      <c r="BB530" s="281">
        <v>2.5</v>
      </c>
      <c r="BC530" s="281">
        <v>68.7</v>
      </c>
      <c r="BD530" s="280" cm="1">
        <f t="array" aca="1" ref="BD530" ca="1">INDIRECT("'"&amp;$C530&amp;"'!"&amp;"$"&amp;$D530&amp;$BC$1&amp;"")</f>
        <v>0</v>
      </c>
      <c r="BE530" s="282" t="s">
        <v>1</v>
      </c>
      <c r="BF530" s="281" t="s">
        <v>1</v>
      </c>
      <c r="BG530" s="285" cm="1">
        <f t="array" aca="1" ref="BG530" ca="1">INDIRECT("'"&amp;$C530&amp;"'!"&amp;"$"&amp;$D530&amp;$BG$1&amp;"")</f>
        <v>1.1399999999999999</v>
      </c>
      <c r="BH530" s="283"/>
      <c r="BI530" s="283">
        <v>0.99</v>
      </c>
      <c r="BJ530" s="281">
        <v>0.19</v>
      </c>
      <c r="BK530" s="285" cm="1">
        <f t="array" aca="1" ref="BK530" ca="1">INDIRECT("'"&amp;$C530&amp;"'!"&amp;"$"&amp;$D530&amp;$BK$1&amp;"")</f>
        <v>0.89</v>
      </c>
      <c r="BL530" s="283"/>
      <c r="BM530" s="283">
        <v>0.96</v>
      </c>
      <c r="BN530" s="281">
        <v>0.23</v>
      </c>
    </row>
    <row r="531" spans="1:66" ht="14.45" thickBot="1">
      <c r="A531" s="360">
        <v>45769</v>
      </c>
      <c r="B531" s="358">
        <v>4.1666666666666699E-2</v>
      </c>
      <c r="C531" s="313">
        <f t="shared" ref="C531:C553" si="21">C506+1</f>
        <v>22</v>
      </c>
      <c r="D531" s="314" t="s">
        <v>128</v>
      </c>
      <c r="E531" s="286">
        <v>14.1</v>
      </c>
      <c r="F531" s="287">
        <v>69.53</v>
      </c>
      <c r="G531" s="288" cm="1">
        <f t="array" aca="1" ref="G531" ca="1">INDIRECT("'"&amp;$C531&amp;"'!"&amp;"$"&amp;$D531&amp;$E$1&amp;"")</f>
        <v>6.8</v>
      </c>
      <c r="H531" s="289">
        <v>0.96</v>
      </c>
      <c r="I531" s="287">
        <v>1.89</v>
      </c>
      <c r="J531" s="288" cm="1">
        <f t="array" aca="1" ref="J531" ca="1">INDIRECT("'"&amp;$C531&amp;"'!"&amp;"$"&amp;$D531&amp;$J$1&amp;"")</f>
        <v>6.8</v>
      </c>
      <c r="K531" s="289"/>
      <c r="L531" s="289">
        <v>0.96</v>
      </c>
      <c r="M531" s="287">
        <v>1.9</v>
      </c>
      <c r="N531" s="288" cm="1">
        <f t="array" aca="1" ref="N531" ca="1">INDIRECT("'"&amp;$C531&amp;"'!"&amp;"$"&amp;$D531&amp;$N$1&amp;"")</f>
        <v>0</v>
      </c>
      <c r="O531" s="289"/>
      <c r="P531" s="289" t="s">
        <v>1</v>
      </c>
      <c r="Q531" s="287" t="s">
        <v>1</v>
      </c>
      <c r="R531" s="288" cm="1">
        <f t="array" aca="1" ref="R531" ca="1">INDIRECT("'"&amp;$C531&amp;"'!"&amp;"$"&amp;$D531&amp;$R$1&amp;"")</f>
        <v>6.8</v>
      </c>
      <c r="S531" s="289"/>
      <c r="T531" s="289">
        <v>0.96</v>
      </c>
      <c r="U531" s="287">
        <v>1.91</v>
      </c>
      <c r="V531" s="288" cm="1">
        <f t="array" aca="1" ref="V531" ca="1">INDIRECT("'"&amp;$C531&amp;"'!"&amp;"$"&amp;$D531&amp;$V$1&amp;"")</f>
        <v>0</v>
      </c>
      <c r="W531" s="289" t="s">
        <v>1</v>
      </c>
      <c r="X531" s="289" t="s">
        <v>1</v>
      </c>
      <c r="Y531" s="290" t="s">
        <v>1</v>
      </c>
      <c r="Z531" s="286" cm="1">
        <f t="array" aca="1" ref="Z531" ca="1">INDIRECT("'"&amp;$C531&amp;"'!"&amp;"$"&amp;$D531&amp;$Z$1&amp;"")</f>
        <v>0</v>
      </c>
      <c r="AA531" s="289" t="s">
        <v>1</v>
      </c>
      <c r="AB531" s="289" t="s">
        <v>1</v>
      </c>
      <c r="AC531" s="287" t="s">
        <v>1</v>
      </c>
      <c r="AD531" s="288" cm="1">
        <f t="array" aca="1" ref="AD531" ca="1">INDIRECT("'"&amp;$C531&amp;"'!"&amp;"$"&amp;$D531&amp;$AD$1&amp;"")</f>
        <v>0</v>
      </c>
      <c r="AE531" s="289" t="s">
        <v>1</v>
      </c>
      <c r="AF531" s="289" t="s">
        <v>1</v>
      </c>
      <c r="AG531" s="290" t="s">
        <v>1</v>
      </c>
      <c r="AH531" s="286" cm="1">
        <f t="array" aca="1" ref="AH531" ca="1">INDIRECT("'"&amp;$C531&amp;"'!"&amp;"$"&amp;$D531&amp;$AH$1&amp;"")</f>
        <v>3</v>
      </c>
      <c r="AI531" s="289">
        <v>14.04</v>
      </c>
      <c r="AJ531" s="289">
        <v>0.98</v>
      </c>
      <c r="AK531" s="287">
        <v>0.503</v>
      </c>
      <c r="AL531" s="286">
        <v>11.9</v>
      </c>
      <c r="AM531" s="290">
        <v>70.5</v>
      </c>
      <c r="AN531" s="286" cm="1">
        <f t="array" aca="1" ref="AN531" ca="1">INDIRECT("'"&amp;$C531&amp;"'!"&amp;"$"&amp;$D531&amp;$AL$1&amp;"")</f>
        <v>4</v>
      </c>
      <c r="AO531" s="289">
        <v>0.97</v>
      </c>
      <c r="AP531" s="287">
        <v>0.84</v>
      </c>
      <c r="AQ531" s="288" cm="1">
        <f t="array" aca="1" ref="AQ531" ca="1">INDIRECT("'"&amp;$C531&amp;"'!"&amp;"$"&amp;$D531&amp;$AQ$1&amp;"")</f>
        <v>4</v>
      </c>
      <c r="AR531" s="289">
        <v>0.97</v>
      </c>
      <c r="AS531" s="287">
        <v>0.86</v>
      </c>
      <c r="AT531" s="289" cm="1">
        <f t="array" aca="1" ref="AT531" ca="1">INDIRECT("'"&amp;$C531&amp;"'!"&amp;"$"&amp;$D531&amp;$AT$1&amp;"")</f>
        <v>0</v>
      </c>
      <c r="AU531" s="288" t="s">
        <v>1</v>
      </c>
      <c r="AV531" s="289" t="s">
        <v>1</v>
      </c>
      <c r="AW531" s="287" t="s">
        <v>1</v>
      </c>
      <c r="AX531" s="291">
        <v>14.17</v>
      </c>
      <c r="AY531" s="290">
        <v>71.8</v>
      </c>
      <c r="AZ531" s="291" cm="1">
        <f t="array" aca="1" ref="AZ531" ca="1">INDIRECT("'"&amp;$C531&amp;"'!"&amp;"$"&amp;$D531&amp;$AZ$1&amp;"")</f>
        <v>14.31</v>
      </c>
      <c r="BA531" s="289">
        <v>0.99</v>
      </c>
      <c r="BB531" s="287">
        <v>2.4</v>
      </c>
      <c r="BC531" s="292">
        <v>68.400000000000006</v>
      </c>
      <c r="BD531" s="286" cm="1">
        <f t="array" aca="1" ref="BD531" ca="1">INDIRECT("'"&amp;$C531&amp;"'!"&amp;"$"&amp;$D531&amp;$BC$1&amp;"")</f>
        <v>0</v>
      </c>
      <c r="BE531" s="288" t="s">
        <v>1</v>
      </c>
      <c r="BF531" s="287" t="s">
        <v>1</v>
      </c>
      <c r="BG531" s="291" cm="1">
        <f t="array" aca="1" ref="BG531" ca="1">INDIRECT("'"&amp;$C531&amp;"'!"&amp;"$"&amp;$D531&amp;$BG$1&amp;"")</f>
        <v>1.0900000000000001</v>
      </c>
      <c r="BH531" s="289"/>
      <c r="BI531" s="289">
        <v>0.99</v>
      </c>
      <c r="BJ531" s="287">
        <v>0.18</v>
      </c>
      <c r="BK531" s="291" cm="1">
        <f t="array" aca="1" ref="BK531" ca="1">INDIRECT("'"&amp;$C531&amp;"'!"&amp;"$"&amp;$D531&amp;$BK$1&amp;"")</f>
        <v>0.84</v>
      </c>
      <c r="BL531" s="289"/>
      <c r="BM531" s="289">
        <v>0.96</v>
      </c>
      <c r="BN531" s="287">
        <v>0.22</v>
      </c>
    </row>
    <row r="532" spans="1:66" ht="14.45" thickBot="1">
      <c r="A532" s="360">
        <v>45769</v>
      </c>
      <c r="B532" s="358">
        <v>8.3333333333333301E-2</v>
      </c>
      <c r="C532" s="313">
        <f t="shared" si="21"/>
        <v>22</v>
      </c>
      <c r="D532" s="314" t="s">
        <v>129</v>
      </c>
      <c r="E532" s="293">
        <v>14.1</v>
      </c>
      <c r="F532" s="294">
        <v>69.680000000000007</v>
      </c>
      <c r="G532" s="295" cm="1">
        <f t="array" aca="1" ref="G532" ca="1">INDIRECT("'"&amp;$C532&amp;"'!"&amp;"$"&amp;$D532&amp;$E$1&amp;"")</f>
        <v>6.8</v>
      </c>
      <c r="H532" s="296">
        <v>0.97</v>
      </c>
      <c r="I532" s="294">
        <v>1.83</v>
      </c>
      <c r="J532" s="295" cm="1">
        <f t="array" aca="1" ref="J532" ca="1">INDIRECT("'"&amp;$C532&amp;"'!"&amp;"$"&amp;$D532&amp;$J$1&amp;"")</f>
        <v>6.8</v>
      </c>
      <c r="K532" s="296"/>
      <c r="L532" s="296">
        <v>0.97</v>
      </c>
      <c r="M532" s="294">
        <v>1.83</v>
      </c>
      <c r="N532" s="295" cm="1">
        <f t="array" aca="1" ref="N532" ca="1">INDIRECT("'"&amp;$C532&amp;"'!"&amp;"$"&amp;$D532&amp;$N$1&amp;"")</f>
        <v>0</v>
      </c>
      <c r="O532" s="296"/>
      <c r="P532" s="296" t="s">
        <v>1</v>
      </c>
      <c r="Q532" s="294" t="s">
        <v>1</v>
      </c>
      <c r="R532" s="295" cm="1">
        <f t="array" aca="1" ref="R532" ca="1">INDIRECT("'"&amp;$C532&amp;"'!"&amp;"$"&amp;$D532&amp;$R$1&amp;"")</f>
        <v>6.8</v>
      </c>
      <c r="S532" s="296"/>
      <c r="T532" s="296">
        <v>0.97</v>
      </c>
      <c r="U532" s="294">
        <v>1.83</v>
      </c>
      <c r="V532" s="295" cm="1">
        <f t="array" aca="1" ref="V532" ca="1">INDIRECT("'"&amp;$C532&amp;"'!"&amp;"$"&amp;$D532&amp;$V$1&amp;"")</f>
        <v>0</v>
      </c>
      <c r="W532" s="296" t="s">
        <v>1</v>
      </c>
      <c r="X532" s="296" t="s">
        <v>1</v>
      </c>
      <c r="Y532" s="297" t="s">
        <v>1</v>
      </c>
      <c r="Z532" s="293" cm="1">
        <f t="array" aca="1" ref="Z532" ca="1">INDIRECT("'"&amp;$C532&amp;"'!"&amp;"$"&amp;$D532&amp;$Z$1&amp;"")</f>
        <v>0</v>
      </c>
      <c r="AA532" s="296" t="s">
        <v>1</v>
      </c>
      <c r="AB532" s="296" t="s">
        <v>1</v>
      </c>
      <c r="AC532" s="294" t="s">
        <v>1</v>
      </c>
      <c r="AD532" s="295" cm="1">
        <f t="array" aca="1" ref="AD532" ca="1">INDIRECT("'"&amp;$C532&amp;"'!"&amp;"$"&amp;$D532&amp;$AD$1&amp;"")</f>
        <v>0</v>
      </c>
      <c r="AE532" s="296" t="s">
        <v>1</v>
      </c>
      <c r="AF532" s="296" t="s">
        <v>1</v>
      </c>
      <c r="AG532" s="297" t="s">
        <v>1</v>
      </c>
      <c r="AH532" s="293" cm="1">
        <f t="array" aca="1" ref="AH532" ca="1">INDIRECT("'"&amp;$C532&amp;"'!"&amp;"$"&amp;$D532&amp;$AH$1&amp;"")</f>
        <v>0</v>
      </c>
      <c r="AI532" s="296" t="s">
        <v>1</v>
      </c>
      <c r="AJ532" s="296" t="s">
        <v>1</v>
      </c>
      <c r="AK532" s="297" t="s">
        <v>1</v>
      </c>
      <c r="AL532" s="293">
        <v>11.9</v>
      </c>
      <c r="AM532" s="297">
        <v>70.599999999999994</v>
      </c>
      <c r="AN532" s="293" cm="1">
        <f t="array" aca="1" ref="AN532" ca="1">INDIRECT("'"&amp;$C532&amp;"'!"&amp;"$"&amp;$D532&amp;$AL$1&amp;"")</f>
        <v>4.4000000000000004</v>
      </c>
      <c r="AO532" s="296">
        <v>0.98</v>
      </c>
      <c r="AP532" s="294">
        <v>0.88</v>
      </c>
      <c r="AQ532" s="295" cm="1">
        <f t="array" aca="1" ref="AQ532" ca="1">INDIRECT("'"&amp;$C532&amp;"'!"&amp;"$"&amp;$D532&amp;$AQ$1&amp;"")</f>
        <v>4.4000000000000004</v>
      </c>
      <c r="AR532" s="296">
        <v>0.98</v>
      </c>
      <c r="AS532" s="294">
        <v>0.96</v>
      </c>
      <c r="AT532" s="296" cm="1">
        <f t="array" aca="1" ref="AT532" ca="1">INDIRECT("'"&amp;$C532&amp;"'!"&amp;"$"&amp;$D532&amp;$AT$1&amp;"")</f>
        <v>0</v>
      </c>
      <c r="AU532" s="295" t="s">
        <v>1</v>
      </c>
      <c r="AV532" s="296" t="s">
        <v>1</v>
      </c>
      <c r="AW532" s="294" t="s">
        <v>1</v>
      </c>
      <c r="AX532" s="298">
        <v>14.13</v>
      </c>
      <c r="AY532" s="297">
        <v>71.53</v>
      </c>
      <c r="AZ532" s="298" cm="1">
        <f t="array" aca="1" ref="AZ532" ca="1">INDIRECT("'"&amp;$C532&amp;"'!"&amp;"$"&amp;$D532&amp;$AZ$1&amp;"")</f>
        <v>14.32</v>
      </c>
      <c r="BA532" s="296">
        <v>0.99</v>
      </c>
      <c r="BB532" s="294">
        <v>2.4</v>
      </c>
      <c r="BC532" s="299">
        <v>68.7</v>
      </c>
      <c r="BD532" s="293" cm="1">
        <f t="array" aca="1" ref="BD532" ca="1">INDIRECT("'"&amp;$C532&amp;"'!"&amp;"$"&amp;$D532&amp;$BC$1&amp;"")</f>
        <v>0</v>
      </c>
      <c r="BE532" s="295" t="s">
        <v>1</v>
      </c>
      <c r="BF532" s="294" t="s">
        <v>1</v>
      </c>
      <c r="BG532" s="298" cm="1">
        <f t="array" aca="1" ref="BG532" ca="1">INDIRECT("'"&amp;$C532&amp;"'!"&amp;"$"&amp;$D532&amp;$BG$1&amp;"")</f>
        <v>1.06</v>
      </c>
      <c r="BH532" s="296"/>
      <c r="BI532" s="296">
        <v>0.99</v>
      </c>
      <c r="BJ532" s="294">
        <v>0.17</v>
      </c>
      <c r="BK532" s="298" cm="1">
        <f t="array" aca="1" ref="BK532" ca="1">INDIRECT("'"&amp;$C532&amp;"'!"&amp;"$"&amp;$D532&amp;$BK$1&amp;"")</f>
        <v>0.83</v>
      </c>
      <c r="BL532" s="296"/>
      <c r="BM532" s="296">
        <v>0.96</v>
      </c>
      <c r="BN532" s="294">
        <v>0.22</v>
      </c>
    </row>
    <row r="533" spans="1:66" ht="14.45" thickBot="1">
      <c r="A533" s="360">
        <v>45769</v>
      </c>
      <c r="B533" s="358">
        <v>0.125</v>
      </c>
      <c r="C533" s="313">
        <f t="shared" si="21"/>
        <v>22</v>
      </c>
      <c r="D533" s="314" t="s">
        <v>130</v>
      </c>
      <c r="E533" s="286">
        <v>14.2</v>
      </c>
      <c r="F533" s="287">
        <v>69.92</v>
      </c>
      <c r="G533" s="288" cm="1">
        <f t="array" aca="1" ref="G533" ca="1">INDIRECT("'"&amp;$C533&amp;"'!"&amp;"$"&amp;$D533&amp;$E$1&amp;"")</f>
        <v>6.7</v>
      </c>
      <c r="H533" s="289">
        <v>0.97</v>
      </c>
      <c r="I533" s="287">
        <v>1.77</v>
      </c>
      <c r="J533" s="288" cm="1">
        <f t="array" aca="1" ref="J533" ca="1">INDIRECT("'"&amp;$C533&amp;"'!"&amp;"$"&amp;$D533&amp;$J$1&amp;"")</f>
        <v>6.7</v>
      </c>
      <c r="K533" s="289"/>
      <c r="L533" s="289">
        <v>0.97</v>
      </c>
      <c r="M533" s="287">
        <v>1.77</v>
      </c>
      <c r="N533" s="288" cm="1">
        <f t="array" aca="1" ref="N533" ca="1">INDIRECT("'"&amp;$C533&amp;"'!"&amp;"$"&amp;$D533&amp;$N$1&amp;"")</f>
        <v>0</v>
      </c>
      <c r="O533" s="289"/>
      <c r="P533" s="289" t="s">
        <v>1</v>
      </c>
      <c r="Q533" s="287" t="s">
        <v>1</v>
      </c>
      <c r="R533" s="288" cm="1">
        <f t="array" aca="1" ref="R533" ca="1">INDIRECT("'"&amp;$C533&amp;"'!"&amp;"$"&amp;$D533&amp;$R$1&amp;"")</f>
        <v>6.7</v>
      </c>
      <c r="S533" s="289"/>
      <c r="T533" s="289">
        <v>0.97</v>
      </c>
      <c r="U533" s="287">
        <v>1.77</v>
      </c>
      <c r="V533" s="288" cm="1">
        <f t="array" aca="1" ref="V533" ca="1">INDIRECT("'"&amp;$C533&amp;"'!"&amp;"$"&amp;$D533&amp;$V$1&amp;"")</f>
        <v>0</v>
      </c>
      <c r="W533" s="289" t="s">
        <v>1</v>
      </c>
      <c r="X533" s="289" t="s">
        <v>1</v>
      </c>
      <c r="Y533" s="290" t="s">
        <v>1</v>
      </c>
      <c r="Z533" s="286" cm="1">
        <f t="array" aca="1" ref="Z533" ca="1">INDIRECT("'"&amp;$C533&amp;"'!"&amp;"$"&amp;$D533&amp;$Z$1&amp;"")</f>
        <v>0</v>
      </c>
      <c r="AA533" s="289" t="s">
        <v>1</v>
      </c>
      <c r="AB533" s="289" t="s">
        <v>1</v>
      </c>
      <c r="AC533" s="287" t="s">
        <v>1</v>
      </c>
      <c r="AD533" s="288" cm="1">
        <f t="array" aca="1" ref="AD533" ca="1">INDIRECT("'"&amp;$C533&amp;"'!"&amp;"$"&amp;$D533&amp;$AD$1&amp;"")</f>
        <v>0</v>
      </c>
      <c r="AE533" s="289" t="s">
        <v>1</v>
      </c>
      <c r="AF533" s="289" t="s">
        <v>1</v>
      </c>
      <c r="AG533" s="287" t="s">
        <v>1</v>
      </c>
      <c r="AH533" s="286" cm="1">
        <f t="array" aca="1" ref="AH533" ca="1">INDIRECT("'"&amp;$C533&amp;"'!"&amp;"$"&amp;$D533&amp;$AH$1&amp;"")</f>
        <v>0</v>
      </c>
      <c r="AI533" s="289" t="s">
        <v>1</v>
      </c>
      <c r="AJ533" s="289" t="s">
        <v>1</v>
      </c>
      <c r="AK533" s="287" t="s">
        <v>1</v>
      </c>
      <c r="AL533" s="286">
        <v>11.9</v>
      </c>
      <c r="AM533" s="290">
        <v>70.7</v>
      </c>
      <c r="AN533" s="286" cm="1">
        <f t="array" aca="1" ref="AN533" ca="1">INDIRECT("'"&amp;$C533&amp;"'!"&amp;"$"&amp;$D533&amp;$AL$1&amp;"")</f>
        <v>3.5</v>
      </c>
      <c r="AO533" s="289">
        <v>0.97</v>
      </c>
      <c r="AP533" s="287">
        <v>0.93</v>
      </c>
      <c r="AQ533" s="288" cm="1">
        <f t="array" aca="1" ref="AQ533" ca="1">INDIRECT("'"&amp;$C533&amp;"'!"&amp;"$"&amp;$D533&amp;$AQ$1&amp;"")</f>
        <v>3.5</v>
      </c>
      <c r="AR533" s="289">
        <v>0.97</v>
      </c>
      <c r="AS533" s="287">
        <v>0.77</v>
      </c>
      <c r="AT533" s="289" cm="1">
        <f t="array" aca="1" ref="AT533" ca="1">INDIRECT("'"&amp;$C533&amp;"'!"&amp;"$"&amp;$D533&amp;$AT$1&amp;"")</f>
        <v>0</v>
      </c>
      <c r="AU533" s="288" t="s">
        <v>1</v>
      </c>
      <c r="AV533" s="289" t="s">
        <v>1</v>
      </c>
      <c r="AW533" s="287" t="s">
        <v>1</v>
      </c>
      <c r="AX533" s="291">
        <v>14.15</v>
      </c>
      <c r="AY533" s="290">
        <v>71.739999999999995</v>
      </c>
      <c r="AZ533" s="291" cm="1">
        <f t="array" aca="1" ref="AZ533" ca="1">INDIRECT("'"&amp;$C533&amp;"'!"&amp;"$"&amp;$D533&amp;$AZ$1&amp;"")</f>
        <v>14.32</v>
      </c>
      <c r="BA533" s="289">
        <v>0.99</v>
      </c>
      <c r="BB533" s="287">
        <v>2.4</v>
      </c>
      <c r="BC533" s="292">
        <v>68.900000000000006</v>
      </c>
      <c r="BD533" s="286" cm="1">
        <f t="array" aca="1" ref="BD533" ca="1">INDIRECT("'"&amp;$C533&amp;"'!"&amp;"$"&amp;$D533&amp;$BC$1&amp;"")</f>
        <v>0</v>
      </c>
      <c r="BE533" s="288" t="s">
        <v>1</v>
      </c>
      <c r="BF533" s="287" t="s">
        <v>1</v>
      </c>
      <c r="BG533" s="291" cm="1">
        <f t="array" aca="1" ref="BG533" ca="1">INDIRECT("'"&amp;$C533&amp;"'!"&amp;"$"&amp;$D533&amp;$BG$1&amp;"")</f>
        <v>0.99</v>
      </c>
      <c r="BH533" s="289"/>
      <c r="BI533" s="289">
        <v>0.99</v>
      </c>
      <c r="BJ533" s="287">
        <v>0.17</v>
      </c>
      <c r="BK533" s="291" cm="1">
        <f t="array" aca="1" ref="BK533" ca="1">INDIRECT("'"&amp;$C533&amp;"'!"&amp;"$"&amp;$D533&amp;$BK$1&amp;"")</f>
        <v>0.78</v>
      </c>
      <c r="BL533" s="289"/>
      <c r="BM533" s="289">
        <v>0.96</v>
      </c>
      <c r="BN533" s="287">
        <v>0.21</v>
      </c>
    </row>
    <row r="534" spans="1:66" ht="14.45" thickBot="1">
      <c r="A534" s="360">
        <v>45769</v>
      </c>
      <c r="B534" s="358">
        <v>0.16666666666666699</v>
      </c>
      <c r="C534" s="313">
        <f t="shared" si="21"/>
        <v>22</v>
      </c>
      <c r="D534" s="314" t="s">
        <v>131</v>
      </c>
      <c r="E534" s="293">
        <v>14.1</v>
      </c>
      <c r="F534" s="294">
        <v>69.739999999999995</v>
      </c>
      <c r="G534" s="295" cm="1">
        <f t="array" aca="1" ref="G534" ca="1">INDIRECT("'"&amp;$C534&amp;"'!"&amp;"$"&amp;$D534&amp;$E$1&amp;"")</f>
        <v>0</v>
      </c>
      <c r="H534" s="296" t="s">
        <v>1</v>
      </c>
      <c r="I534" s="294" t="s">
        <v>1</v>
      </c>
      <c r="J534" s="295" cm="1">
        <f t="array" aca="1" ref="J534" ca="1">INDIRECT("'"&amp;$C534&amp;"'!"&amp;"$"&amp;$D534&amp;$J$1&amp;"")</f>
        <v>6.5</v>
      </c>
      <c r="K534" s="296"/>
      <c r="L534" s="296">
        <v>0.97</v>
      </c>
      <c r="M534" s="294">
        <v>1.66</v>
      </c>
      <c r="N534" s="295" cm="1">
        <f t="array" aca="1" ref="N534" ca="1">INDIRECT("'"&amp;$C534&amp;"'!"&amp;"$"&amp;$D534&amp;$N$1&amp;"")</f>
        <v>6.5</v>
      </c>
      <c r="O534" s="296"/>
      <c r="P534" s="296">
        <v>0.97</v>
      </c>
      <c r="Q534" s="294">
        <v>1.66</v>
      </c>
      <c r="R534" s="295" cm="1">
        <f t="array" aca="1" ref="R534" ca="1">INDIRECT("'"&amp;$C534&amp;"'!"&amp;"$"&amp;$D534&amp;$R$1&amp;"")</f>
        <v>6.5</v>
      </c>
      <c r="S534" s="296"/>
      <c r="T534" s="296">
        <v>0.97</v>
      </c>
      <c r="U534" s="294">
        <v>1.66</v>
      </c>
      <c r="V534" s="295" cm="1">
        <f t="array" aca="1" ref="V534" ca="1">INDIRECT("'"&amp;$C534&amp;"'!"&amp;"$"&amp;$D534&amp;$V$1&amp;"")</f>
        <v>0</v>
      </c>
      <c r="W534" s="296" t="s">
        <v>1</v>
      </c>
      <c r="X534" s="296" t="s">
        <v>1</v>
      </c>
      <c r="Y534" s="297" t="s">
        <v>1</v>
      </c>
      <c r="Z534" s="293" cm="1">
        <f t="array" aca="1" ref="Z534" ca="1">INDIRECT("'"&amp;$C534&amp;"'!"&amp;"$"&amp;$D534&amp;$Z$1&amp;"")</f>
        <v>0</v>
      </c>
      <c r="AA534" s="296" t="s">
        <v>1</v>
      </c>
      <c r="AB534" s="296" t="s">
        <v>1</v>
      </c>
      <c r="AC534" s="294" t="s">
        <v>1</v>
      </c>
      <c r="AD534" s="295" cm="1">
        <f t="array" aca="1" ref="AD534" ca="1">INDIRECT("'"&amp;$C534&amp;"'!"&amp;"$"&amp;$D534&amp;$AD$1&amp;"")</f>
        <v>0</v>
      </c>
      <c r="AE534" s="296" t="s">
        <v>1</v>
      </c>
      <c r="AF534" s="296" t="s">
        <v>1</v>
      </c>
      <c r="AG534" s="297" t="s">
        <v>1</v>
      </c>
      <c r="AH534" s="293" cm="1">
        <f t="array" aca="1" ref="AH534" ca="1">INDIRECT("'"&amp;$C534&amp;"'!"&amp;"$"&amp;$D534&amp;$AH$1&amp;"")</f>
        <v>0</v>
      </c>
      <c r="AI534" s="296" t="s">
        <v>1</v>
      </c>
      <c r="AJ534" s="296" t="s">
        <v>1</v>
      </c>
      <c r="AK534" s="297" t="s">
        <v>1</v>
      </c>
      <c r="AL534" s="293">
        <v>11.9</v>
      </c>
      <c r="AM534" s="297">
        <v>70.7</v>
      </c>
      <c r="AN534" s="293" cm="1">
        <f t="array" aca="1" ref="AN534" ca="1">INDIRECT("'"&amp;$C534&amp;"'!"&amp;"$"&amp;$D534&amp;$AL$1&amp;"")</f>
        <v>3.5</v>
      </c>
      <c r="AO534" s="296">
        <v>0.96</v>
      </c>
      <c r="AP534" s="294">
        <v>0.81</v>
      </c>
      <c r="AQ534" s="295" cm="1">
        <f t="array" aca="1" ref="AQ534" ca="1">INDIRECT("'"&amp;$C534&amp;"'!"&amp;"$"&amp;$D534&amp;$AQ$1&amp;"")</f>
        <v>3.5</v>
      </c>
      <c r="AR534" s="296">
        <v>0.96</v>
      </c>
      <c r="AS534" s="294">
        <v>0.92</v>
      </c>
      <c r="AT534" s="296" cm="1">
        <f t="array" aca="1" ref="AT534" ca="1">INDIRECT("'"&amp;$C534&amp;"'!"&amp;"$"&amp;$D534&amp;$AT$1&amp;"")</f>
        <v>0</v>
      </c>
      <c r="AU534" s="295" t="s">
        <v>1</v>
      </c>
      <c r="AV534" s="296" t="s">
        <v>1</v>
      </c>
      <c r="AW534" s="294" t="s">
        <v>1</v>
      </c>
      <c r="AX534" s="298">
        <v>14.18</v>
      </c>
      <c r="AY534" s="297">
        <v>71.77</v>
      </c>
      <c r="AZ534" s="298" cm="1">
        <f t="array" aca="1" ref="AZ534" ca="1">INDIRECT("'"&amp;$C534&amp;"'!"&amp;"$"&amp;$D534&amp;$AZ$1&amp;"")</f>
        <v>14.3</v>
      </c>
      <c r="BA534" s="296">
        <v>0.99</v>
      </c>
      <c r="BB534" s="294">
        <v>2.4</v>
      </c>
      <c r="BC534" s="299">
        <v>68.8</v>
      </c>
      <c r="BD534" s="293" cm="1">
        <f t="array" aca="1" ref="BD534" ca="1">INDIRECT("'"&amp;$C534&amp;"'!"&amp;"$"&amp;$D534&amp;$BC$1&amp;"")</f>
        <v>0</v>
      </c>
      <c r="BE534" s="295" t="s">
        <v>1</v>
      </c>
      <c r="BF534" s="294" t="s">
        <v>1</v>
      </c>
      <c r="BG534" s="298" cm="1">
        <f t="array" aca="1" ref="BG534" ca="1">INDIRECT("'"&amp;$C534&amp;"'!"&amp;"$"&amp;$D534&amp;$BG$1&amp;"")</f>
        <v>0.99</v>
      </c>
      <c r="BH534" s="296"/>
      <c r="BI534" s="296">
        <v>0.999</v>
      </c>
      <c r="BJ534" s="294">
        <v>0.15</v>
      </c>
      <c r="BK534" s="298" cm="1">
        <f t="array" aca="1" ref="BK534" ca="1">INDIRECT("'"&amp;$C534&amp;"'!"&amp;"$"&amp;$D534&amp;$BK$1&amp;"")</f>
        <v>0.77</v>
      </c>
      <c r="BL534" s="296"/>
      <c r="BM534" s="296">
        <v>0.96</v>
      </c>
      <c r="BN534" s="294">
        <v>0.2</v>
      </c>
    </row>
    <row r="535" spans="1:66" ht="14.45" thickBot="1">
      <c r="A535" s="360">
        <v>45769</v>
      </c>
      <c r="B535" s="358">
        <v>0.20833333333333301</v>
      </c>
      <c r="C535" s="313">
        <f t="shared" si="21"/>
        <v>22</v>
      </c>
      <c r="D535" s="314" t="s">
        <v>132</v>
      </c>
      <c r="E535" s="286">
        <v>14.1</v>
      </c>
      <c r="F535" s="287">
        <v>69.7</v>
      </c>
      <c r="G535" s="288" cm="1">
        <f t="array" aca="1" ref="G535" ca="1">INDIRECT("'"&amp;$C535&amp;"'!"&amp;"$"&amp;$D535&amp;$E$1&amp;"")</f>
        <v>0</v>
      </c>
      <c r="H535" s="289" t="s">
        <v>1</v>
      </c>
      <c r="I535" s="287" t="s">
        <v>1</v>
      </c>
      <c r="J535" s="288" cm="1">
        <f t="array" aca="1" ref="J535" ca="1">INDIRECT("'"&amp;$C535&amp;"'!"&amp;"$"&amp;$D535&amp;$J$1&amp;"")</f>
        <v>6.6</v>
      </c>
      <c r="K535" s="289"/>
      <c r="L535" s="289">
        <v>0.97</v>
      </c>
      <c r="M535" s="287">
        <v>1.71</v>
      </c>
      <c r="N535" s="288" cm="1">
        <f t="array" aca="1" ref="N535" ca="1">INDIRECT("'"&amp;$C535&amp;"'!"&amp;"$"&amp;$D535&amp;$N$1&amp;"")</f>
        <v>6.6</v>
      </c>
      <c r="O535" s="289"/>
      <c r="P535" s="289">
        <v>0.97</v>
      </c>
      <c r="Q535" s="287">
        <v>1.71</v>
      </c>
      <c r="R535" s="288" cm="1">
        <f t="array" aca="1" ref="R535" ca="1">INDIRECT("'"&amp;$C535&amp;"'!"&amp;"$"&amp;$D535&amp;$R$1&amp;"")</f>
        <v>6.6</v>
      </c>
      <c r="S535" s="289"/>
      <c r="T535" s="289">
        <v>0.97</v>
      </c>
      <c r="U535" s="287">
        <v>1.71</v>
      </c>
      <c r="V535" s="288" cm="1">
        <f t="array" aca="1" ref="V535" ca="1">INDIRECT("'"&amp;$C535&amp;"'!"&amp;"$"&amp;$D535&amp;$V$1&amp;"")</f>
        <v>0</v>
      </c>
      <c r="W535" s="289" t="s">
        <v>1</v>
      </c>
      <c r="X535" s="289" t="s">
        <v>1</v>
      </c>
      <c r="Y535" s="290" t="s">
        <v>1</v>
      </c>
      <c r="Z535" s="286" cm="1">
        <f t="array" aca="1" ref="Z535" ca="1">INDIRECT("'"&amp;$C535&amp;"'!"&amp;"$"&amp;$D535&amp;$Z$1&amp;"")</f>
        <v>0</v>
      </c>
      <c r="AA535" s="289" t="s">
        <v>1</v>
      </c>
      <c r="AB535" s="289" t="s">
        <v>1</v>
      </c>
      <c r="AC535" s="287" t="s">
        <v>1</v>
      </c>
      <c r="AD535" s="288" cm="1">
        <f t="array" aca="1" ref="AD535" ca="1">INDIRECT("'"&amp;$C535&amp;"'!"&amp;"$"&amp;$D535&amp;$AD$1&amp;"")</f>
        <v>0</v>
      </c>
      <c r="AE535" s="289" t="s">
        <v>1</v>
      </c>
      <c r="AF535" s="289" t="s">
        <v>1</v>
      </c>
      <c r="AG535" s="290" t="s">
        <v>1</v>
      </c>
      <c r="AH535" s="286" cm="1">
        <f t="array" aca="1" ref="AH535" ca="1">INDIRECT("'"&amp;$C535&amp;"'!"&amp;"$"&amp;$D535&amp;$AH$1&amp;"")</f>
        <v>0</v>
      </c>
      <c r="AI535" s="289" t="s">
        <v>1</v>
      </c>
      <c r="AJ535" s="289" t="s">
        <v>1</v>
      </c>
      <c r="AK535" s="290" t="s">
        <v>1</v>
      </c>
      <c r="AL535" s="286">
        <v>11.9</v>
      </c>
      <c r="AM535" s="290">
        <v>70.5</v>
      </c>
      <c r="AN535" s="286" cm="1">
        <f t="array" aca="1" ref="AN535" ca="1">INDIRECT("'"&amp;$C535&amp;"'!"&amp;"$"&amp;$D535&amp;$AL$1&amp;"")</f>
        <v>3.2</v>
      </c>
      <c r="AO535" s="289">
        <v>0.96</v>
      </c>
      <c r="AP535" s="287">
        <v>0.82</v>
      </c>
      <c r="AQ535" s="288" cm="1">
        <f t="array" aca="1" ref="AQ535" ca="1">INDIRECT("'"&amp;$C535&amp;"'!"&amp;"$"&amp;$D535&amp;$AQ$1&amp;"")</f>
        <v>3.2</v>
      </c>
      <c r="AR535" s="289">
        <v>0.96</v>
      </c>
      <c r="AS535" s="287">
        <v>0.82</v>
      </c>
      <c r="AT535" s="289" cm="1">
        <f t="array" aca="1" ref="AT535" ca="1">INDIRECT("'"&amp;$C535&amp;"'!"&amp;"$"&amp;$D535&amp;$AT$1&amp;"")</f>
        <v>0</v>
      </c>
      <c r="AU535" s="288" t="s">
        <v>1</v>
      </c>
      <c r="AV535" s="289" t="s">
        <v>1</v>
      </c>
      <c r="AW535" s="287" t="s">
        <v>1</v>
      </c>
      <c r="AX535" s="291">
        <v>14.19</v>
      </c>
      <c r="AY535" s="290">
        <v>71.790000000000006</v>
      </c>
      <c r="AZ535" s="291" cm="1">
        <f t="array" aca="1" ref="AZ535" ca="1">INDIRECT("'"&amp;$C535&amp;"'!"&amp;"$"&amp;$D535&amp;$AZ$1&amp;"")</f>
        <v>14.29</v>
      </c>
      <c r="BA535" s="289">
        <v>0.99</v>
      </c>
      <c r="BB535" s="287">
        <v>2.4</v>
      </c>
      <c r="BC535" s="292">
        <v>68.7</v>
      </c>
      <c r="BD535" s="286" cm="1">
        <f t="array" aca="1" ref="BD535" ca="1">INDIRECT("'"&amp;$C535&amp;"'!"&amp;"$"&amp;$D535&amp;$BC$1&amp;"")</f>
        <v>0</v>
      </c>
      <c r="BE535" s="288" t="s">
        <v>1</v>
      </c>
      <c r="BF535" s="287" t="s">
        <v>1</v>
      </c>
      <c r="BG535" s="291" cm="1">
        <f t="array" aca="1" ref="BG535" ca="1">INDIRECT("'"&amp;$C535&amp;"'!"&amp;"$"&amp;$D535&amp;$BG$1&amp;"")</f>
        <v>1.04</v>
      </c>
      <c r="BH535" s="289"/>
      <c r="BI535" s="289">
        <v>0.99</v>
      </c>
      <c r="BJ535" s="287">
        <v>0.15</v>
      </c>
      <c r="BK535" s="291" cm="1">
        <f t="array" aca="1" ref="BK535" ca="1">INDIRECT("'"&amp;$C535&amp;"'!"&amp;"$"&amp;$D535&amp;$BK$1&amp;"")</f>
        <v>0.8</v>
      </c>
      <c r="BL535" s="289"/>
      <c r="BM535" s="289">
        <v>0.97</v>
      </c>
      <c r="BN535" s="287">
        <v>0.2</v>
      </c>
    </row>
    <row r="536" spans="1:66" ht="14.45" thickBot="1">
      <c r="A536" s="360">
        <v>45769</v>
      </c>
      <c r="B536" s="358">
        <v>0.25</v>
      </c>
      <c r="C536" s="313">
        <f t="shared" si="21"/>
        <v>22</v>
      </c>
      <c r="D536" s="314" t="s">
        <v>133</v>
      </c>
      <c r="E536" s="293">
        <v>14.1</v>
      </c>
      <c r="F536" s="294">
        <v>69.41</v>
      </c>
      <c r="G536" s="295" cm="1">
        <f t="array" aca="1" ref="G536" ca="1">INDIRECT("'"&amp;$C536&amp;"'!"&amp;"$"&amp;$D536&amp;$E$1&amp;"")</f>
        <v>1.3</v>
      </c>
      <c r="H536" s="296">
        <v>0.98</v>
      </c>
      <c r="I536" s="294">
        <v>2.91</v>
      </c>
      <c r="J536" s="295" cm="1">
        <f t="array" aca="1" ref="J536" ca="1">INDIRECT("'"&amp;$C536&amp;"'!"&amp;"$"&amp;$D536&amp;$J$1&amp;"")</f>
        <v>6.3</v>
      </c>
      <c r="K536" s="296"/>
      <c r="L536" s="296">
        <v>0.97</v>
      </c>
      <c r="M536" s="294">
        <v>1.48</v>
      </c>
      <c r="N536" s="295" cm="1">
        <f t="array" aca="1" ref="N536" ca="1">INDIRECT("'"&amp;$C536&amp;"'!"&amp;"$"&amp;$D536&amp;$N$1&amp;"")</f>
        <v>6.3</v>
      </c>
      <c r="O536" s="296"/>
      <c r="P536" s="296">
        <v>0.97</v>
      </c>
      <c r="Q536" s="294">
        <v>1.48</v>
      </c>
      <c r="R536" s="295" cm="1">
        <f t="array" aca="1" ref="R536" ca="1">INDIRECT("'"&amp;$C536&amp;"'!"&amp;"$"&amp;$D536&amp;$R$1&amp;"")</f>
        <v>6.3</v>
      </c>
      <c r="S536" s="296"/>
      <c r="T536" s="296">
        <v>0.97</v>
      </c>
      <c r="U536" s="294">
        <v>1.48</v>
      </c>
      <c r="V536" s="295" cm="1">
        <f t="array" aca="1" ref="V536" ca="1">INDIRECT("'"&amp;$C536&amp;"'!"&amp;"$"&amp;$D536&amp;$V$1&amp;"")</f>
        <v>0</v>
      </c>
      <c r="W536" s="296" t="s">
        <v>1</v>
      </c>
      <c r="X536" s="296" t="s">
        <v>1</v>
      </c>
      <c r="Y536" s="297" t="s">
        <v>1</v>
      </c>
      <c r="Z536" s="293" cm="1">
        <f t="array" aca="1" ref="Z536" ca="1">INDIRECT("'"&amp;$C536&amp;"'!"&amp;"$"&amp;$D536&amp;$Z$1&amp;"")</f>
        <v>0</v>
      </c>
      <c r="AA536" s="296" t="s">
        <v>1</v>
      </c>
      <c r="AB536" s="296" t="s">
        <v>1</v>
      </c>
      <c r="AC536" s="294" t="s">
        <v>1</v>
      </c>
      <c r="AD536" s="295" cm="1">
        <f t="array" aca="1" ref="AD536" ca="1">INDIRECT("'"&amp;$C536&amp;"'!"&amp;"$"&amp;$D536&amp;$AD$1&amp;"")</f>
        <v>0</v>
      </c>
      <c r="AE536" s="296" t="s">
        <v>1</v>
      </c>
      <c r="AF536" s="296" t="s">
        <v>1</v>
      </c>
      <c r="AG536" s="297" t="s">
        <v>1</v>
      </c>
      <c r="AH536" s="293" cm="1">
        <f t="array" aca="1" ref="AH536" ca="1">INDIRECT("'"&amp;$C536&amp;"'!"&amp;"$"&amp;$D536&amp;$AH$1&amp;"")</f>
        <v>0</v>
      </c>
      <c r="AI536" s="296" t="s">
        <v>1</v>
      </c>
      <c r="AJ536" s="296" t="s">
        <v>1</v>
      </c>
      <c r="AK536" s="297" t="s">
        <v>1</v>
      </c>
      <c r="AL536" s="293">
        <v>11.9</v>
      </c>
      <c r="AM536" s="297">
        <v>70.400000000000006</v>
      </c>
      <c r="AN536" s="293" cm="1">
        <f t="array" aca="1" ref="AN536" ca="1">INDIRECT("'"&amp;$C536&amp;"'!"&amp;"$"&amp;$D536&amp;$AL$1&amp;"")</f>
        <v>4</v>
      </c>
      <c r="AO536" s="296">
        <v>0.96</v>
      </c>
      <c r="AP536" s="294">
        <v>1</v>
      </c>
      <c r="AQ536" s="295" cm="1">
        <f t="array" aca="1" ref="AQ536" ca="1">INDIRECT("'"&amp;$C536&amp;"'!"&amp;"$"&amp;$D536&amp;$AQ$1&amp;"")</f>
        <v>4</v>
      </c>
      <c r="AR536" s="296">
        <v>0.96</v>
      </c>
      <c r="AS536" s="294">
        <v>1</v>
      </c>
      <c r="AT536" s="296" cm="1">
        <f t="array" aca="1" ref="AT536" ca="1">INDIRECT("'"&amp;$C536&amp;"'!"&amp;"$"&amp;$D536&amp;$AT$1&amp;"")</f>
        <v>0</v>
      </c>
      <c r="AU536" s="295"/>
      <c r="AV536" s="296"/>
      <c r="AW536" s="294"/>
      <c r="AX536" s="298">
        <v>14.05</v>
      </c>
      <c r="AY536" s="297">
        <v>71.14</v>
      </c>
      <c r="AZ536" s="298" cm="1">
        <f t="array" aca="1" ref="AZ536" ca="1">INDIRECT("'"&amp;$C536&amp;"'!"&amp;"$"&amp;$D536&amp;$AZ$1&amp;"")</f>
        <v>14.24</v>
      </c>
      <c r="BA536" s="296">
        <v>0.99</v>
      </c>
      <c r="BB536" s="294">
        <v>2.4</v>
      </c>
      <c r="BC536" s="299">
        <v>68.400000000000006</v>
      </c>
      <c r="BD536" s="293" cm="1">
        <f t="array" aca="1" ref="BD536" ca="1">INDIRECT("'"&amp;$C536&amp;"'!"&amp;"$"&amp;$D536&amp;$BC$1&amp;"")</f>
        <v>0.7</v>
      </c>
      <c r="BE536" s="295">
        <v>0.97</v>
      </c>
      <c r="BF536" s="294">
        <v>0.17</v>
      </c>
      <c r="BG536" s="298" cm="1">
        <f t="array" aca="1" ref="BG536" ca="1">INDIRECT("'"&amp;$C536&amp;"'!"&amp;"$"&amp;$D536&amp;$BG$1&amp;"")</f>
        <v>1.05</v>
      </c>
      <c r="BH536" s="296"/>
      <c r="BI536" s="296">
        <v>0.99</v>
      </c>
      <c r="BJ536" s="294">
        <v>0.16</v>
      </c>
      <c r="BK536" s="298" cm="1">
        <f t="array" aca="1" ref="BK536" ca="1">INDIRECT("'"&amp;$C536&amp;"'!"&amp;"$"&amp;$D536&amp;$BK$1&amp;"")</f>
        <v>0.81</v>
      </c>
      <c r="BL536" s="296"/>
      <c r="BM536" s="296">
        <v>0.96</v>
      </c>
      <c r="BN536" s="294">
        <v>0.21</v>
      </c>
    </row>
    <row r="537" spans="1:66" ht="14.45" thickBot="1">
      <c r="A537" s="360">
        <v>45769</v>
      </c>
      <c r="B537" s="358">
        <v>0.29166666666666702</v>
      </c>
      <c r="C537" s="313">
        <f t="shared" si="21"/>
        <v>22</v>
      </c>
      <c r="D537" s="314" t="s">
        <v>134</v>
      </c>
      <c r="E537" s="286">
        <v>14.1</v>
      </c>
      <c r="F537" s="287">
        <v>69.12</v>
      </c>
      <c r="G537" s="288" cm="1">
        <f t="array" aca="1" ref="G537" ca="1">INDIRECT("'"&amp;$C537&amp;"'!"&amp;"$"&amp;$D537&amp;$E$1&amp;"")</f>
        <v>0</v>
      </c>
      <c r="H537" s="289" t="s">
        <v>1</v>
      </c>
      <c r="I537" s="287" t="s">
        <v>1</v>
      </c>
      <c r="J537" s="288" cm="1">
        <f t="array" aca="1" ref="J537" ca="1">INDIRECT("'"&amp;$C537&amp;"'!"&amp;"$"&amp;$D537&amp;$J$1&amp;"")</f>
        <v>6.8</v>
      </c>
      <c r="K537" s="289"/>
      <c r="L537" s="289">
        <v>0.97</v>
      </c>
      <c r="M537" s="287">
        <v>1.79</v>
      </c>
      <c r="N537" s="288" cm="1">
        <f t="array" aca="1" ref="N537" ca="1">INDIRECT("'"&amp;$C537&amp;"'!"&amp;"$"&amp;$D537&amp;$N$1&amp;"")</f>
        <v>6.8</v>
      </c>
      <c r="O537" s="289"/>
      <c r="P537" s="289">
        <v>0.97</v>
      </c>
      <c r="Q537" s="287">
        <v>1.79</v>
      </c>
      <c r="R537" s="288" cm="1">
        <f t="array" aca="1" ref="R537" ca="1">INDIRECT("'"&amp;$C537&amp;"'!"&amp;"$"&amp;$D537&amp;$R$1&amp;"")</f>
        <v>6.8</v>
      </c>
      <c r="S537" s="289"/>
      <c r="T537" s="289">
        <v>0.97</v>
      </c>
      <c r="U537" s="287">
        <v>1.79</v>
      </c>
      <c r="V537" s="288" cm="1">
        <f t="array" aca="1" ref="V537" ca="1">INDIRECT("'"&amp;$C537&amp;"'!"&amp;"$"&amp;$D537&amp;$V$1&amp;"")</f>
        <v>0</v>
      </c>
      <c r="W537" s="289" t="s">
        <v>1</v>
      </c>
      <c r="X537" s="289" t="s">
        <v>1</v>
      </c>
      <c r="Y537" s="290" t="s">
        <v>1</v>
      </c>
      <c r="Z537" s="286" cm="1">
        <f t="array" aca="1" ref="Z537" ca="1">INDIRECT("'"&amp;$C537&amp;"'!"&amp;"$"&amp;$D537&amp;$Z$1&amp;"")</f>
        <v>0</v>
      </c>
      <c r="AA537" s="289" t="s">
        <v>1</v>
      </c>
      <c r="AB537" s="289" t="s">
        <v>1</v>
      </c>
      <c r="AC537" s="287" t="s">
        <v>1</v>
      </c>
      <c r="AD537" s="288" cm="1">
        <f t="array" aca="1" ref="AD537" ca="1">INDIRECT("'"&amp;$C537&amp;"'!"&amp;"$"&amp;$D537&amp;$AD$1&amp;"")</f>
        <v>0</v>
      </c>
      <c r="AE537" s="289" t="s">
        <v>1</v>
      </c>
      <c r="AF537" s="289" t="s">
        <v>1</v>
      </c>
      <c r="AG537" s="290" t="s">
        <v>1</v>
      </c>
      <c r="AH537" s="286" cm="1">
        <f t="array" aca="1" ref="AH537" ca="1">INDIRECT("'"&amp;$C537&amp;"'!"&amp;"$"&amp;$D537&amp;$AH$1&amp;"")</f>
        <v>0</v>
      </c>
      <c r="AI537" s="289" t="s">
        <v>1</v>
      </c>
      <c r="AJ537" s="289" t="s">
        <v>1</v>
      </c>
      <c r="AK537" s="290" t="s">
        <v>1</v>
      </c>
      <c r="AL537" s="286">
        <v>11.9</v>
      </c>
      <c r="AM537" s="290">
        <v>70.099999999999994</v>
      </c>
      <c r="AN537" s="286" cm="1">
        <f t="array" aca="1" ref="AN537" ca="1">INDIRECT("'"&amp;$C537&amp;"'!"&amp;"$"&amp;$D537&amp;$AL$1&amp;"")</f>
        <v>4.0999999999999996</v>
      </c>
      <c r="AO537" s="289">
        <v>0.95</v>
      </c>
      <c r="AP537" s="287">
        <v>1.18</v>
      </c>
      <c r="AQ537" s="288" cm="1">
        <f t="array" aca="1" ref="AQ537" ca="1">INDIRECT("'"&amp;$C537&amp;"'!"&amp;"$"&amp;$D537&amp;$AQ$1&amp;"")</f>
        <v>4.0999999999999996</v>
      </c>
      <c r="AR537" s="289">
        <v>0.95</v>
      </c>
      <c r="AS537" s="287">
        <v>1.28</v>
      </c>
      <c r="AT537" s="289" cm="1">
        <f t="array" aca="1" ref="AT537" ca="1">INDIRECT("'"&amp;$C537&amp;"'!"&amp;"$"&amp;$D537&amp;$AT$1&amp;"")</f>
        <v>0</v>
      </c>
      <c r="AU537" s="288"/>
      <c r="AV537" s="289"/>
      <c r="AW537" s="287"/>
      <c r="AX537" s="291">
        <v>14.03</v>
      </c>
      <c r="AY537" s="290">
        <v>70.989999999999995</v>
      </c>
      <c r="AZ537" s="291" cm="1">
        <f t="array" aca="1" ref="AZ537" ca="1">INDIRECT("'"&amp;$C537&amp;"'!"&amp;"$"&amp;$D537&amp;$AZ$1&amp;"")</f>
        <v>14.32</v>
      </c>
      <c r="BA537" s="289">
        <v>0.99</v>
      </c>
      <c r="BB537" s="287">
        <v>2.4</v>
      </c>
      <c r="BC537" s="292">
        <v>68.099999999999994</v>
      </c>
      <c r="BD537" s="286" cm="1">
        <f t="array" aca="1" ref="BD537" ca="1">INDIRECT("'"&amp;$C537&amp;"'!"&amp;"$"&amp;$D537&amp;$BC$1&amp;"")</f>
        <v>0</v>
      </c>
      <c r="BE537" s="288" t="s">
        <v>1</v>
      </c>
      <c r="BF537" s="287" t="s">
        <v>1</v>
      </c>
      <c r="BG537" s="291" cm="1">
        <f t="array" aca="1" ref="BG537" ca="1">INDIRECT("'"&amp;$C537&amp;"'!"&amp;"$"&amp;$D537&amp;$BG$1&amp;"")</f>
        <v>1.0900000000000001</v>
      </c>
      <c r="BH537" s="289"/>
      <c r="BI537" s="289">
        <v>0.99</v>
      </c>
      <c r="BJ537" s="287">
        <v>0.18</v>
      </c>
      <c r="BK537" s="292" cm="1">
        <f t="array" aca="1" ref="BK537" ca="1">INDIRECT("'"&amp;$C537&amp;"'!"&amp;"$"&amp;$D537&amp;$BK$1&amp;"")</f>
        <v>0.76</v>
      </c>
      <c r="BL537" s="289"/>
      <c r="BM537" s="289">
        <v>0.96</v>
      </c>
      <c r="BN537" s="287">
        <v>0.22</v>
      </c>
    </row>
    <row r="538" spans="1:66" ht="14.45" thickBot="1">
      <c r="A538" s="360">
        <v>45769</v>
      </c>
      <c r="B538" s="358">
        <v>0.33333333333333398</v>
      </c>
      <c r="C538" s="313">
        <f t="shared" si="21"/>
        <v>22</v>
      </c>
      <c r="D538" s="314" t="s">
        <v>135</v>
      </c>
      <c r="E538" s="293">
        <v>14.2</v>
      </c>
      <c r="F538" s="294">
        <v>69.510000000000005</v>
      </c>
      <c r="G538" s="295" cm="1">
        <f t="array" aca="1" ref="G538" ca="1">INDIRECT("'"&amp;$C538&amp;"'!"&amp;"$"&amp;$D538&amp;$E$1&amp;"")</f>
        <v>0</v>
      </c>
      <c r="H538" s="296" t="s">
        <v>1</v>
      </c>
      <c r="I538" s="294" t="s">
        <v>1</v>
      </c>
      <c r="J538" s="295" cm="1">
        <f t="array" aca="1" ref="J538" ca="1">INDIRECT("'"&amp;$C538&amp;"'!"&amp;"$"&amp;$D538&amp;$J$1&amp;"")</f>
        <v>7.1</v>
      </c>
      <c r="K538" s="296"/>
      <c r="L538" s="296">
        <v>0.95</v>
      </c>
      <c r="M538" s="294">
        <v>2.21</v>
      </c>
      <c r="N538" s="295" cm="1">
        <f t="array" aca="1" ref="N538" ca="1">INDIRECT("'"&amp;$C538&amp;"'!"&amp;"$"&amp;$D538&amp;$N$1&amp;"")</f>
        <v>7.1</v>
      </c>
      <c r="O538" s="296"/>
      <c r="P538" s="296">
        <v>0.95</v>
      </c>
      <c r="Q538" s="294">
        <v>2.21</v>
      </c>
      <c r="R538" s="295" cm="1">
        <f t="array" aca="1" ref="R538" ca="1">INDIRECT("'"&amp;$C538&amp;"'!"&amp;"$"&amp;$D538&amp;$R$1&amp;"")</f>
        <v>7.1</v>
      </c>
      <c r="S538" s="296"/>
      <c r="T538" s="296">
        <v>0.95</v>
      </c>
      <c r="U538" s="294">
        <v>2.21</v>
      </c>
      <c r="V538" s="295" cm="1">
        <f t="array" aca="1" ref="V538" ca="1">INDIRECT("'"&amp;$C538&amp;"'!"&amp;"$"&amp;$D538&amp;$V$1&amp;"")</f>
        <v>0</v>
      </c>
      <c r="W538" s="296" t="s">
        <v>1</v>
      </c>
      <c r="X538" s="296" t="s">
        <v>1</v>
      </c>
      <c r="Y538" s="297" t="s">
        <v>1</v>
      </c>
      <c r="Z538" s="293" cm="1">
        <f t="array" aca="1" ref="Z538" ca="1">INDIRECT("'"&amp;$C538&amp;"'!"&amp;"$"&amp;$D538&amp;$Z$1&amp;"")</f>
        <v>0</v>
      </c>
      <c r="AA538" s="296" t="s">
        <v>1</v>
      </c>
      <c r="AB538" s="296" t="s">
        <v>1</v>
      </c>
      <c r="AC538" s="294" t="s">
        <v>1</v>
      </c>
      <c r="AD538" s="295" cm="1">
        <f t="array" aca="1" ref="AD538" ca="1">INDIRECT("'"&amp;$C538&amp;"'!"&amp;"$"&amp;$D538&amp;$AD$1&amp;"")</f>
        <v>3.8</v>
      </c>
      <c r="AE538" s="296">
        <f>3.8*3.55</f>
        <v>13.489999999999998</v>
      </c>
      <c r="AF538" s="296">
        <v>0.95</v>
      </c>
      <c r="AG538" s="297">
        <v>1.24</v>
      </c>
      <c r="AH538" s="293" cm="1">
        <f t="array" aca="1" ref="AH538" ca="1">INDIRECT("'"&amp;$C538&amp;"'!"&amp;"$"&amp;$D538&amp;$AH$1&amp;"")</f>
        <v>0</v>
      </c>
      <c r="AI538" s="296" t="s">
        <v>1</v>
      </c>
      <c r="AJ538" s="296" t="s">
        <v>1</v>
      </c>
      <c r="AK538" s="297" t="s">
        <v>1</v>
      </c>
      <c r="AL538" s="293">
        <v>11.9</v>
      </c>
      <c r="AM538" s="297">
        <v>70.400000000000006</v>
      </c>
      <c r="AN538" s="293" cm="1">
        <f t="array" aca="1" ref="AN538" ca="1">INDIRECT("'"&amp;$C538&amp;"'!"&amp;"$"&amp;$D538&amp;$AL$1&amp;"")</f>
        <v>4.2</v>
      </c>
      <c r="AO538" s="296">
        <v>0.97</v>
      </c>
      <c r="AP538" s="294">
        <v>0.94</v>
      </c>
      <c r="AQ538" s="295" cm="1">
        <f t="array" aca="1" ref="AQ538" ca="1">INDIRECT("'"&amp;$C538&amp;"'!"&amp;"$"&amp;$D538&amp;$AQ$1&amp;"")</f>
        <v>4.2</v>
      </c>
      <c r="AR538" s="296">
        <v>0.97</v>
      </c>
      <c r="AS538" s="294">
        <v>0.96</v>
      </c>
      <c r="AT538" s="296" cm="1">
        <f t="array" aca="1" ref="AT538" ca="1">INDIRECT("'"&amp;$C538&amp;"'!"&amp;"$"&amp;$D538&amp;$AT$1&amp;"")</f>
        <v>0</v>
      </c>
      <c r="AU538" s="295"/>
      <c r="AV538" s="296"/>
      <c r="AW538" s="294"/>
      <c r="AX538" s="298">
        <v>14.16</v>
      </c>
      <c r="AY538" s="297">
        <v>71.11</v>
      </c>
      <c r="AZ538" s="298" cm="1">
        <f t="array" aca="1" ref="AZ538" ca="1">INDIRECT("'"&amp;$C538&amp;"'!"&amp;"$"&amp;$D538&amp;$AZ$1&amp;"")</f>
        <v>14.31</v>
      </c>
      <c r="BA538" s="296">
        <v>0.99</v>
      </c>
      <c r="BB538" s="294">
        <v>2.4</v>
      </c>
      <c r="BC538" s="299">
        <v>68.599999999999994</v>
      </c>
      <c r="BD538" s="293" cm="1">
        <f t="array" aca="1" ref="BD538" ca="1">INDIRECT("'"&amp;$C538&amp;"'!"&amp;"$"&amp;$D538&amp;$BC$1&amp;"")</f>
        <v>3.8</v>
      </c>
      <c r="BE538" s="295">
        <v>0.96</v>
      </c>
      <c r="BF538" s="294">
        <v>1.1000000000000001</v>
      </c>
      <c r="BG538" s="298" cm="1">
        <f t="array" aca="1" ref="BG538" ca="1">INDIRECT("'"&amp;$C538&amp;"'!"&amp;"$"&amp;$D538&amp;$BG$1&amp;"")</f>
        <v>1.25</v>
      </c>
      <c r="BH538" s="296"/>
      <c r="BI538" s="296">
        <v>0.99</v>
      </c>
      <c r="BJ538" s="294">
        <v>0.18</v>
      </c>
      <c r="BK538" s="299" cm="1">
        <f t="array" aca="1" ref="BK538" ca="1">INDIRECT("'"&amp;$C538&amp;"'!"&amp;"$"&amp;$D538&amp;$BK$1&amp;"")</f>
        <v>0.8</v>
      </c>
      <c r="BL538" s="296"/>
      <c r="BM538" s="296">
        <v>0.95</v>
      </c>
      <c r="BN538" s="294">
        <v>0.24</v>
      </c>
    </row>
    <row r="539" spans="1:66" ht="14.45" thickBot="1">
      <c r="A539" s="360">
        <v>45769</v>
      </c>
      <c r="B539" s="358">
        <v>0.375</v>
      </c>
      <c r="C539" s="313">
        <f t="shared" si="21"/>
        <v>22</v>
      </c>
      <c r="D539" s="314" t="s">
        <v>136</v>
      </c>
      <c r="E539" s="286">
        <v>14</v>
      </c>
      <c r="F539" s="287">
        <v>68.98</v>
      </c>
      <c r="G539" s="288" cm="1">
        <f t="array" aca="1" ref="G539" ca="1">INDIRECT("'"&amp;$C539&amp;"'!"&amp;"$"&amp;$D539&amp;$E$1&amp;"")</f>
        <v>0</v>
      </c>
      <c r="H539" s="289" t="s">
        <v>1</v>
      </c>
      <c r="I539" s="287" t="s">
        <v>1</v>
      </c>
      <c r="J539" s="288" cm="1">
        <f t="array" aca="1" ref="J539" ca="1">INDIRECT("'"&amp;$C539&amp;"'!"&amp;"$"&amp;$D539&amp;$J$1&amp;"")</f>
        <v>6.7</v>
      </c>
      <c r="K539" s="289"/>
      <c r="L539" s="289">
        <v>0.93</v>
      </c>
      <c r="M539" s="287">
        <v>2.61</v>
      </c>
      <c r="N539" s="288" cm="1">
        <f t="array" aca="1" ref="N539" ca="1">INDIRECT("'"&amp;$C539&amp;"'!"&amp;"$"&amp;$D539&amp;$N$1&amp;"")</f>
        <v>6.7</v>
      </c>
      <c r="O539" s="289"/>
      <c r="P539" s="289">
        <v>0.93</v>
      </c>
      <c r="Q539" s="287">
        <v>2.61</v>
      </c>
      <c r="R539" s="288" cm="1">
        <f t="array" aca="1" ref="R539" ca="1">INDIRECT("'"&amp;$C539&amp;"'!"&amp;"$"&amp;$D539&amp;$R$1&amp;"")</f>
        <v>6.7</v>
      </c>
      <c r="S539" s="289"/>
      <c r="T539" s="289">
        <v>0.93</v>
      </c>
      <c r="U539" s="287">
        <v>2.61</v>
      </c>
      <c r="V539" s="288" cm="1">
        <f t="array" aca="1" ref="V539" ca="1">INDIRECT("'"&amp;$C539&amp;"'!"&amp;"$"&amp;$D539&amp;$V$1&amp;"")</f>
        <v>2.8</v>
      </c>
      <c r="W539" s="289">
        <f>3.8*3.51</f>
        <v>13.337999999999999</v>
      </c>
      <c r="X539" s="289">
        <v>0.91</v>
      </c>
      <c r="Y539" s="290">
        <v>0.38</v>
      </c>
      <c r="Z539" s="286" cm="1">
        <f t="array" aca="1" ref="Z539" ca="1">INDIRECT("'"&amp;$C539&amp;"'!"&amp;"$"&amp;$D539&amp;$Z$1&amp;"")</f>
        <v>0</v>
      </c>
      <c r="AA539" s="289" t="s">
        <v>1</v>
      </c>
      <c r="AB539" s="289" t="s">
        <v>1</v>
      </c>
      <c r="AC539" s="287" t="s">
        <v>1</v>
      </c>
      <c r="AD539" s="288" cm="1">
        <f t="array" aca="1" ref="AD539" ca="1">INDIRECT("'"&amp;$C539&amp;"'!"&amp;"$"&amp;$D539&amp;$AD$1&amp;"")</f>
        <v>3.8</v>
      </c>
      <c r="AE539" s="289">
        <f>3.8*3.51</f>
        <v>13.337999999999999</v>
      </c>
      <c r="AF539" s="289">
        <v>0.91</v>
      </c>
      <c r="AG539" s="290">
        <v>1.9</v>
      </c>
      <c r="AH539" s="286" cm="1">
        <f t="array" aca="1" ref="AH539" ca="1">INDIRECT("'"&amp;$C539&amp;"'!"&amp;"$"&amp;$D539&amp;$AH$1&amp;"")</f>
        <v>3.8</v>
      </c>
      <c r="AI539" s="289">
        <v>13.92</v>
      </c>
      <c r="AJ539" s="289">
        <v>0.98</v>
      </c>
      <c r="AK539" s="290">
        <v>0.53900000000000003</v>
      </c>
      <c r="AL539" s="286">
        <v>11.9</v>
      </c>
      <c r="AM539" s="290">
        <v>70.400000000000006</v>
      </c>
      <c r="AN539" s="286" cm="1">
        <f t="array" aca="1" ref="AN539" ca="1">INDIRECT("'"&amp;$C539&amp;"'!"&amp;"$"&amp;$D539&amp;$AL$1&amp;"")</f>
        <v>4.2</v>
      </c>
      <c r="AO539" s="289">
        <v>0.97</v>
      </c>
      <c r="AP539" s="287">
        <v>0.95</v>
      </c>
      <c r="AQ539" s="288" cm="1">
        <f t="array" aca="1" ref="AQ539" ca="1">INDIRECT("'"&amp;$C539&amp;"'!"&amp;"$"&amp;$D539&amp;$AQ$1&amp;"")</f>
        <v>4.2</v>
      </c>
      <c r="AR539" s="289">
        <v>0.97</v>
      </c>
      <c r="AS539" s="287">
        <v>0.95</v>
      </c>
      <c r="AT539" s="289" cm="1">
        <f t="array" aca="1" ref="AT539" ca="1">INDIRECT("'"&amp;$C539&amp;"'!"&amp;"$"&amp;$D539&amp;$AT$1&amp;"")</f>
        <v>4.2</v>
      </c>
      <c r="AU539" s="288">
        <v>13.8</v>
      </c>
      <c r="AV539" s="289">
        <v>0.92</v>
      </c>
      <c r="AW539" s="287">
        <v>1.7</v>
      </c>
      <c r="AX539" s="291">
        <v>14.17</v>
      </c>
      <c r="AY539" s="290">
        <v>71.209999999999994</v>
      </c>
      <c r="AZ539" s="291" cm="1">
        <f t="array" aca="1" ref="AZ539" ca="1">INDIRECT("'"&amp;$C539&amp;"'!"&amp;"$"&amp;$D539&amp;$AZ$1&amp;"")</f>
        <v>14.29</v>
      </c>
      <c r="BA539" s="289">
        <v>0.98</v>
      </c>
      <c r="BB539" s="287">
        <v>3.4</v>
      </c>
      <c r="BC539" s="292">
        <v>67.5</v>
      </c>
      <c r="BD539" s="286" cm="1">
        <f t="array" aca="1" ref="BD539" ca="1">INDIRECT("'"&amp;$C539&amp;"'!"&amp;"$"&amp;$D539&amp;$BC$1&amp;"")</f>
        <v>3</v>
      </c>
      <c r="BE539" s="288">
        <v>0.95</v>
      </c>
      <c r="BF539" s="287">
        <v>0.98</v>
      </c>
      <c r="BG539" s="291" cm="1">
        <f t="array" aca="1" ref="BG539" ca="1">INDIRECT("'"&amp;$C539&amp;"'!"&amp;"$"&amp;$D539&amp;$BG$1&amp;"")</f>
        <v>1.38</v>
      </c>
      <c r="BH539" s="289"/>
      <c r="BI539" s="289">
        <v>0.99</v>
      </c>
      <c r="BJ539" s="287">
        <v>0.22</v>
      </c>
      <c r="BK539" s="292" cm="1">
        <f t="array" aca="1" ref="BK539" ca="1">INDIRECT("'"&amp;$C539&amp;"'!"&amp;"$"&amp;$D539&amp;$BK$1&amp;"")</f>
        <v>0.87</v>
      </c>
      <c r="BL539" s="289"/>
      <c r="BM539" s="289">
        <v>0.96</v>
      </c>
      <c r="BN539" s="287">
        <v>0.25</v>
      </c>
    </row>
    <row r="540" spans="1:66" ht="14.45" thickBot="1">
      <c r="A540" s="360">
        <v>45769</v>
      </c>
      <c r="B540" s="358">
        <v>0.41666666666666702</v>
      </c>
      <c r="C540" s="313">
        <f t="shared" si="21"/>
        <v>22</v>
      </c>
      <c r="D540" s="314" t="s">
        <v>137</v>
      </c>
      <c r="E540" s="293">
        <v>14.3</v>
      </c>
      <c r="F540" s="294">
        <v>69.290000000000006</v>
      </c>
      <c r="G540" s="295" cm="1">
        <f t="array" aca="1" ref="G540" ca="1">INDIRECT("'"&amp;$C540&amp;"'!"&amp;"$"&amp;$D540&amp;$E$1&amp;"")</f>
        <v>6.6</v>
      </c>
      <c r="H540" s="296">
        <v>0.93</v>
      </c>
      <c r="I540" s="294">
        <v>2.5</v>
      </c>
      <c r="J540" s="295" cm="1">
        <f t="array" aca="1" ref="J540" ca="1">INDIRECT("'"&amp;$C540&amp;"'!"&amp;"$"&amp;$D540&amp;$J$1&amp;"")</f>
        <v>6.6</v>
      </c>
      <c r="K540" s="296"/>
      <c r="L540" s="296">
        <v>0.93</v>
      </c>
      <c r="M540" s="294">
        <v>2.5</v>
      </c>
      <c r="N540" s="295" cm="1">
        <f t="array" aca="1" ref="N540" ca="1">INDIRECT("'"&amp;$C540&amp;"'!"&amp;"$"&amp;$D540&amp;$N$1&amp;"")</f>
        <v>6.6</v>
      </c>
      <c r="O540" s="296"/>
      <c r="P540" s="296">
        <v>0.93</v>
      </c>
      <c r="Q540" s="294">
        <v>2.5</v>
      </c>
      <c r="R540" s="295" cm="1">
        <f t="array" aca="1" ref="R540" ca="1">INDIRECT("'"&amp;$C540&amp;"'!"&amp;"$"&amp;$D540&amp;$R$1&amp;"")</f>
        <v>6.6</v>
      </c>
      <c r="S540" s="296"/>
      <c r="T540" s="296">
        <v>0.93</v>
      </c>
      <c r="U540" s="294">
        <v>2.5</v>
      </c>
      <c r="V540" s="295" cm="1">
        <f t="array" aca="1" ref="V540" ca="1">INDIRECT("'"&amp;$C540&amp;"'!"&amp;"$"&amp;$D540&amp;$V$1&amp;"")</f>
        <v>2.8</v>
      </c>
      <c r="W540" s="296">
        <f>3.8*3.5</f>
        <v>13.299999999999999</v>
      </c>
      <c r="X540" s="296">
        <v>0.91</v>
      </c>
      <c r="Y540" s="297">
        <v>0.35</v>
      </c>
      <c r="Z540" s="293" cm="1">
        <f t="array" aca="1" ref="Z540" ca="1">INDIRECT("'"&amp;$C540&amp;"'!"&amp;"$"&amp;$D540&amp;$Z$1&amp;"")</f>
        <v>0</v>
      </c>
      <c r="AA540" s="296" t="s">
        <v>1</v>
      </c>
      <c r="AB540" s="296" t="s">
        <v>1</v>
      </c>
      <c r="AC540" s="294" t="s">
        <v>1</v>
      </c>
      <c r="AD540" s="295" cm="1">
        <f t="array" aca="1" ref="AD540" ca="1">INDIRECT("'"&amp;$C540&amp;"'!"&amp;"$"&amp;$D540&amp;$AD$1&amp;"")</f>
        <v>3.8</v>
      </c>
      <c r="AE540" s="296">
        <f>3.8*3.5</f>
        <v>13.299999999999999</v>
      </c>
      <c r="AF540" s="296">
        <v>0.9</v>
      </c>
      <c r="AG540" s="297">
        <v>1.92</v>
      </c>
      <c r="AH540" s="293" cm="1">
        <f t="array" aca="1" ref="AH540" ca="1">INDIRECT("'"&amp;$C540&amp;"'!"&amp;"$"&amp;$D540&amp;$AH$1&amp;"")</f>
        <v>3.8</v>
      </c>
      <c r="AI540" s="296">
        <v>14.12</v>
      </c>
      <c r="AJ540" s="296">
        <v>0.96</v>
      </c>
      <c r="AK540" s="294">
        <v>1.19</v>
      </c>
      <c r="AL540" s="293">
        <v>11.9</v>
      </c>
      <c r="AM540" s="297">
        <v>70.599999999999994</v>
      </c>
      <c r="AN540" s="293" cm="1">
        <f t="array" aca="1" ref="AN540" ca="1">INDIRECT("'"&amp;$C540&amp;"'!"&amp;"$"&amp;$D540&amp;$AL$1&amp;"")</f>
        <v>4</v>
      </c>
      <c r="AO540" s="296">
        <v>0.97</v>
      </c>
      <c r="AP540" s="294">
        <v>0.81</v>
      </c>
      <c r="AQ540" s="295" cm="1">
        <f t="array" aca="1" ref="AQ540" ca="1">INDIRECT("'"&amp;$C540&amp;"'!"&amp;"$"&amp;$D540&amp;$AQ$1&amp;"")</f>
        <v>4</v>
      </c>
      <c r="AR540" s="296">
        <v>0.97</v>
      </c>
      <c r="AS540" s="294">
        <v>0.87</v>
      </c>
      <c r="AT540" s="296" cm="1">
        <f t="array" aca="1" ref="AT540" ca="1">INDIRECT("'"&amp;$C540&amp;"'!"&amp;"$"&amp;$D540&amp;$AT$1&amp;"")</f>
        <v>5.5</v>
      </c>
      <c r="AU540" s="295">
        <v>13.8</v>
      </c>
      <c r="AV540" s="296">
        <v>0.96</v>
      </c>
      <c r="AW540" s="294">
        <v>1.19</v>
      </c>
      <c r="AX540" s="298">
        <v>14.35</v>
      </c>
      <c r="AY540" s="297">
        <v>71.760000000000005</v>
      </c>
      <c r="AZ540" s="298" cm="1">
        <f t="array" aca="1" ref="AZ540" ca="1">INDIRECT("'"&amp;$C540&amp;"'!"&amp;"$"&amp;$D540&amp;$AZ$1&amp;"")</f>
        <v>14.24</v>
      </c>
      <c r="BA540" s="296">
        <v>0.96</v>
      </c>
      <c r="BB540" s="294">
        <v>4.5999999999999996</v>
      </c>
      <c r="BC540" s="299">
        <v>67.8</v>
      </c>
      <c r="BD540" s="293" cm="1">
        <f t="array" aca="1" ref="BD540" ca="1">INDIRECT("'"&amp;$C540&amp;"'!"&amp;"$"&amp;$D540&amp;$BC$1&amp;"")</f>
        <v>0.6</v>
      </c>
      <c r="BE540" s="295">
        <v>0.95</v>
      </c>
      <c r="BF540" s="294">
        <v>0.19</v>
      </c>
      <c r="BG540" s="298" cm="1">
        <f t="array" aca="1" ref="BG540" ca="1">INDIRECT("'"&amp;$C540&amp;"'!"&amp;"$"&amp;$D540&amp;$BG$1&amp;"")</f>
        <v>1.44</v>
      </c>
      <c r="BH540" s="296"/>
      <c r="BI540" s="296">
        <v>0.99</v>
      </c>
      <c r="BJ540" s="294">
        <v>0.23</v>
      </c>
      <c r="BK540" s="299" cm="1">
        <f t="array" aca="1" ref="BK540" ca="1">INDIRECT("'"&amp;$C540&amp;"'!"&amp;"$"&amp;$D540&amp;$BK$1&amp;"")</f>
        <v>0.88</v>
      </c>
      <c r="BL540" s="296"/>
      <c r="BM540" s="296">
        <v>0.96</v>
      </c>
      <c r="BN540" s="294">
        <v>0.26</v>
      </c>
    </row>
    <row r="541" spans="1:66" ht="14.45" thickBot="1">
      <c r="A541" s="360">
        <v>45769</v>
      </c>
      <c r="B541" s="358">
        <v>0.45833333333333398</v>
      </c>
      <c r="C541" s="313">
        <f t="shared" si="21"/>
        <v>22</v>
      </c>
      <c r="D541" s="314" t="s">
        <v>138</v>
      </c>
      <c r="E541" s="286">
        <v>14.3</v>
      </c>
      <c r="F541" s="287">
        <v>69.14</v>
      </c>
      <c r="G541" s="288" cm="1">
        <f t="array" aca="1" ref="G541" ca="1">INDIRECT("'"&amp;$C541&amp;"'!"&amp;"$"&amp;$D541&amp;$E$1&amp;"")</f>
        <v>6.9</v>
      </c>
      <c r="H541" s="289">
        <v>0.92</v>
      </c>
      <c r="I541" s="287">
        <v>2.9</v>
      </c>
      <c r="J541" s="288" cm="1">
        <f t="array" aca="1" ref="J541" ca="1">INDIRECT("'"&amp;$C541&amp;"'!"&amp;"$"&amp;$D541&amp;$J$1&amp;"")</f>
        <v>6.9</v>
      </c>
      <c r="K541" s="289"/>
      <c r="L541" s="289">
        <v>0.92</v>
      </c>
      <c r="M541" s="287">
        <v>2.9</v>
      </c>
      <c r="N541" s="288" cm="1">
        <f t="array" aca="1" ref="N541" ca="1">INDIRECT("'"&amp;$C541&amp;"'!"&amp;"$"&amp;$D541&amp;$N$1&amp;"")</f>
        <v>6.9</v>
      </c>
      <c r="O541" s="289"/>
      <c r="P541" s="289">
        <v>0.92</v>
      </c>
      <c r="Q541" s="287">
        <v>2.9</v>
      </c>
      <c r="R541" s="288" cm="1">
        <f t="array" aca="1" ref="R541" ca="1">INDIRECT("'"&amp;$C541&amp;"'!"&amp;"$"&amp;$D541&amp;$R$1&amp;"")</f>
        <v>6.9</v>
      </c>
      <c r="S541" s="289"/>
      <c r="T541" s="289">
        <v>0.92</v>
      </c>
      <c r="U541" s="287">
        <v>2.9</v>
      </c>
      <c r="V541" s="288" cm="1">
        <f t="array" aca="1" ref="V541" ca="1">INDIRECT("'"&amp;$C541&amp;"'!"&amp;"$"&amp;$D541&amp;$V$1&amp;"")</f>
        <v>2.8</v>
      </c>
      <c r="W541" s="289">
        <f>3.8*3.48</f>
        <v>13.224</v>
      </c>
      <c r="X541" s="289">
        <v>0.9</v>
      </c>
      <c r="Y541" s="290">
        <v>0.9</v>
      </c>
      <c r="Z541" s="286" cm="1">
        <f t="array" aca="1" ref="Z541" ca="1">INDIRECT("'"&amp;$C541&amp;"'!"&amp;"$"&amp;$D541&amp;$Z$1&amp;"")</f>
        <v>0</v>
      </c>
      <c r="AA541" s="289" t="s">
        <v>1</v>
      </c>
      <c r="AB541" s="289" t="s">
        <v>1</v>
      </c>
      <c r="AC541" s="287" t="s">
        <v>1</v>
      </c>
      <c r="AD541" s="288" cm="1">
        <f t="array" aca="1" ref="AD541" ca="1">INDIRECT("'"&amp;$C541&amp;"'!"&amp;"$"&amp;$D541&amp;$AD$1&amp;"")</f>
        <v>3.8</v>
      </c>
      <c r="AE541" s="289">
        <v>13.22</v>
      </c>
      <c r="AF541" s="289">
        <v>0.91</v>
      </c>
      <c r="AG541" s="290">
        <v>1.91</v>
      </c>
      <c r="AH541" s="286" cm="1">
        <f t="array" aca="1" ref="AH541" ca="1">INDIRECT("'"&amp;$C541&amp;"'!"&amp;"$"&amp;$D541&amp;$AH$1&amp;"")</f>
        <v>3.8</v>
      </c>
      <c r="AI541" s="289">
        <v>14.12</v>
      </c>
      <c r="AJ541" s="289">
        <v>0.94</v>
      </c>
      <c r="AK541" s="287">
        <v>1.2</v>
      </c>
      <c r="AL541" s="286">
        <v>11.9</v>
      </c>
      <c r="AM541" s="290">
        <v>70.599999999999994</v>
      </c>
      <c r="AN541" s="286" cm="1">
        <f t="array" aca="1" ref="AN541" ca="1">INDIRECT("'"&amp;$C541&amp;"'!"&amp;"$"&amp;$D541&amp;$AL$1&amp;"")</f>
        <v>4.2</v>
      </c>
      <c r="AO541" s="289">
        <v>0.97</v>
      </c>
      <c r="AP541" s="287">
        <v>0.92</v>
      </c>
      <c r="AQ541" s="288" cm="1">
        <f t="array" aca="1" ref="AQ541" ca="1">INDIRECT("'"&amp;$C541&amp;"'!"&amp;"$"&amp;$D541&amp;$AQ$1&amp;"")</f>
        <v>4.2</v>
      </c>
      <c r="AR541" s="289">
        <v>0.97</v>
      </c>
      <c r="AS541" s="287">
        <v>0.85</v>
      </c>
      <c r="AT541" s="289" cm="1">
        <f t="array" aca="1" ref="AT541" ca="1">INDIRECT("'"&amp;$C541&amp;"'!"&amp;"$"&amp;$D541&amp;$AT$1&amp;"")</f>
        <v>5.5</v>
      </c>
      <c r="AU541" s="288">
        <v>13.8</v>
      </c>
      <c r="AV541" s="289">
        <v>0.98</v>
      </c>
      <c r="AW541" s="287">
        <v>0.97799999999999998</v>
      </c>
      <c r="AX541" s="291">
        <v>14.34</v>
      </c>
      <c r="AY541" s="290">
        <v>71.790000000000006</v>
      </c>
      <c r="AZ541" s="291" cm="1">
        <f t="array" aca="1" ref="AZ541" ca="1">INDIRECT("'"&amp;$C541&amp;"'!"&amp;"$"&amp;$D541&amp;$AZ$1&amp;"")</f>
        <v>14.27</v>
      </c>
      <c r="BA541" s="289">
        <v>0.9</v>
      </c>
      <c r="BB541" s="287">
        <v>4.5</v>
      </c>
      <c r="BC541" s="292">
        <v>67.599999999999994</v>
      </c>
      <c r="BD541" s="286" cm="1">
        <f t="array" aca="1" ref="BD541" ca="1">INDIRECT("'"&amp;$C541&amp;"'!"&amp;"$"&amp;$D541&amp;$BC$1&amp;"")</f>
        <v>0</v>
      </c>
      <c r="BE541" s="288" t="s">
        <v>1</v>
      </c>
      <c r="BF541" s="287" t="s">
        <v>1</v>
      </c>
      <c r="BG541" s="291" cm="1">
        <f t="array" aca="1" ref="BG541" ca="1">INDIRECT("'"&amp;$C541&amp;"'!"&amp;"$"&amp;$D541&amp;$BG$1&amp;"")</f>
        <v>1.54</v>
      </c>
      <c r="BH541" s="289"/>
      <c r="BI541" s="289">
        <v>0.99</v>
      </c>
      <c r="BJ541" s="287">
        <v>0.24</v>
      </c>
      <c r="BK541" s="292" cm="1">
        <f t="array" aca="1" ref="BK541" ca="1">INDIRECT("'"&amp;$C541&amp;"'!"&amp;"$"&amp;$D541&amp;$BK$1&amp;"")</f>
        <v>0.93</v>
      </c>
      <c r="BL541" s="289"/>
      <c r="BM541" s="289">
        <v>0.96</v>
      </c>
      <c r="BN541" s="287">
        <v>0.28000000000000003</v>
      </c>
    </row>
    <row r="542" spans="1:66" ht="14.45" thickBot="1">
      <c r="A542" s="360">
        <v>45769</v>
      </c>
      <c r="B542" s="358">
        <v>0.5</v>
      </c>
      <c r="C542" s="313">
        <f t="shared" si="21"/>
        <v>22</v>
      </c>
      <c r="D542" s="314" t="s">
        <v>139</v>
      </c>
      <c r="E542" s="293">
        <v>14.3</v>
      </c>
      <c r="F542" s="294">
        <v>69.14</v>
      </c>
      <c r="G542" s="295" cm="1">
        <f t="array" aca="1" ref="G542" ca="1">INDIRECT("'"&amp;$C542&amp;"'!"&amp;"$"&amp;$D542&amp;$E$1&amp;"")</f>
        <v>6.5</v>
      </c>
      <c r="H542" s="296">
        <v>0.9</v>
      </c>
      <c r="I542" s="294">
        <v>3.3</v>
      </c>
      <c r="J542" s="295" cm="1">
        <f t="array" aca="1" ref="J542" ca="1">INDIRECT("'"&amp;$C542&amp;"'!"&amp;"$"&amp;$D542&amp;$J$1&amp;"")</f>
        <v>6.5</v>
      </c>
      <c r="K542" s="296"/>
      <c r="L542" s="296">
        <v>0.9</v>
      </c>
      <c r="M542" s="294">
        <v>3.3</v>
      </c>
      <c r="N542" s="295" cm="1">
        <f t="array" aca="1" ref="N542" ca="1">INDIRECT("'"&amp;$C542&amp;"'!"&amp;"$"&amp;$D542&amp;$N$1&amp;"")</f>
        <v>6.5</v>
      </c>
      <c r="O542" s="296"/>
      <c r="P542" s="296">
        <v>0.9</v>
      </c>
      <c r="Q542" s="294">
        <v>3.3</v>
      </c>
      <c r="R542" s="295" cm="1">
        <f t="array" aca="1" ref="R542" ca="1">INDIRECT("'"&amp;$C542&amp;"'!"&amp;"$"&amp;$D542&amp;$R$1&amp;"")</f>
        <v>6.5</v>
      </c>
      <c r="S542" s="296"/>
      <c r="T542" s="296">
        <v>0.9</v>
      </c>
      <c r="U542" s="294">
        <v>3.3</v>
      </c>
      <c r="V542" s="295" t="str" cm="1">
        <f t="array" aca="1" ref="V542" ca="1">INDIRECT("'"&amp;$C542&amp;"'!"&amp;"$"&amp;$D542&amp;$V$1&amp;"")</f>
        <v>CMS</v>
      </c>
      <c r="W542" s="296" t="s">
        <v>1</v>
      </c>
      <c r="X542" s="296" t="s">
        <v>1</v>
      </c>
      <c r="Y542" s="297" t="s">
        <v>1</v>
      </c>
      <c r="Z542" s="293" cm="1">
        <f t="array" aca="1" ref="Z542" ca="1">INDIRECT("'"&amp;$C542&amp;"'!"&amp;"$"&amp;$D542&amp;$Z$1&amp;"")</f>
        <v>0</v>
      </c>
      <c r="AA542" s="296" t="s">
        <v>1</v>
      </c>
      <c r="AB542" s="296" t="s">
        <v>1</v>
      </c>
      <c r="AC542" s="294" t="s">
        <v>1</v>
      </c>
      <c r="AD542" s="295" cm="1">
        <f t="array" aca="1" ref="AD542" ca="1">INDIRECT("'"&amp;$C542&amp;"'!"&amp;"$"&amp;$D542&amp;$AD$1&amp;"")</f>
        <v>3.8</v>
      </c>
      <c r="AE542" s="296">
        <f>3.8*3.46</f>
        <v>13.148</v>
      </c>
      <c r="AF542" s="296">
        <v>0.9</v>
      </c>
      <c r="AG542" s="297">
        <v>1.93</v>
      </c>
      <c r="AH542" s="293" cm="1">
        <f t="array" aca="1" ref="AH542" ca="1">INDIRECT("'"&amp;$C542&amp;"'!"&amp;"$"&amp;$D542&amp;$AH$1&amp;"")</f>
        <v>3.8</v>
      </c>
      <c r="AI542" s="296">
        <v>14.12</v>
      </c>
      <c r="AJ542" s="296">
        <v>0.95</v>
      </c>
      <c r="AK542" s="294">
        <v>1.1499999999999999</v>
      </c>
      <c r="AL542" s="293">
        <v>11.9</v>
      </c>
      <c r="AM542" s="297">
        <v>70.7</v>
      </c>
      <c r="AN542" s="293" cm="1">
        <f t="array" aca="1" ref="AN542" ca="1">INDIRECT("'"&amp;$C542&amp;"'!"&amp;"$"&amp;$D542&amp;$AL$1&amp;"")</f>
        <v>4.2</v>
      </c>
      <c r="AO542" s="296">
        <v>0.98</v>
      </c>
      <c r="AP542" s="294">
        <v>0.8</v>
      </c>
      <c r="AQ542" s="295" cm="1">
        <f t="array" aca="1" ref="AQ542" ca="1">INDIRECT("'"&amp;$C542&amp;"'!"&amp;"$"&amp;$D542&amp;$AQ$1&amp;"")</f>
        <v>4.2</v>
      </c>
      <c r="AR542" s="296">
        <v>0.98</v>
      </c>
      <c r="AS542" s="294">
        <v>0.8</v>
      </c>
      <c r="AT542" s="296" cm="1">
        <f t="array" aca="1" ref="AT542" ca="1">INDIRECT("'"&amp;$C542&amp;"'!"&amp;"$"&amp;$D542&amp;$AT$1&amp;"")</f>
        <v>6.1</v>
      </c>
      <c r="AU542" s="295">
        <v>13.8</v>
      </c>
      <c r="AV542" s="296">
        <v>0.98</v>
      </c>
      <c r="AW542" s="294">
        <v>1.1000000000000001</v>
      </c>
      <c r="AX542" s="298">
        <v>14.37</v>
      </c>
      <c r="AY542" s="297">
        <v>71.83</v>
      </c>
      <c r="AZ542" s="298" cm="1">
        <f t="array" aca="1" ref="AZ542" ca="1">INDIRECT("'"&amp;$C542&amp;"'!"&amp;"$"&amp;$D542&amp;$AZ$1&amp;"")</f>
        <v>14.26</v>
      </c>
      <c r="BA542" s="296">
        <v>0.96</v>
      </c>
      <c r="BB542" s="294">
        <v>4.5999999999999996</v>
      </c>
      <c r="BC542" s="299">
        <v>67.7</v>
      </c>
      <c r="BD542" s="293" cm="1">
        <f t="array" aca="1" ref="BD542" ca="1">INDIRECT("'"&amp;$C542&amp;"'!"&amp;"$"&amp;$D542&amp;$BC$1&amp;"")</f>
        <v>3.5999999999999996</v>
      </c>
      <c r="BE542" s="295">
        <v>0.95</v>
      </c>
      <c r="BF542" s="294">
        <v>1.18</v>
      </c>
      <c r="BG542" s="298" cm="1">
        <f t="array" aca="1" ref="BG542" ca="1">INDIRECT("'"&amp;$C542&amp;"'!"&amp;"$"&amp;$D542&amp;$BG$1&amp;"")</f>
        <v>1.56</v>
      </c>
      <c r="BH542" s="296"/>
      <c r="BI542" s="296">
        <v>0.99</v>
      </c>
      <c r="BJ542" s="294">
        <v>0.24</v>
      </c>
      <c r="BK542" s="299" cm="1">
        <f t="array" aca="1" ref="BK542" ca="1">INDIRECT("'"&amp;$C542&amp;"'!"&amp;"$"&amp;$D542&amp;$BK$1&amp;"")</f>
        <v>0.94</v>
      </c>
      <c r="BL542" s="296"/>
      <c r="BM542" s="296">
        <v>0.96</v>
      </c>
      <c r="BN542" s="294">
        <v>0.27</v>
      </c>
    </row>
    <row r="543" spans="1:66" ht="14.45" thickBot="1">
      <c r="A543" s="360">
        <v>45769</v>
      </c>
      <c r="B543" s="358">
        <v>0.54166666666666696</v>
      </c>
      <c r="C543" s="313">
        <f t="shared" si="21"/>
        <v>22</v>
      </c>
      <c r="D543" s="314" t="s">
        <v>140</v>
      </c>
      <c r="E543" s="286">
        <v>14.3</v>
      </c>
      <c r="F543" s="287">
        <v>69.540000000000006</v>
      </c>
      <c r="G543" s="288" cm="1">
        <f t="array" aca="1" ref="G543" ca="1">INDIRECT("'"&amp;$C543&amp;"'!"&amp;"$"&amp;$D543&amp;$E$1&amp;"")</f>
        <v>6.7</v>
      </c>
      <c r="H543" s="289">
        <v>0.92</v>
      </c>
      <c r="I543" s="287">
        <v>2.8</v>
      </c>
      <c r="J543" s="288" cm="1">
        <f t="array" aca="1" ref="J543" ca="1">INDIRECT("'"&amp;$C543&amp;"'!"&amp;"$"&amp;$D543&amp;$J$1&amp;"")</f>
        <v>6.7</v>
      </c>
      <c r="K543" s="289"/>
      <c r="L543" s="289">
        <v>0.92</v>
      </c>
      <c r="M543" s="287">
        <v>2.8</v>
      </c>
      <c r="N543" s="288" cm="1">
        <f t="array" aca="1" ref="N543" ca="1">INDIRECT("'"&amp;$C543&amp;"'!"&amp;"$"&amp;$D543&amp;$N$1&amp;"")</f>
        <v>6.7</v>
      </c>
      <c r="O543" s="289"/>
      <c r="P543" s="289">
        <v>0.92</v>
      </c>
      <c r="Q543" s="287">
        <v>2.8</v>
      </c>
      <c r="R543" s="288" cm="1">
        <f t="array" aca="1" ref="R543" ca="1">INDIRECT("'"&amp;$C543&amp;"'!"&amp;"$"&amp;$D543&amp;$R$1&amp;"")</f>
        <v>6.7</v>
      </c>
      <c r="S543" s="289"/>
      <c r="T543" s="289">
        <v>0.92</v>
      </c>
      <c r="U543" s="287">
        <v>2.8</v>
      </c>
      <c r="V543" s="288" cm="1">
        <f t="array" aca="1" ref="V543" ca="1">INDIRECT("'"&amp;$C543&amp;"'!"&amp;"$"&amp;$D543&amp;$V$1&amp;"")</f>
        <v>2.5</v>
      </c>
      <c r="W543" s="289">
        <f>3.49*3.8</f>
        <v>13.262</v>
      </c>
      <c r="X543" s="289">
        <v>0.9</v>
      </c>
      <c r="Y543" s="290">
        <v>1.21</v>
      </c>
      <c r="Z543" s="286" cm="1">
        <f t="array" aca="1" ref="Z543" ca="1">INDIRECT("'"&amp;$C543&amp;"'!"&amp;"$"&amp;$D543&amp;$Z$1&amp;"")</f>
        <v>0</v>
      </c>
      <c r="AA543" s="289" t="s">
        <v>1</v>
      </c>
      <c r="AB543" s="289" t="s">
        <v>1</v>
      </c>
      <c r="AC543" s="287" t="s">
        <v>1</v>
      </c>
      <c r="AD543" s="288" cm="1">
        <f t="array" aca="1" ref="AD543" ca="1">INDIRECT("'"&amp;$C543&amp;"'!"&amp;"$"&amp;$D543&amp;$AD$1&amp;"")</f>
        <v>3.8</v>
      </c>
      <c r="AE543" s="289">
        <v>13.26</v>
      </c>
      <c r="AF543" s="289">
        <v>0.9</v>
      </c>
      <c r="AG543" s="290">
        <v>1.92</v>
      </c>
      <c r="AH543" s="286" cm="1">
        <f t="array" aca="1" ref="AH543" ca="1">INDIRECT("'"&amp;$C543&amp;"'!"&amp;"$"&amp;$D543&amp;$AH$1&amp;"")</f>
        <v>3.8</v>
      </c>
      <c r="AI543" s="289">
        <v>14.12</v>
      </c>
      <c r="AJ543" s="289">
        <v>0.95</v>
      </c>
      <c r="AK543" s="287">
        <v>1.0900000000000001</v>
      </c>
      <c r="AL543" s="286">
        <v>11.9</v>
      </c>
      <c r="AM543" s="290">
        <v>70.8</v>
      </c>
      <c r="AN543" s="286" cm="1">
        <f t="array" aca="1" ref="AN543" ca="1">INDIRECT("'"&amp;$C543&amp;"'!"&amp;"$"&amp;$D543&amp;$AL$1&amp;"")</f>
        <v>4.0999999999999996</v>
      </c>
      <c r="AO543" s="289">
        <v>0.98</v>
      </c>
      <c r="AP543" s="287">
        <v>0.76</v>
      </c>
      <c r="AQ543" s="288" cm="1">
        <f t="array" aca="1" ref="AQ543" ca="1">INDIRECT("'"&amp;$C543&amp;"'!"&amp;"$"&amp;$D543&amp;$AQ$1&amp;"")</f>
        <v>4.0999999999999996</v>
      </c>
      <c r="AR543" s="289">
        <v>0.98</v>
      </c>
      <c r="AS543" s="287">
        <v>0.71</v>
      </c>
      <c r="AT543" s="289" cm="1">
        <f t="array" aca="1" ref="AT543" ca="1">INDIRECT("'"&amp;$C543&amp;"'!"&amp;"$"&amp;$D543&amp;$AT$1&amp;"")</f>
        <v>5.4</v>
      </c>
      <c r="AU543" s="288">
        <v>13.8</v>
      </c>
      <c r="AV543" s="289">
        <v>0.99</v>
      </c>
      <c r="AW543" s="287">
        <v>0.83399999999999996</v>
      </c>
      <c r="AX543" s="291">
        <v>14.38</v>
      </c>
      <c r="AY543" s="290">
        <v>72.02</v>
      </c>
      <c r="AZ543" s="291" cm="1">
        <f t="array" aca="1" ref="AZ543" ca="1">INDIRECT("'"&amp;$C543&amp;"'!"&amp;"$"&amp;$D543&amp;$AZ$1&amp;"")</f>
        <v>14.28</v>
      </c>
      <c r="BA543" s="289">
        <v>0.96</v>
      </c>
      <c r="BB543" s="287">
        <v>4.5</v>
      </c>
      <c r="BC543" s="292">
        <v>68</v>
      </c>
      <c r="BD543" s="286" cm="1">
        <f t="array" aca="1" ref="BD543" ca="1">INDIRECT("'"&amp;$C543&amp;"'!"&amp;"$"&amp;$D543&amp;$BC$1&amp;"")</f>
        <v>3.5999999999999996</v>
      </c>
      <c r="BE543" s="288">
        <v>0.95</v>
      </c>
      <c r="BF543" s="287">
        <v>1.18</v>
      </c>
      <c r="BG543" s="291" cm="1">
        <f t="array" aca="1" ref="BG543" ca="1">INDIRECT("'"&amp;$C543&amp;"'!"&amp;"$"&amp;$D543&amp;$BG$1&amp;"")</f>
        <v>1.5500000000000003</v>
      </c>
      <c r="BH543" s="289"/>
      <c r="BI543" s="289">
        <v>0.99</v>
      </c>
      <c r="BJ543" s="287">
        <v>0.23</v>
      </c>
      <c r="BK543" s="292" cm="1">
        <f t="array" aca="1" ref="BK543" ca="1">INDIRECT("'"&amp;$C543&amp;"'!"&amp;"$"&amp;$D543&amp;$BK$1&amp;"")</f>
        <v>0.96</v>
      </c>
      <c r="BL543" s="289"/>
      <c r="BM543" s="289">
        <v>0.96</v>
      </c>
      <c r="BN543" s="287">
        <v>0.27</v>
      </c>
    </row>
    <row r="544" spans="1:66" ht="14.45" thickBot="1">
      <c r="A544" s="360">
        <v>45769</v>
      </c>
      <c r="B544" s="358">
        <v>0.58333333333333404</v>
      </c>
      <c r="C544" s="313">
        <f t="shared" si="21"/>
        <v>22</v>
      </c>
      <c r="D544" s="314" t="s">
        <v>141</v>
      </c>
      <c r="E544" s="293">
        <v>14.4</v>
      </c>
      <c r="F544" s="294">
        <v>70.36</v>
      </c>
      <c r="G544" s="295" cm="1">
        <f t="array" aca="1" ref="G544" ca="1">INDIRECT("'"&amp;$C544&amp;"'!"&amp;"$"&amp;$D544&amp;$E$1&amp;"")</f>
        <v>6.5</v>
      </c>
      <c r="H544" s="296">
        <v>0.96</v>
      </c>
      <c r="I544" s="294">
        <v>2.5</v>
      </c>
      <c r="J544" s="295" cm="1">
        <f t="array" aca="1" ref="J544" ca="1">INDIRECT("'"&amp;$C544&amp;"'!"&amp;"$"&amp;$D544&amp;$J$1&amp;"")</f>
        <v>6.5</v>
      </c>
      <c r="K544" s="296"/>
      <c r="L544" s="296">
        <v>0.96</v>
      </c>
      <c r="M544" s="294">
        <v>2.5</v>
      </c>
      <c r="N544" s="295" cm="1">
        <f t="array" aca="1" ref="N544" ca="1">INDIRECT("'"&amp;$C544&amp;"'!"&amp;"$"&amp;$D544&amp;$N$1&amp;"")</f>
        <v>6.5</v>
      </c>
      <c r="O544" s="296"/>
      <c r="P544" s="296">
        <v>0.96</v>
      </c>
      <c r="Q544" s="294">
        <v>2.5</v>
      </c>
      <c r="R544" s="295" cm="1">
        <f t="array" aca="1" ref="R544" ca="1">INDIRECT("'"&amp;$C544&amp;"'!"&amp;"$"&amp;$D544&amp;$R$1&amp;"")</f>
        <v>6.5</v>
      </c>
      <c r="S544" s="296"/>
      <c r="T544" s="296">
        <v>0.96</v>
      </c>
      <c r="U544" s="294">
        <v>2.5</v>
      </c>
      <c r="V544" s="295" cm="1">
        <f t="array" aca="1" ref="V544" ca="1">INDIRECT("'"&amp;$C544&amp;"'!"&amp;"$"&amp;$D544&amp;$V$1&amp;"")</f>
        <v>2.6</v>
      </c>
      <c r="W544" s="296">
        <f>3.8*3.54</f>
        <v>13.452</v>
      </c>
      <c r="X544" s="296">
        <v>0.91</v>
      </c>
      <c r="Y544" s="297">
        <v>0.25</v>
      </c>
      <c r="Z544" s="293" cm="1">
        <f t="array" aca="1" ref="Z544" ca="1">INDIRECT("'"&amp;$C544&amp;"'!"&amp;"$"&amp;$D544&amp;$Z$1&amp;"")</f>
        <v>0</v>
      </c>
      <c r="AA544" s="296" t="s">
        <v>1</v>
      </c>
      <c r="AB544" s="296" t="s">
        <v>1</v>
      </c>
      <c r="AC544" s="294" t="s">
        <v>1</v>
      </c>
      <c r="AD544" s="295" cm="1">
        <f t="array" aca="1" ref="AD544" ca="1">INDIRECT("'"&amp;$C544&amp;"'!"&amp;"$"&amp;$D544&amp;$AD$1&amp;"")</f>
        <v>3.5</v>
      </c>
      <c r="AE544" s="296">
        <f>3.8*3.54</f>
        <v>13.452</v>
      </c>
      <c r="AF544" s="296">
        <v>0.9</v>
      </c>
      <c r="AG544" s="297">
        <v>1.84</v>
      </c>
      <c r="AH544" s="293" cm="1">
        <f t="array" aca="1" ref="AH544" ca="1">INDIRECT("'"&amp;$C544&amp;"'!"&amp;"$"&amp;$D544&amp;$AH$1&amp;"")</f>
        <v>3.8</v>
      </c>
      <c r="AI544" s="296">
        <v>14.12</v>
      </c>
      <c r="AJ544" s="296">
        <v>0.9</v>
      </c>
      <c r="AK544" s="294">
        <v>1.84</v>
      </c>
      <c r="AL544" s="293">
        <v>11.9</v>
      </c>
      <c r="AM544" s="297">
        <v>70.8</v>
      </c>
      <c r="AN544" s="293" t="str" cm="1">
        <f t="array" aca="1" ref="AN544" ca="1">INDIRECT("'"&amp;$C544&amp;"'!"&amp;"$"&amp;$D544&amp;$AL$1&amp;"")</f>
        <v>CMS</v>
      </c>
      <c r="AO544" s="296" t="s">
        <v>1</v>
      </c>
      <c r="AP544" s="294" t="s">
        <v>1</v>
      </c>
      <c r="AQ544" s="295" cm="1">
        <f t="array" aca="1" ref="AQ544" ca="1">INDIRECT("'"&amp;$C544&amp;"'!"&amp;"$"&amp;$D544&amp;$AQ$1&amp;"")</f>
        <v>4</v>
      </c>
      <c r="AR544" s="296">
        <v>0.96</v>
      </c>
      <c r="AS544" s="294">
        <v>1.08</v>
      </c>
      <c r="AT544" s="296" cm="1">
        <f t="array" aca="1" ref="AT544" ca="1">INDIRECT("'"&amp;$C544&amp;"'!"&amp;"$"&amp;$D544&amp;$AT$1&amp;"")</f>
        <v>5.3</v>
      </c>
      <c r="AU544" s="295">
        <v>13.8</v>
      </c>
      <c r="AV544" s="296">
        <v>0.99</v>
      </c>
      <c r="AW544" s="294">
        <v>0.61199999999999999</v>
      </c>
      <c r="AX544" s="298">
        <v>14.4</v>
      </c>
      <c r="AY544" s="297">
        <v>72.09</v>
      </c>
      <c r="AZ544" s="298" cm="1">
        <f t="array" aca="1" ref="AZ544" ca="1">INDIRECT("'"&amp;$C544&amp;"'!"&amp;"$"&amp;$D544&amp;$AZ$1&amp;"")</f>
        <v>14.29</v>
      </c>
      <c r="BA544" s="296">
        <v>0.96</v>
      </c>
      <c r="BB544" s="294">
        <v>4.5</v>
      </c>
      <c r="BC544" s="299">
        <v>69</v>
      </c>
      <c r="BD544" s="293" cm="1">
        <f t="array" aca="1" ref="BD544" ca="1">INDIRECT("'"&amp;$C544&amp;"'!"&amp;"$"&amp;$D544&amp;$BC$1&amp;"")</f>
        <v>3.5999999999999996</v>
      </c>
      <c r="BE544" s="295">
        <v>0.95</v>
      </c>
      <c r="BF544" s="294">
        <v>1.1000000000000001</v>
      </c>
      <c r="BG544" s="298" cm="1">
        <f t="array" aca="1" ref="BG544" ca="1">INDIRECT("'"&amp;$C544&amp;"'!"&amp;"$"&amp;$D544&amp;$BG$1&amp;"")</f>
        <v>1.55</v>
      </c>
      <c r="BH544" s="296"/>
      <c r="BI544" s="296">
        <v>0.99</v>
      </c>
      <c r="BJ544" s="294">
        <v>0.24</v>
      </c>
      <c r="BK544" s="299" cm="1">
        <f t="array" aca="1" ref="BK544" ca="1">INDIRECT("'"&amp;$C544&amp;"'!"&amp;"$"&amp;$D544&amp;$BK$1&amp;"")</f>
        <v>0.9</v>
      </c>
      <c r="BL544" s="296"/>
      <c r="BM544" s="296">
        <v>0.96</v>
      </c>
      <c r="BN544" s="294">
        <v>0.25</v>
      </c>
    </row>
    <row r="545" spans="1:66" ht="14.45" thickBot="1">
      <c r="A545" s="360">
        <v>45769</v>
      </c>
      <c r="B545" s="358">
        <v>0.625</v>
      </c>
      <c r="C545" s="313">
        <f t="shared" si="21"/>
        <v>22</v>
      </c>
      <c r="D545" s="314" t="s">
        <v>142</v>
      </c>
      <c r="E545" s="286">
        <v>14.2</v>
      </c>
      <c r="F545" s="287">
        <v>69.599999999999994</v>
      </c>
      <c r="G545" s="288" cm="1">
        <f t="array" aca="1" ref="G545" ca="1">INDIRECT("'"&amp;$C545&amp;"'!"&amp;"$"&amp;$D545&amp;$E$1&amp;"")</f>
        <v>6.5</v>
      </c>
      <c r="H545" s="289">
        <v>0.91</v>
      </c>
      <c r="I545" s="287">
        <v>3.09</v>
      </c>
      <c r="J545" s="288" cm="1">
        <f t="array" aca="1" ref="J545" ca="1">INDIRECT("'"&amp;$C545&amp;"'!"&amp;"$"&amp;$D545&amp;$J$1&amp;"")</f>
        <v>6.5</v>
      </c>
      <c r="K545" s="289"/>
      <c r="L545" s="289">
        <v>0.91</v>
      </c>
      <c r="M545" s="287">
        <v>3.09</v>
      </c>
      <c r="N545" s="288" cm="1">
        <f t="array" aca="1" ref="N545" ca="1">INDIRECT("'"&amp;$C545&amp;"'!"&amp;"$"&amp;$D545&amp;$N$1&amp;"")</f>
        <v>6.5</v>
      </c>
      <c r="O545" s="289"/>
      <c r="P545" s="289">
        <v>0.91</v>
      </c>
      <c r="Q545" s="287">
        <v>3.09</v>
      </c>
      <c r="R545" s="288" cm="1">
        <f t="array" aca="1" ref="R545" ca="1">INDIRECT("'"&amp;$C545&amp;"'!"&amp;"$"&amp;$D545&amp;$R$1&amp;"")</f>
        <v>6.5</v>
      </c>
      <c r="S545" s="289"/>
      <c r="T545" s="289">
        <v>0.91</v>
      </c>
      <c r="U545" s="287">
        <v>3.09</v>
      </c>
      <c r="V545" s="288" cm="1">
        <f t="array" aca="1" ref="V545" ca="1">INDIRECT("'"&amp;$C545&amp;"'!"&amp;"$"&amp;$D545&amp;$V$1&amp;"")</f>
        <v>2.8</v>
      </c>
      <c r="W545" s="289">
        <f>3.8*3.5</f>
        <v>13.299999999999999</v>
      </c>
      <c r="X545" s="289">
        <v>0.9</v>
      </c>
      <c r="Y545" s="290">
        <v>1.35</v>
      </c>
      <c r="Z545" s="286" cm="1">
        <f t="array" aca="1" ref="Z545" ca="1">INDIRECT("'"&amp;$C545&amp;"'!"&amp;"$"&amp;$D545&amp;$Z$1&amp;"")</f>
        <v>0</v>
      </c>
      <c r="AA545" s="289" t="s">
        <v>1</v>
      </c>
      <c r="AB545" s="289" t="s">
        <v>1</v>
      </c>
      <c r="AC545" s="287" t="s">
        <v>1</v>
      </c>
      <c r="AD545" s="288" cm="1">
        <f t="array" aca="1" ref="AD545" ca="1">INDIRECT("'"&amp;$C545&amp;"'!"&amp;"$"&amp;$D545&amp;$AD$1&amp;"")</f>
        <v>3.8</v>
      </c>
      <c r="AE545" s="289">
        <f>3.8*3.5</f>
        <v>13.299999999999999</v>
      </c>
      <c r="AF545" s="289">
        <v>0.9</v>
      </c>
      <c r="AG545" s="290">
        <v>1.85</v>
      </c>
      <c r="AH545" s="286" cm="1">
        <f t="array" aca="1" ref="AH545" ca="1">INDIRECT("'"&amp;$C545&amp;"'!"&amp;"$"&amp;$D545&amp;$AH$1&amp;"")</f>
        <v>3.8</v>
      </c>
      <c r="AI545" s="289">
        <v>14.12</v>
      </c>
      <c r="AJ545" s="289">
        <v>0.95</v>
      </c>
      <c r="AK545" s="287">
        <v>1.0900000000000001</v>
      </c>
      <c r="AL545" s="286">
        <v>11.9</v>
      </c>
      <c r="AM545" s="290">
        <v>70.8</v>
      </c>
      <c r="AN545" s="286" cm="1">
        <f t="array" aca="1" ref="AN545" ca="1">INDIRECT("'"&amp;$C545&amp;"'!"&amp;"$"&amp;$D545&amp;$AL$1&amp;"")</f>
        <v>2.7</v>
      </c>
      <c r="AO545" s="289">
        <v>0.99</v>
      </c>
      <c r="AP545" s="287">
        <v>7.0000000000000007E-2</v>
      </c>
      <c r="AQ545" s="288" cm="1">
        <f t="array" aca="1" ref="AQ545" ca="1">INDIRECT("'"&amp;$C545&amp;"'!"&amp;"$"&amp;$D545&amp;$AQ$1&amp;"")</f>
        <v>2.7</v>
      </c>
      <c r="AR545" s="289">
        <v>0.96</v>
      </c>
      <c r="AS545" s="287">
        <v>1.05</v>
      </c>
      <c r="AT545" s="289" cm="1">
        <f t="array" aca="1" ref="AT545" ca="1">INDIRECT("'"&amp;$C545&amp;"'!"&amp;"$"&amp;$D545&amp;$AT$1&amp;"")</f>
        <v>8.1</v>
      </c>
      <c r="AU545" s="288">
        <v>13.8</v>
      </c>
      <c r="AV545" s="289">
        <v>0.99</v>
      </c>
      <c r="AW545" s="287">
        <v>0.84699999999999998</v>
      </c>
      <c r="AX545" s="291">
        <v>14.38</v>
      </c>
      <c r="AY545" s="290">
        <v>71.959999999999994</v>
      </c>
      <c r="AZ545" s="291" cm="1">
        <f t="array" aca="1" ref="AZ545" ca="1">INDIRECT("'"&amp;$C545&amp;"'!"&amp;"$"&amp;$D545&amp;$AZ$1&amp;"")</f>
        <v>14.28</v>
      </c>
      <c r="BA545" s="289">
        <v>0.96</v>
      </c>
      <c r="BB545" s="287">
        <v>4.5999999999999996</v>
      </c>
      <c r="BC545" s="292">
        <v>68.099999999999994</v>
      </c>
      <c r="BD545" s="286" cm="1">
        <f t="array" aca="1" ref="BD545" ca="1">INDIRECT("'"&amp;$C545&amp;"'!"&amp;"$"&amp;$D545&amp;$BC$1&amp;"")</f>
        <v>4.4000000000000004</v>
      </c>
      <c r="BE545" s="288">
        <v>0.95</v>
      </c>
      <c r="BF545" s="287">
        <v>1.59</v>
      </c>
      <c r="BG545" s="291" cm="1">
        <f t="array" aca="1" ref="BG545" ca="1">INDIRECT("'"&amp;$C545&amp;"'!"&amp;"$"&amp;$D545&amp;$BG$1&amp;"")</f>
        <v>1.58</v>
      </c>
      <c r="BH545" s="289"/>
      <c r="BI545" s="289">
        <v>0.99</v>
      </c>
      <c r="BJ545" s="287">
        <v>0.24</v>
      </c>
      <c r="BK545" s="292" cm="1">
        <f t="array" aca="1" ref="BK545" ca="1">INDIRECT("'"&amp;$C545&amp;"'!"&amp;"$"&amp;$D545&amp;$BK$1&amp;"")</f>
        <v>0.92</v>
      </c>
      <c r="BL545" s="289"/>
      <c r="BM545" s="289">
        <v>0.9</v>
      </c>
      <c r="BN545" s="287">
        <v>0.25</v>
      </c>
    </row>
    <row r="546" spans="1:66" ht="14.45" thickBot="1">
      <c r="A546" s="360">
        <v>45769</v>
      </c>
      <c r="B546" s="358">
        <v>0.66666666666666696</v>
      </c>
      <c r="C546" s="313">
        <f t="shared" si="21"/>
        <v>22</v>
      </c>
      <c r="D546" s="314" t="s">
        <v>143</v>
      </c>
      <c r="E546" s="293">
        <v>14.2</v>
      </c>
      <c r="F546" s="294">
        <v>69.38</v>
      </c>
      <c r="G546" s="295" cm="1">
        <f t="array" aca="1" ref="G546" ca="1">INDIRECT("'"&amp;$C546&amp;"'!"&amp;"$"&amp;$D546&amp;$E$1&amp;"")</f>
        <v>6.7</v>
      </c>
      <c r="H546" s="296">
        <v>0.91</v>
      </c>
      <c r="I546" s="294">
        <v>3.14</v>
      </c>
      <c r="J546" s="295" cm="1">
        <f t="array" aca="1" ref="J546" ca="1">INDIRECT("'"&amp;$C546&amp;"'!"&amp;"$"&amp;$D546&amp;$J$1&amp;"")</f>
        <v>6.7</v>
      </c>
      <c r="K546" s="296"/>
      <c r="L546" s="296">
        <v>0.91</v>
      </c>
      <c r="M546" s="294">
        <v>3.14</v>
      </c>
      <c r="N546" s="295" cm="1">
        <f t="array" aca="1" ref="N546" ca="1">INDIRECT("'"&amp;$C546&amp;"'!"&amp;"$"&amp;$D546&amp;$N$1&amp;"")</f>
        <v>6.7</v>
      </c>
      <c r="O546" s="296"/>
      <c r="P546" s="296">
        <v>0.91</v>
      </c>
      <c r="Q546" s="294">
        <v>3.14</v>
      </c>
      <c r="R546" s="295" cm="1">
        <f t="array" aca="1" ref="R546" ca="1">INDIRECT("'"&amp;$C546&amp;"'!"&amp;"$"&amp;$D546&amp;$R$1&amp;"")</f>
        <v>6.7</v>
      </c>
      <c r="S546" s="296"/>
      <c r="T546" s="296">
        <v>0.91</v>
      </c>
      <c r="U546" s="294">
        <v>3.14</v>
      </c>
      <c r="V546" s="295" cm="1">
        <f t="array" aca="1" ref="V546" ca="1">INDIRECT("'"&amp;$C546&amp;"'!"&amp;"$"&amp;$D546&amp;$V$1&amp;"")</f>
        <v>2.8</v>
      </c>
      <c r="W546" s="296">
        <f>3.8*3.49</f>
        <v>13.262</v>
      </c>
      <c r="X546" s="296">
        <v>0.9</v>
      </c>
      <c r="Y546" s="297">
        <v>1.3</v>
      </c>
      <c r="Z546" s="293" cm="1">
        <f t="array" aca="1" ref="Z546" ca="1">INDIRECT("'"&amp;$C546&amp;"'!"&amp;"$"&amp;$D546&amp;$Z$1&amp;"")</f>
        <v>0</v>
      </c>
      <c r="AA546" s="296" t="s">
        <v>1</v>
      </c>
      <c r="AB546" s="296" t="s">
        <v>1</v>
      </c>
      <c r="AC546" s="294" t="s">
        <v>1</v>
      </c>
      <c r="AD546" s="295" cm="1">
        <f t="array" aca="1" ref="AD546" ca="1">INDIRECT("'"&amp;$C546&amp;"'!"&amp;"$"&amp;$D546&amp;$AD$1&amp;"")</f>
        <v>3.8</v>
      </c>
      <c r="AE546" s="296">
        <f>3.8*3.49</f>
        <v>13.262</v>
      </c>
      <c r="AF546" s="296">
        <v>0.9</v>
      </c>
      <c r="AG546" s="297">
        <v>1.91</v>
      </c>
      <c r="AH546" s="293" cm="1">
        <f t="array" aca="1" ref="AH546" ca="1">INDIRECT("'"&amp;$C546&amp;"'!"&amp;"$"&amp;$D546&amp;$AH$1&amp;"")</f>
        <v>3.8</v>
      </c>
      <c r="AI546" s="296">
        <v>14.04</v>
      </c>
      <c r="AJ546" s="296">
        <v>0.93</v>
      </c>
      <c r="AK546" s="294">
        <v>1.43</v>
      </c>
      <c r="AL546" s="293">
        <v>11.9</v>
      </c>
      <c r="AM546" s="297">
        <v>70.7</v>
      </c>
      <c r="AN546" s="293" cm="1">
        <f t="array" aca="1" ref="AN546" ca="1">INDIRECT("'"&amp;$C546&amp;"'!"&amp;"$"&amp;$D546&amp;$AL$1&amp;"")</f>
        <v>4.2</v>
      </c>
      <c r="AO546" s="296">
        <v>0.98</v>
      </c>
      <c r="AP546" s="294">
        <v>0.71</v>
      </c>
      <c r="AQ546" s="295" cm="1">
        <f t="array" aca="1" ref="AQ546" ca="1">INDIRECT("'"&amp;$C546&amp;"'!"&amp;"$"&amp;$D546&amp;$AQ$1&amp;"")</f>
        <v>4.2</v>
      </c>
      <c r="AR546" s="296">
        <v>0.98</v>
      </c>
      <c r="AS546" s="294">
        <v>0.66</v>
      </c>
      <c r="AT546" s="296" cm="1">
        <f t="array" aca="1" ref="AT546" ca="1">INDIRECT("'"&amp;$C546&amp;"'!"&amp;"$"&amp;$D546&amp;$AT$1&amp;"")</f>
        <v>5.4</v>
      </c>
      <c r="AU546" s="295">
        <v>13.8</v>
      </c>
      <c r="AV546" s="296">
        <v>0.94</v>
      </c>
      <c r="AW546" s="294">
        <v>1.95</v>
      </c>
      <c r="AX546" s="298">
        <v>14.23</v>
      </c>
      <c r="AY546" s="297">
        <v>71.540000000000006</v>
      </c>
      <c r="AZ546" s="298" cm="1">
        <f t="array" aca="1" ref="AZ546" ca="1">INDIRECT("'"&amp;$C546&amp;"'!"&amp;"$"&amp;$D546&amp;$AZ$1&amp;"")</f>
        <v>14.28</v>
      </c>
      <c r="BA546" s="296">
        <v>0.98</v>
      </c>
      <c r="BB546" s="294">
        <v>3.5</v>
      </c>
      <c r="BC546" s="299">
        <v>68</v>
      </c>
      <c r="BD546" s="293" cm="1">
        <f t="array" aca="1" ref="BD546" ca="1">INDIRECT("'"&amp;$C546&amp;"'!"&amp;"$"&amp;$D546&amp;$BC$1&amp;"")</f>
        <v>2.9000000000000004</v>
      </c>
      <c r="BE546" s="295">
        <v>0.95</v>
      </c>
      <c r="BF546" s="294">
        <v>0.95</v>
      </c>
      <c r="BG546" s="298" cm="1">
        <f t="array" aca="1" ref="BG546" ca="1">INDIRECT("'"&amp;$C546&amp;"'!"&amp;"$"&amp;$D546&amp;$BG$1&amp;"")</f>
        <v>1.56</v>
      </c>
      <c r="BH546" s="296"/>
      <c r="BI546" s="296">
        <v>0.99</v>
      </c>
      <c r="BJ546" s="294">
        <v>0.24</v>
      </c>
      <c r="BK546" s="299" cm="1">
        <f t="array" aca="1" ref="BK546" ca="1">INDIRECT("'"&amp;$C546&amp;"'!"&amp;"$"&amp;$D546&amp;$BK$1&amp;"")</f>
        <v>0.91</v>
      </c>
      <c r="BL546" s="296"/>
      <c r="BM546" s="296">
        <v>0.96</v>
      </c>
      <c r="BN546" s="294">
        <v>0.26</v>
      </c>
    </row>
    <row r="547" spans="1:66" ht="14.45" thickBot="1">
      <c r="A547" s="360">
        <v>45769</v>
      </c>
      <c r="B547" s="358">
        <v>0.70833333333333404</v>
      </c>
      <c r="C547" s="313">
        <f t="shared" si="21"/>
        <v>22</v>
      </c>
      <c r="D547" s="314" t="s">
        <v>144</v>
      </c>
      <c r="E547" s="286">
        <v>14.3</v>
      </c>
      <c r="F547" s="287">
        <v>69.48</v>
      </c>
      <c r="G547" s="288" cm="1">
        <f t="array" aca="1" ref="G547" ca="1">INDIRECT("'"&amp;$C547&amp;"'!"&amp;"$"&amp;$D547&amp;$E$1&amp;"")</f>
        <v>6.5</v>
      </c>
      <c r="H547" s="289">
        <v>0.91</v>
      </c>
      <c r="I547" s="287">
        <v>2.98</v>
      </c>
      <c r="J547" s="288" cm="1">
        <f t="array" aca="1" ref="J547" ca="1">INDIRECT("'"&amp;$C547&amp;"'!"&amp;"$"&amp;$D547&amp;$J$1&amp;"")</f>
        <v>6.5</v>
      </c>
      <c r="K547" s="289"/>
      <c r="L547" s="289">
        <v>0.91</v>
      </c>
      <c r="M547" s="287">
        <v>2.98</v>
      </c>
      <c r="N547" s="288" cm="1">
        <f t="array" aca="1" ref="N547" ca="1">INDIRECT("'"&amp;$C547&amp;"'!"&amp;"$"&amp;$D547&amp;$N$1&amp;"")</f>
        <v>6.5</v>
      </c>
      <c r="O547" s="289"/>
      <c r="P547" s="289">
        <v>0.91</v>
      </c>
      <c r="Q547" s="287">
        <v>2.98</v>
      </c>
      <c r="R547" s="288" cm="1">
        <f t="array" aca="1" ref="R547" ca="1">INDIRECT("'"&amp;$C547&amp;"'!"&amp;"$"&amp;$D547&amp;$R$1&amp;"")</f>
        <v>6.5</v>
      </c>
      <c r="S547" s="289"/>
      <c r="T547" s="289">
        <v>0.91</v>
      </c>
      <c r="U547" s="287">
        <v>2.98</v>
      </c>
      <c r="V547" s="288" cm="1">
        <f t="array" aca="1" ref="V547" ca="1">INDIRECT("'"&amp;$C547&amp;"'!"&amp;"$"&amp;$D547&amp;$V$1&amp;"")</f>
        <v>2.8</v>
      </c>
      <c r="W547" s="289">
        <f>3.8*3.49</f>
        <v>13.262</v>
      </c>
      <c r="X547" s="289">
        <v>0.91</v>
      </c>
      <c r="Y547" s="290">
        <v>1.1499999999999999</v>
      </c>
      <c r="Z547" s="286" cm="1">
        <f t="array" aca="1" ref="Z547" ca="1">INDIRECT("'"&amp;$C547&amp;"'!"&amp;"$"&amp;$D547&amp;$Z$1&amp;"")</f>
        <v>0</v>
      </c>
      <c r="AA547" s="289" t="s">
        <v>1</v>
      </c>
      <c r="AB547" s="289" t="s">
        <v>1</v>
      </c>
      <c r="AC547" s="287" t="s">
        <v>1</v>
      </c>
      <c r="AD547" s="288" cm="1">
        <f t="array" aca="1" ref="AD547" ca="1">INDIRECT("'"&amp;$C547&amp;"'!"&amp;"$"&amp;$D547&amp;$AD$1&amp;"")</f>
        <v>3.8</v>
      </c>
      <c r="AE547" s="289">
        <f>3.8*3.49</f>
        <v>13.262</v>
      </c>
      <c r="AF547" s="289">
        <v>0.91</v>
      </c>
      <c r="AG547" s="290">
        <v>1.73</v>
      </c>
      <c r="AH547" s="286" cm="1">
        <f t="array" aca="1" ref="AH547" ca="1">INDIRECT("'"&amp;$C547&amp;"'!"&amp;"$"&amp;$D547&amp;$AH$1&amp;"")</f>
        <v>3.8</v>
      </c>
      <c r="AI547" s="289">
        <v>14.12</v>
      </c>
      <c r="AJ547" s="289">
        <v>0.95</v>
      </c>
      <c r="AK547" s="287">
        <v>1.02</v>
      </c>
      <c r="AL547" s="286">
        <v>11.9</v>
      </c>
      <c r="AM547" s="290">
        <v>70.900000000000006</v>
      </c>
      <c r="AN547" s="286" cm="1">
        <f t="array" aca="1" ref="AN547" ca="1">INDIRECT("'"&amp;$C547&amp;"'!"&amp;"$"&amp;$D547&amp;$AL$1&amp;"")</f>
        <v>4</v>
      </c>
      <c r="AO547" s="289">
        <v>0.98</v>
      </c>
      <c r="AP547" s="287">
        <v>0.6</v>
      </c>
      <c r="AQ547" s="288" cm="1">
        <f t="array" aca="1" ref="AQ547" ca="1">INDIRECT("'"&amp;$C547&amp;"'!"&amp;"$"&amp;$D547&amp;$AQ$1&amp;"")</f>
        <v>4</v>
      </c>
      <c r="AR547" s="289">
        <v>0.98</v>
      </c>
      <c r="AS547" s="287">
        <v>0.55000000000000004</v>
      </c>
      <c r="AT547" s="289" cm="1">
        <f t="array" aca="1" ref="AT547" ca="1">INDIRECT("'"&amp;$C547&amp;"'!"&amp;"$"&amp;$D547&amp;$AT$1&amp;"")</f>
        <v>4.5</v>
      </c>
      <c r="AU547" s="288">
        <v>13.8</v>
      </c>
      <c r="AV547" s="289">
        <v>0.92</v>
      </c>
      <c r="AW547" s="287">
        <v>1.64</v>
      </c>
      <c r="AX547" s="291">
        <v>14.32</v>
      </c>
      <c r="AY547" s="290">
        <v>71.98</v>
      </c>
      <c r="AZ547" s="291" cm="1">
        <f t="array" aca="1" ref="AZ547" ca="1">INDIRECT("'"&amp;$C547&amp;"'!"&amp;"$"&amp;$D547&amp;$AZ$1&amp;"")</f>
        <v>14.25</v>
      </c>
      <c r="BA547" s="289">
        <v>0.98</v>
      </c>
      <c r="BB547" s="287">
        <v>3.5</v>
      </c>
      <c r="BC547" s="292">
        <v>68.099999999999994</v>
      </c>
      <c r="BD547" s="286" cm="1">
        <f t="array" aca="1" ref="BD547" ca="1">INDIRECT("'"&amp;$C547&amp;"'!"&amp;"$"&amp;$D547&amp;$BC$1&amp;"")</f>
        <v>2.2999999999999998</v>
      </c>
      <c r="BE547" s="288">
        <v>0.95</v>
      </c>
      <c r="BF547" s="287">
        <v>0.75</v>
      </c>
      <c r="BG547" s="291" cm="1">
        <f t="array" aca="1" ref="BG547" ca="1">INDIRECT("'"&amp;$C547&amp;"'!"&amp;"$"&amp;$D547&amp;$BG$1&amp;"")</f>
        <v>1.39</v>
      </c>
      <c r="BH547" s="289"/>
      <c r="BI547" s="289">
        <v>0.99</v>
      </c>
      <c r="BJ547" s="287">
        <v>0.21</v>
      </c>
      <c r="BK547" s="292" cm="1">
        <f t="array" aca="1" ref="BK547" ca="1">INDIRECT("'"&amp;$C547&amp;"'!"&amp;"$"&amp;$D547&amp;$BK$1&amp;"")</f>
        <v>0.88</v>
      </c>
      <c r="BL547" s="289"/>
      <c r="BM547" s="289">
        <v>0.96</v>
      </c>
      <c r="BN547" s="287">
        <v>0.24</v>
      </c>
    </row>
    <row r="548" spans="1:66" ht="14.45" thickBot="1">
      <c r="A548" s="360">
        <v>45769</v>
      </c>
      <c r="B548" s="358">
        <v>0.750000000000001</v>
      </c>
      <c r="C548" s="313">
        <f t="shared" si="21"/>
        <v>22</v>
      </c>
      <c r="D548" s="314" t="s">
        <v>145</v>
      </c>
      <c r="E548" s="293">
        <v>14.08</v>
      </c>
      <c r="F548" s="294">
        <v>69.69</v>
      </c>
      <c r="G548" s="295" cm="1">
        <f t="array" aca="1" ref="G548" ca="1">INDIRECT("'"&amp;$C548&amp;"'!"&amp;"$"&amp;$D548&amp;$E$1&amp;"")</f>
        <v>6.6</v>
      </c>
      <c r="H548" s="296">
        <v>0.92</v>
      </c>
      <c r="I548" s="294">
        <v>2.7</v>
      </c>
      <c r="J548" s="295" cm="1">
        <f t="array" aca="1" ref="J548" ca="1">INDIRECT("'"&amp;$C548&amp;"'!"&amp;"$"&amp;$D548&amp;$J$1&amp;"")</f>
        <v>6.6</v>
      </c>
      <c r="K548" s="296"/>
      <c r="L548" s="296">
        <v>0.92</v>
      </c>
      <c r="M548" s="294">
        <v>2.7</v>
      </c>
      <c r="N548" s="295" cm="1">
        <f t="array" aca="1" ref="N548" ca="1">INDIRECT("'"&amp;$C548&amp;"'!"&amp;"$"&amp;$D548&amp;$N$1&amp;"")</f>
        <v>6.6</v>
      </c>
      <c r="O548" s="296"/>
      <c r="P548" s="296">
        <v>0.92</v>
      </c>
      <c r="Q548" s="294">
        <v>2.7</v>
      </c>
      <c r="R548" s="295" cm="1">
        <f t="array" aca="1" ref="R548" ca="1">INDIRECT("'"&amp;$C548&amp;"'!"&amp;"$"&amp;$D548&amp;$R$1&amp;"")</f>
        <v>6.6</v>
      </c>
      <c r="S548" s="296"/>
      <c r="T548" s="296">
        <v>0.92</v>
      </c>
      <c r="U548" s="294">
        <v>2.7</v>
      </c>
      <c r="V548" s="295" cm="1">
        <f t="array" aca="1" ref="V548" ca="1">INDIRECT("'"&amp;$C548&amp;"'!"&amp;"$"&amp;$D548&amp;$V$1&amp;"")</f>
        <v>2</v>
      </c>
      <c r="W548" s="296">
        <f>3.8*3.51</f>
        <v>13.337999999999999</v>
      </c>
      <c r="X548" s="296">
        <v>0.92</v>
      </c>
      <c r="Y548" s="297">
        <v>1.01</v>
      </c>
      <c r="Z548" s="293" cm="1">
        <f t="array" aca="1" ref="Z548" ca="1">INDIRECT("'"&amp;$C548&amp;"'!"&amp;"$"&amp;$D548&amp;$Z$1&amp;"")</f>
        <v>0</v>
      </c>
      <c r="AA548" s="296" t="s">
        <v>1</v>
      </c>
      <c r="AB548" s="296" t="s">
        <v>1</v>
      </c>
      <c r="AC548" s="294" t="s">
        <v>1</v>
      </c>
      <c r="AD548" s="295" cm="1">
        <f t="array" aca="1" ref="AD548" ca="1">INDIRECT("'"&amp;$C548&amp;"'!"&amp;"$"&amp;$D548&amp;$AD$1&amp;"")</f>
        <v>3</v>
      </c>
      <c r="AE548" s="296">
        <f>3.8*3.51</f>
        <v>13.337999999999999</v>
      </c>
      <c r="AF548" s="296">
        <v>0.91</v>
      </c>
      <c r="AG548" s="297">
        <v>1.69</v>
      </c>
      <c r="AH548" s="293" cm="1">
        <f t="array" aca="1" ref="AH548" ca="1">INDIRECT("'"&amp;$C548&amp;"'!"&amp;"$"&amp;$D548&amp;$AH$1&amp;"")</f>
        <v>3</v>
      </c>
      <c r="AI548" s="296">
        <v>14.08</v>
      </c>
      <c r="AJ548" s="296">
        <v>0.96</v>
      </c>
      <c r="AK548" s="294">
        <v>0.876</v>
      </c>
      <c r="AL548" s="293">
        <v>11.9</v>
      </c>
      <c r="AM548" s="297">
        <v>70.8</v>
      </c>
      <c r="AN548" s="293" cm="1">
        <f t="array" aca="1" ref="AN548" ca="1">INDIRECT("'"&amp;$C548&amp;"'!"&amp;"$"&amp;$D548&amp;$AL$1&amp;"")</f>
        <v>4</v>
      </c>
      <c r="AO548" s="296">
        <v>0.98</v>
      </c>
      <c r="AP548" s="294">
        <v>0.7</v>
      </c>
      <c r="AQ548" s="295" cm="1">
        <f t="array" aca="1" ref="AQ548" ca="1">INDIRECT("'"&amp;$C548&amp;"'!"&amp;"$"&amp;$D548&amp;$AQ$1&amp;"")</f>
        <v>4</v>
      </c>
      <c r="AR548" s="296">
        <v>0.98</v>
      </c>
      <c r="AS548" s="294">
        <v>0.6</v>
      </c>
      <c r="AT548" s="296" cm="1">
        <f t="array" aca="1" ref="AT548" ca="1">INDIRECT("'"&amp;$C548&amp;"'!"&amp;"$"&amp;$D548&amp;$AT$1&amp;"")</f>
        <v>2.8</v>
      </c>
      <c r="AU548" s="295">
        <v>13.8</v>
      </c>
      <c r="AV548" s="296">
        <v>0.94</v>
      </c>
      <c r="AW548" s="294">
        <v>1.04</v>
      </c>
      <c r="AX548" s="298">
        <v>14.33</v>
      </c>
      <c r="AY548" s="297">
        <v>72.02</v>
      </c>
      <c r="AZ548" s="298" cm="1">
        <f t="array" aca="1" ref="AZ548" ca="1">INDIRECT("'"&amp;$C548&amp;"'!"&amp;"$"&amp;$D548&amp;$AZ$1&amp;"")</f>
        <v>14.26</v>
      </c>
      <c r="BA548" s="296">
        <v>0.98</v>
      </c>
      <c r="BB548" s="294">
        <v>3.5</v>
      </c>
      <c r="BC548" s="299">
        <v>68.400000000000006</v>
      </c>
      <c r="BD548" s="293" cm="1">
        <f t="array" aca="1" ref="BD548" ca="1">INDIRECT("'"&amp;$C548&amp;"'!"&amp;"$"&amp;$D548&amp;$BC$1&amp;"")</f>
        <v>0.8</v>
      </c>
      <c r="BE548" s="295">
        <v>0.95</v>
      </c>
      <c r="BF548" s="294">
        <v>0.26</v>
      </c>
      <c r="BG548" s="298" cm="1">
        <f t="array" aca="1" ref="BG548" ca="1">INDIRECT("'"&amp;$C548&amp;"'!"&amp;"$"&amp;$D548&amp;$BG$1&amp;"")</f>
        <v>1.29</v>
      </c>
      <c r="BH548" s="296"/>
      <c r="BI548" s="296">
        <v>0.99</v>
      </c>
      <c r="BJ548" s="294">
        <v>0.18</v>
      </c>
      <c r="BK548" s="299" cm="1">
        <f t="array" aca="1" ref="BK548" ca="1">INDIRECT("'"&amp;$C548&amp;"'!"&amp;"$"&amp;$D548&amp;$BK$1&amp;"")</f>
        <v>0.87</v>
      </c>
      <c r="BL548" s="296"/>
      <c r="BM548" s="296">
        <v>0.96</v>
      </c>
      <c r="BN548" s="294">
        <v>0.24</v>
      </c>
    </row>
    <row r="549" spans="1:66" ht="14.45" thickBot="1">
      <c r="A549" s="360">
        <v>45769</v>
      </c>
      <c r="B549" s="358">
        <v>0.79166666666666663</v>
      </c>
      <c r="C549" s="313">
        <f t="shared" si="21"/>
        <v>22</v>
      </c>
      <c r="D549" s="314" t="s">
        <v>146</v>
      </c>
      <c r="E549" s="286">
        <v>14.2</v>
      </c>
      <c r="F549" s="287">
        <v>69.56</v>
      </c>
      <c r="G549" s="288" cm="1">
        <f t="array" aca="1" ref="G549" ca="1">INDIRECT("'"&amp;$C549&amp;"'!"&amp;"$"&amp;$D549&amp;$E$1&amp;"")</f>
        <v>6.6</v>
      </c>
      <c r="H549" s="289">
        <v>0.94</v>
      </c>
      <c r="I549" s="287">
        <v>2.4</v>
      </c>
      <c r="J549" s="288" cm="1">
        <f t="array" aca="1" ref="J549" ca="1">INDIRECT("'"&amp;$C549&amp;"'!"&amp;"$"&amp;$D549&amp;$J$1&amp;"")</f>
        <v>6.6</v>
      </c>
      <c r="K549" s="300"/>
      <c r="L549" s="289">
        <v>0.94</v>
      </c>
      <c r="M549" s="287">
        <v>2.4</v>
      </c>
      <c r="N549" s="288" cm="1">
        <f t="array" aca="1" ref="N549" ca="1">INDIRECT("'"&amp;$C549&amp;"'!"&amp;"$"&amp;$D549&amp;$N$1&amp;"")</f>
        <v>6.6</v>
      </c>
      <c r="O549" s="289"/>
      <c r="P549" s="289">
        <v>0.94</v>
      </c>
      <c r="Q549" s="287">
        <v>2.4</v>
      </c>
      <c r="R549" s="288" cm="1">
        <f t="array" aca="1" ref="R549" ca="1">INDIRECT("'"&amp;$C549&amp;"'!"&amp;"$"&amp;$D549&amp;$R$1&amp;"")</f>
        <v>6.6</v>
      </c>
      <c r="S549" s="289"/>
      <c r="T549" s="289">
        <v>0.94</v>
      </c>
      <c r="U549" s="287">
        <v>2.4</v>
      </c>
      <c r="V549" s="288" cm="1">
        <f t="array" aca="1" ref="V549" ca="1">INDIRECT("'"&amp;$C549&amp;"'!"&amp;"$"&amp;$D549&amp;$V$1&amp;"")</f>
        <v>2.8</v>
      </c>
      <c r="W549" s="289">
        <f>3.8*3.51</f>
        <v>13.337999999999999</v>
      </c>
      <c r="X549" s="289">
        <v>0.93</v>
      </c>
      <c r="Y549" s="290">
        <v>1.04</v>
      </c>
      <c r="Z549" s="286" cm="1">
        <f t="array" aca="1" ref="Z549" ca="1">INDIRECT("'"&amp;$C549&amp;"'!"&amp;"$"&amp;$D549&amp;$Z$1&amp;"")</f>
        <v>0</v>
      </c>
      <c r="AA549" s="289" t="s">
        <v>1</v>
      </c>
      <c r="AB549" s="289" t="s">
        <v>1</v>
      </c>
      <c r="AC549" s="287" t="s">
        <v>1</v>
      </c>
      <c r="AD549" s="288" cm="1">
        <f t="array" aca="1" ref="AD549" ca="1">INDIRECT("'"&amp;$C549&amp;"'!"&amp;"$"&amp;$D549&amp;$AD$1&amp;"")</f>
        <v>3.8</v>
      </c>
      <c r="AE549" s="289">
        <f>3.8*3.51</f>
        <v>13.337999999999999</v>
      </c>
      <c r="AF549" s="289">
        <v>0.93</v>
      </c>
      <c r="AG549" s="290">
        <v>1.47</v>
      </c>
      <c r="AH549" s="286" cm="1">
        <f t="array" aca="1" ref="AH549" ca="1">INDIRECT("'"&amp;$C549&amp;"'!"&amp;"$"&amp;$D549&amp;$AH$1&amp;"")</f>
        <v>3.8</v>
      </c>
      <c r="AI549" s="289">
        <v>14.04</v>
      </c>
      <c r="AJ549" s="289">
        <v>0.97</v>
      </c>
      <c r="AK549" s="287">
        <v>0.85699999999999998</v>
      </c>
      <c r="AL549" s="286">
        <v>11.9</v>
      </c>
      <c r="AM549" s="290">
        <v>70.7</v>
      </c>
      <c r="AN549" s="286" cm="1">
        <f t="array" aca="1" ref="AN549" ca="1">INDIRECT("'"&amp;$C549&amp;"'!"&amp;"$"&amp;$D549&amp;$AL$1&amp;"")</f>
        <v>4</v>
      </c>
      <c r="AO549" s="289">
        <v>0.98</v>
      </c>
      <c r="AP549" s="287">
        <v>0.72</v>
      </c>
      <c r="AQ549" s="288" cm="1">
        <f t="array" aca="1" ref="AQ549" ca="1">INDIRECT("'"&amp;$C549&amp;"'!"&amp;"$"&amp;$D549&amp;$AQ$1&amp;"")</f>
        <v>4</v>
      </c>
      <c r="AR549" s="289">
        <v>0.98</v>
      </c>
      <c r="AS549" s="287">
        <v>0.64</v>
      </c>
      <c r="AT549" s="289" cm="1">
        <f t="array" aca="1" ref="AT549" ca="1">INDIRECT("'"&amp;$C549&amp;"'!"&amp;"$"&amp;$D549&amp;$AT$1&amp;"")</f>
        <v>4.4000000000000004</v>
      </c>
      <c r="AU549" s="288">
        <v>13.8</v>
      </c>
      <c r="AV549" s="289">
        <v>0.98</v>
      </c>
      <c r="AW549" s="287">
        <v>0.97399999999999998</v>
      </c>
      <c r="AX549" s="291">
        <v>14.28</v>
      </c>
      <c r="AY549" s="290">
        <v>71.790000000000006</v>
      </c>
      <c r="AZ549" s="291" cm="1">
        <f t="array" aca="1" ref="AZ549" ca="1">INDIRECT("'"&amp;$C549&amp;"'!"&amp;"$"&amp;$D549&amp;$AZ$1&amp;"")</f>
        <v>14.26</v>
      </c>
      <c r="BA549" s="289">
        <v>0.98</v>
      </c>
      <c r="BB549" s="287">
        <v>3.5</v>
      </c>
      <c r="BC549" s="292">
        <v>68.900000000000006</v>
      </c>
      <c r="BD549" s="286" cm="1">
        <f t="array" aca="1" ref="BD549" ca="1">INDIRECT("'"&amp;$C549&amp;"'!"&amp;"$"&amp;$D549&amp;$BC$1&amp;"")</f>
        <v>0.7</v>
      </c>
      <c r="BE549" s="288">
        <v>0.95</v>
      </c>
      <c r="BF549" s="287">
        <v>0.23</v>
      </c>
      <c r="BG549" s="291" cm="1">
        <f t="array" aca="1" ref="BG549" ca="1">INDIRECT("'"&amp;$C549&amp;"'!"&amp;"$"&amp;$D549&amp;$BG$1&amp;"")</f>
        <v>1.6</v>
      </c>
      <c r="BH549" s="289"/>
      <c r="BI549" s="289">
        <v>0.99</v>
      </c>
      <c r="BJ549" s="287">
        <v>0.21</v>
      </c>
      <c r="BK549" s="292" cm="1">
        <f t="array" aca="1" ref="BK549" ca="1">INDIRECT("'"&amp;$C549&amp;"'!"&amp;"$"&amp;$D549&amp;$BK$1&amp;"")</f>
        <v>0.98</v>
      </c>
      <c r="BL549" s="289"/>
      <c r="BM549" s="289">
        <v>0.96</v>
      </c>
      <c r="BN549" s="287">
        <v>0.26</v>
      </c>
    </row>
    <row r="550" spans="1:66" ht="14.45" thickBot="1">
      <c r="A550" s="360">
        <v>45769</v>
      </c>
      <c r="B550" s="358">
        <v>0.83333333333333337</v>
      </c>
      <c r="C550" s="313">
        <f t="shared" si="21"/>
        <v>22</v>
      </c>
      <c r="D550" s="314" t="s">
        <v>147</v>
      </c>
      <c r="E550" s="293">
        <v>14.2</v>
      </c>
      <c r="F550" s="294">
        <v>69.989999999999995</v>
      </c>
      <c r="G550" s="295" cm="1">
        <f t="array" aca="1" ref="G550" ca="1">INDIRECT("'"&amp;$C550&amp;"'!"&amp;"$"&amp;$D550&amp;$E$1&amp;"")</f>
        <v>6.5</v>
      </c>
      <c r="H550" s="296">
        <v>0.95</v>
      </c>
      <c r="I550" s="294">
        <v>2.19</v>
      </c>
      <c r="J550" s="295" cm="1">
        <f t="array" aca="1" ref="J550" ca="1">INDIRECT("'"&amp;$C550&amp;"'!"&amp;"$"&amp;$D550&amp;$J$1&amp;"")</f>
        <v>6.5</v>
      </c>
      <c r="K550" s="296"/>
      <c r="L550" s="296">
        <v>0.95</v>
      </c>
      <c r="M550" s="294">
        <v>2.19</v>
      </c>
      <c r="N550" s="295" cm="1">
        <f t="array" aca="1" ref="N550" ca="1">INDIRECT("'"&amp;$C550&amp;"'!"&amp;"$"&amp;$D550&amp;$N$1&amp;"")</f>
        <v>6.5</v>
      </c>
      <c r="O550" s="296"/>
      <c r="P550" s="296">
        <v>0.95</v>
      </c>
      <c r="Q550" s="294">
        <v>2.19</v>
      </c>
      <c r="R550" s="295" cm="1">
        <f t="array" aca="1" ref="R550" ca="1">INDIRECT("'"&amp;$C550&amp;"'!"&amp;"$"&amp;$D550&amp;$R$1&amp;"")</f>
        <v>6.5</v>
      </c>
      <c r="S550" s="296"/>
      <c r="T550" s="296">
        <v>0.95</v>
      </c>
      <c r="U550" s="294">
        <v>2.19</v>
      </c>
      <c r="V550" s="295" cm="1">
        <f t="array" aca="1" ref="V550" ca="1">INDIRECT("'"&amp;$C550&amp;"'!"&amp;"$"&amp;$D550&amp;$V$1&amp;"")</f>
        <v>2</v>
      </c>
      <c r="W550" s="296">
        <f>3.8*3.54</f>
        <v>13.452</v>
      </c>
      <c r="X550" s="296">
        <v>0.96</v>
      </c>
      <c r="Y550" s="297">
        <v>0.52</v>
      </c>
      <c r="Z550" s="293" cm="1">
        <f t="array" aca="1" ref="Z550" ca="1">INDIRECT("'"&amp;$C550&amp;"'!"&amp;"$"&amp;$D550&amp;$Z$1&amp;"")</f>
        <v>0</v>
      </c>
      <c r="AA550" s="296" t="s">
        <v>1</v>
      </c>
      <c r="AB550" s="296" t="s">
        <v>1</v>
      </c>
      <c r="AC550" s="294" t="s">
        <v>1</v>
      </c>
      <c r="AD550" s="295" cm="1">
        <f t="array" aca="1" ref="AD550" ca="1">INDIRECT("'"&amp;$C550&amp;"'!"&amp;"$"&amp;$D550&amp;$AD$1&amp;"")</f>
        <v>3</v>
      </c>
      <c r="AE550" s="296">
        <f>3.8*3.54</f>
        <v>13.452</v>
      </c>
      <c r="AF550" s="296">
        <v>0.95</v>
      </c>
      <c r="AG550" s="297">
        <v>1</v>
      </c>
      <c r="AH550" s="293" cm="1">
        <f t="array" aca="1" ref="AH550" ca="1">INDIRECT("'"&amp;$C550&amp;"'!"&amp;"$"&amp;$D550&amp;$AH$1&amp;"")</f>
        <v>3</v>
      </c>
      <c r="AI550" s="296">
        <v>14.04</v>
      </c>
      <c r="AJ550" s="296">
        <v>0.97</v>
      </c>
      <c r="AK550" s="294">
        <v>0.81599999999999995</v>
      </c>
      <c r="AL550" s="293">
        <v>11.9</v>
      </c>
      <c r="AM550" s="297">
        <v>70.8</v>
      </c>
      <c r="AN550" s="293" cm="1">
        <f t="array" aca="1" ref="AN550" ca="1">INDIRECT("'"&amp;$C550&amp;"'!"&amp;"$"&amp;$D550&amp;$AL$1&amp;"")</f>
        <v>4</v>
      </c>
      <c r="AO550" s="296">
        <v>0.98</v>
      </c>
      <c r="AP550" s="294">
        <v>0.72</v>
      </c>
      <c r="AQ550" s="295" cm="1">
        <f t="array" aca="1" ref="AQ550" ca="1">INDIRECT("'"&amp;$C550&amp;"'!"&amp;"$"&amp;$D550&amp;$AQ$1&amp;"")</f>
        <v>4</v>
      </c>
      <c r="AR550" s="296">
        <v>0.98</v>
      </c>
      <c r="AS550" s="294">
        <v>0.64</v>
      </c>
      <c r="AT550" s="296" cm="1">
        <f t="array" aca="1" ref="AT550" ca="1">INDIRECT("'"&amp;$C550&amp;"'!"&amp;"$"&amp;$D550&amp;$AT$1&amp;"")</f>
        <v>3</v>
      </c>
      <c r="AU550" s="295">
        <v>13.8</v>
      </c>
      <c r="AV550" s="296">
        <v>0.95</v>
      </c>
      <c r="AW550" s="294">
        <v>1</v>
      </c>
      <c r="AX550" s="298">
        <v>14.29</v>
      </c>
      <c r="AY550" s="297">
        <v>71.84</v>
      </c>
      <c r="AZ550" s="298" cm="1">
        <f t="array" aca="1" ref="AZ550" ca="1">INDIRECT("'"&amp;$C550&amp;"'!"&amp;"$"&amp;$D550&amp;$AZ$1&amp;"")</f>
        <v>14.28</v>
      </c>
      <c r="BA550" s="296">
        <v>0.98</v>
      </c>
      <c r="BB550" s="294">
        <v>3.5</v>
      </c>
      <c r="BC550" s="299">
        <v>68.8</v>
      </c>
      <c r="BD550" s="293" cm="1">
        <f t="array" aca="1" ref="BD550" ca="1">INDIRECT("'"&amp;$C550&amp;"'!"&amp;"$"&amp;$D550&amp;$BC$1&amp;"")</f>
        <v>0.8</v>
      </c>
      <c r="BE550" s="295">
        <v>0.95</v>
      </c>
      <c r="BF550" s="294">
        <v>0.26</v>
      </c>
      <c r="BG550" s="298" cm="1">
        <f t="array" aca="1" ref="BG550" ca="1">INDIRECT("'"&amp;$C550&amp;"'!"&amp;"$"&amp;$D550&amp;$BG$1&amp;"")</f>
        <v>1.57</v>
      </c>
      <c r="BH550" s="296"/>
      <c r="BI550" s="296">
        <v>0.99</v>
      </c>
      <c r="BJ550" s="294">
        <v>0.21</v>
      </c>
      <c r="BK550" s="299" cm="1">
        <f t="array" aca="1" ref="BK550" ca="1">INDIRECT("'"&amp;$C550&amp;"'!"&amp;"$"&amp;$D550&amp;$BK$1&amp;"")</f>
        <v>0.98</v>
      </c>
      <c r="BL550" s="296"/>
      <c r="BM550" s="296">
        <v>0.96</v>
      </c>
      <c r="BN550" s="294">
        <v>0.26</v>
      </c>
    </row>
    <row r="551" spans="1:66" ht="14.45" thickBot="1">
      <c r="A551" s="360">
        <v>45769</v>
      </c>
      <c r="B551" s="358">
        <v>0.875000000000001</v>
      </c>
      <c r="C551" s="313">
        <f t="shared" si="21"/>
        <v>22</v>
      </c>
      <c r="D551" s="314" t="s">
        <v>148</v>
      </c>
      <c r="E551" s="286">
        <v>14.3</v>
      </c>
      <c r="F551" s="287">
        <v>69.77</v>
      </c>
      <c r="G551" s="288" cm="1">
        <f t="array" aca="1" ref="G551" ca="1">INDIRECT("'"&amp;$C551&amp;"'!"&amp;"$"&amp;$D551&amp;$E$1&amp;"")</f>
        <v>6.5</v>
      </c>
      <c r="H551" s="289">
        <v>0.96</v>
      </c>
      <c r="I551" s="287">
        <v>1.97</v>
      </c>
      <c r="J551" s="288" cm="1">
        <f t="array" aca="1" ref="J551" ca="1">INDIRECT("'"&amp;$C551&amp;"'!"&amp;"$"&amp;$D551&amp;$J$1&amp;"")</f>
        <v>6.5</v>
      </c>
      <c r="K551" s="289"/>
      <c r="L551" s="289">
        <v>0.96</v>
      </c>
      <c r="M551" s="287">
        <v>1.97</v>
      </c>
      <c r="N551" s="288" cm="1">
        <f t="array" aca="1" ref="N551" ca="1">INDIRECT("'"&amp;$C551&amp;"'!"&amp;"$"&amp;$D551&amp;$N$1&amp;"")</f>
        <v>6.5</v>
      </c>
      <c r="O551" s="289"/>
      <c r="P551" s="289">
        <v>0.96</v>
      </c>
      <c r="Q551" s="287">
        <v>1.97</v>
      </c>
      <c r="R551" s="288" cm="1">
        <f t="array" aca="1" ref="R551" ca="1">INDIRECT("'"&amp;$C551&amp;"'!"&amp;"$"&amp;$D551&amp;$R$1&amp;"")</f>
        <v>6.5</v>
      </c>
      <c r="S551" s="289"/>
      <c r="T551" s="289">
        <v>0.96</v>
      </c>
      <c r="U551" s="287">
        <v>1.97</v>
      </c>
      <c r="V551" s="288" cm="1">
        <f t="array" aca="1" ref="V551" ca="1">INDIRECT("'"&amp;$C551&amp;"'!"&amp;"$"&amp;$D551&amp;$V$1&amp;"")</f>
        <v>2.8</v>
      </c>
      <c r="W551" s="289">
        <f>3.8*3.54</f>
        <v>13.452</v>
      </c>
      <c r="X551" s="289">
        <v>0.96</v>
      </c>
      <c r="Y551" s="290">
        <v>0.73</v>
      </c>
      <c r="Z551" s="286" cm="1">
        <f t="array" aca="1" ref="Z551" ca="1">INDIRECT("'"&amp;$C551&amp;"'!"&amp;"$"&amp;$D551&amp;$Z$1&amp;"")</f>
        <v>0</v>
      </c>
      <c r="AA551" s="289" t="s">
        <v>1</v>
      </c>
      <c r="AB551" s="289" t="s">
        <v>1</v>
      </c>
      <c r="AC551" s="287" t="s">
        <v>1</v>
      </c>
      <c r="AD551" s="288" cm="1">
        <f t="array" aca="1" ref="AD551" ca="1">INDIRECT("'"&amp;$C551&amp;"'!"&amp;"$"&amp;$D551&amp;$AD$1&amp;"")</f>
        <v>3.8</v>
      </c>
      <c r="AE551" s="289">
        <f>3.8*3.54</f>
        <v>13.452</v>
      </c>
      <c r="AF551" s="289">
        <v>0.96</v>
      </c>
      <c r="AG551" s="290">
        <v>1.02</v>
      </c>
      <c r="AH551" s="286" cm="1">
        <f t="array" aca="1" ref="AH551" ca="1">INDIRECT("'"&amp;$C551&amp;"'!"&amp;"$"&amp;$D551&amp;$AH$1&amp;"")</f>
        <v>3.8</v>
      </c>
      <c r="AI551" s="289">
        <v>14.04</v>
      </c>
      <c r="AJ551" s="289">
        <v>0.97</v>
      </c>
      <c r="AK551" s="287">
        <v>0.89900000000000002</v>
      </c>
      <c r="AL551" s="286">
        <v>11.9</v>
      </c>
      <c r="AM551" s="290">
        <v>70.599999999999994</v>
      </c>
      <c r="AN551" s="286" cm="1">
        <f t="array" aca="1" ref="AN551" ca="1">INDIRECT("'"&amp;$C551&amp;"'!"&amp;"$"&amp;$D551&amp;$AL$1&amp;"")</f>
        <v>4.2</v>
      </c>
      <c r="AO551" s="289">
        <v>0.98</v>
      </c>
      <c r="AP551" s="287">
        <v>0.86</v>
      </c>
      <c r="AQ551" s="288" cm="1">
        <f t="array" aca="1" ref="AQ551" ca="1">INDIRECT("'"&amp;$C551&amp;"'!"&amp;"$"&amp;$D551&amp;$AQ$1&amp;"")</f>
        <v>4.2</v>
      </c>
      <c r="AR551" s="289">
        <v>0.98</v>
      </c>
      <c r="AS551" s="287">
        <v>0.82</v>
      </c>
      <c r="AT551" s="289" cm="1">
        <f t="array" aca="1" ref="AT551" ca="1">INDIRECT("'"&amp;$C551&amp;"'!"&amp;"$"&amp;$D551&amp;$AT$1&amp;"")</f>
        <v>0</v>
      </c>
      <c r="AU551" s="288" t="s">
        <v>1</v>
      </c>
      <c r="AV551" s="289" t="s">
        <v>1</v>
      </c>
      <c r="AW551" s="287" t="s">
        <v>1</v>
      </c>
      <c r="AX551" s="291">
        <v>14.24</v>
      </c>
      <c r="AY551" s="290">
        <v>71.7</v>
      </c>
      <c r="AZ551" s="291" cm="1">
        <f t="array" aca="1" ref="AZ551" ca="1">INDIRECT("'"&amp;$C551&amp;"'!"&amp;"$"&amp;$D551&amp;$AZ$1&amp;"")</f>
        <v>14.29</v>
      </c>
      <c r="BA551" s="289">
        <v>0.98</v>
      </c>
      <c r="BB551" s="287">
        <v>3.4</v>
      </c>
      <c r="BC551" s="292">
        <v>68.400000000000006</v>
      </c>
      <c r="BD551" s="286" cm="1">
        <f t="array" aca="1" ref="BD551" ca="1">INDIRECT("'"&amp;$C551&amp;"'!"&amp;"$"&amp;$D551&amp;$BC$1&amp;"")</f>
        <v>0</v>
      </c>
      <c r="BE551" s="288" t="s">
        <v>1</v>
      </c>
      <c r="BF551" s="287" t="s">
        <v>1</v>
      </c>
      <c r="BG551" s="291" cm="1">
        <f t="array" aca="1" ref="BG551" ca="1">INDIRECT("'"&amp;$C551&amp;"'!"&amp;"$"&amp;$D551&amp;$BG$1&amp;"")</f>
        <v>1.29</v>
      </c>
      <c r="BH551" s="289"/>
      <c r="BI551" s="289">
        <v>0.99</v>
      </c>
      <c r="BJ551" s="287">
        <v>0.12</v>
      </c>
      <c r="BK551" s="292" cm="1">
        <f t="array" aca="1" ref="BK551" ca="1">INDIRECT("'"&amp;$C551&amp;"'!"&amp;"$"&amp;$D551&amp;$BK$1&amp;"")</f>
        <v>0.99</v>
      </c>
      <c r="BL551" s="289"/>
      <c r="BM551" s="289">
        <v>0.96</v>
      </c>
      <c r="BN551" s="287">
        <v>0.26</v>
      </c>
    </row>
    <row r="552" spans="1:66" ht="14.45" thickBot="1">
      <c r="A552" s="360">
        <v>45769</v>
      </c>
      <c r="B552" s="358">
        <v>0.91666666666666696</v>
      </c>
      <c r="C552" s="313">
        <f t="shared" si="21"/>
        <v>22</v>
      </c>
      <c r="D552" s="314" t="s">
        <v>149</v>
      </c>
      <c r="E552" s="293">
        <v>14.3</v>
      </c>
      <c r="F552" s="294">
        <v>70.150000000000006</v>
      </c>
      <c r="G552" s="295" cm="1">
        <f t="array" aca="1" ref="G552" ca="1">INDIRECT("'"&amp;$C552&amp;"'!"&amp;"$"&amp;$D552&amp;$E$1&amp;"")</f>
        <v>6.1</v>
      </c>
      <c r="H552" s="296">
        <v>0.96</v>
      </c>
      <c r="I552" s="294">
        <v>1.81</v>
      </c>
      <c r="J552" s="295" cm="1">
        <f t="array" aca="1" ref="J552" ca="1">INDIRECT("'"&amp;$C552&amp;"'!"&amp;"$"&amp;$D552&amp;$J$1&amp;"")</f>
        <v>7.1</v>
      </c>
      <c r="K552" s="296"/>
      <c r="L552" s="296">
        <v>0.96</v>
      </c>
      <c r="M552" s="294">
        <v>2.11</v>
      </c>
      <c r="N552" s="295" cm="1">
        <f t="array" aca="1" ref="N552" ca="1">INDIRECT("'"&amp;$C552&amp;"'!"&amp;"$"&amp;$D552&amp;$N$1&amp;"")</f>
        <v>6.1</v>
      </c>
      <c r="O552" s="296"/>
      <c r="P552" s="296">
        <v>0.96</v>
      </c>
      <c r="Q552" s="294">
        <v>1.81</v>
      </c>
      <c r="R552" s="295" cm="1">
        <f t="array" aca="1" ref="R552" ca="1">INDIRECT("'"&amp;$C552&amp;"'!"&amp;"$"&amp;$D552&amp;$R$1&amp;"")</f>
        <v>6.1</v>
      </c>
      <c r="S552" s="296"/>
      <c r="T552" s="296">
        <v>0.96</v>
      </c>
      <c r="U552" s="294">
        <v>1.81</v>
      </c>
      <c r="V552" s="295" cm="1">
        <f t="array" aca="1" ref="V552" ca="1">INDIRECT("'"&amp;$C552&amp;"'!"&amp;"$"&amp;$D552&amp;$V$1&amp;"")</f>
        <v>2</v>
      </c>
      <c r="W552" s="296">
        <f>3.8*3.55</f>
        <v>13.489999999999998</v>
      </c>
      <c r="X552" s="296">
        <v>0.97</v>
      </c>
      <c r="Y552" s="297">
        <v>0.49</v>
      </c>
      <c r="Z552" s="293" cm="1">
        <f t="array" aca="1" ref="Z552" ca="1">INDIRECT("'"&amp;$C552&amp;"'!"&amp;"$"&amp;$D552&amp;$Z$1&amp;"")</f>
        <v>0</v>
      </c>
      <c r="AA552" s="296" t="s">
        <v>1</v>
      </c>
      <c r="AB552" s="296" t="s">
        <v>1</v>
      </c>
      <c r="AC552" s="294" t="s">
        <v>1</v>
      </c>
      <c r="AD552" s="295" cm="1">
        <f t="array" aca="1" ref="AD552" ca="1">INDIRECT("'"&amp;$C552&amp;"'!"&amp;"$"&amp;$D552&amp;$AD$1&amp;"")</f>
        <v>3.2</v>
      </c>
      <c r="AE552" s="296">
        <f>3.8*3.55</f>
        <v>13.489999999999998</v>
      </c>
      <c r="AF552" s="296">
        <v>0.97</v>
      </c>
      <c r="AG552" s="297">
        <v>0.79</v>
      </c>
      <c r="AH552" s="293" cm="1">
        <f t="array" aca="1" ref="AH552" ca="1">INDIRECT("'"&amp;$C552&amp;"'!"&amp;"$"&amp;$D552&amp;$AH$1&amp;"")</f>
        <v>3.3</v>
      </c>
      <c r="AI552" s="296">
        <v>14.04</v>
      </c>
      <c r="AJ552" s="296">
        <v>0.96</v>
      </c>
      <c r="AK552" s="294">
        <v>0.96</v>
      </c>
      <c r="AL552" s="293">
        <v>11.9</v>
      </c>
      <c r="AM552" s="297">
        <v>70.599999999999994</v>
      </c>
      <c r="AN552" s="293" cm="1">
        <f t="array" aca="1" ref="AN552" ca="1">INDIRECT("'"&amp;$C552&amp;"'!"&amp;"$"&amp;$D552&amp;$AL$1&amp;"")</f>
        <v>3</v>
      </c>
      <c r="AO552" s="296">
        <v>0.96</v>
      </c>
      <c r="AP552" s="294">
        <v>0.86</v>
      </c>
      <c r="AQ552" s="295" cm="1">
        <f t="array" aca="1" ref="AQ552" ca="1">INDIRECT("'"&amp;$C552&amp;"'!"&amp;"$"&amp;$D552&amp;$AQ$1&amp;"")</f>
        <v>3</v>
      </c>
      <c r="AR552" s="296">
        <v>0.96</v>
      </c>
      <c r="AS552" s="294">
        <v>0.83</v>
      </c>
      <c r="AT552" s="296" cm="1">
        <f t="array" aca="1" ref="AT552" ca="1">INDIRECT("'"&amp;$C552&amp;"'!"&amp;"$"&amp;$D552&amp;$AT$1&amp;"")</f>
        <v>0</v>
      </c>
      <c r="AU552" s="295" t="s">
        <v>1</v>
      </c>
      <c r="AV552" s="296" t="s">
        <v>1</v>
      </c>
      <c r="AW552" s="294" t="s">
        <v>1</v>
      </c>
      <c r="AX552" s="298">
        <v>14.13</v>
      </c>
      <c r="AY552" s="297">
        <v>71.52</v>
      </c>
      <c r="AZ552" s="298" cm="1">
        <f t="array" aca="1" ref="AZ552" ca="1">INDIRECT("'"&amp;$C552&amp;"'!"&amp;"$"&amp;$D552&amp;$AZ$1&amp;"")</f>
        <v>14.31</v>
      </c>
      <c r="BA552" s="296">
        <v>0.99</v>
      </c>
      <c r="BB552" s="294">
        <v>2.4</v>
      </c>
      <c r="BC552" s="299">
        <v>68.900000000000006</v>
      </c>
      <c r="BD552" s="293" cm="1">
        <f t="array" aca="1" ref="BD552" ca="1">INDIRECT("'"&amp;$C552&amp;"'!"&amp;"$"&amp;$D552&amp;$BC$1&amp;"")</f>
        <v>0</v>
      </c>
      <c r="BE552" s="295" t="s">
        <v>1</v>
      </c>
      <c r="BF552" s="294" t="s">
        <v>1</v>
      </c>
      <c r="BG552" s="298" cm="1">
        <f t="array" aca="1" ref="BG552" ca="1">INDIRECT("'"&amp;$C552&amp;"'!"&amp;"$"&amp;$D552&amp;$BG$1&amp;"")</f>
        <v>1.33</v>
      </c>
      <c r="BH552" s="296"/>
      <c r="BI552" s="296">
        <v>0.99</v>
      </c>
      <c r="BJ552" s="294">
        <v>0.15</v>
      </c>
      <c r="BK552" s="299" cm="1">
        <f t="array" aca="1" ref="BK552" ca="1">INDIRECT("'"&amp;$C552&amp;"'!"&amp;"$"&amp;$D552&amp;$BK$1&amp;"")</f>
        <v>0.93</v>
      </c>
      <c r="BL552" s="296"/>
      <c r="BM552" s="296">
        <v>0.97</v>
      </c>
      <c r="BN552" s="294">
        <v>0.23</v>
      </c>
    </row>
    <row r="553" spans="1:66" ht="14.45" thickBot="1">
      <c r="A553" s="360">
        <v>45769</v>
      </c>
      <c r="B553" s="359">
        <v>0.95833333333333404</v>
      </c>
      <c r="C553" s="315">
        <f t="shared" si="21"/>
        <v>22</v>
      </c>
      <c r="D553" s="316" t="s">
        <v>150</v>
      </c>
      <c r="E553" s="301">
        <v>14.3</v>
      </c>
      <c r="F553" s="302">
        <v>70.02</v>
      </c>
      <c r="G553" s="303" cm="1">
        <f t="array" aca="1" ref="G553" ca="1">INDIRECT("'"&amp;$C553&amp;"'!"&amp;"$"&amp;$D553&amp;$E$1&amp;"")</f>
        <v>6.4</v>
      </c>
      <c r="H553" s="304">
        <v>0.96</v>
      </c>
      <c r="I553" s="302">
        <v>1.91</v>
      </c>
      <c r="J553" s="303" cm="1">
        <f t="array" aca="1" ref="J553" ca="1">INDIRECT("'"&amp;$C553&amp;"'!"&amp;"$"&amp;$D553&amp;$J$1&amp;"")</f>
        <v>0</v>
      </c>
      <c r="K553" s="304"/>
      <c r="L553" s="304" t="s">
        <v>1</v>
      </c>
      <c r="M553" s="302" t="s">
        <v>1</v>
      </c>
      <c r="N553" s="303" cm="1">
        <f t="array" aca="1" ref="N553" ca="1">INDIRECT("'"&amp;$C553&amp;"'!"&amp;"$"&amp;$D553&amp;$N$1&amp;"")</f>
        <v>6.4</v>
      </c>
      <c r="O553" s="304"/>
      <c r="P553" s="304">
        <v>0.96</v>
      </c>
      <c r="Q553" s="302">
        <v>1.91</v>
      </c>
      <c r="R553" s="303" cm="1">
        <f t="array" aca="1" ref="R553" ca="1">INDIRECT("'"&amp;$C553&amp;"'!"&amp;"$"&amp;$D553&amp;$R$1&amp;"")</f>
        <v>6.4</v>
      </c>
      <c r="S553" s="304"/>
      <c r="T553" s="304">
        <v>0.96099999999999997</v>
      </c>
      <c r="U553" s="302">
        <v>1.91</v>
      </c>
      <c r="V553" s="303" cm="1">
        <f t="array" aca="1" ref="V553" ca="1">INDIRECT("'"&amp;$C553&amp;"'!"&amp;"$"&amp;$D553&amp;$V$1&amp;"")</f>
        <v>2.8</v>
      </c>
      <c r="W553" s="304">
        <f>3.8*3.57</f>
        <v>13.565999999999999</v>
      </c>
      <c r="X553" s="304">
        <v>0.97</v>
      </c>
      <c r="Y553" s="305">
        <v>0.59</v>
      </c>
      <c r="Z553" s="301" cm="1">
        <f t="array" aca="1" ref="Z553" ca="1">INDIRECT("'"&amp;$C553&amp;"'!"&amp;"$"&amp;$D553&amp;$Z$1&amp;"")</f>
        <v>0</v>
      </c>
      <c r="AA553" s="304" t="s">
        <v>1</v>
      </c>
      <c r="AB553" s="304" t="s">
        <v>1</v>
      </c>
      <c r="AC553" s="302" t="s">
        <v>1</v>
      </c>
      <c r="AD553" s="303" cm="1">
        <f t="array" aca="1" ref="AD553" ca="1">INDIRECT("'"&amp;$C553&amp;"'!"&amp;"$"&amp;$D553&amp;$AD$1&amp;"")</f>
        <v>3.8</v>
      </c>
      <c r="AE553" s="304">
        <v>13.57</v>
      </c>
      <c r="AF553" s="304">
        <v>0.97</v>
      </c>
      <c r="AG553" s="305">
        <v>0.88</v>
      </c>
      <c r="AH553" s="301" cm="1">
        <f t="array" aca="1" ref="AH553" ca="1">INDIRECT("'"&amp;$C553&amp;"'!"&amp;"$"&amp;$D553&amp;$AH$1&amp;"")</f>
        <v>3.8</v>
      </c>
      <c r="AI553" s="304">
        <v>14.04</v>
      </c>
      <c r="AJ553" s="304">
        <v>0.98</v>
      </c>
      <c r="AK553" s="302">
        <v>0.85199999999999998</v>
      </c>
      <c r="AL553" s="301">
        <v>11.9</v>
      </c>
      <c r="AM553" s="305">
        <v>70.7</v>
      </c>
      <c r="AN553" s="301" cm="1">
        <f t="array" aca="1" ref="AN553" ca="1">INDIRECT("'"&amp;$C553&amp;"'!"&amp;"$"&amp;$D553&amp;$AL$1&amp;"")</f>
        <v>4.0999999999999996</v>
      </c>
      <c r="AO553" s="304">
        <v>0.98</v>
      </c>
      <c r="AP553" s="302">
        <v>0.79</v>
      </c>
      <c r="AQ553" s="303" cm="1">
        <f t="array" aca="1" ref="AQ553" ca="1">INDIRECT("'"&amp;$C553&amp;"'!"&amp;"$"&amp;$D553&amp;$AQ$1&amp;"")</f>
        <v>4.0999999999999996</v>
      </c>
      <c r="AR553" s="304">
        <v>0.98</v>
      </c>
      <c r="AS553" s="302">
        <v>0.74</v>
      </c>
      <c r="AT553" s="304" cm="1">
        <f t="array" aca="1" ref="AT553" ca="1">INDIRECT("'"&amp;$C553&amp;"'!"&amp;"$"&amp;$D553&amp;$AT$1&amp;"")</f>
        <v>0</v>
      </c>
      <c r="AU553" s="303" t="s">
        <v>1</v>
      </c>
      <c r="AV553" s="304" t="s">
        <v>1</v>
      </c>
      <c r="AW553" s="302" t="s">
        <v>1</v>
      </c>
      <c r="AX553" s="306">
        <v>14.16</v>
      </c>
      <c r="AY553" s="305">
        <v>71.69</v>
      </c>
      <c r="AZ553" s="306" cm="1">
        <f t="array" aca="1" ref="AZ553" ca="1">INDIRECT("'"&amp;$C553&amp;"'!"&amp;"$"&amp;$D553&amp;$AZ$1&amp;"")</f>
        <v>14.32</v>
      </c>
      <c r="BA553" s="304">
        <v>0.99</v>
      </c>
      <c r="BB553" s="302">
        <v>2.4</v>
      </c>
      <c r="BC553" s="307">
        <v>68.8</v>
      </c>
      <c r="BD553" s="301" cm="1">
        <f t="array" aca="1" ref="BD553" ca="1">INDIRECT("'"&amp;$C553&amp;"'!"&amp;"$"&amp;$D553&amp;$BC$1&amp;"")</f>
        <v>0</v>
      </c>
      <c r="BE553" s="303" t="s">
        <v>1</v>
      </c>
      <c r="BF553" s="302" t="s">
        <v>1</v>
      </c>
      <c r="BG553" s="306" cm="1">
        <f t="array" aca="1" ref="BG553" ca="1">INDIRECT("'"&amp;$C553&amp;"'!"&amp;"$"&amp;$D553&amp;$BG$1&amp;"")</f>
        <v>1.24</v>
      </c>
      <c r="BH553" s="304"/>
      <c r="BI553" s="304">
        <v>0.99</v>
      </c>
      <c r="BJ553" s="302">
        <v>0.15</v>
      </c>
      <c r="BK553" s="307" cm="1">
        <f t="array" aca="1" ref="BK553" ca="1">INDIRECT("'"&amp;$C553&amp;"'!"&amp;"$"&amp;$D553&amp;$BK$1&amp;"")</f>
        <v>0.88</v>
      </c>
      <c r="BL553" s="304"/>
      <c r="BM553" s="304">
        <v>0.96</v>
      </c>
      <c r="BN553" s="302">
        <v>0.23</v>
      </c>
    </row>
    <row r="554" spans="1:66" ht="14.45" thickBot="1"/>
    <row r="555" spans="1:66" ht="14.45" thickBot="1">
      <c r="A555" s="360">
        <v>45770</v>
      </c>
      <c r="B555" s="357">
        <v>0</v>
      </c>
      <c r="C555" s="310">
        <f>C530+1</f>
        <v>23</v>
      </c>
      <c r="D555" s="311" t="s">
        <v>127</v>
      </c>
      <c r="E555" s="280">
        <v>14.2</v>
      </c>
      <c r="F555" s="281">
        <v>70.180000000000007</v>
      </c>
      <c r="G555" s="282" cm="1">
        <f t="array" aca="1" ref="G555" ca="1">INDIRECT("'"&amp;$C555&amp;"'!"&amp;"$"&amp;$D555&amp;$E$1&amp;"")</f>
        <v>6.6</v>
      </c>
      <c r="H555" s="283">
        <v>0.96</v>
      </c>
      <c r="I555" s="281">
        <v>1.95</v>
      </c>
      <c r="J555" s="282" cm="1">
        <f t="array" aca="1" ref="J555" ca="1">INDIRECT("'"&amp;$C555&amp;"'!"&amp;"$"&amp;$D555&amp;$J$1&amp;"")</f>
        <v>0</v>
      </c>
      <c r="K555" s="283"/>
      <c r="L555" s="283" t="s">
        <v>1</v>
      </c>
      <c r="M555" s="281" t="s">
        <v>1</v>
      </c>
      <c r="N555" s="282" cm="1">
        <f t="array" aca="1" ref="N555" ca="1">INDIRECT("'"&amp;$C555&amp;"'!"&amp;"$"&amp;$D555&amp;$N$1&amp;"")</f>
        <v>6.6</v>
      </c>
      <c r="O555" s="283"/>
      <c r="P555" s="283">
        <v>0.96</v>
      </c>
      <c r="Q555" s="281">
        <v>1.95</v>
      </c>
      <c r="R555" s="282" cm="1">
        <f t="array" aca="1" ref="R555" ca="1">INDIRECT("'"&amp;$C555&amp;"'!"&amp;"$"&amp;$D555&amp;$R$1&amp;"")</f>
        <v>6.6</v>
      </c>
      <c r="S555" s="283"/>
      <c r="T555" s="283">
        <v>0.96</v>
      </c>
      <c r="U555" s="281">
        <v>1.95</v>
      </c>
      <c r="V555" s="282" cm="1">
        <f t="array" aca="1" ref="V555" ca="1">INDIRECT("'"&amp;$C555&amp;"'!"&amp;"$"&amp;$D555&amp;$V$1&amp;"")</f>
        <v>0</v>
      </c>
      <c r="W555" s="283" t="s">
        <v>1</v>
      </c>
      <c r="X555" s="283" t="s">
        <v>1</v>
      </c>
      <c r="Y555" s="284" t="s">
        <v>1</v>
      </c>
      <c r="Z555" s="280" cm="1">
        <f t="array" aca="1" ref="Z555" ca="1">INDIRECT("'"&amp;$C555&amp;"'!"&amp;"$"&amp;$D555&amp;$Z$1&amp;"")</f>
        <v>0</v>
      </c>
      <c r="AA555" s="283" t="s">
        <v>1</v>
      </c>
      <c r="AB555" s="283" t="s">
        <v>1</v>
      </c>
      <c r="AC555" s="281" t="s">
        <v>1</v>
      </c>
      <c r="AD555" s="282" cm="1">
        <f t="array" aca="1" ref="AD555" ca="1">INDIRECT("'"&amp;$C555&amp;"'!"&amp;"$"&amp;$D555&amp;$AD$1&amp;"")</f>
        <v>3.8</v>
      </c>
      <c r="AE555" s="283">
        <f>3.8*3.57</f>
        <v>13.565999999999999</v>
      </c>
      <c r="AF555" s="283">
        <v>0.98</v>
      </c>
      <c r="AG555" s="281">
        <v>0.71</v>
      </c>
      <c r="AH555" s="280" cm="1">
        <f t="array" aca="1" ref="AH555" ca="1">INDIRECT("'"&amp;$C555&amp;"'!"&amp;"$"&amp;$D555&amp;$AH$1&amp;"")</f>
        <v>0</v>
      </c>
      <c r="AI555" s="283">
        <v>14</v>
      </c>
      <c r="AJ555" s="283">
        <v>0.98</v>
      </c>
      <c r="AK555" s="281">
        <v>0.58099999999999996</v>
      </c>
      <c r="AL555" s="280">
        <v>11.99</v>
      </c>
      <c r="AM555" s="284">
        <v>70.8</v>
      </c>
      <c r="AN555" s="280" cm="1">
        <f t="array" aca="1" ref="AN555" ca="1">INDIRECT("'"&amp;$C555&amp;"'!"&amp;"$"&amp;$D555&amp;$AL$1&amp;"")</f>
        <v>3.5</v>
      </c>
      <c r="AO555" s="283">
        <v>0.98</v>
      </c>
      <c r="AP555" s="281">
        <v>0.77</v>
      </c>
      <c r="AQ555" s="282" cm="1">
        <f t="array" aca="1" ref="AQ555" ca="1">INDIRECT("'"&amp;$C555&amp;"'!"&amp;"$"&amp;$D555&amp;$AQ$1&amp;"")</f>
        <v>3.5</v>
      </c>
      <c r="AR555" s="283">
        <v>0.98</v>
      </c>
      <c r="AS555" s="281">
        <v>0.69</v>
      </c>
      <c r="AT555" s="283" cm="1">
        <f t="array" aca="1" ref="AT555" ca="1">INDIRECT("'"&amp;$C555&amp;"'!"&amp;"$"&amp;$D555&amp;$AT$1&amp;"")</f>
        <v>0</v>
      </c>
      <c r="AU555" s="282" t="s">
        <v>1</v>
      </c>
      <c r="AV555" s="283" t="s">
        <v>1</v>
      </c>
      <c r="AW555" s="281" t="s">
        <v>1</v>
      </c>
      <c r="AX555" s="285">
        <v>14.16</v>
      </c>
      <c r="AY555" s="284">
        <v>71.66</v>
      </c>
      <c r="AZ555" s="285" cm="1">
        <f t="array" aca="1" ref="AZ555" ca="1">INDIRECT("'"&amp;$C555&amp;"'!"&amp;"$"&amp;$D555&amp;$AZ$1&amp;"")</f>
        <v>14.26</v>
      </c>
      <c r="BA555" s="283">
        <v>0.99</v>
      </c>
      <c r="BB555" s="281">
        <v>2.4</v>
      </c>
      <c r="BC555" s="281">
        <v>69</v>
      </c>
      <c r="BD555" s="280" cm="1">
        <f t="array" aca="1" ref="BD555" ca="1">INDIRECT("'"&amp;$C555&amp;"'!"&amp;"$"&amp;$D555&amp;$BC$1&amp;"")</f>
        <v>0</v>
      </c>
      <c r="BE555" s="282" t="s">
        <v>1</v>
      </c>
      <c r="BF555" s="281" t="s">
        <v>1</v>
      </c>
      <c r="BG555" s="285" cm="1">
        <f t="array" aca="1" ref="BG555" ca="1">INDIRECT("'"&amp;$C555&amp;"'!"&amp;"$"&amp;$D555&amp;$BG$1&amp;"")</f>
        <v>1.24</v>
      </c>
      <c r="BH555" s="283"/>
      <c r="BI555" s="283">
        <v>0.99</v>
      </c>
      <c r="BJ555" s="281">
        <v>0.15</v>
      </c>
      <c r="BK555" s="285" cm="1">
        <f t="array" aca="1" ref="BK555" ca="1">INDIRECT("'"&amp;$C555&amp;"'!"&amp;"$"&amp;$D555&amp;$BK$1&amp;"")</f>
        <v>0.85</v>
      </c>
      <c r="BL555" s="283"/>
      <c r="BM555" s="283">
        <v>0.96</v>
      </c>
      <c r="BN555" s="281">
        <v>0.22</v>
      </c>
    </row>
    <row r="556" spans="1:66" ht="14.45" thickBot="1">
      <c r="A556" s="360">
        <v>45770</v>
      </c>
      <c r="B556" s="358">
        <v>4.1666666666666699E-2</v>
      </c>
      <c r="C556" s="313">
        <f t="shared" ref="C556:C578" si="22">C531+1</f>
        <v>23</v>
      </c>
      <c r="D556" s="314" t="s">
        <v>128</v>
      </c>
      <c r="E556" s="286">
        <v>14.2</v>
      </c>
      <c r="F556" s="287">
        <v>70.14</v>
      </c>
      <c r="G556" s="288" cm="1">
        <f t="array" aca="1" ref="G556" ca="1">INDIRECT("'"&amp;$C556&amp;"'!"&amp;"$"&amp;$D556&amp;$E$1&amp;"")</f>
        <v>6.6</v>
      </c>
      <c r="H556" s="289">
        <v>0.98</v>
      </c>
      <c r="I556" s="287">
        <v>1.43</v>
      </c>
      <c r="J556" s="288" cm="1">
        <f t="array" aca="1" ref="J556" ca="1">INDIRECT("'"&amp;$C556&amp;"'!"&amp;"$"&amp;$D556&amp;$J$1&amp;"")</f>
        <v>0</v>
      </c>
      <c r="K556" s="289"/>
      <c r="L556" s="289" t="s">
        <v>1</v>
      </c>
      <c r="M556" s="287" t="s">
        <v>1</v>
      </c>
      <c r="N556" s="288" cm="1">
        <f t="array" aca="1" ref="N556" ca="1">INDIRECT("'"&amp;$C556&amp;"'!"&amp;"$"&amp;$D556&amp;$N$1&amp;"")</f>
        <v>6.6</v>
      </c>
      <c r="O556" s="289"/>
      <c r="P556" s="289">
        <v>0.98</v>
      </c>
      <c r="Q556" s="287">
        <v>1.43</v>
      </c>
      <c r="R556" s="288" cm="1">
        <f t="array" aca="1" ref="R556" ca="1">INDIRECT("'"&amp;$C556&amp;"'!"&amp;"$"&amp;$D556&amp;$R$1&amp;"")</f>
        <v>6.6</v>
      </c>
      <c r="S556" s="289"/>
      <c r="T556" s="289">
        <v>0.98</v>
      </c>
      <c r="U556" s="287">
        <v>1.43</v>
      </c>
      <c r="V556" s="288" cm="1">
        <f t="array" aca="1" ref="V556" ca="1">INDIRECT("'"&amp;$C556&amp;"'!"&amp;"$"&amp;$D556&amp;$V$1&amp;"")</f>
        <v>0</v>
      </c>
      <c r="W556" s="289" t="s">
        <v>1</v>
      </c>
      <c r="X556" s="289" t="s">
        <v>1</v>
      </c>
      <c r="Y556" s="290" t="s">
        <v>1</v>
      </c>
      <c r="Z556" s="286" cm="1">
        <f t="array" aca="1" ref="Z556" ca="1">INDIRECT("'"&amp;$C556&amp;"'!"&amp;"$"&amp;$D556&amp;$Z$1&amp;"")</f>
        <v>0</v>
      </c>
      <c r="AA556" s="289" t="s">
        <v>1</v>
      </c>
      <c r="AB556" s="289" t="s">
        <v>1</v>
      </c>
      <c r="AC556" s="287" t="s">
        <v>1</v>
      </c>
      <c r="AD556" s="288" cm="1">
        <f t="array" aca="1" ref="AD556" ca="1">INDIRECT("'"&amp;$C556&amp;"'!"&amp;"$"&amp;$D556&amp;$AD$1&amp;"")</f>
        <v>3</v>
      </c>
      <c r="AE556" s="289">
        <f>3.8*3.58</f>
        <v>13.603999999999999</v>
      </c>
      <c r="AF556" s="289">
        <v>0.98</v>
      </c>
      <c r="AG556" s="290">
        <v>0.53</v>
      </c>
      <c r="AH556" s="286" cm="1">
        <f t="array" aca="1" ref="AH556" ca="1">INDIRECT("'"&amp;$C556&amp;"'!"&amp;"$"&amp;$D556&amp;$AH$1&amp;"")</f>
        <v>0</v>
      </c>
      <c r="AI556" s="289" t="s">
        <v>1</v>
      </c>
      <c r="AJ556" s="289" t="s">
        <v>1</v>
      </c>
      <c r="AK556" s="287" t="s">
        <v>1</v>
      </c>
      <c r="AL556" s="286">
        <v>11.9</v>
      </c>
      <c r="AM556" s="290">
        <v>70.599999999999994</v>
      </c>
      <c r="AN556" s="286" cm="1">
        <f t="array" aca="1" ref="AN556" ca="1">INDIRECT("'"&amp;$C556&amp;"'!"&amp;"$"&amp;$D556&amp;$AL$1&amp;"")</f>
        <v>4.0999999999999996</v>
      </c>
      <c r="AO556" s="289">
        <v>0.97</v>
      </c>
      <c r="AP556" s="287">
        <v>0.89</v>
      </c>
      <c r="AQ556" s="288" cm="1">
        <f t="array" aca="1" ref="AQ556" ca="1">INDIRECT("'"&amp;$C556&amp;"'!"&amp;"$"&amp;$D556&amp;$AQ$1&amp;"")</f>
        <v>4.0999999999999996</v>
      </c>
      <c r="AR556" s="289">
        <v>0.97</v>
      </c>
      <c r="AS556" s="287">
        <v>0.85</v>
      </c>
      <c r="AT556" s="289" cm="1">
        <f t="array" aca="1" ref="AT556" ca="1">INDIRECT("'"&amp;$C556&amp;"'!"&amp;"$"&amp;$D556&amp;$AT$1&amp;"")</f>
        <v>0</v>
      </c>
      <c r="AU556" s="288" t="s">
        <v>1</v>
      </c>
      <c r="AV556" s="289" t="s">
        <v>1</v>
      </c>
      <c r="AW556" s="287" t="s">
        <v>1</v>
      </c>
      <c r="AX556" s="291">
        <v>14.07</v>
      </c>
      <c r="AY556" s="290">
        <v>71.25</v>
      </c>
      <c r="AZ556" s="291" cm="1">
        <f t="array" aca="1" ref="AZ556" ca="1">INDIRECT("'"&amp;$C556&amp;"'!"&amp;"$"&amp;$D556&amp;$AZ$1&amp;"")</f>
        <v>14.08</v>
      </c>
      <c r="BA556" s="289">
        <v>0.99</v>
      </c>
      <c r="BB556" s="287">
        <v>2.4</v>
      </c>
      <c r="BC556" s="292">
        <v>69.099999999999994</v>
      </c>
      <c r="BD556" s="286" cm="1">
        <f t="array" aca="1" ref="BD556" ca="1">INDIRECT("'"&amp;$C556&amp;"'!"&amp;"$"&amp;$D556&amp;$BC$1&amp;"")</f>
        <v>0</v>
      </c>
      <c r="BE556" s="288" t="s">
        <v>1</v>
      </c>
      <c r="BF556" s="287" t="s">
        <v>1</v>
      </c>
      <c r="BG556" s="291" cm="1">
        <f t="array" aca="1" ref="BG556" ca="1">INDIRECT("'"&amp;$C556&amp;"'!"&amp;"$"&amp;$D556&amp;$BG$1&amp;"")</f>
        <v>1.05</v>
      </c>
      <c r="BH556" s="289"/>
      <c r="BI556" s="289">
        <v>0.99</v>
      </c>
      <c r="BJ556" s="287">
        <v>0.17</v>
      </c>
      <c r="BK556" s="291" cm="1">
        <f t="array" aca="1" ref="BK556" ca="1">INDIRECT("'"&amp;$C556&amp;"'!"&amp;"$"&amp;$D556&amp;$BK$1&amp;"")</f>
        <v>0.8</v>
      </c>
      <c r="BL556" s="289"/>
      <c r="BM556" s="289">
        <v>0.96</v>
      </c>
      <c r="BN556" s="287">
        <v>0.21</v>
      </c>
    </row>
    <row r="557" spans="1:66" ht="14.45" thickBot="1">
      <c r="A557" s="360">
        <v>45770</v>
      </c>
      <c r="B557" s="358">
        <v>8.3333333333333301E-2</v>
      </c>
      <c r="C557" s="313">
        <f t="shared" si="22"/>
        <v>23</v>
      </c>
      <c r="D557" s="314" t="s">
        <v>129</v>
      </c>
      <c r="E557" s="293">
        <v>14.2</v>
      </c>
      <c r="F557" s="294">
        <v>70.260000000000005</v>
      </c>
      <c r="G557" s="295" cm="1">
        <f t="array" aca="1" ref="G557" ca="1">INDIRECT("'"&amp;$C557&amp;"'!"&amp;"$"&amp;$D557&amp;$E$1&amp;"")</f>
        <v>6.6</v>
      </c>
      <c r="H557" s="296">
        <v>0.98</v>
      </c>
      <c r="I557" s="294">
        <v>1.46</v>
      </c>
      <c r="J557" s="295" cm="1">
        <f t="array" aca="1" ref="J557" ca="1">INDIRECT("'"&amp;$C557&amp;"'!"&amp;"$"&amp;$D557&amp;$J$1&amp;"")</f>
        <v>0</v>
      </c>
      <c r="K557" s="296"/>
      <c r="L557" s="296" t="s">
        <v>1</v>
      </c>
      <c r="M557" s="294" t="s">
        <v>1</v>
      </c>
      <c r="N557" s="295" cm="1">
        <f t="array" aca="1" ref="N557" ca="1">INDIRECT("'"&amp;$C557&amp;"'!"&amp;"$"&amp;$D557&amp;$N$1&amp;"")</f>
        <v>6.6</v>
      </c>
      <c r="O557" s="296"/>
      <c r="P557" s="296">
        <v>0.98</v>
      </c>
      <c r="Q557" s="294">
        <v>1.46</v>
      </c>
      <c r="R557" s="295" cm="1">
        <f t="array" aca="1" ref="R557" ca="1">INDIRECT("'"&amp;$C557&amp;"'!"&amp;"$"&amp;$D557&amp;$R$1&amp;"")</f>
        <v>6.6</v>
      </c>
      <c r="S557" s="296"/>
      <c r="T557" s="296">
        <v>0.98</v>
      </c>
      <c r="U557" s="294">
        <v>1.46</v>
      </c>
      <c r="V557" s="295" cm="1">
        <f t="array" aca="1" ref="V557" ca="1">INDIRECT("'"&amp;$C557&amp;"'!"&amp;"$"&amp;$D557&amp;$V$1&amp;"")</f>
        <v>0</v>
      </c>
      <c r="W557" s="296" t="s">
        <v>1</v>
      </c>
      <c r="X557" s="296" t="s">
        <v>1</v>
      </c>
      <c r="Y557" s="297" t="s">
        <v>1</v>
      </c>
      <c r="Z557" s="293" cm="1">
        <f t="array" aca="1" ref="Z557" ca="1">INDIRECT("'"&amp;$C557&amp;"'!"&amp;"$"&amp;$D557&amp;$Z$1&amp;"")</f>
        <v>0</v>
      </c>
      <c r="AA557" s="296" t="s">
        <v>1</v>
      </c>
      <c r="AB557" s="296" t="s">
        <v>1</v>
      </c>
      <c r="AC557" s="294" t="s">
        <v>1</v>
      </c>
      <c r="AD557" s="295" cm="1">
        <f t="array" aca="1" ref="AD557" ca="1">INDIRECT("'"&amp;$C557&amp;"'!"&amp;"$"&amp;$D557&amp;$AD$1&amp;"")</f>
        <v>2.5</v>
      </c>
      <c r="AE557" s="296">
        <f>3.8*3.58</f>
        <v>13.603999999999999</v>
      </c>
      <c r="AF557" s="296">
        <v>0.98</v>
      </c>
      <c r="AG557" s="297">
        <v>0.44</v>
      </c>
      <c r="AH557" s="293" cm="1">
        <f t="array" aca="1" ref="AH557" ca="1">INDIRECT("'"&amp;$C557&amp;"'!"&amp;"$"&amp;$D557&amp;$AH$1&amp;"")</f>
        <v>0</v>
      </c>
      <c r="AI557" s="296" t="s">
        <v>1</v>
      </c>
      <c r="AJ557" s="296" t="s">
        <v>1</v>
      </c>
      <c r="AK557" s="297" t="s">
        <v>1</v>
      </c>
      <c r="AL557" s="293">
        <v>11.9</v>
      </c>
      <c r="AM557" s="297">
        <v>70.7</v>
      </c>
      <c r="AN557" s="293" cm="1">
        <f t="array" aca="1" ref="AN557" ca="1">INDIRECT("'"&amp;$C557&amp;"'!"&amp;"$"&amp;$D557&amp;$AL$1&amp;"")</f>
        <v>3</v>
      </c>
      <c r="AO557" s="296">
        <v>0.96</v>
      </c>
      <c r="AP557" s="294">
        <v>0.76</v>
      </c>
      <c r="AQ557" s="295" cm="1">
        <f t="array" aca="1" ref="AQ557" ca="1">INDIRECT("'"&amp;$C557&amp;"'!"&amp;"$"&amp;$D557&amp;$AQ$1&amp;"")</f>
        <v>3</v>
      </c>
      <c r="AR557" s="296">
        <v>0.96</v>
      </c>
      <c r="AS557" s="294">
        <v>0.73</v>
      </c>
      <c r="AT557" s="296" cm="1">
        <f t="array" aca="1" ref="AT557" ca="1">INDIRECT("'"&amp;$C557&amp;"'!"&amp;"$"&amp;$D557&amp;$AT$1&amp;"")</f>
        <v>0</v>
      </c>
      <c r="AU557" s="295" t="s">
        <v>1</v>
      </c>
      <c r="AV557" s="296" t="s">
        <v>1</v>
      </c>
      <c r="AW557" s="294" t="s">
        <v>1</v>
      </c>
      <c r="AX557" s="298">
        <v>14.14</v>
      </c>
      <c r="AY557" s="297">
        <v>71.47</v>
      </c>
      <c r="AZ557" s="298" cm="1">
        <f t="array" aca="1" ref="AZ557" ca="1">INDIRECT("'"&amp;$C557&amp;"'!"&amp;"$"&amp;$D557&amp;$AZ$1&amp;"")</f>
        <v>14.31</v>
      </c>
      <c r="BA557" s="296">
        <v>0.99</v>
      </c>
      <c r="BB557" s="294">
        <v>2.4</v>
      </c>
      <c r="BC557" s="299">
        <v>69.400000000000006</v>
      </c>
      <c r="BD557" s="293" cm="1">
        <f t="array" aca="1" ref="BD557" ca="1">INDIRECT("'"&amp;$C557&amp;"'!"&amp;"$"&amp;$D557&amp;$BC$1&amp;"")</f>
        <v>0</v>
      </c>
      <c r="BE557" s="295" t="s">
        <v>1</v>
      </c>
      <c r="BF557" s="294" t="s">
        <v>1</v>
      </c>
      <c r="BG557" s="298" cm="1">
        <f t="array" aca="1" ref="BG557" ca="1">INDIRECT("'"&amp;$C557&amp;"'!"&amp;"$"&amp;$D557&amp;$BG$1&amp;"")</f>
        <v>1.04</v>
      </c>
      <c r="BH557" s="296"/>
      <c r="BI557" s="296">
        <v>0.99</v>
      </c>
      <c r="BJ557" s="294">
        <v>0.11600000000000001</v>
      </c>
      <c r="BK557" s="298" cm="1">
        <f t="array" aca="1" ref="BK557" ca="1">INDIRECT("'"&amp;$C557&amp;"'!"&amp;"$"&amp;$D557&amp;$BK$1&amp;"")</f>
        <v>0.79</v>
      </c>
      <c r="BL557" s="296"/>
      <c r="BM557" s="296">
        <v>0.96</v>
      </c>
      <c r="BN557" s="294">
        <v>0.21</v>
      </c>
    </row>
    <row r="558" spans="1:66" ht="14.45" thickBot="1">
      <c r="A558" s="360">
        <v>45770</v>
      </c>
      <c r="B558" s="358">
        <v>0.125</v>
      </c>
      <c r="C558" s="313">
        <f t="shared" si="22"/>
        <v>23</v>
      </c>
      <c r="D558" s="314" t="s">
        <v>130</v>
      </c>
      <c r="E558" s="286">
        <v>14.2</v>
      </c>
      <c r="F558" s="287">
        <v>69.95</v>
      </c>
      <c r="G558" s="288" cm="1">
        <f t="array" aca="1" ref="G558" ca="1">INDIRECT("'"&amp;$C558&amp;"'!"&amp;"$"&amp;$D558&amp;$E$1&amp;"")</f>
        <v>6.7</v>
      </c>
      <c r="H558" s="289">
        <v>0.98</v>
      </c>
      <c r="I558" s="287">
        <v>1.51</v>
      </c>
      <c r="J558" s="288" cm="1">
        <f t="array" aca="1" ref="J558" ca="1">INDIRECT("'"&amp;$C558&amp;"'!"&amp;"$"&amp;$D558&amp;$J$1&amp;"")</f>
        <v>0</v>
      </c>
      <c r="K558" s="289"/>
      <c r="L558" s="289" t="s">
        <v>1</v>
      </c>
      <c r="M558" s="287" t="s">
        <v>1</v>
      </c>
      <c r="N558" s="288" cm="1">
        <f t="array" aca="1" ref="N558" ca="1">INDIRECT("'"&amp;$C558&amp;"'!"&amp;"$"&amp;$D558&amp;$N$1&amp;"")</f>
        <v>6.7</v>
      </c>
      <c r="O558" s="289"/>
      <c r="P558" s="289">
        <v>0.98</v>
      </c>
      <c r="Q558" s="287">
        <v>1.51</v>
      </c>
      <c r="R558" s="288" cm="1">
        <f t="array" aca="1" ref="R558" ca="1">INDIRECT("'"&amp;$C558&amp;"'!"&amp;"$"&amp;$D558&amp;$R$1&amp;"")</f>
        <v>6.7</v>
      </c>
      <c r="S558" s="289"/>
      <c r="T558" s="289">
        <v>0.98</v>
      </c>
      <c r="U558" s="287">
        <v>1.51</v>
      </c>
      <c r="V558" s="288" cm="1">
        <f t="array" aca="1" ref="V558" ca="1">INDIRECT("'"&amp;$C558&amp;"'!"&amp;"$"&amp;$D558&amp;$V$1&amp;"")</f>
        <v>0</v>
      </c>
      <c r="W558" s="289" t="s">
        <v>1</v>
      </c>
      <c r="X558" s="289" t="s">
        <v>1</v>
      </c>
      <c r="Y558" s="290" t="s">
        <v>1</v>
      </c>
      <c r="Z558" s="286" cm="1">
        <f t="array" aca="1" ref="Z558" ca="1">INDIRECT("'"&amp;$C558&amp;"'!"&amp;"$"&amp;$D558&amp;$Z$1&amp;"")</f>
        <v>0</v>
      </c>
      <c r="AA558" s="289" t="s">
        <v>1</v>
      </c>
      <c r="AB558" s="289" t="s">
        <v>1</v>
      </c>
      <c r="AC558" s="287" t="s">
        <v>1</v>
      </c>
      <c r="AD558" s="288" cm="1">
        <f t="array" aca="1" ref="AD558" ca="1">INDIRECT("'"&amp;$C558&amp;"'!"&amp;"$"&amp;$D558&amp;$AD$1&amp;"")</f>
        <v>0</v>
      </c>
      <c r="AE558" s="289" t="s">
        <v>1</v>
      </c>
      <c r="AF558" s="289" t="s">
        <v>1</v>
      </c>
      <c r="AG558" s="287" t="s">
        <v>1</v>
      </c>
      <c r="AH558" s="286" cm="1">
        <f t="array" aca="1" ref="AH558" ca="1">INDIRECT("'"&amp;$C558&amp;"'!"&amp;"$"&amp;$D558&amp;$AH$1&amp;"")</f>
        <v>0</v>
      </c>
      <c r="AI558" s="289" t="s">
        <v>1</v>
      </c>
      <c r="AJ558" s="289" t="s">
        <v>1</v>
      </c>
      <c r="AK558" s="287" t="s">
        <v>1</v>
      </c>
      <c r="AL558" s="286">
        <v>11.9</v>
      </c>
      <c r="AM558" s="290">
        <v>70.5</v>
      </c>
      <c r="AN558" s="286" cm="1">
        <f t="array" aca="1" ref="AN558" ca="1">INDIRECT("'"&amp;$C558&amp;"'!"&amp;"$"&amp;$D558&amp;$AL$1&amp;"")</f>
        <v>3.5</v>
      </c>
      <c r="AO558" s="289">
        <v>0.97</v>
      </c>
      <c r="AP558" s="287">
        <v>0.91</v>
      </c>
      <c r="AQ558" s="288" cm="1">
        <f t="array" aca="1" ref="AQ558" ca="1">INDIRECT("'"&amp;$C558&amp;"'!"&amp;"$"&amp;$D558&amp;$AQ$1&amp;"")</f>
        <v>3.5</v>
      </c>
      <c r="AR558" s="289">
        <v>0.97</v>
      </c>
      <c r="AS558" s="287">
        <v>0.86</v>
      </c>
      <c r="AT558" s="289" cm="1">
        <f t="array" aca="1" ref="AT558" ca="1">INDIRECT("'"&amp;$C558&amp;"'!"&amp;"$"&amp;$D558&amp;$AT$1&amp;"")</f>
        <v>0</v>
      </c>
      <c r="AU558" s="288" t="s">
        <v>1</v>
      </c>
      <c r="AV558" s="289" t="s">
        <v>1</v>
      </c>
      <c r="AW558" s="287" t="s">
        <v>1</v>
      </c>
      <c r="AX558" s="291">
        <v>14.11</v>
      </c>
      <c r="AY558" s="290">
        <v>71.39</v>
      </c>
      <c r="AZ558" s="291" cm="1">
        <f t="array" aca="1" ref="AZ558" ca="1">INDIRECT("'"&amp;$C558&amp;"'!"&amp;"$"&amp;$D558&amp;$AZ$1&amp;"")</f>
        <v>14.32</v>
      </c>
      <c r="BA558" s="289">
        <v>0.99</v>
      </c>
      <c r="BB558" s="287">
        <v>2.4</v>
      </c>
      <c r="BC558" s="292">
        <v>68.8</v>
      </c>
      <c r="BD558" s="286" cm="1">
        <f t="array" aca="1" ref="BD558" ca="1">INDIRECT("'"&amp;$C558&amp;"'!"&amp;"$"&amp;$D558&amp;$BC$1&amp;"")</f>
        <v>0</v>
      </c>
      <c r="BE558" s="288" t="s">
        <v>1</v>
      </c>
      <c r="BF558" s="287" t="s">
        <v>1</v>
      </c>
      <c r="BG558" s="291" cm="1">
        <f t="array" aca="1" ref="BG558" ca="1">INDIRECT("'"&amp;$C558&amp;"'!"&amp;"$"&amp;$D558&amp;$BG$1&amp;"")</f>
        <v>1.02</v>
      </c>
      <c r="BH558" s="289"/>
      <c r="BI558" s="289">
        <v>0.99</v>
      </c>
      <c r="BJ558" s="287">
        <v>0.15</v>
      </c>
      <c r="BK558" s="291" cm="1">
        <f t="array" aca="1" ref="BK558" ca="1">INDIRECT("'"&amp;$C558&amp;"'!"&amp;"$"&amp;$D558&amp;$BK$1&amp;"")</f>
        <v>0.77</v>
      </c>
      <c r="BL558" s="289"/>
      <c r="BM558" s="289">
        <v>0.96</v>
      </c>
      <c r="BN558" s="287">
        <v>0.2</v>
      </c>
    </row>
    <row r="559" spans="1:66" ht="14.45" thickBot="1">
      <c r="A559" s="360">
        <v>45770</v>
      </c>
      <c r="B559" s="358">
        <v>0.16666666666666699</v>
      </c>
      <c r="C559" s="313">
        <f t="shared" si="22"/>
        <v>23</v>
      </c>
      <c r="D559" s="314" t="s">
        <v>131</v>
      </c>
      <c r="E559" s="293">
        <v>14.2</v>
      </c>
      <c r="F559" s="294">
        <v>70.13</v>
      </c>
      <c r="G559" s="295" cm="1">
        <f t="array" aca="1" ref="G559" ca="1">INDIRECT("'"&amp;$C559&amp;"'!"&amp;"$"&amp;$D559&amp;$E$1&amp;"")</f>
        <v>6.6</v>
      </c>
      <c r="H559" s="296">
        <v>0.98</v>
      </c>
      <c r="I559" s="294">
        <v>1.44</v>
      </c>
      <c r="J559" s="295" cm="1">
        <f t="array" aca="1" ref="J559" ca="1">INDIRECT("'"&amp;$C559&amp;"'!"&amp;"$"&amp;$D559&amp;$J$1&amp;"")</f>
        <v>0</v>
      </c>
      <c r="K559" s="296"/>
      <c r="L559" s="296" t="s">
        <v>1</v>
      </c>
      <c r="M559" s="294" t="s">
        <v>1</v>
      </c>
      <c r="N559" s="295" cm="1">
        <f t="array" aca="1" ref="N559" ca="1">INDIRECT("'"&amp;$C559&amp;"'!"&amp;"$"&amp;$D559&amp;$N$1&amp;"")</f>
        <v>6.6</v>
      </c>
      <c r="O559" s="296"/>
      <c r="P559" s="296">
        <v>0.98</v>
      </c>
      <c r="Q559" s="294">
        <v>1.44</v>
      </c>
      <c r="R559" s="295" cm="1">
        <f t="array" aca="1" ref="R559" ca="1">INDIRECT("'"&amp;$C559&amp;"'!"&amp;"$"&amp;$D559&amp;$R$1&amp;"")</f>
        <v>6.6</v>
      </c>
      <c r="S559" s="296"/>
      <c r="T559" s="296">
        <v>0.98</v>
      </c>
      <c r="U559" s="294">
        <v>1.44</v>
      </c>
      <c r="V559" s="295" cm="1">
        <f t="array" aca="1" ref="V559" ca="1">INDIRECT("'"&amp;$C559&amp;"'!"&amp;"$"&amp;$D559&amp;$V$1&amp;"")</f>
        <v>0</v>
      </c>
      <c r="W559" s="296" t="s">
        <v>1</v>
      </c>
      <c r="X559" s="296" t="s">
        <v>1</v>
      </c>
      <c r="Y559" s="297" t="s">
        <v>1</v>
      </c>
      <c r="Z559" s="293" cm="1">
        <f t="array" aca="1" ref="Z559" ca="1">INDIRECT("'"&amp;$C559&amp;"'!"&amp;"$"&amp;$D559&amp;$Z$1&amp;"")</f>
        <v>0</v>
      </c>
      <c r="AA559" s="296" t="s">
        <v>1</v>
      </c>
      <c r="AB559" s="296" t="s">
        <v>1</v>
      </c>
      <c r="AC559" s="294" t="s">
        <v>1</v>
      </c>
      <c r="AD559" s="295" cm="1">
        <f t="array" aca="1" ref="AD559" ca="1">INDIRECT("'"&amp;$C559&amp;"'!"&amp;"$"&amp;$D559&amp;$AD$1&amp;"")</f>
        <v>0</v>
      </c>
      <c r="AE559" s="296" t="s">
        <v>1</v>
      </c>
      <c r="AF559" s="296" t="s">
        <v>1</v>
      </c>
      <c r="AG559" s="294" t="s">
        <v>1</v>
      </c>
      <c r="AH559" s="293" cm="1">
        <f t="array" aca="1" ref="AH559" ca="1">INDIRECT("'"&amp;$C559&amp;"'!"&amp;"$"&amp;$D559&amp;$AH$1&amp;"")</f>
        <v>0</v>
      </c>
      <c r="AI559" s="296" t="s">
        <v>1</v>
      </c>
      <c r="AJ559" s="296" t="s">
        <v>1</v>
      </c>
      <c r="AK559" s="294" t="s">
        <v>1</v>
      </c>
      <c r="AL559" s="293">
        <v>11.9</v>
      </c>
      <c r="AM559" s="297">
        <v>70.7</v>
      </c>
      <c r="AN559" s="293" cm="1">
        <f t="array" aca="1" ref="AN559" ca="1">INDIRECT("'"&amp;$C559&amp;"'!"&amp;"$"&amp;$D559&amp;$AL$1&amp;"")</f>
        <v>3</v>
      </c>
      <c r="AO559" s="296">
        <v>0.97</v>
      </c>
      <c r="AP559" s="294">
        <v>0.83</v>
      </c>
      <c r="AQ559" s="295" cm="1">
        <f t="array" aca="1" ref="AQ559" ca="1">INDIRECT("'"&amp;$C559&amp;"'!"&amp;"$"&amp;$D559&amp;$AQ$1&amp;"")</f>
        <v>3</v>
      </c>
      <c r="AR559" s="296">
        <v>0.97</v>
      </c>
      <c r="AS559" s="294">
        <v>0.78</v>
      </c>
      <c r="AT559" s="296" cm="1">
        <f t="array" aca="1" ref="AT559" ca="1">INDIRECT("'"&amp;$C559&amp;"'!"&amp;"$"&amp;$D559&amp;$AT$1&amp;"")</f>
        <v>0</v>
      </c>
      <c r="AU559" s="295" t="s">
        <v>1</v>
      </c>
      <c r="AV559" s="296" t="s">
        <v>1</v>
      </c>
      <c r="AW559" s="294" t="s">
        <v>1</v>
      </c>
      <c r="AX559" s="298">
        <v>14.15</v>
      </c>
      <c r="AY559" s="297">
        <v>71.56</v>
      </c>
      <c r="AZ559" s="298" cm="1">
        <f t="array" aca="1" ref="AZ559" ca="1">INDIRECT("'"&amp;$C559&amp;"'!"&amp;"$"&amp;$D559&amp;$AZ$1&amp;"")</f>
        <v>14.28</v>
      </c>
      <c r="BA559" s="296">
        <v>0.99</v>
      </c>
      <c r="BB559" s="294">
        <v>2.4</v>
      </c>
      <c r="BC559" s="299">
        <v>69.2</v>
      </c>
      <c r="BD559" s="293" cm="1">
        <f t="array" aca="1" ref="BD559" ca="1">INDIRECT("'"&amp;$C559&amp;"'!"&amp;"$"&amp;$D559&amp;$BC$1&amp;"")</f>
        <v>0</v>
      </c>
      <c r="BE559" s="295" t="s">
        <v>1</v>
      </c>
      <c r="BF559" s="294" t="s">
        <v>1</v>
      </c>
      <c r="BG559" s="298" cm="1">
        <f t="array" aca="1" ref="BG559" ca="1">INDIRECT("'"&amp;$C559&amp;"'!"&amp;"$"&amp;$D559&amp;$BG$1&amp;"")</f>
        <v>0.98</v>
      </c>
      <c r="BH559" s="296"/>
      <c r="BI559" s="296">
        <v>0.99</v>
      </c>
      <c r="BJ559" s="294">
        <v>0.16</v>
      </c>
      <c r="BK559" s="298" cm="1">
        <f t="array" aca="1" ref="BK559" ca="1">INDIRECT("'"&amp;$C559&amp;"'!"&amp;"$"&amp;$D559&amp;$BK$1&amp;"")</f>
        <v>0.77</v>
      </c>
      <c r="BL559" s="296"/>
      <c r="BM559" s="296">
        <v>0.96</v>
      </c>
      <c r="BN559" s="294">
        <v>0.2</v>
      </c>
    </row>
    <row r="560" spans="1:66" ht="14.45" thickBot="1">
      <c r="A560" s="360">
        <v>45770</v>
      </c>
      <c r="B560" s="358">
        <v>0.20833333333333301</v>
      </c>
      <c r="C560" s="313">
        <f t="shared" si="22"/>
        <v>23</v>
      </c>
      <c r="D560" s="314" t="s">
        <v>132</v>
      </c>
      <c r="E560" s="286">
        <v>14.2</v>
      </c>
      <c r="F560" s="287">
        <v>70.05</v>
      </c>
      <c r="G560" s="288" cm="1">
        <f t="array" aca="1" ref="G560" ca="1">INDIRECT("'"&amp;$C560&amp;"'!"&amp;"$"&amp;$D560&amp;$E$1&amp;"")</f>
        <v>6.7</v>
      </c>
      <c r="H560" s="289">
        <v>0.98</v>
      </c>
      <c r="I560" s="287">
        <v>1.51</v>
      </c>
      <c r="J560" s="288" cm="1">
        <f t="array" aca="1" ref="J560" ca="1">INDIRECT("'"&amp;$C560&amp;"'!"&amp;"$"&amp;$D560&amp;$J$1&amp;"")</f>
        <v>0</v>
      </c>
      <c r="K560" s="289"/>
      <c r="L560" s="289" t="s">
        <v>1</v>
      </c>
      <c r="M560" s="287" t="s">
        <v>1</v>
      </c>
      <c r="N560" s="288" cm="1">
        <f t="array" aca="1" ref="N560" ca="1">INDIRECT("'"&amp;$C560&amp;"'!"&amp;"$"&amp;$D560&amp;$N$1&amp;"")</f>
        <v>6.7</v>
      </c>
      <c r="O560" s="289"/>
      <c r="P560" s="289">
        <v>0.98</v>
      </c>
      <c r="Q560" s="287">
        <v>1.51</v>
      </c>
      <c r="R560" s="288" cm="1">
        <f t="array" aca="1" ref="R560" ca="1">INDIRECT("'"&amp;$C560&amp;"'!"&amp;"$"&amp;$D560&amp;$R$1&amp;"")</f>
        <v>6.7</v>
      </c>
      <c r="S560" s="289"/>
      <c r="T560" s="289">
        <v>0.98</v>
      </c>
      <c r="U560" s="287">
        <v>1.51</v>
      </c>
      <c r="V560" s="288" cm="1">
        <f t="array" aca="1" ref="V560" ca="1">INDIRECT("'"&amp;$C560&amp;"'!"&amp;"$"&amp;$D560&amp;$V$1&amp;"")</f>
        <v>0</v>
      </c>
      <c r="W560" s="289" t="s">
        <v>1</v>
      </c>
      <c r="X560" s="289" t="s">
        <v>1</v>
      </c>
      <c r="Y560" s="290" t="s">
        <v>1</v>
      </c>
      <c r="Z560" s="286" cm="1">
        <f t="array" aca="1" ref="Z560" ca="1">INDIRECT("'"&amp;$C560&amp;"'!"&amp;"$"&amp;$D560&amp;$Z$1&amp;"")</f>
        <v>0</v>
      </c>
      <c r="AA560" s="289" t="s">
        <v>1</v>
      </c>
      <c r="AB560" s="289" t="s">
        <v>1</v>
      </c>
      <c r="AC560" s="287" t="s">
        <v>1</v>
      </c>
      <c r="AD560" s="288" cm="1">
        <f t="array" aca="1" ref="AD560" ca="1">INDIRECT("'"&amp;$C560&amp;"'!"&amp;"$"&amp;$D560&amp;$AD$1&amp;"")</f>
        <v>0</v>
      </c>
      <c r="AE560" s="289" t="s">
        <v>1</v>
      </c>
      <c r="AF560" s="289" t="s">
        <v>1</v>
      </c>
      <c r="AG560" s="290" t="s">
        <v>1</v>
      </c>
      <c r="AH560" s="286" cm="1">
        <f t="array" aca="1" ref="AH560" ca="1">INDIRECT("'"&amp;$C560&amp;"'!"&amp;"$"&amp;$D560&amp;$AH$1&amp;"")</f>
        <v>0</v>
      </c>
      <c r="AI560" s="289" t="s">
        <v>1</v>
      </c>
      <c r="AJ560" s="289" t="s">
        <v>1</v>
      </c>
      <c r="AK560" s="290" t="s">
        <v>1</v>
      </c>
      <c r="AL560" s="286">
        <v>11.9</v>
      </c>
      <c r="AM560" s="290">
        <v>70.599999999999994</v>
      </c>
      <c r="AN560" s="286" cm="1">
        <f t="array" aca="1" ref="AN560" ca="1">INDIRECT("'"&amp;$C560&amp;"'!"&amp;"$"&amp;$D560&amp;$AL$1&amp;"")</f>
        <v>3</v>
      </c>
      <c r="AO560" s="289">
        <v>0.96</v>
      </c>
      <c r="AP560" s="287">
        <v>0.86</v>
      </c>
      <c r="AQ560" s="288" cm="1">
        <f t="array" aca="1" ref="AQ560" ca="1">INDIRECT("'"&amp;$C560&amp;"'!"&amp;"$"&amp;$D560&amp;$AQ$1&amp;"")</f>
        <v>3</v>
      </c>
      <c r="AR560" s="289">
        <v>0.96</v>
      </c>
      <c r="AS560" s="287">
        <v>0.82</v>
      </c>
      <c r="AT560" s="289" cm="1">
        <f t="array" aca="1" ref="AT560" ca="1">INDIRECT("'"&amp;$C560&amp;"'!"&amp;"$"&amp;$D560&amp;$AT$1&amp;"")</f>
        <v>0</v>
      </c>
      <c r="AU560" s="288" t="s">
        <v>1</v>
      </c>
      <c r="AV560" s="289" t="s">
        <v>1</v>
      </c>
      <c r="AW560" s="287" t="s">
        <v>1</v>
      </c>
      <c r="AX560" s="291">
        <v>14.14</v>
      </c>
      <c r="AY560" s="290">
        <v>71.569999999999993</v>
      </c>
      <c r="AZ560" s="291" cm="1">
        <f t="array" aca="1" ref="AZ560" ca="1">INDIRECT("'"&amp;$C560&amp;"'!"&amp;"$"&amp;$D560&amp;$AZ$1&amp;"")</f>
        <v>14.26</v>
      </c>
      <c r="BA560" s="289">
        <v>0.99</v>
      </c>
      <c r="BB560" s="287">
        <v>2.4</v>
      </c>
      <c r="BC560" s="292">
        <v>69</v>
      </c>
      <c r="BD560" s="286" cm="1">
        <f t="array" aca="1" ref="BD560" ca="1">INDIRECT("'"&amp;$C560&amp;"'!"&amp;"$"&amp;$D560&amp;$BC$1&amp;"")</f>
        <v>0</v>
      </c>
      <c r="BE560" s="288" t="s">
        <v>1</v>
      </c>
      <c r="BF560" s="287" t="s">
        <v>1</v>
      </c>
      <c r="BG560" s="291" cm="1">
        <f t="array" aca="1" ref="BG560" ca="1">INDIRECT("'"&amp;$C560&amp;"'!"&amp;"$"&amp;$D560&amp;$BG$1&amp;"")</f>
        <v>1.02</v>
      </c>
      <c r="BH560" s="289"/>
      <c r="BI560" s="289">
        <v>0.99</v>
      </c>
      <c r="BJ560" s="287">
        <v>0.16</v>
      </c>
      <c r="BK560" s="291" cm="1">
        <f t="array" aca="1" ref="BK560" ca="1">INDIRECT("'"&amp;$C560&amp;"'!"&amp;"$"&amp;$D560&amp;$BK$1&amp;"")</f>
        <v>0.77</v>
      </c>
      <c r="BL560" s="289"/>
      <c r="BM560" s="289">
        <v>0.96</v>
      </c>
      <c r="BN560" s="287">
        <v>0.2</v>
      </c>
    </row>
    <row r="561" spans="1:66" ht="14.45" thickBot="1">
      <c r="A561" s="360">
        <v>45770</v>
      </c>
      <c r="B561" s="358">
        <v>0.25</v>
      </c>
      <c r="C561" s="313">
        <f t="shared" si="22"/>
        <v>23</v>
      </c>
      <c r="D561" s="314" t="s">
        <v>133</v>
      </c>
      <c r="E561" s="293">
        <v>14.2</v>
      </c>
      <c r="F561" s="294">
        <v>69.7</v>
      </c>
      <c r="G561" s="295" cm="1">
        <f t="array" aca="1" ref="G561" ca="1">INDIRECT("'"&amp;$C561&amp;"'!"&amp;"$"&amp;$D561&amp;$E$1&amp;"")</f>
        <v>6.7</v>
      </c>
      <c r="H561" s="296">
        <v>0.97</v>
      </c>
      <c r="I561" s="294">
        <v>1.7</v>
      </c>
      <c r="J561" s="295" cm="1">
        <f t="array" aca="1" ref="J561" ca="1">INDIRECT("'"&amp;$C561&amp;"'!"&amp;"$"&amp;$D561&amp;$J$1&amp;"")</f>
        <v>0</v>
      </c>
      <c r="K561" s="296"/>
      <c r="L561" s="296" t="s">
        <v>1</v>
      </c>
      <c r="M561" s="294" t="s">
        <v>1</v>
      </c>
      <c r="N561" s="295" cm="1">
        <f t="array" aca="1" ref="N561" ca="1">INDIRECT("'"&amp;$C561&amp;"'!"&amp;"$"&amp;$D561&amp;$N$1&amp;"")</f>
        <v>6.7</v>
      </c>
      <c r="O561" s="296"/>
      <c r="P561" s="296">
        <v>0.97</v>
      </c>
      <c r="Q561" s="294">
        <v>1.7</v>
      </c>
      <c r="R561" s="295" cm="1">
        <f t="array" aca="1" ref="R561" ca="1">INDIRECT("'"&amp;$C561&amp;"'!"&amp;"$"&amp;$D561&amp;$R$1&amp;"")</f>
        <v>6.7</v>
      </c>
      <c r="S561" s="296"/>
      <c r="T561" s="296">
        <v>0.97</v>
      </c>
      <c r="U561" s="294">
        <v>1.7</v>
      </c>
      <c r="V561" s="295" cm="1">
        <f t="array" aca="1" ref="V561" ca="1">INDIRECT("'"&amp;$C561&amp;"'!"&amp;"$"&amp;$D561&amp;$V$1&amp;"")</f>
        <v>0</v>
      </c>
      <c r="W561" s="296" t="s">
        <v>1</v>
      </c>
      <c r="X561" s="296" t="s">
        <v>1</v>
      </c>
      <c r="Y561" s="297" t="s">
        <v>1</v>
      </c>
      <c r="Z561" s="293" cm="1">
        <f t="array" aca="1" ref="Z561" ca="1">INDIRECT("'"&amp;$C561&amp;"'!"&amp;"$"&amp;$D561&amp;$Z$1&amp;"")</f>
        <v>0</v>
      </c>
      <c r="AA561" s="296" t="s">
        <v>1</v>
      </c>
      <c r="AB561" s="296" t="s">
        <v>1</v>
      </c>
      <c r="AC561" s="294" t="s">
        <v>1</v>
      </c>
      <c r="AD561" s="295" cm="1">
        <f t="array" aca="1" ref="AD561" ca="1">INDIRECT("'"&amp;$C561&amp;"'!"&amp;"$"&amp;$D561&amp;$AD$1&amp;"")</f>
        <v>0</v>
      </c>
      <c r="AE561" s="296" t="s">
        <v>1</v>
      </c>
      <c r="AF561" s="296" t="s">
        <v>1</v>
      </c>
      <c r="AG561" s="297" t="s">
        <v>1</v>
      </c>
      <c r="AH561" s="293" cm="1">
        <f t="array" aca="1" ref="AH561" ca="1">INDIRECT("'"&amp;$C561&amp;"'!"&amp;"$"&amp;$D561&amp;$AH$1&amp;"")</f>
        <v>0</v>
      </c>
      <c r="AI561" s="296" t="s">
        <v>1</v>
      </c>
      <c r="AJ561" s="296" t="s">
        <v>1</v>
      </c>
      <c r="AK561" s="297" t="s">
        <v>1</v>
      </c>
      <c r="AL561" s="293">
        <v>11.9</v>
      </c>
      <c r="AM561" s="297">
        <v>70.5</v>
      </c>
      <c r="AN561" s="293" cm="1">
        <f t="array" aca="1" ref="AN561" ca="1">INDIRECT("'"&amp;$C561&amp;"'!"&amp;"$"&amp;$D561&amp;$AL$1&amp;"")</f>
        <v>3.9</v>
      </c>
      <c r="AO561" s="296">
        <v>0.97</v>
      </c>
      <c r="AP561" s="294">
        <v>0.94</v>
      </c>
      <c r="AQ561" s="295" cm="1">
        <f t="array" aca="1" ref="AQ561" ca="1">INDIRECT("'"&amp;$C561&amp;"'!"&amp;"$"&amp;$D561&amp;$AQ$1&amp;"")</f>
        <v>3.9</v>
      </c>
      <c r="AR561" s="296">
        <v>0.97</v>
      </c>
      <c r="AS561" s="294">
        <v>0.9</v>
      </c>
      <c r="AT561" s="296" cm="1">
        <f t="array" aca="1" ref="AT561" ca="1">INDIRECT("'"&amp;$C561&amp;"'!"&amp;"$"&amp;$D561&amp;$AT$1&amp;"")</f>
        <v>0</v>
      </c>
      <c r="AU561" s="295" t="s">
        <v>1</v>
      </c>
      <c r="AV561" s="296" t="s">
        <v>1</v>
      </c>
      <c r="AW561" s="294" t="s">
        <v>1</v>
      </c>
      <c r="AX561" s="298">
        <v>14.02</v>
      </c>
      <c r="AY561" s="297">
        <v>71</v>
      </c>
      <c r="AZ561" s="298" cm="1">
        <f t="array" aca="1" ref="AZ561" ca="1">INDIRECT("'"&amp;$C561&amp;"'!"&amp;"$"&amp;$D561&amp;$AZ$1&amp;"")</f>
        <v>14.2</v>
      </c>
      <c r="BA561" s="296">
        <v>0.99</v>
      </c>
      <c r="BB561" s="294">
        <v>2.4</v>
      </c>
      <c r="BC561" s="299">
        <v>68.8</v>
      </c>
      <c r="BD561" s="293" cm="1">
        <f t="array" aca="1" ref="BD561" ca="1">INDIRECT("'"&amp;$C561&amp;"'!"&amp;"$"&amp;$D561&amp;$BC$1&amp;"")</f>
        <v>0.7</v>
      </c>
      <c r="BE561" s="295">
        <v>0.97</v>
      </c>
      <c r="BF561" s="294">
        <v>0.17</v>
      </c>
      <c r="BG561" s="298" cm="1">
        <f t="array" aca="1" ref="BG561" ca="1">INDIRECT("'"&amp;$C561&amp;"'!"&amp;"$"&amp;$D561&amp;$BG$1&amp;"")</f>
        <v>1.04</v>
      </c>
      <c r="BH561" s="296"/>
      <c r="BI561" s="296">
        <v>0.99</v>
      </c>
      <c r="BJ561" s="294">
        <v>0.15</v>
      </c>
      <c r="BK561" s="298" cm="1">
        <f t="array" aca="1" ref="BK561" ca="1">INDIRECT("'"&amp;$C561&amp;"'!"&amp;"$"&amp;$D561&amp;$BK$1&amp;"")</f>
        <v>0.79</v>
      </c>
      <c r="BL561" s="296"/>
      <c r="BM561" s="296">
        <v>0.96</v>
      </c>
      <c r="BN561" s="294">
        <v>0.21</v>
      </c>
    </row>
    <row r="562" spans="1:66" ht="14.45" thickBot="1">
      <c r="A562" s="360">
        <v>45770</v>
      </c>
      <c r="B562" s="358">
        <v>0.29166666666666702</v>
      </c>
      <c r="C562" s="313">
        <f t="shared" si="22"/>
        <v>23</v>
      </c>
      <c r="D562" s="314" t="s">
        <v>134</v>
      </c>
      <c r="E562" s="286">
        <v>14.2</v>
      </c>
      <c r="F562" s="287">
        <v>69.599999999999994</v>
      </c>
      <c r="G562" s="288" cm="1">
        <f t="array" aca="1" ref="G562" ca="1">INDIRECT("'"&amp;$C562&amp;"'!"&amp;"$"&amp;$D562&amp;$E$1&amp;"")</f>
        <v>6.4</v>
      </c>
      <c r="H562" s="289">
        <v>0.96</v>
      </c>
      <c r="I562" s="287">
        <v>1.84</v>
      </c>
      <c r="J562" s="288" cm="1">
        <f t="array" aca="1" ref="J562" ca="1">INDIRECT("'"&amp;$C562&amp;"'!"&amp;"$"&amp;$D562&amp;$J$1&amp;"")</f>
        <v>7</v>
      </c>
      <c r="K562" s="289"/>
      <c r="L562" s="289">
        <v>0.96</v>
      </c>
      <c r="M562" s="287">
        <v>1.95</v>
      </c>
      <c r="N562" s="288" cm="1">
        <f t="array" aca="1" ref="N562" ca="1">INDIRECT("'"&amp;$C562&amp;"'!"&amp;"$"&amp;$D562&amp;$N$1&amp;"")</f>
        <v>6.4</v>
      </c>
      <c r="O562" s="289"/>
      <c r="P562" s="289">
        <v>0.96</v>
      </c>
      <c r="Q562" s="287">
        <v>1.84</v>
      </c>
      <c r="R562" s="288" cm="1">
        <f t="array" aca="1" ref="R562" ca="1">INDIRECT("'"&amp;$C562&amp;"'!"&amp;"$"&amp;$D562&amp;$R$1&amp;"")</f>
        <v>0</v>
      </c>
      <c r="S562" s="289"/>
      <c r="T562" s="289" t="s">
        <v>1</v>
      </c>
      <c r="U562" s="287" t="s">
        <v>1</v>
      </c>
      <c r="V562" s="288" cm="1">
        <f t="array" aca="1" ref="V562" ca="1">INDIRECT("'"&amp;$C562&amp;"'!"&amp;"$"&amp;$D562&amp;$V$1&amp;"")</f>
        <v>2.5</v>
      </c>
      <c r="W562" s="289">
        <f>3.8*3.5</f>
        <v>13.299999999999999</v>
      </c>
      <c r="X562" s="289">
        <v>0.99</v>
      </c>
      <c r="Y562" s="290">
        <v>0.21</v>
      </c>
      <c r="Z562" s="286" cm="1">
        <f t="array" aca="1" ref="Z562" ca="1">INDIRECT("'"&amp;$C562&amp;"'!"&amp;"$"&amp;$D562&amp;$Z$1&amp;"")</f>
        <v>0</v>
      </c>
      <c r="AA562" s="289" t="s">
        <v>1</v>
      </c>
      <c r="AB562" s="289" t="s">
        <v>1</v>
      </c>
      <c r="AC562" s="287" t="s">
        <v>1</v>
      </c>
      <c r="AD562" s="288" cm="1">
        <f t="array" aca="1" ref="AD562" ca="1">INDIRECT("'"&amp;$C562&amp;"'!"&amp;"$"&amp;$D562&amp;$AD$1&amp;"")</f>
        <v>0</v>
      </c>
      <c r="AE562" s="289" t="s">
        <v>1</v>
      </c>
      <c r="AF562" s="289" t="s">
        <v>1</v>
      </c>
      <c r="AG562" s="290" t="s">
        <v>1</v>
      </c>
      <c r="AH562" s="286" cm="1">
        <f t="array" aca="1" ref="AH562" ca="1">INDIRECT("'"&amp;$C562&amp;"'!"&amp;"$"&amp;$D562&amp;$AH$1&amp;"")</f>
        <v>0</v>
      </c>
      <c r="AI562" s="289" t="s">
        <v>1</v>
      </c>
      <c r="AJ562" s="289" t="s">
        <v>1</v>
      </c>
      <c r="AK562" s="290" t="s">
        <v>1</v>
      </c>
      <c r="AL562" s="286">
        <v>11.9</v>
      </c>
      <c r="AM562" s="290">
        <v>70.2</v>
      </c>
      <c r="AN562" s="286" cm="1">
        <f t="array" aca="1" ref="AN562" ca="1">INDIRECT("'"&amp;$C562&amp;"'!"&amp;"$"&amp;$D562&amp;$AL$1&amp;"")</f>
        <v>3.9</v>
      </c>
      <c r="AO562" s="289">
        <v>0.96</v>
      </c>
      <c r="AP562" s="287">
        <v>1.1000000000000001</v>
      </c>
      <c r="AQ562" s="288" cm="1">
        <f t="array" aca="1" ref="AQ562" ca="1">INDIRECT("'"&amp;$C562&amp;"'!"&amp;"$"&amp;$D562&amp;$AQ$1&amp;"")</f>
        <v>3.9</v>
      </c>
      <c r="AR562" s="289">
        <v>0.96</v>
      </c>
      <c r="AS562" s="287">
        <v>1.1000000000000001</v>
      </c>
      <c r="AT562" s="289" cm="1">
        <f t="array" aca="1" ref="AT562" ca="1">INDIRECT("'"&amp;$C562&amp;"'!"&amp;"$"&amp;$D562&amp;$AT$1&amp;"")</f>
        <v>0</v>
      </c>
      <c r="AU562" s="288" t="s">
        <v>1</v>
      </c>
      <c r="AV562" s="289" t="s">
        <v>1</v>
      </c>
      <c r="AW562" s="287" t="s">
        <v>1</v>
      </c>
      <c r="AX562" s="291">
        <v>13.99</v>
      </c>
      <c r="AY562" s="290">
        <v>70.75</v>
      </c>
      <c r="AZ562" s="291" cm="1">
        <f t="array" aca="1" ref="AZ562" ca="1">INDIRECT("'"&amp;$C562&amp;"'!"&amp;"$"&amp;$D562&amp;$AZ$1&amp;"")</f>
        <v>12.8</v>
      </c>
      <c r="BA562" s="289">
        <v>0.99</v>
      </c>
      <c r="BB562" s="287">
        <v>2.2000000000000002</v>
      </c>
      <c r="BC562" s="292">
        <v>68.599999999999994</v>
      </c>
      <c r="BD562" s="286" cm="1">
        <f t="array" aca="1" ref="BD562" ca="1">INDIRECT("'"&amp;$C562&amp;"'!"&amp;"$"&amp;$D562&amp;$BC$1&amp;"")</f>
        <v>0</v>
      </c>
      <c r="BE562" s="288" t="s">
        <v>1</v>
      </c>
      <c r="BF562" s="287" t="s">
        <v>1</v>
      </c>
      <c r="BG562" s="291" cm="1">
        <f t="array" aca="1" ref="BG562" ca="1">INDIRECT("'"&amp;$C562&amp;"'!"&amp;"$"&amp;$D562&amp;$BG$1&amp;"")</f>
        <v>1.0900000000000001</v>
      </c>
      <c r="BH562" s="289"/>
      <c r="BI562" s="289">
        <v>0.98</v>
      </c>
      <c r="BJ562" s="287">
        <v>0.19</v>
      </c>
      <c r="BK562" s="292" cm="1">
        <f t="array" aca="1" ref="BK562" ca="1">INDIRECT("'"&amp;$C562&amp;"'!"&amp;"$"&amp;$D562&amp;$BK$1&amp;"")</f>
        <v>0.75</v>
      </c>
      <c r="BL562" s="289"/>
      <c r="BM562" s="289">
        <v>0.96</v>
      </c>
      <c r="BN562" s="287">
        <v>0.21</v>
      </c>
    </row>
    <row r="563" spans="1:66" ht="14.45" thickBot="1">
      <c r="A563" s="360">
        <v>45770</v>
      </c>
      <c r="B563" s="358">
        <v>0.33333333333333398</v>
      </c>
      <c r="C563" s="313">
        <f t="shared" si="22"/>
        <v>23</v>
      </c>
      <c r="D563" s="314" t="s">
        <v>135</v>
      </c>
      <c r="E563" s="293">
        <v>14.1</v>
      </c>
      <c r="F563" s="294">
        <v>70.16</v>
      </c>
      <c r="G563" s="295" cm="1">
        <f t="array" aca="1" ref="G563" ca="1">INDIRECT("'"&amp;$C563&amp;"'!"&amp;"$"&amp;$D563&amp;$E$1&amp;"")</f>
        <v>6.7</v>
      </c>
      <c r="H563" s="296">
        <v>0.96</v>
      </c>
      <c r="I563" s="294">
        <v>2.0099999999999998</v>
      </c>
      <c r="J563" s="295" cm="1">
        <f t="array" aca="1" ref="J563" ca="1">INDIRECT("'"&amp;$C563&amp;"'!"&amp;"$"&amp;$D563&amp;$J$1&amp;"")</f>
        <v>6.7</v>
      </c>
      <c r="K563" s="296"/>
      <c r="L563" s="296">
        <v>0.96</v>
      </c>
      <c r="M563" s="294">
        <v>2</v>
      </c>
      <c r="N563" s="295" cm="1">
        <f t="array" aca="1" ref="N563" ca="1">INDIRECT("'"&amp;$C563&amp;"'!"&amp;"$"&amp;$D563&amp;$N$1&amp;"")</f>
        <v>6.7</v>
      </c>
      <c r="O563" s="296"/>
      <c r="P563" s="296">
        <v>0.96</v>
      </c>
      <c r="Q563" s="294">
        <v>2.04</v>
      </c>
      <c r="R563" s="295" cm="1">
        <f t="array" aca="1" ref="R563" ca="1">INDIRECT("'"&amp;$C563&amp;"'!"&amp;"$"&amp;$D563&amp;$R$1&amp;"")</f>
        <v>0</v>
      </c>
      <c r="S563" s="296"/>
      <c r="T563" s="296" t="s">
        <v>1</v>
      </c>
      <c r="U563" s="294" t="s">
        <v>1</v>
      </c>
      <c r="V563" s="295" cm="1">
        <f t="array" aca="1" ref="V563" ca="1">INDIRECT("'"&amp;$C563&amp;"'!"&amp;"$"&amp;$D563&amp;$V$1&amp;"")</f>
        <v>2.8</v>
      </c>
      <c r="W563" s="296">
        <f>3.8*3.66</f>
        <v>13.907999999999999</v>
      </c>
      <c r="X563" s="296">
        <v>0.97</v>
      </c>
      <c r="Y563" s="297">
        <v>0.7</v>
      </c>
      <c r="Z563" s="293" cm="1">
        <f t="array" aca="1" ref="Z563" ca="1">INDIRECT("'"&amp;$C563&amp;"'!"&amp;"$"&amp;$D563&amp;$Z$1&amp;"")</f>
        <v>0</v>
      </c>
      <c r="AA563" s="296" t="s">
        <v>1</v>
      </c>
      <c r="AB563" s="296" t="s">
        <v>1</v>
      </c>
      <c r="AC563" s="294" t="s">
        <v>1</v>
      </c>
      <c r="AD563" s="295" cm="1">
        <f t="array" aca="1" ref="AD563" ca="1">INDIRECT("'"&amp;$C563&amp;"'!"&amp;"$"&amp;$D563&amp;$AD$1&amp;"")</f>
        <v>3</v>
      </c>
      <c r="AE563" s="296">
        <f>3.8*3.66</f>
        <v>13.907999999999999</v>
      </c>
      <c r="AF563" s="296">
        <v>0.92</v>
      </c>
      <c r="AG563" s="297">
        <v>1.1299999999999999</v>
      </c>
      <c r="AH563" s="293" cm="1">
        <f t="array" aca="1" ref="AH563" ca="1">INDIRECT("'"&amp;$C563&amp;"'!"&amp;"$"&amp;$D563&amp;$AH$1&amp;"")</f>
        <v>0</v>
      </c>
      <c r="AI563" s="296" t="s">
        <v>1</v>
      </c>
      <c r="AJ563" s="296" t="s">
        <v>1</v>
      </c>
      <c r="AK563" s="297" t="s">
        <v>1</v>
      </c>
      <c r="AL563" s="293">
        <v>11.9</v>
      </c>
      <c r="AM563" s="297">
        <v>70</v>
      </c>
      <c r="AN563" s="293" cm="1">
        <f t="array" aca="1" ref="AN563" ca="1">INDIRECT("'"&amp;$C563&amp;"'!"&amp;"$"&amp;$D563&amp;$AL$1&amp;"")</f>
        <v>4</v>
      </c>
      <c r="AO563" s="296">
        <v>0.95</v>
      </c>
      <c r="AP563" s="294">
        <v>1.22</v>
      </c>
      <c r="AQ563" s="295" cm="1">
        <f t="array" aca="1" ref="AQ563" ca="1">INDIRECT("'"&amp;$C563&amp;"'!"&amp;"$"&amp;$D563&amp;$AQ$1&amp;"")</f>
        <v>4</v>
      </c>
      <c r="AR563" s="296">
        <v>0.95</v>
      </c>
      <c r="AS563" s="294">
        <v>1.1499999999999999</v>
      </c>
      <c r="AT563" s="296" cm="1">
        <f t="array" aca="1" ref="AT563" ca="1">INDIRECT("'"&amp;$C563&amp;"'!"&amp;"$"&amp;$D563&amp;$AT$1&amp;"")</f>
        <v>0</v>
      </c>
      <c r="AU563" s="295" t="s">
        <v>1</v>
      </c>
      <c r="AV563" s="296" t="s">
        <v>1</v>
      </c>
      <c r="AW563" s="294" t="s">
        <v>1</v>
      </c>
      <c r="AX563" s="298">
        <v>13.97</v>
      </c>
      <c r="AY563" s="297">
        <v>70.53</v>
      </c>
      <c r="AZ563" s="298" cm="1">
        <f t="array" aca="1" ref="AZ563" ca="1">INDIRECT("'"&amp;$C563&amp;"'!"&amp;"$"&amp;$D563&amp;$AZ$1&amp;"")</f>
        <v>14.3</v>
      </c>
      <c r="BA563" s="296">
        <v>0.99</v>
      </c>
      <c r="BB563" s="294">
        <v>2.4</v>
      </c>
      <c r="BC563" s="299">
        <v>68.400000000000006</v>
      </c>
      <c r="BD563" s="293" cm="1">
        <f t="array" aca="1" ref="BD563" ca="1">INDIRECT("'"&amp;$C563&amp;"'!"&amp;"$"&amp;$D563&amp;$BC$1&amp;"")</f>
        <v>0.7</v>
      </c>
      <c r="BE563" s="295">
        <v>0.95</v>
      </c>
      <c r="BF563" s="294">
        <v>0.53</v>
      </c>
      <c r="BG563" s="298" cm="1">
        <f t="array" aca="1" ref="BG563" ca="1">INDIRECT("'"&amp;$C563&amp;"'!"&amp;"$"&amp;$D563&amp;$BG$1&amp;"")</f>
        <v>1.24</v>
      </c>
      <c r="BH563" s="296"/>
      <c r="BI563" s="296">
        <v>0.99</v>
      </c>
      <c r="BJ563" s="294">
        <v>0.19</v>
      </c>
      <c r="BK563" s="299" cm="1">
        <f t="array" aca="1" ref="BK563" ca="1">INDIRECT("'"&amp;$C563&amp;"'!"&amp;"$"&amp;$D563&amp;$BK$1&amp;"")</f>
        <v>0.78</v>
      </c>
      <c r="BL563" s="296"/>
      <c r="BM563" s="296">
        <v>0.96</v>
      </c>
      <c r="BN563" s="294">
        <v>0.21</v>
      </c>
    </row>
    <row r="564" spans="1:66" ht="14.45" thickBot="1">
      <c r="A564" s="360">
        <v>45770</v>
      </c>
      <c r="B564" s="358">
        <v>0.375</v>
      </c>
      <c r="C564" s="313">
        <f t="shared" si="22"/>
        <v>23</v>
      </c>
      <c r="D564" s="314" t="s">
        <v>136</v>
      </c>
      <c r="E564" s="286">
        <v>14</v>
      </c>
      <c r="F564" s="287">
        <v>69.319999999999993</v>
      </c>
      <c r="G564" s="288" cm="1">
        <f t="array" aca="1" ref="G564" ca="1">INDIRECT("'"&amp;$C564&amp;"'!"&amp;"$"&amp;$D564&amp;$E$1&amp;"")</f>
        <v>7</v>
      </c>
      <c r="H564" s="289">
        <v>0.94</v>
      </c>
      <c r="I564" s="287">
        <v>2.15</v>
      </c>
      <c r="J564" s="288" cm="1">
        <f t="array" aca="1" ref="J564" ca="1">INDIRECT("'"&amp;$C564&amp;"'!"&amp;"$"&amp;$D564&amp;$J$1&amp;"")</f>
        <v>7</v>
      </c>
      <c r="K564" s="289"/>
      <c r="L564" s="289">
        <v>0.94</v>
      </c>
      <c r="M564" s="287">
        <v>2.12</v>
      </c>
      <c r="N564" s="288" cm="1">
        <f t="array" aca="1" ref="N564" ca="1">INDIRECT("'"&amp;$C564&amp;"'!"&amp;"$"&amp;$D564&amp;$N$1&amp;"")</f>
        <v>7</v>
      </c>
      <c r="O564" s="289"/>
      <c r="P564" s="289">
        <v>0.94</v>
      </c>
      <c r="Q564" s="287">
        <v>2.16</v>
      </c>
      <c r="R564" s="288" cm="1">
        <f t="array" aca="1" ref="R564" ca="1">INDIRECT("'"&amp;$C564&amp;"'!"&amp;"$"&amp;$D564&amp;$R$1&amp;"")</f>
        <v>0</v>
      </c>
      <c r="S564" s="289"/>
      <c r="T564" s="289" t="s">
        <v>1</v>
      </c>
      <c r="U564" s="287" t="s">
        <v>1</v>
      </c>
      <c r="V564" s="288" cm="1">
        <f t="array" aca="1" ref="V564" ca="1">INDIRECT("'"&amp;$C564&amp;"'!"&amp;"$"&amp;$D564&amp;$V$1&amp;"")</f>
        <v>2.8</v>
      </c>
      <c r="W564" s="289">
        <f>3.8*3.51</f>
        <v>13.337999999999999</v>
      </c>
      <c r="X564" s="289">
        <v>0.94</v>
      </c>
      <c r="Y564" s="290">
        <v>1.01</v>
      </c>
      <c r="Z564" s="286" cm="1">
        <f t="array" aca="1" ref="Z564" ca="1">INDIRECT("'"&amp;$C564&amp;"'!"&amp;"$"&amp;$D564&amp;$Z$1&amp;"")</f>
        <v>0</v>
      </c>
      <c r="AA564" s="289" t="s">
        <v>1</v>
      </c>
      <c r="AB564" s="289" t="s">
        <v>1</v>
      </c>
      <c r="AC564" s="287" t="s">
        <v>1</v>
      </c>
      <c r="AD564" s="288" cm="1">
        <f t="array" aca="1" ref="AD564" ca="1">INDIRECT("'"&amp;$C564&amp;"'!"&amp;"$"&amp;$D564&amp;$AD$1&amp;"")</f>
        <v>4</v>
      </c>
      <c r="AE564" s="289">
        <f>3.8*3.51</f>
        <v>13.337999999999999</v>
      </c>
      <c r="AF564" s="289">
        <v>0.92</v>
      </c>
      <c r="AG564" s="290">
        <v>1.58</v>
      </c>
      <c r="AH564" s="286" cm="1">
        <f t="array" aca="1" ref="AH564" ca="1">INDIRECT("'"&amp;$C564&amp;"'!"&amp;"$"&amp;$D564&amp;$AH$1&amp;"")</f>
        <v>3.8</v>
      </c>
      <c r="AI564" s="289">
        <v>14</v>
      </c>
      <c r="AJ564" s="289">
        <v>0.96</v>
      </c>
      <c r="AK564" s="287">
        <v>1.0900000000000001</v>
      </c>
      <c r="AL564" s="286">
        <v>11.9</v>
      </c>
      <c r="AM564" s="290">
        <v>70.099999999999994</v>
      </c>
      <c r="AN564" s="286" cm="1">
        <f t="array" aca="1" ref="AN564" ca="1">INDIRECT("'"&amp;$C564&amp;"'!"&amp;"$"&amp;$D564&amp;$AL$1&amp;"")</f>
        <v>4</v>
      </c>
      <c r="AO564" s="289">
        <v>0.96</v>
      </c>
      <c r="AP564" s="287">
        <v>1.1599999999999999</v>
      </c>
      <c r="AQ564" s="288" cm="1">
        <f t="array" aca="1" ref="AQ564" ca="1">INDIRECT("'"&amp;$C564&amp;"'!"&amp;"$"&amp;$D564&amp;$AQ$1&amp;"")</f>
        <v>4</v>
      </c>
      <c r="AR564" s="289">
        <v>0.96</v>
      </c>
      <c r="AS564" s="287">
        <v>1.1599999999999999</v>
      </c>
      <c r="AT564" s="289" cm="1">
        <f t="array" aca="1" ref="AT564" ca="1">INDIRECT("'"&amp;$C564&amp;"'!"&amp;"$"&amp;$D564&amp;$AT$1&amp;"")</f>
        <v>1.8</v>
      </c>
      <c r="AU564" s="288">
        <v>13.8</v>
      </c>
      <c r="AV564" s="289">
        <v>0.95</v>
      </c>
      <c r="AW564" s="287">
        <v>0.45600000000000002</v>
      </c>
      <c r="AX564" s="291">
        <v>14.04</v>
      </c>
      <c r="AY564" s="290">
        <v>70.430000000000007</v>
      </c>
      <c r="AZ564" s="291" cm="1">
        <f t="array" aca="1" ref="AZ564" ca="1">INDIRECT("'"&amp;$C564&amp;"'!"&amp;"$"&amp;$D564&amp;$AZ$1&amp;"")</f>
        <v>14.3</v>
      </c>
      <c r="BA564" s="289">
        <v>0.99</v>
      </c>
      <c r="BB564" s="287">
        <v>2.2999999999999998</v>
      </c>
      <c r="BC564" s="292">
        <v>67.900000000000006</v>
      </c>
      <c r="BD564" s="286" cm="1">
        <f t="array" aca="1" ref="BD564" ca="1">INDIRECT("'"&amp;$C564&amp;"'!"&amp;"$"&amp;$D564&amp;$BC$1&amp;"")</f>
        <v>3.9000000000000004</v>
      </c>
      <c r="BE564" s="288">
        <v>0.95</v>
      </c>
      <c r="BF564" s="287">
        <v>1.2</v>
      </c>
      <c r="BG564" s="291" cm="1">
        <f t="array" aca="1" ref="BG564" ca="1">INDIRECT("'"&amp;$C564&amp;"'!"&amp;"$"&amp;$D564&amp;$BG$1&amp;"")</f>
        <v>1.41</v>
      </c>
      <c r="BH564" s="289"/>
      <c r="BI564" s="289">
        <v>0.99</v>
      </c>
      <c r="BJ564" s="287">
        <v>0.2</v>
      </c>
      <c r="BK564" s="292" cm="1">
        <f t="array" aca="1" ref="BK564" ca="1">INDIRECT("'"&amp;$C564&amp;"'!"&amp;"$"&amp;$D564&amp;$BK$1&amp;"")</f>
        <v>0.82</v>
      </c>
      <c r="BL564" s="289"/>
      <c r="BM564" s="289">
        <v>0.96</v>
      </c>
      <c r="BN564" s="287">
        <v>0.24</v>
      </c>
    </row>
    <row r="565" spans="1:66" ht="14.45" thickBot="1">
      <c r="A565" s="360">
        <v>45770</v>
      </c>
      <c r="B565" s="358">
        <v>0.41666666666666702</v>
      </c>
      <c r="C565" s="313">
        <f t="shared" si="22"/>
        <v>23</v>
      </c>
      <c r="D565" s="314" t="s">
        <v>137</v>
      </c>
      <c r="E565" s="293">
        <v>14</v>
      </c>
      <c r="F565" s="294">
        <v>69.349999999999994</v>
      </c>
      <c r="G565" s="295" cm="1">
        <f t="array" aca="1" ref="G565" ca="1">INDIRECT("'"&amp;$C565&amp;"'!"&amp;"$"&amp;$D565&amp;$E$1&amp;"")</f>
        <v>6.7</v>
      </c>
      <c r="H565" s="296">
        <v>0.91</v>
      </c>
      <c r="I565" s="294">
        <v>2.95</v>
      </c>
      <c r="J565" s="295" cm="1">
        <f t="array" aca="1" ref="J565" ca="1">INDIRECT("'"&amp;$C565&amp;"'!"&amp;"$"&amp;$D565&amp;$J$1&amp;"")</f>
        <v>6.7</v>
      </c>
      <c r="K565" s="296"/>
      <c r="L565" s="296">
        <v>0.91</v>
      </c>
      <c r="M565" s="294">
        <v>2.93</v>
      </c>
      <c r="N565" s="295" cm="1">
        <f t="array" aca="1" ref="N565" ca="1">INDIRECT("'"&amp;$C565&amp;"'!"&amp;"$"&amp;$D565&amp;$N$1&amp;"")</f>
        <v>6.7</v>
      </c>
      <c r="O565" s="296"/>
      <c r="P565" s="296">
        <v>0.91</v>
      </c>
      <c r="Q565" s="294">
        <v>2.93</v>
      </c>
      <c r="R565" s="295" cm="1">
        <f t="array" aca="1" ref="R565" ca="1">INDIRECT("'"&amp;$C565&amp;"'!"&amp;"$"&amp;$D565&amp;$R$1&amp;"")</f>
        <v>2.6</v>
      </c>
      <c r="S565" s="296"/>
      <c r="T565" s="296">
        <v>0.93</v>
      </c>
      <c r="U565" s="294" t="s">
        <v>1</v>
      </c>
      <c r="V565" s="295" cm="1">
        <f t="array" aca="1" ref="V565" ca="1">INDIRECT("'"&amp;$C565&amp;"'!"&amp;"$"&amp;$D565&amp;$V$1&amp;"")</f>
        <v>2.8</v>
      </c>
      <c r="W565" s="296">
        <f>3.8*3.47</f>
        <v>13.186</v>
      </c>
      <c r="X565" s="296">
        <v>0.91</v>
      </c>
      <c r="Y565" s="297">
        <v>0.35</v>
      </c>
      <c r="Z565" s="293" cm="1">
        <f t="array" aca="1" ref="Z565" ca="1">INDIRECT("'"&amp;$C565&amp;"'!"&amp;"$"&amp;$D565&amp;$Z$1&amp;"")</f>
        <v>0</v>
      </c>
      <c r="AA565" s="296" t="s">
        <v>1</v>
      </c>
      <c r="AB565" s="296" t="s">
        <v>1</v>
      </c>
      <c r="AC565" s="294" t="s">
        <v>1</v>
      </c>
      <c r="AD565" s="295" cm="1">
        <f t="array" aca="1" ref="AD565" ca="1">INDIRECT("'"&amp;$C565&amp;"'!"&amp;"$"&amp;$D565&amp;$AD$1&amp;"")</f>
        <v>3.8</v>
      </c>
      <c r="AE565" s="296">
        <f>3.8*3.47</f>
        <v>13.186</v>
      </c>
      <c r="AF565" s="296">
        <v>0.91</v>
      </c>
      <c r="AG565" s="297">
        <v>0.9</v>
      </c>
      <c r="AH565" s="293" cm="1">
        <f t="array" aca="1" ref="AH565" ca="1">INDIRECT("'"&amp;$C565&amp;"'!"&amp;"$"&amp;$D565&amp;$AH$1&amp;"")</f>
        <v>3.8</v>
      </c>
      <c r="AI565" s="296">
        <v>14.08</v>
      </c>
      <c r="AJ565" s="296">
        <v>0.95</v>
      </c>
      <c r="AK565" s="294">
        <v>1.27</v>
      </c>
      <c r="AL565" s="293">
        <v>11.9</v>
      </c>
      <c r="AM565" s="297">
        <v>70.400000000000006</v>
      </c>
      <c r="AN565" s="293" cm="1">
        <f t="array" aca="1" ref="AN565" ca="1">INDIRECT("'"&amp;$C565&amp;"'!"&amp;"$"&amp;$D565&amp;$AL$1&amp;"")</f>
        <v>3.9</v>
      </c>
      <c r="AO565" s="296">
        <v>0.97</v>
      </c>
      <c r="AP565" s="294">
        <v>0.97</v>
      </c>
      <c r="AQ565" s="295" cm="1">
        <f t="array" aca="1" ref="AQ565" ca="1">INDIRECT("'"&amp;$C565&amp;"'!"&amp;"$"&amp;$D565&amp;$AQ$1&amp;"")</f>
        <v>3.9</v>
      </c>
      <c r="AR565" s="296">
        <v>0.97</v>
      </c>
      <c r="AS565" s="294">
        <v>0.97</v>
      </c>
      <c r="AT565" s="296" cm="1">
        <f t="array" aca="1" ref="AT565" ca="1">INDIRECT("'"&amp;$C565&amp;"'!"&amp;"$"&amp;$D565&amp;$AT$1&amp;"")</f>
        <v>1.8</v>
      </c>
      <c r="AU565" s="295">
        <v>14.08</v>
      </c>
      <c r="AV565" s="296">
        <v>0.95</v>
      </c>
      <c r="AW565" s="294">
        <v>1.27</v>
      </c>
      <c r="AX565" s="298">
        <v>14.23</v>
      </c>
      <c r="AY565" s="297">
        <v>70.400000000000006</v>
      </c>
      <c r="AZ565" s="298" cm="1">
        <f t="array" aca="1" ref="AZ565" ca="1">INDIRECT("'"&amp;$C565&amp;"'!"&amp;"$"&amp;$D565&amp;$AZ$1&amp;"")</f>
        <v>14.29</v>
      </c>
      <c r="BA565" s="296">
        <v>0.98</v>
      </c>
      <c r="BB565" s="294">
        <v>3.5</v>
      </c>
      <c r="BC565" s="299">
        <v>67.2</v>
      </c>
      <c r="BD565" s="293" cm="1">
        <f t="array" aca="1" ref="BD565" ca="1">INDIRECT("'"&amp;$C565&amp;"'!"&amp;"$"&amp;$D565&amp;$BC$1&amp;"")</f>
        <v>3.95</v>
      </c>
      <c r="BE565" s="295">
        <v>0.95</v>
      </c>
      <c r="BF565" s="294">
        <v>1.2</v>
      </c>
      <c r="BG565" s="298" cm="1">
        <f t="array" aca="1" ref="BG565" ca="1">INDIRECT("'"&amp;$C565&amp;"'!"&amp;"$"&amp;$D565&amp;$BG$1&amp;"")</f>
        <v>1.49</v>
      </c>
      <c r="BH565" s="296"/>
      <c r="BI565" s="296">
        <v>0.99</v>
      </c>
      <c r="BJ565" s="294">
        <v>0.2</v>
      </c>
      <c r="BK565" s="299" cm="1">
        <f t="array" aca="1" ref="BK565" ca="1">INDIRECT("'"&amp;$C565&amp;"'!"&amp;"$"&amp;$D565&amp;$BK$1&amp;"")</f>
        <v>0.83</v>
      </c>
      <c r="BL565" s="296"/>
      <c r="BM565" s="296">
        <v>0.96</v>
      </c>
      <c r="BN565" s="294">
        <v>0.24</v>
      </c>
    </row>
    <row r="566" spans="1:66" ht="14.45" thickBot="1">
      <c r="A566" s="360">
        <v>45770</v>
      </c>
      <c r="B566" s="358">
        <v>0.45833333333333398</v>
      </c>
      <c r="C566" s="313">
        <f t="shared" si="22"/>
        <v>23</v>
      </c>
      <c r="D566" s="314" t="s">
        <v>138</v>
      </c>
      <c r="E566" s="286">
        <v>14.3</v>
      </c>
      <c r="F566" s="287">
        <v>69.63</v>
      </c>
      <c r="G566" s="288" cm="1">
        <f t="array" aca="1" ref="G566" ca="1">INDIRECT("'"&amp;$C566&amp;"'!"&amp;"$"&amp;$D566&amp;$E$1&amp;"")</f>
        <v>6.9</v>
      </c>
      <c r="H566" s="289">
        <v>0.91</v>
      </c>
      <c r="I566" s="287">
        <v>3.18</v>
      </c>
      <c r="J566" s="288" cm="1">
        <f t="array" aca="1" ref="J566" ca="1">INDIRECT("'"&amp;$C566&amp;"'!"&amp;"$"&amp;$D566&amp;$J$1&amp;"")</f>
        <v>6.9</v>
      </c>
      <c r="K566" s="289"/>
      <c r="L566" s="289">
        <v>0.91</v>
      </c>
      <c r="M566" s="287">
        <v>3.15</v>
      </c>
      <c r="N566" s="288" cm="1">
        <f t="array" aca="1" ref="N566" ca="1">INDIRECT("'"&amp;$C566&amp;"'!"&amp;"$"&amp;$D566&amp;$N$1&amp;"")</f>
        <v>6.9</v>
      </c>
      <c r="O566" s="289"/>
      <c r="P566" s="289">
        <v>0.91</v>
      </c>
      <c r="Q566" s="287">
        <v>3.13</v>
      </c>
      <c r="R566" s="288" cm="1">
        <f t="array" aca="1" ref="R566" ca="1">INDIRECT("'"&amp;$C566&amp;"'!"&amp;"$"&amp;$D566&amp;$R$1&amp;"")</f>
        <v>6.9</v>
      </c>
      <c r="S566" s="289"/>
      <c r="T566" s="289">
        <v>0.91</v>
      </c>
      <c r="U566" s="287">
        <v>3.17</v>
      </c>
      <c r="V566" s="288" cm="1">
        <f t="array" aca="1" ref="V566" ca="1">INDIRECT("'"&amp;$C566&amp;"'!"&amp;"$"&amp;$D566&amp;$V$1&amp;"")</f>
        <v>2.8</v>
      </c>
      <c r="W566" s="289">
        <f>3.8*3.5</f>
        <v>13.299999999999999</v>
      </c>
      <c r="X566" s="289">
        <v>0.91</v>
      </c>
      <c r="Y566" s="290">
        <v>0.33</v>
      </c>
      <c r="Z566" s="286" cm="1">
        <f t="array" aca="1" ref="Z566" ca="1">INDIRECT("'"&amp;$C566&amp;"'!"&amp;"$"&amp;$D566&amp;$Z$1&amp;"")</f>
        <v>0</v>
      </c>
      <c r="AA566" s="289" t="s">
        <v>1</v>
      </c>
      <c r="AB566" s="289" t="s">
        <v>1</v>
      </c>
      <c r="AC566" s="287" t="s">
        <v>1</v>
      </c>
      <c r="AD566" s="288" cm="1">
        <f t="array" aca="1" ref="AD566" ca="1">INDIRECT("'"&amp;$C566&amp;"'!"&amp;"$"&amp;$D566&amp;$AD$1&amp;"")</f>
        <v>3.8</v>
      </c>
      <c r="AE566" s="289">
        <f>3.8*3.5</f>
        <v>13.299999999999999</v>
      </c>
      <c r="AF566" s="289">
        <v>0.91</v>
      </c>
      <c r="AG566" s="290">
        <v>0.92</v>
      </c>
      <c r="AH566" s="286" cm="1">
        <f t="array" aca="1" ref="AH566" ca="1">INDIRECT("'"&amp;$C566&amp;"'!"&amp;"$"&amp;$D566&amp;$AH$1&amp;"")</f>
        <v>3.8</v>
      </c>
      <c r="AI566" s="289">
        <v>14.12</v>
      </c>
      <c r="AJ566" s="289">
        <v>0.93</v>
      </c>
      <c r="AK566" s="287">
        <v>1.54</v>
      </c>
      <c r="AL566" s="286">
        <v>11.9</v>
      </c>
      <c r="AM566" s="290">
        <v>70.400000000000006</v>
      </c>
      <c r="AN566" s="286" cm="1">
        <f t="array" aca="1" ref="AN566" ca="1">INDIRECT("'"&amp;$C566&amp;"'!"&amp;"$"&amp;$D566&amp;$AL$1&amp;"")</f>
        <v>4</v>
      </c>
      <c r="AO566" s="289">
        <v>0.96</v>
      </c>
      <c r="AP566" s="287">
        <v>0.99</v>
      </c>
      <c r="AQ566" s="288" cm="1">
        <f t="array" aca="1" ref="AQ566" ca="1">INDIRECT("'"&amp;$C566&amp;"'!"&amp;"$"&amp;$D566&amp;$AQ$1&amp;"")</f>
        <v>4</v>
      </c>
      <c r="AR566" s="289">
        <v>0.96</v>
      </c>
      <c r="AS566" s="287">
        <v>0.99</v>
      </c>
      <c r="AT566" s="289" cm="1">
        <f t="array" aca="1" ref="AT566" ca="1">INDIRECT("'"&amp;$C566&amp;"'!"&amp;"$"&amp;$D566&amp;$AT$1&amp;"")</f>
        <v>5.0999999999999996</v>
      </c>
      <c r="AU566" s="288">
        <v>13.8</v>
      </c>
      <c r="AV566" s="289">
        <v>0.95</v>
      </c>
      <c r="AW566" s="287">
        <v>1.65</v>
      </c>
      <c r="AX566" s="291">
        <v>14.17</v>
      </c>
      <c r="AY566" s="290">
        <v>70.13</v>
      </c>
      <c r="AZ566" s="291" cm="1">
        <f t="array" aca="1" ref="AZ566" ca="1">INDIRECT("'"&amp;$C566&amp;"'!"&amp;"$"&amp;$D566&amp;$AZ$1&amp;"")</f>
        <v>14.32</v>
      </c>
      <c r="BA566" s="289">
        <v>0.98</v>
      </c>
      <c r="BB566" s="287">
        <v>3.4</v>
      </c>
      <c r="BC566" s="292">
        <v>67.599999999999994</v>
      </c>
      <c r="BD566" s="286" cm="1">
        <f t="array" aca="1" ref="BD566" ca="1">INDIRECT("'"&amp;$C566&amp;"'!"&amp;"$"&amp;$D566&amp;$BC$1&amp;"")</f>
        <v>2.2999999999999998</v>
      </c>
      <c r="BE566" s="288">
        <v>0.96</v>
      </c>
      <c r="BF566" s="287">
        <v>0.65</v>
      </c>
      <c r="BG566" s="291" cm="1">
        <f t="array" aca="1" ref="BG566" ca="1">INDIRECT("'"&amp;$C566&amp;"'!"&amp;"$"&amp;$D566&amp;$BG$1&amp;"")</f>
        <v>1.54</v>
      </c>
      <c r="BH566" s="289"/>
      <c r="BI566" s="289">
        <v>0.99</v>
      </c>
      <c r="BJ566" s="287">
        <v>0.24</v>
      </c>
      <c r="BK566" s="292" cm="1">
        <f t="array" aca="1" ref="BK566" ca="1">INDIRECT("'"&amp;$C566&amp;"'!"&amp;"$"&amp;$D566&amp;$BK$1&amp;"")</f>
        <v>0.88</v>
      </c>
      <c r="BL566" s="289"/>
      <c r="BM566" s="289">
        <v>0.96</v>
      </c>
      <c r="BN566" s="287">
        <v>0.25</v>
      </c>
    </row>
    <row r="567" spans="1:66" ht="14.45" thickBot="1">
      <c r="A567" s="360">
        <v>45770</v>
      </c>
      <c r="B567" s="358">
        <v>0.5</v>
      </c>
      <c r="C567" s="313">
        <f t="shared" si="22"/>
        <v>23</v>
      </c>
      <c r="D567" s="314" t="s">
        <v>139</v>
      </c>
      <c r="E567" s="293">
        <v>14.2</v>
      </c>
      <c r="F567" s="294">
        <v>69.72</v>
      </c>
      <c r="G567" s="295" cm="1">
        <f t="array" aca="1" ref="G567" ca="1">INDIRECT("'"&amp;$C567&amp;"'!"&amp;"$"&amp;$D567&amp;$E$1&amp;"")</f>
        <v>6.7</v>
      </c>
      <c r="H567" s="296">
        <v>0.91</v>
      </c>
      <c r="I567" s="294">
        <v>3.12</v>
      </c>
      <c r="J567" s="295" cm="1">
        <f t="array" aca="1" ref="J567" ca="1">INDIRECT("'"&amp;$C567&amp;"'!"&amp;"$"&amp;$D567&amp;$J$1&amp;"")</f>
        <v>6.7</v>
      </c>
      <c r="K567" s="296"/>
      <c r="L567" s="296">
        <v>0.91</v>
      </c>
      <c r="M567" s="294">
        <v>3.09</v>
      </c>
      <c r="N567" s="295" cm="1">
        <f t="array" aca="1" ref="N567" ca="1">INDIRECT("'"&amp;$C567&amp;"'!"&amp;"$"&amp;$D567&amp;$N$1&amp;"")</f>
        <v>6.7</v>
      </c>
      <c r="O567" s="296"/>
      <c r="P567" s="296">
        <v>0.91</v>
      </c>
      <c r="Q567" s="294">
        <v>3.07</v>
      </c>
      <c r="R567" s="295" cm="1">
        <f t="array" aca="1" ref="R567" ca="1">INDIRECT("'"&amp;$C567&amp;"'!"&amp;"$"&amp;$D567&amp;$R$1&amp;"")</f>
        <v>6.7</v>
      </c>
      <c r="S567" s="296"/>
      <c r="T567" s="296">
        <v>0.91</v>
      </c>
      <c r="U567" s="294">
        <v>3.13</v>
      </c>
      <c r="V567" s="295" cm="1">
        <f t="array" aca="1" ref="V567" ca="1">INDIRECT("'"&amp;$C567&amp;"'!"&amp;"$"&amp;$D567&amp;$V$1&amp;"")</f>
        <v>2.8</v>
      </c>
      <c r="W567" s="296">
        <f>3.8*3.5</f>
        <v>13.299999999999999</v>
      </c>
      <c r="X567" s="296">
        <v>0.9</v>
      </c>
      <c r="Y567" s="297">
        <v>1.3</v>
      </c>
      <c r="Z567" s="293" cm="1">
        <f t="array" aca="1" ref="Z567" ca="1">INDIRECT("'"&amp;$C567&amp;"'!"&amp;"$"&amp;$D567&amp;$Z$1&amp;"")</f>
        <v>0</v>
      </c>
      <c r="AA567" s="296" t="s">
        <v>1</v>
      </c>
      <c r="AB567" s="296" t="s">
        <v>1</v>
      </c>
      <c r="AC567" s="294" t="s">
        <v>1</v>
      </c>
      <c r="AD567" s="295" cm="1">
        <f t="array" aca="1" ref="AD567" ca="1">INDIRECT("'"&amp;$C567&amp;"'!"&amp;"$"&amp;$D567&amp;$AD$1&amp;"")</f>
        <v>3.8</v>
      </c>
      <c r="AE567" s="296">
        <f>3.8*3.5</f>
        <v>13.299999999999999</v>
      </c>
      <c r="AF567" s="296">
        <v>0.92</v>
      </c>
      <c r="AG567" s="297">
        <v>1.1499999999999999</v>
      </c>
      <c r="AH567" s="293" cm="1">
        <f t="array" aca="1" ref="AH567" ca="1">INDIRECT("'"&amp;$C567&amp;"'!"&amp;"$"&amp;$D567&amp;$AH$1&amp;"")</f>
        <v>3.8</v>
      </c>
      <c r="AI567" s="296">
        <v>14.08</v>
      </c>
      <c r="AJ567" s="296">
        <v>0.92</v>
      </c>
      <c r="AK567" s="294">
        <v>1.1499999999999999</v>
      </c>
      <c r="AL567" s="293">
        <v>11.9</v>
      </c>
      <c r="AM567" s="297">
        <v>70.599999999999994</v>
      </c>
      <c r="AN567" s="293" cm="1">
        <f t="array" aca="1" ref="AN567" ca="1">INDIRECT("'"&amp;$C567&amp;"'!"&amp;"$"&amp;$D567&amp;$AL$1&amp;"")</f>
        <v>3.8</v>
      </c>
      <c r="AO567" s="296">
        <v>0.96</v>
      </c>
      <c r="AP567" s="294">
        <v>0.94</v>
      </c>
      <c r="AQ567" s="295" cm="1">
        <f t="array" aca="1" ref="AQ567" ca="1">INDIRECT("'"&amp;$C567&amp;"'!"&amp;"$"&amp;$D567&amp;$AQ$1&amp;"")</f>
        <v>3.8</v>
      </c>
      <c r="AR567" s="296">
        <v>0.96</v>
      </c>
      <c r="AS567" s="294">
        <v>0.86</v>
      </c>
      <c r="AT567" s="296" cm="1">
        <f t="array" aca="1" ref="AT567" ca="1">INDIRECT("'"&amp;$C567&amp;"'!"&amp;"$"&amp;$D567&amp;$AT$1&amp;"")</f>
        <v>4.5999999999999996</v>
      </c>
      <c r="AU567" s="295">
        <v>13.8</v>
      </c>
      <c r="AV567" s="296">
        <v>0.95</v>
      </c>
      <c r="AW567" s="294">
        <v>1.52</v>
      </c>
      <c r="AX567" s="298">
        <v>14.18</v>
      </c>
      <c r="AY567" s="297">
        <v>70.33</v>
      </c>
      <c r="AZ567" s="298" cm="1">
        <f t="array" aca="1" ref="AZ567" ca="1">INDIRECT("'"&amp;$C567&amp;"'!"&amp;"$"&amp;$D567&amp;$AZ$1&amp;"")</f>
        <v>14.31</v>
      </c>
      <c r="BA567" s="296">
        <v>0.98</v>
      </c>
      <c r="BB567" s="294">
        <v>3.4</v>
      </c>
      <c r="BC567" s="299">
        <v>67.900000000000006</v>
      </c>
      <c r="BD567" s="293" cm="1">
        <f t="array" aca="1" ref="BD567" ca="1">INDIRECT("'"&amp;$C567&amp;"'!"&amp;"$"&amp;$D567&amp;$BC$1&amp;"")</f>
        <v>2.2999999999999998</v>
      </c>
      <c r="BE567" s="295">
        <v>0.96</v>
      </c>
      <c r="BF567" s="294">
        <v>0.64</v>
      </c>
      <c r="BG567" s="298" cm="1">
        <f t="array" aca="1" ref="BG567" ca="1">INDIRECT("'"&amp;$C567&amp;"'!"&amp;"$"&amp;$D567&amp;$BG$1&amp;"")</f>
        <v>1.54</v>
      </c>
      <c r="BH567" s="296"/>
      <c r="BI567" s="296">
        <v>0.99</v>
      </c>
      <c r="BJ567" s="294">
        <v>0.24</v>
      </c>
      <c r="BK567" s="299" cm="1">
        <f t="array" aca="1" ref="BK567" ca="1">INDIRECT("'"&amp;$C567&amp;"'!"&amp;"$"&amp;$D567&amp;$BK$1&amp;"")</f>
        <v>0.91</v>
      </c>
      <c r="BL567" s="296"/>
      <c r="BM567" s="296">
        <v>0.96</v>
      </c>
      <c r="BN567" s="294">
        <v>0.25</v>
      </c>
    </row>
    <row r="568" spans="1:66" ht="14.45" thickBot="1">
      <c r="A568" s="360">
        <v>45770</v>
      </c>
      <c r="B568" s="358">
        <v>0.54166666666666696</v>
      </c>
      <c r="C568" s="313">
        <f t="shared" si="22"/>
        <v>23</v>
      </c>
      <c r="D568" s="314" t="s">
        <v>140</v>
      </c>
      <c r="E568" s="286">
        <v>14.1</v>
      </c>
      <c r="F568" s="287">
        <v>69.45</v>
      </c>
      <c r="G568" s="288" cm="1">
        <f t="array" aca="1" ref="G568" ca="1">INDIRECT("'"&amp;$C568&amp;"'!"&amp;"$"&amp;$D568&amp;$E$1&amp;"")</f>
        <v>6.7</v>
      </c>
      <c r="H568" s="289">
        <v>0.9</v>
      </c>
      <c r="I568" s="287">
        <v>3.19</v>
      </c>
      <c r="J568" s="288" cm="1">
        <f t="array" aca="1" ref="J568" ca="1">INDIRECT("'"&amp;$C568&amp;"'!"&amp;"$"&amp;$D568&amp;$J$1&amp;"")</f>
        <v>6.7</v>
      </c>
      <c r="K568" s="289"/>
      <c r="L568" s="289">
        <v>0.9</v>
      </c>
      <c r="M568" s="287">
        <v>3.16</v>
      </c>
      <c r="N568" s="288" cm="1">
        <f t="array" aca="1" ref="N568" ca="1">INDIRECT("'"&amp;$C568&amp;"'!"&amp;"$"&amp;$D568&amp;$N$1&amp;"")</f>
        <v>6.7</v>
      </c>
      <c r="O568" s="289"/>
      <c r="P568" s="289">
        <v>0.9</v>
      </c>
      <c r="Q568" s="287">
        <v>3.18</v>
      </c>
      <c r="R568" s="288" cm="1">
        <f t="array" aca="1" ref="R568" ca="1">INDIRECT("'"&amp;$C568&amp;"'!"&amp;"$"&amp;$D568&amp;$R$1&amp;"")</f>
        <v>6.7</v>
      </c>
      <c r="S568" s="289"/>
      <c r="T568" s="289">
        <v>0.9</v>
      </c>
      <c r="U568" s="287">
        <v>3.17</v>
      </c>
      <c r="V568" s="288" cm="1">
        <f t="array" aca="1" ref="V568" ca="1">INDIRECT("'"&amp;$C568&amp;"'!"&amp;"$"&amp;$D568&amp;$V$1&amp;"")</f>
        <v>2.8</v>
      </c>
      <c r="W568" s="289">
        <f>3.8*3.49</f>
        <v>13.262</v>
      </c>
      <c r="X568" s="289">
        <v>0.9</v>
      </c>
      <c r="Y568" s="290">
        <v>1.33</v>
      </c>
      <c r="Z568" s="286" cm="1">
        <f t="array" aca="1" ref="Z568" ca="1">INDIRECT("'"&amp;$C568&amp;"'!"&amp;"$"&amp;$D568&amp;$Z$1&amp;"")</f>
        <v>0</v>
      </c>
      <c r="AA568" s="289" t="s">
        <v>1</v>
      </c>
      <c r="AB568" s="289" t="s">
        <v>1</v>
      </c>
      <c r="AC568" s="287" t="s">
        <v>1</v>
      </c>
      <c r="AD568" s="288" cm="1">
        <f t="array" aca="1" ref="AD568" ca="1">INDIRECT("'"&amp;$C568&amp;"'!"&amp;"$"&amp;$D568&amp;$AD$1&amp;"")</f>
        <v>3.8</v>
      </c>
      <c r="AE568" s="289">
        <f>3.8*3.49</f>
        <v>13.262</v>
      </c>
      <c r="AF568" s="289">
        <v>0.9</v>
      </c>
      <c r="AG568" s="290">
        <v>1.33</v>
      </c>
      <c r="AH568" s="286" cm="1">
        <f t="array" aca="1" ref="AH568" ca="1">INDIRECT("'"&amp;$C568&amp;"'!"&amp;"$"&amp;$D568&amp;$AH$1&amp;"")</f>
        <v>3.8</v>
      </c>
      <c r="AI568" s="289">
        <v>14.08</v>
      </c>
      <c r="AJ568" s="289">
        <v>0.93</v>
      </c>
      <c r="AK568" s="287">
        <v>1.28</v>
      </c>
      <c r="AL568" s="286">
        <v>11.9</v>
      </c>
      <c r="AM568" s="290">
        <v>70.400000000000006</v>
      </c>
      <c r="AN568" s="286" cm="1">
        <f t="array" aca="1" ref="AN568" ca="1">INDIRECT("'"&amp;$C568&amp;"'!"&amp;"$"&amp;$D568&amp;$AL$1&amp;"")</f>
        <v>4.2</v>
      </c>
      <c r="AO568" s="289">
        <v>0.97</v>
      </c>
      <c r="AP568" s="287">
        <v>0.9</v>
      </c>
      <c r="AQ568" s="288" cm="1">
        <f t="array" aca="1" ref="AQ568" ca="1">INDIRECT("'"&amp;$C568&amp;"'!"&amp;"$"&amp;$D568&amp;$AQ$1&amp;"")</f>
        <v>4.2</v>
      </c>
      <c r="AR568" s="289">
        <v>0.97</v>
      </c>
      <c r="AS568" s="287">
        <v>0.9</v>
      </c>
      <c r="AT568" s="289" cm="1">
        <f t="array" aca="1" ref="AT568" ca="1">INDIRECT("'"&amp;$C568&amp;"'!"&amp;"$"&amp;$D568&amp;$AT$1&amp;"")</f>
        <v>4.2</v>
      </c>
      <c r="AU568" s="288">
        <v>13.8</v>
      </c>
      <c r="AV568" s="289">
        <v>0.95</v>
      </c>
      <c r="AW568" s="287">
        <v>1.47</v>
      </c>
      <c r="AX568" s="291">
        <v>14.2</v>
      </c>
      <c r="AY568" s="290">
        <v>71.39</v>
      </c>
      <c r="AZ568" s="291" cm="1">
        <f t="array" aca="1" ref="AZ568" ca="1">INDIRECT("'"&amp;$C568&amp;"'!"&amp;"$"&amp;$D568&amp;$AZ$1&amp;"")</f>
        <v>14.33</v>
      </c>
      <c r="BA568" s="289">
        <v>0.98</v>
      </c>
      <c r="BB568" s="287">
        <v>3.5</v>
      </c>
      <c r="BC568" s="292">
        <v>67.599999999999994</v>
      </c>
      <c r="BD568" s="286" cm="1">
        <f t="array" aca="1" ref="BD568" ca="1">INDIRECT("'"&amp;$C568&amp;"'!"&amp;"$"&amp;$D568&amp;$BC$1&amp;"")</f>
        <v>3.1</v>
      </c>
      <c r="BE568" s="288">
        <v>0.96</v>
      </c>
      <c r="BF568" s="287">
        <v>0.9</v>
      </c>
      <c r="BG568" s="291" cm="1">
        <f t="array" aca="1" ref="BG568" ca="1">INDIRECT("'"&amp;$C568&amp;"'!"&amp;"$"&amp;$D568&amp;$BG$1&amp;"")</f>
        <v>1.56</v>
      </c>
      <c r="BH568" s="289"/>
      <c r="BI568" s="289">
        <v>0.96</v>
      </c>
      <c r="BJ568" s="287">
        <v>0.25</v>
      </c>
      <c r="BK568" s="292" cm="1">
        <f t="array" aca="1" ref="BK568" ca="1">INDIRECT("'"&amp;$C568&amp;"'!"&amp;"$"&amp;$D568&amp;$BK$1&amp;"")</f>
        <v>0.87</v>
      </c>
      <c r="BL568" s="289"/>
      <c r="BM568" s="289">
        <v>0.96</v>
      </c>
      <c r="BN568" s="287">
        <v>0.24</v>
      </c>
    </row>
    <row r="569" spans="1:66" ht="14.45" thickBot="1">
      <c r="A569" s="360">
        <v>45770</v>
      </c>
      <c r="B569" s="358">
        <v>0.58333333333333404</v>
      </c>
      <c r="C569" s="313">
        <f t="shared" si="22"/>
        <v>23</v>
      </c>
      <c r="D569" s="314" t="s">
        <v>141</v>
      </c>
      <c r="E569" s="293">
        <v>14.3</v>
      </c>
      <c r="F569" s="294">
        <v>69.319999999999993</v>
      </c>
      <c r="G569" s="295" cm="1">
        <f t="array" aca="1" ref="G569" ca="1">INDIRECT("'"&amp;$C569&amp;"'!"&amp;"$"&amp;$D569&amp;$E$1&amp;"")</f>
        <v>6.8</v>
      </c>
      <c r="H569" s="296">
        <v>0.9</v>
      </c>
      <c r="I569" s="294">
        <v>3.21</v>
      </c>
      <c r="J569" s="295" cm="1">
        <f t="array" aca="1" ref="J569" ca="1">INDIRECT("'"&amp;$C569&amp;"'!"&amp;"$"&amp;$D569&amp;$J$1&amp;"")</f>
        <v>6.8</v>
      </c>
      <c r="K569" s="296"/>
      <c r="L569" s="296">
        <v>0.9</v>
      </c>
      <c r="M569" s="294">
        <v>3.2</v>
      </c>
      <c r="N569" s="295" cm="1">
        <f t="array" aca="1" ref="N569" ca="1">INDIRECT("'"&amp;$C569&amp;"'!"&amp;"$"&amp;$D569&amp;$N$1&amp;"")</f>
        <v>6.8</v>
      </c>
      <c r="O569" s="296"/>
      <c r="P569" s="296">
        <v>0.9</v>
      </c>
      <c r="Q569" s="294">
        <v>3.23</v>
      </c>
      <c r="R569" s="295" cm="1">
        <f t="array" aca="1" ref="R569" ca="1">INDIRECT("'"&amp;$C569&amp;"'!"&amp;"$"&amp;$D569&amp;$R$1&amp;"")</f>
        <v>6.8</v>
      </c>
      <c r="S569" s="296"/>
      <c r="T569" s="296">
        <v>0.9</v>
      </c>
      <c r="U569" s="294">
        <v>3.2</v>
      </c>
      <c r="V569" s="295" cm="1">
        <f t="array" aca="1" ref="V569" ca="1">INDIRECT("'"&amp;$C569&amp;"'!"&amp;"$"&amp;$D569&amp;$V$1&amp;"")</f>
        <v>2.8</v>
      </c>
      <c r="W569" s="296">
        <f>3.8*3.48</f>
        <v>13.224</v>
      </c>
      <c r="X569" s="296">
        <v>0.9</v>
      </c>
      <c r="Y569" s="297">
        <v>1.32</v>
      </c>
      <c r="Z569" s="293" cm="1">
        <f t="array" aca="1" ref="Z569" ca="1">INDIRECT("'"&amp;$C569&amp;"'!"&amp;"$"&amp;$D569&amp;$Z$1&amp;"")</f>
        <v>0</v>
      </c>
      <c r="AA569" s="296" t="s">
        <v>1</v>
      </c>
      <c r="AB569" s="296" t="s">
        <v>1</v>
      </c>
      <c r="AC569" s="294" t="s">
        <v>1</v>
      </c>
      <c r="AD569" s="295" cm="1">
        <f t="array" aca="1" ref="AD569" ca="1">INDIRECT("'"&amp;$C569&amp;"'!"&amp;"$"&amp;$D569&amp;$AD$1&amp;"")</f>
        <v>3.8</v>
      </c>
      <c r="AE569" s="296">
        <f>3.8*3.48</f>
        <v>13.224</v>
      </c>
      <c r="AF569" s="296">
        <v>0.91</v>
      </c>
      <c r="AG569" s="297">
        <v>0.9</v>
      </c>
      <c r="AH569" s="293" cm="1">
        <f t="array" aca="1" ref="AH569" ca="1">INDIRECT("'"&amp;$C569&amp;"'!"&amp;"$"&amp;$D569&amp;$AH$1&amp;"")</f>
        <v>3.8</v>
      </c>
      <c r="AI569" s="296">
        <v>14.12</v>
      </c>
      <c r="AJ569" s="296">
        <v>0.94</v>
      </c>
      <c r="AK569" s="294">
        <v>1.23</v>
      </c>
      <c r="AL569" s="293">
        <v>11.9</v>
      </c>
      <c r="AM569" s="297">
        <v>70.7</v>
      </c>
      <c r="AN569" s="293" cm="1">
        <f t="array" aca="1" ref="AN569" ca="1">INDIRECT("'"&amp;$C569&amp;"'!"&amp;"$"&amp;$D569&amp;$AL$1&amp;"")</f>
        <v>4.2</v>
      </c>
      <c r="AO569" s="296">
        <v>0.97</v>
      </c>
      <c r="AP569" s="294">
        <v>0.92</v>
      </c>
      <c r="AQ569" s="295" cm="1">
        <f t="array" aca="1" ref="AQ569" ca="1">INDIRECT("'"&amp;$C569&amp;"'!"&amp;"$"&amp;$D569&amp;$AQ$1&amp;"")</f>
        <v>4.2</v>
      </c>
      <c r="AR569" s="296">
        <v>0.97</v>
      </c>
      <c r="AS569" s="294">
        <v>0.88</v>
      </c>
      <c r="AT569" s="296" cm="1">
        <f t="array" aca="1" ref="AT569" ca="1">INDIRECT("'"&amp;$C569&amp;"'!"&amp;"$"&amp;$D569&amp;$AT$1&amp;"")</f>
        <v>4.7</v>
      </c>
      <c r="AU569" s="295">
        <v>13.8</v>
      </c>
      <c r="AV569" s="296">
        <v>0.97</v>
      </c>
      <c r="AW569" s="294">
        <v>1.17</v>
      </c>
      <c r="AX569" s="298">
        <v>14.35</v>
      </c>
      <c r="AY569" s="297">
        <v>71.73</v>
      </c>
      <c r="AZ569" s="298" cm="1">
        <f t="array" aca="1" ref="AZ569" ca="1">INDIRECT("'"&amp;$C569&amp;"'!"&amp;"$"&amp;$D569&amp;$AZ$1&amp;"")</f>
        <v>14.31</v>
      </c>
      <c r="BA569" s="296">
        <v>0.96</v>
      </c>
      <c r="BB569" s="294">
        <v>4.5</v>
      </c>
      <c r="BC569" s="299">
        <v>67.7</v>
      </c>
      <c r="BD569" s="293" cm="1">
        <f t="array" aca="1" ref="BD569" ca="1">INDIRECT("'"&amp;$C569&amp;"'!"&amp;"$"&amp;$D569&amp;$BC$1&amp;"")</f>
        <v>3.95</v>
      </c>
      <c r="BE569" s="295">
        <v>0.96</v>
      </c>
      <c r="BF569" s="294">
        <v>1.1000000000000001</v>
      </c>
      <c r="BG569" s="298" cm="1">
        <f t="array" aca="1" ref="BG569" ca="1">INDIRECT("'"&amp;$C569&amp;"'!"&amp;"$"&amp;$D569&amp;$BG$1&amp;"")</f>
        <v>1.61</v>
      </c>
      <c r="BH569" s="296"/>
      <c r="BI569" s="296">
        <v>0.96</v>
      </c>
      <c r="BJ569" s="294">
        <v>0.24</v>
      </c>
      <c r="BK569" s="299" cm="1">
        <f t="array" aca="1" ref="BK569" ca="1">INDIRECT("'"&amp;$C569&amp;"'!"&amp;"$"&amp;$D569&amp;$BK$1&amp;"")</f>
        <v>0.86</v>
      </c>
      <c r="BL569" s="296"/>
      <c r="BM569" s="296">
        <v>0.96</v>
      </c>
      <c r="BN569" s="294">
        <v>0.24</v>
      </c>
    </row>
    <row r="570" spans="1:66" ht="14.45" thickBot="1">
      <c r="A570" s="360">
        <v>45770</v>
      </c>
      <c r="B570" s="358">
        <v>0.625</v>
      </c>
      <c r="C570" s="313">
        <f t="shared" si="22"/>
        <v>23</v>
      </c>
      <c r="D570" s="314" t="s">
        <v>142</v>
      </c>
      <c r="E570" s="286">
        <v>14.3</v>
      </c>
      <c r="F570" s="287">
        <v>69.290000000000006</v>
      </c>
      <c r="G570" s="288" cm="1">
        <f t="array" aca="1" ref="G570" ca="1">INDIRECT("'"&amp;$C570&amp;"'!"&amp;"$"&amp;$D570&amp;$E$1&amp;"")</f>
        <v>6.4</v>
      </c>
      <c r="H570" s="289">
        <v>0.91</v>
      </c>
      <c r="I570" s="287">
        <v>3.1</v>
      </c>
      <c r="J570" s="288" cm="1">
        <f t="array" aca="1" ref="J570" ca="1">INDIRECT("'"&amp;$C570&amp;"'!"&amp;"$"&amp;$D570&amp;$J$1&amp;"")</f>
        <v>6.4</v>
      </c>
      <c r="K570" s="289"/>
      <c r="L570" s="289">
        <v>0.91</v>
      </c>
      <c r="M570" s="287">
        <v>3.08</v>
      </c>
      <c r="N570" s="288" cm="1">
        <f t="array" aca="1" ref="N570" ca="1">INDIRECT("'"&amp;$C570&amp;"'!"&amp;"$"&amp;$D570&amp;$N$1&amp;"")</f>
        <v>6.4</v>
      </c>
      <c r="O570" s="289"/>
      <c r="P570" s="289">
        <v>0.91</v>
      </c>
      <c r="Q570" s="287">
        <v>3.12</v>
      </c>
      <c r="R570" s="288" cm="1">
        <f t="array" aca="1" ref="R570" ca="1">INDIRECT("'"&amp;$C570&amp;"'!"&amp;"$"&amp;$D570&amp;$R$1&amp;"")</f>
        <v>6.4</v>
      </c>
      <c r="S570" s="289"/>
      <c r="T570" s="289">
        <v>0.91</v>
      </c>
      <c r="U570" s="287">
        <v>3.5</v>
      </c>
      <c r="V570" s="288" cm="1">
        <f t="array" aca="1" ref="V570" ca="1">INDIRECT("'"&amp;$C570&amp;"'!"&amp;"$"&amp;$D570&amp;$V$1&amp;"")</f>
        <v>2.7</v>
      </c>
      <c r="W570" s="289">
        <f>3.8*3.48</f>
        <v>13.224</v>
      </c>
      <c r="X570" s="289">
        <v>0.9</v>
      </c>
      <c r="Y570" s="290">
        <v>1.57</v>
      </c>
      <c r="Z570" s="286" cm="1">
        <f t="array" aca="1" ref="Z570" ca="1">INDIRECT("'"&amp;$C570&amp;"'!"&amp;"$"&amp;$D570&amp;$Z$1&amp;"")</f>
        <v>0</v>
      </c>
      <c r="AA570" s="289" t="s">
        <v>1</v>
      </c>
      <c r="AB570" s="289" t="s">
        <v>1</v>
      </c>
      <c r="AC570" s="287" t="s">
        <v>1</v>
      </c>
      <c r="AD570" s="288" cm="1">
        <f t="array" aca="1" ref="AD570" ca="1">INDIRECT("'"&amp;$C570&amp;"'!"&amp;"$"&amp;$D570&amp;$AD$1&amp;"")</f>
        <v>3.6</v>
      </c>
      <c r="AE570" s="289">
        <v>13.22</v>
      </c>
      <c r="AF570" s="289">
        <v>0.9</v>
      </c>
      <c r="AG570" s="290">
        <v>1.57</v>
      </c>
      <c r="AH570" s="286" cm="1">
        <f t="array" aca="1" ref="AH570" ca="1">INDIRECT("'"&amp;$C570&amp;"'!"&amp;"$"&amp;$D570&amp;$AH$1&amp;"")</f>
        <v>3.8</v>
      </c>
      <c r="AI570" s="289">
        <v>14.08</v>
      </c>
      <c r="AJ570" s="289">
        <v>0.95</v>
      </c>
      <c r="AK570" s="287">
        <v>1.1599999999999999</v>
      </c>
      <c r="AL570" s="286">
        <v>11.9</v>
      </c>
      <c r="AM570" s="290">
        <v>70.7</v>
      </c>
      <c r="AN570" s="286" cm="1">
        <f t="array" aca="1" ref="AN570" ca="1">INDIRECT("'"&amp;$C570&amp;"'!"&amp;"$"&amp;$D570&amp;$AL$1&amp;"")</f>
        <v>4.2</v>
      </c>
      <c r="AO570" s="289">
        <v>0.97</v>
      </c>
      <c r="AP570" s="287">
        <v>0.92</v>
      </c>
      <c r="AQ570" s="288" cm="1">
        <f t="array" aca="1" ref="AQ570" ca="1">INDIRECT("'"&amp;$C570&amp;"'!"&amp;"$"&amp;$D570&amp;$AQ$1&amp;"")</f>
        <v>4.2</v>
      </c>
      <c r="AR570" s="289">
        <v>0.97</v>
      </c>
      <c r="AS570" s="287">
        <v>0.88</v>
      </c>
      <c r="AT570" s="289" cm="1">
        <f t="array" aca="1" ref="AT570" ca="1">INDIRECT("'"&amp;$C570&amp;"'!"&amp;"$"&amp;$D570&amp;$AT$1&amp;"")</f>
        <v>3.7</v>
      </c>
      <c r="AU570" s="288">
        <v>13.8</v>
      </c>
      <c r="AV570" s="289">
        <v>0.95</v>
      </c>
      <c r="AW570" s="287">
        <v>1.19</v>
      </c>
      <c r="AX570" s="291">
        <v>14.37</v>
      </c>
      <c r="AY570" s="290">
        <v>72.27</v>
      </c>
      <c r="AZ570" s="291" cm="1">
        <f t="array" aca="1" ref="AZ570" ca="1">INDIRECT("'"&amp;$C570&amp;"'!"&amp;"$"&amp;$D570&amp;$AZ$1&amp;"")</f>
        <v>14.29</v>
      </c>
      <c r="BA570" s="289">
        <v>0.98</v>
      </c>
      <c r="BB570" s="287">
        <v>3.5</v>
      </c>
      <c r="BC570" s="292">
        <v>67.5</v>
      </c>
      <c r="BD570" s="286" cm="1">
        <f t="array" aca="1" ref="BD570" ca="1">INDIRECT("'"&amp;$C570&amp;"'!"&amp;"$"&amp;$D570&amp;$BC$1&amp;"")</f>
        <v>3.0999999999999996</v>
      </c>
      <c r="BE570" s="288">
        <v>0.96</v>
      </c>
      <c r="BF570" s="287">
        <v>0.89</v>
      </c>
      <c r="BG570" s="291" cm="1">
        <f t="array" aca="1" ref="BG570" ca="1">INDIRECT("'"&amp;$C570&amp;"'!"&amp;"$"&amp;$D570&amp;$BG$1&amp;"")</f>
        <v>0</v>
      </c>
      <c r="BH570" s="289"/>
      <c r="BI570" s="289" t="s">
        <v>1</v>
      </c>
      <c r="BJ570" s="287" t="s">
        <v>1</v>
      </c>
      <c r="BK570" s="292" cm="1">
        <f t="array" aca="1" ref="BK570" ca="1">INDIRECT("'"&amp;$C570&amp;"'!"&amp;"$"&amp;$D570&amp;$BK$1&amp;"")</f>
        <v>0.83</v>
      </c>
      <c r="BL570" s="289"/>
      <c r="BM570" s="289">
        <v>0.96</v>
      </c>
      <c r="BN570" s="287">
        <v>0.23</v>
      </c>
    </row>
    <row r="571" spans="1:66" ht="14.45" thickBot="1">
      <c r="A571" s="360">
        <v>45770</v>
      </c>
      <c r="B571" s="358">
        <v>0.66666666666666696</v>
      </c>
      <c r="C571" s="313">
        <f t="shared" si="22"/>
        <v>23</v>
      </c>
      <c r="D571" s="314" t="s">
        <v>143</v>
      </c>
      <c r="E571" s="293">
        <v>14.2</v>
      </c>
      <c r="F571" s="294">
        <v>69.11</v>
      </c>
      <c r="G571" s="295" cm="1">
        <f t="array" aca="1" ref="G571" ca="1">INDIRECT("'"&amp;$C571&amp;"'!"&amp;"$"&amp;$D571&amp;$E$1&amp;"")</f>
        <v>6.7</v>
      </c>
      <c r="H571" s="296">
        <v>0.91</v>
      </c>
      <c r="I571" s="294">
        <v>3.09</v>
      </c>
      <c r="J571" s="295" cm="1">
        <f t="array" aca="1" ref="J571" ca="1">INDIRECT("'"&amp;$C571&amp;"'!"&amp;"$"&amp;$D571&amp;$J$1&amp;"")</f>
        <v>6.7</v>
      </c>
      <c r="K571" s="296"/>
      <c r="L571" s="296">
        <v>0.91</v>
      </c>
      <c r="M571" s="294">
        <v>3</v>
      </c>
      <c r="N571" s="295" cm="1">
        <f t="array" aca="1" ref="N571" ca="1">INDIRECT("'"&amp;$C571&amp;"'!"&amp;"$"&amp;$D571&amp;$N$1&amp;"")</f>
        <v>6.7</v>
      </c>
      <c r="O571" s="296"/>
      <c r="P571" s="296">
        <v>0.91</v>
      </c>
      <c r="Q571" s="294">
        <v>3.11</v>
      </c>
      <c r="R571" s="295" cm="1">
        <f t="array" aca="1" ref="R571" ca="1">INDIRECT("'"&amp;$C571&amp;"'!"&amp;"$"&amp;$D571&amp;$R$1&amp;"")</f>
        <v>6.7</v>
      </c>
      <c r="S571" s="296"/>
      <c r="T571" s="296">
        <v>0.91</v>
      </c>
      <c r="U571" s="294">
        <v>3.08</v>
      </c>
      <c r="V571" s="295" cm="1">
        <f t="array" aca="1" ref="V571" ca="1">INDIRECT("'"&amp;$C571&amp;"'!"&amp;"$"&amp;$D571&amp;$V$1&amp;"")</f>
        <v>2.8</v>
      </c>
      <c r="W571" s="296">
        <f>3.46*3.8</f>
        <v>13.148</v>
      </c>
      <c r="X571" s="296">
        <v>0.91</v>
      </c>
      <c r="Y571" s="297">
        <v>1.8</v>
      </c>
      <c r="Z571" s="293" cm="1">
        <f t="array" aca="1" ref="Z571" ca="1">INDIRECT("'"&amp;$C571&amp;"'!"&amp;"$"&amp;$D571&amp;$Z$1&amp;"")</f>
        <v>0</v>
      </c>
      <c r="AA571" s="296" t="s">
        <v>1</v>
      </c>
      <c r="AB571" s="296" t="s">
        <v>1</v>
      </c>
      <c r="AC571" s="294" t="s">
        <v>1</v>
      </c>
      <c r="AD571" s="295" cm="1">
        <f t="array" aca="1" ref="AD571" ca="1">INDIRECT("'"&amp;$C571&amp;"'!"&amp;"$"&amp;$D571&amp;$AD$1&amp;"")</f>
        <v>3.8</v>
      </c>
      <c r="AE571" s="296">
        <v>13.15</v>
      </c>
      <c r="AF571" s="296">
        <v>0.89</v>
      </c>
      <c r="AG571" s="297">
        <v>1.98</v>
      </c>
      <c r="AH571" s="293" cm="1">
        <f t="array" aca="1" ref="AH571" ca="1">INDIRECT("'"&amp;$C571&amp;"'!"&amp;"$"&amp;$D571&amp;$AH$1&amp;"")</f>
        <v>3.8</v>
      </c>
      <c r="AI571" s="296">
        <v>14.08</v>
      </c>
      <c r="AJ571" s="296">
        <v>0.95</v>
      </c>
      <c r="AK571" s="294">
        <v>1.2</v>
      </c>
      <c r="AL571" s="293">
        <v>11.9</v>
      </c>
      <c r="AM571" s="297">
        <v>70.400000000000006</v>
      </c>
      <c r="AN571" s="293" cm="1">
        <f t="array" aca="1" ref="AN571" ca="1">INDIRECT("'"&amp;$C571&amp;"'!"&amp;"$"&amp;$D571&amp;$AL$1&amp;"")</f>
        <v>4.2</v>
      </c>
      <c r="AO571" s="296">
        <v>0.97</v>
      </c>
      <c r="AP571" s="294">
        <v>1.03</v>
      </c>
      <c r="AQ571" s="295" cm="1">
        <f t="array" aca="1" ref="AQ571" ca="1">INDIRECT("'"&amp;$C571&amp;"'!"&amp;"$"&amp;$D571&amp;$AQ$1&amp;"")</f>
        <v>4.2</v>
      </c>
      <c r="AR571" s="296">
        <v>0.97</v>
      </c>
      <c r="AS571" s="294">
        <v>1.03</v>
      </c>
      <c r="AT571" s="296" cm="1">
        <f t="array" aca="1" ref="AT571" ca="1">INDIRECT("'"&amp;$C571&amp;"'!"&amp;"$"&amp;$D571&amp;$AT$1&amp;"")</f>
        <v>3.2</v>
      </c>
      <c r="AU571" s="295">
        <v>13.8</v>
      </c>
      <c r="AV571" s="296">
        <v>0.9</v>
      </c>
      <c r="AW571" s="294">
        <v>1.5</v>
      </c>
      <c r="AX571" s="298">
        <v>14.27</v>
      </c>
      <c r="AY571" s="297">
        <v>71.650000000000006</v>
      </c>
      <c r="AZ571" s="298" cm="1">
        <f t="array" aca="1" ref="AZ571" ca="1">INDIRECT("'"&amp;$C571&amp;"'!"&amp;"$"&amp;$D571&amp;$AZ$1&amp;"")</f>
        <v>14.33</v>
      </c>
      <c r="BA571" s="296">
        <v>0.98</v>
      </c>
      <c r="BB571" s="294">
        <v>3.5</v>
      </c>
      <c r="BC571" s="299">
        <v>67.3</v>
      </c>
      <c r="BD571" s="293" cm="1">
        <f t="array" aca="1" ref="BD571" ca="1">INDIRECT("'"&amp;$C571&amp;"'!"&amp;"$"&amp;$D571&amp;$BC$1&amp;"")</f>
        <v>3.0999999999999996</v>
      </c>
      <c r="BE571" s="295">
        <v>0.96</v>
      </c>
      <c r="BF571" s="294">
        <v>0.88</v>
      </c>
      <c r="BG571" s="298" cm="1">
        <f t="array" aca="1" ref="BG571" ca="1">INDIRECT("'"&amp;$C571&amp;"'!"&amp;"$"&amp;$D571&amp;$BG$1&amp;"")</f>
        <v>0</v>
      </c>
      <c r="BH571" s="296"/>
      <c r="BI571" s="296" t="s">
        <v>1</v>
      </c>
      <c r="BJ571" s="294" t="s">
        <v>1</v>
      </c>
      <c r="BK571" s="299" cm="1">
        <f t="array" aca="1" ref="BK571" ca="1">INDIRECT("'"&amp;$C571&amp;"'!"&amp;"$"&amp;$D571&amp;$BK$1&amp;"")</f>
        <v>0.87</v>
      </c>
      <c r="BL571" s="296"/>
      <c r="BM571" s="296">
        <v>0.96</v>
      </c>
      <c r="BN571" s="294">
        <v>0.24</v>
      </c>
    </row>
    <row r="572" spans="1:66" ht="14.45" thickBot="1">
      <c r="A572" s="360">
        <v>45770</v>
      </c>
      <c r="B572" s="358">
        <v>0.70833333333333404</v>
      </c>
      <c r="C572" s="313">
        <f t="shared" si="22"/>
        <v>23</v>
      </c>
      <c r="D572" s="314" t="s">
        <v>144</v>
      </c>
      <c r="E572" s="286">
        <v>14.3</v>
      </c>
      <c r="F572" s="287">
        <v>69.150000000000006</v>
      </c>
      <c r="G572" s="288" cm="1">
        <f t="array" aca="1" ref="G572" ca="1">INDIRECT("'"&amp;$C572&amp;"'!"&amp;"$"&amp;$D572&amp;$E$1&amp;"")</f>
        <v>6.4</v>
      </c>
      <c r="H572" s="289">
        <v>0.92</v>
      </c>
      <c r="I572" s="287">
        <v>2.67</v>
      </c>
      <c r="J572" s="288" cm="1">
        <f t="array" aca="1" ref="J572" ca="1">INDIRECT("'"&amp;$C572&amp;"'!"&amp;"$"&amp;$D572&amp;$J$1&amp;"")</f>
        <v>6.4</v>
      </c>
      <c r="K572" s="289"/>
      <c r="L572" s="289">
        <v>0.92</v>
      </c>
      <c r="M572" s="287">
        <v>2.69</v>
      </c>
      <c r="N572" s="288" cm="1">
        <f t="array" aca="1" ref="N572" ca="1">INDIRECT("'"&amp;$C572&amp;"'!"&amp;"$"&amp;$D572&amp;$N$1&amp;"")</f>
        <v>6.4</v>
      </c>
      <c r="O572" s="289"/>
      <c r="P572" s="289">
        <v>0.92</v>
      </c>
      <c r="Q572" s="287">
        <v>2.7</v>
      </c>
      <c r="R572" s="288" cm="1">
        <f t="array" aca="1" ref="R572" ca="1">INDIRECT("'"&amp;$C572&amp;"'!"&amp;"$"&amp;$D572&amp;$R$1&amp;"")</f>
        <v>6.4</v>
      </c>
      <c r="S572" s="289"/>
      <c r="T572" s="289">
        <v>0.92</v>
      </c>
      <c r="U572" s="287">
        <v>2.7</v>
      </c>
      <c r="V572" s="288" cm="1">
        <f t="array" aca="1" ref="V572" ca="1">INDIRECT("'"&amp;$C572&amp;"'!"&amp;"$"&amp;$D572&amp;$V$1&amp;"")</f>
        <v>2.8</v>
      </c>
      <c r="W572" s="289">
        <f>3.8*3.46</f>
        <v>13.148</v>
      </c>
      <c r="X572" s="289">
        <v>0.9</v>
      </c>
      <c r="Y572" s="290">
        <v>1.3</v>
      </c>
      <c r="Z572" s="286" cm="1">
        <f t="array" aca="1" ref="Z572" ca="1">INDIRECT("'"&amp;$C572&amp;"'!"&amp;"$"&amp;$D572&amp;$Z$1&amp;"")</f>
        <v>0</v>
      </c>
      <c r="AA572" s="289" t="s">
        <v>1</v>
      </c>
      <c r="AB572" s="289" t="s">
        <v>1</v>
      </c>
      <c r="AC572" s="287" t="s">
        <v>1</v>
      </c>
      <c r="AD572" s="288" cm="1">
        <f t="array" aca="1" ref="AD572" ca="1">INDIRECT("'"&amp;$C572&amp;"'!"&amp;"$"&amp;$D572&amp;$AD$1&amp;"")</f>
        <v>3.8</v>
      </c>
      <c r="AE572" s="289">
        <v>13.15</v>
      </c>
      <c r="AF572" s="289">
        <v>0.9</v>
      </c>
      <c r="AG572" s="290">
        <v>1.88</v>
      </c>
      <c r="AH572" s="286" cm="1">
        <f t="array" aca="1" ref="AH572" ca="1">INDIRECT("'"&amp;$C572&amp;"'!"&amp;"$"&amp;$D572&amp;$AH$1&amp;"")</f>
        <v>3.8</v>
      </c>
      <c r="AI572" s="289">
        <v>14.08</v>
      </c>
      <c r="AJ572" s="289">
        <v>0.96</v>
      </c>
      <c r="AK572" s="287">
        <v>1.06</v>
      </c>
      <c r="AL572" s="286">
        <v>11.9</v>
      </c>
      <c r="AM572" s="290">
        <v>70.7</v>
      </c>
      <c r="AN572" s="286" cm="1">
        <f t="array" aca="1" ref="AN572" ca="1">INDIRECT("'"&amp;$C572&amp;"'!"&amp;"$"&amp;$D572&amp;$AL$1&amp;"")</f>
        <v>4.2</v>
      </c>
      <c r="AO572" s="289">
        <v>0.97</v>
      </c>
      <c r="AP572" s="287">
        <v>0.73</v>
      </c>
      <c r="AQ572" s="288" cm="1">
        <f t="array" aca="1" ref="AQ572" ca="1">INDIRECT("'"&amp;$C572&amp;"'!"&amp;"$"&amp;$D572&amp;$AQ$1&amp;"")</f>
        <v>4.2</v>
      </c>
      <c r="AR572" s="289">
        <v>0.97</v>
      </c>
      <c r="AS572" s="287">
        <v>0.73</v>
      </c>
      <c r="AT572" s="289" cm="1">
        <f t="array" aca="1" ref="AT572" ca="1">INDIRECT("'"&amp;$C572&amp;"'!"&amp;"$"&amp;$D572&amp;$AT$1&amp;"")</f>
        <v>2.2000000000000002</v>
      </c>
      <c r="AU572" s="288">
        <v>13.8</v>
      </c>
      <c r="AV572" s="289">
        <v>0.9</v>
      </c>
      <c r="AW572" s="287">
        <v>1.3</v>
      </c>
      <c r="AX572" s="291">
        <v>14.33</v>
      </c>
      <c r="AY572" s="290">
        <v>71.8</v>
      </c>
      <c r="AZ572" s="291" cm="1">
        <f t="array" aca="1" ref="AZ572" ca="1">INDIRECT("'"&amp;$C572&amp;"'!"&amp;"$"&amp;$D572&amp;$AZ$1&amp;"")</f>
        <v>14.32</v>
      </c>
      <c r="BA572" s="289">
        <v>0.96</v>
      </c>
      <c r="BB572" s="287">
        <v>4.5</v>
      </c>
      <c r="BC572" s="292">
        <v>68</v>
      </c>
      <c r="BD572" s="286" cm="1">
        <f t="array" aca="1" ref="BD572" ca="1">INDIRECT("'"&amp;$C572&amp;"'!"&amp;"$"&amp;$D572&amp;$BC$1&amp;"")</f>
        <v>5.0999999999999996</v>
      </c>
      <c r="BE572" s="288">
        <v>0.96</v>
      </c>
      <c r="BF572" s="287">
        <v>1.4</v>
      </c>
      <c r="BG572" s="291" cm="1">
        <f t="array" aca="1" ref="BG572" ca="1">INDIRECT("'"&amp;$C572&amp;"'!"&amp;"$"&amp;$D572&amp;$BG$1&amp;"")</f>
        <v>0</v>
      </c>
      <c r="BH572" s="289"/>
      <c r="BI572" s="289" t="s">
        <v>1</v>
      </c>
      <c r="BJ572" s="287" t="s">
        <v>1</v>
      </c>
      <c r="BK572" s="292" cm="1">
        <f t="array" aca="1" ref="BK572" ca="1">INDIRECT("'"&amp;$C572&amp;"'!"&amp;"$"&amp;$D572&amp;$BK$1&amp;"")</f>
        <v>0.86</v>
      </c>
      <c r="BL572" s="289"/>
      <c r="BM572" s="289">
        <v>0.96</v>
      </c>
      <c r="BN572" s="287">
        <v>0.24</v>
      </c>
    </row>
    <row r="573" spans="1:66" ht="14.45" thickBot="1">
      <c r="A573" s="360">
        <v>45770</v>
      </c>
      <c r="B573" s="358">
        <v>0.750000000000001</v>
      </c>
      <c r="C573" s="313">
        <f t="shared" si="22"/>
        <v>23</v>
      </c>
      <c r="D573" s="314" t="s">
        <v>145</v>
      </c>
      <c r="E573" s="293">
        <v>14.2</v>
      </c>
      <c r="F573" s="294">
        <v>69.14</v>
      </c>
      <c r="G573" s="295" cm="1">
        <f t="array" aca="1" ref="G573" ca="1">INDIRECT("'"&amp;$C573&amp;"'!"&amp;"$"&amp;$D573&amp;$E$1&amp;"")</f>
        <v>6.7</v>
      </c>
      <c r="H573" s="296">
        <v>0.92</v>
      </c>
      <c r="I573" s="294">
        <v>2.74</v>
      </c>
      <c r="J573" s="295" cm="1">
        <f t="array" aca="1" ref="J573" ca="1">INDIRECT("'"&amp;$C573&amp;"'!"&amp;"$"&amp;$D573&amp;$J$1&amp;"")</f>
        <v>6.7</v>
      </c>
      <c r="K573" s="296"/>
      <c r="L573" s="296">
        <v>0.92</v>
      </c>
      <c r="M573" s="294">
        <v>2.75</v>
      </c>
      <c r="N573" s="295" cm="1">
        <f t="array" aca="1" ref="N573" ca="1">INDIRECT("'"&amp;$C573&amp;"'!"&amp;"$"&amp;$D573&amp;$N$1&amp;"")</f>
        <v>6.7</v>
      </c>
      <c r="O573" s="296"/>
      <c r="P573" s="296">
        <v>0.92</v>
      </c>
      <c r="Q573" s="294">
        <v>2.74</v>
      </c>
      <c r="R573" s="295" cm="1">
        <f t="array" aca="1" ref="R573" ca="1">INDIRECT("'"&amp;$C573&amp;"'!"&amp;"$"&amp;$D573&amp;$R$1&amp;"")</f>
        <v>6.7</v>
      </c>
      <c r="S573" s="296"/>
      <c r="T573" s="296">
        <v>0.92</v>
      </c>
      <c r="U573" s="294">
        <v>2.74</v>
      </c>
      <c r="V573" s="295" cm="1">
        <f t="array" aca="1" ref="V573" ca="1">INDIRECT("'"&amp;$C573&amp;"'!"&amp;"$"&amp;$D573&amp;$V$1&amp;"")</f>
        <v>2.2999999999999998</v>
      </c>
      <c r="W573" s="296">
        <f>3.8*3.49</f>
        <v>13.262</v>
      </c>
      <c r="X573" s="296">
        <v>0.92</v>
      </c>
      <c r="Y573" s="297">
        <v>1.1000000000000001</v>
      </c>
      <c r="Z573" s="293" cm="1">
        <f t="array" aca="1" ref="Z573" ca="1">INDIRECT("'"&amp;$C573&amp;"'!"&amp;"$"&amp;$D573&amp;$Z$1&amp;"")</f>
        <v>0</v>
      </c>
      <c r="AA573" s="296" t="s">
        <v>1</v>
      </c>
      <c r="AB573" s="296" t="s">
        <v>1</v>
      </c>
      <c r="AC573" s="294" t="s">
        <v>1</v>
      </c>
      <c r="AD573" s="295" cm="1">
        <f t="array" aca="1" ref="AD573" ca="1">INDIRECT("'"&amp;$C573&amp;"'!"&amp;"$"&amp;$D573&amp;$AD$1&amp;"")</f>
        <v>3.4</v>
      </c>
      <c r="AE573" s="296">
        <v>13.26</v>
      </c>
      <c r="AF573" s="296">
        <v>0.91</v>
      </c>
      <c r="AG573" s="297">
        <v>1.7</v>
      </c>
      <c r="AH573" s="293" cm="1">
        <f t="array" aca="1" ref="AH573" ca="1">INDIRECT("'"&amp;$C573&amp;"'!"&amp;"$"&amp;$D573&amp;$AH$1&amp;"")</f>
        <v>3.8</v>
      </c>
      <c r="AI573" s="296">
        <v>14.08</v>
      </c>
      <c r="AJ573" s="296">
        <v>0.97</v>
      </c>
      <c r="AK573" s="294">
        <v>0.95799999999999996</v>
      </c>
      <c r="AL573" s="293">
        <v>11.9</v>
      </c>
      <c r="AM573" s="297">
        <v>70.7</v>
      </c>
      <c r="AN573" s="293" cm="1">
        <f t="array" aca="1" ref="AN573" ca="1">INDIRECT("'"&amp;$C573&amp;"'!"&amp;"$"&amp;$D573&amp;$AL$1&amp;"")</f>
        <v>4.2</v>
      </c>
      <c r="AO573" s="296">
        <v>0.97</v>
      </c>
      <c r="AP573" s="294">
        <v>1.0900000000000001</v>
      </c>
      <c r="AQ573" s="295" cm="1">
        <f t="array" aca="1" ref="AQ573" ca="1">INDIRECT("'"&amp;$C573&amp;"'!"&amp;"$"&amp;$D573&amp;$AQ$1&amp;"")</f>
        <v>4.2</v>
      </c>
      <c r="AR573" s="296">
        <v>0.97</v>
      </c>
      <c r="AS573" s="294">
        <v>0.62</v>
      </c>
      <c r="AT573" s="296" cm="1">
        <f t="array" aca="1" ref="AT573" ca="1">INDIRECT("'"&amp;$C573&amp;"'!"&amp;"$"&amp;$D573&amp;$AT$1&amp;"")</f>
        <v>2.2999999999999998</v>
      </c>
      <c r="AU573" s="295">
        <v>13.8</v>
      </c>
      <c r="AV573" s="296">
        <v>0.9</v>
      </c>
      <c r="AW573" s="294">
        <v>1.5</v>
      </c>
      <c r="AX573" s="298">
        <v>14.4</v>
      </c>
      <c r="AY573" s="297">
        <v>72</v>
      </c>
      <c r="AZ573" s="298" cm="1">
        <f t="array" aca="1" ref="AZ573" ca="1">INDIRECT("'"&amp;$C573&amp;"'!"&amp;"$"&amp;$D573&amp;$AZ$1&amp;"")</f>
        <v>14.31</v>
      </c>
      <c r="BA573" s="296">
        <v>0.96</v>
      </c>
      <c r="BB573" s="294">
        <v>4.5999999999999996</v>
      </c>
      <c r="BC573" s="299">
        <v>67.5</v>
      </c>
      <c r="BD573" s="293" cm="1">
        <f t="array" aca="1" ref="BD573" ca="1">INDIRECT("'"&amp;$C573&amp;"'!"&amp;"$"&amp;$D573&amp;$BC$1&amp;"")</f>
        <v>0.9</v>
      </c>
      <c r="BE573" s="295">
        <v>0.96</v>
      </c>
      <c r="BF573" s="294">
        <v>0.26</v>
      </c>
      <c r="BG573" s="298" cm="1">
        <f t="array" aca="1" ref="BG573" ca="1">INDIRECT("'"&amp;$C573&amp;"'!"&amp;"$"&amp;$D573&amp;$BG$1&amp;"")</f>
        <v>0</v>
      </c>
      <c r="BH573" s="296"/>
      <c r="BI573" s="296" t="s">
        <v>1</v>
      </c>
      <c r="BJ573" s="294" t="s">
        <v>1</v>
      </c>
      <c r="BK573" s="299" cm="1">
        <f t="array" aca="1" ref="BK573" ca="1">INDIRECT("'"&amp;$C573&amp;"'!"&amp;"$"&amp;$D573&amp;$BK$1&amp;"")</f>
        <v>0.87</v>
      </c>
      <c r="BL573" s="296"/>
      <c r="BM573" s="296">
        <v>0.96</v>
      </c>
      <c r="BN573" s="294">
        <v>0.25</v>
      </c>
    </row>
    <row r="574" spans="1:66" ht="14.45" thickBot="1">
      <c r="A574" s="360">
        <v>45770</v>
      </c>
      <c r="B574" s="358">
        <v>0.79166666666666663</v>
      </c>
      <c r="C574" s="313">
        <f t="shared" si="22"/>
        <v>23</v>
      </c>
      <c r="D574" s="314" t="s">
        <v>146</v>
      </c>
      <c r="E574" s="286">
        <v>14.2</v>
      </c>
      <c r="F574" s="287">
        <v>69.790000000000006</v>
      </c>
      <c r="G574" s="288" cm="1">
        <f t="array" aca="1" ref="G574" ca="1">INDIRECT("'"&amp;$C574&amp;"'!"&amp;"$"&amp;$D574&amp;$E$1&amp;"")</f>
        <v>6.6</v>
      </c>
      <c r="H574" s="289">
        <v>0.93</v>
      </c>
      <c r="I574" s="287">
        <v>2.5499999999999998</v>
      </c>
      <c r="J574" s="288" cm="1">
        <f t="array" aca="1" ref="J574" ca="1">INDIRECT("'"&amp;$C574&amp;"'!"&amp;"$"&amp;$D574&amp;$J$1&amp;"")</f>
        <v>6.6</v>
      </c>
      <c r="K574" s="300"/>
      <c r="L574" s="289">
        <v>0.93</v>
      </c>
      <c r="M574" s="287">
        <v>2.59</v>
      </c>
      <c r="N574" s="288" cm="1">
        <f t="array" aca="1" ref="N574" ca="1">INDIRECT("'"&amp;$C574&amp;"'!"&amp;"$"&amp;$D574&amp;$N$1&amp;"")</f>
        <v>6.6</v>
      </c>
      <c r="O574" s="289"/>
      <c r="P574" s="289">
        <v>0.93</v>
      </c>
      <c r="Q574" s="287">
        <v>2.54</v>
      </c>
      <c r="R574" s="288" cm="1">
        <f t="array" aca="1" ref="R574" ca="1">INDIRECT("'"&amp;$C574&amp;"'!"&amp;"$"&amp;$D574&amp;$R$1&amp;"")</f>
        <v>6.6</v>
      </c>
      <c r="S574" s="289"/>
      <c r="T574" s="289">
        <v>0.93</v>
      </c>
      <c r="U574" s="287">
        <v>2.5499999999999998</v>
      </c>
      <c r="V574" s="288" cm="1">
        <f t="array" aca="1" ref="V574" ca="1">INDIRECT("'"&amp;$C574&amp;"'!"&amp;"$"&amp;$D574&amp;$V$1&amp;"")</f>
        <v>2.8</v>
      </c>
      <c r="W574" s="289">
        <f>3.8*3.51</f>
        <v>13.337999999999999</v>
      </c>
      <c r="X574" s="289">
        <v>0.95</v>
      </c>
      <c r="Y574" s="290">
        <v>0.84</v>
      </c>
      <c r="Z574" s="286" cm="1">
        <f t="array" aca="1" ref="Z574" ca="1">INDIRECT("'"&amp;$C574&amp;"'!"&amp;"$"&amp;$D574&amp;$Z$1&amp;"")</f>
        <v>0</v>
      </c>
      <c r="AA574" s="289" t="s">
        <v>1</v>
      </c>
      <c r="AB574" s="289" t="s">
        <v>1</v>
      </c>
      <c r="AC574" s="287" t="s">
        <v>1</v>
      </c>
      <c r="AD574" s="288" cm="1">
        <f t="array" aca="1" ref="AD574" ca="1">INDIRECT("'"&amp;$C574&amp;"'!"&amp;"$"&amp;$D574&amp;$AD$1&amp;"")</f>
        <v>3.8</v>
      </c>
      <c r="AE574" s="289">
        <v>13.34</v>
      </c>
      <c r="AF574" s="289">
        <v>0.94</v>
      </c>
      <c r="AG574" s="290">
        <v>1.31</v>
      </c>
      <c r="AH574" s="286" cm="1">
        <f t="array" aca="1" ref="AH574" ca="1">INDIRECT("'"&amp;$C574&amp;"'!"&amp;"$"&amp;$D574&amp;$AH$1&amp;"")</f>
        <v>3.8</v>
      </c>
      <c r="AI574" s="289">
        <v>14.08</v>
      </c>
      <c r="AJ574" s="289">
        <v>0.97</v>
      </c>
      <c r="AK574" s="287">
        <v>0.91400000000000003</v>
      </c>
      <c r="AL574" s="286">
        <v>11.9</v>
      </c>
      <c r="AM574" s="290">
        <v>70.7</v>
      </c>
      <c r="AN574" s="286" cm="1">
        <f t="array" aca="1" ref="AN574" ca="1">INDIRECT("'"&amp;$C574&amp;"'!"&amp;"$"&amp;$D574&amp;$AL$1&amp;"")</f>
        <v>4.2</v>
      </c>
      <c r="AO574" s="289">
        <v>0.97</v>
      </c>
      <c r="AP574" s="287">
        <v>0.94</v>
      </c>
      <c r="AQ574" s="288" cm="1">
        <f t="array" aca="1" ref="AQ574" ca="1">INDIRECT("'"&amp;$C574&amp;"'!"&amp;"$"&amp;$D574&amp;$AQ$1&amp;"")</f>
        <v>4.2</v>
      </c>
      <c r="AR574" s="289">
        <v>0.97</v>
      </c>
      <c r="AS574" s="287">
        <v>0.94</v>
      </c>
      <c r="AT574" s="289" cm="1">
        <f t="array" aca="1" ref="AT574" ca="1">INDIRECT("'"&amp;$C574&amp;"'!"&amp;"$"&amp;$D574&amp;$AT$1&amp;"")</f>
        <v>2.7</v>
      </c>
      <c r="AU574" s="288">
        <v>13.8</v>
      </c>
      <c r="AV574" s="289">
        <v>0.93</v>
      </c>
      <c r="AW574" s="287">
        <v>1.07</v>
      </c>
      <c r="AX574" s="291">
        <v>14.4</v>
      </c>
      <c r="AY574" s="290">
        <v>72.02</v>
      </c>
      <c r="AZ574" s="291" cm="1">
        <f t="array" aca="1" ref="AZ574" ca="1">INDIRECT("'"&amp;$C574&amp;"'!"&amp;"$"&amp;$D574&amp;$AZ$1&amp;"")</f>
        <v>14.28</v>
      </c>
      <c r="BA574" s="289">
        <v>0.96</v>
      </c>
      <c r="BB574" s="287">
        <v>4.5999999999999996</v>
      </c>
      <c r="BC574" s="292">
        <v>68.2</v>
      </c>
      <c r="BD574" s="286" cm="1">
        <f t="array" aca="1" ref="BD574" ca="1">INDIRECT("'"&amp;$C574&amp;"'!"&amp;"$"&amp;$D574&amp;$BC$1&amp;"")</f>
        <v>2.4000000000000004</v>
      </c>
      <c r="BE574" s="288">
        <v>0.96</v>
      </c>
      <c r="BF574" s="287">
        <v>0.7</v>
      </c>
      <c r="BG574" s="291" cm="1">
        <f t="array" aca="1" ref="BG574" ca="1">INDIRECT("'"&amp;$C574&amp;"'!"&amp;"$"&amp;$D574&amp;$BG$1&amp;"")</f>
        <v>0</v>
      </c>
      <c r="BH574" s="289"/>
      <c r="BI574" s="289" t="s">
        <v>1</v>
      </c>
      <c r="BJ574" s="287" t="s">
        <v>1</v>
      </c>
      <c r="BK574" s="292" cm="1">
        <f t="array" aca="1" ref="BK574" ca="1">INDIRECT("'"&amp;$C574&amp;"'!"&amp;"$"&amp;$D574&amp;$BK$1&amp;"")</f>
        <v>0.99</v>
      </c>
      <c r="BL574" s="289"/>
      <c r="BM574" s="289">
        <v>0.96</v>
      </c>
      <c r="BN574" s="287">
        <v>0.25</v>
      </c>
    </row>
    <row r="575" spans="1:66" ht="14.45" thickBot="1">
      <c r="A575" s="360">
        <v>45770</v>
      </c>
      <c r="B575" s="358">
        <v>0.83333333333333337</v>
      </c>
      <c r="C575" s="313">
        <f t="shared" si="22"/>
        <v>23</v>
      </c>
      <c r="D575" s="314" t="s">
        <v>147</v>
      </c>
      <c r="E575" s="293">
        <v>14.1</v>
      </c>
      <c r="F575" s="294">
        <v>69.459999999999994</v>
      </c>
      <c r="G575" s="295" cm="1">
        <f t="array" aca="1" ref="G575" ca="1">INDIRECT("'"&amp;$C575&amp;"'!"&amp;"$"&amp;$D575&amp;$E$1&amp;"")</f>
        <v>6.5</v>
      </c>
      <c r="H575" s="296">
        <v>0.96</v>
      </c>
      <c r="I575" s="294">
        <v>1.8</v>
      </c>
      <c r="J575" s="295" cm="1">
        <f t="array" aca="1" ref="J575" ca="1">INDIRECT("'"&amp;$C575&amp;"'!"&amp;"$"&amp;$D575&amp;$J$1&amp;"")</f>
        <v>6.5</v>
      </c>
      <c r="K575" s="296"/>
      <c r="L575" s="296">
        <v>0.96</v>
      </c>
      <c r="M575" s="294">
        <v>1.8</v>
      </c>
      <c r="N575" s="295" cm="1">
        <f t="array" aca="1" ref="N575" ca="1">INDIRECT("'"&amp;$C575&amp;"'!"&amp;"$"&amp;$D575&amp;$N$1&amp;"")</f>
        <v>6.5</v>
      </c>
      <c r="O575" s="296"/>
      <c r="P575" s="296">
        <v>0.96</v>
      </c>
      <c r="Q575" s="294">
        <v>1.8</v>
      </c>
      <c r="R575" s="295" cm="1">
        <f t="array" aca="1" ref="R575" ca="1">INDIRECT("'"&amp;$C575&amp;"'!"&amp;"$"&amp;$D575&amp;$R$1&amp;"")</f>
        <v>6.5</v>
      </c>
      <c r="S575" s="296"/>
      <c r="T575" s="296">
        <v>0.96</v>
      </c>
      <c r="U575" s="294">
        <v>1.8</v>
      </c>
      <c r="V575" s="295" cm="1">
        <f t="array" aca="1" ref="V575" ca="1">INDIRECT("'"&amp;$C575&amp;"'!"&amp;"$"&amp;$D575&amp;$V$1&amp;"")</f>
        <v>2.2000000000000002</v>
      </c>
      <c r="W575" s="296">
        <f>3.51*3.8</f>
        <v>13.337999999999999</v>
      </c>
      <c r="X575" s="296">
        <v>0.97</v>
      </c>
      <c r="Y575" s="297">
        <v>0.48</v>
      </c>
      <c r="Z575" s="293" cm="1">
        <f t="array" aca="1" ref="Z575" ca="1">INDIRECT("'"&amp;$C575&amp;"'!"&amp;"$"&amp;$D575&amp;$Z$1&amp;"")</f>
        <v>0</v>
      </c>
      <c r="AA575" s="296" t="s">
        <v>1</v>
      </c>
      <c r="AB575" s="296" t="s">
        <v>1</v>
      </c>
      <c r="AC575" s="294" t="s">
        <v>1</v>
      </c>
      <c r="AD575" s="295" cm="1">
        <f t="array" aca="1" ref="AD575" ca="1">INDIRECT("'"&amp;$C575&amp;"'!"&amp;"$"&amp;$D575&amp;$AD$1&amp;"")</f>
        <v>3.4</v>
      </c>
      <c r="AE575" s="296">
        <f>3.51*3.8</f>
        <v>13.337999999999999</v>
      </c>
      <c r="AF575" s="296">
        <v>0.95</v>
      </c>
      <c r="AG575" s="297">
        <v>1.1399999999999999</v>
      </c>
      <c r="AH575" s="293" cm="1">
        <f t="array" aca="1" ref="AH575" ca="1">INDIRECT("'"&amp;$C575&amp;"'!"&amp;"$"&amp;$D575&amp;$AH$1&amp;"")</f>
        <v>3.8</v>
      </c>
      <c r="AI575" s="296">
        <v>14.12</v>
      </c>
      <c r="AJ575" s="296">
        <v>0.98</v>
      </c>
      <c r="AK575" s="294">
        <v>0.78100000000000003</v>
      </c>
      <c r="AL575" s="293">
        <v>11.9</v>
      </c>
      <c r="AM575" s="297">
        <v>70.900000000000006</v>
      </c>
      <c r="AN575" s="293" cm="1">
        <f t="array" aca="1" ref="AN575" ca="1">INDIRECT("'"&amp;$C575&amp;"'!"&amp;"$"&amp;$D575&amp;$AL$1&amp;"")</f>
        <v>4.2</v>
      </c>
      <c r="AO575" s="296">
        <v>0.97</v>
      </c>
      <c r="AP575" s="294">
        <v>0.89</v>
      </c>
      <c r="AQ575" s="295" cm="1">
        <f t="array" aca="1" ref="AQ575" ca="1">INDIRECT("'"&amp;$C575&amp;"'!"&amp;"$"&amp;$D575&amp;$AQ$1&amp;"")</f>
        <v>4.2</v>
      </c>
      <c r="AR575" s="296">
        <v>0.97</v>
      </c>
      <c r="AS575" s="294">
        <v>0.89</v>
      </c>
      <c r="AT575" s="296" cm="1">
        <f t="array" aca="1" ref="AT575" ca="1">INDIRECT("'"&amp;$C575&amp;"'!"&amp;"$"&amp;$D575&amp;$AT$1&amp;"")</f>
        <v>2.2999999999999998</v>
      </c>
      <c r="AU575" s="295">
        <v>13.8</v>
      </c>
      <c r="AV575" s="296">
        <v>0.93</v>
      </c>
      <c r="AW575" s="294">
        <v>0.75</v>
      </c>
      <c r="AX575" s="298">
        <v>14.44</v>
      </c>
      <c r="AY575" s="297">
        <v>72.2</v>
      </c>
      <c r="AZ575" s="298" cm="1">
        <f t="array" aca="1" ref="AZ575" ca="1">INDIRECT("'"&amp;$C575&amp;"'!"&amp;"$"&amp;$D575&amp;$AZ$1&amp;"")</f>
        <v>14.32</v>
      </c>
      <c r="BA575" s="296">
        <v>0.96</v>
      </c>
      <c r="BB575" s="294">
        <v>4.5999999999999996</v>
      </c>
      <c r="BC575" s="299">
        <v>68.2</v>
      </c>
      <c r="BD575" s="293" cm="1">
        <f t="array" aca="1" ref="BD575" ca="1">INDIRECT("'"&amp;$C575&amp;"'!"&amp;"$"&amp;$D575&amp;$BC$1&amp;"")</f>
        <v>0.9</v>
      </c>
      <c r="BE575" s="295">
        <v>0.96</v>
      </c>
      <c r="BF575" s="294">
        <v>0.26</v>
      </c>
      <c r="BG575" s="298" cm="1">
        <f t="array" aca="1" ref="BG575" ca="1">INDIRECT("'"&amp;$C575&amp;"'!"&amp;"$"&amp;$D575&amp;$BG$1&amp;"")</f>
        <v>1.7</v>
      </c>
      <c r="BH575" s="296"/>
      <c r="BI575" s="296">
        <v>0.99</v>
      </c>
      <c r="BJ575" s="294">
        <v>0.26</v>
      </c>
      <c r="BK575" s="299" cm="1">
        <f t="array" aca="1" ref="BK575" ca="1">INDIRECT("'"&amp;$C575&amp;"'!"&amp;"$"&amp;$D575&amp;$BK$1&amp;"")</f>
        <v>0.99</v>
      </c>
      <c r="BL575" s="296"/>
      <c r="BM575" s="296">
        <v>0.97</v>
      </c>
      <c r="BN575" s="294">
        <v>0.24</v>
      </c>
    </row>
    <row r="576" spans="1:66" ht="14.45" thickBot="1">
      <c r="A576" s="360">
        <v>45770</v>
      </c>
      <c r="B576" s="358">
        <v>0.875000000000001</v>
      </c>
      <c r="C576" s="313">
        <f t="shared" si="22"/>
        <v>23</v>
      </c>
      <c r="D576" s="314" t="s">
        <v>148</v>
      </c>
      <c r="E576" s="286">
        <v>14.1</v>
      </c>
      <c r="F576" s="287">
        <v>69.56</v>
      </c>
      <c r="G576" s="288" cm="1">
        <f t="array" aca="1" ref="G576" ca="1">INDIRECT("'"&amp;$C576&amp;"'!"&amp;"$"&amp;$D576&amp;$E$1&amp;"")</f>
        <v>7.2</v>
      </c>
      <c r="H576" s="289">
        <v>0.96</v>
      </c>
      <c r="I576" s="287">
        <v>1.9</v>
      </c>
      <c r="J576" s="288" cm="1">
        <f t="array" aca="1" ref="J576" ca="1">INDIRECT("'"&amp;$C576&amp;"'!"&amp;"$"&amp;$D576&amp;$J$1&amp;"")</f>
        <v>6.3</v>
      </c>
      <c r="K576" s="289"/>
      <c r="L576" s="289">
        <v>0.96</v>
      </c>
      <c r="M576" s="287">
        <v>1.73</v>
      </c>
      <c r="N576" s="288" cm="1">
        <f t="array" aca="1" ref="N576" ca="1">INDIRECT("'"&amp;$C576&amp;"'!"&amp;"$"&amp;$D576&amp;$N$1&amp;"")</f>
        <v>6.3</v>
      </c>
      <c r="O576" s="289"/>
      <c r="P576" s="289">
        <v>0.96</v>
      </c>
      <c r="Q576" s="287">
        <v>1.73</v>
      </c>
      <c r="R576" s="288" cm="1">
        <f t="array" aca="1" ref="R576" ca="1">INDIRECT("'"&amp;$C576&amp;"'!"&amp;"$"&amp;$D576&amp;$R$1&amp;"")</f>
        <v>6.3</v>
      </c>
      <c r="S576" s="289"/>
      <c r="T576" s="289">
        <v>0.96</v>
      </c>
      <c r="U576" s="287">
        <v>1.73</v>
      </c>
      <c r="V576" s="288" cm="1">
        <f t="array" aca="1" ref="V576" ca="1">INDIRECT("'"&amp;$C576&amp;"'!"&amp;"$"&amp;$D576&amp;$V$1&amp;"")</f>
        <v>2</v>
      </c>
      <c r="W576" s="289">
        <f>3.52*3.8</f>
        <v>13.375999999999999</v>
      </c>
      <c r="X576" s="289">
        <v>0.97</v>
      </c>
      <c r="Y576" s="290">
        <v>0.96</v>
      </c>
      <c r="Z576" s="286" cm="1">
        <f t="array" aca="1" ref="Z576" ca="1">INDIRECT("'"&amp;$C576&amp;"'!"&amp;"$"&amp;$D576&amp;$Z$1&amp;"")</f>
        <v>0</v>
      </c>
      <c r="AA576" s="289" t="s">
        <v>1</v>
      </c>
      <c r="AB576" s="289" t="s">
        <v>1</v>
      </c>
      <c r="AC576" s="287" t="s">
        <v>1</v>
      </c>
      <c r="AD576" s="288" cm="1">
        <f t="array" aca="1" ref="AD576" ca="1">INDIRECT("'"&amp;$C576&amp;"'!"&amp;"$"&amp;$D576&amp;$AD$1&amp;"")</f>
        <v>3.2</v>
      </c>
      <c r="AE576" s="289">
        <f>3.52*3.8</f>
        <v>13.375999999999999</v>
      </c>
      <c r="AF576" s="289">
        <v>0.96</v>
      </c>
      <c r="AG576" s="290">
        <v>0.98</v>
      </c>
      <c r="AH576" s="286" cm="1">
        <f t="array" aca="1" ref="AH576" ca="1">INDIRECT("'"&amp;$C576&amp;"'!"&amp;"$"&amp;$D576&amp;$AH$1&amp;"")</f>
        <v>3</v>
      </c>
      <c r="AI576" s="289">
        <v>14.08</v>
      </c>
      <c r="AJ576" s="289">
        <v>0.93</v>
      </c>
      <c r="AK576" s="287">
        <v>1.1499999999999999</v>
      </c>
      <c r="AL576" s="286">
        <v>11.9</v>
      </c>
      <c r="AM576" s="290">
        <v>70.599999999999994</v>
      </c>
      <c r="AN576" s="286" cm="1">
        <f t="array" aca="1" ref="AN576" ca="1">INDIRECT("'"&amp;$C576&amp;"'!"&amp;"$"&amp;$D576&amp;$AL$1&amp;"")</f>
        <v>3.7</v>
      </c>
      <c r="AO576" s="289">
        <v>0.97</v>
      </c>
      <c r="AP576" s="287">
        <v>0.91</v>
      </c>
      <c r="AQ576" s="288" cm="1">
        <f t="array" aca="1" ref="AQ576" ca="1">INDIRECT("'"&amp;$C576&amp;"'!"&amp;"$"&amp;$D576&amp;$AQ$1&amp;"")</f>
        <v>3.7</v>
      </c>
      <c r="AR576" s="289">
        <v>0.97</v>
      </c>
      <c r="AS576" s="287">
        <v>0.91</v>
      </c>
      <c r="AT576" s="289" cm="1">
        <f t="array" aca="1" ref="AT576" ca="1">INDIRECT("'"&amp;$C576&amp;"'!"&amp;"$"&amp;$D576&amp;$AT$1&amp;"")</f>
        <v>0</v>
      </c>
      <c r="AU576" s="288" t="s">
        <v>1</v>
      </c>
      <c r="AV576" s="289" t="s">
        <v>1</v>
      </c>
      <c r="AW576" s="287" t="s">
        <v>1</v>
      </c>
      <c r="AX576" s="291">
        <v>14.25</v>
      </c>
      <c r="AY576" s="290">
        <v>71.709999999999994</v>
      </c>
      <c r="AZ576" s="291" cm="1">
        <f t="array" aca="1" ref="AZ576" ca="1">INDIRECT("'"&amp;$C576&amp;"'!"&amp;"$"&amp;$D576&amp;$AZ$1&amp;"")</f>
        <v>13.6</v>
      </c>
      <c r="BA576" s="289">
        <v>0.98</v>
      </c>
      <c r="BB576" s="287">
        <v>3.4</v>
      </c>
      <c r="BC576" s="292">
        <v>68.2</v>
      </c>
      <c r="BD576" s="286" cm="1">
        <f t="array" aca="1" ref="BD576" ca="1">INDIRECT("'"&amp;$C576&amp;"'!"&amp;"$"&amp;$D576&amp;$BC$1&amp;"")</f>
        <v>0.9</v>
      </c>
      <c r="BE576" s="288">
        <v>0.96</v>
      </c>
      <c r="BF576" s="287">
        <v>0.26</v>
      </c>
      <c r="BG576" s="291" cm="1">
        <f t="array" aca="1" ref="BG576" ca="1">INDIRECT("'"&amp;$C576&amp;"'!"&amp;"$"&amp;$D576&amp;$BG$1&amp;"")</f>
        <v>1.5500000000000003</v>
      </c>
      <c r="BH576" s="289"/>
      <c r="BI576" s="289">
        <v>0.99</v>
      </c>
      <c r="BJ576" s="287">
        <v>0.22</v>
      </c>
      <c r="BK576" s="292" cm="1">
        <f t="array" aca="1" ref="BK576" ca="1">INDIRECT("'"&amp;$C576&amp;"'!"&amp;"$"&amp;$D576&amp;$BK$1&amp;"")</f>
        <v>0.96</v>
      </c>
      <c r="BL576" s="289"/>
      <c r="BM576" s="289">
        <v>0.97</v>
      </c>
      <c r="BN576" s="287">
        <v>0.24</v>
      </c>
    </row>
    <row r="577" spans="1:66" ht="14.45" thickBot="1">
      <c r="A577" s="360">
        <v>45770</v>
      </c>
      <c r="B577" s="358">
        <v>0.91666666666666696</v>
      </c>
      <c r="C577" s="313">
        <f t="shared" si="22"/>
        <v>23</v>
      </c>
      <c r="D577" s="314" t="s">
        <v>149</v>
      </c>
      <c r="E577" s="293">
        <v>14.1</v>
      </c>
      <c r="F577" s="294">
        <v>69.97</v>
      </c>
      <c r="G577" s="295" cm="1">
        <f t="array" aca="1" ref="G577" ca="1">INDIRECT("'"&amp;$C577&amp;"'!"&amp;"$"&amp;$D577&amp;$E$1&amp;"")</f>
        <v>6.3</v>
      </c>
      <c r="H577" s="296">
        <v>0.98</v>
      </c>
      <c r="I577" s="294">
        <v>1.4</v>
      </c>
      <c r="J577" s="295" cm="1">
        <f t="array" aca="1" ref="J577" ca="1">INDIRECT("'"&amp;$C577&amp;"'!"&amp;"$"&amp;$D577&amp;$J$1&amp;"")</f>
        <v>6.3</v>
      </c>
      <c r="K577" s="296"/>
      <c r="L577" s="296">
        <v>0.98</v>
      </c>
      <c r="M577" s="294">
        <v>1.4</v>
      </c>
      <c r="N577" s="295" cm="1">
        <f t="array" aca="1" ref="N577" ca="1">INDIRECT("'"&amp;$C577&amp;"'!"&amp;"$"&amp;$D577&amp;$N$1&amp;"")</f>
        <v>6.3</v>
      </c>
      <c r="O577" s="296"/>
      <c r="P577" s="296">
        <v>0.98</v>
      </c>
      <c r="Q577" s="294">
        <v>1.4</v>
      </c>
      <c r="R577" s="295" cm="1">
        <f t="array" aca="1" ref="R577" ca="1">INDIRECT("'"&amp;$C577&amp;"'!"&amp;"$"&amp;$D577&amp;$R$1&amp;"")</f>
        <v>6.3</v>
      </c>
      <c r="S577" s="296"/>
      <c r="T577" s="296">
        <v>0.98</v>
      </c>
      <c r="U577" s="294">
        <v>1.4</v>
      </c>
      <c r="V577" s="295" cm="1">
        <f t="array" aca="1" ref="V577" ca="1">INDIRECT("'"&amp;$C577&amp;"'!"&amp;"$"&amp;$D577&amp;$V$1&amp;"")</f>
        <v>2</v>
      </c>
      <c r="W577" s="296">
        <f>3.56*3.8</f>
        <v>13.527999999999999</v>
      </c>
      <c r="X577" s="296">
        <v>0.96</v>
      </c>
      <c r="Y577" s="297">
        <v>0.99</v>
      </c>
      <c r="Z577" s="293" cm="1">
        <f t="array" aca="1" ref="Z577" ca="1">INDIRECT("'"&amp;$C577&amp;"'!"&amp;"$"&amp;$D577&amp;$Z$1&amp;"")</f>
        <v>0</v>
      </c>
      <c r="AA577" s="296" t="s">
        <v>1</v>
      </c>
      <c r="AB577" s="296" t="s">
        <v>1</v>
      </c>
      <c r="AC577" s="294" t="s">
        <v>1</v>
      </c>
      <c r="AD577" s="295" cm="1">
        <f t="array" aca="1" ref="AD577" ca="1">INDIRECT("'"&amp;$C577&amp;"'!"&amp;"$"&amp;$D577&amp;$AD$1&amp;"")</f>
        <v>3.2</v>
      </c>
      <c r="AE577" s="296">
        <f>3.56*3.8</f>
        <v>13.527999999999999</v>
      </c>
      <c r="AF577" s="296">
        <v>0.96</v>
      </c>
      <c r="AG577" s="297">
        <v>0.99</v>
      </c>
      <c r="AH577" s="293" cm="1">
        <f t="array" aca="1" ref="AH577" ca="1">INDIRECT("'"&amp;$C577&amp;"'!"&amp;"$"&amp;$D577&amp;$AH$1&amp;"")</f>
        <v>3.8</v>
      </c>
      <c r="AI577" s="296">
        <v>14.08</v>
      </c>
      <c r="AJ577" s="296">
        <v>0.97</v>
      </c>
      <c r="AK577" s="294">
        <v>0.93100000000000005</v>
      </c>
      <c r="AL577" s="293">
        <v>11.9</v>
      </c>
      <c r="AM577" s="297">
        <v>7.4</v>
      </c>
      <c r="AN577" s="293" t="str" cm="1">
        <f t="array" aca="1" ref="AN577" ca="1">INDIRECT("'"&amp;$C577&amp;"'!"&amp;"$"&amp;$D577&amp;$AL$1&amp;"")</f>
        <v>CMS</v>
      </c>
      <c r="AO577" s="296" t="s">
        <v>1</v>
      </c>
      <c r="AP577" s="294" t="s">
        <v>1</v>
      </c>
      <c r="AQ577" s="295" cm="1">
        <f t="array" aca="1" ref="AQ577" ca="1">INDIRECT("'"&amp;$C577&amp;"'!"&amp;"$"&amp;$D577&amp;$AQ$1&amp;"")</f>
        <v>3.8</v>
      </c>
      <c r="AR577" s="296">
        <v>0.93</v>
      </c>
      <c r="AS577" s="294">
        <v>1.58</v>
      </c>
      <c r="AT577" s="296" cm="1">
        <f t="array" aca="1" ref="AT577" ca="1">INDIRECT("'"&amp;$C577&amp;"'!"&amp;"$"&amp;$D577&amp;$AT$1&amp;"")</f>
        <v>0</v>
      </c>
      <c r="AU577" s="295" t="s">
        <v>1</v>
      </c>
      <c r="AV577" s="296" t="s">
        <v>1</v>
      </c>
      <c r="AW577" s="294" t="s">
        <v>1</v>
      </c>
      <c r="AX577" s="298">
        <v>14.13</v>
      </c>
      <c r="AY577" s="297">
        <v>71.48</v>
      </c>
      <c r="AZ577" s="298" cm="1">
        <f t="array" aca="1" ref="AZ577" ca="1">INDIRECT("'"&amp;$C577&amp;"'!"&amp;"$"&amp;$D577&amp;$AZ$1&amp;"")</f>
        <v>14.22</v>
      </c>
      <c r="BA577" s="296">
        <v>0.99</v>
      </c>
      <c r="BB577" s="294">
        <v>2.5</v>
      </c>
      <c r="BC577" s="299">
        <v>68.7</v>
      </c>
      <c r="BD577" s="293" cm="1">
        <f t="array" aca="1" ref="BD577" ca="1">INDIRECT("'"&amp;$C577&amp;"'!"&amp;"$"&amp;$D577&amp;$BC$1&amp;"")</f>
        <v>0.9</v>
      </c>
      <c r="BE577" s="295">
        <v>0.96</v>
      </c>
      <c r="BF577" s="294">
        <v>0.27</v>
      </c>
      <c r="BG577" s="298" cm="1">
        <f t="array" aca="1" ref="BG577" ca="1">INDIRECT("'"&amp;$C577&amp;"'!"&amp;"$"&amp;$D577&amp;$BG$1&amp;"")</f>
        <v>1.38</v>
      </c>
      <c r="BH577" s="296"/>
      <c r="BI577" s="296">
        <v>0.99</v>
      </c>
      <c r="BJ577" s="294">
        <v>0.21</v>
      </c>
      <c r="BK577" s="299" cm="1">
        <f t="array" aca="1" ref="BK577" ca="1">INDIRECT("'"&amp;$C577&amp;"'!"&amp;"$"&amp;$D577&amp;$BK$1&amp;"")</f>
        <v>0.9</v>
      </c>
      <c r="BL577" s="296"/>
      <c r="BM577" s="296">
        <v>0.97</v>
      </c>
      <c r="BN577" s="294">
        <v>0.23</v>
      </c>
    </row>
    <row r="578" spans="1:66" ht="14.45" thickBot="1">
      <c r="A578" s="360">
        <v>45770</v>
      </c>
      <c r="B578" s="359">
        <v>0.95833333333333404</v>
      </c>
      <c r="C578" s="315">
        <f t="shared" si="22"/>
        <v>23</v>
      </c>
      <c r="D578" s="316" t="s">
        <v>150</v>
      </c>
      <c r="E578" s="301">
        <v>14.2</v>
      </c>
      <c r="F578" s="302">
        <v>70.5</v>
      </c>
      <c r="G578" s="303" cm="1">
        <f t="array" aca="1" ref="G578" ca="1">INDIRECT("'"&amp;$C578&amp;"'!"&amp;"$"&amp;$D578&amp;$E$1&amp;"")</f>
        <v>0</v>
      </c>
      <c r="H578" s="304" t="s">
        <v>1</v>
      </c>
      <c r="I578" s="302" t="s">
        <v>1</v>
      </c>
      <c r="J578" s="303" cm="1">
        <f t="array" aca="1" ref="J578" ca="1">INDIRECT("'"&amp;$C578&amp;"'!"&amp;"$"&amp;$D578&amp;$J$1&amp;"")</f>
        <v>6.8</v>
      </c>
      <c r="K578" s="304"/>
      <c r="L578" s="304">
        <v>0.98</v>
      </c>
      <c r="M578" s="302">
        <v>1.33</v>
      </c>
      <c r="N578" s="303" cm="1">
        <f t="array" aca="1" ref="N578" ca="1">INDIRECT("'"&amp;$C578&amp;"'!"&amp;"$"&amp;$D578&amp;$N$1&amp;"")</f>
        <v>6.8</v>
      </c>
      <c r="O578" s="304"/>
      <c r="P578" s="304">
        <v>0.98</v>
      </c>
      <c r="Q578" s="302">
        <v>1.33</v>
      </c>
      <c r="R578" s="303" cm="1">
        <f t="array" aca="1" ref="R578" ca="1">INDIRECT("'"&amp;$C578&amp;"'!"&amp;"$"&amp;$D578&amp;$R$1&amp;"")</f>
        <v>6.8</v>
      </c>
      <c r="S578" s="304"/>
      <c r="T578" s="304">
        <v>0.98</v>
      </c>
      <c r="U578" s="302">
        <v>1.33</v>
      </c>
      <c r="V578" s="303" cm="1">
        <f t="array" aca="1" ref="V578" ca="1">INDIRECT("'"&amp;$C578&amp;"'!"&amp;"$"&amp;$D578&amp;$V$1&amp;"")</f>
        <v>2.8</v>
      </c>
      <c r="W578" s="304">
        <f>3.8*3.61</f>
        <v>13.717999999999998</v>
      </c>
      <c r="X578" s="304">
        <v>0.97</v>
      </c>
      <c r="Y578" s="305">
        <v>0.66</v>
      </c>
      <c r="Z578" s="301" cm="1">
        <f t="array" aca="1" ref="Z578" ca="1">INDIRECT("'"&amp;$C578&amp;"'!"&amp;"$"&amp;$D578&amp;$Z$1&amp;"")</f>
        <v>0</v>
      </c>
      <c r="AA578" s="304" t="s">
        <v>1</v>
      </c>
      <c r="AB578" s="304" t="s">
        <v>1</v>
      </c>
      <c r="AC578" s="302" t="s">
        <v>1</v>
      </c>
      <c r="AD578" s="303" cm="1">
        <f t="array" aca="1" ref="AD578" ca="1">INDIRECT("'"&amp;$C578&amp;"'!"&amp;"$"&amp;$D578&amp;$AD$1&amp;"")</f>
        <v>3.8</v>
      </c>
      <c r="AE578" s="304">
        <f>3.8*3.61</f>
        <v>13.717999999999998</v>
      </c>
      <c r="AF578" s="304">
        <v>0.98</v>
      </c>
      <c r="AG578" s="305">
        <v>1.33</v>
      </c>
      <c r="AH578" s="301" cm="1">
        <f t="array" aca="1" ref="AH578" ca="1">INDIRECT("'"&amp;$C578&amp;"'!"&amp;"$"&amp;$D578&amp;$AH$1&amp;"")</f>
        <v>3.8</v>
      </c>
      <c r="AI578" s="304">
        <v>14.12</v>
      </c>
      <c r="AJ578" s="304">
        <v>0.98</v>
      </c>
      <c r="AK578" s="302">
        <v>0.72799999999999998</v>
      </c>
      <c r="AL578" s="301">
        <v>11.9</v>
      </c>
      <c r="AM578" s="305">
        <v>70.900000000000006</v>
      </c>
      <c r="AN578" s="301" t="str" cm="1">
        <f t="array" aca="1" ref="AN578" ca="1">INDIRECT("'"&amp;$C578&amp;"'!"&amp;"$"&amp;$D578&amp;$AL$1&amp;"")</f>
        <v>CMS</v>
      </c>
      <c r="AO578" s="304" t="s">
        <v>1</v>
      </c>
      <c r="AP578" s="302" t="s">
        <v>1</v>
      </c>
      <c r="AQ578" s="303" cm="1">
        <f t="array" aca="1" ref="AQ578" ca="1">INDIRECT("'"&amp;$C578&amp;"'!"&amp;"$"&amp;$D578&amp;$AQ$1&amp;"")</f>
        <v>4.0999999999999996</v>
      </c>
      <c r="AR578" s="304">
        <v>0.97</v>
      </c>
      <c r="AS578" s="302">
        <v>0.96</v>
      </c>
      <c r="AT578" s="304" cm="1">
        <f t="array" aca="1" ref="AT578" ca="1">INDIRECT("'"&amp;$C578&amp;"'!"&amp;"$"&amp;$D578&amp;$AT$1&amp;"")</f>
        <v>0</v>
      </c>
      <c r="AU578" s="303" t="s">
        <v>1</v>
      </c>
      <c r="AV578" s="304" t="s">
        <v>1</v>
      </c>
      <c r="AW578" s="302" t="s">
        <v>1</v>
      </c>
      <c r="AX578" s="306">
        <v>14.19</v>
      </c>
      <c r="AY578" s="305">
        <v>71.900000000000006</v>
      </c>
      <c r="AZ578" s="306" cm="1">
        <f t="array" aca="1" ref="AZ578" ca="1">INDIRECT("'"&amp;$C578&amp;"'!"&amp;"$"&amp;$D578&amp;$AZ$1&amp;"")</f>
        <v>14.05</v>
      </c>
      <c r="BA578" s="304">
        <v>0.99</v>
      </c>
      <c r="BB578" s="302">
        <v>2.4</v>
      </c>
      <c r="BC578" s="307">
        <v>69.599999999999994</v>
      </c>
      <c r="BD578" s="301" cm="1">
        <f t="array" aca="1" ref="BD578" ca="1">INDIRECT("'"&amp;$C578&amp;"'!"&amp;"$"&amp;$D578&amp;$BC$1&amp;"")</f>
        <v>1.5</v>
      </c>
      <c r="BE578" s="303">
        <v>0.96</v>
      </c>
      <c r="BF578" s="302">
        <v>0.43</v>
      </c>
      <c r="BG578" s="306" cm="1">
        <f t="array" aca="1" ref="BG578" ca="1">INDIRECT("'"&amp;$C578&amp;"'!"&amp;"$"&amp;$D578&amp;$BG$1&amp;"")</f>
        <v>1.21</v>
      </c>
      <c r="BH578" s="304"/>
      <c r="BI578" s="304">
        <v>0.99</v>
      </c>
      <c r="BJ578" s="302">
        <v>0.18</v>
      </c>
      <c r="BK578" s="307" cm="1">
        <f t="array" aca="1" ref="BK578" ca="1">INDIRECT("'"&amp;$C578&amp;"'!"&amp;"$"&amp;$D578&amp;$BK$1&amp;"")</f>
        <v>0.87</v>
      </c>
      <c r="BL578" s="304"/>
      <c r="BM578" s="304">
        <v>0.97</v>
      </c>
      <c r="BN578" s="302">
        <v>0.22</v>
      </c>
    </row>
    <row r="579" spans="1:66" ht="14.45" thickBot="1"/>
    <row r="580" spans="1:66" ht="14.45" thickBot="1">
      <c r="A580" s="360">
        <v>45771</v>
      </c>
      <c r="B580" s="357">
        <v>0</v>
      </c>
      <c r="C580" s="310">
        <f>C555+1</f>
        <v>24</v>
      </c>
      <c r="D580" s="311" t="s">
        <v>127</v>
      </c>
      <c r="E580" s="280">
        <v>14</v>
      </c>
      <c r="F580" s="281">
        <v>70.06</v>
      </c>
      <c r="G580" s="282" cm="1">
        <f t="array" aca="1" ref="G580" ca="1">INDIRECT("'"&amp;$C580&amp;"'!"&amp;"$"&amp;$D580&amp;$E$1&amp;"")</f>
        <v>0</v>
      </c>
      <c r="H580" s="283" t="s">
        <v>1</v>
      </c>
      <c r="I580" s="281" t="s">
        <v>1</v>
      </c>
      <c r="J580" s="282" cm="1">
        <f t="array" aca="1" ref="J580" ca="1">INDIRECT("'"&amp;$C580&amp;"'!"&amp;"$"&amp;$D580&amp;$J$1&amp;"")</f>
        <v>6.6</v>
      </c>
      <c r="K580" s="283"/>
      <c r="L580" s="283">
        <v>0.98</v>
      </c>
      <c r="M580" s="281">
        <v>1.32</v>
      </c>
      <c r="N580" s="282" cm="1">
        <f t="array" aca="1" ref="N580" ca="1">INDIRECT("'"&amp;$C580&amp;"'!"&amp;"$"&amp;$D580&amp;$N$1&amp;"")</f>
        <v>6.6</v>
      </c>
      <c r="O580" s="283"/>
      <c r="P580" s="283">
        <v>0.98</v>
      </c>
      <c r="Q580" s="281">
        <v>1.32</v>
      </c>
      <c r="R580" s="282" cm="1">
        <f t="array" aca="1" ref="R580" ca="1">INDIRECT("'"&amp;$C580&amp;"'!"&amp;"$"&amp;$D580&amp;$R$1&amp;"")</f>
        <v>6.6</v>
      </c>
      <c r="S580" s="283"/>
      <c r="T580" s="283">
        <v>0.98</v>
      </c>
      <c r="U580" s="281">
        <v>1.32</v>
      </c>
      <c r="V580" s="282" cm="1">
        <f t="array" aca="1" ref="V580" ca="1">INDIRECT("'"&amp;$C580&amp;"'!"&amp;"$"&amp;$D580&amp;$V$1&amp;"")</f>
        <v>2</v>
      </c>
      <c r="W580" s="283">
        <f>3.8*3.58</f>
        <v>13.603999999999999</v>
      </c>
      <c r="X580" s="283">
        <v>0.98</v>
      </c>
      <c r="Y580" s="284">
        <v>0.31</v>
      </c>
      <c r="Z580" s="280" cm="1">
        <f t="array" aca="1" ref="Z580" ca="1">INDIRECT("'"&amp;$C580&amp;"'!"&amp;"$"&amp;$D580&amp;$Z$1&amp;"")</f>
        <v>0</v>
      </c>
      <c r="AA580" s="283" t="s">
        <v>1</v>
      </c>
      <c r="AB580" s="283" t="s">
        <v>1</v>
      </c>
      <c r="AC580" s="281" t="s">
        <v>1</v>
      </c>
      <c r="AD580" s="282" cm="1">
        <f t="array" aca="1" ref="AD580" ca="1">INDIRECT("'"&amp;$C580&amp;"'!"&amp;"$"&amp;$D580&amp;$AD$1&amp;"")</f>
        <v>3</v>
      </c>
      <c r="AE580" s="283">
        <f>3.8*3.58</f>
        <v>13.603999999999999</v>
      </c>
      <c r="AF580" s="283">
        <v>0.98</v>
      </c>
      <c r="AG580" s="281">
        <v>0.31</v>
      </c>
      <c r="AH580" s="280" cm="1">
        <f t="array" aca="1" ref="AH580" ca="1">INDIRECT("'"&amp;$C580&amp;"'!"&amp;"$"&amp;$D580&amp;$AH$1&amp;"")</f>
        <v>3</v>
      </c>
      <c r="AI580" s="283">
        <v>14</v>
      </c>
      <c r="AJ580" s="283">
        <v>0.97</v>
      </c>
      <c r="AK580" s="281">
        <v>0.60099999999999998</v>
      </c>
      <c r="AL580" s="280">
        <v>11.8</v>
      </c>
      <c r="AM580" s="284">
        <v>70.5</v>
      </c>
      <c r="AN580" s="280" t="str" cm="1">
        <f t="array" aca="1" ref="AN580" ca="1">INDIRECT("'"&amp;$C580&amp;"'!"&amp;"$"&amp;$D580&amp;$AL$1&amp;"")</f>
        <v>CMS</v>
      </c>
      <c r="AO580" s="283" t="s">
        <v>1</v>
      </c>
      <c r="AP580" s="281" t="s">
        <v>1</v>
      </c>
      <c r="AQ580" s="282" cm="1">
        <f t="array" aca="1" ref="AQ580" ca="1">INDIRECT("'"&amp;$C580&amp;"'!"&amp;"$"&amp;$D580&amp;$AQ$1&amp;"")</f>
        <v>3</v>
      </c>
      <c r="AR580" s="283">
        <v>0.95</v>
      </c>
      <c r="AS580" s="281">
        <v>0.96</v>
      </c>
      <c r="AT580" s="283" cm="1">
        <f t="array" aca="1" ref="AT580" ca="1">INDIRECT("'"&amp;$C580&amp;"'!"&amp;"$"&amp;$D580&amp;$AT$1&amp;"")</f>
        <v>0</v>
      </c>
      <c r="AU580" s="282" t="s">
        <v>1</v>
      </c>
      <c r="AV580" s="283" t="s">
        <v>1</v>
      </c>
      <c r="AW580" s="281" t="s">
        <v>1</v>
      </c>
      <c r="AX580" s="285">
        <v>14.18</v>
      </c>
      <c r="AY580" s="284">
        <v>71.72</v>
      </c>
      <c r="AZ580" s="285" cm="1">
        <f t="array" aca="1" ref="AZ580" ca="1">INDIRECT("'"&amp;$C580&amp;"'!"&amp;"$"&amp;$D580&amp;$AZ$1&amp;"")</f>
        <v>14.29</v>
      </c>
      <c r="BA580" s="283">
        <v>0.99</v>
      </c>
      <c r="BB580" s="281">
        <v>2.4</v>
      </c>
      <c r="BC580" s="281">
        <v>69</v>
      </c>
      <c r="BD580" s="280" cm="1">
        <f t="array" aca="1" ref="BD580" ca="1">INDIRECT("'"&amp;$C580&amp;"'!"&amp;"$"&amp;$D580&amp;$BC$1&amp;"")</f>
        <v>0.9</v>
      </c>
      <c r="BE580" s="282">
        <v>0.97</v>
      </c>
      <c r="BF580" s="281">
        <v>0.22</v>
      </c>
      <c r="BG580" s="285" cm="1">
        <f t="array" aca="1" ref="BG580" ca="1">INDIRECT("'"&amp;$C580&amp;"'!"&amp;"$"&amp;$D580&amp;$BG$1&amp;"")</f>
        <v>1.1100000000000001</v>
      </c>
      <c r="BH580" s="283"/>
      <c r="BI580" s="283">
        <v>0.99</v>
      </c>
      <c r="BJ580" s="281">
        <v>0.16</v>
      </c>
      <c r="BK580" s="285" cm="1">
        <f t="array" aca="1" ref="BK580" ca="1">INDIRECT("'"&amp;$C580&amp;"'!"&amp;"$"&amp;$D580&amp;$BK$1&amp;"")</f>
        <v>0.83</v>
      </c>
      <c r="BL580" s="283"/>
      <c r="BM580" s="283">
        <v>0.96</v>
      </c>
      <c r="BN580" s="281">
        <v>0.22</v>
      </c>
    </row>
    <row r="581" spans="1:66" ht="14.45" thickBot="1">
      <c r="A581" s="360">
        <v>45771</v>
      </c>
      <c r="B581" s="358">
        <v>4.1666666666666699E-2</v>
      </c>
      <c r="C581" s="313">
        <f t="shared" ref="C581:C603" si="23">C556+1</f>
        <v>24</v>
      </c>
      <c r="D581" s="314" t="s">
        <v>128</v>
      </c>
      <c r="E581" s="286">
        <v>14.1</v>
      </c>
      <c r="F581" s="287">
        <v>69.86</v>
      </c>
      <c r="G581" s="288" cm="1">
        <f t="array" aca="1" ref="G581" ca="1">INDIRECT("'"&amp;$C581&amp;"'!"&amp;"$"&amp;$D581&amp;$E$1&amp;"")</f>
        <v>0</v>
      </c>
      <c r="H581" s="289" t="s">
        <v>1</v>
      </c>
      <c r="I581" s="287" t="s">
        <v>1</v>
      </c>
      <c r="J581" s="288" cm="1">
        <f t="array" aca="1" ref="J581" ca="1">INDIRECT("'"&amp;$C581&amp;"'!"&amp;"$"&amp;$D581&amp;$J$1&amp;"")</f>
        <v>6.6</v>
      </c>
      <c r="K581" s="289"/>
      <c r="L581" s="289">
        <v>0.96</v>
      </c>
      <c r="M581" s="287">
        <v>1.9</v>
      </c>
      <c r="N581" s="288" cm="1">
        <f t="array" aca="1" ref="N581" ca="1">INDIRECT("'"&amp;$C581&amp;"'!"&amp;"$"&amp;$D581&amp;$N$1&amp;"")</f>
        <v>6.6</v>
      </c>
      <c r="O581" s="289"/>
      <c r="P581" s="289">
        <v>0.96</v>
      </c>
      <c r="Q581" s="287">
        <v>1.9</v>
      </c>
      <c r="R581" s="288" cm="1">
        <f t="array" aca="1" ref="R581" ca="1">INDIRECT("'"&amp;$C581&amp;"'!"&amp;"$"&amp;$D581&amp;$R$1&amp;"")</f>
        <v>6.6</v>
      </c>
      <c r="S581" s="289"/>
      <c r="T581" s="289">
        <v>0.96</v>
      </c>
      <c r="U581" s="287">
        <v>1.9</v>
      </c>
      <c r="V581" s="288" cm="1">
        <f t="array" aca="1" ref="V581" ca="1">INDIRECT("'"&amp;$C581&amp;"'!"&amp;"$"&amp;$D581&amp;$V$1&amp;"")</f>
        <v>2.2000000000000002</v>
      </c>
      <c r="W581" s="289">
        <f>3.8*3.54</f>
        <v>13.452</v>
      </c>
      <c r="X581" s="289">
        <v>0.99</v>
      </c>
      <c r="Y581" s="290">
        <v>0.33</v>
      </c>
      <c r="Z581" s="286" cm="1">
        <f t="array" aca="1" ref="Z581" ca="1">INDIRECT("'"&amp;$C581&amp;"'!"&amp;"$"&amp;$D581&amp;$Z$1&amp;"")</f>
        <v>0</v>
      </c>
      <c r="AA581" s="289" t="s">
        <v>1</v>
      </c>
      <c r="AB581" s="289" t="s">
        <v>1</v>
      </c>
      <c r="AC581" s="287" t="s">
        <v>1</v>
      </c>
      <c r="AD581" s="288" t="str" cm="1">
        <f t="array" aca="1" ref="AD581" ca="1">INDIRECT("'"&amp;$C581&amp;"'!"&amp;"$"&amp;$D581&amp;$AD$1&amp;"")</f>
        <v>CMS</v>
      </c>
      <c r="AE581" s="289" t="s">
        <v>1</v>
      </c>
      <c r="AF581" s="289" t="s">
        <v>1</v>
      </c>
      <c r="AG581" s="290" t="s">
        <v>1</v>
      </c>
      <c r="AH581" s="286" cm="1">
        <f t="array" aca="1" ref="AH581" ca="1">INDIRECT("'"&amp;$C581&amp;"'!"&amp;"$"&amp;$D581&amp;$AH$1&amp;"")</f>
        <v>3</v>
      </c>
      <c r="AI581" s="289">
        <v>14</v>
      </c>
      <c r="AJ581" s="289">
        <v>0.98</v>
      </c>
      <c r="AK581" s="287">
        <v>0.47699999999999998</v>
      </c>
      <c r="AL581" s="286">
        <v>11.8</v>
      </c>
      <c r="AM581" s="290">
        <v>70.599999999999994</v>
      </c>
      <c r="AN581" s="286" t="str" cm="1">
        <f t="array" aca="1" ref="AN581" ca="1">INDIRECT("'"&amp;$C581&amp;"'!"&amp;"$"&amp;$D581&amp;$AL$1&amp;"")</f>
        <v>CMS</v>
      </c>
      <c r="AO581" s="289" t="s">
        <v>1</v>
      </c>
      <c r="AP581" s="287" t="s">
        <v>1</v>
      </c>
      <c r="AQ581" s="288" cm="1">
        <f t="array" aca="1" ref="AQ581" ca="1">INDIRECT("'"&amp;$C581&amp;"'!"&amp;"$"&amp;$D581&amp;$AQ$1&amp;"")</f>
        <v>4.0999999999999996</v>
      </c>
      <c r="AR581" s="289">
        <v>0.97</v>
      </c>
      <c r="AS581" s="287">
        <v>0.92</v>
      </c>
      <c r="AT581" s="289" cm="1">
        <f t="array" aca="1" ref="AT581" ca="1">INDIRECT("'"&amp;$C581&amp;"'!"&amp;"$"&amp;$D581&amp;$AT$1&amp;"")</f>
        <v>0</v>
      </c>
      <c r="AU581" s="288" t="s">
        <v>1</v>
      </c>
      <c r="AV581" s="289" t="s">
        <v>1</v>
      </c>
      <c r="AW581" s="287" t="s">
        <v>1</v>
      </c>
      <c r="AX581" s="291">
        <v>14.15</v>
      </c>
      <c r="AY581" s="290">
        <v>71.59</v>
      </c>
      <c r="AZ581" s="291" cm="1">
        <f t="array" aca="1" ref="AZ581" ca="1">INDIRECT("'"&amp;$C581&amp;"'!"&amp;"$"&amp;$D581&amp;$AZ$1&amp;"")</f>
        <v>14.24</v>
      </c>
      <c r="BA581" s="289">
        <v>0.99</v>
      </c>
      <c r="BB581" s="287">
        <v>2.4</v>
      </c>
      <c r="BC581" s="292">
        <v>68.8</v>
      </c>
      <c r="BD581" s="286" cm="1">
        <f t="array" aca="1" ref="BD581" ca="1">INDIRECT("'"&amp;$C581&amp;"'!"&amp;"$"&amp;$D581&amp;$BC$1&amp;"")</f>
        <v>0.9</v>
      </c>
      <c r="BE581" s="288">
        <v>0.97</v>
      </c>
      <c r="BF581" s="287">
        <v>0.22</v>
      </c>
      <c r="BG581" s="291" cm="1">
        <f t="array" aca="1" ref="BG581" ca="1">INDIRECT("'"&amp;$C581&amp;"'!"&amp;"$"&amp;$D581&amp;$BG$1&amp;"")</f>
        <v>1.01</v>
      </c>
      <c r="BH581" s="289"/>
      <c r="BI581" s="289">
        <v>0.99</v>
      </c>
      <c r="BJ581" s="287">
        <v>0.14000000000000001</v>
      </c>
      <c r="BK581" s="291" cm="1">
        <f t="array" aca="1" ref="BK581" ca="1">INDIRECT("'"&amp;$C581&amp;"'!"&amp;"$"&amp;$D581&amp;$BK$1&amp;"")</f>
        <v>0.76</v>
      </c>
      <c r="BL581" s="289"/>
      <c r="BM581" s="289">
        <v>0.96</v>
      </c>
      <c r="BN581" s="287">
        <v>0.2</v>
      </c>
    </row>
    <row r="582" spans="1:66" ht="14.45" thickBot="1">
      <c r="A582" s="360">
        <v>45771</v>
      </c>
      <c r="B582" s="358">
        <v>8.3333333333333301E-2</v>
      </c>
      <c r="C582" s="313">
        <f t="shared" si="23"/>
        <v>24</v>
      </c>
      <c r="D582" s="314" t="s">
        <v>129</v>
      </c>
      <c r="E582" s="293">
        <v>14</v>
      </c>
      <c r="F582" s="294">
        <v>69.3</v>
      </c>
      <c r="G582" s="295" cm="1">
        <f t="array" aca="1" ref="G582" ca="1">INDIRECT("'"&amp;$C582&amp;"'!"&amp;"$"&amp;$D582&amp;$E$1&amp;"")</f>
        <v>0</v>
      </c>
      <c r="H582" s="296" t="s">
        <v>1</v>
      </c>
      <c r="I582" s="294" t="s">
        <v>1</v>
      </c>
      <c r="J582" s="295" cm="1">
        <f t="array" aca="1" ref="J582" ca="1">INDIRECT("'"&amp;$C582&amp;"'!"&amp;"$"&amp;$D582&amp;$J$1&amp;"")</f>
        <v>6.6</v>
      </c>
      <c r="K582" s="296"/>
      <c r="L582" s="296">
        <v>0.98</v>
      </c>
      <c r="M582" s="294">
        <v>1.28</v>
      </c>
      <c r="N582" s="295" cm="1">
        <f t="array" aca="1" ref="N582" ca="1">INDIRECT("'"&amp;$C582&amp;"'!"&amp;"$"&amp;$D582&amp;$N$1&amp;"")</f>
        <v>6.6</v>
      </c>
      <c r="O582" s="296"/>
      <c r="P582" s="296">
        <v>0.98</v>
      </c>
      <c r="Q582" s="294">
        <v>1.28</v>
      </c>
      <c r="R582" s="295" cm="1">
        <f t="array" aca="1" ref="R582" ca="1">INDIRECT("'"&amp;$C582&amp;"'!"&amp;"$"&amp;$D582&amp;$R$1&amp;"")</f>
        <v>6.6</v>
      </c>
      <c r="S582" s="296"/>
      <c r="T582" s="296">
        <v>0.98</v>
      </c>
      <c r="U582" s="294">
        <v>1.28</v>
      </c>
      <c r="V582" s="295" t="str" cm="1">
        <f t="array" aca="1" ref="V582" ca="1">INDIRECT("'"&amp;$C582&amp;"'!"&amp;"$"&amp;$D582&amp;$V$1&amp;"")</f>
        <v>CMS</v>
      </c>
      <c r="W582" s="296" t="s">
        <v>1</v>
      </c>
      <c r="X582" s="296" t="s">
        <v>1</v>
      </c>
      <c r="Y582" s="297" t="s">
        <v>1</v>
      </c>
      <c r="Z582" s="293" cm="1">
        <f t="array" aca="1" ref="Z582" ca="1">INDIRECT("'"&amp;$C582&amp;"'!"&amp;"$"&amp;$D582&amp;$Z$1&amp;"")</f>
        <v>0</v>
      </c>
      <c r="AA582" s="296" t="s">
        <v>1</v>
      </c>
      <c r="AB582" s="296" t="s">
        <v>1</v>
      </c>
      <c r="AC582" s="294" t="s">
        <v>1</v>
      </c>
      <c r="AD582" s="295" t="str" cm="1">
        <f t="array" aca="1" ref="AD582" ca="1">INDIRECT("'"&amp;$C582&amp;"'!"&amp;"$"&amp;$D582&amp;$AD$1&amp;"")</f>
        <v>CMS</v>
      </c>
      <c r="AE582" s="296" t="s">
        <v>1</v>
      </c>
      <c r="AF582" s="296" t="s">
        <v>1</v>
      </c>
      <c r="AG582" s="297" t="s">
        <v>1</v>
      </c>
      <c r="AH582" s="293" cm="1">
        <f t="array" aca="1" ref="AH582" ca="1">INDIRECT("'"&amp;$C582&amp;"'!"&amp;"$"&amp;$D582&amp;$AH$1&amp;"")</f>
        <v>3</v>
      </c>
      <c r="AI582" s="296">
        <v>14</v>
      </c>
      <c r="AJ582" s="296">
        <v>0.97</v>
      </c>
      <c r="AK582" s="297">
        <v>0.64700000000000002</v>
      </c>
      <c r="AL582" s="293">
        <v>11.8</v>
      </c>
      <c r="AM582" s="297">
        <v>70.400000000000006</v>
      </c>
      <c r="AN582" s="293" t="str" cm="1">
        <f t="array" aca="1" ref="AN582" ca="1">INDIRECT("'"&amp;$C582&amp;"'!"&amp;"$"&amp;$D582&amp;$AL$1&amp;"")</f>
        <v>CMS</v>
      </c>
      <c r="AO582" s="296" t="s">
        <v>1</v>
      </c>
      <c r="AP582" s="294" t="s">
        <v>1</v>
      </c>
      <c r="AQ582" s="295" cm="1">
        <f t="array" aca="1" ref="AQ582" ca="1">INDIRECT("'"&amp;$C582&amp;"'!"&amp;"$"&amp;$D582&amp;$AQ$1&amp;"")</f>
        <v>4.0999999999999996</v>
      </c>
      <c r="AR582" s="296">
        <v>0.96</v>
      </c>
      <c r="AS582" s="294">
        <v>1.1200000000000001</v>
      </c>
      <c r="AT582" s="296" cm="1">
        <f t="array" aca="1" ref="AT582" ca="1">INDIRECT("'"&amp;$C582&amp;"'!"&amp;"$"&amp;$D582&amp;$AT$1&amp;"")</f>
        <v>0</v>
      </c>
      <c r="AU582" s="295" t="s">
        <v>1</v>
      </c>
      <c r="AV582" s="296" t="s">
        <v>1</v>
      </c>
      <c r="AW582" s="294" t="s">
        <v>1</v>
      </c>
      <c r="AX582" s="298">
        <v>14.16</v>
      </c>
      <c r="AY582" s="297">
        <v>71.61</v>
      </c>
      <c r="AZ582" s="298" cm="1">
        <f t="array" aca="1" ref="AZ582" ca="1">INDIRECT("'"&amp;$C582&amp;"'!"&amp;"$"&amp;$D582&amp;$AZ$1&amp;"")</f>
        <v>14.24</v>
      </c>
      <c r="BA582" s="296">
        <v>0.99</v>
      </c>
      <c r="BB582" s="294">
        <v>2.4</v>
      </c>
      <c r="BC582" s="299">
        <v>68.5</v>
      </c>
      <c r="BD582" s="293" cm="1">
        <f t="array" aca="1" ref="BD582" ca="1">INDIRECT("'"&amp;$C582&amp;"'!"&amp;"$"&amp;$D582&amp;$BC$1&amp;"")</f>
        <v>0.9</v>
      </c>
      <c r="BE582" s="295">
        <v>0.97</v>
      </c>
      <c r="BF582" s="294">
        <v>0.25</v>
      </c>
      <c r="BG582" s="298" cm="1">
        <f t="array" aca="1" ref="BG582" ca="1">INDIRECT("'"&amp;$C582&amp;"'!"&amp;"$"&amp;$D582&amp;$BG$1&amp;"")</f>
        <v>1.01</v>
      </c>
      <c r="BH582" s="296"/>
      <c r="BI582" s="296">
        <v>0.99</v>
      </c>
      <c r="BJ582" s="294">
        <v>0.14000000000000001</v>
      </c>
      <c r="BK582" s="298" cm="1">
        <f t="array" aca="1" ref="BK582" ca="1">INDIRECT("'"&amp;$C582&amp;"'!"&amp;"$"&amp;$D582&amp;$BK$1&amp;"")</f>
        <v>0.76</v>
      </c>
      <c r="BL582" s="296"/>
      <c r="BM582" s="296">
        <v>0.96</v>
      </c>
      <c r="BN582" s="294">
        <v>0.2</v>
      </c>
    </row>
    <row r="583" spans="1:66" ht="14.45" thickBot="1">
      <c r="A583" s="360">
        <v>45771</v>
      </c>
      <c r="B583" s="358">
        <v>0.125</v>
      </c>
      <c r="C583" s="313">
        <f t="shared" si="23"/>
        <v>24</v>
      </c>
      <c r="D583" s="314" t="s">
        <v>130</v>
      </c>
      <c r="E583" s="286">
        <v>14</v>
      </c>
      <c r="F583" s="287">
        <v>69.61</v>
      </c>
      <c r="G583" s="288" cm="1">
        <f t="array" aca="1" ref="G583" ca="1">INDIRECT("'"&amp;$C583&amp;"'!"&amp;"$"&amp;$D583&amp;$E$1&amp;"")</f>
        <v>6.4</v>
      </c>
      <c r="H583" s="289">
        <v>0.98</v>
      </c>
      <c r="I583" s="287">
        <v>1.5</v>
      </c>
      <c r="J583" s="288" cm="1">
        <f t="array" aca="1" ref="J583" ca="1">INDIRECT("'"&amp;$C583&amp;"'!"&amp;"$"&amp;$D583&amp;$J$1&amp;"")</f>
        <v>6.4</v>
      </c>
      <c r="K583" s="289"/>
      <c r="L583" s="289">
        <v>0.98</v>
      </c>
      <c r="M583" s="287">
        <v>1.5</v>
      </c>
      <c r="N583" s="288" cm="1">
        <f t="array" aca="1" ref="N583" ca="1">INDIRECT("'"&amp;$C583&amp;"'!"&amp;"$"&amp;$D583&amp;$N$1&amp;"")</f>
        <v>0</v>
      </c>
      <c r="O583" s="289"/>
      <c r="P583" s="289" t="s">
        <v>1</v>
      </c>
      <c r="Q583" s="287" t="s">
        <v>1</v>
      </c>
      <c r="R583" s="288" cm="1">
        <f t="array" aca="1" ref="R583" ca="1">INDIRECT("'"&amp;$C583&amp;"'!"&amp;"$"&amp;$D583&amp;$R$1&amp;"")</f>
        <v>6.4</v>
      </c>
      <c r="S583" s="289"/>
      <c r="T583" s="289">
        <v>0.98</v>
      </c>
      <c r="U583" s="287">
        <v>1.5</v>
      </c>
      <c r="V583" s="288" t="str" cm="1">
        <f t="array" aca="1" ref="V583" ca="1">INDIRECT("'"&amp;$C583&amp;"'!"&amp;"$"&amp;$D583&amp;$V$1&amp;"")</f>
        <v>CMS</v>
      </c>
      <c r="W583" s="289" t="s">
        <v>1</v>
      </c>
      <c r="X583" s="289" t="s">
        <v>1</v>
      </c>
      <c r="Y583" s="290" t="s">
        <v>1</v>
      </c>
      <c r="Z583" s="286" cm="1">
        <f t="array" aca="1" ref="Z583" ca="1">INDIRECT("'"&amp;$C583&amp;"'!"&amp;"$"&amp;$D583&amp;$Z$1&amp;"")</f>
        <v>0</v>
      </c>
      <c r="AA583" s="289" t="s">
        <v>1</v>
      </c>
      <c r="AB583" s="289" t="s">
        <v>1</v>
      </c>
      <c r="AC583" s="287" t="s">
        <v>1</v>
      </c>
      <c r="AD583" s="288" t="str" cm="1">
        <f t="array" aca="1" ref="AD583" ca="1">INDIRECT("'"&amp;$C583&amp;"'!"&amp;"$"&amp;$D583&amp;$AD$1&amp;"")</f>
        <v>CMS</v>
      </c>
      <c r="AE583" s="289" t="s">
        <v>1</v>
      </c>
      <c r="AF583" s="289" t="s">
        <v>1</v>
      </c>
      <c r="AG583" s="287" t="s">
        <v>1</v>
      </c>
      <c r="AH583" s="286" cm="1">
        <f t="array" aca="1" ref="AH583" ca="1">INDIRECT("'"&amp;$C583&amp;"'!"&amp;"$"&amp;$D583&amp;$AH$1&amp;"")</f>
        <v>3</v>
      </c>
      <c r="AI583" s="289">
        <v>14</v>
      </c>
      <c r="AJ583" s="289">
        <v>0.99</v>
      </c>
      <c r="AK583" s="287">
        <v>0.47499999999999998</v>
      </c>
      <c r="AL583" s="286">
        <v>11.8</v>
      </c>
      <c r="AM583" s="290">
        <v>70.3</v>
      </c>
      <c r="AN583" s="286" t="str" cm="1">
        <f t="array" aca="1" ref="AN583" ca="1">INDIRECT("'"&amp;$C583&amp;"'!"&amp;"$"&amp;$D583&amp;$AL$1&amp;"")</f>
        <v>CMS</v>
      </c>
      <c r="AO583" s="289" t="s">
        <v>1</v>
      </c>
      <c r="AP583" s="287" t="s">
        <v>1</v>
      </c>
      <c r="AQ583" s="288" cm="1">
        <f t="array" aca="1" ref="AQ583" ca="1">INDIRECT("'"&amp;$C583&amp;"'!"&amp;"$"&amp;$D583&amp;$AQ$1&amp;"")</f>
        <v>3.2</v>
      </c>
      <c r="AR583" s="289">
        <v>0.95</v>
      </c>
      <c r="AS583" s="287">
        <v>1.26</v>
      </c>
      <c r="AT583" s="289" cm="1">
        <f t="array" aca="1" ref="AT583" ca="1">INDIRECT("'"&amp;$C583&amp;"'!"&amp;"$"&amp;$D583&amp;$AT$1&amp;"")</f>
        <v>0</v>
      </c>
      <c r="AU583" s="288" t="s">
        <v>1</v>
      </c>
      <c r="AV583" s="289" t="s">
        <v>1</v>
      </c>
      <c r="AW583" s="287" t="s">
        <v>1</v>
      </c>
      <c r="AX583" s="291">
        <v>14.15</v>
      </c>
      <c r="AY583" s="290">
        <v>71.540000000000006</v>
      </c>
      <c r="AZ583" s="291" cm="1">
        <f t="array" aca="1" ref="AZ583" ca="1">INDIRECT("'"&amp;$C583&amp;"'!"&amp;"$"&amp;$D583&amp;$AZ$1&amp;"")</f>
        <v>13.78</v>
      </c>
      <c r="BA583" s="289">
        <v>0.99</v>
      </c>
      <c r="BB583" s="287">
        <v>2.4</v>
      </c>
      <c r="BC583" s="292">
        <v>68.400000000000006</v>
      </c>
      <c r="BD583" s="286" cm="1">
        <f t="array" aca="1" ref="BD583" ca="1">INDIRECT("'"&amp;$C583&amp;"'!"&amp;"$"&amp;$D583&amp;$BC$1&amp;"")</f>
        <v>0.9</v>
      </c>
      <c r="BE583" s="288">
        <v>0.97</v>
      </c>
      <c r="BF583" s="287">
        <v>0.23</v>
      </c>
      <c r="BG583" s="291" cm="1">
        <f t="array" aca="1" ref="BG583" ca="1">INDIRECT("'"&amp;$C583&amp;"'!"&amp;"$"&amp;$D583&amp;$BG$1&amp;"")</f>
        <v>0.9</v>
      </c>
      <c r="BH583" s="289"/>
      <c r="BI583" s="289">
        <v>0.99</v>
      </c>
      <c r="BJ583" s="287">
        <v>0.12</v>
      </c>
      <c r="BK583" s="291" cm="1">
        <f t="array" aca="1" ref="BK583" ca="1">INDIRECT("'"&amp;$C583&amp;"'!"&amp;"$"&amp;$D583&amp;$BK$1&amp;"")</f>
        <v>0.72</v>
      </c>
      <c r="BL583" s="289"/>
      <c r="BM583" s="289">
        <v>0.96</v>
      </c>
      <c r="BN583" s="287">
        <v>0.2</v>
      </c>
    </row>
    <row r="584" spans="1:66" ht="14.45" thickBot="1">
      <c r="A584" s="360">
        <v>45771</v>
      </c>
      <c r="B584" s="358">
        <v>0.16666666666666699</v>
      </c>
      <c r="C584" s="313">
        <f t="shared" si="23"/>
        <v>24</v>
      </c>
      <c r="D584" s="314" t="s">
        <v>131</v>
      </c>
      <c r="E584" s="293">
        <v>14</v>
      </c>
      <c r="F584" s="294">
        <v>70.28</v>
      </c>
      <c r="G584" s="295" cm="1">
        <f t="array" aca="1" ref="G584" ca="1">INDIRECT("'"&amp;$C584&amp;"'!"&amp;"$"&amp;$D584&amp;$E$1&amp;"")</f>
        <v>6.3</v>
      </c>
      <c r="H584" s="296">
        <v>0.91</v>
      </c>
      <c r="I584" s="294">
        <v>1.56</v>
      </c>
      <c r="J584" s="295" cm="1">
        <f t="array" aca="1" ref="J584" ca="1">INDIRECT("'"&amp;$C584&amp;"'!"&amp;"$"&amp;$D584&amp;$J$1&amp;"")</f>
        <v>6.3</v>
      </c>
      <c r="K584" s="296"/>
      <c r="L584" s="296">
        <v>0.91</v>
      </c>
      <c r="M584" s="294">
        <v>1.56</v>
      </c>
      <c r="N584" s="295" cm="1">
        <f t="array" aca="1" ref="N584" ca="1">INDIRECT("'"&amp;$C584&amp;"'!"&amp;"$"&amp;$D584&amp;$N$1&amp;"")</f>
        <v>0</v>
      </c>
      <c r="O584" s="296"/>
      <c r="P584" s="296" t="s">
        <v>1</v>
      </c>
      <c r="Q584" s="294" t="s">
        <v>1</v>
      </c>
      <c r="R584" s="295" cm="1">
        <f t="array" aca="1" ref="R584" ca="1">INDIRECT("'"&amp;$C584&amp;"'!"&amp;"$"&amp;$D584&amp;$R$1&amp;"")</f>
        <v>6.3</v>
      </c>
      <c r="S584" s="296"/>
      <c r="T584" s="296">
        <v>0.91</v>
      </c>
      <c r="U584" s="294">
        <v>1.56</v>
      </c>
      <c r="V584" s="295" t="str" cm="1">
        <f t="array" aca="1" ref="V584" ca="1">INDIRECT("'"&amp;$C584&amp;"'!"&amp;"$"&amp;$D584&amp;$V$1&amp;"")</f>
        <v>CMS</v>
      </c>
      <c r="W584" s="296" t="s">
        <v>1</v>
      </c>
      <c r="X584" s="296" t="s">
        <v>1</v>
      </c>
      <c r="Y584" s="297" t="s">
        <v>1</v>
      </c>
      <c r="Z584" s="293" cm="1">
        <f t="array" aca="1" ref="Z584" ca="1">INDIRECT("'"&amp;$C584&amp;"'!"&amp;"$"&amp;$D584&amp;$Z$1&amp;"")</f>
        <v>0</v>
      </c>
      <c r="AA584" s="296" t="s">
        <v>1</v>
      </c>
      <c r="AB584" s="296" t="s">
        <v>1</v>
      </c>
      <c r="AC584" s="294" t="s">
        <v>1</v>
      </c>
      <c r="AD584" s="295" t="str" cm="1">
        <f t="array" aca="1" ref="AD584" ca="1">INDIRECT("'"&amp;$C584&amp;"'!"&amp;"$"&amp;$D584&amp;$AD$1&amp;"")</f>
        <v>CMS</v>
      </c>
      <c r="AE584" s="296" t="s">
        <v>1</v>
      </c>
      <c r="AF584" s="296" t="s">
        <v>1</v>
      </c>
      <c r="AG584" s="294" t="s">
        <v>1</v>
      </c>
      <c r="AH584" s="293" cm="1">
        <f t="array" aca="1" ref="AH584" ca="1">INDIRECT("'"&amp;$C584&amp;"'!"&amp;"$"&amp;$D584&amp;$AH$1&amp;"")</f>
        <v>3</v>
      </c>
      <c r="AI584" s="296">
        <v>14.04</v>
      </c>
      <c r="AJ584" s="296">
        <v>0.99</v>
      </c>
      <c r="AK584" s="294">
        <v>0.38200000000000001</v>
      </c>
      <c r="AL584" s="293">
        <v>11.8</v>
      </c>
      <c r="AM584" s="297">
        <v>70.599999999999994</v>
      </c>
      <c r="AN584" s="293" t="str" cm="1">
        <f t="array" aca="1" ref="AN584" ca="1">INDIRECT("'"&amp;$C584&amp;"'!"&amp;"$"&amp;$D584&amp;$AL$1&amp;"")</f>
        <v>CMS</v>
      </c>
      <c r="AO584" s="296" t="s">
        <v>1</v>
      </c>
      <c r="AP584" s="294" t="s">
        <v>1</v>
      </c>
      <c r="AQ584" s="295" cm="1">
        <f t="array" aca="1" ref="AQ584" ca="1">INDIRECT("'"&amp;$C584&amp;"'!"&amp;"$"&amp;$D584&amp;$AQ$1&amp;"")</f>
        <v>3.1</v>
      </c>
      <c r="AR584" s="296">
        <v>0.96</v>
      </c>
      <c r="AS584" s="294">
        <v>0.99</v>
      </c>
      <c r="AT584" s="296" cm="1">
        <f t="array" aca="1" ref="AT584" ca="1">INDIRECT("'"&amp;$C584&amp;"'!"&amp;"$"&amp;$D584&amp;$AT$1&amp;"")</f>
        <v>0</v>
      </c>
      <c r="AU584" s="295" t="s">
        <v>1</v>
      </c>
      <c r="AV584" s="296" t="s">
        <v>1</v>
      </c>
      <c r="AW584" s="294" t="s">
        <v>1</v>
      </c>
      <c r="AX584" s="298">
        <v>14.16</v>
      </c>
      <c r="AY584" s="297">
        <v>71.61</v>
      </c>
      <c r="AZ584" s="298" cm="1">
        <f t="array" aca="1" ref="AZ584" ca="1">INDIRECT("'"&amp;$C584&amp;"'!"&amp;"$"&amp;$D584&amp;$AZ$1&amp;"")</f>
        <v>12.83</v>
      </c>
      <c r="BA584" s="296">
        <v>0.99</v>
      </c>
      <c r="BB584" s="294">
        <v>2.2000000000000002</v>
      </c>
      <c r="BC584" s="299">
        <v>68.5</v>
      </c>
      <c r="BD584" s="293" cm="1">
        <f t="array" aca="1" ref="BD584" ca="1">INDIRECT("'"&amp;$C584&amp;"'!"&amp;"$"&amp;$D584&amp;$BC$1&amp;"")</f>
        <v>0.9</v>
      </c>
      <c r="BE584" s="295">
        <v>0.97</v>
      </c>
      <c r="BF584" s="294">
        <v>0.24</v>
      </c>
      <c r="BG584" s="298" cm="1">
        <f t="array" aca="1" ref="BG584" ca="1">INDIRECT("'"&amp;$C584&amp;"'!"&amp;"$"&amp;$D584&amp;$BG$1&amp;"")</f>
        <v>0.93</v>
      </c>
      <c r="BH584" s="296"/>
      <c r="BI584" s="296">
        <v>0.99</v>
      </c>
      <c r="BJ584" s="294">
        <v>0.12</v>
      </c>
      <c r="BK584" s="298" cm="1">
        <f t="array" aca="1" ref="BK584" ca="1">INDIRECT("'"&amp;$C584&amp;"'!"&amp;"$"&amp;$D584&amp;$BK$1&amp;"")</f>
        <v>0.71</v>
      </c>
      <c r="BL584" s="296"/>
      <c r="BM584" s="296">
        <v>0.96</v>
      </c>
      <c r="BN584" s="294">
        <v>0.19</v>
      </c>
    </row>
    <row r="585" spans="1:66" ht="14.45" thickBot="1">
      <c r="A585" s="360">
        <v>45771</v>
      </c>
      <c r="B585" s="358">
        <v>0.20833333333333301</v>
      </c>
      <c r="C585" s="313">
        <f t="shared" si="23"/>
        <v>24</v>
      </c>
      <c r="D585" s="314" t="s">
        <v>132</v>
      </c>
      <c r="E585" s="286">
        <v>14</v>
      </c>
      <c r="F585" s="287">
        <v>69.459999999999994</v>
      </c>
      <c r="G585" s="288" cm="1">
        <f t="array" aca="1" ref="G585" ca="1">INDIRECT("'"&amp;$C585&amp;"'!"&amp;"$"&amp;$D585&amp;$E$1&amp;"")</f>
        <v>6.5</v>
      </c>
      <c r="H585" s="289">
        <v>0.91</v>
      </c>
      <c r="I585" s="287">
        <v>1.44</v>
      </c>
      <c r="J585" s="288" cm="1">
        <f t="array" aca="1" ref="J585" ca="1">INDIRECT("'"&amp;$C585&amp;"'!"&amp;"$"&amp;$D585&amp;$J$1&amp;"")</f>
        <v>6.5</v>
      </c>
      <c r="K585" s="289"/>
      <c r="L585" s="289">
        <v>0.91</v>
      </c>
      <c r="M585" s="287">
        <v>1.44</v>
      </c>
      <c r="N585" s="288" cm="1">
        <f t="array" aca="1" ref="N585" ca="1">INDIRECT("'"&amp;$C585&amp;"'!"&amp;"$"&amp;$D585&amp;$N$1&amp;"")</f>
        <v>0</v>
      </c>
      <c r="O585" s="289"/>
      <c r="P585" s="289" t="s">
        <v>1</v>
      </c>
      <c r="Q585" s="287" t="s">
        <v>1</v>
      </c>
      <c r="R585" s="288" cm="1">
        <f t="array" aca="1" ref="R585" ca="1">INDIRECT("'"&amp;$C585&amp;"'!"&amp;"$"&amp;$D585&amp;$R$1&amp;"")</f>
        <v>6.5</v>
      </c>
      <c r="S585" s="289"/>
      <c r="T585" s="289">
        <v>0.91</v>
      </c>
      <c r="U585" s="287">
        <v>1.44</v>
      </c>
      <c r="V585" s="288" t="str" cm="1">
        <f t="array" aca="1" ref="V585" ca="1">INDIRECT("'"&amp;$C585&amp;"'!"&amp;"$"&amp;$D585&amp;$V$1&amp;"")</f>
        <v>CMS</v>
      </c>
      <c r="W585" s="289" t="s">
        <v>1</v>
      </c>
      <c r="X585" s="289" t="s">
        <v>1</v>
      </c>
      <c r="Y585" s="290" t="s">
        <v>1</v>
      </c>
      <c r="Z585" s="286" cm="1">
        <f t="array" aca="1" ref="Z585" ca="1">INDIRECT("'"&amp;$C585&amp;"'!"&amp;"$"&amp;$D585&amp;$Z$1&amp;"")</f>
        <v>0</v>
      </c>
      <c r="AA585" s="289" t="s">
        <v>1</v>
      </c>
      <c r="AB585" s="289" t="s">
        <v>1</v>
      </c>
      <c r="AC585" s="287" t="s">
        <v>1</v>
      </c>
      <c r="AD585" s="288" t="str" cm="1">
        <f t="array" aca="1" ref="AD585" ca="1">INDIRECT("'"&amp;$C585&amp;"'!"&amp;"$"&amp;$D585&amp;$AD$1&amp;"")</f>
        <v>CMS</v>
      </c>
      <c r="AE585" s="289" t="s">
        <v>1</v>
      </c>
      <c r="AF585" s="289" t="s">
        <v>1</v>
      </c>
      <c r="AG585" s="290" t="s">
        <v>1</v>
      </c>
      <c r="AH585" s="286" cm="1">
        <f t="array" aca="1" ref="AH585" ca="1">INDIRECT("'"&amp;$C585&amp;"'!"&amp;"$"&amp;$D585&amp;$AH$1&amp;"")</f>
        <v>3</v>
      </c>
      <c r="AI585" s="289">
        <v>14</v>
      </c>
      <c r="AJ585" s="289">
        <v>0.98</v>
      </c>
      <c r="AK585" s="290">
        <v>0.51900000000000002</v>
      </c>
      <c r="AL585" s="286">
        <v>11.8</v>
      </c>
      <c r="AM585" s="290">
        <v>70.3</v>
      </c>
      <c r="AN585" s="286" t="str" cm="1">
        <f t="array" aca="1" ref="AN585" ca="1">INDIRECT("'"&amp;$C585&amp;"'!"&amp;"$"&amp;$D585&amp;$AL$1&amp;"")</f>
        <v>CMS</v>
      </c>
      <c r="AO585" s="289" t="s">
        <v>1</v>
      </c>
      <c r="AP585" s="287" t="s">
        <v>1</v>
      </c>
      <c r="AQ585" s="288" cm="1">
        <f t="array" aca="1" ref="AQ585" ca="1">INDIRECT("'"&amp;$C585&amp;"'!"&amp;"$"&amp;$D585&amp;$AQ$1&amp;"")</f>
        <v>3.4</v>
      </c>
      <c r="AR585" s="289">
        <v>0.95</v>
      </c>
      <c r="AS585" s="287">
        <v>1.2</v>
      </c>
      <c r="AT585" s="289" cm="1">
        <f t="array" aca="1" ref="AT585" ca="1">INDIRECT("'"&amp;$C585&amp;"'!"&amp;"$"&amp;$D585&amp;$AT$1&amp;"")</f>
        <v>0</v>
      </c>
      <c r="AU585" s="288" t="s">
        <v>1</v>
      </c>
      <c r="AV585" s="289" t="s">
        <v>1</v>
      </c>
      <c r="AW585" s="287" t="s">
        <v>1</v>
      </c>
      <c r="AX585" s="291">
        <v>14.16</v>
      </c>
      <c r="AY585" s="290">
        <v>71.61</v>
      </c>
      <c r="AZ585" s="291" cm="1">
        <f t="array" aca="1" ref="AZ585" ca="1">INDIRECT("'"&amp;$C585&amp;"'!"&amp;"$"&amp;$D585&amp;$AZ$1&amp;"")</f>
        <v>13.37</v>
      </c>
      <c r="BA585" s="289">
        <v>0.99</v>
      </c>
      <c r="BB585" s="287">
        <v>2.2999999999999998</v>
      </c>
      <c r="BC585" s="292">
        <v>68.400000000000006</v>
      </c>
      <c r="BD585" s="286" cm="1">
        <f t="array" aca="1" ref="BD585" ca="1">INDIRECT("'"&amp;$C585&amp;"'!"&amp;"$"&amp;$D585&amp;$BC$1&amp;"")</f>
        <v>0</v>
      </c>
      <c r="BE585" s="288"/>
      <c r="BF585" s="287"/>
      <c r="BG585" s="291" cm="1">
        <f t="array" aca="1" ref="BG585" ca="1">INDIRECT("'"&amp;$C585&amp;"'!"&amp;"$"&amp;$D585&amp;$BG$1&amp;"")</f>
        <v>0.93</v>
      </c>
      <c r="BH585" s="289"/>
      <c r="BI585" s="289">
        <v>0.99</v>
      </c>
      <c r="BJ585" s="287">
        <v>0.12</v>
      </c>
      <c r="BK585" s="291" cm="1">
        <f t="array" aca="1" ref="BK585" ca="1">INDIRECT("'"&amp;$C585&amp;"'!"&amp;"$"&amp;$D585&amp;$BK$1&amp;"")</f>
        <v>0.73</v>
      </c>
      <c r="BL585" s="289"/>
      <c r="BM585" s="289">
        <v>0.96</v>
      </c>
      <c r="BN585" s="287">
        <v>0.2</v>
      </c>
    </row>
    <row r="586" spans="1:66" ht="14.45" thickBot="1">
      <c r="A586" s="360">
        <v>45771</v>
      </c>
      <c r="B586" s="358">
        <v>0.25</v>
      </c>
      <c r="C586" s="313">
        <f t="shared" si="23"/>
        <v>24</v>
      </c>
      <c r="D586" s="314" t="s">
        <v>133</v>
      </c>
      <c r="E586" s="293">
        <v>13.9</v>
      </c>
      <c r="F586" s="294">
        <v>69.069999999999993</v>
      </c>
      <c r="G586" s="295" cm="1">
        <f t="array" aca="1" ref="G586" ca="1">INDIRECT("'"&amp;$C586&amp;"'!"&amp;"$"&amp;$D586&amp;$E$1&amp;"")</f>
        <v>6.6</v>
      </c>
      <c r="H586" s="296">
        <v>0.97</v>
      </c>
      <c r="I586" s="294">
        <v>1.6</v>
      </c>
      <c r="J586" s="295" cm="1">
        <f t="array" aca="1" ref="J586" ca="1">INDIRECT("'"&amp;$C586&amp;"'!"&amp;"$"&amp;$D586&amp;$J$1&amp;"")</f>
        <v>6.6</v>
      </c>
      <c r="K586" s="296"/>
      <c r="L586" s="296">
        <v>0.97</v>
      </c>
      <c r="M586" s="294">
        <v>1.6</v>
      </c>
      <c r="N586" s="295" cm="1">
        <f t="array" aca="1" ref="N586" ca="1">INDIRECT("'"&amp;$C586&amp;"'!"&amp;"$"&amp;$D586&amp;$N$1&amp;"")</f>
        <v>0</v>
      </c>
      <c r="O586" s="296"/>
      <c r="P586" s="296" t="s">
        <v>1</v>
      </c>
      <c r="Q586" s="294" t="s">
        <v>1</v>
      </c>
      <c r="R586" s="295" cm="1">
        <f t="array" aca="1" ref="R586" ca="1">INDIRECT("'"&amp;$C586&amp;"'!"&amp;"$"&amp;$D586&amp;$R$1&amp;"")</f>
        <v>6.6</v>
      </c>
      <c r="S586" s="296"/>
      <c r="T586" s="296">
        <v>0.97</v>
      </c>
      <c r="U586" s="294">
        <v>1.6</v>
      </c>
      <c r="V586" s="295" t="str" cm="1">
        <f t="array" aca="1" ref="V586" ca="1">INDIRECT("'"&amp;$C586&amp;"'!"&amp;"$"&amp;$D586&amp;$V$1&amp;"")</f>
        <v>CMS</v>
      </c>
      <c r="W586" s="296" t="s">
        <v>1</v>
      </c>
      <c r="X586" s="296" t="s">
        <v>1</v>
      </c>
      <c r="Y586" s="297" t="s">
        <v>1</v>
      </c>
      <c r="Z586" s="293" cm="1">
        <f t="array" aca="1" ref="Z586" ca="1">INDIRECT("'"&amp;$C586&amp;"'!"&amp;"$"&amp;$D586&amp;$Z$1&amp;"")</f>
        <v>0</v>
      </c>
      <c r="AA586" s="296" t="s">
        <v>1</v>
      </c>
      <c r="AB586" s="296" t="s">
        <v>1</v>
      </c>
      <c r="AC586" s="294" t="s">
        <v>1</v>
      </c>
      <c r="AD586" s="295" cm="1">
        <f t="array" aca="1" ref="AD586" ca="1">INDIRECT("'"&amp;$C586&amp;"'!"&amp;"$"&amp;$D586&amp;$AD$1&amp;"")</f>
        <v>0</v>
      </c>
      <c r="AE586" s="296" t="s">
        <v>1</v>
      </c>
      <c r="AF586" s="296" t="s">
        <v>1</v>
      </c>
      <c r="AG586" s="297" t="s">
        <v>1</v>
      </c>
      <c r="AH586" s="293" cm="1">
        <f t="array" aca="1" ref="AH586" ca="1">INDIRECT("'"&amp;$C586&amp;"'!"&amp;"$"&amp;$D586&amp;$AH$1&amp;"")</f>
        <v>3</v>
      </c>
      <c r="AI586" s="296">
        <v>13.96</v>
      </c>
      <c r="AJ586" s="296">
        <v>0.96</v>
      </c>
      <c r="AK586" s="297">
        <v>0.79</v>
      </c>
      <c r="AL586" s="293">
        <v>11.8</v>
      </c>
      <c r="AM586" s="297">
        <v>70.099999999999994</v>
      </c>
      <c r="AN586" s="293" cm="1">
        <f t="array" aca="1" ref="AN586" ca="1">INDIRECT("'"&amp;$C586&amp;"'!"&amp;"$"&amp;$D586&amp;$AL$1&amp;"")</f>
        <v>4</v>
      </c>
      <c r="AO586" s="296">
        <v>1</v>
      </c>
      <c r="AP586" s="294">
        <v>0.1</v>
      </c>
      <c r="AQ586" s="295" cm="1">
        <f t="array" aca="1" ref="AQ586" ca="1">INDIRECT("'"&amp;$C586&amp;"'!"&amp;"$"&amp;$D586&amp;$AQ$1&amp;"")</f>
        <v>3.3</v>
      </c>
      <c r="AR586" s="296">
        <v>0.97</v>
      </c>
      <c r="AS586" s="294">
        <v>0.8</v>
      </c>
      <c r="AT586" s="296" cm="1">
        <f t="array" aca="1" ref="AT586" ca="1">INDIRECT("'"&amp;$C586&amp;"'!"&amp;"$"&amp;$D586&amp;$AT$1&amp;"")</f>
        <v>0</v>
      </c>
      <c r="AU586" s="295" t="s">
        <v>1</v>
      </c>
      <c r="AV586" s="296" t="s">
        <v>1</v>
      </c>
      <c r="AW586" s="294" t="s">
        <v>1</v>
      </c>
      <c r="AX586" s="298">
        <v>14.16</v>
      </c>
      <c r="AY586" s="297">
        <v>70.099999999999994</v>
      </c>
      <c r="AZ586" s="298" cm="1">
        <f t="array" aca="1" ref="AZ586" ca="1">INDIRECT("'"&amp;$C586&amp;"'!"&amp;"$"&amp;$D586&amp;$AZ$1&amp;"")</f>
        <v>12.52</v>
      </c>
      <c r="BA586" s="296">
        <v>0.98</v>
      </c>
      <c r="BB586" s="294">
        <v>2.9</v>
      </c>
      <c r="BC586" s="299">
        <v>68.099999999999994</v>
      </c>
      <c r="BD586" s="293" cm="1">
        <f t="array" aca="1" ref="BD586" ca="1">INDIRECT("'"&amp;$C586&amp;"'!"&amp;"$"&amp;$D586&amp;$BC$1&amp;"")</f>
        <v>0</v>
      </c>
      <c r="BE586" s="295"/>
      <c r="BF586" s="294"/>
      <c r="BG586" s="298" cm="1">
        <f t="array" aca="1" ref="BG586" ca="1">INDIRECT("'"&amp;$C586&amp;"'!"&amp;"$"&amp;$D586&amp;$BG$1&amp;"")</f>
        <v>1.03</v>
      </c>
      <c r="BH586" s="296"/>
      <c r="BI586" s="296">
        <v>0.99</v>
      </c>
      <c r="BJ586" s="294">
        <v>0.13</v>
      </c>
      <c r="BK586" s="298" cm="1">
        <f t="array" aca="1" ref="BK586" ca="1">INDIRECT("'"&amp;$C586&amp;"'!"&amp;"$"&amp;$D586&amp;$BK$1&amp;"")</f>
        <v>0.75</v>
      </c>
      <c r="BL586" s="296"/>
      <c r="BM586" s="296">
        <v>0.96</v>
      </c>
      <c r="BN586" s="294">
        <v>0.2</v>
      </c>
    </row>
    <row r="587" spans="1:66" ht="14.45" thickBot="1">
      <c r="A587" s="360">
        <v>45771</v>
      </c>
      <c r="B587" s="358">
        <v>0.29166666666666702</v>
      </c>
      <c r="C587" s="313">
        <f t="shared" si="23"/>
        <v>24</v>
      </c>
      <c r="D587" s="314" t="s">
        <v>134</v>
      </c>
      <c r="E587" s="286">
        <v>13.9</v>
      </c>
      <c r="F587" s="287">
        <v>68.72</v>
      </c>
      <c r="G587" s="288" cm="1">
        <f t="array" aca="1" ref="G587" ca="1">INDIRECT("'"&amp;$C587&amp;"'!"&amp;"$"&amp;$D587&amp;$E$1&amp;"")</f>
        <v>6.3</v>
      </c>
      <c r="H587" s="289">
        <v>0.94</v>
      </c>
      <c r="I587" s="287">
        <v>2.34</v>
      </c>
      <c r="J587" s="288" cm="1">
        <f t="array" aca="1" ref="J587" ca="1">INDIRECT("'"&amp;$C587&amp;"'!"&amp;"$"&amp;$D587&amp;$J$1&amp;"")</f>
        <v>6.3</v>
      </c>
      <c r="K587" s="289"/>
      <c r="L587" s="289">
        <v>0.94</v>
      </c>
      <c r="M587" s="287">
        <v>2.34</v>
      </c>
      <c r="N587" s="288" cm="1">
        <f t="array" aca="1" ref="N587" ca="1">INDIRECT("'"&amp;$C587&amp;"'!"&amp;"$"&amp;$D587&amp;$N$1&amp;"")</f>
        <v>0</v>
      </c>
      <c r="O587" s="289"/>
      <c r="P587" s="289" t="s">
        <v>1</v>
      </c>
      <c r="Q587" s="287" t="s">
        <v>1</v>
      </c>
      <c r="R587" s="288" cm="1">
        <f t="array" aca="1" ref="R587" ca="1">INDIRECT("'"&amp;$C587&amp;"'!"&amp;"$"&amp;$D587&amp;$R$1&amp;"")</f>
        <v>6.3</v>
      </c>
      <c r="S587" s="289"/>
      <c r="T587" s="289">
        <v>0.94</v>
      </c>
      <c r="U587" s="287">
        <v>2.34</v>
      </c>
      <c r="V587" s="288" t="str" cm="1">
        <f t="array" aca="1" ref="V587" ca="1">INDIRECT("'"&amp;$C587&amp;"'!"&amp;"$"&amp;$D587&amp;$V$1&amp;"")</f>
        <v>CMS</v>
      </c>
      <c r="W587" s="289" t="s">
        <v>1</v>
      </c>
      <c r="X587" s="289" t="s">
        <v>1</v>
      </c>
      <c r="Y587" s="290" t="s">
        <v>1</v>
      </c>
      <c r="Z587" s="286" cm="1">
        <f t="array" aca="1" ref="Z587" ca="1">INDIRECT("'"&amp;$C587&amp;"'!"&amp;"$"&amp;$D587&amp;$Z$1&amp;"")</f>
        <v>0</v>
      </c>
      <c r="AA587" s="289" t="s">
        <v>1</v>
      </c>
      <c r="AB587" s="289" t="s">
        <v>1</v>
      </c>
      <c r="AC587" s="287" t="s">
        <v>1</v>
      </c>
      <c r="AD587" s="288" cm="1">
        <f t="array" aca="1" ref="AD587" ca="1">INDIRECT("'"&amp;$C587&amp;"'!"&amp;"$"&amp;$D587&amp;$AD$1&amp;"")</f>
        <v>0</v>
      </c>
      <c r="AE587" s="289" t="s">
        <v>1</v>
      </c>
      <c r="AF587" s="289" t="s">
        <v>1</v>
      </c>
      <c r="AG587" s="290" t="s">
        <v>1</v>
      </c>
      <c r="AH587" s="286" cm="1">
        <f t="array" aca="1" ref="AH587" ca="1">INDIRECT("'"&amp;$C587&amp;"'!"&amp;"$"&amp;$D587&amp;$AH$1&amp;"")</f>
        <v>3</v>
      </c>
      <c r="AI587" s="289">
        <v>13.96</v>
      </c>
      <c r="AJ587" s="289">
        <v>0.96</v>
      </c>
      <c r="AK587" s="290">
        <v>0.82299999999999995</v>
      </c>
      <c r="AL587" s="286">
        <v>11.8</v>
      </c>
      <c r="AM587" s="290">
        <v>70</v>
      </c>
      <c r="AN587" s="286" cm="1">
        <f t="array" aca="1" ref="AN587" ca="1">INDIRECT("'"&amp;$C587&amp;"'!"&amp;"$"&amp;$D587&amp;$AL$1&amp;"")</f>
        <v>3.9</v>
      </c>
      <c r="AO587" s="289">
        <v>0.98</v>
      </c>
      <c r="AP587" s="287">
        <v>0.6</v>
      </c>
      <c r="AQ587" s="288" cm="1">
        <f t="array" aca="1" ref="AQ587" ca="1">INDIRECT("'"&amp;$C587&amp;"'!"&amp;"$"&amp;$D587&amp;$AQ$1&amp;"")</f>
        <v>3.9</v>
      </c>
      <c r="AR587" s="289">
        <v>0.98</v>
      </c>
      <c r="AS587" s="287">
        <v>0.6</v>
      </c>
      <c r="AT587" s="289" cm="1">
        <f t="array" aca="1" ref="AT587" ca="1">INDIRECT("'"&amp;$C587&amp;"'!"&amp;"$"&amp;$D587&amp;$AT$1&amp;"")</f>
        <v>0</v>
      </c>
      <c r="AU587" s="288" t="s">
        <v>1</v>
      </c>
      <c r="AV587" s="289" t="s">
        <v>1</v>
      </c>
      <c r="AW587" s="287" t="s">
        <v>1</v>
      </c>
      <c r="AX587" s="291">
        <v>14.12</v>
      </c>
      <c r="AY587" s="290">
        <v>71.12</v>
      </c>
      <c r="AZ587" s="291" cm="1">
        <f t="array" aca="1" ref="AZ587" ca="1">INDIRECT("'"&amp;$C587&amp;"'!"&amp;"$"&amp;$D587&amp;$AZ$1&amp;"")</f>
        <v>12.49</v>
      </c>
      <c r="BA587" s="289">
        <v>0.98</v>
      </c>
      <c r="BB587" s="287">
        <v>2.9</v>
      </c>
      <c r="BC587" s="292">
        <v>67.7</v>
      </c>
      <c r="BD587" s="286" cm="1">
        <f t="array" aca="1" ref="BD587" ca="1">INDIRECT("'"&amp;$C587&amp;"'!"&amp;"$"&amp;$D587&amp;$BC$1&amp;"")</f>
        <v>0</v>
      </c>
      <c r="BE587" s="288" t="s">
        <v>1</v>
      </c>
      <c r="BF587" s="287" t="s">
        <v>1</v>
      </c>
      <c r="BG587" s="291" cm="1">
        <f t="array" aca="1" ref="BG587" ca="1">INDIRECT("'"&amp;$C587&amp;"'!"&amp;"$"&amp;$D587&amp;$BG$1&amp;"")</f>
        <v>1.07</v>
      </c>
      <c r="BH587" s="289"/>
      <c r="BI587" s="289">
        <v>0.99</v>
      </c>
      <c r="BJ587" s="287">
        <v>0.16</v>
      </c>
      <c r="BK587" s="292" cm="1">
        <f t="array" aca="1" ref="BK587" ca="1">INDIRECT("'"&amp;$C587&amp;"'!"&amp;"$"&amp;$D587&amp;$BK$1&amp;"")</f>
        <v>0.74</v>
      </c>
      <c r="BL587" s="289"/>
      <c r="BM587" s="289">
        <v>0.96</v>
      </c>
      <c r="BN587" s="287">
        <v>0.21</v>
      </c>
    </row>
    <row r="588" spans="1:66" ht="14.45" thickBot="1">
      <c r="A588" s="360">
        <v>45771</v>
      </c>
      <c r="B588" s="358">
        <v>0.33333333333333398</v>
      </c>
      <c r="C588" s="313">
        <f t="shared" si="23"/>
        <v>24</v>
      </c>
      <c r="D588" s="314" t="s">
        <v>135</v>
      </c>
      <c r="E588" s="293">
        <v>14.2</v>
      </c>
      <c r="F588" s="294">
        <v>69.3</v>
      </c>
      <c r="G588" s="295" cm="1">
        <f t="array" aca="1" ref="G588" ca="1">INDIRECT("'"&amp;$C588&amp;"'!"&amp;"$"&amp;$D588&amp;$E$1&amp;"")</f>
        <v>6.9</v>
      </c>
      <c r="H588" s="296">
        <v>0.92</v>
      </c>
      <c r="I588" s="294">
        <v>2.89</v>
      </c>
      <c r="J588" s="295" cm="1">
        <f t="array" aca="1" ref="J588" ca="1">INDIRECT("'"&amp;$C588&amp;"'!"&amp;"$"&amp;$D588&amp;$J$1&amp;"")</f>
        <v>6.9</v>
      </c>
      <c r="K588" s="296"/>
      <c r="L588" s="296">
        <v>0.92</v>
      </c>
      <c r="M588" s="294">
        <v>2.87</v>
      </c>
      <c r="N588" s="295" cm="1">
        <f t="array" aca="1" ref="N588" ca="1">INDIRECT("'"&amp;$C588&amp;"'!"&amp;"$"&amp;$D588&amp;$N$1&amp;"")</f>
        <v>0</v>
      </c>
      <c r="O588" s="296"/>
      <c r="P588" s="296" t="s">
        <v>1</v>
      </c>
      <c r="Q588" s="294" t="s">
        <v>1</v>
      </c>
      <c r="R588" s="295" cm="1">
        <f t="array" aca="1" ref="R588" ca="1">INDIRECT("'"&amp;$C588&amp;"'!"&amp;"$"&amp;$D588&amp;$R$1&amp;"")</f>
        <v>6.9</v>
      </c>
      <c r="S588" s="296"/>
      <c r="T588" s="296">
        <v>0.92</v>
      </c>
      <c r="U588" s="294">
        <v>2.9</v>
      </c>
      <c r="V588" s="295" t="str" cm="1">
        <f t="array" aca="1" ref="V588" ca="1">INDIRECT("'"&amp;$C588&amp;"'!"&amp;"$"&amp;$D588&amp;$V$1&amp;"")</f>
        <v>CMS</v>
      </c>
      <c r="W588" s="296" t="s">
        <v>1</v>
      </c>
      <c r="X588" s="296" t="s">
        <v>1</v>
      </c>
      <c r="Y588" s="297" t="s">
        <v>1</v>
      </c>
      <c r="Z588" s="293" cm="1">
        <f t="array" aca="1" ref="Z588" ca="1">INDIRECT("'"&amp;$C588&amp;"'!"&amp;"$"&amp;$D588&amp;$Z$1&amp;"")</f>
        <v>0</v>
      </c>
      <c r="AA588" s="296" t="s">
        <v>1</v>
      </c>
      <c r="AB588" s="296" t="s">
        <v>1</v>
      </c>
      <c r="AC588" s="294" t="s">
        <v>1</v>
      </c>
      <c r="AD588" s="295" cm="1">
        <f t="array" aca="1" ref="AD588" ca="1">INDIRECT("'"&amp;$C588&amp;"'!"&amp;"$"&amp;$D588&amp;$AD$1&amp;"")</f>
        <v>0</v>
      </c>
      <c r="AE588" s="296" t="s">
        <v>1</v>
      </c>
      <c r="AF588" s="296" t="s">
        <v>1</v>
      </c>
      <c r="AG588" s="297" t="s">
        <v>1</v>
      </c>
      <c r="AH588" s="293" cm="1">
        <f t="array" aca="1" ref="AH588" ca="1">INDIRECT("'"&amp;$C588&amp;"'!"&amp;"$"&amp;$D588&amp;$AH$1&amp;"")</f>
        <v>3.8</v>
      </c>
      <c r="AI588" s="296">
        <v>14</v>
      </c>
      <c r="AJ588" s="296">
        <v>0.98</v>
      </c>
      <c r="AK588" s="297">
        <v>0.59799999999999998</v>
      </c>
      <c r="AL588" s="293">
        <v>11.9</v>
      </c>
      <c r="AM588" s="297">
        <v>70</v>
      </c>
      <c r="AN588" s="293" cm="1">
        <f t="array" aca="1" ref="AN588" ca="1">INDIRECT("'"&amp;$C588&amp;"'!"&amp;"$"&amp;$D588&amp;$AL$1&amp;"")</f>
        <v>4.3</v>
      </c>
      <c r="AO588" s="296">
        <v>0.97</v>
      </c>
      <c r="AP588" s="294">
        <v>0.9</v>
      </c>
      <c r="AQ588" s="295" cm="1">
        <f t="array" aca="1" ref="AQ588" ca="1">INDIRECT("'"&amp;$C588&amp;"'!"&amp;"$"&amp;$D588&amp;$AQ$1&amp;"")</f>
        <v>4</v>
      </c>
      <c r="AR588" s="296">
        <v>0.97</v>
      </c>
      <c r="AS588" s="294">
        <v>0.9</v>
      </c>
      <c r="AT588" s="296" cm="1">
        <f t="array" aca="1" ref="AT588" ca="1">INDIRECT("'"&amp;$C588&amp;"'!"&amp;"$"&amp;$D588&amp;$AT$1&amp;"")</f>
        <v>0</v>
      </c>
      <c r="AU588" s="295" t="s">
        <v>1</v>
      </c>
      <c r="AV588" s="296" t="s">
        <v>1</v>
      </c>
      <c r="AW588" s="294" t="s">
        <v>1</v>
      </c>
      <c r="AX588" s="298">
        <v>14.22</v>
      </c>
      <c r="AY588" s="297">
        <v>71.41</v>
      </c>
      <c r="AZ588" s="298" cm="1">
        <f t="array" aca="1" ref="AZ588" ca="1">INDIRECT("'"&amp;$C588&amp;"'!"&amp;"$"&amp;$D588&amp;$AZ$1&amp;"")</f>
        <v>14.28</v>
      </c>
      <c r="BA588" s="296">
        <v>0.98</v>
      </c>
      <c r="BB588" s="294">
        <v>3.5</v>
      </c>
      <c r="BC588" s="299">
        <v>67.5</v>
      </c>
      <c r="BD588" s="293" cm="1">
        <f t="array" aca="1" ref="BD588" ca="1">INDIRECT("'"&amp;$C588&amp;"'!"&amp;"$"&amp;$D588&amp;$BC$1&amp;"")</f>
        <v>2.0999999999999996</v>
      </c>
      <c r="BE588" s="295">
        <v>0.95</v>
      </c>
      <c r="BF588" s="294">
        <v>0.69</v>
      </c>
      <c r="BG588" s="298" cm="1">
        <f t="array" aca="1" ref="BG588" ca="1">INDIRECT("'"&amp;$C588&amp;"'!"&amp;"$"&amp;$D588&amp;$BG$1&amp;"")</f>
        <v>1.21</v>
      </c>
      <c r="BH588" s="296"/>
      <c r="BI588" s="296">
        <v>0.99</v>
      </c>
      <c r="BJ588" s="294">
        <v>0.22</v>
      </c>
      <c r="BK588" s="299" cm="1">
        <f t="array" aca="1" ref="BK588" ca="1">INDIRECT("'"&amp;$C588&amp;"'!"&amp;"$"&amp;$D588&amp;$BK$1&amp;"")</f>
        <v>0.74</v>
      </c>
      <c r="BL588" s="296"/>
      <c r="BM588" s="296">
        <v>0.96</v>
      </c>
      <c r="BN588" s="294">
        <v>0.22</v>
      </c>
    </row>
    <row r="589" spans="1:66" ht="14.45" thickBot="1">
      <c r="A589" s="360">
        <v>45771</v>
      </c>
      <c r="B589" s="358">
        <v>0.375</v>
      </c>
      <c r="C589" s="313">
        <f t="shared" si="23"/>
        <v>24</v>
      </c>
      <c r="D589" s="314" t="s">
        <v>136</v>
      </c>
      <c r="E589" s="286">
        <v>14.1</v>
      </c>
      <c r="F589" s="287">
        <v>69.39</v>
      </c>
      <c r="G589" s="288" cm="1">
        <f t="array" aca="1" ref="G589" ca="1">INDIRECT("'"&amp;$C589&amp;"'!"&amp;"$"&amp;$D589&amp;$E$1&amp;"")</f>
        <v>6.9</v>
      </c>
      <c r="H589" s="289">
        <v>0.9</v>
      </c>
      <c r="I589" s="287">
        <v>3.19</v>
      </c>
      <c r="J589" s="288" cm="1">
        <f t="array" aca="1" ref="J589" ca="1">INDIRECT("'"&amp;$C589&amp;"'!"&amp;"$"&amp;$D589&amp;$J$1&amp;"")</f>
        <v>6.9</v>
      </c>
      <c r="K589" s="289"/>
      <c r="L589" s="289">
        <v>0.9</v>
      </c>
      <c r="M589" s="287">
        <v>3.2</v>
      </c>
      <c r="N589" s="288" cm="1">
        <f t="array" aca="1" ref="N589" ca="1">INDIRECT("'"&amp;$C589&amp;"'!"&amp;"$"&amp;$D589&amp;$N$1&amp;"")</f>
        <v>6.9</v>
      </c>
      <c r="O589" s="289"/>
      <c r="P589" s="289">
        <v>0.9</v>
      </c>
      <c r="Q589" s="287">
        <v>3.18</v>
      </c>
      <c r="R589" s="288" cm="1">
        <f t="array" aca="1" ref="R589" ca="1">INDIRECT("'"&amp;$C589&amp;"'!"&amp;"$"&amp;$D589&amp;$R$1&amp;"")</f>
        <v>6.9</v>
      </c>
      <c r="S589" s="289"/>
      <c r="T589" s="289">
        <v>0.9</v>
      </c>
      <c r="U589" s="287">
        <v>3.18</v>
      </c>
      <c r="V589" s="288" cm="1">
        <f t="array" aca="1" ref="V589" ca="1">INDIRECT("'"&amp;$C589&amp;"'!"&amp;"$"&amp;$D589&amp;$V$1&amp;"")</f>
        <v>2.9</v>
      </c>
      <c r="W589" s="289">
        <f>3.8*3.41</f>
        <v>12.958</v>
      </c>
      <c r="X589" s="289">
        <v>0.9</v>
      </c>
      <c r="Y589" s="290">
        <v>1.31</v>
      </c>
      <c r="Z589" s="286" cm="1">
        <f t="array" aca="1" ref="Z589" ca="1">INDIRECT("'"&amp;$C589&amp;"'!"&amp;"$"&amp;$D589&amp;$Z$1&amp;"")</f>
        <v>0</v>
      </c>
      <c r="AA589" s="289" t="s">
        <v>1</v>
      </c>
      <c r="AB589" s="289" t="s">
        <v>1</v>
      </c>
      <c r="AC589" s="287" t="s">
        <v>1</v>
      </c>
      <c r="AD589" s="288" t="str" cm="1">
        <f t="array" aca="1" ref="AD589" ca="1">INDIRECT("'"&amp;$C589&amp;"'!"&amp;"$"&amp;$D589&amp;$AD$1&amp;"")</f>
        <v>CMS</v>
      </c>
      <c r="AE589" s="289" t="s">
        <v>1</v>
      </c>
      <c r="AF589" s="289" t="s">
        <v>1</v>
      </c>
      <c r="AG589" s="290" t="s">
        <v>1</v>
      </c>
      <c r="AH589" s="286" cm="1">
        <f t="array" aca="1" ref="AH589" ca="1">INDIRECT("'"&amp;$C589&amp;"'!"&amp;"$"&amp;$D589&amp;$AH$1&amp;"")</f>
        <v>3.8</v>
      </c>
      <c r="AI589" s="289">
        <v>14</v>
      </c>
      <c r="AJ589" s="289">
        <v>0.98</v>
      </c>
      <c r="AK589" s="287">
        <v>0.68600000000000005</v>
      </c>
      <c r="AL589" s="286">
        <v>11.9</v>
      </c>
      <c r="AM589" s="290">
        <v>70.099999999999994</v>
      </c>
      <c r="AN589" s="286" cm="1">
        <f t="array" aca="1" ref="AN589" ca="1">INDIRECT("'"&amp;$C589&amp;"'!"&amp;"$"&amp;$D589&amp;$AL$1&amp;"")</f>
        <v>4</v>
      </c>
      <c r="AO589" s="289">
        <v>0.95</v>
      </c>
      <c r="AP589" s="287">
        <v>1.2</v>
      </c>
      <c r="AQ589" s="288" cm="1">
        <f t="array" aca="1" ref="AQ589" ca="1">INDIRECT("'"&amp;$C589&amp;"'!"&amp;"$"&amp;$D589&amp;$AQ$1&amp;"")</f>
        <v>4</v>
      </c>
      <c r="AR589" s="289">
        <v>0.95</v>
      </c>
      <c r="AS589" s="287">
        <v>1.2</v>
      </c>
      <c r="AT589" s="289" cm="1">
        <f t="array" aca="1" ref="AT589" ca="1">INDIRECT("'"&amp;$C589&amp;"'!"&amp;"$"&amp;$D589&amp;$AT$1&amp;"")</f>
        <v>0</v>
      </c>
      <c r="AU589" s="288" t="s">
        <v>1</v>
      </c>
      <c r="AV589" s="289" t="s">
        <v>1</v>
      </c>
      <c r="AW589" s="287" t="s">
        <v>1</v>
      </c>
      <c r="AX589" s="291">
        <v>14.2</v>
      </c>
      <c r="AY589" s="290">
        <v>71.44</v>
      </c>
      <c r="AZ589" s="291" cm="1">
        <f t="array" aca="1" ref="AZ589" ca="1">INDIRECT("'"&amp;$C589&amp;"'!"&amp;"$"&amp;$D589&amp;$AZ$1&amp;"")</f>
        <v>14.31</v>
      </c>
      <c r="BA589" s="289">
        <v>0.98</v>
      </c>
      <c r="BB589" s="287">
        <v>3.5</v>
      </c>
      <c r="BC589" s="292">
        <v>67.599999999999994</v>
      </c>
      <c r="BD589" s="286" cm="1">
        <f t="array" aca="1" ref="BD589" ca="1">INDIRECT("'"&amp;$C589&amp;"'!"&amp;"$"&amp;$D589&amp;$BC$1&amp;"")</f>
        <v>3.9000000000000004</v>
      </c>
      <c r="BE589" s="288">
        <v>0.95</v>
      </c>
      <c r="BF589" s="287">
        <v>1.3</v>
      </c>
      <c r="BG589" s="291" cm="1">
        <f t="array" aca="1" ref="BG589" ca="1">INDIRECT("'"&amp;$C589&amp;"'!"&amp;"$"&amp;$D589&amp;$BG$1&amp;"")</f>
        <v>1.43</v>
      </c>
      <c r="BH589" s="289"/>
      <c r="BI589" s="289">
        <v>0.99</v>
      </c>
      <c r="BJ589" s="287">
        <v>0.22</v>
      </c>
      <c r="BK589" s="292" cm="1">
        <f t="array" aca="1" ref="BK589" ca="1">INDIRECT("'"&amp;$C589&amp;"'!"&amp;"$"&amp;$D589&amp;$BK$1&amp;"")</f>
        <v>0.78</v>
      </c>
      <c r="BL589" s="289"/>
      <c r="BM589" s="289">
        <v>0.96</v>
      </c>
      <c r="BN589" s="287">
        <v>0.22</v>
      </c>
    </row>
    <row r="590" spans="1:66" ht="14.45" thickBot="1">
      <c r="A590" s="360">
        <v>45771</v>
      </c>
      <c r="B590" s="358">
        <v>0.41666666666666702</v>
      </c>
      <c r="C590" s="313">
        <f t="shared" si="23"/>
        <v>24</v>
      </c>
      <c r="D590" s="314" t="s">
        <v>137</v>
      </c>
      <c r="E590" s="293">
        <v>14.2</v>
      </c>
      <c r="F590" s="294">
        <v>69.819999999999993</v>
      </c>
      <c r="G590" s="295" cm="1">
        <f t="array" aca="1" ref="G590" ca="1">INDIRECT("'"&amp;$C590&amp;"'!"&amp;"$"&amp;$D590&amp;$E$1&amp;"")</f>
        <v>7</v>
      </c>
      <c r="H590" s="296">
        <v>0.91</v>
      </c>
      <c r="I590" s="294">
        <v>3.7</v>
      </c>
      <c r="J590" s="295" cm="1">
        <f t="array" aca="1" ref="J590" ca="1">INDIRECT("'"&amp;$C590&amp;"'!"&amp;"$"&amp;$D590&amp;$J$1&amp;"")</f>
        <v>6.9</v>
      </c>
      <c r="K590" s="296"/>
      <c r="L590" s="296">
        <v>0.91</v>
      </c>
      <c r="M590" s="294">
        <v>3.12</v>
      </c>
      <c r="N590" s="295" cm="1">
        <f t="array" aca="1" ref="N590" ca="1">INDIRECT("'"&amp;$C590&amp;"'!"&amp;"$"&amp;$D590&amp;$N$1&amp;"")</f>
        <v>7</v>
      </c>
      <c r="O590" s="296"/>
      <c r="P590" s="296">
        <v>0.91</v>
      </c>
      <c r="Q590" s="294">
        <v>3.3</v>
      </c>
      <c r="R590" s="295" cm="1">
        <f t="array" aca="1" ref="R590" ca="1">INDIRECT("'"&amp;$C590&amp;"'!"&amp;"$"&amp;$D590&amp;$R$1&amp;"")</f>
        <v>6.9</v>
      </c>
      <c r="S590" s="296"/>
      <c r="T590" s="296">
        <v>0.91</v>
      </c>
      <c r="U590" s="294">
        <v>3.1</v>
      </c>
      <c r="V590" s="295" cm="1">
        <f t="array" aca="1" ref="V590" ca="1">INDIRECT("'"&amp;$C590&amp;"'!"&amp;"$"&amp;$D590&amp;$V$1&amp;"")</f>
        <v>2.9</v>
      </c>
      <c r="W590" s="296">
        <f>3.8*3.41</f>
        <v>12.958</v>
      </c>
      <c r="X590" s="296">
        <v>0.9</v>
      </c>
      <c r="Y590" s="297">
        <v>1.3</v>
      </c>
      <c r="Z590" s="293" cm="1">
        <f t="array" aca="1" ref="Z590" ca="1">INDIRECT("'"&amp;$C590&amp;"'!"&amp;"$"&amp;$D590&amp;$Z$1&amp;"")</f>
        <v>0</v>
      </c>
      <c r="AA590" s="296" t="s">
        <v>1</v>
      </c>
      <c r="AB590" s="296" t="s">
        <v>1</v>
      </c>
      <c r="AC590" s="294" t="s">
        <v>1</v>
      </c>
      <c r="AD590" s="295" t="str" cm="1">
        <f t="array" aca="1" ref="AD590" ca="1">INDIRECT("'"&amp;$C590&amp;"'!"&amp;"$"&amp;$D590&amp;$AD$1&amp;"")</f>
        <v>CMS</v>
      </c>
      <c r="AE590" s="296" t="s">
        <v>1</v>
      </c>
      <c r="AF590" s="296" t="s">
        <v>1</v>
      </c>
      <c r="AG590" s="297" t="s">
        <v>1</v>
      </c>
      <c r="AH590" s="293" cm="1">
        <f t="array" aca="1" ref="AH590" ca="1">INDIRECT("'"&amp;$C590&amp;"'!"&amp;"$"&amp;$D590&amp;$AH$1&amp;"")</f>
        <v>3.8</v>
      </c>
      <c r="AI590" s="296">
        <v>14.16</v>
      </c>
      <c r="AJ590" s="296">
        <v>0.95</v>
      </c>
      <c r="AK590" s="294">
        <v>1.17</v>
      </c>
      <c r="AL590" s="293">
        <v>11.9</v>
      </c>
      <c r="AM590" s="297">
        <v>70.599999999999994</v>
      </c>
      <c r="AN590" s="293" cm="1">
        <f t="array" aca="1" ref="AN590" ca="1">INDIRECT("'"&amp;$C590&amp;"'!"&amp;"$"&amp;$D590&amp;$AL$1&amp;"")</f>
        <v>3.8</v>
      </c>
      <c r="AO590" s="296">
        <v>0.9</v>
      </c>
      <c r="AP590" s="294">
        <v>1.2</v>
      </c>
      <c r="AQ590" s="295" t="str" cm="1">
        <f t="array" aca="1" ref="AQ590" ca="1">INDIRECT("'"&amp;$C590&amp;"'!"&amp;"$"&amp;$D590&amp;$AQ$1&amp;"")</f>
        <v>CMS</v>
      </c>
      <c r="AR590" s="296" t="s">
        <v>1</v>
      </c>
      <c r="AS590" s="294" t="s">
        <v>1</v>
      </c>
      <c r="AT590" s="296" cm="1">
        <f t="array" aca="1" ref="AT590" ca="1">INDIRECT("'"&amp;$C590&amp;"'!"&amp;"$"&amp;$D590&amp;$AT$1&amp;"")</f>
        <v>6.7</v>
      </c>
      <c r="AU590" s="295">
        <v>13.9</v>
      </c>
      <c r="AV590" s="296">
        <v>0.99</v>
      </c>
      <c r="AW590" s="294">
        <v>0.8</v>
      </c>
      <c r="AX590" s="298">
        <v>14.4</v>
      </c>
      <c r="AY590" s="297">
        <v>72.02</v>
      </c>
      <c r="AZ590" s="298" cm="1">
        <f t="array" aca="1" ref="AZ590" ca="1">INDIRECT("'"&amp;$C590&amp;"'!"&amp;"$"&amp;$D590&amp;$AZ$1&amp;"")</f>
        <v>14.29</v>
      </c>
      <c r="BA590" s="296">
        <v>0.96</v>
      </c>
      <c r="BB590" s="294">
        <v>4.5</v>
      </c>
      <c r="BC590" s="299">
        <v>67.900000000000006</v>
      </c>
      <c r="BD590" s="293" cm="1">
        <f t="array" aca="1" ref="BD590" ca="1">INDIRECT("'"&amp;$C590&amp;"'!"&amp;"$"&amp;$D590&amp;$BC$1&amp;"")</f>
        <v>5</v>
      </c>
      <c r="BE590" s="295">
        <v>0.94</v>
      </c>
      <c r="BF590" s="294">
        <v>1.5</v>
      </c>
      <c r="BG590" s="298" cm="1">
        <f t="array" aca="1" ref="BG590" ca="1">INDIRECT("'"&amp;$C590&amp;"'!"&amp;"$"&amp;$D590&amp;$BG$1&amp;"")</f>
        <v>1.51</v>
      </c>
      <c r="BH590" s="296"/>
      <c r="BI590" s="296">
        <v>0.99</v>
      </c>
      <c r="BJ590" s="294">
        <v>0.25</v>
      </c>
      <c r="BK590" s="299" cm="1">
        <f t="array" aca="1" ref="BK590" ca="1">INDIRECT("'"&amp;$C590&amp;"'!"&amp;"$"&amp;$D590&amp;$BK$1&amp;"")</f>
        <v>0.83</v>
      </c>
      <c r="BL590" s="296"/>
      <c r="BM590" s="296">
        <v>0.96</v>
      </c>
      <c r="BN590" s="294">
        <v>0.22</v>
      </c>
    </row>
    <row r="591" spans="1:66" ht="14.45" thickBot="1">
      <c r="A591" s="360">
        <v>45771</v>
      </c>
      <c r="B591" s="358">
        <v>0.45833333333333398</v>
      </c>
      <c r="C591" s="313">
        <f t="shared" si="23"/>
        <v>24</v>
      </c>
      <c r="D591" s="314" t="s">
        <v>138</v>
      </c>
      <c r="E591" s="286">
        <v>14.2</v>
      </c>
      <c r="F591" s="287">
        <v>69.81</v>
      </c>
      <c r="G591" s="288" cm="1">
        <f t="array" aca="1" ref="G591" ca="1">INDIRECT("'"&amp;$C591&amp;"'!"&amp;"$"&amp;$D591&amp;$E$1&amp;"")</f>
        <v>6.6</v>
      </c>
      <c r="H591" s="289">
        <v>0.91</v>
      </c>
      <c r="I591" s="287">
        <v>3.03</v>
      </c>
      <c r="J591" s="288" cm="1">
        <f t="array" aca="1" ref="J591" ca="1">INDIRECT("'"&amp;$C591&amp;"'!"&amp;"$"&amp;$D591&amp;$J$1&amp;"")</f>
        <v>6.6</v>
      </c>
      <c r="K591" s="289"/>
      <c r="L591" s="289">
        <v>0.91</v>
      </c>
      <c r="M591" s="287">
        <v>3.05</v>
      </c>
      <c r="N591" s="288" cm="1">
        <f t="array" aca="1" ref="N591" ca="1">INDIRECT("'"&amp;$C591&amp;"'!"&amp;"$"&amp;$D591&amp;$N$1&amp;"")</f>
        <v>6.6</v>
      </c>
      <c r="O591" s="289"/>
      <c r="P591" s="289">
        <v>0.91</v>
      </c>
      <c r="Q591" s="287">
        <v>3.07</v>
      </c>
      <c r="R591" s="288" cm="1">
        <f t="array" aca="1" ref="R591" ca="1">INDIRECT("'"&amp;$C591&amp;"'!"&amp;"$"&amp;$D591&amp;$R$1&amp;"")</f>
        <v>6.6</v>
      </c>
      <c r="S591" s="289"/>
      <c r="T591" s="289">
        <v>0.91</v>
      </c>
      <c r="U591" s="287">
        <v>3.02</v>
      </c>
      <c r="V591" s="288" cm="1">
        <f t="array" aca="1" ref="V591" ca="1">INDIRECT("'"&amp;$C591&amp;"'!"&amp;"$"&amp;$D591&amp;$V$1&amp;"")</f>
        <v>2.8</v>
      </c>
      <c r="W591" s="289">
        <f>3.41*3.8</f>
        <v>12.958</v>
      </c>
      <c r="X591" s="289">
        <v>0.91</v>
      </c>
      <c r="Y591" s="290">
        <v>0.27</v>
      </c>
      <c r="Z591" s="286" cm="1">
        <f t="array" aca="1" ref="Z591" ca="1">INDIRECT("'"&amp;$C591&amp;"'!"&amp;"$"&amp;$D591&amp;$Z$1&amp;"")</f>
        <v>0</v>
      </c>
      <c r="AA591" s="289" t="s">
        <v>1</v>
      </c>
      <c r="AB591" s="289" t="s">
        <v>1</v>
      </c>
      <c r="AC591" s="287" t="s">
        <v>1</v>
      </c>
      <c r="AD591" s="288" t="str" cm="1">
        <f t="array" aca="1" ref="AD591" ca="1">INDIRECT("'"&amp;$C591&amp;"'!"&amp;"$"&amp;$D591&amp;$AD$1&amp;"")</f>
        <v>CMS</v>
      </c>
      <c r="AE591" s="289" t="s">
        <v>1</v>
      </c>
      <c r="AF591" s="289" t="s">
        <v>1</v>
      </c>
      <c r="AG591" s="290" t="s">
        <v>1</v>
      </c>
      <c r="AH591" s="286" cm="1">
        <f t="array" aca="1" ref="AH591" ca="1">INDIRECT("'"&amp;$C591&amp;"'!"&amp;"$"&amp;$D591&amp;$AH$1&amp;"")</f>
        <v>3.8</v>
      </c>
      <c r="AI591" s="289">
        <v>14.16</v>
      </c>
      <c r="AJ591" s="289">
        <v>0.95</v>
      </c>
      <c r="AK591" s="287">
        <v>1.23</v>
      </c>
      <c r="AL591" s="286">
        <v>11.9</v>
      </c>
      <c r="AM591" s="290">
        <v>70.8</v>
      </c>
      <c r="AN591" s="286" cm="1">
        <f t="array" aca="1" ref="AN591" ca="1">INDIRECT("'"&amp;$C591&amp;"'!"&amp;"$"&amp;$D591&amp;$AL$1&amp;"")</f>
        <v>4.2</v>
      </c>
      <c r="AO591" s="289">
        <v>0.97</v>
      </c>
      <c r="AP591" s="287">
        <v>0.97</v>
      </c>
      <c r="AQ591" s="288" t="str" cm="1">
        <f t="array" aca="1" ref="AQ591" ca="1">INDIRECT("'"&amp;$C591&amp;"'!"&amp;"$"&amp;$D591&amp;$AQ$1&amp;"")</f>
        <v>CMS</v>
      </c>
      <c r="AR591" s="289" t="s">
        <v>1</v>
      </c>
      <c r="AS591" s="287" t="s">
        <v>1</v>
      </c>
      <c r="AT591" s="289" cm="1">
        <f t="array" aca="1" ref="AT591" ca="1">INDIRECT("'"&amp;$C591&amp;"'!"&amp;"$"&amp;$D591&amp;$AT$1&amp;"")</f>
        <v>7.9</v>
      </c>
      <c r="AU591" s="288">
        <v>13.9</v>
      </c>
      <c r="AV591" s="289">
        <v>0.99</v>
      </c>
      <c r="AW591" s="287">
        <v>1.2</v>
      </c>
      <c r="AX591" s="291">
        <v>14.38</v>
      </c>
      <c r="AY591" s="290">
        <v>72.02</v>
      </c>
      <c r="AZ591" s="291" cm="1">
        <f t="array" aca="1" ref="AZ591" ca="1">INDIRECT("'"&amp;$C591&amp;"'!"&amp;"$"&amp;$D591&amp;$AZ$1&amp;"")</f>
        <v>14.33</v>
      </c>
      <c r="BA591" s="289">
        <v>0.96</v>
      </c>
      <c r="BB591" s="287">
        <v>4.5999999999999996</v>
      </c>
      <c r="BC591" s="292">
        <v>68</v>
      </c>
      <c r="BD591" s="286" cm="1">
        <f t="array" aca="1" ref="BD591" ca="1">INDIRECT("'"&amp;$C591&amp;"'!"&amp;"$"&amp;$D591&amp;$BC$1&amp;"")</f>
        <v>6.4966666666666661</v>
      </c>
      <c r="BE591" s="288">
        <v>0.95</v>
      </c>
      <c r="BF591" s="287">
        <v>2.2000000000000002</v>
      </c>
      <c r="BG591" s="291" cm="1">
        <f t="array" aca="1" ref="BG591" ca="1">INDIRECT("'"&amp;$C591&amp;"'!"&amp;"$"&amp;$D591&amp;$BG$1&amp;"")</f>
        <v>1.59</v>
      </c>
      <c r="BH591" s="289"/>
      <c r="BI591" s="289">
        <v>0.99</v>
      </c>
      <c r="BJ591" s="287">
        <v>0.25</v>
      </c>
      <c r="BK591" s="292" cm="1">
        <f t="array" aca="1" ref="BK591" ca="1">INDIRECT("'"&amp;$C591&amp;"'!"&amp;"$"&amp;$D591&amp;$BK$1&amp;"")</f>
        <v>0.85</v>
      </c>
      <c r="BL591" s="289"/>
      <c r="BM591" s="289">
        <v>0.96</v>
      </c>
      <c r="BN591" s="287">
        <v>0.23</v>
      </c>
    </row>
    <row r="592" spans="1:66" ht="14.45" thickBot="1">
      <c r="A592" s="360">
        <v>45771</v>
      </c>
      <c r="B592" s="358">
        <v>0.5</v>
      </c>
      <c r="C592" s="313">
        <f t="shared" si="23"/>
        <v>24</v>
      </c>
      <c r="D592" s="314" t="s">
        <v>139</v>
      </c>
      <c r="E592" s="293">
        <v>14.2</v>
      </c>
      <c r="F592" s="294">
        <v>69.83</v>
      </c>
      <c r="G592" s="295" cm="1">
        <f t="array" aca="1" ref="G592" ca="1">INDIRECT("'"&amp;$C592&amp;"'!"&amp;"$"&amp;$D592&amp;$E$1&amp;"")</f>
        <v>6.6</v>
      </c>
      <c r="H592" s="296">
        <v>0.91</v>
      </c>
      <c r="I592" s="294">
        <v>3.05</v>
      </c>
      <c r="J592" s="295" cm="1">
        <f t="array" aca="1" ref="J592" ca="1">INDIRECT("'"&amp;$C592&amp;"'!"&amp;"$"&amp;$D592&amp;$J$1&amp;"")</f>
        <v>6.6</v>
      </c>
      <c r="K592" s="296"/>
      <c r="L592" s="296">
        <v>0.91</v>
      </c>
      <c r="M592" s="294">
        <v>3.08</v>
      </c>
      <c r="N592" s="295" cm="1">
        <f t="array" aca="1" ref="N592" ca="1">INDIRECT("'"&amp;$C592&amp;"'!"&amp;"$"&amp;$D592&amp;$N$1&amp;"")</f>
        <v>6.6</v>
      </c>
      <c r="O592" s="296"/>
      <c r="P592" s="296">
        <v>0.91</v>
      </c>
      <c r="Q592" s="294">
        <v>3.04</v>
      </c>
      <c r="R592" s="295" cm="1">
        <f t="array" aca="1" ref="R592" ca="1">INDIRECT("'"&amp;$C592&amp;"'!"&amp;"$"&amp;$D592&amp;$R$1&amp;"")</f>
        <v>6.6</v>
      </c>
      <c r="S592" s="296"/>
      <c r="T592" s="296">
        <v>0.91</v>
      </c>
      <c r="U592" s="294">
        <v>3.04</v>
      </c>
      <c r="V592" s="295" cm="1">
        <f t="array" aca="1" ref="V592" ca="1">INDIRECT("'"&amp;$C592&amp;"'!"&amp;"$"&amp;$D592&amp;$V$1&amp;"")</f>
        <v>2.8</v>
      </c>
      <c r="W592" s="296">
        <f>3.4*3.8</f>
        <v>12.92</v>
      </c>
      <c r="X592" s="296">
        <v>0.9</v>
      </c>
      <c r="Y592" s="297">
        <v>1.3</v>
      </c>
      <c r="Z592" s="293" cm="1">
        <f t="array" aca="1" ref="Z592" ca="1">INDIRECT("'"&amp;$C592&amp;"'!"&amp;"$"&amp;$D592&amp;$Z$1&amp;"")</f>
        <v>0</v>
      </c>
      <c r="AA592" s="296" t="s">
        <v>1</v>
      </c>
      <c r="AB592" s="296" t="s">
        <v>1</v>
      </c>
      <c r="AC592" s="294" t="s">
        <v>1</v>
      </c>
      <c r="AD592" s="295" t="str" cm="1">
        <f t="array" aca="1" ref="AD592" ca="1">INDIRECT("'"&amp;$C592&amp;"'!"&amp;"$"&amp;$D592&amp;$AD$1&amp;"")</f>
        <v>CMS</v>
      </c>
      <c r="AE592" s="296" t="s">
        <v>1</v>
      </c>
      <c r="AF592" s="296" t="s">
        <v>1</v>
      </c>
      <c r="AG592" s="297" t="s">
        <v>1</v>
      </c>
      <c r="AH592" s="293" cm="1">
        <f t="array" aca="1" ref="AH592" ca="1">INDIRECT("'"&amp;$C592&amp;"'!"&amp;"$"&amp;$D592&amp;$AH$1&amp;"")</f>
        <v>3.8</v>
      </c>
      <c r="AI592" s="296">
        <v>14.16</v>
      </c>
      <c r="AJ592" s="296">
        <v>0.93</v>
      </c>
      <c r="AK592" s="294">
        <v>1.34</v>
      </c>
      <c r="AL592" s="293">
        <v>11.9</v>
      </c>
      <c r="AM592" s="297">
        <v>70.7</v>
      </c>
      <c r="AN592" s="293" cm="1">
        <f t="array" aca="1" ref="AN592" ca="1">INDIRECT("'"&amp;$C592&amp;"'!"&amp;"$"&amp;$D592&amp;$AL$1&amp;"")</f>
        <v>4.5</v>
      </c>
      <c r="AO592" s="296">
        <v>0.96</v>
      </c>
      <c r="AP592" s="294">
        <v>0.97</v>
      </c>
      <c r="AQ592" s="295" t="str" cm="1">
        <f t="array" aca="1" ref="AQ592" ca="1">INDIRECT("'"&amp;$C592&amp;"'!"&amp;"$"&amp;$D592&amp;$AQ$1&amp;"")</f>
        <v>CMS</v>
      </c>
      <c r="AR592" s="296" t="s">
        <v>1</v>
      </c>
      <c r="AS592" s="294" t="s">
        <v>1</v>
      </c>
      <c r="AT592" s="296" cm="1">
        <f t="array" aca="1" ref="AT592" ca="1">INDIRECT("'"&amp;$C592&amp;"'!"&amp;"$"&amp;$D592&amp;$AT$1&amp;"")</f>
        <v>7.7</v>
      </c>
      <c r="AU592" s="295">
        <v>13.9</v>
      </c>
      <c r="AV592" s="296">
        <v>0.98</v>
      </c>
      <c r="AW592" s="294">
        <v>1.2</v>
      </c>
      <c r="AX592" s="298">
        <v>14.4</v>
      </c>
      <c r="AY592" s="297">
        <v>72.209999999999994</v>
      </c>
      <c r="AZ592" s="298" cm="1">
        <f t="array" aca="1" ref="AZ592" ca="1">INDIRECT("'"&amp;$C592&amp;"'!"&amp;"$"&amp;$D592&amp;$AZ$1&amp;"")</f>
        <v>14.29</v>
      </c>
      <c r="BA592" s="296">
        <v>0.96</v>
      </c>
      <c r="BB592" s="294">
        <v>4.5</v>
      </c>
      <c r="BC592" s="299">
        <v>68</v>
      </c>
      <c r="BD592" s="293" cm="1">
        <f t="array" aca="1" ref="BD592" ca="1">INDIRECT("'"&amp;$C592&amp;"'!"&amp;"$"&amp;$D592&amp;$BC$1&amp;"")</f>
        <v>6.4966666666666661</v>
      </c>
      <c r="BE592" s="295">
        <v>0.95</v>
      </c>
      <c r="BF592" s="294">
        <v>2.1</v>
      </c>
      <c r="BG592" s="298" cm="1">
        <f t="array" aca="1" ref="BG592" ca="1">INDIRECT("'"&amp;$C592&amp;"'!"&amp;"$"&amp;$D592&amp;$BG$1&amp;"")</f>
        <v>1.6</v>
      </c>
      <c r="BH592" s="296"/>
      <c r="BI592" s="296">
        <v>0.99</v>
      </c>
      <c r="BJ592" s="294">
        <v>0.26</v>
      </c>
      <c r="BK592" s="299" cm="1">
        <f t="array" aca="1" ref="BK592" ca="1">INDIRECT("'"&amp;$C592&amp;"'!"&amp;"$"&amp;$D592&amp;$BK$1&amp;"")</f>
        <v>0.89</v>
      </c>
      <c r="BL592" s="296"/>
      <c r="BM592" s="296">
        <v>0.96</v>
      </c>
      <c r="BN592" s="294">
        <v>0.24</v>
      </c>
    </row>
    <row r="593" spans="1:66" ht="14.45" thickBot="1">
      <c r="A593" s="360">
        <v>45771</v>
      </c>
      <c r="B593" s="358">
        <v>0.54166666666666696</v>
      </c>
      <c r="C593" s="313">
        <f t="shared" si="23"/>
        <v>24</v>
      </c>
      <c r="D593" s="314" t="s">
        <v>140</v>
      </c>
      <c r="E593" s="286">
        <v>14.2</v>
      </c>
      <c r="F593" s="287">
        <v>69.22</v>
      </c>
      <c r="G593" s="288" cm="1">
        <f t="array" aca="1" ref="G593" ca="1">INDIRECT("'"&amp;$C593&amp;"'!"&amp;"$"&amp;$D593&amp;$E$1&amp;"")</f>
        <v>6.7</v>
      </c>
      <c r="H593" s="289">
        <v>0.91</v>
      </c>
      <c r="I593" s="287">
        <v>3.08</v>
      </c>
      <c r="J593" s="288" cm="1">
        <f t="array" aca="1" ref="J593" ca="1">INDIRECT("'"&amp;$C593&amp;"'!"&amp;"$"&amp;$D593&amp;$J$1&amp;"")</f>
        <v>6.7</v>
      </c>
      <c r="K593" s="289"/>
      <c r="L593" s="289">
        <v>0.91</v>
      </c>
      <c r="M593" s="287">
        <v>3.05</v>
      </c>
      <c r="N593" s="288" cm="1">
        <f t="array" aca="1" ref="N593" ca="1">INDIRECT("'"&amp;$C593&amp;"'!"&amp;"$"&amp;$D593&amp;$N$1&amp;"")</f>
        <v>6.7</v>
      </c>
      <c r="O593" s="289"/>
      <c r="P593" s="289">
        <v>0.91</v>
      </c>
      <c r="Q593" s="287">
        <v>3.09</v>
      </c>
      <c r="R593" s="288" cm="1">
        <f t="array" aca="1" ref="R593" ca="1">INDIRECT("'"&amp;$C593&amp;"'!"&amp;"$"&amp;$D593&amp;$R$1&amp;"")</f>
        <v>6.7</v>
      </c>
      <c r="S593" s="289"/>
      <c r="T593" s="289">
        <v>0.91</v>
      </c>
      <c r="U593" s="287">
        <v>3.05</v>
      </c>
      <c r="V593" s="288" cm="1">
        <f t="array" aca="1" ref="V593" ca="1">INDIRECT("'"&amp;$C593&amp;"'!"&amp;"$"&amp;$D593&amp;$V$1&amp;"")</f>
        <v>2.8</v>
      </c>
      <c r="W593" s="289">
        <f>3.47*3.8</f>
        <v>13.186</v>
      </c>
      <c r="X593" s="289">
        <v>0.91</v>
      </c>
      <c r="Y593" s="290">
        <v>1.25</v>
      </c>
      <c r="Z593" s="286" cm="1">
        <f t="array" aca="1" ref="Z593" ca="1">INDIRECT("'"&amp;$C593&amp;"'!"&amp;"$"&amp;$D593&amp;$Z$1&amp;"")</f>
        <v>0</v>
      </c>
      <c r="AA593" s="289" t="s">
        <v>1</v>
      </c>
      <c r="AB593" s="289" t="s">
        <v>1</v>
      </c>
      <c r="AC593" s="287" t="s">
        <v>1</v>
      </c>
      <c r="AD593" s="288" cm="1">
        <f t="array" aca="1" ref="AD593" ca="1">INDIRECT("'"&amp;$C593&amp;"'!"&amp;"$"&amp;$D593&amp;$AD$1&amp;"")</f>
        <v>3</v>
      </c>
      <c r="AE593" s="289">
        <f>3.47*3.8</f>
        <v>13.186</v>
      </c>
      <c r="AF593" s="289">
        <v>0.93</v>
      </c>
      <c r="AG593" s="290">
        <v>1.33</v>
      </c>
      <c r="AH593" s="286" cm="1">
        <f t="array" aca="1" ref="AH593" ca="1">INDIRECT("'"&amp;$C593&amp;"'!"&amp;"$"&amp;$D593&amp;$AH$1&amp;"")</f>
        <v>3.8</v>
      </c>
      <c r="AI593" s="289">
        <v>14.2</v>
      </c>
      <c r="AJ593" s="289">
        <v>0.94</v>
      </c>
      <c r="AK593" s="287">
        <v>1.25</v>
      </c>
      <c r="AL593" s="286">
        <v>11.9</v>
      </c>
      <c r="AM593" s="290">
        <v>70.7</v>
      </c>
      <c r="AN593" s="286" cm="1">
        <f t="array" aca="1" ref="AN593" ca="1">INDIRECT("'"&amp;$C593&amp;"'!"&amp;"$"&amp;$D593&amp;$AL$1&amp;"")</f>
        <v>4.5</v>
      </c>
      <c r="AO593" s="289">
        <v>0.96</v>
      </c>
      <c r="AP593" s="287">
        <v>0.88</v>
      </c>
      <c r="AQ593" s="288" t="str" cm="1">
        <f t="array" aca="1" ref="AQ593" ca="1">INDIRECT("'"&amp;$C593&amp;"'!"&amp;"$"&amp;$D593&amp;$AQ$1&amp;"")</f>
        <v>CMS</v>
      </c>
      <c r="AR593" s="289" t="s">
        <v>1</v>
      </c>
      <c r="AS593" s="287" t="s">
        <v>1</v>
      </c>
      <c r="AT593" s="289" cm="1">
        <f t="array" aca="1" ref="AT593" ca="1">INDIRECT("'"&amp;$C593&amp;"'!"&amp;"$"&amp;$D593&amp;$AT$1&amp;"")</f>
        <v>7.5</v>
      </c>
      <c r="AU593" s="288">
        <v>13.9</v>
      </c>
      <c r="AV593" s="289">
        <v>0.99</v>
      </c>
      <c r="AW593" s="287">
        <v>1.2</v>
      </c>
      <c r="AX593" s="291">
        <v>14.43</v>
      </c>
      <c r="AY593" s="290">
        <v>72.05</v>
      </c>
      <c r="AZ593" s="291" cm="1">
        <f t="array" aca="1" ref="AZ593" ca="1">INDIRECT("'"&amp;$C593&amp;"'!"&amp;"$"&amp;$D593&amp;$AZ$1&amp;"")</f>
        <v>14.31</v>
      </c>
      <c r="BA593" s="289">
        <v>0.96</v>
      </c>
      <c r="BB593" s="287">
        <v>4.5999999999999996</v>
      </c>
      <c r="BC593" s="292">
        <v>68.099999999999994</v>
      </c>
      <c r="BD593" s="286" cm="1">
        <f t="array" aca="1" ref="BD593" ca="1">INDIRECT("'"&amp;$C593&amp;"'!"&amp;"$"&amp;$D593&amp;$BC$1&amp;"")</f>
        <v>5.6999999999999993</v>
      </c>
      <c r="BE593" s="288">
        <v>0.95</v>
      </c>
      <c r="BF593" s="287">
        <v>1.6</v>
      </c>
      <c r="BG593" s="291" cm="1">
        <f t="array" aca="1" ref="BG593" ca="1">INDIRECT("'"&amp;$C593&amp;"'!"&amp;"$"&amp;$D593&amp;$BG$1&amp;"")</f>
        <v>1.56</v>
      </c>
      <c r="BH593" s="289"/>
      <c r="BI593" s="289">
        <v>0.99</v>
      </c>
      <c r="BJ593" s="287">
        <v>0.23</v>
      </c>
      <c r="BK593" s="292" cm="1">
        <f t="array" aca="1" ref="BK593" ca="1">INDIRECT("'"&amp;$C593&amp;"'!"&amp;"$"&amp;$D593&amp;$BK$1&amp;"")</f>
        <v>0.9</v>
      </c>
      <c r="BL593" s="289"/>
      <c r="BM593" s="289">
        <v>0.96</v>
      </c>
      <c r="BN593" s="287">
        <v>0.24</v>
      </c>
    </row>
    <row r="594" spans="1:66" ht="14.45" thickBot="1">
      <c r="A594" s="360">
        <v>45771</v>
      </c>
      <c r="B594" s="358">
        <v>0.58333333333333404</v>
      </c>
      <c r="C594" s="313">
        <f t="shared" si="23"/>
        <v>24</v>
      </c>
      <c r="D594" s="314" t="s">
        <v>141</v>
      </c>
      <c r="E594" s="293">
        <v>14.2</v>
      </c>
      <c r="F594" s="294">
        <v>69.790000000000006</v>
      </c>
      <c r="G594" s="295" cm="1">
        <f t="array" aca="1" ref="G594" ca="1">INDIRECT("'"&amp;$C594&amp;"'!"&amp;"$"&amp;$D594&amp;$E$1&amp;"")</f>
        <v>7</v>
      </c>
      <c r="H594" s="296">
        <v>0.91</v>
      </c>
      <c r="I594" s="294">
        <v>3.17</v>
      </c>
      <c r="J594" s="295" cm="1">
        <f t="array" aca="1" ref="J594" ca="1">INDIRECT("'"&amp;$C594&amp;"'!"&amp;"$"&amp;$D594&amp;$J$1&amp;"")</f>
        <v>6.9</v>
      </c>
      <c r="K594" s="296"/>
      <c r="L594" s="296">
        <v>0.91</v>
      </c>
      <c r="M594" s="294">
        <v>3.13</v>
      </c>
      <c r="N594" s="295" cm="1">
        <f t="array" aca="1" ref="N594" ca="1">INDIRECT("'"&amp;$C594&amp;"'!"&amp;"$"&amp;$D594&amp;$N$1&amp;"")</f>
        <v>7</v>
      </c>
      <c r="O594" s="296"/>
      <c r="P594" s="296">
        <v>0.91</v>
      </c>
      <c r="Q594" s="294">
        <v>3.18</v>
      </c>
      <c r="R594" s="295" cm="1">
        <f t="array" aca="1" ref="R594" ca="1">INDIRECT("'"&amp;$C594&amp;"'!"&amp;"$"&amp;$D594&amp;$R$1&amp;"")</f>
        <v>6.9</v>
      </c>
      <c r="S594" s="296"/>
      <c r="T594" s="296">
        <v>0.91</v>
      </c>
      <c r="U594" s="294">
        <v>3.12</v>
      </c>
      <c r="V594" s="295" cm="1">
        <f t="array" aca="1" ref="V594" ca="1">INDIRECT("'"&amp;$C594&amp;"'!"&amp;"$"&amp;$D594&amp;$V$1&amp;"")</f>
        <v>2.9</v>
      </c>
      <c r="W594" s="296">
        <f>3.8*3.45</f>
        <v>13.11</v>
      </c>
      <c r="X594" s="296">
        <v>0.91</v>
      </c>
      <c r="Y594" s="297">
        <v>1.26</v>
      </c>
      <c r="Z594" s="293" cm="1">
        <f t="array" aca="1" ref="Z594" ca="1">INDIRECT("'"&amp;$C594&amp;"'!"&amp;"$"&amp;$D594&amp;$Z$1&amp;"")</f>
        <v>0</v>
      </c>
      <c r="AA594" s="296" t="s">
        <v>1</v>
      </c>
      <c r="AB594" s="296" t="s">
        <v>1</v>
      </c>
      <c r="AC594" s="294" t="s">
        <v>1</v>
      </c>
      <c r="AD594" s="295" cm="1">
        <f t="array" aca="1" ref="AD594" ca="1">INDIRECT("'"&amp;$C594&amp;"'!"&amp;"$"&amp;$D594&amp;$AD$1&amp;"")</f>
        <v>3.9</v>
      </c>
      <c r="AE594" s="296">
        <f>3.8*3.45</f>
        <v>13.11</v>
      </c>
      <c r="AF594" s="296">
        <v>0.91</v>
      </c>
      <c r="AG594" s="297">
        <v>1.75</v>
      </c>
      <c r="AH594" s="293" cm="1">
        <f t="array" aca="1" ref="AH594" ca="1">INDIRECT("'"&amp;$C594&amp;"'!"&amp;"$"&amp;$D594&amp;$AH$1&amp;"")</f>
        <v>3.8</v>
      </c>
      <c r="AI594" s="296">
        <v>14.16</v>
      </c>
      <c r="AJ594" s="296">
        <v>0.92</v>
      </c>
      <c r="AK594" s="294">
        <v>1.47</v>
      </c>
      <c r="AL594" s="293">
        <v>11.9</v>
      </c>
      <c r="AM594" s="297">
        <v>70.7</v>
      </c>
      <c r="AN594" s="293" cm="1">
        <f t="array" aca="1" ref="AN594" ca="1">INDIRECT("'"&amp;$C594&amp;"'!"&amp;"$"&amp;$D594&amp;$AL$1&amp;"")</f>
        <v>4.5</v>
      </c>
      <c r="AO594" s="296">
        <v>0.96</v>
      </c>
      <c r="AP594" s="294">
        <v>0.86</v>
      </c>
      <c r="AQ594" s="295" t="str" cm="1">
        <f t="array" aca="1" ref="AQ594" ca="1">INDIRECT("'"&amp;$C594&amp;"'!"&amp;"$"&amp;$D594&amp;$AQ$1&amp;"")</f>
        <v>CMS</v>
      </c>
      <c r="AR594" s="296"/>
      <c r="AS594" s="294"/>
      <c r="AT594" s="296" cm="1">
        <f t="array" aca="1" ref="AT594" ca="1">INDIRECT("'"&amp;$C594&amp;"'!"&amp;"$"&amp;$D594&amp;$AT$1&amp;"")</f>
        <v>8</v>
      </c>
      <c r="AU594" s="295">
        <v>13.9</v>
      </c>
      <c r="AV594" s="296">
        <v>0.98</v>
      </c>
      <c r="AW594" s="294">
        <v>1.6</v>
      </c>
      <c r="AX594" s="298">
        <v>14.36</v>
      </c>
      <c r="AY594" s="297">
        <v>71.98</v>
      </c>
      <c r="AZ594" s="298" cm="1">
        <f t="array" aca="1" ref="AZ594" ca="1">INDIRECT("'"&amp;$C594&amp;"'!"&amp;"$"&amp;$D594&amp;$AZ$1&amp;"")</f>
        <v>14.31</v>
      </c>
      <c r="BA594" s="296">
        <v>0.96</v>
      </c>
      <c r="BB594" s="294">
        <v>4.5</v>
      </c>
      <c r="BC594" s="299">
        <v>68.099999999999994</v>
      </c>
      <c r="BD594" s="293" cm="1">
        <f t="array" aca="1" ref="BD594" ca="1">INDIRECT("'"&amp;$C594&amp;"'!"&amp;"$"&amp;$D594&amp;$BC$1&amp;"")</f>
        <v>6.3999999999999995</v>
      </c>
      <c r="BE594" s="295">
        <v>0.95</v>
      </c>
      <c r="BF594" s="294">
        <v>2.2000000000000002</v>
      </c>
      <c r="BG594" s="298" cm="1">
        <f t="array" aca="1" ref="BG594" ca="1">INDIRECT("'"&amp;$C594&amp;"'!"&amp;"$"&amp;$D594&amp;$BG$1&amp;"")</f>
        <v>1.58</v>
      </c>
      <c r="BH594" s="296"/>
      <c r="BI594" s="296">
        <v>0.99</v>
      </c>
      <c r="BJ594" s="294">
        <v>0.26</v>
      </c>
      <c r="BK594" s="299" cm="1">
        <f t="array" aca="1" ref="BK594" ca="1">INDIRECT("'"&amp;$C594&amp;"'!"&amp;"$"&amp;$D594&amp;$BK$1&amp;"")</f>
        <v>0.9</v>
      </c>
      <c r="BL594" s="296"/>
      <c r="BM594" s="296">
        <v>0.96</v>
      </c>
      <c r="BN594" s="294">
        <v>0.24</v>
      </c>
    </row>
    <row r="595" spans="1:66" ht="14.45" thickBot="1">
      <c r="A595" s="360">
        <v>45771</v>
      </c>
      <c r="B595" s="358">
        <v>0.625</v>
      </c>
      <c r="C595" s="313">
        <f t="shared" si="23"/>
        <v>24</v>
      </c>
      <c r="D595" s="314" t="s">
        <v>142</v>
      </c>
      <c r="E595" s="286">
        <v>14.2</v>
      </c>
      <c r="F595" s="287">
        <v>69.75</v>
      </c>
      <c r="G595" s="288" cm="1">
        <f t="array" aca="1" ref="G595" ca="1">INDIRECT("'"&amp;$C595&amp;"'!"&amp;"$"&amp;$D595&amp;$E$1&amp;"")</f>
        <v>6.6</v>
      </c>
      <c r="H595" s="289">
        <v>0.9</v>
      </c>
      <c r="I595" s="287">
        <v>3.12</v>
      </c>
      <c r="J595" s="288" cm="1">
        <f t="array" aca="1" ref="J595" ca="1">INDIRECT("'"&amp;$C595&amp;"'!"&amp;"$"&amp;$D595&amp;$J$1&amp;"")</f>
        <v>6.6</v>
      </c>
      <c r="K595" s="289"/>
      <c r="L595" s="289">
        <v>0.9</v>
      </c>
      <c r="M595" s="287">
        <v>3.1</v>
      </c>
      <c r="N595" s="288" cm="1">
        <f t="array" aca="1" ref="N595" ca="1">INDIRECT("'"&amp;$C595&amp;"'!"&amp;"$"&amp;$D595&amp;$N$1&amp;"")</f>
        <v>6.6</v>
      </c>
      <c r="O595" s="289"/>
      <c r="P595" s="289">
        <v>0.9</v>
      </c>
      <c r="Q595" s="287">
        <v>3.09</v>
      </c>
      <c r="R595" s="288" cm="1">
        <f t="array" aca="1" ref="R595" ca="1">INDIRECT("'"&amp;$C595&amp;"'!"&amp;"$"&amp;$D595&amp;$R$1&amp;"")</f>
        <v>6.6</v>
      </c>
      <c r="S595" s="289"/>
      <c r="T595" s="289">
        <v>0.9</v>
      </c>
      <c r="U595" s="287">
        <v>3.12</v>
      </c>
      <c r="V595" s="288" cm="1">
        <f t="array" aca="1" ref="V595" ca="1">INDIRECT("'"&amp;$C595&amp;"'!"&amp;"$"&amp;$D595&amp;$V$1&amp;"")</f>
        <v>2.8</v>
      </c>
      <c r="W595" s="289">
        <f>3.8*3.48</f>
        <v>13.224</v>
      </c>
      <c r="X595" s="289">
        <v>0.91</v>
      </c>
      <c r="Y595" s="290">
        <v>1.24</v>
      </c>
      <c r="Z595" s="286" cm="1">
        <f t="array" aca="1" ref="Z595" ca="1">INDIRECT("'"&amp;$C595&amp;"'!"&amp;"$"&amp;$D595&amp;$Z$1&amp;"")</f>
        <v>0</v>
      </c>
      <c r="AA595" s="289" t="s">
        <v>1</v>
      </c>
      <c r="AB595" s="289" t="s">
        <v>1</v>
      </c>
      <c r="AC595" s="287" t="s">
        <v>1</v>
      </c>
      <c r="AD595" s="288" cm="1">
        <f t="array" aca="1" ref="AD595" ca="1">INDIRECT("'"&amp;$C595&amp;"'!"&amp;"$"&amp;$D595&amp;$AD$1&amp;"")</f>
        <v>3.8</v>
      </c>
      <c r="AE595" s="289">
        <f>3.8*3.48</f>
        <v>13.224</v>
      </c>
      <c r="AF595" s="289">
        <v>0.9</v>
      </c>
      <c r="AG595" s="290">
        <v>1.86</v>
      </c>
      <c r="AH595" s="286" cm="1">
        <f t="array" aca="1" ref="AH595" ca="1">INDIRECT("'"&amp;$C595&amp;"'!"&amp;"$"&amp;$D595&amp;$AH$1&amp;"")</f>
        <v>3.8</v>
      </c>
      <c r="AI595" s="289">
        <v>14.16</v>
      </c>
      <c r="AJ595" s="289">
        <v>0.93</v>
      </c>
      <c r="AK595" s="287">
        <v>1.36</v>
      </c>
      <c r="AL595" s="286">
        <v>11.9</v>
      </c>
      <c r="AM595" s="290">
        <v>70.900000000000006</v>
      </c>
      <c r="AN595" s="286" cm="1">
        <f t="array" aca="1" ref="AN595" ca="1">INDIRECT("'"&amp;$C595&amp;"'!"&amp;"$"&amp;$D595&amp;$AL$1&amp;"")</f>
        <v>4</v>
      </c>
      <c r="AO595" s="289">
        <v>0.98</v>
      </c>
      <c r="AP595" s="287">
        <v>0.68</v>
      </c>
      <c r="AQ595" s="288" cm="1">
        <f t="array" aca="1" ref="AQ595" ca="1">INDIRECT("'"&amp;$C595&amp;"'!"&amp;"$"&amp;$D595&amp;$AQ$1&amp;"")</f>
        <v>4</v>
      </c>
      <c r="AR595" s="289">
        <v>0.98</v>
      </c>
      <c r="AS595" s="287">
        <v>0.68</v>
      </c>
      <c r="AT595" s="289" cm="1">
        <f t="array" aca="1" ref="AT595" ca="1">INDIRECT("'"&amp;$C595&amp;"'!"&amp;"$"&amp;$D595&amp;$AT$1&amp;"")</f>
        <v>4.5999999999999996</v>
      </c>
      <c r="AU595" s="288">
        <v>13.9</v>
      </c>
      <c r="AV595" s="289">
        <v>0.94</v>
      </c>
      <c r="AW595" s="287">
        <v>1.6</v>
      </c>
      <c r="AX595" s="291">
        <v>14.39</v>
      </c>
      <c r="AY595" s="290">
        <v>72</v>
      </c>
      <c r="AZ595" s="291" cm="1">
        <f t="array" aca="1" ref="AZ595" ca="1">INDIRECT("'"&amp;$C595&amp;"'!"&amp;"$"&amp;$D595&amp;$AZ$1&amp;"")</f>
        <v>14.3</v>
      </c>
      <c r="BA595" s="289">
        <v>0.96</v>
      </c>
      <c r="BB595" s="287">
        <v>4.5999999999999996</v>
      </c>
      <c r="BC595" s="292">
        <v>68</v>
      </c>
      <c r="BD595" s="286" cm="1">
        <f t="array" aca="1" ref="BD595" ca="1">INDIRECT("'"&amp;$C595&amp;"'!"&amp;"$"&amp;$D595&amp;$BC$1&amp;"")</f>
        <v>6.4999999999999991</v>
      </c>
      <c r="BE595" s="288">
        <v>0.95</v>
      </c>
      <c r="BF595" s="287">
        <v>2.1</v>
      </c>
      <c r="BG595" s="291" cm="1">
        <f t="array" aca="1" ref="BG595" ca="1">INDIRECT("'"&amp;$C595&amp;"'!"&amp;"$"&amp;$D595&amp;$BG$1&amp;"")</f>
        <v>1.59</v>
      </c>
      <c r="BH595" s="289"/>
      <c r="BI595" s="289">
        <v>0.99</v>
      </c>
      <c r="BJ595" s="287">
        <v>0.27</v>
      </c>
      <c r="BK595" s="292" cm="1">
        <f t="array" aca="1" ref="BK595" ca="1">INDIRECT("'"&amp;$C595&amp;"'!"&amp;"$"&amp;$D595&amp;$BK$1&amp;"")</f>
        <v>0.91</v>
      </c>
      <c r="BL595" s="289"/>
      <c r="BM595" s="289">
        <v>0.96</v>
      </c>
      <c r="BN595" s="287">
        <v>0.24</v>
      </c>
    </row>
    <row r="596" spans="1:66" ht="14.45" thickBot="1">
      <c r="A596" s="360">
        <v>45771</v>
      </c>
      <c r="B596" s="358">
        <v>0.66666666666666696</v>
      </c>
      <c r="C596" s="313">
        <f t="shared" si="23"/>
        <v>24</v>
      </c>
      <c r="D596" s="314" t="s">
        <v>143</v>
      </c>
      <c r="E596" s="293">
        <v>14.2</v>
      </c>
      <c r="F596" s="294">
        <v>69.650000000000006</v>
      </c>
      <c r="G596" s="295" cm="1">
        <f t="array" aca="1" ref="G596" ca="1">INDIRECT("'"&amp;$C596&amp;"'!"&amp;"$"&amp;$D596&amp;$E$1&amp;"")</f>
        <v>6.6</v>
      </c>
      <c r="H596" s="296">
        <v>0.91</v>
      </c>
      <c r="I596" s="294">
        <v>3.05</v>
      </c>
      <c r="J596" s="295" cm="1">
        <f t="array" aca="1" ref="J596" ca="1">INDIRECT("'"&amp;$C596&amp;"'!"&amp;"$"&amp;$D596&amp;$J$1&amp;"")</f>
        <v>6.6</v>
      </c>
      <c r="K596" s="296"/>
      <c r="L596" s="296">
        <v>0.91</v>
      </c>
      <c r="M596" s="294">
        <v>3.01</v>
      </c>
      <c r="N596" s="295" cm="1">
        <f t="array" aca="1" ref="N596" ca="1">INDIRECT("'"&amp;$C596&amp;"'!"&amp;"$"&amp;$D596&amp;$N$1&amp;"")</f>
        <v>6.6</v>
      </c>
      <c r="O596" s="296"/>
      <c r="P596" s="296">
        <v>0.91</v>
      </c>
      <c r="Q596" s="294">
        <v>3.07</v>
      </c>
      <c r="R596" s="295" cm="1">
        <f t="array" aca="1" ref="R596" ca="1">INDIRECT("'"&amp;$C596&amp;"'!"&amp;"$"&amp;$D596&amp;$R$1&amp;"")</f>
        <v>6.6</v>
      </c>
      <c r="S596" s="296"/>
      <c r="T596" s="296">
        <v>0.91</v>
      </c>
      <c r="U596" s="294">
        <v>3.04</v>
      </c>
      <c r="V596" s="295" cm="1">
        <f t="array" aca="1" ref="V596" ca="1">INDIRECT("'"&amp;$C596&amp;"'!"&amp;"$"&amp;$D596&amp;$V$1&amp;"")</f>
        <v>2.8</v>
      </c>
      <c r="W596" s="296">
        <f>3.8*3.46</f>
        <v>13.148</v>
      </c>
      <c r="X596" s="296">
        <v>0.91</v>
      </c>
      <c r="Y596" s="297">
        <v>1.22</v>
      </c>
      <c r="Z596" s="293" cm="1">
        <f t="array" aca="1" ref="Z596" ca="1">INDIRECT("'"&amp;$C596&amp;"'!"&amp;"$"&amp;$D596&amp;$Z$1&amp;"")</f>
        <v>0</v>
      </c>
      <c r="AA596" s="296" t="s">
        <v>1</v>
      </c>
      <c r="AB596" s="296" t="s">
        <v>1</v>
      </c>
      <c r="AC596" s="294" t="s">
        <v>1</v>
      </c>
      <c r="AD596" s="295" cm="1">
        <f t="array" aca="1" ref="AD596" ca="1">INDIRECT("'"&amp;$C596&amp;"'!"&amp;"$"&amp;$D596&amp;$AD$1&amp;"")</f>
        <v>3.8</v>
      </c>
      <c r="AE596" s="296">
        <f>3.8*3.46</f>
        <v>13.148</v>
      </c>
      <c r="AF596" s="296">
        <v>0.9</v>
      </c>
      <c r="AG596" s="297">
        <v>1.85</v>
      </c>
      <c r="AH596" s="293" cm="1">
        <f t="array" aca="1" ref="AH596" ca="1">INDIRECT("'"&amp;$C596&amp;"'!"&amp;"$"&amp;$D596&amp;$AH$1&amp;"")</f>
        <v>3.8</v>
      </c>
      <c r="AI596" s="296">
        <v>14.16</v>
      </c>
      <c r="AJ596" s="296">
        <v>0.93</v>
      </c>
      <c r="AK596" s="294">
        <v>1.38</v>
      </c>
      <c r="AL596" s="293">
        <v>11.9</v>
      </c>
      <c r="AM596" s="297">
        <v>70.900000000000006</v>
      </c>
      <c r="AN596" s="293" cm="1">
        <f t="array" aca="1" ref="AN596" ca="1">INDIRECT("'"&amp;$C596&amp;"'!"&amp;"$"&amp;$D596&amp;$AL$1&amp;"")</f>
        <v>4</v>
      </c>
      <c r="AO596" s="296">
        <v>0.98</v>
      </c>
      <c r="AP596" s="294">
        <v>0.6</v>
      </c>
      <c r="AQ596" s="295" cm="1">
        <f t="array" aca="1" ref="AQ596" ca="1">INDIRECT("'"&amp;$C596&amp;"'!"&amp;"$"&amp;$D596&amp;$AQ$1&amp;"")</f>
        <v>4</v>
      </c>
      <c r="AR596" s="296">
        <v>0.98</v>
      </c>
      <c r="AS596" s="294">
        <v>0.6</v>
      </c>
      <c r="AT596" s="296" cm="1">
        <f t="array" aca="1" ref="AT596" ca="1">INDIRECT("'"&amp;$C596&amp;"'!"&amp;"$"&amp;$D596&amp;$AT$1&amp;"")</f>
        <v>3.8</v>
      </c>
      <c r="AU596" s="295">
        <v>13.9</v>
      </c>
      <c r="AV596" s="296">
        <v>0.97</v>
      </c>
      <c r="AW596" s="294">
        <v>0.8</v>
      </c>
      <c r="AX596" s="298">
        <v>14.43</v>
      </c>
      <c r="AY596" s="297">
        <v>72.13</v>
      </c>
      <c r="AZ596" s="298" cm="1">
        <f t="array" aca="1" ref="AZ596" ca="1">INDIRECT("'"&amp;$C596&amp;"'!"&amp;"$"&amp;$D596&amp;$AZ$1&amp;"")</f>
        <v>14.29</v>
      </c>
      <c r="BA596" s="296">
        <v>0.96</v>
      </c>
      <c r="BB596" s="294">
        <v>4.5999999999999996</v>
      </c>
      <c r="BC596" s="299">
        <v>67.900000000000006</v>
      </c>
      <c r="BD596" s="293" cm="1">
        <f t="array" aca="1" ref="BD596" ca="1">INDIRECT("'"&amp;$C596&amp;"'!"&amp;"$"&amp;$D596&amp;$BC$1&amp;"")</f>
        <v>4.8</v>
      </c>
      <c r="BE596" s="295">
        <v>0.95</v>
      </c>
      <c r="BF596" s="294">
        <v>1.5</v>
      </c>
      <c r="BG596" s="298" cm="1">
        <f t="array" aca="1" ref="BG596" ca="1">INDIRECT("'"&amp;$C596&amp;"'!"&amp;"$"&amp;$D596&amp;$BG$1&amp;"")</f>
        <v>1.56</v>
      </c>
      <c r="BH596" s="296"/>
      <c r="BI596" s="296">
        <v>0.99</v>
      </c>
      <c r="BJ596" s="294">
        <v>0.24</v>
      </c>
      <c r="BK596" s="299" cm="1">
        <f t="array" aca="1" ref="BK596" ca="1">INDIRECT("'"&amp;$C596&amp;"'!"&amp;"$"&amp;$D596&amp;$BK$1&amp;"")</f>
        <v>0.9</v>
      </c>
      <c r="BL596" s="296"/>
      <c r="BM596" s="296">
        <v>0.96</v>
      </c>
      <c r="BN596" s="294">
        <v>0.26</v>
      </c>
    </row>
    <row r="597" spans="1:66" ht="14.45" thickBot="1">
      <c r="A597" s="360">
        <v>45771</v>
      </c>
      <c r="B597" s="358">
        <v>0.70833333333333404</v>
      </c>
      <c r="C597" s="313">
        <f t="shared" si="23"/>
        <v>24</v>
      </c>
      <c r="D597" s="314" t="s">
        <v>144</v>
      </c>
      <c r="E597" s="286">
        <v>14.2</v>
      </c>
      <c r="F597" s="287">
        <v>69.58</v>
      </c>
      <c r="G597" s="288" cm="1">
        <f t="array" aca="1" ref="G597" ca="1">INDIRECT("'"&amp;$C597&amp;"'!"&amp;"$"&amp;$D597&amp;$E$1&amp;"")</f>
        <v>6.6</v>
      </c>
      <c r="H597" s="289">
        <v>0.9</v>
      </c>
      <c r="I597" s="287">
        <v>3.15</v>
      </c>
      <c r="J597" s="288" cm="1">
        <f t="array" aca="1" ref="J597" ca="1">INDIRECT("'"&amp;$C597&amp;"'!"&amp;"$"&amp;$D597&amp;$J$1&amp;"")</f>
        <v>6.6</v>
      </c>
      <c r="K597" s="289"/>
      <c r="L597" s="289">
        <v>0.9</v>
      </c>
      <c r="M597" s="287">
        <v>3.13</v>
      </c>
      <c r="N597" s="288" cm="1">
        <f t="array" aca="1" ref="N597" ca="1">INDIRECT("'"&amp;$C597&amp;"'!"&amp;"$"&amp;$D597&amp;$N$1&amp;"")</f>
        <v>6.6</v>
      </c>
      <c r="O597" s="289"/>
      <c r="P597" s="289">
        <v>0.9</v>
      </c>
      <c r="Q597" s="287">
        <v>3.18</v>
      </c>
      <c r="R597" s="288" cm="1">
        <f t="array" aca="1" ref="R597" ca="1">INDIRECT("'"&amp;$C597&amp;"'!"&amp;"$"&amp;$D597&amp;$R$1&amp;"")</f>
        <v>6.6</v>
      </c>
      <c r="S597" s="289"/>
      <c r="T597" s="289">
        <v>0.9</v>
      </c>
      <c r="U597" s="287">
        <v>3.16</v>
      </c>
      <c r="V597" s="288" cm="1">
        <f t="array" aca="1" ref="V597" ca="1">INDIRECT("'"&amp;$C597&amp;"'!"&amp;"$"&amp;$D597&amp;$V$1&amp;"")</f>
        <v>2.8</v>
      </c>
      <c r="W597" s="289">
        <f>3.8*3.46</f>
        <v>13.148</v>
      </c>
      <c r="X597" s="289">
        <v>0.91</v>
      </c>
      <c r="Y597" s="290">
        <v>1.24</v>
      </c>
      <c r="Z597" s="286" cm="1">
        <f t="array" aca="1" ref="Z597" ca="1">INDIRECT("'"&amp;$C597&amp;"'!"&amp;"$"&amp;$D597&amp;$Z$1&amp;"")</f>
        <v>0</v>
      </c>
      <c r="AA597" s="289" t="s">
        <v>1</v>
      </c>
      <c r="AB597" s="289" t="s">
        <v>1</v>
      </c>
      <c r="AC597" s="287" t="s">
        <v>1</v>
      </c>
      <c r="AD597" s="288" cm="1">
        <f t="array" aca="1" ref="AD597" ca="1">INDIRECT("'"&amp;$C597&amp;"'!"&amp;"$"&amp;$D597&amp;$AD$1&amp;"")</f>
        <v>3.8</v>
      </c>
      <c r="AE597" s="289">
        <f>3.8*3.46</f>
        <v>13.148</v>
      </c>
      <c r="AF597" s="289">
        <v>0.91</v>
      </c>
      <c r="AG597" s="290">
        <v>1.74</v>
      </c>
      <c r="AH597" s="286" cm="1">
        <f t="array" aca="1" ref="AH597" ca="1">INDIRECT("'"&amp;$C597&amp;"'!"&amp;"$"&amp;$D597&amp;$AH$1&amp;"")</f>
        <v>3.8</v>
      </c>
      <c r="AI597" s="289">
        <v>14.16</v>
      </c>
      <c r="AJ597" s="289">
        <v>0.93</v>
      </c>
      <c r="AK597" s="287">
        <v>1.32</v>
      </c>
      <c r="AL597" s="286">
        <v>11.9</v>
      </c>
      <c r="AM597" s="290">
        <v>70.900000000000006</v>
      </c>
      <c r="AN597" s="286" cm="1">
        <f t="array" aca="1" ref="AN597" ca="1">INDIRECT("'"&amp;$C597&amp;"'!"&amp;"$"&amp;$D597&amp;$AL$1&amp;"")</f>
        <v>4</v>
      </c>
      <c r="AO597" s="289">
        <v>0.9</v>
      </c>
      <c r="AP597" s="287">
        <v>0.45</v>
      </c>
      <c r="AQ597" s="288" cm="1">
        <f t="array" aca="1" ref="AQ597" ca="1">INDIRECT("'"&amp;$C597&amp;"'!"&amp;"$"&amp;$D597&amp;$AQ$1&amp;"")</f>
        <v>4</v>
      </c>
      <c r="AR597" s="289">
        <v>0.9</v>
      </c>
      <c r="AS597" s="287">
        <v>0.45</v>
      </c>
      <c r="AT597" s="289" cm="1">
        <f t="array" aca="1" ref="AT597" ca="1">INDIRECT("'"&amp;$C597&amp;"'!"&amp;"$"&amp;$D597&amp;$AT$1&amp;"")</f>
        <v>3.7</v>
      </c>
      <c r="AU597" s="288">
        <v>13.8</v>
      </c>
      <c r="AV597" s="289">
        <v>0.92</v>
      </c>
      <c r="AW597" s="287">
        <v>0.9</v>
      </c>
      <c r="AX597" s="291">
        <v>14.42</v>
      </c>
      <c r="AY597" s="290">
        <v>72.06</v>
      </c>
      <c r="AZ597" s="291" cm="1">
        <f t="array" aca="1" ref="AZ597" ca="1">INDIRECT("'"&amp;$C597&amp;"'!"&amp;"$"&amp;$D597&amp;$AZ$1&amp;"")</f>
        <v>14.27</v>
      </c>
      <c r="BA597" s="289">
        <v>0.96</v>
      </c>
      <c r="BB597" s="287">
        <v>4.5999999999999996</v>
      </c>
      <c r="BC597" s="292">
        <v>67.8</v>
      </c>
      <c r="BD597" s="286" cm="1">
        <f t="array" aca="1" ref="BD597" ca="1">INDIRECT("'"&amp;$C597&amp;"'!"&amp;"$"&amp;$D597&amp;$BC$1&amp;"")</f>
        <v>3.2</v>
      </c>
      <c r="BE597" s="288">
        <v>0.95</v>
      </c>
      <c r="BF597" s="287">
        <v>0.94</v>
      </c>
      <c r="BG597" s="291" cm="1">
        <f t="array" aca="1" ref="BG597" ca="1">INDIRECT("'"&amp;$C597&amp;"'!"&amp;"$"&amp;$D597&amp;$BG$1&amp;"")</f>
        <v>1.53</v>
      </c>
      <c r="BH597" s="289"/>
      <c r="BI597" s="289">
        <v>0.99</v>
      </c>
      <c r="BJ597" s="287">
        <v>0.22</v>
      </c>
      <c r="BK597" s="292" cm="1">
        <f t="array" aca="1" ref="BK597" ca="1">INDIRECT("'"&amp;$C597&amp;"'!"&amp;"$"&amp;$D597&amp;$BK$1&amp;"")</f>
        <v>0.9</v>
      </c>
      <c r="BL597" s="289"/>
      <c r="BM597" s="289">
        <v>0.96</v>
      </c>
      <c r="BN597" s="287">
        <v>0.25</v>
      </c>
    </row>
    <row r="598" spans="1:66" ht="14.45" thickBot="1">
      <c r="A598" s="360">
        <v>45771</v>
      </c>
      <c r="B598" s="358">
        <v>0.750000000000001</v>
      </c>
      <c r="C598" s="313">
        <f t="shared" si="23"/>
        <v>24</v>
      </c>
      <c r="D598" s="314" t="s">
        <v>145</v>
      </c>
      <c r="E598" s="293">
        <v>14.1</v>
      </c>
      <c r="F598" s="294">
        <v>69.5</v>
      </c>
      <c r="G598" s="295" cm="1">
        <f t="array" aca="1" ref="G598" ca="1">INDIRECT("'"&amp;$C598&amp;"'!"&amp;"$"&amp;$D598&amp;$E$1&amp;"")</f>
        <v>6.7</v>
      </c>
      <c r="H598" s="296">
        <v>0.92</v>
      </c>
      <c r="I598" s="294">
        <v>2.94</v>
      </c>
      <c r="J598" s="295" cm="1">
        <f t="array" aca="1" ref="J598" ca="1">INDIRECT("'"&amp;$C598&amp;"'!"&amp;"$"&amp;$D598&amp;$J$1&amp;"")</f>
        <v>6.7</v>
      </c>
      <c r="K598" s="296"/>
      <c r="L598" s="296">
        <v>0.92</v>
      </c>
      <c r="M598" s="294">
        <v>2.91</v>
      </c>
      <c r="N598" s="295" cm="1">
        <f t="array" aca="1" ref="N598" ca="1">INDIRECT("'"&amp;$C598&amp;"'!"&amp;"$"&amp;$D598&amp;$N$1&amp;"")</f>
        <v>6.7</v>
      </c>
      <c r="O598" s="296"/>
      <c r="P598" s="296">
        <v>0.92</v>
      </c>
      <c r="Q598" s="294">
        <v>2.98</v>
      </c>
      <c r="R598" s="295" cm="1">
        <f t="array" aca="1" ref="R598" ca="1">INDIRECT("'"&amp;$C598&amp;"'!"&amp;"$"&amp;$D598&amp;$R$1&amp;"")</f>
        <v>6.7</v>
      </c>
      <c r="S598" s="296"/>
      <c r="T598" s="296">
        <v>0.92</v>
      </c>
      <c r="U598" s="294">
        <v>2.93</v>
      </c>
      <c r="V598" s="295" cm="1">
        <f t="array" aca="1" ref="V598" ca="1">INDIRECT("'"&amp;$C598&amp;"'!"&amp;"$"&amp;$D598&amp;$V$1&amp;"")</f>
        <v>2.8</v>
      </c>
      <c r="W598" s="296">
        <f>3.8*3.5</f>
        <v>13.299999999999999</v>
      </c>
      <c r="X598" s="296">
        <v>0.92</v>
      </c>
      <c r="Y598" s="297">
        <v>1.17</v>
      </c>
      <c r="Z598" s="293" cm="1">
        <f t="array" aca="1" ref="Z598" ca="1">INDIRECT("'"&amp;$C598&amp;"'!"&amp;"$"&amp;$D598&amp;$Z$1&amp;"")</f>
        <v>0</v>
      </c>
      <c r="AA598" s="296" t="s">
        <v>1</v>
      </c>
      <c r="AB598" s="296" t="s">
        <v>1</v>
      </c>
      <c r="AC598" s="294" t="s">
        <v>1</v>
      </c>
      <c r="AD598" s="295" cm="1">
        <f t="array" aca="1" ref="AD598" ca="1">INDIRECT("'"&amp;$C598&amp;"'!"&amp;"$"&amp;$D598&amp;$AD$1&amp;"")</f>
        <v>3.8</v>
      </c>
      <c r="AE598" s="296">
        <f>3.8*3.5</f>
        <v>13.299999999999999</v>
      </c>
      <c r="AF598" s="296">
        <v>0.92</v>
      </c>
      <c r="AG598" s="297">
        <v>1.6</v>
      </c>
      <c r="AH598" s="293" cm="1">
        <f t="array" aca="1" ref="AH598" ca="1">INDIRECT("'"&amp;$C598&amp;"'!"&amp;"$"&amp;$D598&amp;$AH$1&amp;"")</f>
        <v>3.8</v>
      </c>
      <c r="AI598" s="296">
        <v>14.012</v>
      </c>
      <c r="AJ598" s="296">
        <v>0.94</v>
      </c>
      <c r="AK598" s="294">
        <v>1.1100000000000001</v>
      </c>
      <c r="AL598" s="293">
        <v>11.8</v>
      </c>
      <c r="AM598" s="297">
        <v>70.599999999999994</v>
      </c>
      <c r="AN598" s="293" cm="1">
        <f t="array" aca="1" ref="AN598" ca="1">INDIRECT("'"&amp;$C598&amp;"'!"&amp;"$"&amp;$D598&amp;$AL$1&amp;"")</f>
        <v>3</v>
      </c>
      <c r="AO598" s="296">
        <v>0.99</v>
      </c>
      <c r="AP598" s="294">
        <v>0.66</v>
      </c>
      <c r="AQ598" s="295" cm="1">
        <f t="array" aca="1" ref="AQ598" ca="1">INDIRECT("'"&amp;$C598&amp;"'!"&amp;"$"&amp;$D598&amp;$AQ$1&amp;"")</f>
        <v>3</v>
      </c>
      <c r="AR598" s="296">
        <v>0.99</v>
      </c>
      <c r="AS598" s="294">
        <v>0.66</v>
      </c>
      <c r="AT598" s="296" cm="1">
        <f t="array" aca="1" ref="AT598" ca="1">INDIRECT("'"&amp;$C598&amp;"'!"&amp;"$"&amp;$D598&amp;$AT$1&amp;"")</f>
        <v>3</v>
      </c>
      <c r="AU598" s="295">
        <v>13.8</v>
      </c>
      <c r="AV598" s="296">
        <v>0.97</v>
      </c>
      <c r="AW598" s="294">
        <v>0.8</v>
      </c>
      <c r="AX598" s="298">
        <v>14.4</v>
      </c>
      <c r="AY598" s="297">
        <v>72.06</v>
      </c>
      <c r="AZ598" s="298" cm="1">
        <f t="array" aca="1" ref="AZ598" ca="1">INDIRECT("'"&amp;$C598&amp;"'!"&amp;"$"&amp;$D598&amp;$AZ$1&amp;"")</f>
        <v>13.81</v>
      </c>
      <c r="BA598" s="296">
        <v>0.96</v>
      </c>
      <c r="BB598" s="294">
        <v>4.4000000000000004</v>
      </c>
      <c r="BC598" s="299">
        <v>67.900000000000006</v>
      </c>
      <c r="BD598" s="293" cm="1">
        <f t="array" aca="1" ref="BD598" ca="1">INDIRECT("'"&amp;$C598&amp;"'!"&amp;"$"&amp;$D598&amp;$BC$1&amp;"")</f>
        <v>1.6</v>
      </c>
      <c r="BE598" s="295">
        <v>0.96</v>
      </c>
      <c r="BF598" s="294">
        <v>0.46</v>
      </c>
      <c r="BG598" s="298" cm="1">
        <f t="array" aca="1" ref="BG598" ca="1">INDIRECT("'"&amp;$C598&amp;"'!"&amp;"$"&amp;$D598&amp;$BG$1&amp;"")</f>
        <v>0.95333333333333325</v>
      </c>
      <c r="BH598" s="296"/>
      <c r="BI598" s="296">
        <v>0.99</v>
      </c>
      <c r="BJ598" s="294">
        <v>0.22</v>
      </c>
      <c r="BK598" s="299" cm="1">
        <f t="array" aca="1" ref="BK598" ca="1">INDIRECT("'"&amp;$C598&amp;"'!"&amp;"$"&amp;$D598&amp;$BK$1&amp;"")</f>
        <v>0.88</v>
      </c>
      <c r="BL598" s="296"/>
      <c r="BM598" s="296">
        <v>0.96</v>
      </c>
      <c r="BN598" s="294">
        <v>0.25</v>
      </c>
    </row>
    <row r="599" spans="1:66" ht="14.45" thickBot="1">
      <c r="A599" s="360">
        <v>45771</v>
      </c>
      <c r="B599" s="358">
        <v>0.79166666666666663</v>
      </c>
      <c r="C599" s="313">
        <f t="shared" si="23"/>
        <v>24</v>
      </c>
      <c r="D599" s="314" t="s">
        <v>146</v>
      </c>
      <c r="E599" s="286">
        <v>14.1</v>
      </c>
      <c r="F599" s="287">
        <v>69.819999999999993</v>
      </c>
      <c r="G599" s="288" cm="1">
        <f t="array" aca="1" ref="G599" ca="1">INDIRECT("'"&amp;$C599&amp;"'!"&amp;"$"&amp;$D599&amp;$E$1&amp;"")</f>
        <v>6.7</v>
      </c>
      <c r="H599" s="289">
        <v>0.92</v>
      </c>
      <c r="I599" s="287">
        <v>3</v>
      </c>
      <c r="J599" s="288" cm="1">
        <f t="array" aca="1" ref="J599" ca="1">INDIRECT("'"&amp;$C599&amp;"'!"&amp;"$"&amp;$D599&amp;$J$1&amp;"")</f>
        <v>6.7</v>
      </c>
      <c r="K599" s="300"/>
      <c r="L599" s="289">
        <v>0.92</v>
      </c>
      <c r="M599" s="287">
        <v>2.95</v>
      </c>
      <c r="N599" s="288" cm="1">
        <f t="array" aca="1" ref="N599" ca="1">INDIRECT("'"&amp;$C599&amp;"'!"&amp;"$"&amp;$D599&amp;$N$1&amp;"")</f>
        <v>6.7</v>
      </c>
      <c r="O599" s="289"/>
      <c r="P599" s="289">
        <v>0.92</v>
      </c>
      <c r="Q599" s="287">
        <v>2.97</v>
      </c>
      <c r="R599" s="288" cm="1">
        <f t="array" aca="1" ref="R599" ca="1">INDIRECT("'"&amp;$C599&amp;"'!"&amp;"$"&amp;$D599&amp;$R$1&amp;"")</f>
        <v>6.7</v>
      </c>
      <c r="S599" s="289"/>
      <c r="T599" s="289">
        <v>0.92</v>
      </c>
      <c r="U599" s="287">
        <v>2.96</v>
      </c>
      <c r="V599" s="288" cm="1">
        <f t="array" aca="1" ref="V599" ca="1">INDIRECT("'"&amp;$C599&amp;"'!"&amp;"$"&amp;$D599&amp;$V$1&amp;"")</f>
        <v>2.8</v>
      </c>
      <c r="W599" s="289">
        <f>3.49*3.8</f>
        <v>13.262</v>
      </c>
      <c r="X599" s="289">
        <v>0.95</v>
      </c>
      <c r="Y599" s="290">
        <v>0.89</v>
      </c>
      <c r="Z599" s="286" cm="1">
        <f t="array" aca="1" ref="Z599" ca="1">INDIRECT("'"&amp;$C599&amp;"'!"&amp;"$"&amp;$D599&amp;$Z$1&amp;"")</f>
        <v>0</v>
      </c>
      <c r="AA599" s="289" t="s">
        <v>1</v>
      </c>
      <c r="AB599" s="289" t="s">
        <v>1</v>
      </c>
      <c r="AC599" s="287" t="s">
        <v>1</v>
      </c>
      <c r="AD599" s="288" cm="1">
        <f t="array" aca="1" ref="AD599" ca="1">INDIRECT("'"&amp;$C599&amp;"'!"&amp;"$"&amp;$D599&amp;$AD$1&amp;"")</f>
        <v>3.8</v>
      </c>
      <c r="AE599" s="289">
        <f>3.49*3.8</f>
        <v>13.262</v>
      </c>
      <c r="AF599" s="289">
        <v>0.93</v>
      </c>
      <c r="AG599" s="290">
        <v>1.46</v>
      </c>
      <c r="AH599" s="286" cm="1">
        <f t="array" aca="1" ref="AH599" ca="1">INDIRECT("'"&amp;$C599&amp;"'!"&amp;"$"&amp;$D599&amp;$AH$1&amp;"")</f>
        <v>3.8</v>
      </c>
      <c r="AI599" s="289">
        <v>14.11</v>
      </c>
      <c r="AJ599" s="289">
        <v>0.95</v>
      </c>
      <c r="AK599" s="287">
        <v>1.02</v>
      </c>
      <c r="AL599" s="286">
        <v>11.9</v>
      </c>
      <c r="AM599" s="290">
        <v>70.8</v>
      </c>
      <c r="AN599" s="286" cm="1">
        <f t="array" aca="1" ref="AN599" ca="1">INDIRECT("'"&amp;$C599&amp;"'!"&amp;"$"&amp;$D599&amp;$AL$1&amp;"")</f>
        <v>4</v>
      </c>
      <c r="AO599" s="289">
        <v>0.98</v>
      </c>
      <c r="AP599" s="287">
        <v>0.68</v>
      </c>
      <c r="AQ599" s="288" cm="1">
        <f t="array" aca="1" ref="AQ599" ca="1">INDIRECT("'"&amp;$C599&amp;"'!"&amp;"$"&amp;$D599&amp;$AQ$1&amp;"")</f>
        <v>4</v>
      </c>
      <c r="AR599" s="289">
        <v>0.98</v>
      </c>
      <c r="AS599" s="287">
        <v>0.68</v>
      </c>
      <c r="AT599" s="289" cm="1">
        <f t="array" aca="1" ref="AT599" ca="1">INDIRECT("'"&amp;$C599&amp;"'!"&amp;"$"&amp;$D599&amp;$AT$1&amp;"")</f>
        <v>4.3</v>
      </c>
      <c r="AU599" s="288">
        <v>13.8</v>
      </c>
      <c r="AV599" s="289">
        <v>0.99</v>
      </c>
      <c r="AW599" s="287">
        <v>0.6</v>
      </c>
      <c r="AX599" s="291">
        <v>14.44</v>
      </c>
      <c r="AY599" s="290">
        <v>72.14</v>
      </c>
      <c r="AZ599" s="291" cm="1">
        <f t="array" aca="1" ref="AZ599" ca="1">INDIRECT("'"&amp;$C599&amp;"'!"&amp;"$"&amp;$D599&amp;$AZ$1&amp;"")</f>
        <v>14.33</v>
      </c>
      <c r="BA599" s="289">
        <v>0.96</v>
      </c>
      <c r="BB599" s="287">
        <v>4.5999999999999996</v>
      </c>
      <c r="BC599" s="292">
        <v>68.099999999999994</v>
      </c>
      <c r="BD599" s="286" cm="1">
        <f t="array" aca="1" ref="BD599" ca="1">INDIRECT("'"&amp;$C599&amp;"'!"&amp;"$"&amp;$D599&amp;$BC$1&amp;"")</f>
        <v>0.9</v>
      </c>
      <c r="BE599" s="288">
        <v>0.96</v>
      </c>
      <c r="BF599" s="287">
        <v>0.27</v>
      </c>
      <c r="BG599" s="291" cm="1">
        <f t="array" aca="1" ref="BG599" ca="1">INDIRECT("'"&amp;$C599&amp;"'!"&amp;"$"&amp;$D599&amp;$BG$1&amp;"")</f>
        <v>1.6300000000000001</v>
      </c>
      <c r="BH599" s="289"/>
      <c r="BI599" s="289">
        <v>0.99</v>
      </c>
      <c r="BJ599" s="287">
        <v>0.22</v>
      </c>
      <c r="BK599" s="292" cm="1">
        <f t="array" aca="1" ref="BK599" ca="1">INDIRECT("'"&amp;$C599&amp;"'!"&amp;"$"&amp;$D599&amp;$BK$1&amp;"")</f>
        <v>0.97</v>
      </c>
      <c r="BL599" s="289"/>
      <c r="BM599" s="289">
        <v>0.96</v>
      </c>
      <c r="BN599" s="287">
        <v>0.26</v>
      </c>
    </row>
    <row r="600" spans="1:66" ht="14.45" thickBot="1">
      <c r="A600" s="360">
        <v>45771</v>
      </c>
      <c r="B600" s="358">
        <v>0.83333333333333337</v>
      </c>
      <c r="C600" s="313">
        <f t="shared" si="23"/>
        <v>24</v>
      </c>
      <c r="D600" s="314" t="s">
        <v>147</v>
      </c>
      <c r="E600" s="293">
        <v>14.1</v>
      </c>
      <c r="F600" s="294">
        <v>69.2</v>
      </c>
      <c r="G600" s="295" cm="1">
        <f t="array" aca="1" ref="G600" ca="1">INDIRECT("'"&amp;$C600&amp;"'!"&amp;"$"&amp;$D600&amp;$E$1&amp;"")</f>
        <v>6.5</v>
      </c>
      <c r="H600" s="296">
        <v>0.97</v>
      </c>
      <c r="I600" s="294">
        <v>1.58</v>
      </c>
      <c r="J600" s="295" cm="1">
        <f t="array" aca="1" ref="J600" ca="1">INDIRECT("'"&amp;$C600&amp;"'!"&amp;"$"&amp;$D600&amp;$J$1&amp;"")</f>
        <v>6.5</v>
      </c>
      <c r="K600" s="296"/>
      <c r="L600" s="296">
        <v>0.97</v>
      </c>
      <c r="M600" s="294">
        <v>1.58</v>
      </c>
      <c r="N600" s="295" cm="1">
        <f t="array" aca="1" ref="N600" ca="1">INDIRECT("'"&amp;$C600&amp;"'!"&amp;"$"&amp;$D600&amp;$N$1&amp;"")</f>
        <v>6.5</v>
      </c>
      <c r="O600" s="296"/>
      <c r="P600" s="296">
        <v>0.97</v>
      </c>
      <c r="Q600" s="294">
        <v>1.58</v>
      </c>
      <c r="R600" s="295" cm="1">
        <f t="array" aca="1" ref="R600" ca="1">INDIRECT("'"&amp;$C600&amp;"'!"&amp;"$"&amp;$D600&amp;$R$1&amp;"")</f>
        <v>6.5</v>
      </c>
      <c r="S600" s="296"/>
      <c r="T600" s="296">
        <v>0.97</v>
      </c>
      <c r="U600" s="294">
        <v>1.58</v>
      </c>
      <c r="V600" s="295" cm="1">
        <f t="array" aca="1" ref="V600" ca="1">INDIRECT("'"&amp;$C600&amp;"'!"&amp;"$"&amp;$D600&amp;$V$1&amp;"")</f>
        <v>2.8</v>
      </c>
      <c r="W600" s="296">
        <f>3.51*3.8</f>
        <v>13.337999999999999</v>
      </c>
      <c r="X600" s="296">
        <v>0.95</v>
      </c>
      <c r="Y600" s="297">
        <v>0.85</v>
      </c>
      <c r="Z600" s="293" cm="1">
        <f t="array" aca="1" ref="Z600" ca="1">INDIRECT("'"&amp;$C600&amp;"'!"&amp;"$"&amp;$D600&amp;$Z$1&amp;"")</f>
        <v>0</v>
      </c>
      <c r="AA600" s="296" t="s">
        <v>1</v>
      </c>
      <c r="AB600" s="296" t="s">
        <v>1</v>
      </c>
      <c r="AC600" s="294" t="s">
        <v>1</v>
      </c>
      <c r="AD600" s="295" cm="1">
        <f t="array" aca="1" ref="AD600" ca="1">INDIRECT("'"&amp;$C600&amp;"'!"&amp;"$"&amp;$D600&amp;$AD$1&amp;"")</f>
        <v>3.8</v>
      </c>
      <c r="AE600" s="296">
        <v>13.337999999999999</v>
      </c>
      <c r="AF600" s="296">
        <v>0.95</v>
      </c>
      <c r="AG600" s="297">
        <v>1.22</v>
      </c>
      <c r="AH600" s="293" cm="1">
        <f t="array" aca="1" ref="AH600" ca="1">INDIRECT("'"&amp;$C600&amp;"'!"&amp;"$"&amp;$D600&amp;$AH$1&amp;"")</f>
        <v>3.8</v>
      </c>
      <c r="AI600" s="296">
        <v>14.08</v>
      </c>
      <c r="AJ600" s="296">
        <v>0.95</v>
      </c>
      <c r="AK600" s="294">
        <v>0.96</v>
      </c>
      <c r="AL600" s="293">
        <v>11.9</v>
      </c>
      <c r="AM600" s="297">
        <v>70.7</v>
      </c>
      <c r="AN600" s="293" cm="1">
        <f t="array" aca="1" ref="AN600" ca="1">INDIRECT("'"&amp;$C600&amp;"'!"&amp;"$"&amp;$D600&amp;$AL$1&amp;"")</f>
        <v>4</v>
      </c>
      <c r="AO600" s="296">
        <v>0.99</v>
      </c>
      <c r="AP600" s="294">
        <v>0.55000000000000004</v>
      </c>
      <c r="AQ600" s="295" cm="1">
        <f t="array" aca="1" ref="AQ600" ca="1">INDIRECT("'"&amp;$C600&amp;"'!"&amp;"$"&amp;$D600&amp;$AQ$1&amp;"")</f>
        <v>4</v>
      </c>
      <c r="AR600" s="296">
        <v>0.99</v>
      </c>
      <c r="AS600" s="294">
        <v>0.55000000000000004</v>
      </c>
      <c r="AT600" s="296" cm="1">
        <f t="array" aca="1" ref="AT600" ca="1">INDIRECT("'"&amp;$C600&amp;"'!"&amp;"$"&amp;$D600&amp;$AT$1&amp;"")</f>
        <v>3</v>
      </c>
      <c r="AU600" s="295">
        <v>13.8</v>
      </c>
      <c r="AV600" s="296">
        <v>0.98</v>
      </c>
      <c r="AW600" s="294">
        <v>0.6</v>
      </c>
      <c r="AX600" s="298">
        <v>14.42</v>
      </c>
      <c r="AY600" s="297">
        <v>72.12</v>
      </c>
      <c r="AZ600" s="298" cm="1">
        <f t="array" aca="1" ref="AZ600" ca="1">INDIRECT("'"&amp;$C600&amp;"'!"&amp;"$"&amp;$D600&amp;$AZ$1&amp;"")</f>
        <v>14.31</v>
      </c>
      <c r="BA600" s="296">
        <v>0.96</v>
      </c>
      <c r="BB600" s="294">
        <v>4.5999999999999996</v>
      </c>
      <c r="BC600" s="299">
        <v>68.099999999999994</v>
      </c>
      <c r="BD600" s="293" cm="1">
        <f t="array" aca="1" ref="BD600" ca="1">INDIRECT("'"&amp;$C600&amp;"'!"&amp;"$"&amp;$D600&amp;$BC$1&amp;"")</f>
        <v>0</v>
      </c>
      <c r="BE600" s="295" t="s">
        <v>1</v>
      </c>
      <c r="BF600" s="294" t="s">
        <v>1</v>
      </c>
      <c r="BG600" s="298" cm="1">
        <f t="array" aca="1" ref="BG600" ca="1">INDIRECT("'"&amp;$C600&amp;"'!"&amp;"$"&amp;$D600&amp;$BG$1&amp;"")</f>
        <v>1.53</v>
      </c>
      <c r="BH600" s="296"/>
      <c r="BI600" s="296">
        <v>0.99</v>
      </c>
      <c r="BJ600" s="294">
        <v>0.17</v>
      </c>
      <c r="BK600" s="299" cm="1">
        <f t="array" aca="1" ref="BK600" ca="1">INDIRECT("'"&amp;$C600&amp;"'!"&amp;"$"&amp;$D600&amp;$BK$1&amp;"")</f>
        <v>1</v>
      </c>
      <c r="BL600" s="296"/>
      <c r="BM600" s="296">
        <v>0.97</v>
      </c>
      <c r="BN600" s="294">
        <v>0.25</v>
      </c>
    </row>
    <row r="601" spans="1:66" ht="14.45" thickBot="1">
      <c r="A601" s="360">
        <v>45771</v>
      </c>
      <c r="B601" s="358">
        <v>0.875000000000001</v>
      </c>
      <c r="C601" s="313">
        <f t="shared" si="23"/>
        <v>24</v>
      </c>
      <c r="D601" s="314" t="s">
        <v>148</v>
      </c>
      <c r="E601" s="286">
        <v>14.1</v>
      </c>
      <c r="F601" s="287">
        <v>69.349999999999994</v>
      </c>
      <c r="G601" s="288" cm="1">
        <f t="array" aca="1" ref="G601" ca="1">INDIRECT("'"&amp;$C601&amp;"'!"&amp;"$"&amp;$D601&amp;$E$1&amp;"")</f>
        <v>6.7</v>
      </c>
      <c r="H601" s="289">
        <v>0.97</v>
      </c>
      <c r="I601" s="287">
        <v>1.63</v>
      </c>
      <c r="J601" s="288" cm="1">
        <f t="array" aca="1" ref="J601" ca="1">INDIRECT("'"&amp;$C601&amp;"'!"&amp;"$"&amp;$D601&amp;$J$1&amp;"")</f>
        <v>6.7</v>
      </c>
      <c r="K601" s="289"/>
      <c r="L601" s="289">
        <v>0.97</v>
      </c>
      <c r="M601" s="287">
        <v>1.63</v>
      </c>
      <c r="N601" s="288" cm="1">
        <f t="array" aca="1" ref="N601" ca="1">INDIRECT("'"&amp;$C601&amp;"'!"&amp;"$"&amp;$D601&amp;$N$1&amp;"")</f>
        <v>6.7</v>
      </c>
      <c r="O601" s="289"/>
      <c r="P601" s="289">
        <v>0.97</v>
      </c>
      <c r="Q601" s="287">
        <v>1.63</v>
      </c>
      <c r="R601" s="288" cm="1">
        <f t="array" aca="1" ref="R601" ca="1">INDIRECT("'"&amp;$C601&amp;"'!"&amp;"$"&amp;$D601&amp;$R$1&amp;"")</f>
        <v>6.7</v>
      </c>
      <c r="S601" s="289"/>
      <c r="T601" s="289">
        <v>0.97</v>
      </c>
      <c r="U601" s="287">
        <v>1.63</v>
      </c>
      <c r="V601" s="288" cm="1">
        <f t="array" aca="1" ref="V601" ca="1">INDIRECT("'"&amp;$C601&amp;"'!"&amp;"$"&amp;$D601&amp;$V$1&amp;"")</f>
        <v>2.8</v>
      </c>
      <c r="W601" s="289">
        <f>3.51*3.8</f>
        <v>13.337999999999999</v>
      </c>
      <c r="X601" s="289">
        <v>0.95</v>
      </c>
      <c r="Y601" s="290">
        <v>0.83</v>
      </c>
      <c r="Z601" s="286" cm="1">
        <f t="array" aca="1" ref="Z601" ca="1">INDIRECT("'"&amp;$C601&amp;"'!"&amp;"$"&amp;$D601&amp;$Z$1&amp;"")</f>
        <v>0</v>
      </c>
      <c r="AA601" s="289" t="s">
        <v>1</v>
      </c>
      <c r="AB601" s="289" t="s">
        <v>1</v>
      </c>
      <c r="AC601" s="287" t="s">
        <v>1</v>
      </c>
      <c r="AD601" s="288" cm="1">
        <f t="array" aca="1" ref="AD601" ca="1">INDIRECT("'"&amp;$C601&amp;"'!"&amp;"$"&amp;$D601&amp;$AD$1&amp;"")</f>
        <v>3</v>
      </c>
      <c r="AE601" s="289">
        <v>13.337999999999999</v>
      </c>
      <c r="AF601" s="289">
        <v>0.95</v>
      </c>
      <c r="AG601" s="290">
        <v>0.91</v>
      </c>
      <c r="AH601" s="286" cm="1">
        <f t="array" aca="1" ref="AH601" ca="1">INDIRECT("'"&amp;$C601&amp;"'!"&amp;"$"&amp;$D601&amp;$AH$1&amp;"")</f>
        <v>3</v>
      </c>
      <c r="AI601" s="289">
        <v>14.08</v>
      </c>
      <c r="AJ601" s="289">
        <v>0.94</v>
      </c>
      <c r="AK601" s="287">
        <v>1</v>
      </c>
      <c r="AL601" s="286">
        <v>11.9</v>
      </c>
      <c r="AM601" s="290">
        <v>70.5</v>
      </c>
      <c r="AN601" s="286" cm="1">
        <f t="array" aca="1" ref="AN601" ca="1">INDIRECT("'"&amp;$C601&amp;"'!"&amp;"$"&amp;$D601&amp;$AL$1&amp;"")</f>
        <v>3.5</v>
      </c>
      <c r="AO601" s="289">
        <v>0.98</v>
      </c>
      <c r="AP601" s="287">
        <v>0.74</v>
      </c>
      <c r="AQ601" s="288" cm="1">
        <f t="array" aca="1" ref="AQ601" ca="1">INDIRECT("'"&amp;$C601&amp;"'!"&amp;"$"&amp;$D601&amp;$AQ$1&amp;"")</f>
        <v>3.5</v>
      </c>
      <c r="AR601" s="289">
        <v>0.98</v>
      </c>
      <c r="AS601" s="287">
        <v>0.74</v>
      </c>
      <c r="AT601" s="289" cm="1">
        <f t="array" aca="1" ref="AT601" ca="1">INDIRECT("'"&amp;$C601&amp;"'!"&amp;"$"&amp;$D601&amp;$AT$1&amp;"")</f>
        <v>0</v>
      </c>
      <c r="AU601" s="288" t="s">
        <v>1</v>
      </c>
      <c r="AV601" s="289" t="s">
        <v>1</v>
      </c>
      <c r="AW601" s="287" t="s">
        <v>1</v>
      </c>
      <c r="AX601" s="291">
        <v>14.31</v>
      </c>
      <c r="AY601" s="290">
        <v>71.959999999999994</v>
      </c>
      <c r="AZ601" s="291" cm="1">
        <f t="array" aca="1" ref="AZ601" ca="1">INDIRECT("'"&amp;$C601&amp;"'!"&amp;"$"&amp;$D601&amp;$AZ$1&amp;"")</f>
        <v>14.29</v>
      </c>
      <c r="BA601" s="289">
        <v>0.98</v>
      </c>
      <c r="BB601" s="287">
        <v>3.5</v>
      </c>
      <c r="BC601" s="292">
        <v>68.3</v>
      </c>
      <c r="BD601" s="286" cm="1">
        <f t="array" aca="1" ref="BD601" ca="1">INDIRECT("'"&amp;$C601&amp;"'!"&amp;"$"&amp;$D601&amp;$BC$1&amp;"")</f>
        <v>0</v>
      </c>
      <c r="BE601" s="288" t="s">
        <v>1</v>
      </c>
      <c r="BF601" s="287" t="s">
        <v>1</v>
      </c>
      <c r="BG601" s="291" cm="1">
        <f t="array" aca="1" ref="BG601" ca="1">INDIRECT("'"&amp;$C601&amp;"'!"&amp;"$"&amp;$D601&amp;$BG$1&amp;"")</f>
        <v>1.48</v>
      </c>
      <c r="BH601" s="289"/>
      <c r="BI601" s="289">
        <v>0.99</v>
      </c>
      <c r="BJ601" s="287">
        <v>0.19</v>
      </c>
      <c r="BK601" s="292" cm="1">
        <f t="array" aca="1" ref="BK601" ca="1">INDIRECT("'"&amp;$C601&amp;"'!"&amp;"$"&amp;$D601&amp;$BK$1&amp;"")</f>
        <v>0.98</v>
      </c>
      <c r="BL601" s="289"/>
      <c r="BM601" s="289">
        <v>0.97</v>
      </c>
      <c r="BN601" s="287">
        <v>0.25</v>
      </c>
    </row>
    <row r="602" spans="1:66" ht="14.45" thickBot="1">
      <c r="A602" s="360">
        <v>45771</v>
      </c>
      <c r="B602" s="358">
        <v>0.91666666666666696</v>
      </c>
      <c r="C602" s="313">
        <f t="shared" si="23"/>
        <v>24</v>
      </c>
      <c r="D602" s="314" t="s">
        <v>149</v>
      </c>
      <c r="E602" s="293">
        <v>14.1</v>
      </c>
      <c r="F602" s="294">
        <v>69.489999999999995</v>
      </c>
      <c r="G602" s="295" cm="1">
        <f t="array" aca="1" ref="G602" ca="1">INDIRECT("'"&amp;$C602&amp;"'!"&amp;"$"&amp;$D602&amp;$E$1&amp;"")</f>
        <v>6.4</v>
      </c>
      <c r="H602" s="296">
        <v>0.96</v>
      </c>
      <c r="I602" s="294">
        <v>1.8</v>
      </c>
      <c r="J602" s="295" cm="1">
        <f t="array" aca="1" ref="J602" ca="1">INDIRECT("'"&amp;$C602&amp;"'!"&amp;"$"&amp;$D602&amp;$J$1&amp;"")</f>
        <v>6.4</v>
      </c>
      <c r="K602" s="296"/>
      <c r="L602" s="296">
        <v>0.96</v>
      </c>
      <c r="M602" s="294">
        <v>1.8</v>
      </c>
      <c r="N602" s="295" cm="1">
        <f t="array" aca="1" ref="N602" ca="1">INDIRECT("'"&amp;$C602&amp;"'!"&amp;"$"&amp;$D602&amp;$N$1&amp;"")</f>
        <v>6.4</v>
      </c>
      <c r="O602" s="296"/>
      <c r="P602" s="296">
        <v>0.96</v>
      </c>
      <c r="Q602" s="294">
        <v>1.8</v>
      </c>
      <c r="R602" s="295" cm="1">
        <f t="array" aca="1" ref="R602" ca="1">INDIRECT("'"&amp;$C602&amp;"'!"&amp;"$"&amp;$D602&amp;$R$1&amp;"")</f>
        <v>6.9</v>
      </c>
      <c r="S602" s="296"/>
      <c r="T602" s="296">
        <v>0.97</v>
      </c>
      <c r="U602" s="294">
        <v>1.85</v>
      </c>
      <c r="V602" s="295" cm="1">
        <f t="array" aca="1" ref="V602" ca="1">INDIRECT("'"&amp;$C602&amp;"'!"&amp;"$"&amp;$D602&amp;$V$1&amp;"")</f>
        <v>2.5</v>
      </c>
      <c r="W602" s="296">
        <f>3.8*3.53</f>
        <v>13.413999999999998</v>
      </c>
      <c r="X602" s="296">
        <v>0.98</v>
      </c>
      <c r="Y602" s="297">
        <v>0.42</v>
      </c>
      <c r="Z602" s="293" cm="1">
        <f t="array" aca="1" ref="Z602" ca="1">INDIRECT("'"&amp;$C602&amp;"'!"&amp;"$"&amp;$D602&amp;$Z$1&amp;"")</f>
        <v>0</v>
      </c>
      <c r="AA602" s="296" t="s">
        <v>1</v>
      </c>
      <c r="AB602" s="296" t="s">
        <v>1</v>
      </c>
      <c r="AC602" s="294" t="s">
        <v>1</v>
      </c>
      <c r="AD602" s="295" cm="1">
        <f t="array" aca="1" ref="AD602" ca="1">INDIRECT("'"&amp;$C602&amp;"'!"&amp;"$"&amp;$D602&amp;$AD$1&amp;"")</f>
        <v>3</v>
      </c>
      <c r="AE602" s="296">
        <f>3.8*3.53</f>
        <v>13.413999999999998</v>
      </c>
      <c r="AF602" s="296">
        <v>0.98</v>
      </c>
      <c r="AG602" s="297">
        <v>0.54</v>
      </c>
      <c r="AH602" s="293" t="str" cm="1">
        <f t="array" aca="1" ref="AH602" ca="1">INDIRECT("'"&amp;$C602&amp;"'!"&amp;"$"&amp;$D602&amp;$AH$1&amp;"")</f>
        <v>CMS</v>
      </c>
      <c r="AI602" s="296" t="s">
        <v>1</v>
      </c>
      <c r="AJ602" s="296" t="s">
        <v>1</v>
      </c>
      <c r="AK602" s="294" t="s">
        <v>1</v>
      </c>
      <c r="AL602" s="293">
        <v>11.9</v>
      </c>
      <c r="AM602" s="297">
        <v>70.400000000000006</v>
      </c>
      <c r="AN602" s="293" cm="1">
        <f t="array" aca="1" ref="AN602" ca="1">INDIRECT("'"&amp;$C602&amp;"'!"&amp;"$"&amp;$D602&amp;$AL$1&amp;"")</f>
        <v>3.8</v>
      </c>
      <c r="AO602" s="296">
        <v>0.97</v>
      </c>
      <c r="AP602" s="294">
        <v>0.9</v>
      </c>
      <c r="AQ602" s="295" cm="1">
        <f t="array" aca="1" ref="AQ602" ca="1">INDIRECT("'"&amp;$C602&amp;"'!"&amp;"$"&amp;$D602&amp;$AQ$1&amp;"")</f>
        <v>3.8</v>
      </c>
      <c r="AR602" s="296">
        <v>0.97</v>
      </c>
      <c r="AS602" s="294">
        <v>0.9</v>
      </c>
      <c r="AT602" s="296" cm="1">
        <f t="array" aca="1" ref="AT602" ca="1">INDIRECT("'"&amp;$C602&amp;"'!"&amp;"$"&amp;$D602&amp;$AT$1&amp;"")</f>
        <v>0</v>
      </c>
      <c r="AU602" s="295" t="s">
        <v>1</v>
      </c>
      <c r="AV602" s="296" t="s">
        <v>1</v>
      </c>
      <c r="AW602" s="294" t="s">
        <v>1</v>
      </c>
      <c r="AX602" s="298">
        <v>14.18</v>
      </c>
      <c r="AY602" s="297">
        <v>71.33</v>
      </c>
      <c r="AZ602" s="298" cm="1">
        <f t="array" aca="1" ref="AZ602" ca="1">INDIRECT("'"&amp;$C602&amp;"'!"&amp;"$"&amp;$D602&amp;$AZ$1&amp;"")</f>
        <v>13.32</v>
      </c>
      <c r="BA602" s="296">
        <v>0.98</v>
      </c>
      <c r="BB602" s="294">
        <v>3.3</v>
      </c>
      <c r="BC602" s="299">
        <v>68.3</v>
      </c>
      <c r="BD602" s="293" cm="1">
        <f t="array" aca="1" ref="BD602" ca="1">INDIRECT("'"&amp;$C602&amp;"'!"&amp;"$"&amp;$D602&amp;$BC$1&amp;"")</f>
        <v>0</v>
      </c>
      <c r="BE602" s="295" t="s">
        <v>1</v>
      </c>
      <c r="BF602" s="294" t="s">
        <v>1</v>
      </c>
      <c r="BG602" s="298" cm="1">
        <f t="array" aca="1" ref="BG602" ca="1">INDIRECT("'"&amp;$C602&amp;"'!"&amp;"$"&amp;$D602&amp;$BG$1&amp;"")</f>
        <v>1.38</v>
      </c>
      <c r="BH602" s="296"/>
      <c r="BI602" s="296">
        <v>0.99</v>
      </c>
      <c r="BJ602" s="294">
        <v>0.19</v>
      </c>
      <c r="BK602" s="299" cm="1">
        <f t="array" aca="1" ref="BK602" ca="1">INDIRECT("'"&amp;$C602&amp;"'!"&amp;"$"&amp;$D602&amp;$BK$1&amp;"")</f>
        <v>0.93</v>
      </c>
      <c r="BL602" s="296"/>
      <c r="BM602" s="296">
        <v>0.97</v>
      </c>
      <c r="BN602" s="294">
        <v>0.23</v>
      </c>
    </row>
    <row r="603" spans="1:66" ht="14.45" thickBot="1">
      <c r="A603" s="360">
        <v>45771</v>
      </c>
      <c r="B603" s="359">
        <v>0.95833333333333404</v>
      </c>
      <c r="C603" s="315">
        <f t="shared" si="23"/>
        <v>24</v>
      </c>
      <c r="D603" s="316" t="s">
        <v>150</v>
      </c>
      <c r="E603" s="301">
        <v>14.3</v>
      </c>
      <c r="F603" s="302">
        <v>70.7</v>
      </c>
      <c r="G603" s="303" cm="1">
        <f t="array" aca="1" ref="G603" ca="1">INDIRECT("'"&amp;$C603&amp;"'!"&amp;"$"&amp;$D603&amp;$E$1&amp;"")</f>
        <v>6</v>
      </c>
      <c r="H603" s="304">
        <v>0.99</v>
      </c>
      <c r="I603" s="302">
        <v>0.92</v>
      </c>
      <c r="J603" s="303" cm="1">
        <f t="array" aca="1" ref="J603" ca="1">INDIRECT("'"&amp;$C603&amp;"'!"&amp;"$"&amp;$D603&amp;$J$1&amp;"")</f>
        <v>6</v>
      </c>
      <c r="K603" s="304"/>
      <c r="L603" s="304">
        <v>0.99</v>
      </c>
      <c r="M603" s="302">
        <v>0.92</v>
      </c>
      <c r="N603" s="303" cm="1">
        <f t="array" aca="1" ref="N603" ca="1">INDIRECT("'"&amp;$C603&amp;"'!"&amp;"$"&amp;$D603&amp;$N$1&amp;"")</f>
        <v>6</v>
      </c>
      <c r="O603" s="304"/>
      <c r="P603" s="304">
        <v>0.99</v>
      </c>
      <c r="Q603" s="302">
        <v>0.92</v>
      </c>
      <c r="R603" s="303" cm="1">
        <f t="array" aca="1" ref="R603" ca="1">INDIRECT("'"&amp;$C603&amp;"'!"&amp;"$"&amp;$D603&amp;$R$1&amp;"")</f>
        <v>0</v>
      </c>
      <c r="S603" s="304"/>
      <c r="T603" s="304" t="s">
        <v>1</v>
      </c>
      <c r="U603" s="302" t="s">
        <v>1</v>
      </c>
      <c r="V603" s="303" cm="1">
        <f t="array" aca="1" ref="V603" ca="1">INDIRECT("'"&amp;$C603&amp;"'!"&amp;"$"&amp;$D603&amp;$V$1&amp;"")</f>
        <v>2.8</v>
      </c>
      <c r="W603" s="304">
        <f>3.8*3.59</f>
        <v>13.641999999999999</v>
      </c>
      <c r="X603" s="304">
        <v>0.98</v>
      </c>
      <c r="Y603" s="305">
        <v>0.49</v>
      </c>
      <c r="Z603" s="301" cm="1">
        <f t="array" aca="1" ref="Z603" ca="1">INDIRECT("'"&amp;$C603&amp;"'!"&amp;"$"&amp;$D603&amp;$Z$1&amp;"")</f>
        <v>0</v>
      </c>
      <c r="AA603" s="304" t="s">
        <v>1</v>
      </c>
      <c r="AB603" s="304" t="s">
        <v>1</v>
      </c>
      <c r="AC603" s="302" t="s">
        <v>1</v>
      </c>
      <c r="AD603" s="303" cm="1">
        <f t="array" aca="1" ref="AD603" ca="1">INDIRECT("'"&amp;$C603&amp;"'!"&amp;"$"&amp;$D603&amp;$AD$1&amp;"")</f>
        <v>3</v>
      </c>
      <c r="AE603" s="304">
        <f>3.8*3.59</f>
        <v>13.641999999999999</v>
      </c>
      <c r="AF603" s="304">
        <v>0.98</v>
      </c>
      <c r="AG603" s="305">
        <v>0.51</v>
      </c>
      <c r="AH603" s="301" t="str" cm="1">
        <f t="array" aca="1" ref="AH603" ca="1">INDIRECT("'"&amp;$C603&amp;"'!"&amp;"$"&amp;$D603&amp;$AH$1&amp;"")</f>
        <v>CMS</v>
      </c>
      <c r="AI603" s="304" t="s">
        <v>1</v>
      </c>
      <c r="AJ603" s="304" t="s">
        <v>1</v>
      </c>
      <c r="AK603" s="302" t="s">
        <v>1</v>
      </c>
      <c r="AL603" s="301">
        <v>11.9</v>
      </c>
      <c r="AM603" s="305">
        <v>71.3</v>
      </c>
      <c r="AN603" s="301" cm="1">
        <f t="array" aca="1" ref="AN603" ca="1">INDIRECT("'"&amp;$C603&amp;"'!"&amp;"$"&amp;$D603&amp;$AL$1&amp;"")</f>
        <v>3.8</v>
      </c>
      <c r="AO603" s="304">
        <v>0.99</v>
      </c>
      <c r="AP603" s="302">
        <v>0.2</v>
      </c>
      <c r="AQ603" s="303" cm="1">
        <f t="array" aca="1" ref="AQ603" ca="1">INDIRECT("'"&amp;$C603&amp;"'!"&amp;"$"&amp;$D603&amp;$AQ$1&amp;"")</f>
        <v>3.8</v>
      </c>
      <c r="AR603" s="304">
        <v>0.99</v>
      </c>
      <c r="AS603" s="302">
        <v>0.2</v>
      </c>
      <c r="AT603" s="304" cm="1">
        <f t="array" aca="1" ref="AT603" ca="1">INDIRECT("'"&amp;$C603&amp;"'!"&amp;"$"&amp;$D603&amp;$AT$1&amp;"")</f>
        <v>0</v>
      </c>
      <c r="AU603" s="303" t="s">
        <v>1</v>
      </c>
      <c r="AV603" s="304" t="s">
        <v>1</v>
      </c>
      <c r="AW603" s="302" t="s">
        <v>1</v>
      </c>
      <c r="AX603" s="306">
        <v>14.31</v>
      </c>
      <c r="AY603" s="305">
        <v>72.05</v>
      </c>
      <c r="AZ603" s="306" cm="1">
        <f t="array" aca="1" ref="AZ603" ca="1">INDIRECT("'"&amp;$C603&amp;"'!"&amp;"$"&amp;$D603&amp;$AZ$1&amp;"")</f>
        <v>14.28</v>
      </c>
      <c r="BA603" s="304">
        <v>0.98</v>
      </c>
      <c r="BB603" s="302">
        <v>3.5</v>
      </c>
      <c r="BC603" s="307">
        <v>69.7</v>
      </c>
      <c r="BD603" s="301" cm="1">
        <f t="array" aca="1" ref="BD603" ca="1">INDIRECT("'"&amp;$C603&amp;"'!"&amp;"$"&amp;$D603&amp;$BC$1&amp;"")</f>
        <v>3</v>
      </c>
      <c r="BE603" s="303" t="s">
        <v>1</v>
      </c>
      <c r="BF603" s="302" t="s">
        <v>1</v>
      </c>
      <c r="BG603" s="306" cm="1">
        <f t="array" aca="1" ref="BG603" ca="1">INDIRECT("'"&amp;$C603&amp;"'!"&amp;"$"&amp;$D603&amp;$BG$1&amp;"")</f>
        <v>1.27</v>
      </c>
      <c r="BH603" s="304"/>
      <c r="BI603" s="304">
        <v>0.99</v>
      </c>
      <c r="BJ603" s="302">
        <v>0.18</v>
      </c>
      <c r="BK603" s="307" cm="1">
        <f t="array" aca="1" ref="BK603" ca="1">INDIRECT("'"&amp;$C603&amp;"'!"&amp;"$"&amp;$D603&amp;$BK$1&amp;"")</f>
        <v>0.9</v>
      </c>
      <c r="BL603" s="304"/>
      <c r="BM603" s="304">
        <v>0.97</v>
      </c>
      <c r="BN603" s="302">
        <v>0.23</v>
      </c>
    </row>
    <row r="604" spans="1:66" ht="14.45" thickBot="1"/>
    <row r="605" spans="1:66" ht="14.45" thickBot="1">
      <c r="A605" s="360">
        <v>45772</v>
      </c>
      <c r="B605" s="357">
        <v>0</v>
      </c>
      <c r="C605" s="310">
        <f>C580+1</f>
        <v>25</v>
      </c>
      <c r="D605" s="311" t="s">
        <v>127</v>
      </c>
      <c r="E605" s="280">
        <v>14</v>
      </c>
      <c r="F605" s="281">
        <v>69.900000000000006</v>
      </c>
      <c r="G605" s="282" cm="1">
        <f t="array" aca="1" ref="G605" ca="1">INDIRECT("'"&amp;$C605&amp;"'!"&amp;"$"&amp;$D605&amp;$E$1&amp;"")</f>
        <v>6.4</v>
      </c>
      <c r="H605" s="283">
        <v>0.98</v>
      </c>
      <c r="I605" s="281">
        <v>1.2</v>
      </c>
      <c r="J605" s="282" cm="1">
        <f t="array" aca="1" ref="J605" ca="1">INDIRECT("'"&amp;$C605&amp;"'!"&amp;"$"&amp;$D605&amp;$J$1&amp;"")</f>
        <v>6.4</v>
      </c>
      <c r="K605" s="283"/>
      <c r="L605" s="283">
        <v>0.98</v>
      </c>
      <c r="M605" s="281">
        <v>1.2</v>
      </c>
      <c r="N605" s="282" cm="1">
        <f t="array" aca="1" ref="N605" ca="1">INDIRECT("'"&amp;$C605&amp;"'!"&amp;"$"&amp;$D605&amp;$N$1&amp;"")</f>
        <v>6.4</v>
      </c>
      <c r="O605" s="283"/>
      <c r="P605" s="283">
        <v>0.98</v>
      </c>
      <c r="Q605" s="281">
        <v>1.2</v>
      </c>
      <c r="R605" s="282" cm="1">
        <f t="array" aca="1" ref="R605" ca="1">INDIRECT("'"&amp;$C605&amp;"'!"&amp;"$"&amp;$D605&amp;$R$1&amp;"")</f>
        <v>0</v>
      </c>
      <c r="S605" s="283"/>
      <c r="T605" s="283" t="s">
        <v>1</v>
      </c>
      <c r="U605" s="281" t="s">
        <v>1</v>
      </c>
      <c r="V605" s="282" cm="1">
        <f t="array" aca="1" ref="V605" ca="1">INDIRECT("'"&amp;$C605&amp;"'!"&amp;"$"&amp;$D605&amp;$V$1&amp;"")</f>
        <v>2</v>
      </c>
      <c r="W605" s="283">
        <f>3.8*3.57</f>
        <v>13.565999999999999</v>
      </c>
      <c r="X605" s="283">
        <v>0.98</v>
      </c>
      <c r="Y605" s="284">
        <v>0.31</v>
      </c>
      <c r="Z605" s="280" cm="1">
        <f t="array" aca="1" ref="Z605" ca="1">INDIRECT("'"&amp;$C605&amp;"'!"&amp;"$"&amp;$D605&amp;$Z$1&amp;"")</f>
        <v>0</v>
      </c>
      <c r="AA605" s="283" t="s">
        <v>1</v>
      </c>
      <c r="AB605" s="283" t="s">
        <v>1</v>
      </c>
      <c r="AC605" s="281" t="s">
        <v>1</v>
      </c>
      <c r="AD605" s="282" cm="1">
        <f t="array" aca="1" ref="AD605" ca="1">INDIRECT("'"&amp;$C605&amp;"'!"&amp;"$"&amp;$D605&amp;$AD$1&amp;"")</f>
        <v>3</v>
      </c>
      <c r="AE605" s="283">
        <f>3.8*3.57</f>
        <v>13.565999999999999</v>
      </c>
      <c r="AF605" s="283">
        <v>0.98</v>
      </c>
      <c r="AG605" s="281">
        <v>0.53</v>
      </c>
      <c r="AH605" s="280" t="str" cm="1">
        <f t="array" aca="1" ref="AH605" ca="1">INDIRECT("'"&amp;$C605&amp;"'!"&amp;"$"&amp;$D605&amp;$AH$1&amp;"")</f>
        <v>CMS</v>
      </c>
      <c r="AI605" s="283" t="s">
        <v>1</v>
      </c>
      <c r="AJ605" s="283" t="s">
        <v>1</v>
      </c>
      <c r="AK605" s="281" t="s">
        <v>1</v>
      </c>
      <c r="AL605" s="280">
        <v>11.9</v>
      </c>
      <c r="AM605" s="284">
        <v>70.900000000000006</v>
      </c>
      <c r="AN605" s="280" cm="1">
        <f t="array" aca="1" ref="AN605" ca="1">INDIRECT("'"&amp;$C605&amp;"'!"&amp;"$"&amp;$D605&amp;$AL$1&amp;"")</f>
        <v>3.7</v>
      </c>
      <c r="AO605" s="283">
        <v>0.99</v>
      </c>
      <c r="AP605" s="281">
        <v>0.5</v>
      </c>
      <c r="AQ605" s="282" cm="1">
        <f t="array" aca="1" ref="AQ605" ca="1">INDIRECT("'"&amp;$C605&amp;"'!"&amp;"$"&amp;$D605&amp;$AQ$1&amp;"")</f>
        <v>3.7</v>
      </c>
      <c r="AR605" s="283">
        <v>0.99</v>
      </c>
      <c r="AS605" s="281">
        <v>0.5</v>
      </c>
      <c r="AT605" s="283" cm="1">
        <f t="array" aca="1" ref="AT605" ca="1">INDIRECT("'"&amp;$C605&amp;"'!"&amp;"$"&amp;$D605&amp;$AT$1&amp;"")</f>
        <v>0</v>
      </c>
      <c r="AU605" s="282" t="s">
        <v>1</v>
      </c>
      <c r="AV605" s="283" t="s">
        <v>1</v>
      </c>
      <c r="AW605" s="281" t="s">
        <v>1</v>
      </c>
      <c r="AX605" s="285">
        <v>14.3</v>
      </c>
      <c r="AY605" s="284">
        <v>71.959999999999994</v>
      </c>
      <c r="AZ605" s="285" cm="1">
        <f t="array" aca="1" ref="AZ605" ca="1">INDIRECT("'"&amp;$C605&amp;"'!"&amp;"$"&amp;$D605&amp;$AZ$1&amp;"")</f>
        <v>14.31</v>
      </c>
      <c r="BA605" s="283">
        <v>0.98</v>
      </c>
      <c r="BB605" s="281">
        <v>3.5</v>
      </c>
      <c r="BC605" s="281">
        <v>69</v>
      </c>
      <c r="BD605" s="280" cm="1">
        <f t="array" aca="1" ref="BD605" ca="1">INDIRECT("'"&amp;$C605&amp;"'!"&amp;"$"&amp;$D605&amp;$BC$1&amp;"")</f>
        <v>0</v>
      </c>
      <c r="BE605" s="282" t="s">
        <v>1</v>
      </c>
      <c r="BF605" s="281" t="s">
        <v>1</v>
      </c>
      <c r="BG605" s="285" cm="1">
        <f t="array" aca="1" ref="BG605" ca="1">INDIRECT("'"&amp;$C605&amp;"'!"&amp;"$"&amp;$D605&amp;$BG$1&amp;"")</f>
        <v>1.17</v>
      </c>
      <c r="BH605" s="283"/>
      <c r="BI605" s="283">
        <v>0.99</v>
      </c>
      <c r="BJ605" s="281">
        <v>0.19</v>
      </c>
      <c r="BK605" s="285" cm="1">
        <f t="array" aca="1" ref="BK605" ca="1">INDIRECT("'"&amp;$C605&amp;"'!"&amp;"$"&amp;$D605&amp;$BK$1&amp;"")</f>
        <v>0.84</v>
      </c>
      <c r="BL605" s="283"/>
      <c r="BM605" s="283">
        <v>0.96</v>
      </c>
      <c r="BN605" s="281">
        <v>0.22</v>
      </c>
    </row>
    <row r="606" spans="1:66" ht="14.45" thickBot="1">
      <c r="A606" s="360">
        <v>45772</v>
      </c>
      <c r="B606" s="358">
        <v>4.1666666666666699E-2</v>
      </c>
      <c r="C606" s="313">
        <f t="shared" ref="C606:C628" si="24">C581+1</f>
        <v>25</v>
      </c>
      <c r="D606" s="314" t="s">
        <v>128</v>
      </c>
      <c r="E606" s="286">
        <v>14</v>
      </c>
      <c r="F606" s="287">
        <v>69.7</v>
      </c>
      <c r="G606" s="288" cm="1">
        <f t="array" aca="1" ref="G606" ca="1">INDIRECT("'"&amp;$C606&amp;"'!"&amp;"$"&amp;$D606&amp;$E$1&amp;"")</f>
        <v>6.5</v>
      </c>
      <c r="H606" s="289">
        <v>0.98</v>
      </c>
      <c r="I606" s="287">
        <v>1.23</v>
      </c>
      <c r="J606" s="288" cm="1">
        <f t="array" aca="1" ref="J606" ca="1">INDIRECT("'"&amp;$C606&amp;"'!"&amp;"$"&amp;$D606&amp;$J$1&amp;"")</f>
        <v>6.5</v>
      </c>
      <c r="K606" s="289"/>
      <c r="L606" s="289">
        <v>0.98</v>
      </c>
      <c r="M606" s="287">
        <v>1.23</v>
      </c>
      <c r="N606" s="288" cm="1">
        <f t="array" aca="1" ref="N606" ca="1">INDIRECT("'"&amp;$C606&amp;"'!"&amp;"$"&amp;$D606&amp;$N$1&amp;"")</f>
        <v>6.5</v>
      </c>
      <c r="O606" s="289"/>
      <c r="P606" s="289">
        <v>0.98</v>
      </c>
      <c r="Q606" s="287">
        <v>1.23</v>
      </c>
      <c r="R606" s="288" cm="1">
        <f t="array" aca="1" ref="R606" ca="1">INDIRECT("'"&amp;$C606&amp;"'!"&amp;"$"&amp;$D606&amp;$R$1&amp;"")</f>
        <v>0</v>
      </c>
      <c r="S606" s="289"/>
      <c r="T606" s="289" t="s">
        <v>1</v>
      </c>
      <c r="U606" s="287" t="s">
        <v>1</v>
      </c>
      <c r="V606" s="288" cm="1">
        <f t="array" aca="1" ref="V606" ca="1">INDIRECT("'"&amp;$C606&amp;"'!"&amp;"$"&amp;$D606&amp;$V$1&amp;"")</f>
        <v>0</v>
      </c>
      <c r="W606" s="289" t="s">
        <v>1</v>
      </c>
      <c r="X606" s="289" t="s">
        <v>1</v>
      </c>
      <c r="Y606" s="290" t="s">
        <v>1</v>
      </c>
      <c r="Z606" s="286" cm="1">
        <f t="array" aca="1" ref="Z606" ca="1">INDIRECT("'"&amp;$C606&amp;"'!"&amp;"$"&amp;$D606&amp;$Z$1&amp;"")</f>
        <v>0</v>
      </c>
      <c r="AA606" s="289" t="s">
        <v>1</v>
      </c>
      <c r="AB606" s="289" t="s">
        <v>1</v>
      </c>
      <c r="AC606" s="287" t="s">
        <v>1</v>
      </c>
      <c r="AD606" s="288" cm="1">
        <f t="array" aca="1" ref="AD606" ca="1">INDIRECT("'"&amp;$C606&amp;"'!"&amp;"$"&amp;$D606&amp;$AD$1&amp;"")</f>
        <v>3</v>
      </c>
      <c r="AE606" s="289">
        <f>3.8*3.57</f>
        <v>13.565999999999999</v>
      </c>
      <c r="AF606" s="289">
        <v>0.98</v>
      </c>
      <c r="AG606" s="290">
        <v>0.51</v>
      </c>
      <c r="AH606" s="286" t="str" cm="1">
        <f t="array" aca="1" ref="AH606" ca="1">INDIRECT("'"&amp;$C606&amp;"'!"&amp;"$"&amp;$D606&amp;$AH$1&amp;"")</f>
        <v>CMS</v>
      </c>
      <c r="AI606" s="289" t="s">
        <v>1</v>
      </c>
      <c r="AJ606" s="289" t="s">
        <v>1</v>
      </c>
      <c r="AK606" s="287" t="s">
        <v>1</v>
      </c>
      <c r="AL606" s="286">
        <v>11.9</v>
      </c>
      <c r="AM606" s="290">
        <v>70.900000000000006</v>
      </c>
      <c r="AN606" s="286" cm="1">
        <f t="array" aca="1" ref="AN606" ca="1">INDIRECT("'"&amp;$C606&amp;"'!"&amp;"$"&amp;$D606&amp;$AL$1&amp;"")</f>
        <v>3.4</v>
      </c>
      <c r="AO606" s="289">
        <v>0.98</v>
      </c>
      <c r="AP606" s="287">
        <v>0.5</v>
      </c>
      <c r="AQ606" s="288" cm="1">
        <f t="array" aca="1" ref="AQ606" ca="1">INDIRECT("'"&amp;$C606&amp;"'!"&amp;"$"&amp;$D606&amp;$AQ$1&amp;"")</f>
        <v>3.4</v>
      </c>
      <c r="AR606" s="289">
        <v>0.98</v>
      </c>
      <c r="AS606" s="287">
        <v>0.5</v>
      </c>
      <c r="AT606" s="289" cm="1">
        <f t="array" aca="1" ref="AT606" ca="1">INDIRECT("'"&amp;$C606&amp;"'!"&amp;"$"&amp;$D606&amp;$AT$1&amp;"")</f>
        <v>0</v>
      </c>
      <c r="AU606" s="288" t="s">
        <v>1</v>
      </c>
      <c r="AV606" s="289" t="s">
        <v>1</v>
      </c>
      <c r="AW606" s="287" t="s">
        <v>1</v>
      </c>
      <c r="AX606" s="291">
        <v>14.33</v>
      </c>
      <c r="AY606" s="290">
        <v>72.05</v>
      </c>
      <c r="AZ606" s="291" cm="1">
        <f t="array" aca="1" ref="AZ606" ca="1">INDIRECT("'"&amp;$C606&amp;"'!"&amp;"$"&amp;$D606&amp;$AZ$1&amp;"")</f>
        <v>14.33</v>
      </c>
      <c r="BA606" s="289">
        <v>0.98</v>
      </c>
      <c r="BB606" s="287">
        <v>3.5</v>
      </c>
      <c r="BC606" s="292">
        <v>68.8</v>
      </c>
      <c r="BD606" s="286" cm="1">
        <f t="array" aca="1" ref="BD606" ca="1">INDIRECT("'"&amp;$C606&amp;"'!"&amp;"$"&amp;$D606&amp;$BC$1&amp;"")</f>
        <v>0</v>
      </c>
      <c r="BE606" s="288" t="s">
        <v>1</v>
      </c>
      <c r="BF606" s="287" t="s">
        <v>1</v>
      </c>
      <c r="BG606" s="291" cm="1">
        <f t="array" aca="1" ref="BG606" ca="1">INDIRECT("'"&amp;$C606&amp;"'!"&amp;"$"&amp;$D606&amp;$BG$1&amp;"")</f>
        <v>1.02</v>
      </c>
      <c r="BH606" s="289"/>
      <c r="BI606" s="289">
        <v>0.99</v>
      </c>
      <c r="BJ606" s="287">
        <v>0.16</v>
      </c>
      <c r="BK606" s="291" cm="1">
        <f t="array" aca="1" ref="BK606" ca="1">INDIRECT("'"&amp;$C606&amp;"'!"&amp;"$"&amp;$D606&amp;$BK$1&amp;"")</f>
        <v>0.82</v>
      </c>
      <c r="BL606" s="289"/>
      <c r="BM606" s="289">
        <v>0.96</v>
      </c>
      <c r="BN606" s="287">
        <v>0.22</v>
      </c>
    </row>
    <row r="607" spans="1:66" ht="14.45" thickBot="1">
      <c r="A607" s="360">
        <v>45772</v>
      </c>
      <c r="B607" s="358">
        <v>8.3333333333333301E-2</v>
      </c>
      <c r="C607" s="313">
        <f t="shared" si="24"/>
        <v>25</v>
      </c>
      <c r="D607" s="314" t="s">
        <v>129</v>
      </c>
      <c r="E607" s="293">
        <v>13.9</v>
      </c>
      <c r="F607" s="294">
        <v>69.14</v>
      </c>
      <c r="G607" s="295" cm="1">
        <f t="array" aca="1" ref="G607" ca="1">INDIRECT("'"&amp;$C607&amp;"'!"&amp;"$"&amp;$D607&amp;$E$1&amp;"")</f>
        <v>6.6</v>
      </c>
      <c r="H607" s="296">
        <v>0.96</v>
      </c>
      <c r="I607" s="294">
        <v>1.94</v>
      </c>
      <c r="J607" s="295" cm="1">
        <f t="array" aca="1" ref="J607" ca="1">INDIRECT("'"&amp;$C607&amp;"'!"&amp;"$"&amp;$D607&amp;$J$1&amp;"")</f>
        <v>6.6</v>
      </c>
      <c r="K607" s="296"/>
      <c r="L607" s="296">
        <v>0.96</v>
      </c>
      <c r="M607" s="294">
        <v>1.94</v>
      </c>
      <c r="N607" s="295" cm="1">
        <f t="array" aca="1" ref="N607" ca="1">INDIRECT("'"&amp;$C607&amp;"'!"&amp;"$"&amp;$D607&amp;$N$1&amp;"")</f>
        <v>6.6</v>
      </c>
      <c r="O607" s="296"/>
      <c r="P607" s="296">
        <v>0.96</v>
      </c>
      <c r="Q607" s="294">
        <v>1.94</v>
      </c>
      <c r="R607" s="295" cm="1">
        <f t="array" aca="1" ref="R607" ca="1">INDIRECT("'"&amp;$C607&amp;"'!"&amp;"$"&amp;$D607&amp;$R$1&amp;"")</f>
        <v>0</v>
      </c>
      <c r="S607" s="296"/>
      <c r="T607" s="296" t="s">
        <v>1</v>
      </c>
      <c r="U607" s="294" t="s">
        <v>1</v>
      </c>
      <c r="V607" s="295" cm="1">
        <f t="array" aca="1" ref="V607" ca="1">INDIRECT("'"&amp;$C607&amp;"'!"&amp;"$"&amp;$D607&amp;$V$1&amp;"")</f>
        <v>0</v>
      </c>
      <c r="W607" s="296" t="s">
        <v>1</v>
      </c>
      <c r="X607" s="296" t="s">
        <v>1</v>
      </c>
      <c r="Y607" s="297" t="s">
        <v>1</v>
      </c>
      <c r="Z607" s="293" cm="1">
        <f t="array" aca="1" ref="Z607" ca="1">INDIRECT("'"&amp;$C607&amp;"'!"&amp;"$"&amp;$D607&amp;$Z$1&amp;"")</f>
        <v>0</v>
      </c>
      <c r="AA607" s="296" t="s">
        <v>1</v>
      </c>
      <c r="AB607" s="296" t="s">
        <v>1</v>
      </c>
      <c r="AC607" s="294" t="s">
        <v>1</v>
      </c>
      <c r="AD607" s="295" cm="1">
        <f t="array" aca="1" ref="AD607" ca="1">INDIRECT("'"&amp;$C607&amp;"'!"&amp;"$"&amp;$D607&amp;$AD$1&amp;"")</f>
        <v>0</v>
      </c>
      <c r="AE607" s="296" t="s">
        <v>1</v>
      </c>
      <c r="AF607" s="296" t="s">
        <v>1</v>
      </c>
      <c r="AG607" s="297" t="s">
        <v>1</v>
      </c>
      <c r="AH607" s="293" t="str" cm="1">
        <f t="array" aca="1" ref="AH607" ca="1">INDIRECT("'"&amp;$C607&amp;"'!"&amp;"$"&amp;$D607&amp;$AH$1&amp;"")</f>
        <v>CMS</v>
      </c>
      <c r="AI607" s="296" t="s">
        <v>1</v>
      </c>
      <c r="AJ607" s="296" t="s">
        <v>1</v>
      </c>
      <c r="AK607" s="297" t="s">
        <v>1</v>
      </c>
      <c r="AL607" s="293">
        <v>11.9</v>
      </c>
      <c r="AM607" s="297">
        <v>70.3</v>
      </c>
      <c r="AN607" s="293" cm="1">
        <f t="array" aca="1" ref="AN607" ca="1">INDIRECT("'"&amp;$C607&amp;"'!"&amp;"$"&amp;$D607&amp;$AL$1&amp;"")</f>
        <v>4.0999999999999996</v>
      </c>
      <c r="AO607" s="296">
        <v>0.97</v>
      </c>
      <c r="AP607" s="294">
        <v>1</v>
      </c>
      <c r="AQ607" s="295" cm="1">
        <f t="array" aca="1" ref="AQ607" ca="1">INDIRECT("'"&amp;$C607&amp;"'!"&amp;"$"&amp;$D607&amp;$AQ$1&amp;"")</f>
        <v>4.0999999999999996</v>
      </c>
      <c r="AR607" s="296">
        <v>0.97</v>
      </c>
      <c r="AS607" s="294">
        <v>1</v>
      </c>
      <c r="AT607" s="296" cm="1">
        <f t="array" aca="1" ref="AT607" ca="1">INDIRECT("'"&amp;$C607&amp;"'!"&amp;"$"&amp;$D607&amp;$AT$1&amp;"")</f>
        <v>0</v>
      </c>
      <c r="AU607" s="295" t="s">
        <v>1</v>
      </c>
      <c r="AV607" s="296" t="s">
        <v>1</v>
      </c>
      <c r="AW607" s="294" t="s">
        <v>1</v>
      </c>
      <c r="AX607" s="298">
        <v>14.09</v>
      </c>
      <c r="AY607" s="297">
        <v>71.3</v>
      </c>
      <c r="AZ607" s="298" cm="1">
        <f t="array" aca="1" ref="AZ607" ca="1">INDIRECT("'"&amp;$C607&amp;"'!"&amp;"$"&amp;$D607&amp;$AZ$1&amp;"")</f>
        <v>14.29</v>
      </c>
      <c r="BA607" s="296">
        <v>0.99</v>
      </c>
      <c r="BB607" s="294">
        <v>2.4</v>
      </c>
      <c r="BC607" s="299">
        <v>68.099999999999994</v>
      </c>
      <c r="BD607" s="293" cm="1">
        <f t="array" aca="1" ref="BD607" ca="1">INDIRECT("'"&amp;$C607&amp;"'!"&amp;"$"&amp;$D607&amp;$BC$1&amp;"")</f>
        <v>0</v>
      </c>
      <c r="BE607" s="295" t="s">
        <v>1</v>
      </c>
      <c r="BF607" s="294" t="s">
        <v>1</v>
      </c>
      <c r="BG607" s="298" cm="1">
        <f t="array" aca="1" ref="BG607" ca="1">INDIRECT("'"&amp;$C607&amp;"'!"&amp;"$"&amp;$D607&amp;$BG$1&amp;"")</f>
        <v>0.99</v>
      </c>
      <c r="BH607" s="296"/>
      <c r="BI607" s="296">
        <v>0.99</v>
      </c>
      <c r="BJ607" s="294">
        <v>0.17</v>
      </c>
      <c r="BK607" s="298" cm="1">
        <f t="array" aca="1" ref="BK607" ca="1">INDIRECT("'"&amp;$C607&amp;"'!"&amp;"$"&amp;$D607&amp;$BK$1&amp;"")</f>
        <v>0.77</v>
      </c>
      <c r="BL607" s="296"/>
      <c r="BM607" s="296">
        <v>0.96</v>
      </c>
      <c r="BN607" s="294">
        <v>0.21</v>
      </c>
    </row>
    <row r="608" spans="1:66" ht="14.45" thickBot="1">
      <c r="A608" s="360">
        <v>45772</v>
      </c>
      <c r="B608" s="358">
        <v>0.125</v>
      </c>
      <c r="C608" s="313">
        <f t="shared" si="24"/>
        <v>25</v>
      </c>
      <c r="D608" s="314" t="s">
        <v>130</v>
      </c>
      <c r="E608" s="286">
        <v>13.9</v>
      </c>
      <c r="F608" s="287">
        <v>69.14</v>
      </c>
      <c r="G608" s="288" cm="1">
        <f t="array" aca="1" ref="G608" ca="1">INDIRECT("'"&amp;$C608&amp;"'!"&amp;"$"&amp;$D608&amp;$E$1&amp;"")</f>
        <v>6.7</v>
      </c>
      <c r="H608" s="289">
        <v>0.96</v>
      </c>
      <c r="I608" s="287">
        <v>1.99</v>
      </c>
      <c r="J608" s="288" cm="1">
        <f t="array" aca="1" ref="J608" ca="1">INDIRECT("'"&amp;$C608&amp;"'!"&amp;"$"&amp;$D608&amp;$J$1&amp;"")</f>
        <v>6.7</v>
      </c>
      <c r="K608" s="289"/>
      <c r="L608" s="289">
        <v>0.96</v>
      </c>
      <c r="M608" s="287">
        <v>1.99</v>
      </c>
      <c r="N608" s="288" cm="1">
        <f t="array" aca="1" ref="N608" ca="1">INDIRECT("'"&amp;$C608&amp;"'!"&amp;"$"&amp;$D608&amp;$N$1&amp;"")</f>
        <v>6.7</v>
      </c>
      <c r="O608" s="289"/>
      <c r="P608" s="289">
        <v>0.96</v>
      </c>
      <c r="Q608" s="287">
        <v>1.99</v>
      </c>
      <c r="R608" s="288" t="str" cm="1">
        <f t="array" aca="1" ref="R608" ca="1">INDIRECT("'"&amp;$C608&amp;"'!"&amp;"$"&amp;$D608&amp;$R$1&amp;"")</f>
        <v>CMS</v>
      </c>
      <c r="S608" s="289"/>
      <c r="T608" s="289" t="s">
        <v>1</v>
      </c>
      <c r="U608" s="287" t="s">
        <v>1</v>
      </c>
      <c r="V608" s="288" cm="1">
        <f t="array" aca="1" ref="V608" ca="1">INDIRECT("'"&amp;$C608&amp;"'!"&amp;"$"&amp;$D608&amp;$V$1&amp;"")</f>
        <v>0</v>
      </c>
      <c r="W608" s="289" t="s">
        <v>1</v>
      </c>
      <c r="X608" s="289" t="s">
        <v>1</v>
      </c>
      <c r="Y608" s="290" t="s">
        <v>1</v>
      </c>
      <c r="Z608" s="286" cm="1">
        <f t="array" aca="1" ref="Z608" ca="1">INDIRECT("'"&amp;$C608&amp;"'!"&amp;"$"&amp;$D608&amp;$Z$1&amp;"")</f>
        <v>0</v>
      </c>
      <c r="AA608" s="289" t="s">
        <v>1</v>
      </c>
      <c r="AB608" s="289" t="s">
        <v>1</v>
      </c>
      <c r="AC608" s="287" t="s">
        <v>1</v>
      </c>
      <c r="AD608" s="288" cm="1">
        <f t="array" aca="1" ref="AD608" ca="1">INDIRECT("'"&amp;$C608&amp;"'!"&amp;"$"&amp;$D608&amp;$AD$1&amp;"")</f>
        <v>0</v>
      </c>
      <c r="AE608" s="289" t="s">
        <v>1</v>
      </c>
      <c r="AF608" s="289" t="s">
        <v>1</v>
      </c>
      <c r="AG608" s="287" t="s">
        <v>1</v>
      </c>
      <c r="AH608" s="286" t="str" cm="1">
        <f t="array" aca="1" ref="AH608" ca="1">INDIRECT("'"&amp;$C608&amp;"'!"&amp;"$"&amp;$D608&amp;$AH$1&amp;"")</f>
        <v>CMS</v>
      </c>
      <c r="AI608" s="289" t="s">
        <v>1</v>
      </c>
      <c r="AJ608" s="289" t="s">
        <v>1</v>
      </c>
      <c r="AK608" s="287" t="s">
        <v>1</v>
      </c>
      <c r="AL608" s="286">
        <v>11.9</v>
      </c>
      <c r="AM608" s="290">
        <v>70.3</v>
      </c>
      <c r="AN608" s="286" cm="1">
        <f t="array" aca="1" ref="AN608" ca="1">INDIRECT("'"&amp;$C608&amp;"'!"&amp;"$"&amp;$D608&amp;$AL$1&amp;"")</f>
        <v>3.4</v>
      </c>
      <c r="AO608" s="289">
        <v>0.97</v>
      </c>
      <c r="AP608" s="287">
        <v>0.9</v>
      </c>
      <c r="AQ608" s="288" cm="1">
        <f t="array" aca="1" ref="AQ608" ca="1">INDIRECT("'"&amp;$C608&amp;"'!"&amp;"$"&amp;$D608&amp;$AQ$1&amp;"")</f>
        <v>3.4</v>
      </c>
      <c r="AR608" s="289">
        <v>0.97</v>
      </c>
      <c r="AS608" s="287">
        <v>0.9</v>
      </c>
      <c r="AT608" s="289" cm="1">
        <f t="array" aca="1" ref="AT608" ca="1">INDIRECT("'"&amp;$C608&amp;"'!"&amp;"$"&amp;$D608&amp;$AT$1&amp;"")</f>
        <v>0</v>
      </c>
      <c r="AU608" s="288" t="s">
        <v>1</v>
      </c>
      <c r="AV608" s="289" t="s">
        <v>1</v>
      </c>
      <c r="AW608" s="287" t="s">
        <v>1</v>
      </c>
      <c r="AX608" s="291">
        <v>14.09</v>
      </c>
      <c r="AY608" s="290">
        <v>71.3</v>
      </c>
      <c r="AZ608" s="291" cm="1">
        <f t="array" aca="1" ref="AZ608" ca="1">INDIRECT("'"&amp;$C608&amp;"'!"&amp;"$"&amp;$D608&amp;$AZ$1&amp;"")</f>
        <v>14.3</v>
      </c>
      <c r="BA608" s="289">
        <v>0.99</v>
      </c>
      <c r="BB608" s="287">
        <v>2.4</v>
      </c>
      <c r="BC608" s="292">
        <v>68.099999999999994</v>
      </c>
      <c r="BD608" s="286" cm="1">
        <f t="array" aca="1" ref="BD608" ca="1">INDIRECT("'"&amp;$C608&amp;"'!"&amp;"$"&amp;$D608&amp;$BC$1&amp;"")</f>
        <v>0</v>
      </c>
      <c r="BE608" s="288" t="s">
        <v>1</v>
      </c>
      <c r="BF608" s="287" t="s">
        <v>1</v>
      </c>
      <c r="BG608" s="291" cm="1">
        <f t="array" aca="1" ref="BG608" ca="1">INDIRECT("'"&amp;$C608&amp;"'!"&amp;"$"&amp;$D608&amp;$BG$1&amp;"")</f>
        <v>0.99</v>
      </c>
      <c r="BH608" s="289"/>
      <c r="BI608" s="289">
        <v>0.99</v>
      </c>
      <c r="BJ608" s="287">
        <v>0.16</v>
      </c>
      <c r="BK608" s="291" cm="1">
        <f t="array" aca="1" ref="BK608" ca="1">INDIRECT("'"&amp;$C608&amp;"'!"&amp;"$"&amp;$D608&amp;$BK$1&amp;"")</f>
        <v>0.73</v>
      </c>
      <c r="BL608" s="289"/>
      <c r="BM608" s="289">
        <v>0.96</v>
      </c>
      <c r="BN608" s="287">
        <v>0.21</v>
      </c>
    </row>
    <row r="609" spans="1:66" ht="14.45" thickBot="1">
      <c r="A609" s="360">
        <v>45772</v>
      </c>
      <c r="B609" s="358">
        <v>0.16666666666666699</v>
      </c>
      <c r="C609" s="313">
        <f t="shared" si="24"/>
        <v>25</v>
      </c>
      <c r="D609" s="314" t="s">
        <v>131</v>
      </c>
      <c r="E609" s="293">
        <v>14.1</v>
      </c>
      <c r="F609" s="294">
        <v>70.010000000000005</v>
      </c>
      <c r="G609" s="295" cm="1">
        <f t="array" aca="1" ref="G609" ca="1">INDIRECT("'"&amp;$C609&amp;"'!"&amp;"$"&amp;$D609&amp;$E$1&amp;"")</f>
        <v>6.6</v>
      </c>
      <c r="H609" s="296">
        <v>0.97</v>
      </c>
      <c r="I609" s="294">
        <v>1.62</v>
      </c>
      <c r="J609" s="295" cm="1">
        <f t="array" aca="1" ref="J609" ca="1">INDIRECT("'"&amp;$C609&amp;"'!"&amp;"$"&amp;$D609&amp;$J$1&amp;"")</f>
        <v>0</v>
      </c>
      <c r="K609" s="296"/>
      <c r="L609" s="296" t="s">
        <v>1</v>
      </c>
      <c r="M609" s="294" t="s">
        <v>1</v>
      </c>
      <c r="N609" s="295" cm="1">
        <f t="array" aca="1" ref="N609" ca="1">INDIRECT("'"&amp;$C609&amp;"'!"&amp;"$"&amp;$D609&amp;$N$1&amp;"")</f>
        <v>6.6</v>
      </c>
      <c r="O609" s="296"/>
      <c r="P609" s="296">
        <v>0.97</v>
      </c>
      <c r="Q609" s="294">
        <v>1.62</v>
      </c>
      <c r="R609" s="295" cm="1">
        <f t="array" aca="1" ref="R609" ca="1">INDIRECT("'"&amp;$C609&amp;"'!"&amp;"$"&amp;$D609&amp;$R$1&amp;"")</f>
        <v>6.6</v>
      </c>
      <c r="S609" s="296"/>
      <c r="T609" s="296">
        <v>0.97</v>
      </c>
      <c r="U609" s="294">
        <v>1.62</v>
      </c>
      <c r="V609" s="295" cm="1">
        <f t="array" aca="1" ref="V609" ca="1">INDIRECT("'"&amp;$C609&amp;"'!"&amp;"$"&amp;$D609&amp;$V$1&amp;"")</f>
        <v>0</v>
      </c>
      <c r="W609" s="296" t="s">
        <v>1</v>
      </c>
      <c r="X609" s="296" t="s">
        <v>1</v>
      </c>
      <c r="Y609" s="297" t="s">
        <v>1</v>
      </c>
      <c r="Z609" s="293" cm="1">
        <f t="array" aca="1" ref="Z609" ca="1">INDIRECT("'"&amp;$C609&amp;"'!"&amp;"$"&amp;$D609&amp;$Z$1&amp;"")</f>
        <v>0</v>
      </c>
      <c r="AA609" s="296" t="s">
        <v>1</v>
      </c>
      <c r="AB609" s="296" t="s">
        <v>1</v>
      </c>
      <c r="AC609" s="294" t="s">
        <v>1</v>
      </c>
      <c r="AD609" s="295" cm="1">
        <f t="array" aca="1" ref="AD609" ca="1">INDIRECT("'"&amp;$C609&amp;"'!"&amp;"$"&amp;$D609&amp;$AD$1&amp;"")</f>
        <v>0</v>
      </c>
      <c r="AE609" s="296" t="s">
        <v>1</v>
      </c>
      <c r="AF609" s="296" t="s">
        <v>1</v>
      </c>
      <c r="AG609" s="294" t="s">
        <v>1</v>
      </c>
      <c r="AH609" s="293" cm="1">
        <f t="array" aca="1" ref="AH609" ca="1">INDIRECT("'"&amp;$C609&amp;"'!"&amp;"$"&amp;$D609&amp;$AH$1&amp;"")</f>
        <v>0</v>
      </c>
      <c r="AI609" s="296" t="s">
        <v>1</v>
      </c>
      <c r="AJ609" s="296" t="s">
        <v>1</v>
      </c>
      <c r="AK609" s="294" t="s">
        <v>1</v>
      </c>
      <c r="AL609" s="293">
        <v>11.9</v>
      </c>
      <c r="AM609" s="297">
        <v>70.8</v>
      </c>
      <c r="AN609" s="293" cm="1">
        <f t="array" aca="1" ref="AN609" ca="1">INDIRECT("'"&amp;$C609&amp;"'!"&amp;"$"&amp;$D609&amp;$AL$1&amp;"")</f>
        <v>3</v>
      </c>
      <c r="AO609" s="296">
        <v>0.98</v>
      </c>
      <c r="AP609" s="294">
        <v>0.6</v>
      </c>
      <c r="AQ609" s="295" cm="1">
        <f t="array" aca="1" ref="AQ609" ca="1">INDIRECT("'"&amp;$C609&amp;"'!"&amp;"$"&amp;$D609&amp;$AQ$1&amp;"")</f>
        <v>3</v>
      </c>
      <c r="AR609" s="296">
        <v>0.98</v>
      </c>
      <c r="AS609" s="294">
        <v>0.6</v>
      </c>
      <c r="AT609" s="296" cm="1">
        <f t="array" aca="1" ref="AT609" ca="1">INDIRECT("'"&amp;$C609&amp;"'!"&amp;"$"&amp;$D609&amp;$AT$1&amp;"")</f>
        <v>0</v>
      </c>
      <c r="AU609" s="295" t="s">
        <v>1</v>
      </c>
      <c r="AV609" s="296" t="s">
        <v>1</v>
      </c>
      <c r="AW609" s="294" t="s">
        <v>1</v>
      </c>
      <c r="AX609" s="298">
        <v>14.2</v>
      </c>
      <c r="AY609" s="297">
        <v>71.88</v>
      </c>
      <c r="AZ609" s="298" cm="1">
        <f t="array" aca="1" ref="AZ609" ca="1">INDIRECT("'"&amp;$C609&amp;"'!"&amp;"$"&amp;$D609&amp;$AZ$1&amp;"")</f>
        <v>13.85</v>
      </c>
      <c r="BA609" s="296">
        <v>0.99</v>
      </c>
      <c r="BB609" s="294">
        <v>2.4</v>
      </c>
      <c r="BC609" s="299">
        <v>68.900000000000006</v>
      </c>
      <c r="BD609" s="293" cm="1">
        <f t="array" aca="1" ref="BD609" ca="1">INDIRECT("'"&amp;$C609&amp;"'!"&amp;"$"&amp;$D609&amp;$BC$1&amp;"")</f>
        <v>0</v>
      </c>
      <c r="BE609" s="295" t="s">
        <v>1</v>
      </c>
      <c r="BF609" s="294" t="s">
        <v>1</v>
      </c>
      <c r="BG609" s="298" cm="1">
        <f t="array" aca="1" ref="BG609" ca="1">INDIRECT("'"&amp;$C609&amp;"'!"&amp;"$"&amp;$D609&amp;$BG$1&amp;"")</f>
        <v>0.98</v>
      </c>
      <c r="BH609" s="296"/>
      <c r="BI609" s="296">
        <v>0.99</v>
      </c>
      <c r="BJ609" s="294">
        <v>0.14000000000000001</v>
      </c>
      <c r="BK609" s="298" cm="1">
        <f t="array" aca="1" ref="BK609" ca="1">INDIRECT("'"&amp;$C609&amp;"'!"&amp;"$"&amp;$D609&amp;$BK$1&amp;"")</f>
        <v>0.74</v>
      </c>
      <c r="BL609" s="296"/>
      <c r="BM609" s="296">
        <v>0.96</v>
      </c>
      <c r="BN609" s="294">
        <v>0.2</v>
      </c>
    </row>
    <row r="610" spans="1:66" ht="14.45" thickBot="1">
      <c r="A610" s="360">
        <v>45772</v>
      </c>
      <c r="B610" s="358">
        <v>0.20833333333333301</v>
      </c>
      <c r="C610" s="313">
        <f t="shared" si="24"/>
        <v>25</v>
      </c>
      <c r="D610" s="314" t="s">
        <v>132</v>
      </c>
      <c r="E610" s="286">
        <v>14.1</v>
      </c>
      <c r="F610" s="287">
        <v>69.95</v>
      </c>
      <c r="G610" s="288" cm="1">
        <f t="array" aca="1" ref="G610" ca="1">INDIRECT("'"&amp;$C610&amp;"'!"&amp;"$"&amp;$D610&amp;$E$1&amp;"")</f>
        <v>6.6</v>
      </c>
      <c r="H610" s="289">
        <v>0.96</v>
      </c>
      <c r="I610" s="287">
        <v>1.9</v>
      </c>
      <c r="J610" s="288" cm="1">
        <f t="array" aca="1" ref="J610" ca="1">INDIRECT("'"&amp;$C610&amp;"'!"&amp;"$"&amp;$D610&amp;$J$1&amp;"")</f>
        <v>0</v>
      </c>
      <c r="K610" s="289"/>
      <c r="L610" s="289" t="s">
        <v>1</v>
      </c>
      <c r="M610" s="287" t="s">
        <v>1</v>
      </c>
      <c r="N610" s="288" cm="1">
        <f t="array" aca="1" ref="N610" ca="1">INDIRECT("'"&amp;$C610&amp;"'!"&amp;"$"&amp;$D610&amp;$N$1&amp;"")</f>
        <v>6.6</v>
      </c>
      <c r="O610" s="289"/>
      <c r="P610" s="289">
        <v>0.96</v>
      </c>
      <c r="Q610" s="287">
        <v>1.9</v>
      </c>
      <c r="R610" s="288" cm="1">
        <f t="array" aca="1" ref="R610" ca="1">INDIRECT("'"&amp;$C610&amp;"'!"&amp;"$"&amp;$D610&amp;$R$1&amp;"")</f>
        <v>6.6</v>
      </c>
      <c r="S610" s="289"/>
      <c r="T610" s="289">
        <v>0.96</v>
      </c>
      <c r="U610" s="287">
        <v>1.9</v>
      </c>
      <c r="V610" s="288" cm="1">
        <f t="array" aca="1" ref="V610" ca="1">INDIRECT("'"&amp;$C610&amp;"'!"&amp;"$"&amp;$D610&amp;$V$1&amp;"")</f>
        <v>0</v>
      </c>
      <c r="W610" s="289" t="s">
        <v>1</v>
      </c>
      <c r="X610" s="289" t="s">
        <v>1</v>
      </c>
      <c r="Y610" s="290" t="s">
        <v>1</v>
      </c>
      <c r="Z610" s="286" cm="1">
        <f t="array" aca="1" ref="Z610" ca="1">INDIRECT("'"&amp;$C610&amp;"'!"&amp;"$"&amp;$D610&amp;$Z$1&amp;"")</f>
        <v>0</v>
      </c>
      <c r="AA610" s="289" t="s">
        <v>1</v>
      </c>
      <c r="AB610" s="289" t="s">
        <v>1</v>
      </c>
      <c r="AC610" s="287" t="s">
        <v>1</v>
      </c>
      <c r="AD610" s="288" cm="1">
        <f t="array" aca="1" ref="AD610" ca="1">INDIRECT("'"&amp;$C610&amp;"'!"&amp;"$"&amp;$D610&amp;$AD$1&amp;"")</f>
        <v>0</v>
      </c>
      <c r="AE610" s="289" t="s">
        <v>1</v>
      </c>
      <c r="AF610" s="289" t="s">
        <v>1</v>
      </c>
      <c r="AG610" s="290" t="s">
        <v>1</v>
      </c>
      <c r="AH610" s="286" cm="1">
        <f t="array" aca="1" ref="AH610" ca="1">INDIRECT("'"&amp;$C610&amp;"'!"&amp;"$"&amp;$D610&amp;$AH$1&amp;"")</f>
        <v>0</v>
      </c>
      <c r="AI610" s="289" t="s">
        <v>1</v>
      </c>
      <c r="AJ610" s="289" t="s">
        <v>1</v>
      </c>
      <c r="AK610" s="290" t="s">
        <v>1</v>
      </c>
      <c r="AL610" s="286">
        <v>11.9</v>
      </c>
      <c r="AM610" s="290">
        <v>70.8</v>
      </c>
      <c r="AN610" s="286" cm="1">
        <f t="array" aca="1" ref="AN610" ca="1">INDIRECT("'"&amp;$C610&amp;"'!"&amp;"$"&amp;$D610&amp;$AL$1&amp;"")</f>
        <v>3.5</v>
      </c>
      <c r="AO610" s="289">
        <v>0.98</v>
      </c>
      <c r="AP610" s="287">
        <v>0.6</v>
      </c>
      <c r="AQ610" s="288" cm="1">
        <f t="array" aca="1" ref="AQ610" ca="1">INDIRECT("'"&amp;$C610&amp;"'!"&amp;"$"&amp;$D610&amp;$AQ$1&amp;"")</f>
        <v>3.5</v>
      </c>
      <c r="AR610" s="289">
        <v>0.98</v>
      </c>
      <c r="AS610" s="287">
        <v>0.6</v>
      </c>
      <c r="AT610" s="289" cm="1">
        <f t="array" aca="1" ref="AT610" ca="1">INDIRECT("'"&amp;$C610&amp;"'!"&amp;"$"&amp;$D610&amp;$AT$1&amp;"")</f>
        <v>0</v>
      </c>
      <c r="AU610" s="288" t="s">
        <v>1</v>
      </c>
      <c r="AV610" s="289" t="s">
        <v>1</v>
      </c>
      <c r="AW610" s="287" t="s">
        <v>1</v>
      </c>
      <c r="AX610" s="291">
        <v>14.18</v>
      </c>
      <c r="AY610" s="290">
        <v>71.760000000000005</v>
      </c>
      <c r="AZ610" s="291" cm="1">
        <f t="array" aca="1" ref="AZ610" ca="1">INDIRECT("'"&amp;$C610&amp;"'!"&amp;"$"&amp;$D610&amp;$AZ$1&amp;"")</f>
        <v>13.82</v>
      </c>
      <c r="BA610" s="289">
        <v>0.99</v>
      </c>
      <c r="BB610" s="287">
        <v>2.4</v>
      </c>
      <c r="BC610" s="292">
        <v>68.8</v>
      </c>
      <c r="BD610" s="286" cm="1">
        <f t="array" aca="1" ref="BD610" ca="1">INDIRECT("'"&amp;$C610&amp;"'!"&amp;"$"&amp;$D610&amp;$BC$1&amp;"")</f>
        <v>0</v>
      </c>
      <c r="BE610" s="288" t="s">
        <v>1</v>
      </c>
      <c r="BF610" s="287" t="s">
        <v>1</v>
      </c>
      <c r="BG610" s="291" cm="1">
        <f t="array" aca="1" ref="BG610" ca="1">INDIRECT("'"&amp;$C610&amp;"'!"&amp;"$"&amp;$D610&amp;$BG$1&amp;"")</f>
        <v>0.98</v>
      </c>
      <c r="BH610" s="289"/>
      <c r="BI610" s="289">
        <v>0.99</v>
      </c>
      <c r="BJ610" s="287">
        <v>0.14000000000000001</v>
      </c>
      <c r="BK610" s="291" cm="1">
        <f t="array" aca="1" ref="BK610" ca="1">INDIRECT("'"&amp;$C610&amp;"'!"&amp;"$"&amp;$D610&amp;$BK$1&amp;"")</f>
        <v>0.72</v>
      </c>
      <c r="BL610" s="289"/>
      <c r="BM610" s="289">
        <v>0.96</v>
      </c>
      <c r="BN610" s="287">
        <v>0.2</v>
      </c>
    </row>
    <row r="611" spans="1:66" ht="14.45" thickBot="1">
      <c r="A611" s="360">
        <v>45772</v>
      </c>
      <c r="B611" s="358">
        <v>0.25</v>
      </c>
      <c r="C611" s="313">
        <f t="shared" si="24"/>
        <v>25</v>
      </c>
      <c r="D611" s="314" t="s">
        <v>133</v>
      </c>
      <c r="E611" s="293">
        <v>14.1</v>
      </c>
      <c r="F611" s="294">
        <v>69.83</v>
      </c>
      <c r="G611" s="295" cm="1">
        <f t="array" aca="1" ref="G611" ca="1">INDIRECT("'"&amp;$C611&amp;"'!"&amp;"$"&amp;$D611&amp;$E$1&amp;"")</f>
        <v>6.6</v>
      </c>
      <c r="H611" s="296">
        <v>0.98</v>
      </c>
      <c r="I611" s="294">
        <v>1.88</v>
      </c>
      <c r="J611" s="295" cm="1">
        <f t="array" aca="1" ref="J611" ca="1">INDIRECT("'"&amp;$C611&amp;"'!"&amp;"$"&amp;$D611&amp;$J$1&amp;"")</f>
        <v>0</v>
      </c>
      <c r="K611" s="296"/>
      <c r="L611" s="296" t="s">
        <v>1</v>
      </c>
      <c r="M611" s="294" t="s">
        <v>1</v>
      </c>
      <c r="N611" s="295" cm="1">
        <f t="array" aca="1" ref="N611" ca="1">INDIRECT("'"&amp;$C611&amp;"'!"&amp;"$"&amp;$D611&amp;$N$1&amp;"")</f>
        <v>6.6</v>
      </c>
      <c r="O611" s="296"/>
      <c r="P611" s="296">
        <v>0.98</v>
      </c>
      <c r="Q611" s="294">
        <v>1.88</v>
      </c>
      <c r="R611" s="295" cm="1">
        <f t="array" aca="1" ref="R611" ca="1">INDIRECT("'"&amp;$C611&amp;"'!"&amp;"$"&amp;$D611&amp;$R$1&amp;"")</f>
        <v>6.6</v>
      </c>
      <c r="S611" s="296"/>
      <c r="T611" s="296">
        <v>0.98</v>
      </c>
      <c r="U611" s="294">
        <v>1.88</v>
      </c>
      <c r="V611" s="295" cm="1">
        <f t="array" aca="1" ref="V611" ca="1">INDIRECT("'"&amp;$C611&amp;"'!"&amp;"$"&amp;$D611&amp;$V$1&amp;"")</f>
        <v>0</v>
      </c>
      <c r="W611" s="296" t="s">
        <v>1</v>
      </c>
      <c r="X611" s="296" t="s">
        <v>1</v>
      </c>
      <c r="Y611" s="297" t="s">
        <v>1</v>
      </c>
      <c r="Z611" s="293" cm="1">
        <f t="array" aca="1" ref="Z611" ca="1">INDIRECT("'"&amp;$C611&amp;"'!"&amp;"$"&amp;$D611&amp;$Z$1&amp;"")</f>
        <v>0</v>
      </c>
      <c r="AA611" s="296" t="s">
        <v>1</v>
      </c>
      <c r="AB611" s="296" t="s">
        <v>1</v>
      </c>
      <c r="AC611" s="294" t="s">
        <v>1</v>
      </c>
      <c r="AD611" s="295" cm="1">
        <f t="array" aca="1" ref="AD611" ca="1">INDIRECT("'"&amp;$C611&amp;"'!"&amp;"$"&amp;$D611&amp;$AD$1&amp;"")</f>
        <v>0</v>
      </c>
      <c r="AE611" s="296" t="s">
        <v>1</v>
      </c>
      <c r="AF611" s="296" t="s">
        <v>1</v>
      </c>
      <c r="AG611" s="297" t="s">
        <v>1</v>
      </c>
      <c r="AH611" s="293" cm="1">
        <f t="array" aca="1" ref="AH611" ca="1">INDIRECT("'"&amp;$C611&amp;"'!"&amp;"$"&amp;$D611&amp;$AH$1&amp;"")</f>
        <v>0</v>
      </c>
      <c r="AI611" s="296" t="s">
        <v>1</v>
      </c>
      <c r="AJ611" s="296" t="s">
        <v>1</v>
      </c>
      <c r="AK611" s="297" t="s">
        <v>1</v>
      </c>
      <c r="AL611" s="293">
        <v>11.9</v>
      </c>
      <c r="AM611" s="297">
        <v>70.5</v>
      </c>
      <c r="AN611" s="293" cm="1">
        <f t="array" aca="1" ref="AN611" ca="1">INDIRECT("'"&amp;$C611&amp;"'!"&amp;"$"&amp;$D611&amp;$AL$1&amp;"")</f>
        <v>4</v>
      </c>
      <c r="AO611" s="296">
        <v>0.98</v>
      </c>
      <c r="AP611" s="294">
        <v>0.7</v>
      </c>
      <c r="AQ611" s="295" cm="1">
        <f t="array" aca="1" ref="AQ611" ca="1">INDIRECT("'"&amp;$C611&amp;"'!"&amp;"$"&amp;$D611&amp;$AQ$1&amp;"")</f>
        <v>4</v>
      </c>
      <c r="AR611" s="296">
        <v>0.98</v>
      </c>
      <c r="AS611" s="294">
        <v>0.7</v>
      </c>
      <c r="AT611" s="296" cm="1">
        <f t="array" aca="1" ref="AT611" ca="1">INDIRECT("'"&amp;$C611&amp;"'!"&amp;"$"&amp;$D611&amp;$AT$1&amp;"")</f>
        <v>0</v>
      </c>
      <c r="AU611" s="295" t="s">
        <v>1</v>
      </c>
      <c r="AV611" s="296" t="s">
        <v>1</v>
      </c>
      <c r="AW611" s="294" t="s">
        <v>1</v>
      </c>
      <c r="AX611" s="298">
        <v>14.1</v>
      </c>
      <c r="AY611" s="297">
        <v>71.36</v>
      </c>
      <c r="AZ611" s="298" cm="1">
        <f t="array" aca="1" ref="AZ611" ca="1">INDIRECT("'"&amp;$C611&amp;"'!"&amp;"$"&amp;$D611&amp;$AZ$1&amp;"")</f>
        <v>14.3</v>
      </c>
      <c r="BA611" s="296">
        <v>0.99</v>
      </c>
      <c r="BB611" s="294">
        <v>2.4</v>
      </c>
      <c r="BC611" s="299">
        <v>68.8</v>
      </c>
      <c r="BD611" s="293" cm="1">
        <f t="array" aca="1" ref="BD611" ca="1">INDIRECT("'"&amp;$C611&amp;"'!"&amp;"$"&amp;$D611&amp;$BC$1&amp;"")</f>
        <v>0</v>
      </c>
      <c r="BE611" s="295" t="s">
        <v>1</v>
      </c>
      <c r="BF611" s="294" t="s">
        <v>1</v>
      </c>
      <c r="BG611" s="298" cm="1">
        <f t="array" aca="1" ref="BG611" ca="1">INDIRECT("'"&amp;$C611&amp;"'!"&amp;"$"&amp;$D611&amp;$BG$1&amp;"")</f>
        <v>1.0900000000000001</v>
      </c>
      <c r="BH611" s="296"/>
      <c r="BI611" s="296">
        <v>0.99</v>
      </c>
      <c r="BJ611" s="294">
        <v>0.15</v>
      </c>
      <c r="BK611" s="298" cm="1">
        <f t="array" aca="1" ref="BK611" ca="1">INDIRECT("'"&amp;$C611&amp;"'!"&amp;"$"&amp;$D611&amp;$BK$1&amp;"")</f>
        <v>0.77</v>
      </c>
      <c r="BL611" s="296"/>
      <c r="BM611" s="296">
        <v>0.96</v>
      </c>
      <c r="BN611" s="294">
        <v>0.2</v>
      </c>
    </row>
    <row r="612" spans="1:66" ht="14.45" thickBot="1">
      <c r="A612" s="360">
        <v>45772</v>
      </c>
      <c r="B612" s="358">
        <v>0.29166666666666702</v>
      </c>
      <c r="C612" s="313">
        <f t="shared" si="24"/>
        <v>25</v>
      </c>
      <c r="D612" s="314" t="s">
        <v>134</v>
      </c>
      <c r="E612" s="286">
        <v>14</v>
      </c>
      <c r="F612" s="287">
        <v>69.540000000000006</v>
      </c>
      <c r="G612" s="288" cm="1">
        <f t="array" aca="1" ref="G612" ca="1">INDIRECT("'"&amp;$C612&amp;"'!"&amp;"$"&amp;$D612&amp;$E$1&amp;"")</f>
        <v>6.5</v>
      </c>
      <c r="H612" s="289">
        <v>0.95</v>
      </c>
      <c r="I612" s="287">
        <v>1.86</v>
      </c>
      <c r="J612" s="288" cm="1">
        <f t="array" aca="1" ref="J612" ca="1">INDIRECT("'"&amp;$C612&amp;"'!"&amp;"$"&amp;$D612&amp;$J$1&amp;"")</f>
        <v>0</v>
      </c>
      <c r="K612" s="289"/>
      <c r="L612" s="289" t="s">
        <v>1</v>
      </c>
      <c r="M612" s="287" t="s">
        <v>1</v>
      </c>
      <c r="N612" s="288" cm="1">
        <f t="array" aca="1" ref="N612" ca="1">INDIRECT("'"&amp;$C612&amp;"'!"&amp;"$"&amp;$D612&amp;$N$1&amp;"")</f>
        <v>6.5</v>
      </c>
      <c r="O612" s="289"/>
      <c r="P612" s="289">
        <v>0.95</v>
      </c>
      <c r="Q612" s="287">
        <v>1.86</v>
      </c>
      <c r="R612" s="288" cm="1">
        <f t="array" aca="1" ref="R612" ca="1">INDIRECT("'"&amp;$C612&amp;"'!"&amp;"$"&amp;$D612&amp;$R$1&amp;"")</f>
        <v>6.5</v>
      </c>
      <c r="S612" s="289"/>
      <c r="T612" s="289">
        <v>0.95</v>
      </c>
      <c r="U612" s="287">
        <v>1.86</v>
      </c>
      <c r="V612" s="288" cm="1">
        <f t="array" aca="1" ref="V612" ca="1">INDIRECT("'"&amp;$C612&amp;"'!"&amp;"$"&amp;$D612&amp;$V$1&amp;"")</f>
        <v>0</v>
      </c>
      <c r="W612" s="289" t="s">
        <v>1</v>
      </c>
      <c r="X612" s="289" t="s">
        <v>1</v>
      </c>
      <c r="Y612" s="290" t="s">
        <v>1</v>
      </c>
      <c r="Z612" s="286" cm="1">
        <f t="array" aca="1" ref="Z612" ca="1">INDIRECT("'"&amp;$C612&amp;"'!"&amp;"$"&amp;$D612&amp;$Z$1&amp;"")</f>
        <v>0</v>
      </c>
      <c r="AA612" s="289" t="s">
        <v>1</v>
      </c>
      <c r="AB612" s="289" t="s">
        <v>1</v>
      </c>
      <c r="AC612" s="287" t="s">
        <v>1</v>
      </c>
      <c r="AD612" s="288" cm="1">
        <f t="array" aca="1" ref="AD612" ca="1">INDIRECT("'"&amp;$C612&amp;"'!"&amp;"$"&amp;$D612&amp;$AD$1&amp;"")</f>
        <v>0</v>
      </c>
      <c r="AE612" s="289" t="s">
        <v>1</v>
      </c>
      <c r="AF612" s="289" t="s">
        <v>1</v>
      </c>
      <c r="AG612" s="290" t="s">
        <v>1</v>
      </c>
      <c r="AH612" s="286" cm="1">
        <f t="array" aca="1" ref="AH612" ca="1">INDIRECT("'"&amp;$C612&amp;"'!"&amp;"$"&amp;$D612&amp;$AH$1&amp;"")</f>
        <v>0</v>
      </c>
      <c r="AI612" s="289" t="s">
        <v>1</v>
      </c>
      <c r="AJ612" s="289" t="s">
        <v>1</v>
      </c>
      <c r="AK612" s="290" t="s">
        <v>1</v>
      </c>
      <c r="AL612" s="286">
        <v>11.9</v>
      </c>
      <c r="AM612" s="290">
        <v>70.5</v>
      </c>
      <c r="AN612" s="286" cm="1">
        <f t="array" aca="1" ref="AN612" ca="1">INDIRECT("'"&amp;$C612&amp;"'!"&amp;"$"&amp;$D612&amp;$AL$1&amp;"")</f>
        <v>4</v>
      </c>
      <c r="AO612" s="289">
        <v>0.98</v>
      </c>
      <c r="AP612" s="287">
        <v>0.8</v>
      </c>
      <c r="AQ612" s="288" cm="1">
        <f t="array" aca="1" ref="AQ612" ca="1">INDIRECT("'"&amp;$C612&amp;"'!"&amp;"$"&amp;$D612&amp;$AQ$1&amp;"")</f>
        <v>4</v>
      </c>
      <c r="AR612" s="289">
        <v>0.98</v>
      </c>
      <c r="AS612" s="287">
        <v>0.8</v>
      </c>
      <c r="AT612" s="289" cm="1">
        <f t="array" aca="1" ref="AT612" ca="1">INDIRECT("'"&amp;$C612&amp;"'!"&amp;"$"&amp;$D612&amp;$AT$1&amp;"")</f>
        <v>0</v>
      </c>
      <c r="AU612" s="288" t="s">
        <v>1</v>
      </c>
      <c r="AV612" s="289" t="s">
        <v>1</v>
      </c>
      <c r="AW612" s="287" t="s">
        <v>1</v>
      </c>
      <c r="AX612" s="291">
        <v>14.12</v>
      </c>
      <c r="AY612" s="290">
        <v>71.41</v>
      </c>
      <c r="AZ612" s="291" cm="1">
        <f t="array" aca="1" ref="AZ612" ca="1">INDIRECT("'"&amp;$C612&amp;"'!"&amp;"$"&amp;$D612&amp;$AZ$1&amp;"")</f>
        <v>14.29</v>
      </c>
      <c r="BA612" s="289">
        <v>0.99</v>
      </c>
      <c r="BB612" s="287">
        <v>2.4</v>
      </c>
      <c r="BC612" s="292">
        <v>68.400000000000006</v>
      </c>
      <c r="BD612" s="286" cm="1">
        <f t="array" aca="1" ref="BD612" ca="1">INDIRECT("'"&amp;$C612&amp;"'!"&amp;"$"&amp;$D612&amp;$BC$1&amp;"")</f>
        <v>0</v>
      </c>
      <c r="BE612" s="288" t="s">
        <v>1</v>
      </c>
      <c r="BF612" s="287" t="s">
        <v>1</v>
      </c>
      <c r="BG612" s="291" cm="1">
        <f t="array" aca="1" ref="BG612" ca="1">INDIRECT("'"&amp;$C612&amp;"'!"&amp;"$"&amp;$D612&amp;$BG$1&amp;"")</f>
        <v>1.18</v>
      </c>
      <c r="BH612" s="289"/>
      <c r="BI612" s="289">
        <v>0.99</v>
      </c>
      <c r="BJ612" s="287">
        <v>0.2</v>
      </c>
      <c r="BK612" s="292" cm="1">
        <f t="array" aca="1" ref="BK612" ca="1">INDIRECT("'"&amp;$C612&amp;"'!"&amp;"$"&amp;$D612&amp;$BK$1&amp;"")</f>
        <v>0.77</v>
      </c>
      <c r="BL612" s="289"/>
      <c r="BM612" s="289">
        <v>0.95</v>
      </c>
      <c r="BN612" s="287">
        <v>0.21</v>
      </c>
    </row>
    <row r="613" spans="1:66" ht="14.45" thickBot="1">
      <c r="A613" s="360">
        <v>45772</v>
      </c>
      <c r="B613" s="358">
        <v>0.33333333333333398</v>
      </c>
      <c r="C613" s="313">
        <f t="shared" si="24"/>
        <v>25</v>
      </c>
      <c r="D613" s="314" t="s">
        <v>135</v>
      </c>
      <c r="E613" s="293">
        <v>14.2</v>
      </c>
      <c r="F613" s="294">
        <v>69.16</v>
      </c>
      <c r="G613" s="295" cm="1">
        <f t="array" aca="1" ref="G613" ca="1">INDIRECT("'"&amp;$C613&amp;"'!"&amp;"$"&amp;$D613&amp;$E$1&amp;"")</f>
        <v>7</v>
      </c>
      <c r="H613" s="296">
        <v>0.95</v>
      </c>
      <c r="I613" s="294">
        <v>2.34</v>
      </c>
      <c r="J613" s="295" cm="1">
        <f t="array" aca="1" ref="J613" ca="1">INDIRECT("'"&amp;$C613&amp;"'!"&amp;"$"&amp;$D613&amp;$J$1&amp;"")</f>
        <v>0</v>
      </c>
      <c r="K613" s="296"/>
      <c r="L613" s="296" t="s">
        <v>1</v>
      </c>
      <c r="M613" s="294" t="s">
        <v>1</v>
      </c>
      <c r="N613" s="295" cm="1">
        <f t="array" aca="1" ref="N613" ca="1">INDIRECT("'"&amp;$C613&amp;"'!"&amp;"$"&amp;$D613&amp;$N$1&amp;"")</f>
        <v>7</v>
      </c>
      <c r="O613" s="296"/>
      <c r="P613" s="296">
        <v>0.93</v>
      </c>
      <c r="Q613" s="294">
        <v>2.73</v>
      </c>
      <c r="R613" s="295" cm="1">
        <f t="array" aca="1" ref="R613" ca="1">INDIRECT("'"&amp;$C613&amp;"'!"&amp;"$"&amp;$D613&amp;$R$1&amp;"")</f>
        <v>6.9</v>
      </c>
      <c r="S613" s="296"/>
      <c r="T613" s="296">
        <v>0.94</v>
      </c>
      <c r="U613" s="294">
        <v>2.4300000000000002</v>
      </c>
      <c r="V613" s="295" cm="1">
        <f t="array" aca="1" ref="V613" ca="1">INDIRECT("'"&amp;$C613&amp;"'!"&amp;"$"&amp;$D613&amp;$V$1&amp;"")</f>
        <v>2.7</v>
      </c>
      <c r="W613" s="296">
        <f>3.8*3.49</f>
        <v>13.262</v>
      </c>
      <c r="X613" s="296">
        <v>0.93</v>
      </c>
      <c r="Y613" s="297">
        <v>0.98</v>
      </c>
      <c r="Z613" s="293" cm="1">
        <f t="array" aca="1" ref="Z613" ca="1">INDIRECT("'"&amp;$C613&amp;"'!"&amp;"$"&amp;$D613&amp;$Z$1&amp;"")</f>
        <v>0</v>
      </c>
      <c r="AA613" s="296" t="s">
        <v>1</v>
      </c>
      <c r="AB613" s="296" t="s">
        <v>1</v>
      </c>
      <c r="AC613" s="294" t="s">
        <v>1</v>
      </c>
      <c r="AD613" s="295" cm="1">
        <f t="array" aca="1" ref="AD613" ca="1">INDIRECT("'"&amp;$C613&amp;"'!"&amp;"$"&amp;$D613&amp;$AD$1&amp;"")</f>
        <v>0</v>
      </c>
      <c r="AE613" s="296" t="s">
        <v>1</v>
      </c>
      <c r="AF613" s="296" t="s">
        <v>1</v>
      </c>
      <c r="AG613" s="297" t="s">
        <v>1</v>
      </c>
      <c r="AH613" s="293" cm="1">
        <f t="array" aca="1" ref="AH613" ca="1">INDIRECT("'"&amp;$C613&amp;"'!"&amp;"$"&amp;$D613&amp;$AH$1&amp;"")</f>
        <v>3.8</v>
      </c>
      <c r="AI613" s="296">
        <v>13.96</v>
      </c>
      <c r="AJ613" s="296">
        <v>0.99</v>
      </c>
      <c r="AK613" s="297">
        <v>0.42799999999999999</v>
      </c>
      <c r="AL613" s="293">
        <v>11.9</v>
      </c>
      <c r="AM613" s="297">
        <v>70.3</v>
      </c>
      <c r="AN613" s="293" cm="1">
        <f t="array" aca="1" ref="AN613" ca="1">INDIRECT("'"&amp;$C613&amp;"'!"&amp;"$"&amp;$D613&amp;$AL$1&amp;"")</f>
        <v>4.0999999999999996</v>
      </c>
      <c r="AO613" s="296">
        <v>0.97</v>
      </c>
      <c r="AP613" s="294">
        <v>0.9</v>
      </c>
      <c r="AQ613" s="295" cm="1">
        <f t="array" aca="1" ref="AQ613" ca="1">INDIRECT("'"&amp;$C613&amp;"'!"&amp;"$"&amp;$D613&amp;$AQ$1&amp;"")</f>
        <v>4.0999999999999996</v>
      </c>
      <c r="AR613" s="296">
        <v>0.97</v>
      </c>
      <c r="AS613" s="294">
        <v>0.9</v>
      </c>
      <c r="AT613" s="296" cm="1">
        <f t="array" aca="1" ref="AT613" ca="1">INDIRECT("'"&amp;$C613&amp;"'!"&amp;"$"&amp;$D613&amp;$AT$1&amp;"")</f>
        <v>0</v>
      </c>
      <c r="AU613" s="295" t="s">
        <v>1</v>
      </c>
      <c r="AV613" s="296" t="s">
        <v>1</v>
      </c>
      <c r="AW613" s="294" t="s">
        <v>1</v>
      </c>
      <c r="AX613" s="298">
        <v>14.13</v>
      </c>
      <c r="AY613" s="297">
        <v>71.459999999999994</v>
      </c>
      <c r="AZ613" s="298" cm="1">
        <f t="array" aca="1" ref="AZ613" ca="1">INDIRECT("'"&amp;$C613&amp;"'!"&amp;"$"&amp;$D613&amp;$AZ$1&amp;"")</f>
        <v>14.31</v>
      </c>
      <c r="BA613" s="296">
        <v>0.99</v>
      </c>
      <c r="BB613" s="294">
        <v>2.4</v>
      </c>
      <c r="BC613" s="299">
        <v>68.099999999999994</v>
      </c>
      <c r="BD613" s="293" cm="1">
        <f t="array" aca="1" ref="BD613" ca="1">INDIRECT("'"&amp;$C613&amp;"'!"&amp;"$"&amp;$D613&amp;$BC$1&amp;"")</f>
        <v>0</v>
      </c>
      <c r="BE613" s="295" t="s">
        <v>1</v>
      </c>
      <c r="BF613" s="294" t="s">
        <v>1</v>
      </c>
      <c r="BG613" s="298" cm="1">
        <f t="array" aca="1" ref="BG613" ca="1">INDIRECT("'"&amp;$C613&amp;"'!"&amp;"$"&amp;$D613&amp;$BG$1&amp;"")</f>
        <v>1.1499999999999999</v>
      </c>
      <c r="BH613" s="296"/>
      <c r="BI613" s="296">
        <v>0.98</v>
      </c>
      <c r="BJ613" s="294">
        <v>0.19</v>
      </c>
      <c r="BK613" s="299" cm="1">
        <f t="array" aca="1" ref="BK613" ca="1">INDIRECT("'"&amp;$C613&amp;"'!"&amp;"$"&amp;$D613&amp;$BK$1&amp;"")</f>
        <v>0.76</v>
      </c>
      <c r="BL613" s="296"/>
      <c r="BM613" s="296">
        <v>0.96</v>
      </c>
      <c r="BN613" s="294">
        <v>0.22</v>
      </c>
    </row>
    <row r="614" spans="1:66" ht="14.45" thickBot="1">
      <c r="A614" s="360">
        <v>45772</v>
      </c>
      <c r="B614" s="358">
        <v>0.375</v>
      </c>
      <c r="C614" s="313">
        <f t="shared" si="24"/>
        <v>25</v>
      </c>
      <c r="D614" s="314" t="s">
        <v>136</v>
      </c>
      <c r="E614" s="286">
        <v>14.2</v>
      </c>
      <c r="F614" s="287">
        <v>69.11</v>
      </c>
      <c r="G614" s="288" cm="1">
        <f t="array" aca="1" ref="G614" ca="1">INDIRECT("'"&amp;$C614&amp;"'!"&amp;"$"&amp;$D614&amp;$E$1&amp;"")</f>
        <v>6.5</v>
      </c>
      <c r="H614" s="289">
        <v>0.93</v>
      </c>
      <c r="I614" s="287">
        <v>2.56</v>
      </c>
      <c r="J614" s="288" cm="1">
        <f t="array" aca="1" ref="J614" ca="1">INDIRECT("'"&amp;$C614&amp;"'!"&amp;"$"&amp;$D614&amp;$J$1&amp;"")</f>
        <v>1.3</v>
      </c>
      <c r="K614" s="289"/>
      <c r="L614" s="289">
        <v>0.93</v>
      </c>
      <c r="M614" s="287">
        <v>0.56999999999999995</v>
      </c>
      <c r="N614" s="288" cm="1">
        <f t="array" aca="1" ref="N614" ca="1">INDIRECT("'"&amp;$C614&amp;"'!"&amp;"$"&amp;$D614&amp;$N$1&amp;"")</f>
        <v>6.4</v>
      </c>
      <c r="O614" s="289"/>
      <c r="P614" s="289">
        <v>0.93</v>
      </c>
      <c r="Q614" s="287">
        <v>2.4300000000000002</v>
      </c>
      <c r="R614" s="288" cm="1">
        <f t="array" aca="1" ref="R614" ca="1">INDIRECT("'"&amp;$C614&amp;"'!"&amp;"$"&amp;$D614&amp;$R$1&amp;"")</f>
        <v>6.5</v>
      </c>
      <c r="S614" s="289"/>
      <c r="T614" s="289">
        <v>0.92</v>
      </c>
      <c r="U614" s="287">
        <v>2.71</v>
      </c>
      <c r="V614" s="288" cm="1">
        <f t="array" aca="1" ref="V614" ca="1">INDIRECT("'"&amp;$C614&amp;"'!"&amp;"$"&amp;$D614&amp;$V$1&amp;"")</f>
        <v>2.8</v>
      </c>
      <c r="W614" s="289">
        <f>3.8*3.52</f>
        <v>13.375999999999999</v>
      </c>
      <c r="X614" s="289">
        <v>0.93</v>
      </c>
      <c r="Y614" s="290">
        <v>0.97</v>
      </c>
      <c r="Z614" s="286" cm="1">
        <f t="array" aca="1" ref="Z614" ca="1">INDIRECT("'"&amp;$C614&amp;"'!"&amp;"$"&amp;$D614&amp;$Z$1&amp;"")</f>
        <v>0</v>
      </c>
      <c r="AA614" s="289" t="s">
        <v>1</v>
      </c>
      <c r="AB614" s="289" t="s">
        <v>1</v>
      </c>
      <c r="AC614" s="287" t="s">
        <v>1</v>
      </c>
      <c r="AD614" s="288" cm="1">
        <f t="array" aca="1" ref="AD614" ca="1">INDIRECT("'"&amp;$C614&amp;"'!"&amp;"$"&amp;$D614&amp;$AD$1&amp;"")</f>
        <v>3.8</v>
      </c>
      <c r="AE614" s="289">
        <f>3.8*3.52</f>
        <v>13.375999999999999</v>
      </c>
      <c r="AF614" s="289">
        <v>0.98</v>
      </c>
      <c r="AG614" s="290">
        <v>1.56</v>
      </c>
      <c r="AH614" s="286" cm="1">
        <f t="array" aca="1" ref="AH614" ca="1">INDIRECT("'"&amp;$C614&amp;"'!"&amp;"$"&amp;$D614&amp;$AH$1&amp;"")</f>
        <v>3.8</v>
      </c>
      <c r="AI614" s="289">
        <v>13.92</v>
      </c>
      <c r="AJ614" s="289">
        <v>0.98</v>
      </c>
      <c r="AK614" s="287">
        <v>0.52600000000000002</v>
      </c>
      <c r="AL614" s="286">
        <v>11.9</v>
      </c>
      <c r="AM614" s="290">
        <v>70.400000000000006</v>
      </c>
      <c r="AN614" s="286" cm="1">
        <f t="array" aca="1" ref="AN614" ca="1">INDIRECT("'"&amp;$C614&amp;"'!"&amp;"$"&amp;$D614&amp;$AL$1&amp;"")</f>
        <v>4</v>
      </c>
      <c r="AO614" s="289">
        <v>0.98</v>
      </c>
      <c r="AP614" s="287">
        <v>0.6</v>
      </c>
      <c r="AQ614" s="288" cm="1">
        <f t="array" aca="1" ref="AQ614" ca="1">INDIRECT("'"&amp;$C614&amp;"'!"&amp;"$"&amp;$D614&amp;$AQ$1&amp;"")</f>
        <v>4</v>
      </c>
      <c r="AR614" s="289">
        <v>0.98</v>
      </c>
      <c r="AS614" s="287">
        <v>0.6</v>
      </c>
      <c r="AT614" s="289" cm="1">
        <f t="array" aca="1" ref="AT614" ca="1">INDIRECT("'"&amp;$C614&amp;"'!"&amp;"$"&amp;$D614&amp;$AT$1&amp;"")</f>
        <v>6</v>
      </c>
      <c r="AU614" s="288">
        <v>13.8</v>
      </c>
      <c r="AV614" s="289">
        <v>0.98</v>
      </c>
      <c r="AW614" s="287">
        <v>1.8</v>
      </c>
      <c r="AX614" s="291">
        <v>14.19</v>
      </c>
      <c r="AY614" s="290">
        <v>71.31</v>
      </c>
      <c r="AZ614" s="291" cm="1">
        <f t="array" aca="1" ref="AZ614" ca="1">INDIRECT("'"&amp;$C614&amp;"'!"&amp;"$"&amp;$D614&amp;$AZ$1&amp;"")</f>
        <v>14.33</v>
      </c>
      <c r="BA614" s="289">
        <v>0.98</v>
      </c>
      <c r="BB614" s="287">
        <v>3.4</v>
      </c>
      <c r="BC614" s="292">
        <v>67.7</v>
      </c>
      <c r="BD614" s="286" cm="1">
        <f t="array" aca="1" ref="BD614" ca="1">INDIRECT("'"&amp;$C614&amp;"'!"&amp;"$"&amp;$D614&amp;$BC$1&amp;"")</f>
        <v>0.8</v>
      </c>
      <c r="BE614" s="288">
        <v>0.96</v>
      </c>
      <c r="BF614" s="287">
        <v>0.23</v>
      </c>
      <c r="BG614" s="291" cm="1">
        <f t="array" aca="1" ref="BG614" ca="1">INDIRECT("'"&amp;$C614&amp;"'!"&amp;"$"&amp;$D614&amp;$BG$1&amp;"")</f>
        <v>1.38</v>
      </c>
      <c r="BH614" s="289"/>
      <c r="BI614" s="289">
        <v>0.99</v>
      </c>
      <c r="BJ614" s="287">
        <v>0.2</v>
      </c>
      <c r="BK614" s="292" cm="1">
        <f t="array" aca="1" ref="BK614" ca="1">INDIRECT("'"&amp;$C614&amp;"'!"&amp;"$"&amp;$D614&amp;$BK$1&amp;"")</f>
        <v>0.81</v>
      </c>
      <c r="BL614" s="289"/>
      <c r="BM614" s="289">
        <v>0.99</v>
      </c>
      <c r="BN614" s="287">
        <v>0.2</v>
      </c>
    </row>
    <row r="615" spans="1:66" ht="14.45" thickBot="1">
      <c r="A615" s="360">
        <v>45772</v>
      </c>
      <c r="B615" s="358">
        <v>0.41666666666666702</v>
      </c>
      <c r="C615" s="313">
        <f t="shared" si="24"/>
        <v>25</v>
      </c>
      <c r="D615" s="314" t="s">
        <v>137</v>
      </c>
      <c r="E615" s="293">
        <v>14.2</v>
      </c>
      <c r="F615" s="294">
        <v>68.48</v>
      </c>
      <c r="G615" s="295" cm="1">
        <f t="array" aca="1" ref="G615" ca="1">INDIRECT("'"&amp;$C615&amp;"'!"&amp;"$"&amp;$D615&amp;$E$1&amp;"")</f>
        <v>6.3</v>
      </c>
      <c r="H615" s="296">
        <v>0.92</v>
      </c>
      <c r="I615" s="294">
        <v>2.7</v>
      </c>
      <c r="J615" s="295" cm="1">
        <f t="array" aca="1" ref="J615" ca="1">INDIRECT("'"&amp;$C615&amp;"'!"&amp;"$"&amp;$D615&amp;$J$1&amp;"")</f>
        <v>2.5</v>
      </c>
      <c r="K615" s="296"/>
      <c r="L615" s="296">
        <v>0.92</v>
      </c>
      <c r="M615" s="294">
        <v>1.1000000000000001</v>
      </c>
      <c r="N615" s="295" cm="1">
        <f t="array" aca="1" ref="N615" ca="1">INDIRECT("'"&amp;$C615&amp;"'!"&amp;"$"&amp;$D615&amp;$N$1&amp;"")</f>
        <v>5.7</v>
      </c>
      <c r="O615" s="296"/>
      <c r="P615" s="296">
        <v>0.93</v>
      </c>
      <c r="Q615" s="294">
        <v>2.21</v>
      </c>
      <c r="R615" s="295" cm="1">
        <f t="array" aca="1" ref="R615" ca="1">INDIRECT("'"&amp;$C615&amp;"'!"&amp;"$"&amp;$D615&amp;$R$1&amp;"")</f>
        <v>5.7</v>
      </c>
      <c r="S615" s="296"/>
      <c r="T615" s="296">
        <v>0.88</v>
      </c>
      <c r="U615" s="294">
        <v>3.12</v>
      </c>
      <c r="V615" s="295" cm="1">
        <f t="array" aca="1" ref="V615" ca="1">INDIRECT("'"&amp;$C615&amp;"'!"&amp;"$"&amp;$D615&amp;$V$1&amp;"")</f>
        <v>2.8</v>
      </c>
      <c r="W615" s="296">
        <f>3.8*3.47</f>
        <v>13.186</v>
      </c>
      <c r="X615" s="296">
        <v>0.91</v>
      </c>
      <c r="Y615" s="297">
        <v>1.1299999999999999</v>
      </c>
      <c r="Z615" s="293" cm="1">
        <f t="array" aca="1" ref="Z615" ca="1">INDIRECT("'"&amp;$C615&amp;"'!"&amp;"$"&amp;$D615&amp;$Z$1&amp;"")</f>
        <v>0</v>
      </c>
      <c r="AA615" s="296" t="s">
        <v>1</v>
      </c>
      <c r="AB615" s="296" t="s">
        <v>1</v>
      </c>
      <c r="AC615" s="294" t="s">
        <v>1</v>
      </c>
      <c r="AD615" s="295" cm="1">
        <f t="array" aca="1" ref="AD615" ca="1">INDIRECT("'"&amp;$C615&amp;"'!"&amp;"$"&amp;$D615&amp;$AD$1&amp;"")</f>
        <v>3.8</v>
      </c>
      <c r="AE615" s="296">
        <f>3.8*3.47</f>
        <v>13.186</v>
      </c>
      <c r="AF615" s="296">
        <v>0.91</v>
      </c>
      <c r="AG615" s="297">
        <v>1.79</v>
      </c>
      <c r="AH615" s="293" cm="1">
        <f t="array" aca="1" ref="AH615" ca="1">INDIRECT("'"&amp;$C615&amp;"'!"&amp;"$"&amp;$D615&amp;$AH$1&amp;"")</f>
        <v>3.8</v>
      </c>
      <c r="AI615" s="296">
        <v>14</v>
      </c>
      <c r="AJ615" s="296">
        <v>0.96</v>
      </c>
      <c r="AK615" s="294">
        <v>0.98</v>
      </c>
      <c r="AL615" s="293">
        <v>11.9</v>
      </c>
      <c r="AM615" s="297">
        <v>70.599999999999994</v>
      </c>
      <c r="AN615" s="293" cm="1">
        <f t="array" aca="1" ref="AN615" ca="1">INDIRECT("'"&amp;$C615&amp;"'!"&amp;"$"&amp;$D615&amp;$AL$1&amp;"")</f>
        <v>4</v>
      </c>
      <c r="AO615" s="296">
        <v>0.97</v>
      </c>
      <c r="AP615" s="294">
        <v>0.7</v>
      </c>
      <c r="AQ615" s="295" cm="1">
        <f t="array" aca="1" ref="AQ615" ca="1">INDIRECT("'"&amp;$C615&amp;"'!"&amp;"$"&amp;$D615&amp;$AQ$1&amp;"")</f>
        <v>4</v>
      </c>
      <c r="AR615" s="296">
        <v>0.97</v>
      </c>
      <c r="AS615" s="294">
        <v>0.7</v>
      </c>
      <c r="AT615" s="296" cm="1">
        <f t="array" aca="1" ref="AT615" ca="1">INDIRECT("'"&amp;$C615&amp;"'!"&amp;"$"&amp;$D615&amp;$AT$1&amp;"")</f>
        <v>8.5</v>
      </c>
      <c r="AU615" s="295">
        <v>13.9</v>
      </c>
      <c r="AV615" s="296">
        <v>0.97</v>
      </c>
      <c r="AW615" s="294">
        <v>0.21</v>
      </c>
      <c r="AX615" s="298">
        <v>14.2</v>
      </c>
      <c r="AY615" s="297">
        <v>71.31</v>
      </c>
      <c r="AZ615" s="298" cm="1">
        <f t="array" aca="1" ref="AZ615" ca="1">INDIRECT("'"&amp;$C615&amp;"'!"&amp;"$"&amp;$D615&amp;$AZ$1&amp;"")</f>
        <v>14.31</v>
      </c>
      <c r="BA615" s="296">
        <v>0.98</v>
      </c>
      <c r="BB615" s="294">
        <v>3.5</v>
      </c>
      <c r="BC615" s="299">
        <v>67.2</v>
      </c>
      <c r="BD615" s="293" cm="1">
        <f t="array" aca="1" ref="BD615" ca="1">INDIRECT("'"&amp;$C615&amp;"'!"&amp;"$"&amp;$D615&amp;$BC$1&amp;"")</f>
        <v>4</v>
      </c>
      <c r="BE615" s="295">
        <v>0.96</v>
      </c>
      <c r="BF615" s="294">
        <v>1.1000000000000001</v>
      </c>
      <c r="BG615" s="298" cm="1">
        <f t="array" aca="1" ref="BG615" ca="1">INDIRECT("'"&amp;$C615&amp;"'!"&amp;"$"&amp;$D615&amp;$BG$1&amp;"")</f>
        <v>1.4</v>
      </c>
      <c r="BH615" s="296"/>
      <c r="BI615" s="296">
        <v>0.99</v>
      </c>
      <c r="BJ615" s="294">
        <v>0.2</v>
      </c>
      <c r="BK615" s="299" cm="1">
        <f t="array" aca="1" ref="BK615" ca="1">INDIRECT("'"&amp;$C615&amp;"'!"&amp;"$"&amp;$D615&amp;$BK$1&amp;"")</f>
        <v>0.84</v>
      </c>
      <c r="BL615" s="296"/>
      <c r="BM615" s="296">
        <v>0.96</v>
      </c>
      <c r="BN615" s="294">
        <v>0.24</v>
      </c>
    </row>
    <row r="616" spans="1:66" ht="14.45" thickBot="1">
      <c r="A616" s="360">
        <v>45772</v>
      </c>
      <c r="B616" s="358">
        <v>0.45833333333333398</v>
      </c>
      <c r="C616" s="313">
        <f t="shared" si="24"/>
        <v>25</v>
      </c>
      <c r="D616" s="314" t="s">
        <v>138</v>
      </c>
      <c r="E616" s="286">
        <v>14.2</v>
      </c>
      <c r="F616" s="287">
        <v>69.349999999999994</v>
      </c>
      <c r="G616" s="288" cm="1">
        <f t="array" aca="1" ref="G616" ca="1">INDIRECT("'"&amp;$C616&amp;"'!"&amp;"$"&amp;$D616&amp;$E$1&amp;"")</f>
        <v>6.3</v>
      </c>
      <c r="H616" s="289">
        <v>0.91</v>
      </c>
      <c r="I616" s="287">
        <v>2.85</v>
      </c>
      <c r="J616" s="288" cm="1">
        <f t="array" aca="1" ref="J616" ca="1">INDIRECT("'"&amp;$C616&amp;"'!"&amp;"$"&amp;$D616&amp;$J$1&amp;"")</f>
        <v>1</v>
      </c>
      <c r="K616" s="289"/>
      <c r="L616" s="289">
        <v>0.94</v>
      </c>
      <c r="M616" s="287">
        <v>0.4</v>
      </c>
      <c r="N616" s="288" cm="1">
        <f t="array" aca="1" ref="N616" ca="1">INDIRECT("'"&amp;$C616&amp;"'!"&amp;"$"&amp;$D616&amp;$N$1&amp;"")</f>
        <v>6.5</v>
      </c>
      <c r="O616" s="289"/>
      <c r="P616" s="289">
        <v>0.91</v>
      </c>
      <c r="Q616" s="287">
        <v>2.89</v>
      </c>
      <c r="R616" s="288" cm="1">
        <f t="array" aca="1" ref="R616" ca="1">INDIRECT("'"&amp;$C616&amp;"'!"&amp;"$"&amp;$D616&amp;$R$1&amp;"")</f>
        <v>6.6</v>
      </c>
      <c r="S616" s="289"/>
      <c r="T616" s="289">
        <v>0.92</v>
      </c>
      <c r="U616" s="287">
        <v>2.83</v>
      </c>
      <c r="V616" s="288" cm="1">
        <f t="array" aca="1" ref="V616" ca="1">INDIRECT("'"&amp;$C616&amp;"'!"&amp;"$"&amp;$D616&amp;$V$1&amp;"")</f>
        <v>2.8</v>
      </c>
      <c r="W616" s="289">
        <f>3.53*3.8</f>
        <v>13.413999999999998</v>
      </c>
      <c r="X616" s="289">
        <v>0.9</v>
      </c>
      <c r="Y616" s="290">
        <v>1.32</v>
      </c>
      <c r="Z616" s="286" cm="1">
        <f t="array" aca="1" ref="Z616" ca="1">INDIRECT("'"&amp;$C616&amp;"'!"&amp;"$"&amp;$D616&amp;$Z$1&amp;"")</f>
        <v>0</v>
      </c>
      <c r="AA616" s="289" t="s">
        <v>1</v>
      </c>
      <c r="AB616" s="289" t="s">
        <v>1</v>
      </c>
      <c r="AC616" s="287" t="s">
        <v>1</v>
      </c>
      <c r="AD616" s="288" cm="1">
        <f t="array" aca="1" ref="AD616" ca="1">INDIRECT("'"&amp;$C616&amp;"'!"&amp;"$"&amp;$D616&amp;$AD$1&amp;"")</f>
        <v>3.8</v>
      </c>
      <c r="AE616" s="289">
        <f>3.53*3.8</f>
        <v>13.413999999999998</v>
      </c>
      <c r="AF616" s="289">
        <v>0.91</v>
      </c>
      <c r="AG616" s="290">
        <v>0.97</v>
      </c>
      <c r="AH616" s="286" cm="1">
        <f t="array" aca="1" ref="AH616" ca="1">INDIRECT("'"&amp;$C616&amp;"'!"&amp;"$"&amp;$D616&amp;$AH$1&amp;"")</f>
        <v>3.8</v>
      </c>
      <c r="AI616" s="289">
        <v>14.04</v>
      </c>
      <c r="AJ616" s="289">
        <v>0.97</v>
      </c>
      <c r="AK616" s="287">
        <v>0.69899999999999995</v>
      </c>
      <c r="AL616" s="286">
        <v>11.9</v>
      </c>
      <c r="AM616" s="290">
        <v>70.8</v>
      </c>
      <c r="AN616" s="286" cm="1">
        <f t="array" aca="1" ref="AN616" ca="1">INDIRECT("'"&amp;$C616&amp;"'!"&amp;"$"&amp;$D616&amp;$AL$1&amp;"")</f>
        <v>4.3</v>
      </c>
      <c r="AO616" s="289">
        <v>0.97</v>
      </c>
      <c r="AP616" s="287">
        <v>0.7</v>
      </c>
      <c r="AQ616" s="288" cm="1">
        <f t="array" aca="1" ref="AQ616" ca="1">INDIRECT("'"&amp;$C616&amp;"'!"&amp;"$"&amp;$D616&amp;$AQ$1&amp;"")</f>
        <v>4.3</v>
      </c>
      <c r="AR616" s="289">
        <v>0.97</v>
      </c>
      <c r="AS616" s="287">
        <v>0.7</v>
      </c>
      <c r="AT616" s="289" cm="1">
        <f t="array" aca="1" ref="AT616" ca="1">INDIRECT("'"&amp;$C616&amp;"'!"&amp;"$"&amp;$D616&amp;$AT$1&amp;"")</f>
        <v>8.3000000000000007</v>
      </c>
      <c r="AU616" s="288">
        <v>13.95</v>
      </c>
      <c r="AV616" s="289">
        <v>0.98</v>
      </c>
      <c r="AW616" s="287">
        <v>2.1</v>
      </c>
      <c r="AX616" s="291">
        <v>14.36</v>
      </c>
      <c r="AY616" s="290">
        <v>71.8</v>
      </c>
      <c r="AZ616" s="291" cm="1">
        <f t="array" aca="1" ref="AZ616" ca="1">INDIRECT("'"&amp;$C616&amp;"'!"&amp;"$"&amp;$D616&amp;$AZ$1&amp;"")</f>
        <v>14.29</v>
      </c>
      <c r="BA616" s="289">
        <v>0.96</v>
      </c>
      <c r="BB616" s="287">
        <v>4.5</v>
      </c>
      <c r="BC616" s="292">
        <v>67.400000000000006</v>
      </c>
      <c r="BD616" s="286" cm="1">
        <f t="array" aca="1" ref="BD616" ca="1">INDIRECT("'"&amp;$C616&amp;"'!"&amp;"$"&amp;$D616&amp;$BC$1&amp;"")</f>
        <v>4</v>
      </c>
      <c r="BE616" s="288">
        <v>0.96</v>
      </c>
      <c r="BF616" s="287">
        <v>1.1000000000000001</v>
      </c>
      <c r="BG616" s="291" cm="1">
        <f t="array" aca="1" ref="BG616" ca="1">INDIRECT("'"&amp;$C616&amp;"'!"&amp;"$"&amp;$D616&amp;$BG$1&amp;"")</f>
        <v>1.47</v>
      </c>
      <c r="BH616" s="289"/>
      <c r="BI616" s="289">
        <v>0.99</v>
      </c>
      <c r="BJ616" s="287">
        <v>0.22</v>
      </c>
      <c r="BK616" s="292" cm="1">
        <f t="array" aca="1" ref="BK616" ca="1">INDIRECT("'"&amp;$C616&amp;"'!"&amp;"$"&amp;$D616&amp;$BK$1&amp;"")</f>
        <v>0.85</v>
      </c>
      <c r="BL616" s="289"/>
      <c r="BM616" s="289">
        <v>0.96</v>
      </c>
      <c r="BN616" s="287">
        <v>0.25</v>
      </c>
    </row>
    <row r="617" spans="1:66" ht="14.45" thickBot="1">
      <c r="A617" s="360">
        <v>45772</v>
      </c>
      <c r="B617" s="358">
        <v>0.5</v>
      </c>
      <c r="C617" s="313">
        <f t="shared" si="24"/>
        <v>25</v>
      </c>
      <c r="D617" s="314" t="s">
        <v>139</v>
      </c>
      <c r="E617" s="293">
        <v>14.3</v>
      </c>
      <c r="F617" s="294">
        <v>69.25</v>
      </c>
      <c r="G617" s="295" cm="1">
        <f t="array" aca="1" ref="G617" ca="1">INDIRECT("'"&amp;$C617&amp;"'!"&amp;"$"&amp;$D617&amp;$E$1&amp;"")</f>
        <v>6</v>
      </c>
      <c r="H617" s="296">
        <v>0.91</v>
      </c>
      <c r="I617" s="294">
        <v>2.67</v>
      </c>
      <c r="J617" s="295" cm="1">
        <f t="array" aca="1" ref="J617" ca="1">INDIRECT("'"&amp;$C617&amp;"'!"&amp;"$"&amp;$D617&amp;$J$1&amp;"")</f>
        <v>4.5</v>
      </c>
      <c r="K617" s="296"/>
      <c r="L617" s="296">
        <v>0.91</v>
      </c>
      <c r="M617" s="294">
        <v>2.0499999999999998</v>
      </c>
      <c r="N617" s="295" cm="1">
        <f t="array" aca="1" ref="N617" ca="1">INDIRECT("'"&amp;$C617&amp;"'!"&amp;"$"&amp;$D617&amp;$N$1&amp;"")</f>
        <v>5.9</v>
      </c>
      <c r="O617" s="296"/>
      <c r="P617" s="296">
        <v>0.92</v>
      </c>
      <c r="Q617" s="294">
        <v>2.6</v>
      </c>
      <c r="R617" s="295" cm="1">
        <f t="array" aca="1" ref="R617" ca="1">INDIRECT("'"&amp;$C617&amp;"'!"&amp;"$"&amp;$D617&amp;$R$1&amp;"")</f>
        <v>6.2</v>
      </c>
      <c r="S617" s="296"/>
      <c r="T617" s="296">
        <v>0.92</v>
      </c>
      <c r="U617" s="294">
        <v>2.64</v>
      </c>
      <c r="V617" s="295" cm="1">
        <f t="array" aca="1" ref="V617" ca="1">INDIRECT("'"&amp;$C617&amp;"'!"&amp;"$"&amp;$D617&amp;$V$1&amp;"")</f>
        <v>2.8</v>
      </c>
      <c r="W617" s="296">
        <f>3.51*3.8</f>
        <v>13.337999999999999</v>
      </c>
      <c r="X617" s="296">
        <v>0.9</v>
      </c>
      <c r="Y617" s="297">
        <v>1.3</v>
      </c>
      <c r="Z617" s="293" cm="1">
        <f t="array" aca="1" ref="Z617" ca="1">INDIRECT("'"&amp;$C617&amp;"'!"&amp;"$"&amp;$D617&amp;$Z$1&amp;"")</f>
        <v>0</v>
      </c>
      <c r="AA617" s="296" t="s">
        <v>1</v>
      </c>
      <c r="AB617" s="296" t="s">
        <v>1</v>
      </c>
      <c r="AC617" s="294" t="s">
        <v>1</v>
      </c>
      <c r="AD617" s="295" cm="1">
        <f t="array" aca="1" ref="AD617" ca="1">INDIRECT("'"&amp;$C617&amp;"'!"&amp;"$"&amp;$D617&amp;$AD$1&amp;"")</f>
        <v>3.8</v>
      </c>
      <c r="AE617" s="296">
        <f>3.51*3.8</f>
        <v>13.337999999999999</v>
      </c>
      <c r="AF617" s="296">
        <v>0.9</v>
      </c>
      <c r="AG617" s="297">
        <v>1.94</v>
      </c>
      <c r="AH617" s="293" cm="1">
        <f t="array" aca="1" ref="AH617" ca="1">INDIRECT("'"&amp;$C617&amp;"'!"&amp;"$"&amp;$D617&amp;$AH$1&amp;"")</f>
        <v>3.8</v>
      </c>
      <c r="AI617" s="296">
        <v>14.08</v>
      </c>
      <c r="AJ617" s="296">
        <v>0.99</v>
      </c>
      <c r="AK617" s="294">
        <v>0.42099999999999999</v>
      </c>
      <c r="AL617" s="293">
        <v>11.9</v>
      </c>
      <c r="AM617" s="297">
        <v>71</v>
      </c>
      <c r="AN617" s="293" cm="1">
        <f t="array" aca="1" ref="AN617" ca="1">INDIRECT("'"&amp;$C617&amp;"'!"&amp;"$"&amp;$D617&amp;$AL$1&amp;"")</f>
        <v>4.2</v>
      </c>
      <c r="AO617" s="296">
        <v>0.98</v>
      </c>
      <c r="AP617" s="294">
        <v>0.6</v>
      </c>
      <c r="AQ617" s="295" cm="1">
        <f t="array" aca="1" ref="AQ617" ca="1">INDIRECT("'"&amp;$C617&amp;"'!"&amp;"$"&amp;$D617&amp;$AQ$1&amp;"")</f>
        <v>4.2</v>
      </c>
      <c r="AR617" s="296">
        <v>0.98</v>
      </c>
      <c r="AS617" s="294">
        <v>0.6</v>
      </c>
      <c r="AT617" s="296" cm="1">
        <f t="array" aca="1" ref="AT617" ca="1">INDIRECT("'"&amp;$C617&amp;"'!"&amp;"$"&amp;$D617&amp;$AT$1&amp;"")</f>
        <v>8</v>
      </c>
      <c r="AU617" s="295">
        <v>13.95</v>
      </c>
      <c r="AV617" s="296">
        <v>0.98</v>
      </c>
      <c r="AW617" s="294">
        <v>1.4</v>
      </c>
      <c r="AX617" s="298">
        <v>14.47</v>
      </c>
      <c r="AY617" s="297">
        <v>72.25</v>
      </c>
      <c r="AZ617" s="298" cm="1">
        <f t="array" aca="1" ref="AZ617" ca="1">INDIRECT("'"&amp;$C617&amp;"'!"&amp;"$"&amp;$D617&amp;$AZ$1&amp;"")</f>
        <v>14.29</v>
      </c>
      <c r="BA617" s="296">
        <v>0.96</v>
      </c>
      <c r="BB617" s="294">
        <v>4.5999999999999996</v>
      </c>
      <c r="BC617" s="299">
        <v>67.8</v>
      </c>
      <c r="BD617" s="293" cm="1">
        <f t="array" aca="1" ref="BD617" ca="1">INDIRECT("'"&amp;$C617&amp;"'!"&amp;"$"&amp;$D617&amp;$BC$1&amp;"")</f>
        <v>2.25</v>
      </c>
      <c r="BE617" s="295">
        <v>0.96</v>
      </c>
      <c r="BF617" s="294">
        <v>0.64</v>
      </c>
      <c r="BG617" s="298" cm="1">
        <f t="array" aca="1" ref="BG617" ca="1">INDIRECT("'"&amp;$C617&amp;"'!"&amp;"$"&amp;$D617&amp;$BG$1&amp;"")</f>
        <v>1.49</v>
      </c>
      <c r="BH617" s="296"/>
      <c r="BI617" s="296">
        <v>0.99</v>
      </c>
      <c r="BJ617" s="294">
        <v>0.24</v>
      </c>
      <c r="BK617" s="299" cm="1">
        <f t="array" aca="1" ref="BK617" ca="1">INDIRECT("'"&amp;$C617&amp;"'!"&amp;"$"&amp;$D617&amp;$BK$1&amp;"")</f>
        <v>0.89</v>
      </c>
      <c r="BL617" s="296"/>
      <c r="BM617" s="296">
        <v>0.96</v>
      </c>
      <c r="BN617" s="294">
        <v>0.26</v>
      </c>
    </row>
    <row r="618" spans="1:66" ht="14.45" thickBot="1">
      <c r="A618" s="360">
        <v>45772</v>
      </c>
      <c r="B618" s="358">
        <v>0.54166666666666696</v>
      </c>
      <c r="C618" s="313">
        <f t="shared" si="24"/>
        <v>25</v>
      </c>
      <c r="D618" s="314" t="s">
        <v>140</v>
      </c>
      <c r="E618" s="286">
        <v>14.3</v>
      </c>
      <c r="F618" s="287">
        <v>68.92</v>
      </c>
      <c r="G618" s="288" cm="1">
        <f t="array" aca="1" ref="G618" ca="1">INDIRECT("'"&amp;$C618&amp;"'!"&amp;"$"&amp;$D618&amp;$E$1&amp;"")</f>
        <v>6.5</v>
      </c>
      <c r="H618" s="289">
        <v>0.91</v>
      </c>
      <c r="I618" s="287">
        <v>2.88</v>
      </c>
      <c r="J618" s="288" cm="1">
        <f t="array" aca="1" ref="J618" ca="1">INDIRECT("'"&amp;$C618&amp;"'!"&amp;"$"&amp;$D618&amp;$J$1&amp;"")</f>
        <v>6.7</v>
      </c>
      <c r="K618" s="289"/>
      <c r="L618" s="289">
        <v>0.91</v>
      </c>
      <c r="M618" s="287">
        <v>3.05</v>
      </c>
      <c r="N618" s="288" cm="1">
        <f t="array" aca="1" ref="N618" ca="1">INDIRECT("'"&amp;$C618&amp;"'!"&amp;"$"&amp;$D618&amp;$N$1&amp;"")</f>
        <v>6.4</v>
      </c>
      <c r="O618" s="289"/>
      <c r="P618" s="289">
        <v>0.92</v>
      </c>
      <c r="Q618" s="287">
        <v>2.78</v>
      </c>
      <c r="R618" s="288" cm="1">
        <f t="array" aca="1" ref="R618" ca="1">INDIRECT("'"&amp;$C618&amp;"'!"&amp;"$"&amp;$D618&amp;$R$1&amp;"")</f>
        <v>6.3</v>
      </c>
      <c r="S618" s="289"/>
      <c r="T618" s="289">
        <v>0.93</v>
      </c>
      <c r="U618" s="287">
        <v>2.54</v>
      </c>
      <c r="V618" s="288" cm="1">
        <f t="array" aca="1" ref="V618" ca="1">INDIRECT("'"&amp;$C618&amp;"'!"&amp;"$"&amp;$D618&amp;$V$1&amp;"")</f>
        <v>2.7</v>
      </c>
      <c r="W618" s="289">
        <f>3.48*3.8</f>
        <v>13.224</v>
      </c>
      <c r="X618" s="289">
        <v>0.9</v>
      </c>
      <c r="Y618" s="290">
        <v>1.3</v>
      </c>
      <c r="Z618" s="286" cm="1">
        <f t="array" aca="1" ref="Z618" ca="1">INDIRECT("'"&amp;$C618&amp;"'!"&amp;"$"&amp;$D618&amp;$Z$1&amp;"")</f>
        <v>0</v>
      </c>
      <c r="AA618" s="289" t="s">
        <v>1</v>
      </c>
      <c r="AB618" s="289" t="s">
        <v>1</v>
      </c>
      <c r="AC618" s="287" t="s">
        <v>1</v>
      </c>
      <c r="AD618" s="288" cm="1">
        <f t="array" aca="1" ref="AD618" ca="1">INDIRECT("'"&amp;$C618&amp;"'!"&amp;"$"&amp;$D618&amp;$AD$1&amp;"")</f>
        <v>3.8</v>
      </c>
      <c r="AE618" s="289">
        <f>3.48*3.8</f>
        <v>13.224</v>
      </c>
      <c r="AF618" s="289">
        <v>0.9</v>
      </c>
      <c r="AG618" s="290">
        <v>1.3</v>
      </c>
      <c r="AH618" s="286" cm="1">
        <f t="array" aca="1" ref="AH618" ca="1">INDIRECT("'"&amp;$C618&amp;"'!"&amp;"$"&amp;$D618&amp;$AH$1&amp;"")</f>
        <v>3.8</v>
      </c>
      <c r="AI618" s="289">
        <v>14.04</v>
      </c>
      <c r="AJ618" s="289">
        <v>0.97</v>
      </c>
      <c r="AK618" s="287">
        <v>0.627</v>
      </c>
      <c r="AL618" s="286">
        <v>11.9</v>
      </c>
      <c r="AM618" s="290">
        <v>71</v>
      </c>
      <c r="AN618" s="286" cm="1">
        <f t="array" aca="1" ref="AN618" ca="1">INDIRECT("'"&amp;$C618&amp;"'!"&amp;"$"&amp;$D618&amp;$AL$1&amp;"")</f>
        <v>4.2</v>
      </c>
      <c r="AO618" s="289">
        <v>0.98</v>
      </c>
      <c r="AP618" s="287">
        <v>0.6</v>
      </c>
      <c r="AQ618" s="288" cm="1">
        <f t="array" aca="1" ref="AQ618" ca="1">INDIRECT("'"&amp;$C618&amp;"'!"&amp;"$"&amp;$D618&amp;$AQ$1&amp;"")</f>
        <v>4.2</v>
      </c>
      <c r="AR618" s="289">
        <v>0.98</v>
      </c>
      <c r="AS618" s="287">
        <v>0.6</v>
      </c>
      <c r="AT618" s="289" cm="1">
        <f t="array" aca="1" ref="AT618" ca="1">INDIRECT("'"&amp;$C618&amp;"'!"&amp;"$"&amp;$D618&amp;$AT$1&amp;"")</f>
        <v>8</v>
      </c>
      <c r="AU618" s="288">
        <v>13.95</v>
      </c>
      <c r="AV618" s="289">
        <v>0.97</v>
      </c>
      <c r="AW618" s="287">
        <v>1.8</v>
      </c>
      <c r="AX618" s="291">
        <v>14.4</v>
      </c>
      <c r="AY618" s="290">
        <v>71.930000000000007</v>
      </c>
      <c r="AZ618" s="291" cm="1">
        <f t="array" aca="1" ref="AZ618" ca="1">INDIRECT("'"&amp;$C618&amp;"'!"&amp;"$"&amp;$D618&amp;$AZ$1&amp;"")</f>
        <v>14.3</v>
      </c>
      <c r="BA618" s="289">
        <v>0.96</v>
      </c>
      <c r="BB618" s="287">
        <v>4.5999999999999996</v>
      </c>
      <c r="BC618" s="292">
        <v>67.400000000000006</v>
      </c>
      <c r="BD618" s="286" cm="1">
        <f t="array" aca="1" ref="BD618" ca="1">INDIRECT("'"&amp;$C618&amp;"'!"&amp;"$"&amp;$D618&amp;$BC$1&amp;"")</f>
        <v>0</v>
      </c>
      <c r="BE618" s="288" t="s">
        <v>1</v>
      </c>
      <c r="BF618" s="287" t="s">
        <v>1</v>
      </c>
      <c r="BG618" s="291" cm="1">
        <f t="array" aca="1" ref="BG618" ca="1">INDIRECT("'"&amp;$C618&amp;"'!"&amp;"$"&amp;$D618&amp;$BG$1&amp;"")</f>
        <v>1.5</v>
      </c>
      <c r="BH618" s="289"/>
      <c r="BI618" s="289">
        <v>0.99</v>
      </c>
      <c r="BJ618" s="287">
        <v>0.24</v>
      </c>
      <c r="BK618" s="292" cm="1">
        <f t="array" aca="1" ref="BK618" ca="1">INDIRECT("'"&amp;$C618&amp;"'!"&amp;"$"&amp;$D618&amp;$BK$1&amp;"")</f>
        <v>0.91</v>
      </c>
      <c r="BL618" s="289"/>
      <c r="BM618" s="289">
        <v>0.96</v>
      </c>
      <c r="BN618" s="287">
        <v>0.25</v>
      </c>
    </row>
    <row r="619" spans="1:66" ht="14.45" thickBot="1">
      <c r="A619" s="360">
        <v>45772</v>
      </c>
      <c r="B619" s="358">
        <v>0.58333333333333404</v>
      </c>
      <c r="C619" s="313">
        <f t="shared" si="24"/>
        <v>25</v>
      </c>
      <c r="D619" s="314" t="s">
        <v>141</v>
      </c>
      <c r="E619" s="293">
        <v>14.3</v>
      </c>
      <c r="F619" s="294">
        <v>69.349999999999994</v>
      </c>
      <c r="G619" s="295" cm="1">
        <f t="array" aca="1" ref="G619" ca="1">INDIRECT("'"&amp;$C619&amp;"'!"&amp;"$"&amp;$D619&amp;$E$1&amp;"")</f>
        <v>6.6</v>
      </c>
      <c r="H619" s="296">
        <v>0.92</v>
      </c>
      <c r="I619" s="294">
        <v>2.92</v>
      </c>
      <c r="J619" s="295" cm="1">
        <f t="array" aca="1" ref="J619" ca="1">INDIRECT("'"&amp;$C619&amp;"'!"&amp;"$"&amp;$D619&amp;$J$1&amp;"")</f>
        <v>6.7</v>
      </c>
      <c r="K619" s="296"/>
      <c r="L619" s="296">
        <v>0.92</v>
      </c>
      <c r="M619" s="294">
        <v>2.73</v>
      </c>
      <c r="N619" s="295" cm="1">
        <f t="array" aca="1" ref="N619" ca="1">INDIRECT("'"&amp;$C619&amp;"'!"&amp;"$"&amp;$D619&amp;$N$1&amp;"")</f>
        <v>6.5</v>
      </c>
      <c r="O619" s="296"/>
      <c r="P619" s="296">
        <v>0.92</v>
      </c>
      <c r="Q619" s="294">
        <v>2.35</v>
      </c>
      <c r="R619" s="295" cm="1">
        <f t="array" aca="1" ref="R619" ca="1">INDIRECT("'"&amp;$C619&amp;"'!"&amp;"$"&amp;$D619&amp;$R$1&amp;"")</f>
        <v>6.6</v>
      </c>
      <c r="S619" s="296"/>
      <c r="T619" s="296">
        <v>0.95</v>
      </c>
      <c r="U619" s="294">
        <v>2.21</v>
      </c>
      <c r="V619" s="295" cm="1">
        <f t="array" aca="1" ref="V619" ca="1">INDIRECT("'"&amp;$C619&amp;"'!"&amp;"$"&amp;$D619&amp;$V$1&amp;"")</f>
        <v>2.8</v>
      </c>
      <c r="W619" s="296">
        <v>13.375999999999999</v>
      </c>
      <c r="X619" s="296">
        <v>0.9</v>
      </c>
      <c r="Y619" s="297">
        <v>1.32</v>
      </c>
      <c r="Z619" s="293" cm="1">
        <f t="array" aca="1" ref="Z619" ca="1">INDIRECT("'"&amp;$C619&amp;"'!"&amp;"$"&amp;$D619&amp;$Z$1&amp;"")</f>
        <v>0</v>
      </c>
      <c r="AA619" s="296" t="s">
        <v>1</v>
      </c>
      <c r="AB619" s="296" t="s">
        <v>1</v>
      </c>
      <c r="AC619" s="294" t="s">
        <v>1</v>
      </c>
      <c r="AD619" s="295" cm="1">
        <f t="array" aca="1" ref="AD619" ca="1">INDIRECT("'"&amp;$C619&amp;"'!"&amp;"$"&amp;$D619&amp;$AD$1&amp;"")</f>
        <v>3.8</v>
      </c>
      <c r="AE619" s="296">
        <v>13.375999999999999</v>
      </c>
      <c r="AF619" s="296">
        <v>0.9</v>
      </c>
      <c r="AG619" s="297">
        <v>1.93</v>
      </c>
      <c r="AH619" s="293" cm="1">
        <f t="array" aca="1" ref="AH619" ca="1">INDIRECT("'"&amp;$C619&amp;"'!"&amp;"$"&amp;$D619&amp;$AH$1&amp;"")</f>
        <v>3.8</v>
      </c>
      <c r="AI619" s="296">
        <v>14.04</v>
      </c>
      <c r="AJ619" s="296">
        <v>0.98</v>
      </c>
      <c r="AK619" s="294">
        <v>0.61399999999999999</v>
      </c>
      <c r="AL619" s="293">
        <v>11.9</v>
      </c>
      <c r="AM619" s="297">
        <v>71</v>
      </c>
      <c r="AN619" s="293" cm="1">
        <f t="array" aca="1" ref="AN619" ca="1">INDIRECT("'"&amp;$C619&amp;"'!"&amp;"$"&amp;$D619&amp;$AL$1&amp;"")</f>
        <v>3.5</v>
      </c>
      <c r="AO619" s="296">
        <v>0.99</v>
      </c>
      <c r="AP619" s="294">
        <v>0.5</v>
      </c>
      <c r="AQ619" s="295" cm="1">
        <f t="array" aca="1" ref="AQ619" ca="1">INDIRECT("'"&amp;$C619&amp;"'!"&amp;"$"&amp;$D619&amp;$AQ$1&amp;"")</f>
        <v>3.5</v>
      </c>
      <c r="AR619" s="296">
        <v>0.99</v>
      </c>
      <c r="AS619" s="294">
        <v>0.5</v>
      </c>
      <c r="AT619" s="296" cm="1">
        <f t="array" aca="1" ref="AT619" ca="1">INDIRECT("'"&amp;$C619&amp;"'!"&amp;"$"&amp;$D619&amp;$AT$1&amp;"")</f>
        <v>6.1</v>
      </c>
      <c r="AU619" s="295">
        <v>13.95</v>
      </c>
      <c r="AV619" s="296">
        <v>0.97</v>
      </c>
      <c r="AW619" s="294">
        <v>1.6</v>
      </c>
      <c r="AX619" s="298">
        <v>14.41</v>
      </c>
      <c r="AY619" s="297">
        <v>71.930000000000007</v>
      </c>
      <c r="AZ619" s="298" cm="1">
        <f t="array" aca="1" ref="AZ619" ca="1">INDIRECT("'"&amp;$C619&amp;"'!"&amp;"$"&amp;$D619&amp;$AZ$1&amp;"")</f>
        <v>14.32</v>
      </c>
      <c r="BA619" s="296">
        <v>0.96</v>
      </c>
      <c r="BB619" s="294">
        <v>4.5999999999999996</v>
      </c>
      <c r="BC619" s="299">
        <v>67.900000000000006</v>
      </c>
      <c r="BD619" s="293" cm="1">
        <f t="array" aca="1" ref="BD619" ca="1">INDIRECT("'"&amp;$C619&amp;"'!"&amp;"$"&amp;$D619&amp;$BC$1&amp;"")</f>
        <v>0</v>
      </c>
      <c r="BE619" s="295" t="s">
        <v>1</v>
      </c>
      <c r="BF619" s="294" t="s">
        <v>1</v>
      </c>
      <c r="BG619" s="298" cm="1">
        <f t="array" aca="1" ref="BG619" ca="1">INDIRECT("'"&amp;$C619&amp;"'!"&amp;"$"&amp;$D619&amp;$BG$1&amp;"")</f>
        <v>1.5500000000000003</v>
      </c>
      <c r="BH619" s="296"/>
      <c r="BI619" s="296">
        <v>0.99</v>
      </c>
      <c r="BJ619" s="294">
        <v>0.24</v>
      </c>
      <c r="BK619" s="299" cm="1">
        <f t="array" aca="1" ref="BK619" ca="1">INDIRECT("'"&amp;$C619&amp;"'!"&amp;"$"&amp;$D619&amp;$BK$1&amp;"")</f>
        <v>0.9</v>
      </c>
      <c r="BL619" s="296"/>
      <c r="BM619" s="296">
        <v>0.96</v>
      </c>
      <c r="BN619" s="294">
        <v>0.25</v>
      </c>
    </row>
    <row r="620" spans="1:66" ht="14.45" thickBot="1">
      <c r="A620" s="360">
        <v>45772</v>
      </c>
      <c r="B620" s="358">
        <v>0.625</v>
      </c>
      <c r="C620" s="313">
        <f t="shared" si="24"/>
        <v>25</v>
      </c>
      <c r="D620" s="314" t="s">
        <v>142</v>
      </c>
      <c r="E620" s="286">
        <v>14.3</v>
      </c>
      <c r="F620" s="287">
        <v>69.650000000000006</v>
      </c>
      <c r="G620" s="288" cm="1">
        <f t="array" aca="1" ref="G620" ca="1">INDIRECT("'"&amp;$C620&amp;"'!"&amp;"$"&amp;$D620&amp;$E$1&amp;"")</f>
        <v>6.4</v>
      </c>
      <c r="H620" s="289">
        <v>0.92</v>
      </c>
      <c r="I620" s="287">
        <v>2.75</v>
      </c>
      <c r="J620" s="288" cm="1">
        <f t="array" aca="1" ref="J620" ca="1">INDIRECT("'"&amp;$C620&amp;"'!"&amp;"$"&amp;$D620&amp;$J$1&amp;"")</f>
        <v>6.7</v>
      </c>
      <c r="K620" s="289"/>
      <c r="L620" s="289">
        <v>0.93</v>
      </c>
      <c r="M620" s="287">
        <v>2.65</v>
      </c>
      <c r="N620" s="288" cm="1">
        <f t="array" aca="1" ref="N620" ca="1">INDIRECT("'"&amp;$C620&amp;"'!"&amp;"$"&amp;$D620&amp;$N$1&amp;"")</f>
        <v>6.4</v>
      </c>
      <c r="O620" s="289"/>
      <c r="P620" s="289">
        <v>0.93</v>
      </c>
      <c r="Q620" s="287">
        <v>2.59</v>
      </c>
      <c r="R620" s="288" cm="1">
        <f t="array" aca="1" ref="R620" ca="1">INDIRECT("'"&amp;$C620&amp;"'!"&amp;"$"&amp;$D620&amp;$R$1&amp;"")</f>
        <v>6.5</v>
      </c>
      <c r="S620" s="289"/>
      <c r="T620" s="289">
        <v>0.93</v>
      </c>
      <c r="U620" s="287">
        <v>2.5</v>
      </c>
      <c r="V620" s="288" cm="1">
        <f t="array" aca="1" ref="V620" ca="1">INDIRECT("'"&amp;$C620&amp;"'!"&amp;"$"&amp;$D620&amp;$V$1&amp;"")</f>
        <v>2.6</v>
      </c>
      <c r="W620" s="289">
        <f>3.8*3.62</f>
        <v>13.756</v>
      </c>
      <c r="X620" s="289">
        <v>0.91</v>
      </c>
      <c r="Y620" s="290">
        <v>1.27</v>
      </c>
      <c r="Z620" s="286" cm="1">
        <f t="array" aca="1" ref="Z620" ca="1">INDIRECT("'"&amp;$C620&amp;"'!"&amp;"$"&amp;$D620&amp;$Z$1&amp;"")</f>
        <v>0</v>
      </c>
      <c r="AA620" s="289" t="s">
        <v>1</v>
      </c>
      <c r="AB620" s="289" t="s">
        <v>1</v>
      </c>
      <c r="AC620" s="287" t="s">
        <v>1</v>
      </c>
      <c r="AD620" s="288" cm="1">
        <f t="array" aca="1" ref="AD620" ca="1">INDIRECT("'"&amp;$C620&amp;"'!"&amp;"$"&amp;$D620&amp;$AD$1&amp;"")</f>
        <v>3.6</v>
      </c>
      <c r="AE620" s="289">
        <f>3.8*3.62</f>
        <v>13.756</v>
      </c>
      <c r="AF620" s="289">
        <v>0.9</v>
      </c>
      <c r="AG620" s="290">
        <v>1.92</v>
      </c>
      <c r="AH620" s="286" cm="1">
        <f t="array" aca="1" ref="AH620" ca="1">INDIRECT("'"&amp;$C620&amp;"'!"&amp;"$"&amp;$D620&amp;$AH$1&amp;"")</f>
        <v>3.8</v>
      </c>
      <c r="AI620" s="289">
        <v>14</v>
      </c>
      <c r="AJ620" s="289">
        <v>0.95</v>
      </c>
      <c r="AK620" s="287">
        <v>1.02</v>
      </c>
      <c r="AL620" s="286">
        <v>11.9</v>
      </c>
      <c r="AM620" s="290">
        <v>70.099999999999994</v>
      </c>
      <c r="AN620" s="286" cm="1">
        <f t="array" aca="1" ref="AN620" ca="1">INDIRECT("'"&amp;$C620&amp;"'!"&amp;"$"&amp;$D620&amp;$AL$1&amp;"")</f>
        <v>3.8</v>
      </c>
      <c r="AO620" s="289">
        <v>0.96</v>
      </c>
      <c r="AP620" s="287">
        <v>1.1000000000000001</v>
      </c>
      <c r="AQ620" s="288" cm="1">
        <f t="array" aca="1" ref="AQ620" ca="1">INDIRECT("'"&amp;$C620&amp;"'!"&amp;"$"&amp;$D620&amp;$AQ$1&amp;"")</f>
        <v>3.8</v>
      </c>
      <c r="AR620" s="289">
        <v>0.96</v>
      </c>
      <c r="AS620" s="287">
        <v>1.1000000000000001</v>
      </c>
      <c r="AT620" s="289" cm="1">
        <f t="array" aca="1" ref="AT620" ca="1">INDIRECT("'"&amp;$C620&amp;"'!"&amp;"$"&amp;$D620&amp;$AT$1&amp;"")</f>
        <v>0</v>
      </c>
      <c r="AU620" s="288" t="s">
        <v>1</v>
      </c>
      <c r="AV620" s="289" t="s">
        <v>1</v>
      </c>
      <c r="AW620" s="287" t="s">
        <v>1</v>
      </c>
      <c r="AX620" s="291">
        <v>14.25</v>
      </c>
      <c r="AY620" s="290">
        <v>71.16</v>
      </c>
      <c r="AZ620" s="291" cm="1">
        <f t="array" aca="1" ref="AZ620" ca="1">INDIRECT("'"&amp;$C620&amp;"'!"&amp;"$"&amp;$D620&amp;$AZ$1&amp;"")</f>
        <v>14.29</v>
      </c>
      <c r="BA620" s="289">
        <v>0.96</v>
      </c>
      <c r="BB620" s="287">
        <v>4.5999999999999996</v>
      </c>
      <c r="BC620" s="292">
        <v>67.5</v>
      </c>
      <c r="BD620" s="286" cm="1">
        <f t="array" aca="1" ref="BD620" ca="1">INDIRECT("'"&amp;$C620&amp;"'!"&amp;"$"&amp;$D620&amp;$BC$1&amp;"")</f>
        <v>2.25</v>
      </c>
      <c r="BE620" s="288">
        <v>0.96</v>
      </c>
      <c r="BF620" s="287">
        <v>0.65</v>
      </c>
      <c r="BG620" s="291" cm="1">
        <f t="array" aca="1" ref="BG620" ca="1">INDIRECT("'"&amp;$C620&amp;"'!"&amp;"$"&amp;$D620&amp;$BG$1&amp;"")</f>
        <v>1.5</v>
      </c>
      <c r="BH620" s="289"/>
      <c r="BI620" s="289">
        <v>0.99</v>
      </c>
      <c r="BJ620" s="287">
        <v>0.24</v>
      </c>
      <c r="BK620" s="292" cm="1">
        <f t="array" aca="1" ref="BK620" ca="1">INDIRECT("'"&amp;$C620&amp;"'!"&amp;"$"&amp;$D620&amp;$BK$1&amp;"")</f>
        <v>0.92</v>
      </c>
      <c r="BL620" s="289"/>
      <c r="BM620" s="289">
        <v>0.96</v>
      </c>
      <c r="BN620" s="287">
        <v>0.26</v>
      </c>
    </row>
    <row r="621" spans="1:66" ht="14.45" thickBot="1">
      <c r="A621" s="360">
        <v>45772</v>
      </c>
      <c r="B621" s="358">
        <v>0.66666666666666696</v>
      </c>
      <c r="C621" s="313">
        <f t="shared" si="24"/>
        <v>25</v>
      </c>
      <c r="D621" s="314" t="s">
        <v>143</v>
      </c>
      <c r="E621" s="293">
        <v>14.3</v>
      </c>
      <c r="F621" s="294">
        <v>69.400000000000006</v>
      </c>
      <c r="G621" s="295" cm="1">
        <f t="array" aca="1" ref="G621" ca="1">INDIRECT("'"&amp;$C621&amp;"'!"&amp;"$"&amp;$D621&amp;$E$1&amp;"")</f>
        <v>6.7</v>
      </c>
      <c r="H621" s="296">
        <v>0.92</v>
      </c>
      <c r="I621" s="294">
        <v>2.81</v>
      </c>
      <c r="J621" s="295" cm="1">
        <f t="array" aca="1" ref="J621" ca="1">INDIRECT("'"&amp;$C621&amp;"'!"&amp;"$"&amp;$D621&amp;$J$1&amp;"")</f>
        <v>6.7</v>
      </c>
      <c r="K621" s="296"/>
      <c r="L621" s="296">
        <v>0.93</v>
      </c>
      <c r="M621" s="294">
        <v>2.65</v>
      </c>
      <c r="N621" s="295" cm="1">
        <f t="array" aca="1" ref="N621" ca="1">INDIRECT("'"&amp;$C621&amp;"'!"&amp;"$"&amp;$D621&amp;$N$1&amp;"")</f>
        <v>6.7</v>
      </c>
      <c r="O621" s="296"/>
      <c r="P621" s="296">
        <v>0.93</v>
      </c>
      <c r="Q621" s="294">
        <v>2.63</v>
      </c>
      <c r="R621" s="295" cm="1">
        <f t="array" aca="1" ref="R621" ca="1">INDIRECT("'"&amp;$C621&amp;"'!"&amp;"$"&amp;$D621&amp;$R$1&amp;"")</f>
        <v>6.8</v>
      </c>
      <c r="S621" s="296"/>
      <c r="T621" s="296">
        <v>0.93</v>
      </c>
      <c r="U621" s="294">
        <v>2.65</v>
      </c>
      <c r="V621" s="295" cm="1">
        <f t="array" aca="1" ref="V621" ca="1">INDIRECT("'"&amp;$C621&amp;"'!"&amp;"$"&amp;$D621&amp;$V$1&amp;"")</f>
        <v>2.8</v>
      </c>
      <c r="W621" s="296">
        <v>13.337999999999999</v>
      </c>
      <c r="X621" s="296">
        <v>0.9</v>
      </c>
      <c r="Y621" s="297">
        <v>1.31</v>
      </c>
      <c r="Z621" s="293" cm="1">
        <f t="array" aca="1" ref="Z621" ca="1">INDIRECT("'"&amp;$C621&amp;"'!"&amp;"$"&amp;$D621&amp;$Z$1&amp;"")</f>
        <v>0</v>
      </c>
      <c r="AA621" s="296" t="s">
        <v>1</v>
      </c>
      <c r="AB621" s="296" t="s">
        <v>1</v>
      </c>
      <c r="AC621" s="294" t="s">
        <v>1</v>
      </c>
      <c r="AD621" s="295" cm="1">
        <f t="array" aca="1" ref="AD621" ca="1">INDIRECT("'"&amp;$C621&amp;"'!"&amp;"$"&amp;$D621&amp;$AD$1&amp;"")</f>
        <v>3.8</v>
      </c>
      <c r="AE621" s="296">
        <v>13.337999999999999</v>
      </c>
      <c r="AF621" s="296">
        <v>0.91</v>
      </c>
      <c r="AG621" s="297">
        <v>1.94</v>
      </c>
      <c r="AH621" s="293" cm="1">
        <f t="array" aca="1" ref="AH621" ca="1">INDIRECT("'"&amp;$C621&amp;"'!"&amp;"$"&amp;$D621&amp;$AH$1&amp;"")</f>
        <v>3.8</v>
      </c>
      <c r="AI621" s="296">
        <v>14.04</v>
      </c>
      <c r="AJ621" s="296">
        <v>0.98</v>
      </c>
      <c r="AK621" s="294">
        <v>0.627</v>
      </c>
      <c r="AL621" s="293">
        <v>11.9</v>
      </c>
      <c r="AM621" s="297">
        <v>70.7</v>
      </c>
      <c r="AN621" s="293" cm="1">
        <f t="array" aca="1" ref="AN621" ca="1">INDIRECT("'"&amp;$C621&amp;"'!"&amp;"$"&amp;$D621&amp;$AL$1&amp;"")</f>
        <v>4</v>
      </c>
      <c r="AO621" s="296">
        <v>0.98</v>
      </c>
      <c r="AP621" s="294">
        <v>0.7</v>
      </c>
      <c r="AQ621" s="295" cm="1">
        <f t="array" aca="1" ref="AQ621" ca="1">INDIRECT("'"&amp;$C621&amp;"'!"&amp;"$"&amp;$D621&amp;$AQ$1&amp;"")</f>
        <v>4</v>
      </c>
      <c r="AR621" s="296">
        <v>0.98</v>
      </c>
      <c r="AS621" s="294">
        <v>0.7</v>
      </c>
      <c r="AT621" s="296" cm="1">
        <f t="array" aca="1" ref="AT621" ca="1">INDIRECT("'"&amp;$C621&amp;"'!"&amp;"$"&amp;$D621&amp;$AT$1&amp;"")</f>
        <v>4.5</v>
      </c>
      <c r="AU621" s="295">
        <v>13.9</v>
      </c>
      <c r="AV621" s="296">
        <v>0.99</v>
      </c>
      <c r="AW621" s="294">
        <v>1</v>
      </c>
      <c r="AX621" s="298">
        <v>14.39</v>
      </c>
      <c r="AY621" s="297">
        <v>71.87</v>
      </c>
      <c r="AZ621" s="298" cm="1">
        <f t="array" aca="1" ref="AZ621" ca="1">INDIRECT("'"&amp;$C621&amp;"'!"&amp;"$"&amp;$D621&amp;$AZ$1&amp;"")</f>
        <v>14.31</v>
      </c>
      <c r="BA621" s="296">
        <v>0.96</v>
      </c>
      <c r="BB621" s="294">
        <v>4.5999999999999996</v>
      </c>
      <c r="BC621" s="299">
        <v>68</v>
      </c>
      <c r="BD621" s="293" cm="1">
        <f t="array" aca="1" ref="BD621" ca="1">INDIRECT("'"&amp;$C621&amp;"'!"&amp;"$"&amp;$D621&amp;$BC$1&amp;"")</f>
        <v>1.5</v>
      </c>
      <c r="BE621" s="295">
        <v>0.96</v>
      </c>
      <c r="BF621" s="294">
        <v>0.42</v>
      </c>
      <c r="BG621" s="298" cm="1">
        <f t="array" aca="1" ref="BG621" ca="1">INDIRECT("'"&amp;$C621&amp;"'!"&amp;"$"&amp;$D621&amp;$BG$1&amp;"")</f>
        <v>1.48</v>
      </c>
      <c r="BH621" s="296"/>
      <c r="BI621" s="296">
        <v>0.99</v>
      </c>
      <c r="BJ621" s="294">
        <v>0.27</v>
      </c>
      <c r="BK621" s="299" cm="1">
        <f t="array" aca="1" ref="BK621" ca="1">INDIRECT("'"&amp;$C621&amp;"'!"&amp;"$"&amp;$D621&amp;$BK$1&amp;"")</f>
        <v>0.92</v>
      </c>
      <c r="BL621" s="296"/>
      <c r="BM621" s="296">
        <v>0.96</v>
      </c>
      <c r="BN621" s="294">
        <v>0.26</v>
      </c>
    </row>
    <row r="622" spans="1:66" ht="14.45" thickBot="1">
      <c r="A622" s="360">
        <v>45772</v>
      </c>
      <c r="B622" s="358">
        <v>0.70833333333333404</v>
      </c>
      <c r="C622" s="313">
        <f t="shared" si="24"/>
        <v>25</v>
      </c>
      <c r="D622" s="314" t="s">
        <v>144</v>
      </c>
      <c r="E622" s="286">
        <v>14.4</v>
      </c>
      <c r="F622" s="287">
        <v>69.66</v>
      </c>
      <c r="G622" s="288" cm="1">
        <f t="array" aca="1" ref="G622" ca="1">INDIRECT("'"&amp;$C622&amp;"'!"&amp;"$"&amp;$D622&amp;$E$1&amp;"")</f>
        <v>6.3</v>
      </c>
      <c r="H622" s="289">
        <v>0.92</v>
      </c>
      <c r="I622" s="287">
        <v>2.65</v>
      </c>
      <c r="J622" s="288" cm="1">
        <f t="array" aca="1" ref="J622" ca="1">INDIRECT("'"&amp;$C622&amp;"'!"&amp;"$"&amp;$D622&amp;$J$1&amp;"")</f>
        <v>6.7</v>
      </c>
      <c r="K622" s="289"/>
      <c r="L622" s="289">
        <v>0.93</v>
      </c>
      <c r="M622" s="287">
        <v>2.59</v>
      </c>
      <c r="N622" s="288" cm="1">
        <f t="array" aca="1" ref="N622" ca="1">INDIRECT("'"&amp;$C622&amp;"'!"&amp;"$"&amp;$D622&amp;$N$1&amp;"")</f>
        <v>6.3</v>
      </c>
      <c r="O622" s="289"/>
      <c r="P622" s="289">
        <v>0.93</v>
      </c>
      <c r="Q622" s="287">
        <v>2.5</v>
      </c>
      <c r="R622" s="288" cm="1">
        <f t="array" aca="1" ref="R622" ca="1">INDIRECT("'"&amp;$C622&amp;"'!"&amp;"$"&amp;$D622&amp;$R$1&amp;"")</f>
        <v>6.4</v>
      </c>
      <c r="S622" s="289"/>
      <c r="T622" s="289">
        <v>0.93</v>
      </c>
      <c r="U622" s="287">
        <v>2</v>
      </c>
      <c r="V622" s="288" cm="1">
        <f t="array" aca="1" ref="V622" ca="1">INDIRECT("'"&amp;$C622&amp;"'!"&amp;"$"&amp;$D622&amp;$V$1&amp;"")</f>
        <v>2.6</v>
      </c>
      <c r="W622" s="289">
        <v>13.452</v>
      </c>
      <c r="X622" s="289">
        <v>0.91</v>
      </c>
      <c r="Y622" s="290">
        <v>1.18</v>
      </c>
      <c r="Z622" s="286" cm="1">
        <f t="array" aca="1" ref="Z622" ca="1">INDIRECT("'"&amp;$C622&amp;"'!"&amp;"$"&amp;$D622&amp;$Z$1&amp;"")</f>
        <v>0</v>
      </c>
      <c r="AA622" s="289" t="s">
        <v>1</v>
      </c>
      <c r="AB622" s="289" t="s">
        <v>1</v>
      </c>
      <c r="AC622" s="287" t="s">
        <v>1</v>
      </c>
      <c r="AD622" s="288" cm="1">
        <f t="array" aca="1" ref="AD622" ca="1">INDIRECT("'"&amp;$C622&amp;"'!"&amp;"$"&amp;$D622&amp;$AD$1&amp;"")</f>
        <v>3.5</v>
      </c>
      <c r="AE622" s="289">
        <v>13.452</v>
      </c>
      <c r="AF622" s="289">
        <v>0.91</v>
      </c>
      <c r="AG622" s="290">
        <v>1.8</v>
      </c>
      <c r="AH622" s="286" cm="1">
        <f t="array" aca="1" ref="AH622" ca="1">INDIRECT("'"&amp;$C622&amp;"'!"&amp;"$"&amp;$D622&amp;$AH$1&amp;"")</f>
        <v>3.8</v>
      </c>
      <c r="AI622" s="289">
        <v>14.08</v>
      </c>
      <c r="AJ622" s="289">
        <v>0.99</v>
      </c>
      <c r="AK622" s="287">
        <v>0.46100000000000002</v>
      </c>
      <c r="AL622" s="286">
        <v>11.9</v>
      </c>
      <c r="AM622" s="290">
        <v>70.8</v>
      </c>
      <c r="AN622" s="286" cm="1">
        <f t="array" aca="1" ref="AN622" ca="1">INDIRECT("'"&amp;$C622&amp;"'!"&amp;"$"&amp;$D622&amp;$AL$1&amp;"")</f>
        <v>3.8</v>
      </c>
      <c r="AO622" s="289">
        <v>0.99</v>
      </c>
      <c r="AP622" s="287">
        <v>0.4</v>
      </c>
      <c r="AQ622" s="288" cm="1">
        <f t="array" aca="1" ref="AQ622" ca="1">INDIRECT("'"&amp;$C622&amp;"'!"&amp;"$"&amp;$D622&amp;$AQ$1&amp;"")</f>
        <v>3.8</v>
      </c>
      <c r="AR622" s="289">
        <v>0.99</v>
      </c>
      <c r="AS622" s="287">
        <v>0.4</v>
      </c>
      <c r="AT622" s="289" cm="1">
        <f t="array" aca="1" ref="AT622" ca="1">INDIRECT("'"&amp;$C622&amp;"'!"&amp;"$"&amp;$D622&amp;$AT$1&amp;"")</f>
        <v>3</v>
      </c>
      <c r="AU622" s="288">
        <v>13.9</v>
      </c>
      <c r="AV622" s="289">
        <v>0.99</v>
      </c>
      <c r="AW622" s="287">
        <v>0.3</v>
      </c>
      <c r="AX622" s="291">
        <v>14.45</v>
      </c>
      <c r="AY622" s="290">
        <v>72.17</v>
      </c>
      <c r="AZ622" s="291" cm="1">
        <f t="array" aca="1" ref="AZ622" ca="1">INDIRECT("'"&amp;$C622&amp;"'!"&amp;"$"&amp;$D622&amp;$AZ$1&amp;"")</f>
        <v>14.29</v>
      </c>
      <c r="BA622" s="289">
        <v>0.96</v>
      </c>
      <c r="BB622" s="287">
        <v>4.5999999999999996</v>
      </c>
      <c r="BC622" s="292">
        <v>68.099999999999994</v>
      </c>
      <c r="BD622" s="286" cm="1">
        <f t="array" aca="1" ref="BD622" ca="1">INDIRECT("'"&amp;$C622&amp;"'!"&amp;"$"&amp;$D622&amp;$BC$1&amp;"")</f>
        <v>0</v>
      </c>
      <c r="BE622" s="288" t="s">
        <v>1</v>
      </c>
      <c r="BF622" s="287" t="s">
        <v>1</v>
      </c>
      <c r="BG622" s="291" cm="1">
        <f t="array" aca="1" ref="BG622" ca="1">INDIRECT("'"&amp;$C622&amp;"'!"&amp;"$"&amp;$D622&amp;$BG$1&amp;"")</f>
        <v>1.42</v>
      </c>
      <c r="BH622" s="289"/>
      <c r="BI622" s="289">
        <v>0.99</v>
      </c>
      <c r="BJ622" s="287">
        <v>0.21</v>
      </c>
      <c r="BK622" s="292" cm="1">
        <f t="array" aca="1" ref="BK622" ca="1">INDIRECT("'"&amp;$C622&amp;"'!"&amp;"$"&amp;$D622&amp;$BK$1&amp;"")</f>
        <v>0.88</v>
      </c>
      <c r="BL622" s="289"/>
      <c r="BM622" s="289">
        <v>0.96</v>
      </c>
      <c r="BN622" s="287">
        <v>0.26</v>
      </c>
    </row>
    <row r="623" spans="1:66" ht="14.45" thickBot="1">
      <c r="A623" s="360">
        <v>45772</v>
      </c>
      <c r="B623" s="358">
        <v>0.750000000000001</v>
      </c>
      <c r="C623" s="313">
        <f t="shared" si="24"/>
        <v>25</v>
      </c>
      <c r="D623" s="314" t="s">
        <v>145</v>
      </c>
      <c r="E623" s="293">
        <v>14.4</v>
      </c>
      <c r="F623" s="294">
        <v>69.900000000000006</v>
      </c>
      <c r="G623" s="295" cm="1">
        <f t="array" aca="1" ref="G623" ca="1">INDIRECT("'"&amp;$C623&amp;"'!"&amp;"$"&amp;$D623&amp;$E$1&amp;"")</f>
        <v>6.7</v>
      </c>
      <c r="H623" s="296">
        <v>0.94</v>
      </c>
      <c r="I623" s="294">
        <v>2.4500000000000002</v>
      </c>
      <c r="J623" s="295" cm="1">
        <f t="array" aca="1" ref="J623" ca="1">INDIRECT("'"&amp;$C623&amp;"'!"&amp;"$"&amp;$D623&amp;$J$1&amp;"")</f>
        <v>6.7</v>
      </c>
      <c r="K623" s="296"/>
      <c r="L623" s="296">
        <v>0.94</v>
      </c>
      <c r="M623" s="294">
        <v>2.4500000000000002</v>
      </c>
      <c r="N623" s="295" cm="1">
        <f t="array" aca="1" ref="N623" ca="1">INDIRECT("'"&amp;$C623&amp;"'!"&amp;"$"&amp;$D623&amp;$N$1&amp;"")</f>
        <v>6.7</v>
      </c>
      <c r="O623" s="296"/>
      <c r="P623" s="296">
        <v>0.94</v>
      </c>
      <c r="Q623" s="294">
        <v>2.4300000000000002</v>
      </c>
      <c r="R623" s="295" cm="1">
        <f t="array" aca="1" ref="R623" ca="1">INDIRECT("'"&amp;$C623&amp;"'!"&amp;"$"&amp;$D623&amp;$R$1&amp;"")</f>
        <v>6.7</v>
      </c>
      <c r="S623" s="296"/>
      <c r="T623" s="296">
        <v>0.94</v>
      </c>
      <c r="U623" s="294">
        <v>2.46</v>
      </c>
      <c r="V623" s="295" cm="1">
        <f t="array" aca="1" ref="V623" ca="1">INDIRECT("'"&amp;$C623&amp;"'!"&amp;"$"&amp;$D623&amp;$V$1&amp;"")</f>
        <v>2.8</v>
      </c>
      <c r="W623" s="296">
        <f>3.8*3.54</f>
        <v>13.452</v>
      </c>
      <c r="X623" s="296">
        <v>0.94</v>
      </c>
      <c r="Y623" s="297">
        <v>0.95</v>
      </c>
      <c r="Z623" s="293" cm="1">
        <f t="array" aca="1" ref="Z623" ca="1">INDIRECT("'"&amp;$C623&amp;"'!"&amp;"$"&amp;$D623&amp;$Z$1&amp;"")</f>
        <v>0</v>
      </c>
      <c r="AA623" s="296" t="s">
        <v>1</v>
      </c>
      <c r="AB623" s="296" t="s">
        <v>1</v>
      </c>
      <c r="AC623" s="294" t="s">
        <v>1</v>
      </c>
      <c r="AD623" s="295" cm="1">
        <f t="array" aca="1" ref="AD623" ca="1">INDIRECT("'"&amp;$C623&amp;"'!"&amp;"$"&amp;$D623&amp;$AD$1&amp;"")</f>
        <v>3.8</v>
      </c>
      <c r="AE623" s="296">
        <f>3.8*3.54</f>
        <v>13.452</v>
      </c>
      <c r="AF623" s="296">
        <v>0.94</v>
      </c>
      <c r="AG623" s="297">
        <v>1.35</v>
      </c>
      <c r="AH623" s="293" cm="1">
        <f t="array" aca="1" ref="AH623" ca="1">INDIRECT("'"&amp;$C623&amp;"'!"&amp;"$"&amp;$D623&amp;$AH$1&amp;"")</f>
        <v>3.8</v>
      </c>
      <c r="AI623" s="296">
        <v>14.08</v>
      </c>
      <c r="AJ623" s="296">
        <v>0.99</v>
      </c>
      <c r="AK623" s="294">
        <v>0.33300000000000002</v>
      </c>
      <c r="AL623" s="293">
        <v>11.9</v>
      </c>
      <c r="AM623" s="297">
        <v>70.900000000000006</v>
      </c>
      <c r="AN623" s="293" cm="1">
        <f t="array" aca="1" ref="AN623" ca="1">INDIRECT("'"&amp;$C623&amp;"'!"&amp;"$"&amp;$D623&amp;$AL$1&amp;"")</f>
        <v>4</v>
      </c>
      <c r="AO623" s="296">
        <v>0.99</v>
      </c>
      <c r="AP623" s="294">
        <v>0.5</v>
      </c>
      <c r="AQ623" s="295" cm="1">
        <f t="array" aca="1" ref="AQ623" ca="1">INDIRECT("'"&amp;$C623&amp;"'!"&amp;"$"&amp;$D623&amp;$AQ$1&amp;"")</f>
        <v>4</v>
      </c>
      <c r="AR623" s="296">
        <v>0.99</v>
      </c>
      <c r="AS623" s="294">
        <v>0.5</v>
      </c>
      <c r="AT623" s="296" cm="1">
        <f t="array" aca="1" ref="AT623" ca="1">INDIRECT("'"&amp;$C623&amp;"'!"&amp;"$"&amp;$D623&amp;$AT$1&amp;"")</f>
        <v>0</v>
      </c>
      <c r="AU623" s="295" t="s">
        <v>1</v>
      </c>
      <c r="AV623" s="296" t="s">
        <v>1</v>
      </c>
      <c r="AW623" s="294" t="s">
        <v>1</v>
      </c>
      <c r="AX623" s="298">
        <v>14.49</v>
      </c>
      <c r="AY623" s="297">
        <v>72.36</v>
      </c>
      <c r="AZ623" s="298" cm="1">
        <f t="array" aca="1" ref="AZ623" ca="1">INDIRECT("'"&amp;$C623&amp;"'!"&amp;"$"&amp;$D623&amp;$AZ$1&amp;"")</f>
        <v>14.33</v>
      </c>
      <c r="BA623" s="296">
        <v>0.96</v>
      </c>
      <c r="BB623" s="294">
        <v>4.5999999999999996</v>
      </c>
      <c r="BC623" s="299">
        <v>68.5</v>
      </c>
      <c r="BD623" s="293" cm="1">
        <f t="array" aca="1" ref="BD623" ca="1">INDIRECT("'"&amp;$C623&amp;"'!"&amp;"$"&amp;$D623&amp;$BC$1&amp;"")</f>
        <v>0</v>
      </c>
      <c r="BE623" s="295"/>
      <c r="BF623" s="294"/>
      <c r="BG623" s="298" cm="1">
        <f t="array" aca="1" ref="BG623" ca="1">INDIRECT("'"&amp;$C623&amp;"'!"&amp;"$"&amp;$D623&amp;$BG$1&amp;"")</f>
        <v>1.4</v>
      </c>
      <c r="BH623" s="296"/>
      <c r="BI623" s="296">
        <v>0.99</v>
      </c>
      <c r="BJ623" s="294">
        <v>0.2</v>
      </c>
      <c r="BK623" s="299" cm="1">
        <f t="array" aca="1" ref="BK623" ca="1">INDIRECT("'"&amp;$C623&amp;"'!"&amp;"$"&amp;$D623&amp;$BK$1&amp;"")</f>
        <v>0.88</v>
      </c>
      <c r="BL623" s="296"/>
      <c r="BM623" s="296">
        <v>0.96</v>
      </c>
      <c r="BN623" s="294">
        <v>0.25</v>
      </c>
    </row>
    <row r="624" spans="1:66" ht="14.45" thickBot="1">
      <c r="A624" s="360">
        <v>45772</v>
      </c>
      <c r="B624" s="358">
        <v>0.79166666666666663</v>
      </c>
      <c r="C624" s="313">
        <f t="shared" si="24"/>
        <v>25</v>
      </c>
      <c r="D624" s="314" t="s">
        <v>146</v>
      </c>
      <c r="E624" s="286">
        <v>14.4</v>
      </c>
      <c r="F624" s="287">
        <v>70.13</v>
      </c>
      <c r="G624" s="288" cm="1">
        <f t="array" aca="1" ref="G624" ca="1">INDIRECT("'"&amp;$C624&amp;"'!"&amp;"$"&amp;$D624&amp;$E$1&amp;"")</f>
        <v>6.7</v>
      </c>
      <c r="H624" s="289">
        <v>0.96</v>
      </c>
      <c r="I624" s="287">
        <v>2.0099999999999998</v>
      </c>
      <c r="J624" s="288" cm="1">
        <f t="array" aca="1" ref="J624" ca="1">INDIRECT("'"&amp;$C624&amp;"'!"&amp;"$"&amp;$D624&amp;$J$1&amp;"")</f>
        <v>6.7</v>
      </c>
      <c r="K624" s="300"/>
      <c r="L624" s="289">
        <v>0.96</v>
      </c>
      <c r="M624" s="287" t="s">
        <v>151</v>
      </c>
      <c r="N624" s="288" cm="1">
        <f t="array" aca="1" ref="N624" ca="1">INDIRECT("'"&amp;$C624&amp;"'!"&amp;"$"&amp;$D624&amp;$N$1&amp;"")</f>
        <v>6.7</v>
      </c>
      <c r="O624" s="289"/>
      <c r="P624" s="289">
        <v>0.96</v>
      </c>
      <c r="Q624" s="287">
        <v>2.08</v>
      </c>
      <c r="R624" s="288" cm="1">
        <f t="array" aca="1" ref="R624" ca="1">INDIRECT("'"&amp;$C624&amp;"'!"&amp;"$"&amp;$D624&amp;$R$1&amp;"")</f>
        <v>6.8</v>
      </c>
      <c r="S624" s="289"/>
      <c r="T624" s="289">
        <v>0.93</v>
      </c>
      <c r="U624" s="287">
        <v>2.75</v>
      </c>
      <c r="V624" s="288" cm="1">
        <f t="array" aca="1" ref="V624" ca="1">INDIRECT("'"&amp;$C624&amp;"'!"&amp;"$"&amp;$D624&amp;$V$1&amp;"")</f>
        <v>2.8</v>
      </c>
      <c r="W624" s="289">
        <f>3.8*3.56</f>
        <v>13.527999999999999</v>
      </c>
      <c r="X624" s="289">
        <v>0.95</v>
      </c>
      <c r="Y624" s="290">
        <v>0.85</v>
      </c>
      <c r="Z624" s="286" cm="1">
        <f t="array" aca="1" ref="Z624" ca="1">INDIRECT("'"&amp;$C624&amp;"'!"&amp;"$"&amp;$D624&amp;$Z$1&amp;"")</f>
        <v>0</v>
      </c>
      <c r="AA624" s="289" t="s">
        <v>1</v>
      </c>
      <c r="AB624" s="289" t="s">
        <v>1</v>
      </c>
      <c r="AC624" s="287" t="s">
        <v>1</v>
      </c>
      <c r="AD624" s="288" cm="1">
        <f t="array" aca="1" ref="AD624" ca="1">INDIRECT("'"&amp;$C624&amp;"'!"&amp;"$"&amp;$D624&amp;$AD$1&amp;"")</f>
        <v>3.8</v>
      </c>
      <c r="AE624" s="289">
        <f>3.8*3.56</f>
        <v>13.527999999999999</v>
      </c>
      <c r="AF624" s="289">
        <v>0.95</v>
      </c>
      <c r="AG624" s="290">
        <v>1.24</v>
      </c>
      <c r="AH624" s="286" cm="1">
        <f t="array" aca="1" ref="AH624" ca="1">INDIRECT("'"&amp;$C624&amp;"'!"&amp;"$"&amp;$D624&amp;$AH$1&amp;"")</f>
        <v>3.8</v>
      </c>
      <c r="AI624" s="289">
        <v>14.04</v>
      </c>
      <c r="AJ624" s="289">
        <v>0.98</v>
      </c>
      <c r="AK624" s="287">
        <v>0.64300000000000002</v>
      </c>
      <c r="AL624" s="286">
        <v>11.9</v>
      </c>
      <c r="AM624" s="290">
        <v>70.900000000000006</v>
      </c>
      <c r="AN624" s="286" cm="1">
        <f t="array" aca="1" ref="AN624" ca="1">INDIRECT("'"&amp;$C624&amp;"'!"&amp;"$"&amp;$D624&amp;$AL$1&amp;"")</f>
        <v>4</v>
      </c>
      <c r="AO624" s="289">
        <v>0.99</v>
      </c>
      <c r="AP624" s="287">
        <v>0.6</v>
      </c>
      <c r="AQ624" s="288" cm="1">
        <f t="array" aca="1" ref="AQ624" ca="1">INDIRECT("'"&amp;$C624&amp;"'!"&amp;"$"&amp;$D624&amp;$AQ$1&amp;"")</f>
        <v>4</v>
      </c>
      <c r="AR624" s="289">
        <v>0.99</v>
      </c>
      <c r="AS624" s="287">
        <v>0.6</v>
      </c>
      <c r="AT624" s="289" cm="1">
        <f t="array" aca="1" ref="AT624" ca="1">INDIRECT("'"&amp;$C624&amp;"'!"&amp;"$"&amp;$D624&amp;$AT$1&amp;"")</f>
        <v>0</v>
      </c>
      <c r="AU624" s="288" t="s">
        <v>1</v>
      </c>
      <c r="AV624" s="289" t="s">
        <v>1</v>
      </c>
      <c r="AW624" s="287" t="s">
        <v>1</v>
      </c>
      <c r="AX624" s="291">
        <v>14.27</v>
      </c>
      <c r="AY624" s="290">
        <v>71.69</v>
      </c>
      <c r="AZ624" s="291" cm="1">
        <f t="array" aca="1" ref="AZ624" ca="1">INDIRECT("'"&amp;$C624&amp;"'!"&amp;"$"&amp;$D624&amp;$AZ$1&amp;"")</f>
        <v>14.29</v>
      </c>
      <c r="BA624" s="289">
        <v>0.98</v>
      </c>
      <c r="BB624" s="287">
        <v>3.5</v>
      </c>
      <c r="BC624" s="292">
        <v>68.8</v>
      </c>
      <c r="BD624" s="286" cm="1">
        <f t="array" aca="1" ref="BD624" ca="1">INDIRECT("'"&amp;$C624&amp;"'!"&amp;"$"&amp;$D624&amp;$BC$1&amp;"")</f>
        <v>1.5</v>
      </c>
      <c r="BE624" s="288">
        <v>0.98</v>
      </c>
      <c r="BF624" s="287">
        <v>0.28999999999999998</v>
      </c>
      <c r="BG624" s="291" cm="1">
        <f t="array" aca="1" ref="BG624" ca="1">INDIRECT("'"&amp;$C624&amp;"'!"&amp;"$"&amp;$D624&amp;$BG$1&amp;"")</f>
        <v>1.5</v>
      </c>
      <c r="BH624" s="289"/>
      <c r="BI624" s="289">
        <v>0.99</v>
      </c>
      <c r="BJ624" s="287">
        <v>0.24</v>
      </c>
      <c r="BK624" s="292" cm="1">
        <f t="array" aca="1" ref="BK624" ca="1">INDIRECT("'"&amp;$C624&amp;"'!"&amp;"$"&amp;$D624&amp;$BK$1&amp;"")</f>
        <v>0.96</v>
      </c>
      <c r="BL624" s="289"/>
      <c r="BM624" s="289">
        <v>0.96</v>
      </c>
      <c r="BN624" s="287">
        <v>0.26</v>
      </c>
    </row>
    <row r="625" spans="1:66" ht="14.45" thickBot="1">
      <c r="A625" s="360">
        <v>45772</v>
      </c>
      <c r="B625" s="358">
        <v>0.83333333333333337</v>
      </c>
      <c r="C625" s="313">
        <f t="shared" si="24"/>
        <v>25</v>
      </c>
      <c r="D625" s="314" t="s">
        <v>147</v>
      </c>
      <c r="E625" s="293">
        <v>14.1</v>
      </c>
      <c r="F625" s="294">
        <v>69.84</v>
      </c>
      <c r="G625" s="295" cm="1">
        <f t="array" aca="1" ref="G625" ca="1">INDIRECT("'"&amp;$C625&amp;"'!"&amp;"$"&amp;$D625&amp;$E$1&amp;"")</f>
        <v>6.8</v>
      </c>
      <c r="H625" s="296">
        <v>0.91</v>
      </c>
      <c r="I625" s="294">
        <v>3.18</v>
      </c>
      <c r="J625" s="295" cm="1">
        <f t="array" aca="1" ref="J625" ca="1">INDIRECT("'"&amp;$C625&amp;"'!"&amp;"$"&amp;$D625&amp;$J$1&amp;"")</f>
        <v>6.8</v>
      </c>
      <c r="K625" s="296"/>
      <c r="L625" s="296">
        <v>0.91</v>
      </c>
      <c r="M625" s="294">
        <v>3.17</v>
      </c>
      <c r="N625" s="295" cm="1">
        <f t="array" aca="1" ref="N625" ca="1">INDIRECT("'"&amp;$C625&amp;"'!"&amp;"$"&amp;$D625&amp;$N$1&amp;"")</f>
        <v>6.8</v>
      </c>
      <c r="O625" s="296"/>
      <c r="P625" s="296">
        <v>0.91</v>
      </c>
      <c r="Q625" s="294">
        <v>3.15</v>
      </c>
      <c r="R625" s="295" cm="1">
        <f t="array" aca="1" ref="R625" ca="1">INDIRECT("'"&amp;$C625&amp;"'!"&amp;"$"&amp;$D625&amp;$R$1&amp;"")</f>
        <v>6.8</v>
      </c>
      <c r="S625" s="296"/>
      <c r="T625" s="296">
        <v>0.91</v>
      </c>
      <c r="U625" s="294">
        <v>3.18</v>
      </c>
      <c r="V625" s="295" cm="1">
        <f t="array" aca="1" ref="V625" ca="1">INDIRECT("'"&amp;$C625&amp;"'!"&amp;"$"&amp;$D625&amp;$V$1&amp;"")</f>
        <v>2.8</v>
      </c>
      <c r="W625" s="296">
        <f>3.8*3.52</f>
        <v>13.375999999999999</v>
      </c>
      <c r="X625" s="296">
        <v>0.95</v>
      </c>
      <c r="Y625" s="297">
        <v>0.84</v>
      </c>
      <c r="Z625" s="293" cm="1">
        <f t="array" aca="1" ref="Z625" ca="1">INDIRECT("'"&amp;$C625&amp;"'!"&amp;"$"&amp;$D625&amp;$Z$1&amp;"")</f>
        <v>0</v>
      </c>
      <c r="AA625" s="296" t="s">
        <v>1</v>
      </c>
      <c r="AB625" s="296" t="s">
        <v>1</v>
      </c>
      <c r="AC625" s="294" t="s">
        <v>1</v>
      </c>
      <c r="AD625" s="295" cm="1">
        <f t="array" aca="1" ref="AD625" ca="1">INDIRECT("'"&amp;$C625&amp;"'!"&amp;"$"&amp;$D625&amp;$AD$1&amp;"")</f>
        <v>3.8</v>
      </c>
      <c r="AE625" s="296">
        <f>3.8*3.52</f>
        <v>13.375999999999999</v>
      </c>
      <c r="AF625" s="296">
        <v>0.95</v>
      </c>
      <c r="AG625" s="297">
        <v>1.2</v>
      </c>
      <c r="AH625" s="293" cm="1">
        <f t="array" aca="1" ref="AH625" ca="1">INDIRECT("'"&amp;$C625&amp;"'!"&amp;"$"&amp;$D625&amp;$AH$1&amp;"")</f>
        <v>3.8</v>
      </c>
      <c r="AI625" s="296">
        <v>14.04</v>
      </c>
      <c r="AJ625" s="296">
        <v>0.97</v>
      </c>
      <c r="AK625" s="294">
        <v>0.77400000000000002</v>
      </c>
      <c r="AL625" s="293">
        <v>11.9</v>
      </c>
      <c r="AM625" s="297">
        <v>70.400000000000006</v>
      </c>
      <c r="AN625" s="293" cm="1">
        <f t="array" aca="1" ref="AN625" ca="1">INDIRECT("'"&amp;$C625&amp;"'!"&amp;"$"&amp;$D625&amp;$AL$1&amp;"")</f>
        <v>4</v>
      </c>
      <c r="AO625" s="296">
        <v>0.97</v>
      </c>
      <c r="AP625" s="294">
        <v>0.92</v>
      </c>
      <c r="AQ625" s="295" cm="1">
        <f t="array" aca="1" ref="AQ625" ca="1">INDIRECT("'"&amp;$C625&amp;"'!"&amp;"$"&amp;$D625&amp;$AQ$1&amp;"")</f>
        <v>4</v>
      </c>
      <c r="AR625" s="296">
        <v>0.97</v>
      </c>
      <c r="AS625" s="294">
        <v>0.92</v>
      </c>
      <c r="AT625" s="296" cm="1">
        <f t="array" aca="1" ref="AT625" ca="1">INDIRECT("'"&amp;$C625&amp;"'!"&amp;"$"&amp;$D625&amp;$AT$1&amp;"")</f>
        <v>0</v>
      </c>
      <c r="AU625" s="295" t="s">
        <v>1</v>
      </c>
      <c r="AV625" s="296" t="s">
        <v>1</v>
      </c>
      <c r="AW625" s="294" t="s">
        <v>1</v>
      </c>
      <c r="AX625" s="298">
        <v>14.22</v>
      </c>
      <c r="AY625" s="297">
        <v>71.44</v>
      </c>
      <c r="AZ625" s="298" cm="1">
        <f t="array" aca="1" ref="AZ625" ca="1">INDIRECT("'"&amp;$C625&amp;"'!"&amp;"$"&amp;$D625&amp;$AZ$1&amp;"")</f>
        <v>14.3</v>
      </c>
      <c r="BA625" s="296">
        <v>0.98</v>
      </c>
      <c r="BB625" s="294">
        <v>3.5</v>
      </c>
      <c r="BC625" s="299">
        <v>68.2</v>
      </c>
      <c r="BD625" s="293" cm="1">
        <f t="array" aca="1" ref="BD625" ca="1">INDIRECT("'"&amp;$C625&amp;"'!"&amp;"$"&amp;$D625&amp;$BC$1&amp;"")</f>
        <v>0.81</v>
      </c>
      <c r="BE625" s="295">
        <v>0.98</v>
      </c>
      <c r="BF625" s="294">
        <v>0.16</v>
      </c>
      <c r="BG625" s="298" cm="1">
        <f t="array" aca="1" ref="BG625" ca="1">INDIRECT("'"&amp;$C625&amp;"'!"&amp;"$"&amp;$D625&amp;$BG$1&amp;"")</f>
        <v>1.56</v>
      </c>
      <c r="BH625" s="296"/>
      <c r="BI625" s="296">
        <v>0.99</v>
      </c>
      <c r="BJ625" s="294">
        <v>0.21</v>
      </c>
      <c r="BK625" s="299" cm="1">
        <f t="array" aca="1" ref="BK625" ca="1">INDIRECT("'"&amp;$C625&amp;"'!"&amp;"$"&amp;$D625&amp;$BK$1&amp;"")</f>
        <v>1</v>
      </c>
      <c r="BL625" s="296"/>
      <c r="BM625" s="296">
        <v>0.96</v>
      </c>
      <c r="BN625" s="294">
        <v>0.27</v>
      </c>
    </row>
    <row r="626" spans="1:66" ht="14.45" thickBot="1">
      <c r="A626" s="360">
        <v>45772</v>
      </c>
      <c r="B626" s="358">
        <v>0.875000000000001</v>
      </c>
      <c r="C626" s="313">
        <f t="shared" si="24"/>
        <v>25</v>
      </c>
      <c r="D626" s="314" t="s">
        <v>148</v>
      </c>
      <c r="E626" s="286">
        <v>14.1</v>
      </c>
      <c r="F626" s="287">
        <v>69.64</v>
      </c>
      <c r="G626" s="288" cm="1">
        <f t="array" aca="1" ref="G626" ca="1">INDIRECT("'"&amp;$C626&amp;"'!"&amp;"$"&amp;$D626&amp;$E$1&amp;"")</f>
        <v>6.7</v>
      </c>
      <c r="H626" s="289">
        <v>0.91</v>
      </c>
      <c r="I626" s="287">
        <v>3.08</v>
      </c>
      <c r="J626" s="288" cm="1">
        <f t="array" aca="1" ref="J626" ca="1">INDIRECT("'"&amp;$C626&amp;"'!"&amp;"$"&amp;$D626&amp;$J$1&amp;"")</f>
        <v>6.7</v>
      </c>
      <c r="K626" s="289"/>
      <c r="L626" s="289">
        <v>0.91</v>
      </c>
      <c r="M626" s="287">
        <v>3.05</v>
      </c>
      <c r="N626" s="288" cm="1">
        <f t="array" aca="1" ref="N626" ca="1">INDIRECT("'"&amp;$C626&amp;"'!"&amp;"$"&amp;$D626&amp;$N$1&amp;"")</f>
        <v>6.7</v>
      </c>
      <c r="O626" s="289"/>
      <c r="P626" s="289">
        <v>0.91</v>
      </c>
      <c r="Q626" s="287">
        <v>3.06</v>
      </c>
      <c r="R626" s="288" cm="1">
        <f t="array" aca="1" ref="R626" ca="1">INDIRECT("'"&amp;$C626&amp;"'!"&amp;"$"&amp;$D626&amp;$R$1&amp;"")</f>
        <v>6.7</v>
      </c>
      <c r="S626" s="289"/>
      <c r="T626" s="289">
        <v>0.91</v>
      </c>
      <c r="U626" s="287">
        <v>3.06</v>
      </c>
      <c r="V626" s="288" cm="1">
        <f t="array" aca="1" ref="V626" ca="1">INDIRECT("'"&amp;$C626&amp;"'!"&amp;"$"&amp;$D626&amp;$V$1&amp;"")</f>
        <v>2</v>
      </c>
      <c r="W626" s="289">
        <f>3.8*3.52</f>
        <v>13.375999999999999</v>
      </c>
      <c r="X626" s="289">
        <v>0.97</v>
      </c>
      <c r="Y626" s="290">
        <v>0.42</v>
      </c>
      <c r="Z626" s="286" cm="1">
        <f t="array" aca="1" ref="Z626" ca="1">INDIRECT("'"&amp;$C626&amp;"'!"&amp;"$"&amp;$D626&amp;$Z$1&amp;"")</f>
        <v>0</v>
      </c>
      <c r="AA626" s="289" t="s">
        <v>1</v>
      </c>
      <c r="AB626" s="289" t="s">
        <v>1</v>
      </c>
      <c r="AC626" s="287" t="s">
        <v>1</v>
      </c>
      <c r="AD626" s="288" cm="1">
        <f t="array" aca="1" ref="AD626" ca="1">INDIRECT("'"&amp;$C626&amp;"'!"&amp;"$"&amp;$D626&amp;$AD$1&amp;"")</f>
        <v>3.8</v>
      </c>
      <c r="AE626" s="289">
        <f>3.8*3.52</f>
        <v>13.375999999999999</v>
      </c>
      <c r="AF626" s="289">
        <v>0.95</v>
      </c>
      <c r="AG626" s="290">
        <v>1.22</v>
      </c>
      <c r="AH626" s="286" cm="1">
        <f t="array" aca="1" ref="AH626" ca="1">INDIRECT("'"&amp;$C626&amp;"'!"&amp;"$"&amp;$D626&amp;$AH$1&amp;"")</f>
        <v>3</v>
      </c>
      <c r="AI626" s="289">
        <v>14.04</v>
      </c>
      <c r="AJ626" s="289">
        <v>0.96</v>
      </c>
      <c r="AK626" s="287">
        <v>0.97</v>
      </c>
      <c r="AL626" s="286">
        <v>11.9</v>
      </c>
      <c r="AM626" s="290">
        <v>70.400000000000006</v>
      </c>
      <c r="AN626" s="286" cm="1">
        <f t="array" aca="1" ref="AN626" ca="1">INDIRECT("'"&amp;$C626&amp;"'!"&amp;"$"&amp;$D626&amp;$AL$1&amp;"")</f>
        <v>4.0999999999999996</v>
      </c>
      <c r="AO626" s="289">
        <v>0.97</v>
      </c>
      <c r="AP626" s="287">
        <v>0.9</v>
      </c>
      <c r="AQ626" s="288" cm="1">
        <f t="array" aca="1" ref="AQ626" ca="1">INDIRECT("'"&amp;$C626&amp;"'!"&amp;"$"&amp;$D626&amp;$AQ$1&amp;"")</f>
        <v>4.0999999999999996</v>
      </c>
      <c r="AR626" s="289">
        <v>0.97</v>
      </c>
      <c r="AS626" s="287">
        <v>0.9</v>
      </c>
      <c r="AT626" s="289" cm="1">
        <f t="array" aca="1" ref="AT626" ca="1">INDIRECT("'"&amp;$C626&amp;"'!"&amp;"$"&amp;$D626&amp;$AT$1&amp;"")</f>
        <v>0</v>
      </c>
      <c r="AU626" s="288" t="s">
        <v>1</v>
      </c>
      <c r="AV626" s="289" t="s">
        <v>1</v>
      </c>
      <c r="AW626" s="287" t="s">
        <v>1</v>
      </c>
      <c r="AX626" s="291">
        <v>14.2</v>
      </c>
      <c r="AY626" s="290">
        <v>71.510000000000005</v>
      </c>
      <c r="AZ626" s="291" cm="1">
        <f t="array" aca="1" ref="AZ626" ca="1">INDIRECT("'"&amp;$C626&amp;"'!"&amp;"$"&amp;$D626&amp;$AZ$1&amp;"")</f>
        <v>14.17</v>
      </c>
      <c r="BA626" s="289">
        <v>0.98</v>
      </c>
      <c r="BB626" s="287">
        <v>3.5</v>
      </c>
      <c r="BC626" s="292">
        <v>68</v>
      </c>
      <c r="BD626" s="286" cm="1">
        <f t="array" aca="1" ref="BD626" ca="1">INDIRECT("'"&amp;$C626&amp;"'!"&amp;"$"&amp;$D626&amp;$BC$1&amp;"")</f>
        <v>0</v>
      </c>
      <c r="BE626" s="288" t="s">
        <v>1</v>
      </c>
      <c r="BF626" s="287" t="s">
        <v>1</v>
      </c>
      <c r="BG626" s="291" cm="1">
        <f t="array" aca="1" ref="BG626" ca="1">INDIRECT("'"&amp;$C626&amp;"'!"&amp;"$"&amp;$D626&amp;$BG$1&amp;"")</f>
        <v>1.52</v>
      </c>
      <c r="BH626" s="289"/>
      <c r="BI626" s="289">
        <v>0.99</v>
      </c>
      <c r="BJ626" s="287">
        <v>0.2</v>
      </c>
      <c r="BK626" s="292" cm="1">
        <f t="array" aca="1" ref="BK626" ca="1">INDIRECT("'"&amp;$C626&amp;"'!"&amp;"$"&amp;$D626&amp;$BK$1&amp;"")</f>
        <v>0.98</v>
      </c>
      <c r="BL626" s="289"/>
      <c r="BM626" s="289">
        <v>0.96</v>
      </c>
      <c r="BN626" s="287">
        <v>0.26</v>
      </c>
    </row>
    <row r="627" spans="1:66" ht="14.45" thickBot="1">
      <c r="A627" s="360">
        <v>45772</v>
      </c>
      <c r="B627" s="358">
        <v>0.91666666666666696</v>
      </c>
      <c r="C627" s="313">
        <f t="shared" si="24"/>
        <v>25</v>
      </c>
      <c r="D627" s="314" t="s">
        <v>149</v>
      </c>
      <c r="E627" s="293">
        <v>14.2</v>
      </c>
      <c r="F627" s="294">
        <v>70.489999999999995</v>
      </c>
      <c r="G627" s="295" cm="1">
        <f t="array" aca="1" ref="G627" ca="1">INDIRECT("'"&amp;$C627&amp;"'!"&amp;"$"&amp;$D627&amp;$E$1&amp;"")</f>
        <v>0</v>
      </c>
      <c r="H627" s="296" t="s">
        <v>1</v>
      </c>
      <c r="I627" s="294" t="s">
        <v>1</v>
      </c>
      <c r="J627" s="295" cm="1">
        <f t="array" aca="1" ref="J627" ca="1">INDIRECT("'"&amp;$C627&amp;"'!"&amp;"$"&amp;$D627&amp;$J$1&amp;"")</f>
        <v>6.7</v>
      </c>
      <c r="K627" s="296"/>
      <c r="L627" s="296">
        <v>0.92</v>
      </c>
      <c r="M627" s="294">
        <v>2.81</v>
      </c>
      <c r="N627" s="295" cm="1">
        <f t="array" aca="1" ref="N627" ca="1">INDIRECT("'"&amp;$C627&amp;"'!"&amp;"$"&amp;$D627&amp;$N$1&amp;"")</f>
        <v>6.5</v>
      </c>
      <c r="O627" s="296"/>
      <c r="P627" s="296">
        <v>0.93</v>
      </c>
      <c r="Q627" s="294">
        <v>2.5299999999999998</v>
      </c>
      <c r="R627" s="295" cm="1">
        <f t="array" aca="1" ref="R627" ca="1">INDIRECT("'"&amp;$C627&amp;"'!"&amp;"$"&amp;$D627&amp;$R$1&amp;"")</f>
        <v>6.5</v>
      </c>
      <c r="S627" s="296"/>
      <c r="T627" s="296">
        <v>0.93</v>
      </c>
      <c r="U627" s="294">
        <v>2.5499999999999998</v>
      </c>
      <c r="V627" s="295" cm="1">
        <f t="array" aca="1" ref="V627" ca="1">INDIRECT("'"&amp;$C627&amp;"'!"&amp;"$"&amp;$D627&amp;$V$1&amp;"")</f>
        <v>2.8</v>
      </c>
      <c r="W627" s="296">
        <f>3.8*3.58</f>
        <v>13.603999999999999</v>
      </c>
      <c r="X627" s="296">
        <v>0.96</v>
      </c>
      <c r="Y627" s="297">
        <v>0.73</v>
      </c>
      <c r="Z627" s="293" cm="1">
        <f t="array" aca="1" ref="Z627" ca="1">INDIRECT("'"&amp;$C627&amp;"'!"&amp;"$"&amp;$D627&amp;$Z$1&amp;"")</f>
        <v>0</v>
      </c>
      <c r="AA627" s="296" t="s">
        <v>1</v>
      </c>
      <c r="AB627" s="296" t="s">
        <v>1</v>
      </c>
      <c r="AC627" s="294" t="s">
        <v>1</v>
      </c>
      <c r="AD627" s="295" cm="1">
        <f t="array" aca="1" ref="AD627" ca="1">INDIRECT("'"&amp;$C627&amp;"'!"&amp;"$"&amp;$D627&amp;$AD$1&amp;"")</f>
        <v>3.8</v>
      </c>
      <c r="AE627" s="296">
        <f>3.8*3.58</f>
        <v>13.603999999999999</v>
      </c>
      <c r="AF627" s="296">
        <v>0.96</v>
      </c>
      <c r="AG627" s="297">
        <v>1.05</v>
      </c>
      <c r="AH627" s="293" cm="1">
        <f t="array" aca="1" ref="AH627" ca="1">INDIRECT("'"&amp;$C627&amp;"'!"&amp;"$"&amp;$D627&amp;$AH$1&amp;"")</f>
        <v>3.8</v>
      </c>
      <c r="AI627" s="296">
        <v>14</v>
      </c>
      <c r="AJ627" s="296">
        <v>0.96</v>
      </c>
      <c r="AK627" s="294">
        <v>0.98699999999999999</v>
      </c>
      <c r="AL627" s="293">
        <v>11.9</v>
      </c>
      <c r="AM627" s="297">
        <v>70.900000000000006</v>
      </c>
      <c r="AN627" s="293" cm="1">
        <f t="array" aca="1" ref="AN627" ca="1">INDIRECT("'"&amp;$C627&amp;"'!"&amp;"$"&amp;$D627&amp;$AL$1&amp;"")</f>
        <v>4</v>
      </c>
      <c r="AO627" s="296">
        <v>0.99</v>
      </c>
      <c r="AP627" s="294">
        <v>0.5</v>
      </c>
      <c r="AQ627" s="295" cm="1">
        <f t="array" aca="1" ref="AQ627" ca="1">INDIRECT("'"&amp;$C627&amp;"'!"&amp;"$"&amp;$D627&amp;$AQ$1&amp;"")</f>
        <v>4</v>
      </c>
      <c r="AR627" s="296">
        <v>0.99</v>
      </c>
      <c r="AS627" s="294">
        <v>0.5</v>
      </c>
      <c r="AT627" s="296" cm="1">
        <f t="array" aca="1" ref="AT627" ca="1">INDIRECT("'"&amp;$C627&amp;"'!"&amp;"$"&amp;$D627&amp;$AT$1&amp;"")</f>
        <v>0</v>
      </c>
      <c r="AU627" s="295" t="s">
        <v>1</v>
      </c>
      <c r="AV627" s="296" t="s">
        <v>1</v>
      </c>
      <c r="AW627" s="294" t="s">
        <v>1</v>
      </c>
      <c r="AX627" s="298">
        <v>14.13</v>
      </c>
      <c r="AY627" s="297">
        <v>71.47</v>
      </c>
      <c r="AZ627" s="298" cm="1">
        <f t="array" aca="1" ref="AZ627" ca="1">INDIRECT("'"&amp;$C627&amp;"'!"&amp;"$"&amp;$D627&amp;$AZ$1&amp;"")</f>
        <v>14.29</v>
      </c>
      <c r="BA627" s="296">
        <v>0.99</v>
      </c>
      <c r="BB627" s="294">
        <v>2.4</v>
      </c>
      <c r="BC627" s="299">
        <v>69</v>
      </c>
      <c r="BD627" s="293" cm="1">
        <f t="array" aca="1" ref="BD627" ca="1">INDIRECT("'"&amp;$C627&amp;"'!"&amp;"$"&amp;$D627&amp;$BC$1&amp;"")</f>
        <v>3</v>
      </c>
      <c r="BE627" s="295">
        <v>0.97</v>
      </c>
      <c r="BF627" s="294">
        <v>0.75</v>
      </c>
      <c r="BG627" s="298" cm="1">
        <f t="array" aca="1" ref="BG627" ca="1">INDIRECT("'"&amp;$C627&amp;"'!"&amp;"$"&amp;$D627&amp;$BG$1&amp;"")</f>
        <v>1.41</v>
      </c>
      <c r="BH627" s="296"/>
      <c r="BI627" s="296">
        <v>0.99</v>
      </c>
      <c r="BJ627" s="294">
        <v>0.19</v>
      </c>
      <c r="BK627" s="299" cm="1">
        <f t="array" aca="1" ref="BK627" ca="1">INDIRECT("'"&amp;$C627&amp;"'!"&amp;"$"&amp;$D627&amp;$BK$1&amp;"")</f>
        <v>0.93</v>
      </c>
      <c r="BL627" s="296"/>
      <c r="BM627" s="296">
        <v>0.96</v>
      </c>
      <c r="BN627" s="294">
        <v>0.25</v>
      </c>
    </row>
    <row r="628" spans="1:66" ht="14.45" thickBot="1">
      <c r="A628" s="494">
        <v>45772</v>
      </c>
      <c r="B628" s="359">
        <v>0.95833333333333404</v>
      </c>
      <c r="C628" s="315">
        <f t="shared" si="24"/>
        <v>25</v>
      </c>
      <c r="D628" s="316" t="s">
        <v>150</v>
      </c>
      <c r="E628" s="301">
        <v>14.1</v>
      </c>
      <c r="F628" s="302">
        <v>70</v>
      </c>
      <c r="G628" s="303" cm="1">
        <f t="array" aca="1" ref="G628" ca="1">INDIRECT("'"&amp;$C628&amp;"'!"&amp;"$"&amp;$D628&amp;$E$1&amp;"")</f>
        <v>0</v>
      </c>
      <c r="H628" s="304" t="s">
        <v>1</v>
      </c>
      <c r="I628" s="302" t="s">
        <v>1</v>
      </c>
      <c r="J628" s="303" cm="1">
        <f t="array" aca="1" ref="J628" ca="1">INDIRECT("'"&amp;$C628&amp;"'!"&amp;"$"&amp;$D628&amp;$J$1&amp;"")</f>
        <v>6.7</v>
      </c>
      <c r="K628" s="304"/>
      <c r="L628" s="304">
        <v>0.97</v>
      </c>
      <c r="M628" s="302">
        <v>1.61</v>
      </c>
      <c r="N628" s="303" cm="1">
        <f t="array" aca="1" ref="N628" ca="1">INDIRECT("'"&amp;$C628&amp;"'!"&amp;"$"&amp;$D628&amp;$N$1&amp;"")</f>
        <v>6.5</v>
      </c>
      <c r="O628" s="304"/>
      <c r="P628" s="304">
        <v>0.97</v>
      </c>
      <c r="Q628" s="302">
        <v>1.5</v>
      </c>
      <c r="R628" s="303" cm="1">
        <f t="array" aca="1" ref="R628" ca="1">INDIRECT("'"&amp;$C628&amp;"'!"&amp;"$"&amp;$D628&amp;$R$1&amp;"")</f>
        <v>6.5</v>
      </c>
      <c r="S628" s="304"/>
      <c r="T628" s="304">
        <v>0.94</v>
      </c>
      <c r="U628" s="302">
        <v>2.39</v>
      </c>
      <c r="V628" s="303" cm="1">
        <f t="array" aca="1" ref="V628" ca="1">INDIRECT("'"&amp;$C628&amp;"'!"&amp;"$"&amp;$D628&amp;$V$1&amp;"")</f>
        <v>2</v>
      </c>
      <c r="W628" s="304">
        <f>3.8*3.56</f>
        <v>13.527999999999999</v>
      </c>
      <c r="X628" s="304">
        <v>0.97</v>
      </c>
      <c r="Y628" s="305">
        <v>0.43</v>
      </c>
      <c r="Z628" s="301" cm="1">
        <f t="array" aca="1" ref="Z628" ca="1">INDIRECT("'"&amp;$C628&amp;"'!"&amp;"$"&amp;$D628&amp;$Z$1&amp;"")</f>
        <v>0</v>
      </c>
      <c r="AA628" s="304" t="s">
        <v>1</v>
      </c>
      <c r="AB628" s="304" t="s">
        <v>1</v>
      </c>
      <c r="AC628" s="302" t="s">
        <v>1</v>
      </c>
      <c r="AD628" s="303" cm="1">
        <f t="array" aca="1" ref="AD628" ca="1">INDIRECT("'"&amp;$C628&amp;"'!"&amp;"$"&amp;$D628&amp;$AD$1&amp;"")</f>
        <v>3</v>
      </c>
      <c r="AE628" s="304">
        <f>3.8*3.56</f>
        <v>13.527999999999999</v>
      </c>
      <c r="AF628" s="304">
        <v>0.96</v>
      </c>
      <c r="AG628" s="305">
        <v>0.98</v>
      </c>
      <c r="AH628" s="301" cm="1">
        <f t="array" aca="1" ref="AH628" ca="1">INDIRECT("'"&amp;$C628&amp;"'!"&amp;"$"&amp;$D628&amp;$AH$1&amp;"")</f>
        <v>3</v>
      </c>
      <c r="AI628" s="304">
        <v>14.04</v>
      </c>
      <c r="AJ628" s="304">
        <v>0.97</v>
      </c>
      <c r="AK628" s="302">
        <v>0.78400000000000003</v>
      </c>
      <c r="AL628" s="301">
        <v>11.9</v>
      </c>
      <c r="AM628" s="305">
        <v>70.599999999999994</v>
      </c>
      <c r="AN628" s="301" cm="1">
        <f t="array" aca="1" ref="AN628" ca="1">INDIRECT("'"&amp;$C628&amp;"'!"&amp;"$"&amp;$D628&amp;$AL$1&amp;"")</f>
        <v>4</v>
      </c>
      <c r="AO628" s="304">
        <v>0.98</v>
      </c>
      <c r="AP628" s="302">
        <v>0.8</v>
      </c>
      <c r="AQ628" s="303" cm="1">
        <f t="array" aca="1" ref="AQ628" ca="1">INDIRECT("'"&amp;$C628&amp;"'!"&amp;"$"&amp;$D628&amp;$AQ$1&amp;"")</f>
        <v>4</v>
      </c>
      <c r="AR628" s="304">
        <v>0.98</v>
      </c>
      <c r="AS628" s="302">
        <v>0.8</v>
      </c>
      <c r="AT628" s="304" cm="1">
        <f t="array" aca="1" ref="AT628" ca="1">INDIRECT("'"&amp;$C628&amp;"'!"&amp;"$"&amp;$D628&amp;$AT$1&amp;"")</f>
        <v>0</v>
      </c>
      <c r="AU628" s="303" t="s">
        <v>1</v>
      </c>
      <c r="AV628" s="304" t="s">
        <v>1</v>
      </c>
      <c r="AW628" s="302" t="s">
        <v>1</v>
      </c>
      <c r="AX628" s="306">
        <v>14.14</v>
      </c>
      <c r="AY628" s="305">
        <v>71.44</v>
      </c>
      <c r="AZ628" s="306" cm="1">
        <f t="array" aca="1" ref="AZ628" ca="1">INDIRECT("'"&amp;$C628&amp;"'!"&amp;"$"&amp;$D628&amp;$AZ$1&amp;"")</f>
        <v>14.12</v>
      </c>
      <c r="BA628" s="304">
        <v>0.99</v>
      </c>
      <c r="BB628" s="302">
        <v>2.4</v>
      </c>
      <c r="BC628" s="307">
        <v>68.599999999999994</v>
      </c>
      <c r="BD628" s="301" cm="1">
        <f t="array" aca="1" ref="BD628" ca="1">INDIRECT("'"&amp;$C628&amp;"'!"&amp;"$"&amp;$D628&amp;$BC$1&amp;"")</f>
        <v>0</v>
      </c>
      <c r="BE628" s="303" t="s">
        <v>1</v>
      </c>
      <c r="BF628" s="302" t="s">
        <v>1</v>
      </c>
      <c r="BG628" s="306" cm="1">
        <f t="array" aca="1" ref="BG628" ca="1">INDIRECT("'"&amp;$C628&amp;"'!"&amp;"$"&amp;$D628&amp;$BG$1&amp;"")</f>
        <v>1.3</v>
      </c>
      <c r="BH628" s="304"/>
      <c r="BI628" s="304">
        <v>0.99</v>
      </c>
      <c r="BJ628" s="302">
        <v>0.18</v>
      </c>
      <c r="BK628" s="307" cm="1">
        <f t="array" aca="1" ref="BK628" ca="1">INDIRECT("'"&amp;$C628&amp;"'!"&amp;"$"&amp;$D628&amp;$BK$1&amp;"")</f>
        <v>0.9</v>
      </c>
      <c r="BL628" s="304"/>
      <c r="BM628" s="304">
        <v>0.96</v>
      </c>
      <c r="BN628" s="302">
        <v>0.24</v>
      </c>
    </row>
    <row r="629" spans="1:66" ht="14.45" thickBot="1"/>
    <row r="630" spans="1:66" ht="14.45" thickBot="1">
      <c r="A630" s="360">
        <v>45773</v>
      </c>
      <c r="B630" s="357">
        <v>0</v>
      </c>
      <c r="C630" s="310">
        <f>C605+1</f>
        <v>26</v>
      </c>
      <c r="D630" s="311" t="s">
        <v>127</v>
      </c>
      <c r="E630" s="280">
        <v>14.3</v>
      </c>
      <c r="F630" s="281">
        <v>70.2</v>
      </c>
      <c r="G630" s="282" cm="1">
        <f t="array" aca="1" ref="G630" ca="1">INDIRECT("'"&amp;$C630&amp;"'!"&amp;"$"&amp;$D630&amp;$E$1&amp;"")</f>
        <v>0</v>
      </c>
      <c r="H630" s="283" t="s">
        <v>1</v>
      </c>
      <c r="I630" s="281" t="s">
        <v>1</v>
      </c>
      <c r="J630" s="282" cm="1">
        <f t="array" aca="1" ref="J630" ca="1">INDIRECT("'"&amp;$C630&amp;"'!"&amp;"$"&amp;$D630&amp;$J$1&amp;"")</f>
        <v>6.7</v>
      </c>
      <c r="K630" s="283"/>
      <c r="L630" s="283">
        <v>0.95</v>
      </c>
      <c r="M630" s="281">
        <v>2.1800000000000002</v>
      </c>
      <c r="N630" s="282" cm="1">
        <f t="array" aca="1" ref="N630" ca="1">INDIRECT("'"&amp;$C630&amp;"'!"&amp;"$"&amp;$D630&amp;$N$1&amp;"")</f>
        <v>6.6</v>
      </c>
      <c r="O630" s="283"/>
      <c r="P630" s="283">
        <v>0.95</v>
      </c>
      <c r="Q630" s="281">
        <v>2.12</v>
      </c>
      <c r="R630" s="282" cm="1">
        <f t="array" aca="1" ref="R630" ca="1">INDIRECT("'"&amp;$C630&amp;"'!"&amp;"$"&amp;$D630&amp;$R$1&amp;"")</f>
        <v>6.6</v>
      </c>
      <c r="S630" s="283"/>
      <c r="T630" s="283">
        <v>0.95</v>
      </c>
      <c r="U630" s="281">
        <v>2.12</v>
      </c>
      <c r="V630" s="282" cm="1">
        <f t="array" aca="1" ref="V630" ca="1">INDIRECT("'"&amp;$C630&amp;"'!"&amp;"$"&amp;$D630&amp;$V$1&amp;"")</f>
        <v>0</v>
      </c>
      <c r="W630" s="283" t="s">
        <v>1</v>
      </c>
      <c r="X630" s="283" t="s">
        <v>1</v>
      </c>
      <c r="Y630" s="284" t="s">
        <v>1</v>
      </c>
      <c r="Z630" s="280" cm="1">
        <f t="array" aca="1" ref="Z630" ca="1">INDIRECT("'"&amp;$C630&amp;"'!"&amp;"$"&amp;$D630&amp;$Z$1&amp;"")</f>
        <v>0</v>
      </c>
      <c r="AA630" s="283" t="s">
        <v>1</v>
      </c>
      <c r="AB630" s="283" t="s">
        <v>1</v>
      </c>
      <c r="AC630" s="281" t="s">
        <v>1</v>
      </c>
      <c r="AD630" s="282" cm="1">
        <f t="array" aca="1" ref="AD630" ca="1">INDIRECT("'"&amp;$C630&amp;"'!"&amp;"$"&amp;$D630&amp;$AD$1&amp;"")</f>
        <v>3</v>
      </c>
      <c r="AE630" s="283">
        <f>3.8*3.57</f>
        <v>13.565999999999999</v>
      </c>
      <c r="AF630" s="283">
        <v>0.97</v>
      </c>
      <c r="AG630" s="281">
        <v>0.79</v>
      </c>
      <c r="AH630" s="280" cm="1">
        <f t="array" aca="1" ref="AH630" ca="1">INDIRECT("'"&amp;$C630&amp;"'!"&amp;"$"&amp;$D630&amp;$AH$1&amp;"")</f>
        <v>3.4</v>
      </c>
      <c r="AI630" s="283">
        <v>14.04</v>
      </c>
      <c r="AJ630" s="283">
        <v>0.98</v>
      </c>
      <c r="AK630" s="281">
        <v>0.57099999999999995</v>
      </c>
      <c r="AL630" s="280">
        <v>11.9</v>
      </c>
      <c r="AM630" s="284">
        <v>70.599999999999994</v>
      </c>
      <c r="AN630" s="280" cm="1">
        <f t="array" aca="1" ref="AN630" ca="1">INDIRECT("'"&amp;$C630&amp;"'!"&amp;"$"&amp;$D630&amp;$AL$1&amp;"")</f>
        <v>3.1</v>
      </c>
      <c r="AO630" s="283">
        <v>0.97</v>
      </c>
      <c r="AP630" s="281">
        <v>0.7</v>
      </c>
      <c r="AQ630" s="282" cm="1">
        <f t="array" aca="1" ref="AQ630" ca="1">INDIRECT("'"&amp;$C630&amp;"'!"&amp;"$"&amp;$D630&amp;$AQ$1&amp;"")</f>
        <v>3.1</v>
      </c>
      <c r="AR630" s="283">
        <v>0.97</v>
      </c>
      <c r="AS630" s="281">
        <v>0.7</v>
      </c>
      <c r="AT630" s="283" cm="1">
        <f t="array" aca="1" ref="AT630" ca="1">INDIRECT("'"&amp;$C630&amp;"'!"&amp;"$"&amp;$D630&amp;$AT$1&amp;"")</f>
        <v>0</v>
      </c>
      <c r="AU630" s="282" t="s">
        <v>1</v>
      </c>
      <c r="AV630" s="283" t="s">
        <v>1</v>
      </c>
      <c r="AW630" s="281" t="s">
        <v>1</v>
      </c>
      <c r="AX630" s="285">
        <v>14.21</v>
      </c>
      <c r="AY630" s="284">
        <v>71.94</v>
      </c>
      <c r="AZ630" s="285" cm="1">
        <f t="array" aca="1" ref="AZ630" ca="1">INDIRECT("'"&amp;$C630&amp;"'!"&amp;"$"&amp;$D630&amp;$AZ$1&amp;"")</f>
        <v>14.16</v>
      </c>
      <c r="BA630" s="283">
        <v>0.99</v>
      </c>
      <c r="BB630" s="281">
        <v>2.4</v>
      </c>
      <c r="BC630" s="281">
        <v>68.7</v>
      </c>
      <c r="BD630" s="280" cm="1">
        <f t="array" aca="1" ref="BD630" ca="1">INDIRECT("'"&amp;$C630&amp;"'!"&amp;"$"&amp;$D630&amp;$BC$1&amp;"")</f>
        <v>0</v>
      </c>
      <c r="BE630" s="282" t="s">
        <v>1</v>
      </c>
      <c r="BF630" s="281" t="s">
        <v>1</v>
      </c>
      <c r="BG630" s="285" cm="1">
        <f t="array" aca="1" ref="BG630" ca="1">INDIRECT("'"&amp;$C630&amp;"'!"&amp;"$"&amp;$D630&amp;$BG$1&amp;"")</f>
        <v>1.17</v>
      </c>
      <c r="BH630" s="283"/>
      <c r="BI630" s="283">
        <v>0.99</v>
      </c>
      <c r="BJ630" s="281">
        <v>0.19</v>
      </c>
      <c r="BK630" s="285" cm="1">
        <f t="array" aca="1" ref="BK630" ca="1">INDIRECT("'"&amp;$C630&amp;"'!"&amp;"$"&amp;$D630&amp;$BK$1&amp;"")</f>
        <v>0.86</v>
      </c>
      <c r="BL630" s="283"/>
      <c r="BM630" s="283">
        <v>0.96</v>
      </c>
      <c r="BN630" s="281">
        <v>0.23</v>
      </c>
    </row>
    <row r="631" spans="1:66" ht="14.45" thickBot="1">
      <c r="A631" s="360">
        <v>45773</v>
      </c>
      <c r="B631" s="358">
        <v>4.1666666666666699E-2</v>
      </c>
      <c r="C631" s="313">
        <f t="shared" ref="C631:C653" si="25">C606+1</f>
        <v>26</v>
      </c>
      <c r="D631" s="314" t="s">
        <v>128</v>
      </c>
      <c r="E631" s="286">
        <v>14.3</v>
      </c>
      <c r="F631" s="287">
        <v>70.61</v>
      </c>
      <c r="G631" s="288" cm="1">
        <f t="array" aca="1" ref="G631" ca="1">INDIRECT("'"&amp;$C631&amp;"'!"&amp;"$"&amp;$D631&amp;$E$1&amp;"")</f>
        <v>0</v>
      </c>
      <c r="H631" s="289" t="s">
        <v>1</v>
      </c>
      <c r="I631" s="287" t="s">
        <v>1</v>
      </c>
      <c r="J631" s="288" cm="1">
        <f t="array" aca="1" ref="J631" ca="1">INDIRECT("'"&amp;$C631&amp;"'!"&amp;"$"&amp;$D631&amp;$J$1&amp;"")</f>
        <v>6.7</v>
      </c>
      <c r="K631" s="289"/>
      <c r="L631" s="289">
        <v>0.96</v>
      </c>
      <c r="M631" s="287">
        <v>1.89</v>
      </c>
      <c r="N631" s="288" cm="1">
        <f t="array" aca="1" ref="N631" ca="1">INDIRECT("'"&amp;$C631&amp;"'!"&amp;"$"&amp;$D631&amp;$N$1&amp;"")</f>
        <v>6.6</v>
      </c>
      <c r="O631" s="289"/>
      <c r="P631" s="289">
        <v>0.96</v>
      </c>
      <c r="Q631" s="287">
        <v>1.85</v>
      </c>
      <c r="R631" s="288" cm="1">
        <f t="array" aca="1" ref="R631" ca="1">INDIRECT("'"&amp;$C631&amp;"'!"&amp;"$"&amp;$D631&amp;$R$1&amp;"")</f>
        <v>6.6</v>
      </c>
      <c r="S631" s="289"/>
      <c r="T631" s="289">
        <v>0.96</v>
      </c>
      <c r="U631" s="287">
        <v>1.88</v>
      </c>
      <c r="V631" s="288" cm="1">
        <f t="array" aca="1" ref="V631" ca="1">INDIRECT("'"&amp;$C631&amp;"'!"&amp;"$"&amp;$D631&amp;$V$1&amp;"")</f>
        <v>0</v>
      </c>
      <c r="W631" s="289" t="s">
        <v>1</v>
      </c>
      <c r="X631" s="289" t="s">
        <v>1</v>
      </c>
      <c r="Y631" s="290" t="s">
        <v>1</v>
      </c>
      <c r="Z631" s="286" cm="1">
        <f t="array" aca="1" ref="Z631" ca="1">INDIRECT("'"&amp;$C631&amp;"'!"&amp;"$"&amp;$D631&amp;$Z$1&amp;"")</f>
        <v>0</v>
      </c>
      <c r="AA631" s="289" t="s">
        <v>1</v>
      </c>
      <c r="AB631" s="289" t="s">
        <v>1</v>
      </c>
      <c r="AC631" s="287" t="s">
        <v>1</v>
      </c>
      <c r="AD631" s="288" cm="1">
        <f t="array" aca="1" ref="AD631" ca="1">INDIRECT("'"&amp;$C631&amp;"'!"&amp;"$"&amp;$D631&amp;$AD$1&amp;"")</f>
        <v>3</v>
      </c>
      <c r="AE631" s="289">
        <f>3.8*3.59</f>
        <v>13.641999999999999</v>
      </c>
      <c r="AF631" s="289">
        <v>0.97</v>
      </c>
      <c r="AG631" s="290">
        <v>0.81</v>
      </c>
      <c r="AH631" s="286" cm="1">
        <f t="array" aca="1" ref="AH631" ca="1">INDIRECT("'"&amp;$C631&amp;"'!"&amp;"$"&amp;$D631&amp;$AH$1&amp;"")</f>
        <v>0</v>
      </c>
      <c r="AI631" s="289" t="s">
        <v>1</v>
      </c>
      <c r="AJ631" s="289" t="s">
        <v>1</v>
      </c>
      <c r="AK631" s="287" t="s">
        <v>1</v>
      </c>
      <c r="AL631" s="286">
        <v>11.9</v>
      </c>
      <c r="AM631" s="290">
        <v>70.8</v>
      </c>
      <c r="AN631" s="286" cm="1">
        <f t="array" aca="1" ref="AN631" ca="1">INDIRECT("'"&amp;$C631&amp;"'!"&amp;"$"&amp;$D631&amp;$AL$1&amp;"")</f>
        <v>3.6</v>
      </c>
      <c r="AO631" s="289">
        <v>0.98</v>
      </c>
      <c r="AP631" s="287">
        <v>0.6</v>
      </c>
      <c r="AQ631" s="288" cm="1">
        <f t="array" aca="1" ref="AQ631" ca="1">INDIRECT("'"&amp;$C631&amp;"'!"&amp;"$"&amp;$D631&amp;$AQ$1&amp;"")</f>
        <v>3.6</v>
      </c>
      <c r="AR631" s="289">
        <v>0.98</v>
      </c>
      <c r="AS631" s="287">
        <v>0.6</v>
      </c>
      <c r="AT631" s="289" cm="1">
        <f t="array" aca="1" ref="AT631" ca="1">INDIRECT("'"&amp;$C631&amp;"'!"&amp;"$"&amp;$D631&amp;$AT$1&amp;"")</f>
        <v>0</v>
      </c>
      <c r="AU631" s="288" t="s">
        <v>1</v>
      </c>
      <c r="AV631" s="289" t="s">
        <v>1</v>
      </c>
      <c r="AW631" s="287" t="s">
        <v>1</v>
      </c>
      <c r="AX631" s="291">
        <v>14.13</v>
      </c>
      <c r="AY631" s="290">
        <v>71.67</v>
      </c>
      <c r="AZ631" s="291" cm="1">
        <f t="array" aca="1" ref="AZ631" ca="1">INDIRECT("'"&amp;$C631&amp;"'!"&amp;"$"&amp;$D631&amp;$AZ$1&amp;"")</f>
        <v>13.77</v>
      </c>
      <c r="BA631" s="289">
        <v>0.99</v>
      </c>
      <c r="BB631" s="287">
        <v>2.4</v>
      </c>
      <c r="BC631" s="292">
        <v>69.2</v>
      </c>
      <c r="BD631" s="286" cm="1">
        <f t="array" aca="1" ref="BD631" ca="1">INDIRECT("'"&amp;$C631&amp;"'!"&amp;"$"&amp;$D631&amp;$BC$1&amp;"")</f>
        <v>0</v>
      </c>
      <c r="BE631" s="288" t="s">
        <v>1</v>
      </c>
      <c r="BF631" s="287" t="s">
        <v>1</v>
      </c>
      <c r="BG631" s="291" cm="1">
        <f t="array" aca="1" ref="BG631" ca="1">INDIRECT("'"&amp;$C631&amp;"'!"&amp;"$"&amp;$D631&amp;$BG$1&amp;"")</f>
        <v>1.0900000000000001</v>
      </c>
      <c r="BH631" s="289"/>
      <c r="BI631" s="289">
        <v>0.99</v>
      </c>
      <c r="BJ631" s="287">
        <v>0.19</v>
      </c>
      <c r="BK631" s="291" cm="1">
        <f t="array" aca="1" ref="BK631" ca="1">INDIRECT("'"&amp;$C631&amp;"'!"&amp;"$"&amp;$D631&amp;$BK$1&amp;"")</f>
        <v>0.83</v>
      </c>
      <c r="BL631" s="289"/>
      <c r="BM631" s="289">
        <v>0.96</v>
      </c>
      <c r="BN631" s="287">
        <v>0.22</v>
      </c>
    </row>
    <row r="632" spans="1:66" ht="14.45" thickBot="1">
      <c r="A632" s="360">
        <v>45773</v>
      </c>
      <c r="B632" s="358">
        <v>8.3333333333333301E-2</v>
      </c>
      <c r="C632" s="313">
        <f t="shared" si="25"/>
        <v>26</v>
      </c>
      <c r="D632" s="314" t="s">
        <v>129</v>
      </c>
      <c r="E632" s="293">
        <v>14.2</v>
      </c>
      <c r="F632" s="294">
        <v>70.06</v>
      </c>
      <c r="G632" s="295" cm="1">
        <f t="array" aca="1" ref="G632" ca="1">INDIRECT("'"&amp;$C632&amp;"'!"&amp;"$"&amp;$D632&amp;$E$1&amp;"")</f>
        <v>0</v>
      </c>
      <c r="H632" s="296" t="s">
        <v>1</v>
      </c>
      <c r="I632" s="294" t="s">
        <v>1</v>
      </c>
      <c r="J632" s="295" cm="1">
        <f t="array" aca="1" ref="J632" ca="1">INDIRECT("'"&amp;$C632&amp;"'!"&amp;"$"&amp;$D632&amp;$J$1&amp;"")</f>
        <v>6.6</v>
      </c>
      <c r="K632" s="296"/>
      <c r="L632" s="296">
        <v>0.96</v>
      </c>
      <c r="M632" s="294">
        <v>1.78</v>
      </c>
      <c r="N632" s="295" cm="1">
        <f t="array" aca="1" ref="N632" ca="1">INDIRECT("'"&amp;$C632&amp;"'!"&amp;"$"&amp;$D632&amp;$N$1&amp;"")</f>
        <v>6.6</v>
      </c>
      <c r="O632" s="296"/>
      <c r="P632" s="296">
        <v>0.96</v>
      </c>
      <c r="Q632" s="294">
        <v>1.8</v>
      </c>
      <c r="R632" s="295" cm="1">
        <f t="array" aca="1" ref="R632" ca="1">INDIRECT("'"&amp;$C632&amp;"'!"&amp;"$"&amp;$D632&amp;$R$1&amp;"")</f>
        <v>6.6</v>
      </c>
      <c r="S632" s="296"/>
      <c r="T632" s="296">
        <v>0.96</v>
      </c>
      <c r="U632" s="294">
        <v>1.79</v>
      </c>
      <c r="V632" s="295" cm="1">
        <f t="array" aca="1" ref="V632" ca="1">INDIRECT("'"&amp;$C632&amp;"'!"&amp;"$"&amp;$D632&amp;$V$1&amp;"")</f>
        <v>0</v>
      </c>
      <c r="W632" s="296" t="s">
        <v>1</v>
      </c>
      <c r="X632" s="296" t="s">
        <v>1</v>
      </c>
      <c r="Y632" s="297" t="s">
        <v>1</v>
      </c>
      <c r="Z632" s="293" cm="1">
        <f t="array" aca="1" ref="Z632" ca="1">INDIRECT("'"&amp;$C632&amp;"'!"&amp;"$"&amp;$D632&amp;$Z$1&amp;"")</f>
        <v>0</v>
      </c>
      <c r="AA632" s="296" t="s">
        <v>1</v>
      </c>
      <c r="AB632" s="296" t="s">
        <v>1</v>
      </c>
      <c r="AC632" s="294" t="s">
        <v>1</v>
      </c>
      <c r="AD632" s="295" cm="1">
        <f t="array" aca="1" ref="AD632" ca="1">INDIRECT("'"&amp;$C632&amp;"'!"&amp;"$"&amp;$D632&amp;$AD$1&amp;"")</f>
        <v>0</v>
      </c>
      <c r="AE632" s="296" t="s">
        <v>1</v>
      </c>
      <c r="AF632" s="296" t="s">
        <v>1</v>
      </c>
      <c r="AG632" s="297" t="s">
        <v>1</v>
      </c>
      <c r="AH632" s="293" cm="1">
        <f t="array" aca="1" ref="AH632" ca="1">INDIRECT("'"&amp;$C632&amp;"'!"&amp;"$"&amp;$D632&amp;$AH$1&amp;"")</f>
        <v>0</v>
      </c>
      <c r="AI632" s="296" t="s">
        <v>1</v>
      </c>
      <c r="AJ632" s="296" t="s">
        <v>1</v>
      </c>
      <c r="AK632" s="297" t="s">
        <v>1</v>
      </c>
      <c r="AL632" s="293">
        <v>11.9</v>
      </c>
      <c r="AM632" s="297">
        <v>70.5</v>
      </c>
      <c r="AN632" s="293" cm="1">
        <f t="array" aca="1" ref="AN632" ca="1">INDIRECT("'"&amp;$C632&amp;"'!"&amp;"$"&amp;$D632&amp;$AL$1&amp;"")</f>
        <v>3.6</v>
      </c>
      <c r="AO632" s="296">
        <v>0.97</v>
      </c>
      <c r="AP632" s="294">
        <v>0.8</v>
      </c>
      <c r="AQ632" s="295" cm="1">
        <f t="array" aca="1" ref="AQ632" ca="1">INDIRECT("'"&amp;$C632&amp;"'!"&amp;"$"&amp;$D632&amp;$AQ$1&amp;"")</f>
        <v>3.6</v>
      </c>
      <c r="AR632" s="296">
        <v>0.97</v>
      </c>
      <c r="AS632" s="294">
        <v>0.8</v>
      </c>
      <c r="AT632" s="296" cm="1">
        <f t="array" aca="1" ref="AT632" ca="1">INDIRECT("'"&amp;$C632&amp;"'!"&amp;"$"&amp;$D632&amp;$AT$1&amp;"")</f>
        <v>0</v>
      </c>
      <c r="AU632" s="295" t="s">
        <v>1</v>
      </c>
      <c r="AV632" s="296" t="s">
        <v>1</v>
      </c>
      <c r="AW632" s="294" t="s">
        <v>1</v>
      </c>
      <c r="AX632" s="298">
        <v>14.15</v>
      </c>
      <c r="AY632" s="297">
        <v>71.650000000000006</v>
      </c>
      <c r="AZ632" s="298" cm="1">
        <f t="array" aca="1" ref="AZ632" ca="1">INDIRECT("'"&amp;$C632&amp;"'!"&amp;"$"&amp;$D632&amp;$AZ$1&amp;"")</f>
        <v>14.25</v>
      </c>
      <c r="BA632" s="296">
        <v>0.99</v>
      </c>
      <c r="BB632" s="294">
        <v>2.4</v>
      </c>
      <c r="BC632" s="299">
        <v>68.7</v>
      </c>
      <c r="BD632" s="293" cm="1">
        <f t="array" aca="1" ref="BD632" ca="1">INDIRECT("'"&amp;$C632&amp;"'!"&amp;"$"&amp;$D632&amp;$BC$1&amp;"")</f>
        <v>0</v>
      </c>
      <c r="BE632" s="295" t="s">
        <v>1</v>
      </c>
      <c r="BF632" s="294" t="s">
        <v>1</v>
      </c>
      <c r="BG632" s="298" cm="1">
        <f t="array" aca="1" ref="BG632" ca="1">INDIRECT("'"&amp;$C632&amp;"'!"&amp;"$"&amp;$D632&amp;$BG$1&amp;"")</f>
        <v>1</v>
      </c>
      <c r="BH632" s="296"/>
      <c r="BI632" s="296">
        <v>0.99</v>
      </c>
      <c r="BJ632" s="294">
        <v>0.16</v>
      </c>
      <c r="BK632" s="298" cm="1">
        <f t="array" aca="1" ref="BK632" ca="1">INDIRECT("'"&amp;$C632&amp;"'!"&amp;"$"&amp;$D632&amp;$BK$1&amp;"")</f>
        <v>0.8</v>
      </c>
      <c r="BL632" s="296"/>
      <c r="BM632" s="296">
        <v>0.96</v>
      </c>
      <c r="BN632" s="294">
        <v>0.22</v>
      </c>
    </row>
    <row r="633" spans="1:66" ht="14.45" thickBot="1">
      <c r="A633" s="360">
        <v>45773</v>
      </c>
      <c r="B633" s="358">
        <v>0.125</v>
      </c>
      <c r="C633" s="313">
        <f t="shared" si="25"/>
        <v>26</v>
      </c>
      <c r="D633" s="314" t="s">
        <v>130</v>
      </c>
      <c r="E633" s="286">
        <v>14.1</v>
      </c>
      <c r="F633" s="287">
        <v>69.86</v>
      </c>
      <c r="G633" s="288" cm="1">
        <f t="array" aca="1" ref="G633" ca="1">INDIRECT("'"&amp;$C633&amp;"'!"&amp;"$"&amp;$D633&amp;$E$1&amp;"")</f>
        <v>0</v>
      </c>
      <c r="H633" s="289" t="s">
        <v>1</v>
      </c>
      <c r="I633" s="287" t="s">
        <v>1</v>
      </c>
      <c r="J633" s="288" cm="1">
        <f t="array" aca="1" ref="J633" ca="1">INDIRECT("'"&amp;$C633&amp;"'!"&amp;"$"&amp;$D633&amp;$J$1&amp;"")</f>
        <v>6.5</v>
      </c>
      <c r="K633" s="289"/>
      <c r="L633" s="289">
        <v>0.97</v>
      </c>
      <c r="M633" s="287">
        <v>1.71</v>
      </c>
      <c r="N633" s="288" cm="1">
        <f t="array" aca="1" ref="N633" ca="1">INDIRECT("'"&amp;$C633&amp;"'!"&amp;"$"&amp;$D633&amp;$N$1&amp;"")</f>
        <v>6.5</v>
      </c>
      <c r="O633" s="289"/>
      <c r="P633" s="289">
        <v>0.97</v>
      </c>
      <c r="Q633" s="287">
        <v>1.7</v>
      </c>
      <c r="R633" s="288" cm="1">
        <f t="array" aca="1" ref="R633" ca="1">INDIRECT("'"&amp;$C633&amp;"'!"&amp;"$"&amp;$D633&amp;$R$1&amp;"")</f>
        <v>6.5</v>
      </c>
      <c r="S633" s="289"/>
      <c r="T633" s="289">
        <v>0.97</v>
      </c>
      <c r="U633" s="287">
        <v>1.73</v>
      </c>
      <c r="V633" s="288" cm="1">
        <f t="array" aca="1" ref="V633" ca="1">INDIRECT("'"&amp;$C633&amp;"'!"&amp;"$"&amp;$D633&amp;$V$1&amp;"")</f>
        <v>0</v>
      </c>
      <c r="W633" s="289" t="s">
        <v>1</v>
      </c>
      <c r="X633" s="289" t="s">
        <v>1</v>
      </c>
      <c r="Y633" s="290" t="s">
        <v>1</v>
      </c>
      <c r="Z633" s="286" cm="1">
        <f t="array" aca="1" ref="Z633" ca="1">INDIRECT("'"&amp;$C633&amp;"'!"&amp;"$"&amp;$D633&amp;$Z$1&amp;"")</f>
        <v>0</v>
      </c>
      <c r="AA633" s="289" t="s">
        <v>1</v>
      </c>
      <c r="AB633" s="289" t="s">
        <v>1</v>
      </c>
      <c r="AC633" s="287" t="s">
        <v>1</v>
      </c>
      <c r="AD633" s="288" cm="1">
        <f t="array" aca="1" ref="AD633" ca="1">INDIRECT("'"&amp;$C633&amp;"'!"&amp;"$"&amp;$D633&amp;$AD$1&amp;"")</f>
        <v>0</v>
      </c>
      <c r="AE633" s="289" t="s">
        <v>1</v>
      </c>
      <c r="AF633" s="289" t="s">
        <v>1</v>
      </c>
      <c r="AG633" s="287" t="s">
        <v>1</v>
      </c>
      <c r="AH633" s="286" cm="1">
        <f t="array" aca="1" ref="AH633" ca="1">INDIRECT("'"&amp;$C633&amp;"'!"&amp;"$"&amp;$D633&amp;$AH$1&amp;"")</f>
        <v>0</v>
      </c>
      <c r="AI633" s="289" t="s">
        <v>1</v>
      </c>
      <c r="AJ633" s="289" t="s">
        <v>1</v>
      </c>
      <c r="AK633" s="287" t="s">
        <v>1</v>
      </c>
      <c r="AL633" s="286">
        <v>11.9</v>
      </c>
      <c r="AM633" s="290">
        <v>70.5</v>
      </c>
      <c r="AN633" s="286" cm="1">
        <f t="array" aca="1" ref="AN633" ca="1">INDIRECT("'"&amp;$C633&amp;"'!"&amp;"$"&amp;$D633&amp;$AL$1&amp;"")</f>
        <v>3</v>
      </c>
      <c r="AO633" s="289">
        <v>0.97</v>
      </c>
      <c r="AP633" s="287">
        <v>0.8</v>
      </c>
      <c r="AQ633" s="288" cm="1">
        <f t="array" aca="1" ref="AQ633" ca="1">INDIRECT("'"&amp;$C633&amp;"'!"&amp;"$"&amp;$D633&amp;$AQ$1&amp;"")</f>
        <v>3</v>
      </c>
      <c r="AR633" s="289">
        <v>0.97</v>
      </c>
      <c r="AS633" s="287">
        <v>0.8</v>
      </c>
      <c r="AT633" s="289" cm="1">
        <f t="array" aca="1" ref="AT633" ca="1">INDIRECT("'"&amp;$C633&amp;"'!"&amp;"$"&amp;$D633&amp;$AT$1&amp;"")</f>
        <v>0</v>
      </c>
      <c r="AU633" s="288" t="s">
        <v>1</v>
      </c>
      <c r="AV633" s="289" t="s">
        <v>1</v>
      </c>
      <c r="AW633" s="287" t="s">
        <v>1</v>
      </c>
      <c r="AX633" s="291">
        <v>14.14</v>
      </c>
      <c r="AY633" s="290">
        <v>71.53</v>
      </c>
      <c r="AZ633" s="291" cm="1">
        <f t="array" aca="1" ref="AZ633" ca="1">INDIRECT("'"&amp;$C633&amp;"'!"&amp;"$"&amp;$D633&amp;$AZ$1&amp;"")</f>
        <v>14.28</v>
      </c>
      <c r="BA633" s="289">
        <v>0.99</v>
      </c>
      <c r="BB633" s="287">
        <v>2.4</v>
      </c>
      <c r="BC633" s="292">
        <v>68.5</v>
      </c>
      <c r="BD633" s="286" cm="1">
        <f t="array" aca="1" ref="BD633" ca="1">INDIRECT("'"&amp;$C633&amp;"'!"&amp;"$"&amp;$D633&amp;$BC$1&amp;"")</f>
        <v>0</v>
      </c>
      <c r="BE633" s="288" t="s">
        <v>1</v>
      </c>
      <c r="BF633" s="287" t="s">
        <v>1</v>
      </c>
      <c r="BG633" s="291" cm="1">
        <f t="array" aca="1" ref="BG633" ca="1">INDIRECT("'"&amp;$C633&amp;"'!"&amp;"$"&amp;$D633&amp;$BG$1&amp;"")</f>
        <v>0.98</v>
      </c>
      <c r="BH633" s="289"/>
      <c r="BI633" s="289">
        <v>0.99</v>
      </c>
      <c r="BJ633" s="287">
        <v>0.15</v>
      </c>
      <c r="BK633" s="291" cm="1">
        <f t="array" aca="1" ref="BK633" ca="1">INDIRECT("'"&amp;$C633&amp;"'!"&amp;"$"&amp;$D633&amp;$BK$1&amp;"")</f>
        <v>0.8</v>
      </c>
      <c r="BL633" s="289"/>
      <c r="BM633" s="289">
        <v>0.96</v>
      </c>
      <c r="BN633" s="287">
        <v>0.26</v>
      </c>
    </row>
    <row r="634" spans="1:66" ht="14.45" thickBot="1">
      <c r="A634" s="360">
        <v>45773</v>
      </c>
      <c r="B634" s="358">
        <v>0.16666666666666699</v>
      </c>
      <c r="C634" s="313">
        <f t="shared" si="25"/>
        <v>26</v>
      </c>
      <c r="D634" s="314" t="s">
        <v>131</v>
      </c>
      <c r="E634" s="293">
        <v>14.2</v>
      </c>
      <c r="F634" s="294">
        <v>70.2</v>
      </c>
      <c r="G634" s="295" cm="1">
        <f t="array" aca="1" ref="G634" ca="1">INDIRECT("'"&amp;$C634&amp;"'!"&amp;"$"&amp;$D634&amp;$E$1&amp;"")</f>
        <v>0</v>
      </c>
      <c r="H634" s="296" t="s">
        <v>1</v>
      </c>
      <c r="I634" s="294" t="s">
        <v>1</v>
      </c>
      <c r="J634" s="295" cm="1">
        <f t="array" aca="1" ref="J634" ca="1">INDIRECT("'"&amp;$C634&amp;"'!"&amp;"$"&amp;$D634&amp;$J$1&amp;"")</f>
        <v>6.4</v>
      </c>
      <c r="K634" s="296"/>
      <c r="L634" s="296">
        <v>0.97</v>
      </c>
      <c r="M634" s="294">
        <v>1.7</v>
      </c>
      <c r="N634" s="295" cm="1">
        <f t="array" aca="1" ref="N634" ca="1">INDIRECT("'"&amp;$C634&amp;"'!"&amp;"$"&amp;$D634&amp;$N$1&amp;"")</f>
        <v>6.4</v>
      </c>
      <c r="O634" s="296"/>
      <c r="P634" s="296">
        <v>0.97</v>
      </c>
      <c r="Q634" s="294">
        <v>1.74</v>
      </c>
      <c r="R634" s="295" cm="1">
        <f t="array" aca="1" ref="R634" ca="1">INDIRECT("'"&amp;$C634&amp;"'!"&amp;"$"&amp;$D634&amp;$R$1&amp;"")</f>
        <v>6.4</v>
      </c>
      <c r="S634" s="296"/>
      <c r="T634" s="296">
        <v>0.97</v>
      </c>
      <c r="U634" s="294">
        <v>1.74</v>
      </c>
      <c r="V634" s="295" cm="1">
        <f t="array" aca="1" ref="V634" ca="1">INDIRECT("'"&amp;$C634&amp;"'!"&amp;"$"&amp;$D634&amp;$V$1&amp;"")</f>
        <v>0</v>
      </c>
      <c r="W634" s="296" t="s">
        <v>1</v>
      </c>
      <c r="X634" s="296" t="s">
        <v>1</v>
      </c>
      <c r="Y634" s="297" t="s">
        <v>1</v>
      </c>
      <c r="Z634" s="293" cm="1">
        <f t="array" aca="1" ref="Z634" ca="1">INDIRECT("'"&amp;$C634&amp;"'!"&amp;"$"&amp;$D634&amp;$Z$1&amp;"")</f>
        <v>0</v>
      </c>
      <c r="AA634" s="296" t="s">
        <v>1</v>
      </c>
      <c r="AB634" s="296" t="s">
        <v>1</v>
      </c>
      <c r="AC634" s="294" t="s">
        <v>1</v>
      </c>
      <c r="AD634" s="295" cm="1">
        <f t="array" aca="1" ref="AD634" ca="1">INDIRECT("'"&amp;$C634&amp;"'!"&amp;"$"&amp;$D634&amp;$AD$1&amp;"")</f>
        <v>0</v>
      </c>
      <c r="AE634" s="296" t="s">
        <v>1</v>
      </c>
      <c r="AF634" s="296" t="s">
        <v>1</v>
      </c>
      <c r="AG634" s="294" t="s">
        <v>1</v>
      </c>
      <c r="AH634" s="293" cm="1">
        <f t="array" aca="1" ref="AH634" ca="1">INDIRECT("'"&amp;$C634&amp;"'!"&amp;"$"&amp;$D634&amp;$AH$1&amp;"")</f>
        <v>0</v>
      </c>
      <c r="AI634" s="296" t="s">
        <v>1</v>
      </c>
      <c r="AJ634" s="296" t="s">
        <v>1</v>
      </c>
      <c r="AK634" s="294" t="s">
        <v>1</v>
      </c>
      <c r="AL634" s="293">
        <v>11.9</v>
      </c>
      <c r="AM634" s="297">
        <v>70.7</v>
      </c>
      <c r="AN634" s="293" cm="1">
        <f t="array" aca="1" ref="AN634" ca="1">INDIRECT("'"&amp;$C634&amp;"'!"&amp;"$"&amp;$D634&amp;$AL$1&amp;"")</f>
        <v>3</v>
      </c>
      <c r="AO634" s="296">
        <v>0.98</v>
      </c>
      <c r="AP634" s="294">
        <v>0.6</v>
      </c>
      <c r="AQ634" s="295" cm="1">
        <f t="array" aca="1" ref="AQ634" ca="1">INDIRECT("'"&amp;$C634&amp;"'!"&amp;"$"&amp;$D634&amp;$AQ$1&amp;"")</f>
        <v>3</v>
      </c>
      <c r="AR634" s="296">
        <v>0.98</v>
      </c>
      <c r="AS634" s="294">
        <v>0.6</v>
      </c>
      <c r="AT634" s="296" cm="1">
        <f t="array" aca="1" ref="AT634" ca="1">INDIRECT("'"&amp;$C634&amp;"'!"&amp;"$"&amp;$D634&amp;$AT$1&amp;"")</f>
        <v>0</v>
      </c>
      <c r="AU634" s="295" t="s">
        <v>1</v>
      </c>
      <c r="AV634" s="296" t="s">
        <v>1</v>
      </c>
      <c r="AW634" s="294" t="s">
        <v>1</v>
      </c>
      <c r="AX634" s="298">
        <v>14.16</v>
      </c>
      <c r="AY634" s="297">
        <v>71.7</v>
      </c>
      <c r="AZ634" s="298" cm="1">
        <f t="array" aca="1" ref="AZ634" ca="1">INDIRECT("'"&amp;$C634&amp;"'!"&amp;"$"&amp;$D634&amp;$AZ$1&amp;"")</f>
        <v>12.83</v>
      </c>
      <c r="BA634" s="296">
        <v>0.99</v>
      </c>
      <c r="BB634" s="294">
        <v>2.2000000000000002</v>
      </c>
      <c r="BC634" s="299">
        <v>68.8</v>
      </c>
      <c r="BD634" s="293" cm="1">
        <f t="array" aca="1" ref="BD634" ca="1">INDIRECT("'"&amp;$C634&amp;"'!"&amp;"$"&amp;$D634&amp;$BC$1&amp;"")</f>
        <v>0</v>
      </c>
      <c r="BE634" s="295" t="s">
        <v>1</v>
      </c>
      <c r="BF634" s="294" t="s">
        <v>1</v>
      </c>
      <c r="BG634" s="298" cm="1">
        <f t="array" aca="1" ref="BG634" ca="1">INDIRECT("'"&amp;$C634&amp;"'!"&amp;"$"&amp;$D634&amp;$BG$1&amp;"")</f>
        <v>0.91</v>
      </c>
      <c r="BH634" s="296"/>
      <c r="BI634" s="296">
        <v>0.99</v>
      </c>
      <c r="BJ634" s="294">
        <v>0.13</v>
      </c>
      <c r="BK634" s="298" cm="1">
        <f t="array" aca="1" ref="BK634" ca="1">INDIRECT("'"&amp;$C634&amp;"'!"&amp;"$"&amp;$D634&amp;$BK$1&amp;"")</f>
        <v>0.77</v>
      </c>
      <c r="BL634" s="296"/>
      <c r="BM634" s="296">
        <v>0.96</v>
      </c>
      <c r="BN634" s="294">
        <v>0.21</v>
      </c>
    </row>
    <row r="635" spans="1:66" ht="14.45" thickBot="1">
      <c r="A635" s="360">
        <v>45773</v>
      </c>
      <c r="B635" s="358">
        <v>0.20833333333333301</v>
      </c>
      <c r="C635" s="313">
        <f t="shared" si="25"/>
        <v>26</v>
      </c>
      <c r="D635" s="314" t="s">
        <v>132</v>
      </c>
      <c r="E635" s="286">
        <v>14.3</v>
      </c>
      <c r="F635" s="287">
        <v>70.180000000000007</v>
      </c>
      <c r="G635" s="288" cm="1">
        <f t="array" aca="1" ref="G635" ca="1">INDIRECT("'"&amp;$C635&amp;"'!"&amp;"$"&amp;$D635&amp;$E$1&amp;"")</f>
        <v>0</v>
      </c>
      <c r="H635" s="289" t="s">
        <v>1</v>
      </c>
      <c r="I635" s="287" t="s">
        <v>1</v>
      </c>
      <c r="J635" s="288" cm="1">
        <f t="array" aca="1" ref="J635" ca="1">INDIRECT("'"&amp;$C635&amp;"'!"&amp;"$"&amp;$D635&amp;$J$1&amp;"")</f>
        <v>6.4</v>
      </c>
      <c r="K635" s="289"/>
      <c r="L635" s="289">
        <v>0.97</v>
      </c>
      <c r="M635" s="287">
        <v>1.72</v>
      </c>
      <c r="N635" s="288" cm="1">
        <f t="array" aca="1" ref="N635" ca="1">INDIRECT("'"&amp;$C635&amp;"'!"&amp;"$"&amp;$D635&amp;$N$1&amp;"")</f>
        <v>6.4</v>
      </c>
      <c r="O635" s="289"/>
      <c r="P635" s="289">
        <v>0.97</v>
      </c>
      <c r="Q635" s="287">
        <v>1.75</v>
      </c>
      <c r="R635" s="288" cm="1">
        <f t="array" aca="1" ref="R635" ca="1">INDIRECT("'"&amp;$C635&amp;"'!"&amp;"$"&amp;$D635&amp;$R$1&amp;"")</f>
        <v>6.4</v>
      </c>
      <c r="S635" s="289"/>
      <c r="T635" s="289">
        <v>0.97</v>
      </c>
      <c r="U635" s="287">
        <v>1.74</v>
      </c>
      <c r="V635" s="288" cm="1">
        <f t="array" aca="1" ref="V635" ca="1">INDIRECT("'"&amp;$C635&amp;"'!"&amp;"$"&amp;$D635&amp;$V$1&amp;"")</f>
        <v>0</v>
      </c>
      <c r="W635" s="289" t="s">
        <v>1</v>
      </c>
      <c r="X635" s="289" t="s">
        <v>1</v>
      </c>
      <c r="Y635" s="290" t="s">
        <v>1</v>
      </c>
      <c r="Z635" s="286" cm="1">
        <f t="array" aca="1" ref="Z635" ca="1">INDIRECT("'"&amp;$C635&amp;"'!"&amp;"$"&amp;$D635&amp;$Z$1&amp;"")</f>
        <v>0</v>
      </c>
      <c r="AA635" s="289" t="s">
        <v>1</v>
      </c>
      <c r="AB635" s="289" t="s">
        <v>1</v>
      </c>
      <c r="AC635" s="287" t="s">
        <v>1</v>
      </c>
      <c r="AD635" s="288" cm="1">
        <f t="array" aca="1" ref="AD635" ca="1">INDIRECT("'"&amp;$C635&amp;"'!"&amp;"$"&amp;$D635&amp;$AD$1&amp;"")</f>
        <v>0</v>
      </c>
      <c r="AE635" s="289" t="s">
        <v>1</v>
      </c>
      <c r="AF635" s="289" t="s">
        <v>1</v>
      </c>
      <c r="AG635" s="290" t="s">
        <v>1</v>
      </c>
      <c r="AH635" s="286" cm="1">
        <f t="array" aca="1" ref="AH635" ca="1">INDIRECT("'"&amp;$C635&amp;"'!"&amp;"$"&amp;$D635&amp;$AH$1&amp;"")</f>
        <v>0</v>
      </c>
      <c r="AI635" s="289" t="s">
        <v>1</v>
      </c>
      <c r="AJ635" s="289" t="s">
        <v>1</v>
      </c>
      <c r="AK635" s="290" t="s">
        <v>1</v>
      </c>
      <c r="AL635" s="286">
        <v>11.9</v>
      </c>
      <c r="AM635" s="290">
        <v>70.7</v>
      </c>
      <c r="AN635" s="286" cm="1">
        <f t="array" aca="1" ref="AN635" ca="1">INDIRECT("'"&amp;$C635&amp;"'!"&amp;"$"&amp;$D635&amp;$AL$1&amp;"")</f>
        <v>3.2</v>
      </c>
      <c r="AO635" s="289">
        <v>0.97</v>
      </c>
      <c r="AP635" s="287">
        <v>0.7</v>
      </c>
      <c r="AQ635" s="288" cm="1">
        <f t="array" aca="1" ref="AQ635" ca="1">INDIRECT("'"&amp;$C635&amp;"'!"&amp;"$"&amp;$D635&amp;$AQ$1&amp;"")</f>
        <v>3.2</v>
      </c>
      <c r="AR635" s="289">
        <v>0.97</v>
      </c>
      <c r="AS635" s="287">
        <v>0.71</v>
      </c>
      <c r="AT635" s="289" cm="1">
        <f t="array" aca="1" ref="AT635" ca="1">INDIRECT("'"&amp;$C635&amp;"'!"&amp;"$"&amp;$D635&amp;$AT$1&amp;"")</f>
        <v>0</v>
      </c>
      <c r="AU635" s="288" t="s">
        <v>1</v>
      </c>
      <c r="AV635" s="289" t="s">
        <v>1</v>
      </c>
      <c r="AW635" s="287" t="s">
        <v>1</v>
      </c>
      <c r="AX635" s="291">
        <v>14.14</v>
      </c>
      <c r="AY635" s="290">
        <v>71.63</v>
      </c>
      <c r="AZ635" s="291" cm="1">
        <f t="array" aca="1" ref="AZ635" ca="1">INDIRECT("'"&amp;$C635&amp;"'!"&amp;"$"&amp;$D635&amp;$AZ$1&amp;"")</f>
        <v>12.85</v>
      </c>
      <c r="BA635" s="289">
        <v>0.99</v>
      </c>
      <c r="BB635" s="287">
        <v>2.2000000000000002</v>
      </c>
      <c r="BC635" s="292">
        <v>68.8</v>
      </c>
      <c r="BD635" s="286" cm="1">
        <f t="array" aca="1" ref="BD635" ca="1">INDIRECT("'"&amp;$C635&amp;"'!"&amp;"$"&amp;$D635&amp;$BC$1&amp;"")</f>
        <v>0</v>
      </c>
      <c r="BE635" s="288" t="s">
        <v>1</v>
      </c>
      <c r="BF635" s="287" t="s">
        <v>1</v>
      </c>
      <c r="BG635" s="291" cm="1">
        <f t="array" aca="1" ref="BG635" ca="1">INDIRECT("'"&amp;$C635&amp;"'!"&amp;"$"&amp;$D635&amp;$BG$1&amp;"")</f>
        <v>0.99</v>
      </c>
      <c r="BH635" s="289"/>
      <c r="BI635" s="289">
        <v>0.99</v>
      </c>
      <c r="BJ635" s="287">
        <v>0.14000000000000001</v>
      </c>
      <c r="BK635" s="291" cm="1">
        <f t="array" aca="1" ref="BK635" ca="1">INDIRECT("'"&amp;$C635&amp;"'!"&amp;"$"&amp;$D635&amp;$BK$1&amp;"")</f>
        <v>0.78</v>
      </c>
      <c r="BL635" s="289"/>
      <c r="BM635" s="289">
        <v>0.96</v>
      </c>
      <c r="BN635" s="287">
        <v>0.25</v>
      </c>
    </row>
    <row r="636" spans="1:66" ht="14.45" thickBot="1">
      <c r="A636" s="360">
        <v>45773</v>
      </c>
      <c r="B636" s="358">
        <v>0.25</v>
      </c>
      <c r="C636" s="313">
        <f t="shared" si="25"/>
        <v>26</v>
      </c>
      <c r="D636" s="314" t="s">
        <v>133</v>
      </c>
      <c r="E636" s="293">
        <v>14.1</v>
      </c>
      <c r="F636" s="294">
        <v>70.400000000000006</v>
      </c>
      <c r="G636" s="295" t="str" cm="1">
        <f t="array" aca="1" ref="G636" ca="1">INDIRECT("'"&amp;$C636&amp;"'!"&amp;"$"&amp;$D636&amp;$E$1&amp;"")</f>
        <v>CMS</v>
      </c>
      <c r="H636" s="296" t="s">
        <v>1</v>
      </c>
      <c r="I636" s="294" t="s">
        <v>1</v>
      </c>
      <c r="J636" s="295" cm="1">
        <f t="array" aca="1" ref="J636" ca="1">INDIRECT("'"&amp;$C636&amp;"'!"&amp;"$"&amp;$D636&amp;$J$1&amp;"")</f>
        <v>6.7</v>
      </c>
      <c r="K636" s="296"/>
      <c r="L636" s="296">
        <v>0.96</v>
      </c>
      <c r="M636" s="294">
        <v>1.89</v>
      </c>
      <c r="N636" s="295" cm="1">
        <f t="array" aca="1" ref="N636" ca="1">INDIRECT("'"&amp;$C636&amp;"'!"&amp;"$"&amp;$D636&amp;$N$1&amp;"")</f>
        <v>6.4</v>
      </c>
      <c r="O636" s="296"/>
      <c r="P636" s="296">
        <v>0.97</v>
      </c>
      <c r="Q636" s="294">
        <v>1.74</v>
      </c>
      <c r="R636" s="295" cm="1">
        <f t="array" aca="1" ref="R636" ca="1">INDIRECT("'"&amp;$C636&amp;"'!"&amp;"$"&amp;$D636&amp;$R$1&amp;"")</f>
        <v>6.4</v>
      </c>
      <c r="S636" s="296"/>
      <c r="T636" s="296">
        <v>0.97</v>
      </c>
      <c r="U636" s="294">
        <v>1.71</v>
      </c>
      <c r="V636" s="295" cm="1">
        <f t="array" aca="1" ref="V636" ca="1">INDIRECT("'"&amp;$C636&amp;"'!"&amp;"$"&amp;$D636&amp;$V$1&amp;"")</f>
        <v>0</v>
      </c>
      <c r="W636" s="296" t="s">
        <v>1</v>
      </c>
      <c r="X636" s="296" t="s">
        <v>1</v>
      </c>
      <c r="Y636" s="297" t="s">
        <v>1</v>
      </c>
      <c r="Z636" s="293" cm="1">
        <f t="array" aca="1" ref="Z636" ca="1">INDIRECT("'"&amp;$C636&amp;"'!"&amp;"$"&amp;$D636&amp;$Z$1&amp;"")</f>
        <v>0</v>
      </c>
      <c r="AA636" s="296" t="s">
        <v>1</v>
      </c>
      <c r="AB636" s="296" t="s">
        <v>1</v>
      </c>
      <c r="AC636" s="294" t="s">
        <v>1</v>
      </c>
      <c r="AD636" s="295" cm="1">
        <f t="array" aca="1" ref="AD636" ca="1">INDIRECT("'"&amp;$C636&amp;"'!"&amp;"$"&amp;$D636&amp;$AD$1&amp;"")</f>
        <v>0</v>
      </c>
      <c r="AE636" s="296" t="s">
        <v>1</v>
      </c>
      <c r="AF636" s="296" t="s">
        <v>1</v>
      </c>
      <c r="AG636" s="297" t="s">
        <v>1</v>
      </c>
      <c r="AH636" s="293" cm="1">
        <f t="array" aca="1" ref="AH636" ca="1">INDIRECT("'"&amp;$C636&amp;"'!"&amp;"$"&amp;$D636&amp;$AH$1&amp;"")</f>
        <v>0</v>
      </c>
      <c r="AI636" s="296" t="s">
        <v>1</v>
      </c>
      <c r="AJ636" s="296" t="s">
        <v>1</v>
      </c>
      <c r="AK636" s="297" t="s">
        <v>1</v>
      </c>
      <c r="AL636" s="293">
        <v>11.9</v>
      </c>
      <c r="AM636" s="297">
        <v>70.7</v>
      </c>
      <c r="AN636" s="293" cm="1">
        <f t="array" aca="1" ref="AN636" ca="1">INDIRECT("'"&amp;$C636&amp;"'!"&amp;"$"&amp;$D636&amp;$AL$1&amp;"")</f>
        <v>3.5</v>
      </c>
      <c r="AO636" s="296">
        <v>0.97</v>
      </c>
      <c r="AP636" s="294">
        <v>0.6</v>
      </c>
      <c r="AQ636" s="295" cm="1">
        <f t="array" aca="1" ref="AQ636" ca="1">INDIRECT("'"&amp;$C636&amp;"'!"&amp;"$"&amp;$D636&amp;$AQ$1&amp;"")</f>
        <v>3.5</v>
      </c>
      <c r="AR636" s="296">
        <v>0.97</v>
      </c>
      <c r="AS636" s="294">
        <v>0.6</v>
      </c>
      <c r="AT636" s="296" cm="1">
        <f t="array" aca="1" ref="AT636" ca="1">INDIRECT("'"&amp;$C636&amp;"'!"&amp;"$"&amp;$D636&amp;$AT$1&amp;"")</f>
        <v>0</v>
      </c>
      <c r="AU636" s="295" t="s">
        <v>1</v>
      </c>
      <c r="AV636" s="296" t="s">
        <v>1</v>
      </c>
      <c r="AW636" s="294" t="s">
        <v>1</v>
      </c>
      <c r="AX636" s="298">
        <v>14.14</v>
      </c>
      <c r="AY636" s="297">
        <v>71.64</v>
      </c>
      <c r="AZ636" s="298" cm="1">
        <f t="array" aca="1" ref="AZ636" ca="1">INDIRECT("'"&amp;$C636&amp;"'!"&amp;"$"&amp;$D636&amp;$AZ$1&amp;"")</f>
        <v>14.16</v>
      </c>
      <c r="BA636" s="296">
        <v>0.99</v>
      </c>
      <c r="BB636" s="294">
        <v>2.5</v>
      </c>
      <c r="BC636" s="299">
        <v>68.900000000000006</v>
      </c>
      <c r="BD636" s="293" cm="1">
        <f t="array" aca="1" ref="BD636" ca="1">INDIRECT("'"&amp;$C636&amp;"'!"&amp;"$"&amp;$D636&amp;$BC$1&amp;"")</f>
        <v>0</v>
      </c>
      <c r="BE636" s="295" t="s">
        <v>1</v>
      </c>
      <c r="BF636" s="294" t="s">
        <v>1</v>
      </c>
      <c r="BG636" s="298" cm="1">
        <f t="array" aca="1" ref="BG636" ca="1">INDIRECT("'"&amp;$C636&amp;"'!"&amp;"$"&amp;$D636&amp;$BG$1&amp;"")</f>
        <v>0.94</v>
      </c>
      <c r="BH636" s="296"/>
      <c r="BI636" s="296">
        <v>0.99</v>
      </c>
      <c r="BJ636" s="294">
        <v>0.13</v>
      </c>
      <c r="BK636" s="298" cm="1">
        <f t="array" aca="1" ref="BK636" ca="1">INDIRECT("'"&amp;$C636&amp;"'!"&amp;"$"&amp;$D636&amp;$BK$1&amp;"")</f>
        <v>0.8</v>
      </c>
      <c r="BL636" s="296"/>
      <c r="BM636" s="296">
        <v>0.96</v>
      </c>
      <c r="BN636" s="294">
        <v>0.21</v>
      </c>
    </row>
    <row r="637" spans="1:66" ht="14.45" thickBot="1">
      <c r="A637" s="360">
        <v>45773</v>
      </c>
      <c r="B637" s="358">
        <v>0.29166666666666702</v>
      </c>
      <c r="C637" s="313">
        <f t="shared" si="25"/>
        <v>26</v>
      </c>
      <c r="D637" s="314" t="s">
        <v>134</v>
      </c>
      <c r="E637" s="286">
        <v>14.1</v>
      </c>
      <c r="F637" s="287">
        <v>70.099999999999994</v>
      </c>
      <c r="G637" s="288" cm="1">
        <f t="array" aca="1" ref="G637" ca="1">INDIRECT("'"&amp;$C637&amp;"'!"&amp;"$"&amp;$D637&amp;$E$1&amp;"")</f>
        <v>6.7</v>
      </c>
      <c r="H637" s="289">
        <v>0.95</v>
      </c>
      <c r="I637" s="287">
        <v>2.17</v>
      </c>
      <c r="J637" s="288" cm="1">
        <f t="array" aca="1" ref="J637" ca="1">INDIRECT("'"&amp;$C637&amp;"'!"&amp;"$"&amp;$D637&amp;$J$1&amp;"")</f>
        <v>2</v>
      </c>
      <c r="K637" s="289"/>
      <c r="L637" s="289">
        <v>1</v>
      </c>
      <c r="M637" s="287">
        <v>0.6</v>
      </c>
      <c r="N637" s="288" cm="1">
        <f t="array" aca="1" ref="N637" ca="1">INDIRECT("'"&amp;$C637&amp;"'!"&amp;"$"&amp;$D637&amp;$N$1&amp;"")</f>
        <v>5.3</v>
      </c>
      <c r="O637" s="289"/>
      <c r="P637" s="289">
        <v>0.96</v>
      </c>
      <c r="Q637" s="287">
        <v>1.61</v>
      </c>
      <c r="R637" s="288" cm="1">
        <f t="array" aca="1" ref="R637" ca="1">INDIRECT("'"&amp;$C637&amp;"'!"&amp;"$"&amp;$D637&amp;$R$1&amp;"")</f>
        <v>5.3</v>
      </c>
      <c r="S637" s="289"/>
      <c r="T637" s="289">
        <v>0.96</v>
      </c>
      <c r="U637" s="287">
        <v>1.6</v>
      </c>
      <c r="V637" s="288" cm="1">
        <f t="array" aca="1" ref="V637" ca="1">INDIRECT("'"&amp;$C637&amp;"'!"&amp;"$"&amp;$D637&amp;$V$1&amp;"")</f>
        <v>0</v>
      </c>
      <c r="W637" s="289" t="s">
        <v>1</v>
      </c>
      <c r="X637" s="289" t="s">
        <v>1</v>
      </c>
      <c r="Y637" s="290" t="s">
        <v>1</v>
      </c>
      <c r="Z637" s="286" cm="1">
        <f t="array" aca="1" ref="Z637" ca="1">INDIRECT("'"&amp;$C637&amp;"'!"&amp;"$"&amp;$D637&amp;$Z$1&amp;"")</f>
        <v>0</v>
      </c>
      <c r="AA637" s="289" t="s">
        <v>1</v>
      </c>
      <c r="AB637" s="289" t="s">
        <v>1</v>
      </c>
      <c r="AC637" s="287" t="s">
        <v>1</v>
      </c>
      <c r="AD637" s="288" cm="1">
        <f t="array" aca="1" ref="AD637" ca="1">INDIRECT("'"&amp;$C637&amp;"'!"&amp;"$"&amp;$D637&amp;$AD$1&amp;"")</f>
        <v>0</v>
      </c>
      <c r="AE637" s="289" t="s">
        <v>1</v>
      </c>
      <c r="AF637" s="289" t="s">
        <v>1</v>
      </c>
      <c r="AG637" s="290" t="s">
        <v>1</v>
      </c>
      <c r="AH637" s="286" cm="1">
        <f t="array" aca="1" ref="AH637" ca="1">INDIRECT("'"&amp;$C637&amp;"'!"&amp;"$"&amp;$D637&amp;$AH$1&amp;"")</f>
        <v>0</v>
      </c>
      <c r="AI637" s="289" t="s">
        <v>1</v>
      </c>
      <c r="AJ637" s="289" t="s">
        <v>1</v>
      </c>
      <c r="AK637" s="290" t="s">
        <v>1</v>
      </c>
      <c r="AL637" s="286">
        <v>11.9</v>
      </c>
      <c r="AM637" s="290">
        <v>70.5</v>
      </c>
      <c r="AN637" s="286" cm="1">
        <f t="array" aca="1" ref="AN637" ca="1">INDIRECT("'"&amp;$C637&amp;"'!"&amp;"$"&amp;$D637&amp;$AL$1&amp;"")</f>
        <v>3.1</v>
      </c>
      <c r="AO637" s="289">
        <v>0.96</v>
      </c>
      <c r="AP637" s="287">
        <v>0.8</v>
      </c>
      <c r="AQ637" s="288" cm="1">
        <f t="array" aca="1" ref="AQ637" ca="1">INDIRECT("'"&amp;$C637&amp;"'!"&amp;"$"&amp;$D637&amp;$AQ$1&amp;"")</f>
        <v>3.1</v>
      </c>
      <c r="AR637" s="289">
        <v>0.96</v>
      </c>
      <c r="AS637" s="287">
        <v>0.8</v>
      </c>
      <c r="AT637" s="289" cm="1">
        <f t="array" aca="1" ref="AT637" ca="1">INDIRECT("'"&amp;$C637&amp;"'!"&amp;"$"&amp;$D637&amp;$AT$1&amp;"")</f>
        <v>0</v>
      </c>
      <c r="AU637" s="288" t="s">
        <v>1</v>
      </c>
      <c r="AV637" s="289" t="s">
        <v>1</v>
      </c>
      <c r="AW637" s="287" t="s">
        <v>1</v>
      </c>
      <c r="AX637" s="291">
        <v>14.15</v>
      </c>
      <c r="AY637" s="290">
        <v>71.459999999999994</v>
      </c>
      <c r="AZ637" s="291" cm="1">
        <f t="array" aca="1" ref="AZ637" ca="1">INDIRECT("'"&amp;$C637&amp;"'!"&amp;"$"&amp;$D637&amp;$AZ$1&amp;"")</f>
        <v>14.33</v>
      </c>
      <c r="BA637" s="289">
        <v>0.99</v>
      </c>
      <c r="BB637" s="287">
        <v>2.5</v>
      </c>
      <c r="BC637" s="292">
        <v>68.5</v>
      </c>
      <c r="BD637" s="286" cm="1">
        <f t="array" aca="1" ref="BD637" ca="1">INDIRECT("'"&amp;$C637&amp;"'!"&amp;"$"&amp;$D637&amp;$BC$1&amp;"")</f>
        <v>0.8</v>
      </c>
      <c r="BE637" s="288">
        <v>0.96</v>
      </c>
      <c r="BF637" s="287">
        <v>0.23</v>
      </c>
      <c r="BG637" s="291" cm="1">
        <f t="array" aca="1" ref="BG637" ca="1">INDIRECT("'"&amp;$C637&amp;"'!"&amp;"$"&amp;$D637&amp;$BG$1&amp;"")</f>
        <v>1.02</v>
      </c>
      <c r="BH637" s="289"/>
      <c r="BI637" s="289">
        <v>0.99</v>
      </c>
      <c r="BJ637" s="287">
        <v>0.14000000000000001</v>
      </c>
      <c r="BK637" s="292" cm="1">
        <f t="array" aca="1" ref="BK637" ca="1">INDIRECT("'"&amp;$C637&amp;"'!"&amp;"$"&amp;$D637&amp;$BK$1&amp;"")</f>
        <v>0.78</v>
      </c>
      <c r="BL637" s="289"/>
      <c r="BM637" s="289">
        <v>0.96</v>
      </c>
      <c r="BN637" s="287">
        <v>0.22</v>
      </c>
    </row>
    <row r="638" spans="1:66" ht="14.45" thickBot="1">
      <c r="A638" s="360">
        <v>45773</v>
      </c>
      <c r="B638" s="358">
        <v>0.33333333333333398</v>
      </c>
      <c r="C638" s="313">
        <f t="shared" si="25"/>
        <v>26</v>
      </c>
      <c r="D638" s="314" t="s">
        <v>135</v>
      </c>
      <c r="E638" s="293">
        <v>14.2</v>
      </c>
      <c r="F638" s="294">
        <v>69.84</v>
      </c>
      <c r="G638" s="295" cm="1">
        <f t="array" aca="1" ref="G638" ca="1">INDIRECT("'"&amp;$C638&amp;"'!"&amp;"$"&amp;$D638&amp;$E$1&amp;"")</f>
        <v>6.5</v>
      </c>
      <c r="H638" s="296">
        <v>0.95</v>
      </c>
      <c r="I638" s="294">
        <v>2.0499999999999998</v>
      </c>
      <c r="J638" s="295" cm="1">
        <f t="array" aca="1" ref="J638" ca="1">INDIRECT("'"&amp;$C638&amp;"'!"&amp;"$"&amp;$D638&amp;$J$1&amp;"")</f>
        <v>0</v>
      </c>
      <c r="K638" s="296"/>
      <c r="L638" s="296" t="s">
        <v>1</v>
      </c>
      <c r="M638" s="294" t="s">
        <v>1</v>
      </c>
      <c r="N638" s="295" cm="1">
        <f t="array" aca="1" ref="N638" ca="1">INDIRECT("'"&amp;$C638&amp;"'!"&amp;"$"&amp;$D638&amp;$N$1&amp;"")</f>
        <v>6.5</v>
      </c>
      <c r="O638" s="296"/>
      <c r="P638" s="296">
        <v>0.95</v>
      </c>
      <c r="Q638" s="294">
        <v>2.0499999999999998</v>
      </c>
      <c r="R638" s="295" cm="1">
        <f t="array" aca="1" ref="R638" ca="1">INDIRECT("'"&amp;$C638&amp;"'!"&amp;"$"&amp;$D638&amp;$R$1&amp;"")</f>
        <v>6.5</v>
      </c>
      <c r="S638" s="296"/>
      <c r="T638" s="296">
        <v>0.95</v>
      </c>
      <c r="U638" s="294">
        <v>2.0499999999999998</v>
      </c>
      <c r="V638" s="295" cm="1">
        <f t="array" aca="1" ref="V638" ca="1">INDIRECT("'"&amp;$C638&amp;"'!"&amp;"$"&amp;$D638&amp;$V$1&amp;"")</f>
        <v>0</v>
      </c>
      <c r="W638" s="296" t="s">
        <v>1</v>
      </c>
      <c r="X638" s="296" t="s">
        <v>1</v>
      </c>
      <c r="Y638" s="297" t="s">
        <v>1</v>
      </c>
      <c r="Z638" s="293" cm="1">
        <f t="array" aca="1" ref="Z638" ca="1">INDIRECT("'"&amp;$C638&amp;"'!"&amp;"$"&amp;$D638&amp;$Z$1&amp;"")</f>
        <v>0</v>
      </c>
      <c r="AA638" s="296" t="s">
        <v>1</v>
      </c>
      <c r="AB638" s="296" t="s">
        <v>1</v>
      </c>
      <c r="AC638" s="294" t="s">
        <v>1</v>
      </c>
      <c r="AD638" s="295" cm="1">
        <f t="array" aca="1" ref="AD638" ca="1">INDIRECT("'"&amp;$C638&amp;"'!"&amp;"$"&amp;$D638&amp;$AD$1&amp;"")</f>
        <v>2.9</v>
      </c>
      <c r="AE638" s="296">
        <f>3.56*3.8</f>
        <v>13.527999999999999</v>
      </c>
      <c r="AF638" s="296">
        <v>0.95</v>
      </c>
      <c r="AG638" s="297">
        <v>0.91</v>
      </c>
      <c r="AH638" s="293" cm="1">
        <f t="array" aca="1" ref="AH638" ca="1">INDIRECT("'"&amp;$C638&amp;"'!"&amp;"$"&amp;$D638&amp;$AH$1&amp;"")</f>
        <v>0</v>
      </c>
      <c r="AI638" s="296" t="s">
        <v>1</v>
      </c>
      <c r="AJ638" s="296" t="s">
        <v>1</v>
      </c>
      <c r="AK638" s="297" t="s">
        <v>1</v>
      </c>
      <c r="AL638" s="293">
        <v>11.9</v>
      </c>
      <c r="AM638" s="297">
        <v>70.400000000000006</v>
      </c>
      <c r="AN638" s="293" cm="1">
        <f t="array" aca="1" ref="AN638" ca="1">INDIRECT("'"&amp;$C638&amp;"'!"&amp;"$"&amp;$D638&amp;$AL$1&amp;"")</f>
        <v>3.5</v>
      </c>
      <c r="AO638" s="296">
        <v>0.97</v>
      </c>
      <c r="AP638" s="294">
        <v>0.9</v>
      </c>
      <c r="AQ638" s="295" cm="1">
        <f t="array" aca="1" ref="AQ638" ca="1">INDIRECT("'"&amp;$C638&amp;"'!"&amp;"$"&amp;$D638&amp;$AQ$1&amp;"")</f>
        <v>3.5</v>
      </c>
      <c r="AR638" s="296">
        <v>0.97</v>
      </c>
      <c r="AS638" s="294">
        <v>0.9</v>
      </c>
      <c r="AT638" s="296" cm="1">
        <f t="array" aca="1" ref="AT638" ca="1">INDIRECT("'"&amp;$C638&amp;"'!"&amp;"$"&amp;$D638&amp;$AT$1&amp;"")</f>
        <v>0</v>
      </c>
      <c r="AU638" s="295" t="s">
        <v>1</v>
      </c>
      <c r="AV638" s="296" t="s">
        <v>1</v>
      </c>
      <c r="AW638" s="294" t="s">
        <v>1</v>
      </c>
      <c r="AX638" s="298">
        <v>14.09</v>
      </c>
      <c r="AY638" s="297">
        <v>71.25</v>
      </c>
      <c r="AZ638" s="298" cm="1">
        <f t="array" aca="1" ref="AZ638" ca="1">INDIRECT("'"&amp;$C638&amp;"'!"&amp;"$"&amp;$D638&amp;$AZ$1&amp;"")</f>
        <v>13.79</v>
      </c>
      <c r="BA638" s="296">
        <v>0.99</v>
      </c>
      <c r="BB638" s="294">
        <v>2.4</v>
      </c>
      <c r="BC638" s="299">
        <v>68.7</v>
      </c>
      <c r="BD638" s="293" cm="1">
        <f t="array" aca="1" ref="BD638" ca="1">INDIRECT("'"&amp;$C638&amp;"'!"&amp;"$"&amp;$D638&amp;$BC$1&amp;"")</f>
        <v>0</v>
      </c>
      <c r="BE638" s="295" t="s">
        <v>1</v>
      </c>
      <c r="BF638" s="294" t="s">
        <v>1</v>
      </c>
      <c r="BG638" s="298" cm="1">
        <f t="array" aca="1" ref="BG638" ca="1">INDIRECT("'"&amp;$C638&amp;"'!"&amp;"$"&amp;$D638&amp;$BG$1&amp;"")</f>
        <v>1.5</v>
      </c>
      <c r="BH638" s="296"/>
      <c r="BI638" s="296">
        <v>0.98</v>
      </c>
      <c r="BJ638" s="294">
        <v>0.19</v>
      </c>
      <c r="BK638" s="299" cm="1">
        <f t="array" aca="1" ref="BK638" ca="1">INDIRECT("'"&amp;$C638&amp;"'!"&amp;"$"&amp;$D638&amp;$BK$1&amp;"")</f>
        <v>0.77</v>
      </c>
      <c r="BL638" s="296"/>
      <c r="BM638" s="296">
        <v>0.95</v>
      </c>
      <c r="BN638" s="294">
        <v>0.23</v>
      </c>
    </row>
    <row r="639" spans="1:66" ht="14.45" thickBot="1">
      <c r="A639" s="360">
        <v>45773</v>
      </c>
      <c r="B639" s="358">
        <v>0.375</v>
      </c>
      <c r="C639" s="313">
        <f t="shared" si="25"/>
        <v>26</v>
      </c>
      <c r="D639" s="314" t="s">
        <v>136</v>
      </c>
      <c r="E639" s="286">
        <v>14.2</v>
      </c>
      <c r="F639" s="287">
        <v>68.930000000000007</v>
      </c>
      <c r="G639" s="288" cm="1">
        <f t="array" aca="1" ref="G639" ca="1">INDIRECT("'"&amp;$C639&amp;"'!"&amp;"$"&amp;$D639&amp;$E$1&amp;"")</f>
        <v>6.5</v>
      </c>
      <c r="H639" s="289">
        <v>0.93</v>
      </c>
      <c r="I639" s="287">
        <v>3.63</v>
      </c>
      <c r="J639" s="288" cm="1">
        <f t="array" aca="1" ref="J639" ca="1">INDIRECT("'"&amp;$C639&amp;"'!"&amp;"$"&amp;$D639&amp;$J$1&amp;"")</f>
        <v>0.8</v>
      </c>
      <c r="K639" s="289"/>
      <c r="L639" s="289">
        <v>0.9</v>
      </c>
      <c r="M639" s="287">
        <v>0.41</v>
      </c>
      <c r="N639" s="288" cm="1">
        <f t="array" aca="1" ref="N639" ca="1">INDIRECT("'"&amp;$C639&amp;"'!"&amp;"$"&amp;$D639&amp;$N$1&amp;"")</f>
        <v>6.5</v>
      </c>
      <c r="O639" s="289"/>
      <c r="P639" s="289">
        <v>0.93</v>
      </c>
      <c r="Q639" s="287">
        <v>3.63</v>
      </c>
      <c r="R639" s="288" cm="1">
        <f t="array" aca="1" ref="R639" ca="1">INDIRECT("'"&amp;$C639&amp;"'!"&amp;"$"&amp;$D639&amp;$R$1&amp;"")</f>
        <v>6.5</v>
      </c>
      <c r="S639" s="289"/>
      <c r="T639" s="289">
        <v>0.93</v>
      </c>
      <c r="U639" s="287">
        <v>3.63</v>
      </c>
      <c r="V639" s="288" cm="1">
        <f t="array" aca="1" ref="V639" ca="1">INDIRECT("'"&amp;$C639&amp;"'!"&amp;"$"&amp;$D639&amp;$V$1&amp;"")</f>
        <v>0</v>
      </c>
      <c r="W639" s="289" t="s">
        <v>1</v>
      </c>
      <c r="X639" s="289" t="s">
        <v>1</v>
      </c>
      <c r="Y639" s="290" t="s">
        <v>1</v>
      </c>
      <c r="Z639" s="286" cm="1">
        <f t="array" aca="1" ref="Z639" ca="1">INDIRECT("'"&amp;$C639&amp;"'!"&amp;"$"&amp;$D639&amp;$Z$1&amp;"")</f>
        <v>0</v>
      </c>
      <c r="AA639" s="289" t="s">
        <v>1</v>
      </c>
      <c r="AB639" s="289" t="s">
        <v>1</v>
      </c>
      <c r="AC639" s="287" t="s">
        <v>1</v>
      </c>
      <c r="AD639" s="288" cm="1">
        <f t="array" aca="1" ref="AD639" ca="1">INDIRECT("'"&amp;$C639&amp;"'!"&amp;"$"&amp;$D639&amp;$AD$1&amp;"")</f>
        <v>3.8</v>
      </c>
      <c r="AE639" s="289">
        <f>3.53*3.8</f>
        <v>13.413999999999998</v>
      </c>
      <c r="AF639" s="289">
        <v>0.93</v>
      </c>
      <c r="AG639" s="290">
        <v>1.56</v>
      </c>
      <c r="AH639" s="286" cm="1">
        <f t="array" aca="1" ref="AH639" ca="1">INDIRECT("'"&amp;$C639&amp;"'!"&amp;"$"&amp;$D639&amp;$AH$1&amp;"")</f>
        <v>3.8</v>
      </c>
      <c r="AI639" s="289">
        <v>13.96</v>
      </c>
      <c r="AJ639" s="289">
        <v>0.98</v>
      </c>
      <c r="AK639" s="287">
        <v>0.503</v>
      </c>
      <c r="AL639" s="286">
        <v>11.9</v>
      </c>
      <c r="AM639" s="290">
        <v>70.2</v>
      </c>
      <c r="AN639" s="286" cm="1">
        <f t="array" aca="1" ref="AN639" ca="1">INDIRECT("'"&amp;$C639&amp;"'!"&amp;"$"&amp;$D639&amp;$AL$1&amp;"")</f>
        <v>4.2</v>
      </c>
      <c r="AO639" s="289">
        <v>0.97</v>
      </c>
      <c r="AP639" s="287">
        <v>1.1000000000000001</v>
      </c>
      <c r="AQ639" s="288" cm="1">
        <f t="array" aca="1" ref="AQ639" ca="1">INDIRECT("'"&amp;$C639&amp;"'!"&amp;"$"&amp;$D639&amp;$AQ$1&amp;"")</f>
        <v>4.2</v>
      </c>
      <c r="AR639" s="289">
        <v>0.97</v>
      </c>
      <c r="AS639" s="287">
        <v>1.1000000000000001</v>
      </c>
      <c r="AT639" s="289" cm="1">
        <f t="array" aca="1" ref="AT639" ca="1">INDIRECT("'"&amp;$C639&amp;"'!"&amp;"$"&amp;$D639&amp;$AT$1&amp;"")</f>
        <v>0</v>
      </c>
      <c r="AU639" s="288" t="s">
        <v>1</v>
      </c>
      <c r="AV639" s="289" t="s">
        <v>1</v>
      </c>
      <c r="AW639" s="287" t="s">
        <v>1</v>
      </c>
      <c r="AX639" s="291">
        <v>14.19</v>
      </c>
      <c r="AY639" s="290">
        <v>71.400000000000006</v>
      </c>
      <c r="AZ639" s="291" cm="1">
        <f t="array" aca="1" ref="AZ639" ca="1">INDIRECT("'"&amp;$C639&amp;"'!"&amp;"$"&amp;$D639&amp;$AZ$1&amp;"")</f>
        <v>14.31</v>
      </c>
      <c r="BA639" s="289">
        <v>0.98</v>
      </c>
      <c r="BB639" s="287">
        <v>3.5</v>
      </c>
      <c r="BC639" s="292">
        <v>67.7</v>
      </c>
      <c r="BD639" s="286" cm="1">
        <f t="array" aca="1" ref="BD639" ca="1">INDIRECT("'"&amp;$C639&amp;"'!"&amp;"$"&amp;$D639&amp;$BC$1&amp;"")</f>
        <v>1.5</v>
      </c>
      <c r="BE639" s="288">
        <v>0.95</v>
      </c>
      <c r="BF639" s="287">
        <v>0.47</v>
      </c>
      <c r="BG639" s="291" cm="1">
        <f t="array" aca="1" ref="BG639" ca="1">INDIRECT("'"&amp;$C639&amp;"'!"&amp;"$"&amp;$D639&amp;$BG$1&amp;"")</f>
        <v>1.28</v>
      </c>
      <c r="BH639" s="289"/>
      <c r="BI639" s="289">
        <v>0.98</v>
      </c>
      <c r="BJ639" s="287">
        <v>0.21</v>
      </c>
      <c r="BK639" s="292" cm="1">
        <f t="array" aca="1" ref="BK639" ca="1">INDIRECT("'"&amp;$C639&amp;"'!"&amp;"$"&amp;$D639&amp;$BK$1&amp;"")</f>
        <v>0.82</v>
      </c>
      <c r="BL639" s="289"/>
      <c r="BM639" s="289">
        <v>0.96</v>
      </c>
      <c r="BN639" s="287">
        <v>0.24</v>
      </c>
    </row>
    <row r="640" spans="1:66" ht="14.45" thickBot="1">
      <c r="A640" s="360">
        <v>45773</v>
      </c>
      <c r="B640" s="358">
        <v>0.41666666666666702</v>
      </c>
      <c r="C640" s="313">
        <f t="shared" si="25"/>
        <v>26</v>
      </c>
      <c r="D640" s="314" t="s">
        <v>137</v>
      </c>
      <c r="E640" s="293">
        <v>14.2</v>
      </c>
      <c r="F640" s="294">
        <v>68.790000000000006</v>
      </c>
      <c r="G640" s="295" cm="1">
        <f t="array" aca="1" ref="G640" ca="1">INDIRECT("'"&amp;$C640&amp;"'!"&amp;"$"&amp;$D640&amp;$E$1&amp;"")</f>
        <v>6.1</v>
      </c>
      <c r="H640" s="296">
        <v>0.93</v>
      </c>
      <c r="I640" s="294">
        <v>2.41</v>
      </c>
      <c r="J640" s="295" cm="1">
        <f t="array" aca="1" ref="J640" ca="1">INDIRECT("'"&amp;$C640&amp;"'!"&amp;"$"&amp;$D640&amp;$J$1&amp;"")</f>
        <v>6.7</v>
      </c>
      <c r="K640" s="296"/>
      <c r="L640" s="296">
        <v>0.92</v>
      </c>
      <c r="M640" s="294">
        <v>2.83</v>
      </c>
      <c r="N640" s="295" cm="1">
        <f t="array" aca="1" ref="N640" ca="1">INDIRECT("'"&amp;$C640&amp;"'!"&amp;"$"&amp;$D640&amp;$N$1&amp;"")</f>
        <v>6.1</v>
      </c>
      <c r="O640" s="296"/>
      <c r="P640" s="296">
        <v>0.93</v>
      </c>
      <c r="Q640" s="294">
        <v>2.41</v>
      </c>
      <c r="R640" s="295" cm="1">
        <f t="array" aca="1" ref="R640" ca="1">INDIRECT("'"&amp;$C640&amp;"'!"&amp;"$"&amp;$D640&amp;$R$1&amp;"")</f>
        <v>6.1</v>
      </c>
      <c r="S640" s="296"/>
      <c r="T640" s="296">
        <v>0.93</v>
      </c>
      <c r="U640" s="294">
        <v>2.41</v>
      </c>
      <c r="V640" s="295" cm="1">
        <f t="array" aca="1" ref="V640" ca="1">INDIRECT("'"&amp;$C640&amp;"'!"&amp;"$"&amp;$D640&amp;$V$1&amp;"")</f>
        <v>0</v>
      </c>
      <c r="W640" s="296" t="s">
        <v>1</v>
      </c>
      <c r="X640" s="296" t="s">
        <v>1</v>
      </c>
      <c r="Y640" s="297" t="s">
        <v>1</v>
      </c>
      <c r="Z640" s="293" cm="1">
        <f t="array" aca="1" ref="Z640" ca="1">INDIRECT("'"&amp;$C640&amp;"'!"&amp;"$"&amp;$D640&amp;$Z$1&amp;"")</f>
        <v>0</v>
      </c>
      <c r="AA640" s="296" t="s">
        <v>1</v>
      </c>
      <c r="AB640" s="296" t="s">
        <v>1</v>
      </c>
      <c r="AC640" s="294" t="s">
        <v>1</v>
      </c>
      <c r="AD640" s="295" cm="1">
        <f t="array" aca="1" ref="AD640" ca="1">INDIRECT("'"&amp;$C640&amp;"'!"&amp;"$"&amp;$D640&amp;$AD$1&amp;"")</f>
        <v>3.8</v>
      </c>
      <c r="AE640" s="296">
        <f>3.48*3.8</f>
        <v>13.224</v>
      </c>
      <c r="AF640" s="296">
        <v>0.9</v>
      </c>
      <c r="AG640" s="297">
        <v>0.93</v>
      </c>
      <c r="AH640" s="293" cm="1">
        <f t="array" aca="1" ref="AH640" ca="1">INDIRECT("'"&amp;$C640&amp;"'!"&amp;"$"&amp;$D640&amp;$AH$1&amp;"")</f>
        <v>3.8</v>
      </c>
      <c r="AI640" s="296">
        <f>13.92</f>
        <v>13.92</v>
      </c>
      <c r="AJ640" s="296">
        <v>0.97</v>
      </c>
      <c r="AK640" s="294">
        <v>0.76400000000000001</v>
      </c>
      <c r="AL640" s="293">
        <v>11.8</v>
      </c>
      <c r="AM640" s="297">
        <v>70</v>
      </c>
      <c r="AN640" s="293" cm="1">
        <f t="array" aca="1" ref="AN640" ca="1">INDIRECT("'"&amp;$C640&amp;"'!"&amp;"$"&amp;$D640&amp;$AL$1&amp;"")</f>
        <v>4.2</v>
      </c>
      <c r="AO640" s="296">
        <v>0.96</v>
      </c>
      <c r="AP640" s="294">
        <v>1.2</v>
      </c>
      <c r="AQ640" s="295" cm="1">
        <f t="array" aca="1" ref="AQ640" ca="1">INDIRECT("'"&amp;$C640&amp;"'!"&amp;"$"&amp;$D640&amp;$AQ$1&amp;"")</f>
        <v>4.2</v>
      </c>
      <c r="AR640" s="296">
        <v>0.96</v>
      </c>
      <c r="AS640" s="294">
        <v>1.2</v>
      </c>
      <c r="AT640" s="296" cm="1">
        <f t="array" aca="1" ref="AT640" ca="1">INDIRECT("'"&amp;$C640&amp;"'!"&amp;"$"&amp;$D640&amp;$AT$1&amp;"")</f>
        <v>0</v>
      </c>
      <c r="AU640" s="295" t="s">
        <v>1</v>
      </c>
      <c r="AV640" s="296" t="s">
        <v>1</v>
      </c>
      <c r="AW640" s="294" t="s">
        <v>1</v>
      </c>
      <c r="AX640" s="298">
        <v>14.14</v>
      </c>
      <c r="AY640" s="297">
        <v>71.14</v>
      </c>
      <c r="AZ640" s="298" cm="1">
        <f t="array" aca="1" ref="AZ640" ca="1">INDIRECT("'"&amp;$C640&amp;"'!"&amp;"$"&amp;$D640&amp;$AZ$1&amp;"")</f>
        <v>14.32</v>
      </c>
      <c r="BA640" s="296">
        <v>0.98</v>
      </c>
      <c r="BB640" s="294">
        <v>3.5</v>
      </c>
      <c r="BC640" s="299">
        <v>67.3</v>
      </c>
      <c r="BD640" s="293" cm="1">
        <f t="array" aca="1" ref="BD640" ca="1">INDIRECT("'"&amp;$C640&amp;"'!"&amp;"$"&amp;$D640&amp;$BC$1&amp;"")</f>
        <v>0</v>
      </c>
      <c r="BE640" s="295" t="s">
        <v>1</v>
      </c>
      <c r="BF640" s="294" t="s">
        <v>1</v>
      </c>
      <c r="BG640" s="298" cm="1">
        <f t="array" aca="1" ref="BG640" ca="1">INDIRECT("'"&amp;$C640&amp;"'!"&amp;"$"&amp;$D640&amp;$BG$1&amp;"")</f>
        <v>1.32</v>
      </c>
      <c r="BH640" s="296"/>
      <c r="BI640" s="296">
        <v>0.98</v>
      </c>
      <c r="BJ640" s="294">
        <v>0.22</v>
      </c>
      <c r="BK640" s="299" cm="1">
        <f t="array" aca="1" ref="BK640" ca="1">INDIRECT("'"&amp;$C640&amp;"'!"&amp;"$"&amp;$D640&amp;$BK$1&amp;"")</f>
        <v>0.87</v>
      </c>
      <c r="BL640" s="296"/>
      <c r="BM640" s="296">
        <v>0.96</v>
      </c>
      <c r="BN640" s="294">
        <v>0.25</v>
      </c>
    </row>
    <row r="641" spans="1:66" ht="14.45" thickBot="1">
      <c r="A641" s="360">
        <v>45773</v>
      </c>
      <c r="B641" s="358">
        <v>0.45833333333333398</v>
      </c>
      <c r="C641" s="313">
        <f t="shared" si="25"/>
        <v>26</v>
      </c>
      <c r="D641" s="314" t="s">
        <v>138</v>
      </c>
      <c r="E641" s="286">
        <v>14.3</v>
      </c>
      <c r="F641" s="287">
        <v>69.34</v>
      </c>
      <c r="G641" s="288" cm="1">
        <f t="array" aca="1" ref="G641" ca="1">INDIRECT("'"&amp;$C641&amp;"'!"&amp;"$"&amp;$D641&amp;$E$1&amp;"")</f>
        <v>6.3</v>
      </c>
      <c r="H641" s="289">
        <v>0.94</v>
      </c>
      <c r="I641" s="287">
        <v>2.4</v>
      </c>
      <c r="J641" s="288" cm="1">
        <f t="array" aca="1" ref="J641" ca="1">INDIRECT("'"&amp;$C641&amp;"'!"&amp;"$"&amp;$D641&amp;$J$1&amp;"")</f>
        <v>6.7</v>
      </c>
      <c r="K641" s="289"/>
      <c r="L641" s="289">
        <v>0.93</v>
      </c>
      <c r="M641" s="287">
        <v>2.6</v>
      </c>
      <c r="N641" s="288" cm="1">
        <f t="array" aca="1" ref="N641" ca="1">INDIRECT("'"&amp;$C641&amp;"'!"&amp;"$"&amp;$D641&amp;$N$1&amp;"")</f>
        <v>6.3</v>
      </c>
      <c r="O641" s="289"/>
      <c r="P641" s="289">
        <v>0.94</v>
      </c>
      <c r="Q641" s="287">
        <v>2.4</v>
      </c>
      <c r="R641" s="288" cm="1">
        <f t="array" aca="1" ref="R641" ca="1">INDIRECT("'"&amp;$C641&amp;"'!"&amp;"$"&amp;$D641&amp;$R$1&amp;"")</f>
        <v>6.3</v>
      </c>
      <c r="S641" s="289"/>
      <c r="T641" s="289">
        <v>0.94</v>
      </c>
      <c r="U641" s="287">
        <v>2.4</v>
      </c>
      <c r="V641" s="288" cm="1">
        <f t="array" aca="1" ref="V641" ca="1">INDIRECT("'"&amp;$C641&amp;"'!"&amp;"$"&amp;$D641&amp;$V$1&amp;"")</f>
        <v>2.1</v>
      </c>
      <c r="W641" s="289">
        <f>3.51*3.8</f>
        <v>13.337999999999999</v>
      </c>
      <c r="X641" s="289">
        <v>0.91</v>
      </c>
      <c r="Y641" s="290">
        <v>1.19</v>
      </c>
      <c r="Z641" s="286" cm="1">
        <f t="array" aca="1" ref="Z641" ca="1">INDIRECT("'"&amp;$C641&amp;"'!"&amp;"$"&amp;$D641&amp;$Z$1&amp;"")</f>
        <v>0</v>
      </c>
      <c r="AA641" s="289" t="s">
        <v>1</v>
      </c>
      <c r="AB641" s="289" t="s">
        <v>1</v>
      </c>
      <c r="AC641" s="287" t="s">
        <v>1</v>
      </c>
      <c r="AD641" s="288" cm="1">
        <f t="array" aca="1" ref="AD641" ca="1">INDIRECT("'"&amp;$C641&amp;"'!"&amp;"$"&amp;$D641&amp;$AD$1&amp;"")</f>
        <v>3</v>
      </c>
      <c r="AE641" s="289">
        <v>13.337999999999999</v>
      </c>
      <c r="AF641" s="289">
        <v>0.91</v>
      </c>
      <c r="AG641" s="290">
        <v>1.33</v>
      </c>
      <c r="AH641" s="286" cm="1">
        <f t="array" aca="1" ref="AH641" ca="1">INDIRECT("'"&amp;$C641&amp;"'!"&amp;"$"&amp;$D641&amp;$AH$1&amp;"")</f>
        <v>3</v>
      </c>
      <c r="AI641" s="289">
        <v>13.92</v>
      </c>
      <c r="AJ641" s="289">
        <v>0.99</v>
      </c>
      <c r="AK641" s="287">
        <v>0.48299999999999998</v>
      </c>
      <c r="AL641" s="286">
        <v>11.8</v>
      </c>
      <c r="AM641" s="290">
        <v>70.3</v>
      </c>
      <c r="AN641" s="286" cm="1">
        <f t="array" aca="1" ref="AN641" ca="1">INDIRECT("'"&amp;$C641&amp;"'!"&amp;"$"&amp;$D641&amp;$AL$1&amp;"")</f>
        <v>3</v>
      </c>
      <c r="AO641" s="289">
        <v>0.92</v>
      </c>
      <c r="AP641" s="287">
        <v>1.2</v>
      </c>
      <c r="AQ641" s="288" cm="1">
        <f t="array" aca="1" ref="AQ641" ca="1">INDIRECT("'"&amp;$C641&amp;"'!"&amp;"$"&amp;$D641&amp;$AQ$1&amp;"")</f>
        <v>3</v>
      </c>
      <c r="AR641" s="289">
        <v>0.92</v>
      </c>
      <c r="AS641" s="287">
        <v>1.2</v>
      </c>
      <c r="AT641" s="289" cm="1">
        <f t="array" aca="1" ref="AT641" ca="1">INDIRECT("'"&amp;$C641&amp;"'!"&amp;"$"&amp;$D641&amp;$AT$1&amp;"")</f>
        <v>0</v>
      </c>
      <c r="AU641" s="288" t="s">
        <v>1</v>
      </c>
      <c r="AV641" s="289" t="s">
        <v>1</v>
      </c>
      <c r="AW641" s="287" t="s">
        <v>1</v>
      </c>
      <c r="AX641" s="291">
        <v>14.18</v>
      </c>
      <c r="AY641" s="290">
        <v>71.42</v>
      </c>
      <c r="AZ641" s="291" cm="1">
        <f t="array" aca="1" ref="AZ641" ca="1">INDIRECT("'"&amp;$C641&amp;"'!"&amp;"$"&amp;$D641&amp;$AZ$1&amp;"")</f>
        <v>13.32</v>
      </c>
      <c r="BA641" s="289">
        <v>0.98</v>
      </c>
      <c r="BB641" s="287">
        <v>3.4</v>
      </c>
      <c r="BC641" s="292">
        <v>67.7</v>
      </c>
      <c r="BD641" s="286" cm="1">
        <f t="array" aca="1" ref="BD641" ca="1">INDIRECT("'"&amp;$C641&amp;"'!"&amp;"$"&amp;$D641&amp;$BC$1&amp;"")</f>
        <v>0</v>
      </c>
      <c r="BE641" s="288" t="s">
        <v>1</v>
      </c>
      <c r="BF641" s="287" t="s">
        <v>1</v>
      </c>
      <c r="BG641" s="291" cm="1">
        <f t="array" aca="1" ref="BG641" ca="1">INDIRECT("'"&amp;$C641&amp;"'!"&amp;"$"&amp;$D641&amp;$BG$1&amp;"")</f>
        <v>1.29</v>
      </c>
      <c r="BH641" s="289"/>
      <c r="BI641" s="289">
        <v>0.98</v>
      </c>
      <c r="BJ641" s="287">
        <v>0.22</v>
      </c>
      <c r="BK641" s="292" cm="1">
        <f t="array" aca="1" ref="BK641" ca="1">INDIRECT("'"&amp;$C641&amp;"'!"&amp;"$"&amp;$D641&amp;$BK$1&amp;"")</f>
        <v>0.87</v>
      </c>
      <c r="BL641" s="289"/>
      <c r="BM641" s="289">
        <v>0.96</v>
      </c>
      <c r="BN641" s="287">
        <v>0.26</v>
      </c>
    </row>
    <row r="642" spans="1:66" ht="14.45" thickBot="1">
      <c r="A642" s="360">
        <v>45773</v>
      </c>
      <c r="B642" s="358">
        <v>0.5</v>
      </c>
      <c r="C642" s="313">
        <f t="shared" si="25"/>
        <v>26</v>
      </c>
      <c r="D642" s="314" t="s">
        <v>139</v>
      </c>
      <c r="E642" s="293">
        <v>14.3</v>
      </c>
      <c r="F642" s="294">
        <v>69.28</v>
      </c>
      <c r="G642" s="295" cm="1">
        <f t="array" aca="1" ref="G642" ca="1">INDIRECT("'"&amp;$C642&amp;"'!"&amp;"$"&amp;$D642&amp;$E$1&amp;"")</f>
        <v>6.5</v>
      </c>
      <c r="H642" s="296">
        <v>0.94</v>
      </c>
      <c r="I642" s="294">
        <v>2.4900000000000002</v>
      </c>
      <c r="J642" s="295" cm="1">
        <f t="array" aca="1" ref="J642" ca="1">INDIRECT("'"&amp;$C642&amp;"'!"&amp;"$"&amp;$D642&amp;$J$1&amp;"")</f>
        <v>6.7</v>
      </c>
      <c r="K642" s="296"/>
      <c r="L642" s="296">
        <v>0.94</v>
      </c>
      <c r="M642" s="294">
        <v>2.54</v>
      </c>
      <c r="N642" s="295" cm="1">
        <f t="array" aca="1" ref="N642" ca="1">INDIRECT("'"&amp;$C642&amp;"'!"&amp;"$"&amp;$D642&amp;$N$1&amp;"")</f>
        <v>6.5</v>
      </c>
      <c r="O642" s="296"/>
      <c r="P642" s="296">
        <v>0.94</v>
      </c>
      <c r="Q642" s="294">
        <v>2.4900000000000002</v>
      </c>
      <c r="R642" s="295" cm="1">
        <f t="array" aca="1" ref="R642" ca="1">INDIRECT("'"&amp;$C642&amp;"'!"&amp;"$"&amp;$D642&amp;$R$1&amp;"")</f>
        <v>6.5</v>
      </c>
      <c r="S642" s="296"/>
      <c r="T642" s="296">
        <v>0.94</v>
      </c>
      <c r="U642" s="294">
        <v>2.4900000000000002</v>
      </c>
      <c r="V642" s="295" cm="1">
        <f t="array" aca="1" ref="V642" ca="1">INDIRECT("'"&amp;$C642&amp;"'!"&amp;"$"&amp;$D642&amp;$V$1&amp;"")</f>
        <v>1.8</v>
      </c>
      <c r="W642" s="296">
        <f>3.52*3.8</f>
        <v>13.375999999999999</v>
      </c>
      <c r="X642" s="296">
        <v>0.95</v>
      </c>
      <c r="Y642" s="297">
        <v>0.91</v>
      </c>
      <c r="Z642" s="293" cm="1">
        <f t="array" aca="1" ref="Z642" ca="1">INDIRECT("'"&amp;$C642&amp;"'!"&amp;"$"&amp;$D642&amp;$Z$1&amp;"")</f>
        <v>0</v>
      </c>
      <c r="AA642" s="296" t="s">
        <v>1</v>
      </c>
      <c r="AB642" s="296" t="s">
        <v>1</v>
      </c>
      <c r="AC642" s="294" t="s">
        <v>1</v>
      </c>
      <c r="AD642" s="295" cm="1">
        <f t="array" aca="1" ref="AD642" ca="1">INDIRECT("'"&amp;$C642&amp;"'!"&amp;"$"&amp;$D642&amp;$AD$1&amp;"")</f>
        <v>3.7</v>
      </c>
      <c r="AE642" s="296">
        <f>3.52*3.8</f>
        <v>13.375999999999999</v>
      </c>
      <c r="AF642" s="296">
        <v>0.91</v>
      </c>
      <c r="AG642" s="297">
        <v>1.78</v>
      </c>
      <c r="AH642" s="293" cm="1">
        <f t="array" aca="1" ref="AH642" ca="1">INDIRECT("'"&amp;$C642&amp;"'!"&amp;"$"&amp;$D642&amp;$AH$1&amp;"")</f>
        <v>3</v>
      </c>
      <c r="AI642" s="296">
        <v>13.92</v>
      </c>
      <c r="AJ642" s="296">
        <v>0.98</v>
      </c>
      <c r="AK642" s="294">
        <v>0.56499999999999995</v>
      </c>
      <c r="AL642" s="293">
        <v>11.8</v>
      </c>
      <c r="AM642" s="297">
        <v>70.2</v>
      </c>
      <c r="AN642" s="293" cm="1">
        <f t="array" aca="1" ref="AN642" ca="1">INDIRECT("'"&amp;$C642&amp;"'!"&amp;"$"&amp;$D642&amp;$AL$1&amp;"")</f>
        <v>3.5</v>
      </c>
      <c r="AO642" s="296">
        <v>0.92</v>
      </c>
      <c r="AP642" s="294">
        <v>1.2</v>
      </c>
      <c r="AQ642" s="295" cm="1">
        <f t="array" aca="1" ref="AQ642" ca="1">INDIRECT("'"&amp;$C642&amp;"'!"&amp;"$"&amp;$D642&amp;$AQ$1&amp;"")</f>
        <v>3.5</v>
      </c>
      <c r="AR642" s="296">
        <v>0.92</v>
      </c>
      <c r="AS642" s="294">
        <v>1.2</v>
      </c>
      <c r="AT642" s="296" cm="1">
        <f t="array" aca="1" ref="AT642" ca="1">INDIRECT("'"&amp;$C642&amp;"'!"&amp;"$"&amp;$D642&amp;$AT$1&amp;"")</f>
        <v>0</v>
      </c>
      <c r="AU642" s="295" t="s">
        <v>1</v>
      </c>
      <c r="AV642" s="296" t="s">
        <v>1</v>
      </c>
      <c r="AW642" s="294" t="s">
        <v>1</v>
      </c>
      <c r="AX642" s="298">
        <v>14.13</v>
      </c>
      <c r="AY642" s="297">
        <v>71.209999999999994</v>
      </c>
      <c r="AZ642" s="298" cm="1">
        <f t="array" aca="1" ref="AZ642" ca="1">INDIRECT("'"&amp;$C642&amp;"'!"&amp;"$"&amp;$D642&amp;$AZ$1&amp;"")</f>
        <v>13.31</v>
      </c>
      <c r="BA642" s="296">
        <v>0.98</v>
      </c>
      <c r="BB642" s="294">
        <v>3.3</v>
      </c>
      <c r="BC642" s="299">
        <v>68.099999999999994</v>
      </c>
      <c r="BD642" s="293" cm="1">
        <f t="array" aca="1" ref="BD642" ca="1">INDIRECT("'"&amp;$C642&amp;"'!"&amp;"$"&amp;$D642&amp;$BC$1&amp;"")</f>
        <v>0</v>
      </c>
      <c r="BE642" s="295" t="s">
        <v>1</v>
      </c>
      <c r="BF642" s="294" t="s">
        <v>1</v>
      </c>
      <c r="BG642" s="298" cm="1">
        <f t="array" aca="1" ref="BG642" ca="1">INDIRECT("'"&amp;$C642&amp;"'!"&amp;"$"&amp;$D642&amp;$BG$1&amp;"")</f>
        <v>1.3508</v>
      </c>
      <c r="BH642" s="296"/>
      <c r="BI642" s="296">
        <v>0.98</v>
      </c>
      <c r="BJ642" s="294">
        <v>0.23</v>
      </c>
      <c r="BK642" s="299" cm="1">
        <f t="array" aca="1" ref="BK642" ca="1">INDIRECT("'"&amp;$C642&amp;"'!"&amp;"$"&amp;$D642&amp;$BK$1&amp;"")</f>
        <v>0.89</v>
      </c>
      <c r="BL642" s="296"/>
      <c r="BM642" s="296">
        <v>0.96</v>
      </c>
      <c r="BN642" s="294">
        <v>0.25</v>
      </c>
    </row>
    <row r="643" spans="1:66" ht="14.45" thickBot="1">
      <c r="A643" s="360">
        <v>45773</v>
      </c>
      <c r="B643" s="358">
        <v>0.54166666666666696</v>
      </c>
      <c r="C643" s="313">
        <f t="shared" si="25"/>
        <v>26</v>
      </c>
      <c r="D643" s="314" t="s">
        <v>140</v>
      </c>
      <c r="E643" s="286">
        <v>14.2</v>
      </c>
      <c r="F643" s="287">
        <v>68.7</v>
      </c>
      <c r="G643" s="288" cm="1">
        <f t="array" aca="1" ref="G643" ca="1">INDIRECT("'"&amp;$C643&amp;"'!"&amp;"$"&amp;$D643&amp;$E$1&amp;"")</f>
        <v>6.5</v>
      </c>
      <c r="H643" s="289">
        <v>0.93</v>
      </c>
      <c r="I643" s="287">
        <v>2.56</v>
      </c>
      <c r="J643" s="288" cm="1">
        <f t="array" aca="1" ref="J643" ca="1">INDIRECT("'"&amp;$C643&amp;"'!"&amp;"$"&amp;$D643&amp;$J$1&amp;"")</f>
        <v>6.7</v>
      </c>
      <c r="K643" s="289"/>
      <c r="L643" s="289">
        <v>0.93</v>
      </c>
      <c r="M643" s="287">
        <v>2.64</v>
      </c>
      <c r="N643" s="288" cm="1">
        <f t="array" aca="1" ref="N643" ca="1">INDIRECT("'"&amp;$C643&amp;"'!"&amp;"$"&amp;$D643&amp;$N$1&amp;"")</f>
        <v>6.5</v>
      </c>
      <c r="O643" s="289"/>
      <c r="P643" s="289">
        <v>0.93</v>
      </c>
      <c r="Q643" s="287">
        <v>2.56</v>
      </c>
      <c r="R643" s="288" cm="1">
        <f t="array" aca="1" ref="R643" ca="1">INDIRECT("'"&amp;$C643&amp;"'!"&amp;"$"&amp;$D643&amp;$R$1&amp;"")</f>
        <v>6.5</v>
      </c>
      <c r="S643" s="289"/>
      <c r="T643" s="289">
        <v>0.93</v>
      </c>
      <c r="U643" s="287">
        <v>2.56</v>
      </c>
      <c r="V643" s="288" cm="1">
        <f t="array" aca="1" ref="V643" ca="1">INDIRECT("'"&amp;$C643&amp;"'!"&amp;"$"&amp;$D643&amp;$V$1&amp;"")</f>
        <v>0</v>
      </c>
      <c r="W643" s="289" t="s">
        <v>1</v>
      </c>
      <c r="X643" s="289" t="s">
        <v>1</v>
      </c>
      <c r="Y643" s="290" t="s">
        <v>1</v>
      </c>
      <c r="Z643" s="286" cm="1">
        <f t="array" aca="1" ref="Z643" ca="1">INDIRECT("'"&amp;$C643&amp;"'!"&amp;"$"&amp;$D643&amp;$Z$1&amp;"")</f>
        <v>0</v>
      </c>
      <c r="AA643" s="289" t="s">
        <v>1</v>
      </c>
      <c r="AB643" s="289" t="s">
        <v>1</v>
      </c>
      <c r="AC643" s="287" t="s">
        <v>1</v>
      </c>
      <c r="AD643" s="288" cm="1">
        <f t="array" aca="1" ref="AD643" ca="1">INDIRECT("'"&amp;$C643&amp;"'!"&amp;"$"&amp;$D643&amp;$AD$1&amp;"")</f>
        <v>3.8</v>
      </c>
      <c r="AE643" s="289">
        <f>3.47*3.8</f>
        <v>13.186</v>
      </c>
      <c r="AF643" s="289">
        <v>0.9</v>
      </c>
      <c r="AG643" s="290">
        <v>0.94</v>
      </c>
      <c r="AH643" s="286" cm="1">
        <f t="array" aca="1" ref="AH643" ca="1">INDIRECT("'"&amp;$C643&amp;"'!"&amp;"$"&amp;$D643&amp;$AH$1&amp;"")</f>
        <v>3.8</v>
      </c>
      <c r="AI643" s="289">
        <v>13.92</v>
      </c>
      <c r="AJ643" s="289">
        <v>0.98</v>
      </c>
      <c r="AK643" s="287">
        <v>0.74099999999999999</v>
      </c>
      <c r="AL643" s="286">
        <v>11.9</v>
      </c>
      <c r="AM643" s="290">
        <v>70</v>
      </c>
      <c r="AN643" s="286" cm="1">
        <f t="array" aca="1" ref="AN643" ca="1">INDIRECT("'"&amp;$C643&amp;"'!"&amp;"$"&amp;$D643&amp;$AL$1&amp;"")</f>
        <v>4.3</v>
      </c>
      <c r="AO643" s="289">
        <v>0.92</v>
      </c>
      <c r="AP643" s="287">
        <v>1.5</v>
      </c>
      <c r="AQ643" s="288" cm="1">
        <f t="array" aca="1" ref="AQ643" ca="1">INDIRECT("'"&amp;$C643&amp;"'!"&amp;"$"&amp;$D643&amp;$AQ$1&amp;"")</f>
        <v>4.3</v>
      </c>
      <c r="AR643" s="289">
        <v>0.92</v>
      </c>
      <c r="AS643" s="287">
        <v>1.5</v>
      </c>
      <c r="AT643" s="289" cm="1">
        <f t="array" aca="1" ref="AT643" ca="1">INDIRECT("'"&amp;$C643&amp;"'!"&amp;"$"&amp;$D643&amp;$AT$1&amp;"")</f>
        <v>0</v>
      </c>
      <c r="AU643" s="288" t="s">
        <v>1</v>
      </c>
      <c r="AV643" s="289" t="s">
        <v>1</v>
      </c>
      <c r="AW643" s="287" t="s">
        <v>1</v>
      </c>
      <c r="AX643" s="291">
        <v>14.17</v>
      </c>
      <c r="AY643" s="290">
        <v>71.22</v>
      </c>
      <c r="AZ643" s="291" cm="1">
        <f t="array" aca="1" ref="AZ643" ca="1">INDIRECT("'"&amp;$C643&amp;"'!"&amp;"$"&amp;$D643&amp;$AZ$1&amp;"")</f>
        <v>14.29</v>
      </c>
      <c r="BA643" s="289">
        <v>0.98</v>
      </c>
      <c r="BB643" s="287">
        <v>3.6</v>
      </c>
      <c r="BC643" s="292">
        <v>67.2</v>
      </c>
      <c r="BD643" s="286" cm="1">
        <f t="array" aca="1" ref="BD643" ca="1">INDIRECT("'"&amp;$C643&amp;"'!"&amp;"$"&amp;$D643&amp;$BC$1&amp;"")</f>
        <v>1.5</v>
      </c>
      <c r="BE643" s="288">
        <v>0.95</v>
      </c>
      <c r="BF643" s="287">
        <v>0.5</v>
      </c>
      <c r="BG643" s="291" cm="1">
        <f t="array" aca="1" ref="BG643" ca="1">INDIRECT("'"&amp;$C643&amp;"'!"&amp;"$"&amp;$D643&amp;$BG$1&amp;"")</f>
        <v>1.33</v>
      </c>
      <c r="BH643" s="289"/>
      <c r="BI643" s="289">
        <v>0.98</v>
      </c>
      <c r="BJ643" s="287">
        <v>0.26</v>
      </c>
      <c r="BK643" s="292" cm="1">
        <f t="array" aca="1" ref="BK643" ca="1">INDIRECT("'"&amp;$C643&amp;"'!"&amp;"$"&amp;$D643&amp;$BK$1&amp;"")</f>
        <v>0.88</v>
      </c>
      <c r="BL643" s="289"/>
      <c r="BM643" s="289">
        <v>0.96</v>
      </c>
      <c r="BN643" s="287">
        <v>0.25</v>
      </c>
    </row>
    <row r="644" spans="1:66" ht="14.45" thickBot="1">
      <c r="A644" s="360">
        <v>45773</v>
      </c>
      <c r="B644" s="358">
        <v>0.58333333333333404</v>
      </c>
      <c r="C644" s="313">
        <f t="shared" si="25"/>
        <v>26</v>
      </c>
      <c r="D644" s="314" t="s">
        <v>141</v>
      </c>
      <c r="E644" s="293">
        <v>14.2</v>
      </c>
      <c r="F644" s="294">
        <v>68.81</v>
      </c>
      <c r="G644" s="295" cm="1">
        <f t="array" aca="1" ref="G644" ca="1">INDIRECT("'"&amp;$C644&amp;"'!"&amp;"$"&amp;$D644&amp;$E$1&amp;"")</f>
        <v>6.7</v>
      </c>
      <c r="H644" s="296">
        <v>0.93</v>
      </c>
      <c r="I644" s="294">
        <v>2.67</v>
      </c>
      <c r="J644" s="295" cm="1">
        <f t="array" aca="1" ref="J644" ca="1">INDIRECT("'"&amp;$C644&amp;"'!"&amp;"$"&amp;$D644&amp;$J$1&amp;"")</f>
        <v>6.7</v>
      </c>
      <c r="K644" s="296"/>
      <c r="L644" s="296">
        <v>0.93</v>
      </c>
      <c r="M644" s="294">
        <v>2.67</v>
      </c>
      <c r="N644" s="295" cm="1">
        <f t="array" aca="1" ref="N644" ca="1">INDIRECT("'"&amp;$C644&amp;"'!"&amp;"$"&amp;$D644&amp;$N$1&amp;"")</f>
        <v>6.7</v>
      </c>
      <c r="O644" s="296"/>
      <c r="P644" s="296">
        <v>0.93</v>
      </c>
      <c r="Q644" s="294">
        <v>2.67</v>
      </c>
      <c r="R644" s="295" cm="1">
        <f t="array" aca="1" ref="R644" ca="1">INDIRECT("'"&amp;$C644&amp;"'!"&amp;"$"&amp;$D644&amp;$R$1&amp;"")</f>
        <v>6.7</v>
      </c>
      <c r="S644" s="296"/>
      <c r="T644" s="296">
        <v>0.93</v>
      </c>
      <c r="U644" s="294">
        <v>2.67</v>
      </c>
      <c r="V644" s="295" cm="1">
        <f t="array" aca="1" ref="V644" ca="1">INDIRECT("'"&amp;$C644&amp;"'!"&amp;"$"&amp;$D644&amp;$V$1&amp;"")</f>
        <v>0</v>
      </c>
      <c r="W644" s="296" t="s">
        <v>1</v>
      </c>
      <c r="X644" s="296" t="s">
        <v>1</v>
      </c>
      <c r="Y644" s="297" t="s">
        <v>1</v>
      </c>
      <c r="Z644" s="293" cm="1">
        <f t="array" aca="1" ref="Z644" ca="1">INDIRECT("'"&amp;$C644&amp;"'!"&amp;"$"&amp;$D644&amp;$Z$1&amp;"")</f>
        <v>0</v>
      </c>
      <c r="AA644" s="296" t="s">
        <v>1</v>
      </c>
      <c r="AB644" s="296" t="s">
        <v>1</v>
      </c>
      <c r="AC644" s="294" t="s">
        <v>1</v>
      </c>
      <c r="AD644" s="295" cm="1">
        <f t="array" aca="1" ref="AD644" ca="1">INDIRECT("'"&amp;$C644&amp;"'!"&amp;"$"&amp;$D644&amp;$AD$1&amp;"")</f>
        <v>3.8</v>
      </c>
      <c r="AE644" s="296">
        <f>3.47*3.8</f>
        <v>13.186</v>
      </c>
      <c r="AF644" s="296">
        <v>0.9</v>
      </c>
      <c r="AG644" s="297">
        <v>1.91</v>
      </c>
      <c r="AH644" s="293" cm="1">
        <f t="array" aca="1" ref="AH644" ca="1">INDIRECT("'"&amp;$C644&amp;"'!"&amp;"$"&amp;$D644&amp;$AH$1&amp;"")</f>
        <v>3.8</v>
      </c>
      <c r="AI644" s="296">
        <v>13.92</v>
      </c>
      <c r="AJ644" s="296">
        <v>0.98</v>
      </c>
      <c r="AK644" s="294">
        <v>0.64</v>
      </c>
      <c r="AL644" s="293">
        <v>11.9</v>
      </c>
      <c r="AM644" s="297">
        <v>70</v>
      </c>
      <c r="AN644" s="293" cm="1">
        <f t="array" aca="1" ref="AN644" ca="1">INDIRECT("'"&amp;$C644&amp;"'!"&amp;"$"&amp;$D644&amp;$AL$1&amp;"")</f>
        <v>4.3</v>
      </c>
      <c r="AO644" s="296">
        <v>0.92</v>
      </c>
      <c r="AP644" s="294">
        <v>1.5</v>
      </c>
      <c r="AQ644" s="295" cm="1">
        <f t="array" aca="1" ref="AQ644" ca="1">INDIRECT("'"&amp;$C644&amp;"'!"&amp;"$"&amp;$D644&amp;$AQ$1&amp;"")</f>
        <v>4.3</v>
      </c>
      <c r="AR644" s="296">
        <v>0.92</v>
      </c>
      <c r="AS644" s="294">
        <v>1.5</v>
      </c>
      <c r="AT644" s="296" cm="1">
        <f t="array" aca="1" ref="AT644" ca="1">INDIRECT("'"&amp;$C644&amp;"'!"&amp;"$"&amp;$D644&amp;$AT$1&amp;"")</f>
        <v>0</v>
      </c>
      <c r="AU644" s="295" t="s">
        <v>1</v>
      </c>
      <c r="AV644" s="296" t="s">
        <v>1</v>
      </c>
      <c r="AW644" s="294" t="s">
        <v>1</v>
      </c>
      <c r="AX644" s="298">
        <v>14.15</v>
      </c>
      <c r="AY644" s="297">
        <v>71.209999999999994</v>
      </c>
      <c r="AZ644" s="298" cm="1">
        <f t="array" aca="1" ref="AZ644" ca="1">INDIRECT("'"&amp;$C644&amp;"'!"&amp;"$"&amp;$D644&amp;$AZ$1&amp;"")</f>
        <v>14.28</v>
      </c>
      <c r="BA644" s="296">
        <v>0.98</v>
      </c>
      <c r="BB644" s="294">
        <v>3.5</v>
      </c>
      <c r="BC644" s="299">
        <v>67.400000000000006</v>
      </c>
      <c r="BD644" s="293" cm="1">
        <f t="array" aca="1" ref="BD644" ca="1">INDIRECT("'"&amp;$C644&amp;"'!"&amp;"$"&amp;$D644&amp;$BC$1&amp;"")</f>
        <v>2.2999999999999998</v>
      </c>
      <c r="BE644" s="295">
        <v>0.95</v>
      </c>
      <c r="BF644" s="294">
        <v>0.77</v>
      </c>
      <c r="BG644" s="298" cm="1">
        <f t="array" aca="1" ref="BG644" ca="1">INDIRECT("'"&amp;$C644&amp;"'!"&amp;"$"&amp;$D644&amp;$BG$1&amp;"")</f>
        <v>1.1599999999999999</v>
      </c>
      <c r="BH644" s="296"/>
      <c r="BI644" s="296">
        <v>0.99</v>
      </c>
      <c r="BJ644" s="294">
        <v>0.19</v>
      </c>
      <c r="BK644" s="299" cm="1">
        <f t="array" aca="1" ref="BK644" ca="1">INDIRECT("'"&amp;$C644&amp;"'!"&amp;"$"&amp;$D644&amp;$BK$1&amp;"")</f>
        <v>0.88</v>
      </c>
      <c r="BL644" s="296"/>
      <c r="BM644" s="296">
        <v>0.96</v>
      </c>
      <c r="BN644" s="294">
        <v>0.25</v>
      </c>
    </row>
    <row r="645" spans="1:66" ht="14.45" thickBot="1">
      <c r="A645" s="360">
        <v>45773</v>
      </c>
      <c r="B645" s="358">
        <v>0.625</v>
      </c>
      <c r="C645" s="313">
        <f t="shared" si="25"/>
        <v>26</v>
      </c>
      <c r="D645" s="314" t="s">
        <v>142</v>
      </c>
      <c r="E645" s="286">
        <v>14.2</v>
      </c>
      <c r="F645" s="287">
        <v>68.709999999999994</v>
      </c>
      <c r="G645" s="288" cm="1">
        <f t="array" aca="1" ref="G645" ca="1">INDIRECT("'"&amp;$C645&amp;"'!"&amp;"$"&amp;$D645&amp;$E$1&amp;"")</f>
        <v>6.9</v>
      </c>
      <c r="H645" s="289">
        <v>0.93</v>
      </c>
      <c r="I645" s="287">
        <v>2.76</v>
      </c>
      <c r="J645" s="288" cm="1">
        <f t="array" aca="1" ref="J645" ca="1">INDIRECT("'"&amp;$C645&amp;"'!"&amp;"$"&amp;$D645&amp;$J$1&amp;"")</f>
        <v>6.9</v>
      </c>
      <c r="K645" s="289"/>
      <c r="L645" s="289">
        <v>0.93</v>
      </c>
      <c r="M645" s="287">
        <v>2.76</v>
      </c>
      <c r="N645" s="288" cm="1">
        <f t="array" aca="1" ref="N645" ca="1">INDIRECT("'"&amp;$C645&amp;"'!"&amp;"$"&amp;$D645&amp;$N$1&amp;"")</f>
        <v>6.9</v>
      </c>
      <c r="O645" s="289"/>
      <c r="P645" s="289">
        <v>0.93</v>
      </c>
      <c r="Q645" s="287">
        <v>2.76</v>
      </c>
      <c r="R645" s="288" cm="1">
        <f t="array" aca="1" ref="R645" ca="1">INDIRECT("'"&amp;$C645&amp;"'!"&amp;"$"&amp;$D645&amp;$R$1&amp;"")</f>
        <v>6.9</v>
      </c>
      <c r="S645" s="289"/>
      <c r="T645" s="289">
        <v>0.93</v>
      </c>
      <c r="U645" s="287">
        <v>2.76</v>
      </c>
      <c r="V645" s="288" cm="1">
        <f t="array" aca="1" ref="V645" ca="1">INDIRECT("'"&amp;$C645&amp;"'!"&amp;"$"&amp;$D645&amp;$V$1&amp;"")</f>
        <v>0</v>
      </c>
      <c r="W645" s="289" t="s">
        <v>1</v>
      </c>
      <c r="X645" s="289" t="s">
        <v>1</v>
      </c>
      <c r="Y645" s="290" t="s">
        <v>1</v>
      </c>
      <c r="Z645" s="286" cm="1">
        <f t="array" aca="1" ref="Z645" ca="1">INDIRECT("'"&amp;$C645&amp;"'!"&amp;"$"&amp;$D645&amp;$Z$1&amp;"")</f>
        <v>0</v>
      </c>
      <c r="AA645" s="289" t="s">
        <v>1</v>
      </c>
      <c r="AB645" s="289" t="s">
        <v>1</v>
      </c>
      <c r="AC645" s="287" t="s">
        <v>1</v>
      </c>
      <c r="AD645" s="288" cm="1">
        <f t="array" aca="1" ref="AD645" ca="1">INDIRECT("'"&amp;$C645&amp;"'!"&amp;"$"&amp;$D645&amp;$AD$1&amp;"")</f>
        <v>4</v>
      </c>
      <c r="AE645" s="289">
        <f>3.8*3.47</f>
        <v>13.186</v>
      </c>
      <c r="AF645" s="289">
        <v>0.9</v>
      </c>
      <c r="AG645" s="290">
        <v>0.98</v>
      </c>
      <c r="AH645" s="286" cm="1">
        <f t="array" aca="1" ref="AH645" ca="1">INDIRECT("'"&amp;$C645&amp;"'!"&amp;"$"&amp;$D645&amp;$AH$1&amp;"")</f>
        <v>3.8</v>
      </c>
      <c r="AI645" s="289">
        <v>13.92</v>
      </c>
      <c r="AJ645" s="289">
        <v>0.98</v>
      </c>
      <c r="AK645" s="287">
        <v>0.52600000000000002</v>
      </c>
      <c r="AL645" s="286">
        <v>11.9</v>
      </c>
      <c r="AM645" s="290">
        <v>70</v>
      </c>
      <c r="AN645" s="286" cm="1">
        <f t="array" aca="1" ref="AN645" ca="1">INDIRECT("'"&amp;$C645&amp;"'!"&amp;"$"&amp;$D645&amp;$AL$1&amp;"")</f>
        <v>4.3</v>
      </c>
      <c r="AO645" s="289">
        <v>0.92</v>
      </c>
      <c r="AP645" s="287">
        <v>1.4</v>
      </c>
      <c r="AQ645" s="288" cm="1">
        <f t="array" aca="1" ref="AQ645" ca="1">INDIRECT("'"&amp;$C645&amp;"'!"&amp;"$"&amp;$D645&amp;$AQ$1&amp;"")</f>
        <v>4.3</v>
      </c>
      <c r="AR645" s="289">
        <v>0.92</v>
      </c>
      <c r="AS645" s="287">
        <v>1.4</v>
      </c>
      <c r="AT645" s="289" cm="1">
        <f t="array" aca="1" ref="AT645" ca="1">INDIRECT("'"&amp;$C645&amp;"'!"&amp;"$"&amp;$D645&amp;$AT$1&amp;"")</f>
        <v>0</v>
      </c>
      <c r="AU645" s="288" t="s">
        <v>1</v>
      </c>
      <c r="AV645" s="289" t="s">
        <v>1</v>
      </c>
      <c r="AW645" s="287" t="s">
        <v>1</v>
      </c>
      <c r="AX645" s="291">
        <v>14.17</v>
      </c>
      <c r="AY645" s="290">
        <v>71.22</v>
      </c>
      <c r="AZ645" s="291" cm="1">
        <f t="array" aca="1" ref="AZ645" ca="1">INDIRECT("'"&amp;$C645&amp;"'!"&amp;"$"&amp;$D645&amp;$AZ$1&amp;"")</f>
        <v>14.33</v>
      </c>
      <c r="BA645" s="289">
        <v>0.98</v>
      </c>
      <c r="BB645" s="287">
        <v>3.5</v>
      </c>
      <c r="BC645" s="292">
        <v>67.400000000000006</v>
      </c>
      <c r="BD645" s="286" cm="1">
        <f t="array" aca="1" ref="BD645" ca="1">INDIRECT("'"&amp;$C645&amp;"'!"&amp;"$"&amp;$D645&amp;$BC$1&amp;"")</f>
        <v>1.5</v>
      </c>
      <c r="BE645" s="288">
        <v>0.95</v>
      </c>
      <c r="BF645" s="287">
        <v>0.51</v>
      </c>
      <c r="BG645" s="291" cm="1">
        <f t="array" aca="1" ref="BG645" ca="1">INDIRECT("'"&amp;$C645&amp;"'!"&amp;"$"&amp;$D645&amp;$BG$1&amp;"")</f>
        <v>1.26</v>
      </c>
      <c r="BH645" s="289"/>
      <c r="BI645" s="289">
        <v>0.98</v>
      </c>
      <c r="BJ645" s="287">
        <v>0.22</v>
      </c>
      <c r="BK645" s="292" cm="1">
        <f t="array" aca="1" ref="BK645" ca="1">INDIRECT("'"&amp;$C645&amp;"'!"&amp;"$"&amp;$D645&amp;$BK$1&amp;"")</f>
        <v>0.89</v>
      </c>
      <c r="BL645" s="289"/>
      <c r="BM645" s="289">
        <v>0.96</v>
      </c>
      <c r="BN645" s="287">
        <v>0.26</v>
      </c>
    </row>
    <row r="646" spans="1:66" ht="14.45" thickBot="1">
      <c r="A646" s="360">
        <v>45773</v>
      </c>
      <c r="B646" s="358">
        <v>0.66666666666666696</v>
      </c>
      <c r="C646" s="313">
        <f t="shared" si="25"/>
        <v>26</v>
      </c>
      <c r="D646" s="314" t="s">
        <v>143</v>
      </c>
      <c r="E646" s="293">
        <v>14.2</v>
      </c>
      <c r="F646" s="294">
        <v>68.849999999999994</v>
      </c>
      <c r="G646" s="295" cm="1">
        <f t="array" aca="1" ref="G646" ca="1">INDIRECT("'"&amp;$C646&amp;"'!"&amp;"$"&amp;$D646&amp;$E$1&amp;"")</f>
        <v>6.7</v>
      </c>
      <c r="H646" s="296">
        <v>0.93</v>
      </c>
      <c r="I646" s="294">
        <v>2.69</v>
      </c>
      <c r="J646" s="295" cm="1">
        <f t="array" aca="1" ref="J646" ca="1">INDIRECT("'"&amp;$C646&amp;"'!"&amp;"$"&amp;$D646&amp;$J$1&amp;"")</f>
        <v>6.7</v>
      </c>
      <c r="K646" s="296"/>
      <c r="L646" s="296">
        <v>0.93</v>
      </c>
      <c r="M646" s="294">
        <v>2.69</v>
      </c>
      <c r="N646" s="295" cm="1">
        <f t="array" aca="1" ref="N646" ca="1">INDIRECT("'"&amp;$C646&amp;"'!"&amp;"$"&amp;$D646&amp;$N$1&amp;"")</f>
        <v>6.7</v>
      </c>
      <c r="O646" s="296"/>
      <c r="P646" s="296">
        <v>0.93</v>
      </c>
      <c r="Q646" s="294">
        <v>2.69</v>
      </c>
      <c r="R646" s="295" cm="1">
        <f t="array" aca="1" ref="R646" ca="1">INDIRECT("'"&amp;$C646&amp;"'!"&amp;"$"&amp;$D646&amp;$R$1&amp;"")</f>
        <v>6.7</v>
      </c>
      <c r="S646" s="296"/>
      <c r="T646" s="296">
        <v>0.93</v>
      </c>
      <c r="U646" s="294">
        <v>2.69</v>
      </c>
      <c r="V646" s="295" cm="1">
        <f t="array" aca="1" ref="V646" ca="1">INDIRECT("'"&amp;$C646&amp;"'!"&amp;"$"&amp;$D646&amp;$V$1&amp;"")</f>
        <v>0</v>
      </c>
      <c r="W646" s="296" t="s">
        <v>1</v>
      </c>
      <c r="X646" s="296" t="s">
        <v>1</v>
      </c>
      <c r="Y646" s="297" t="s">
        <v>1</v>
      </c>
      <c r="Z646" s="293" cm="1">
        <f t="array" aca="1" ref="Z646" ca="1">INDIRECT("'"&amp;$C646&amp;"'!"&amp;"$"&amp;$D646&amp;$Z$1&amp;"")</f>
        <v>0</v>
      </c>
      <c r="AA646" s="296" t="s">
        <v>1</v>
      </c>
      <c r="AB646" s="296" t="s">
        <v>1</v>
      </c>
      <c r="AC646" s="294" t="s">
        <v>1</v>
      </c>
      <c r="AD646" s="295" cm="1">
        <f t="array" aca="1" ref="AD646" ca="1">INDIRECT("'"&amp;$C646&amp;"'!"&amp;"$"&amp;$D646&amp;$AD$1&amp;"")</f>
        <v>3.8</v>
      </c>
      <c r="AE646" s="296">
        <f>3.8*3.49</f>
        <v>13.262</v>
      </c>
      <c r="AF646" s="296">
        <v>0.9</v>
      </c>
      <c r="AG646" s="297">
        <v>1.9</v>
      </c>
      <c r="AH646" s="293" cm="1">
        <f t="array" aca="1" ref="AH646" ca="1">INDIRECT("'"&amp;$C646&amp;"'!"&amp;"$"&amp;$D646&amp;$AH$1&amp;"")</f>
        <v>3.8</v>
      </c>
      <c r="AI646" s="296">
        <v>13.92</v>
      </c>
      <c r="AJ646" s="296">
        <v>0.98</v>
      </c>
      <c r="AK646" s="294">
        <v>0.51</v>
      </c>
      <c r="AL646" s="293">
        <v>11.9</v>
      </c>
      <c r="AM646" s="297">
        <v>70</v>
      </c>
      <c r="AN646" s="293" cm="1">
        <f t="array" aca="1" ref="AN646" ca="1">INDIRECT("'"&amp;$C646&amp;"'!"&amp;"$"&amp;$D646&amp;$AL$1&amp;"")</f>
        <v>4</v>
      </c>
      <c r="AO646" s="296">
        <v>0.94</v>
      </c>
      <c r="AP646" s="294">
        <v>1.3</v>
      </c>
      <c r="AQ646" s="295" cm="1">
        <f t="array" aca="1" ref="AQ646" ca="1">INDIRECT("'"&amp;$C646&amp;"'!"&amp;"$"&amp;$D646&amp;$AQ$1&amp;"")</f>
        <v>4</v>
      </c>
      <c r="AR646" s="296">
        <v>0.94</v>
      </c>
      <c r="AS646" s="294">
        <v>1.3</v>
      </c>
      <c r="AT646" s="296" cm="1">
        <f t="array" aca="1" ref="AT646" ca="1">INDIRECT("'"&amp;$C646&amp;"'!"&amp;"$"&amp;$D646&amp;$AT$1&amp;"")</f>
        <v>0</v>
      </c>
      <c r="AU646" s="295" t="s">
        <v>1</v>
      </c>
      <c r="AV646" s="296" t="s">
        <v>1</v>
      </c>
      <c r="AW646" s="294" t="s">
        <v>1</v>
      </c>
      <c r="AX646" s="298">
        <v>14.19</v>
      </c>
      <c r="AY646" s="297">
        <v>71.22</v>
      </c>
      <c r="AZ646" s="298" cm="1">
        <f t="array" aca="1" ref="AZ646" ca="1">INDIRECT("'"&amp;$C646&amp;"'!"&amp;"$"&amp;$D646&amp;$AZ$1&amp;"")</f>
        <v>14.31</v>
      </c>
      <c r="BA646" s="296">
        <v>0.98</v>
      </c>
      <c r="BB646" s="294">
        <v>3.5</v>
      </c>
      <c r="BC646" s="299">
        <v>67.5</v>
      </c>
      <c r="BD646" s="293" cm="1">
        <f t="array" aca="1" ref="BD646" ca="1">INDIRECT("'"&amp;$C646&amp;"'!"&amp;"$"&amp;$D646&amp;$BC$1&amp;"")</f>
        <v>1.5</v>
      </c>
      <c r="BE646" s="295">
        <v>0.95</v>
      </c>
      <c r="BF646" s="294">
        <v>0.49</v>
      </c>
      <c r="BG646" s="298" cm="1">
        <f t="array" aca="1" ref="BG646" ca="1">INDIRECT("'"&amp;$C646&amp;"'!"&amp;"$"&amp;$D646&amp;$BG$1&amp;"")</f>
        <v>1.35</v>
      </c>
      <c r="BH646" s="296"/>
      <c r="BI646" s="296">
        <v>0.98</v>
      </c>
      <c r="BJ646" s="294">
        <v>0.24</v>
      </c>
      <c r="BK646" s="299" cm="1">
        <f t="array" aca="1" ref="BK646" ca="1">INDIRECT("'"&amp;$C646&amp;"'!"&amp;"$"&amp;$D646&amp;$BK$1&amp;"")</f>
        <v>0.87</v>
      </c>
      <c r="BL646" s="296"/>
      <c r="BM646" s="296">
        <v>0.96</v>
      </c>
      <c r="BN646" s="294">
        <v>0.26</v>
      </c>
    </row>
    <row r="647" spans="1:66" ht="14.45" thickBot="1">
      <c r="A647" s="360">
        <v>45773</v>
      </c>
      <c r="B647" s="358">
        <v>0.70833333333333404</v>
      </c>
      <c r="C647" s="313">
        <f t="shared" si="25"/>
        <v>26</v>
      </c>
      <c r="D647" s="314" t="s">
        <v>144</v>
      </c>
      <c r="E647" s="286">
        <v>14.3</v>
      </c>
      <c r="F647" s="287">
        <v>69.94</v>
      </c>
      <c r="G647" s="288" cm="1">
        <f t="array" aca="1" ref="G647" ca="1">INDIRECT("'"&amp;$C647&amp;"'!"&amp;"$"&amp;$D647&amp;$E$1&amp;"")</f>
        <v>6.6</v>
      </c>
      <c r="H647" s="289">
        <v>0.93</v>
      </c>
      <c r="I647" s="287">
        <v>2.61</v>
      </c>
      <c r="J647" s="288" cm="1">
        <f t="array" aca="1" ref="J647" ca="1">INDIRECT("'"&amp;$C647&amp;"'!"&amp;"$"&amp;$D647&amp;$J$1&amp;"")</f>
        <v>6.6</v>
      </c>
      <c r="K647" s="289"/>
      <c r="L647" s="289">
        <v>0.93</v>
      </c>
      <c r="M647" s="287">
        <v>2.61</v>
      </c>
      <c r="N647" s="288" cm="1">
        <f t="array" aca="1" ref="N647" ca="1">INDIRECT("'"&amp;$C647&amp;"'!"&amp;"$"&amp;$D647&amp;$N$1&amp;"")</f>
        <v>6.6</v>
      </c>
      <c r="O647" s="289"/>
      <c r="P647" s="289">
        <v>0.93</v>
      </c>
      <c r="Q647" s="287">
        <v>2.61</v>
      </c>
      <c r="R647" s="288" cm="1">
        <f t="array" aca="1" ref="R647" ca="1">INDIRECT("'"&amp;$C647&amp;"'!"&amp;"$"&amp;$D647&amp;$R$1&amp;"")</f>
        <v>6.6</v>
      </c>
      <c r="S647" s="289"/>
      <c r="T647" s="289">
        <v>0.93</v>
      </c>
      <c r="U647" s="287">
        <v>2.61</v>
      </c>
      <c r="V647" s="288" cm="1">
        <f t="array" aca="1" ref="V647" ca="1">INDIRECT("'"&amp;$C647&amp;"'!"&amp;"$"&amp;$D647&amp;$V$1&amp;"")</f>
        <v>0</v>
      </c>
      <c r="W647" s="289" t="s">
        <v>1</v>
      </c>
      <c r="X647" s="289" t="s">
        <v>1</v>
      </c>
      <c r="Y647" s="290" t="s">
        <v>1</v>
      </c>
      <c r="Z647" s="286" cm="1">
        <f t="array" aca="1" ref="Z647" ca="1">INDIRECT("'"&amp;$C647&amp;"'!"&amp;"$"&amp;$D647&amp;$Z$1&amp;"")</f>
        <v>0</v>
      </c>
      <c r="AA647" s="289" t="s">
        <v>1</v>
      </c>
      <c r="AB647" s="289" t="s">
        <v>1</v>
      </c>
      <c r="AC647" s="287" t="s">
        <v>1</v>
      </c>
      <c r="AD647" s="288" cm="1">
        <f t="array" aca="1" ref="AD647" ca="1">INDIRECT("'"&amp;$C647&amp;"'!"&amp;"$"&amp;$D647&amp;$AD$1&amp;"")</f>
        <v>3.8</v>
      </c>
      <c r="AE647" s="289">
        <f>3.8*3.51</f>
        <v>13.337999999999999</v>
      </c>
      <c r="AF647" s="289">
        <v>0.9</v>
      </c>
      <c r="AG647" s="290">
        <v>1.91</v>
      </c>
      <c r="AH647" s="286" cm="1">
        <f t="array" aca="1" ref="AH647" ca="1">INDIRECT("'"&amp;$C647&amp;"'!"&amp;"$"&amp;$D647&amp;$AH$1&amp;"")</f>
        <v>3.8</v>
      </c>
      <c r="AI647" s="289">
        <v>13.96</v>
      </c>
      <c r="AJ647" s="289">
        <v>0.99</v>
      </c>
      <c r="AK647" s="287">
        <v>0.16700000000000001</v>
      </c>
      <c r="AL647" s="286">
        <v>11.9</v>
      </c>
      <c r="AM647" s="290">
        <v>70.5</v>
      </c>
      <c r="AN647" s="286" cm="1">
        <f t="array" aca="1" ref="AN647" ca="1">INDIRECT("'"&amp;$C647&amp;"'!"&amp;"$"&amp;$D647&amp;$AL$1&amp;"")</f>
        <v>4</v>
      </c>
      <c r="AO647" s="289">
        <v>0.96</v>
      </c>
      <c r="AP647" s="287">
        <v>1.2</v>
      </c>
      <c r="AQ647" s="288" cm="1">
        <f t="array" aca="1" ref="AQ647" ca="1">INDIRECT("'"&amp;$C647&amp;"'!"&amp;"$"&amp;$D647&amp;$AQ$1&amp;"")</f>
        <v>4</v>
      </c>
      <c r="AR647" s="289">
        <v>0.96</v>
      </c>
      <c r="AS647" s="287">
        <v>1.2</v>
      </c>
      <c r="AT647" s="289" cm="1">
        <f t="array" aca="1" ref="AT647" ca="1">INDIRECT("'"&amp;$C647&amp;"'!"&amp;"$"&amp;$D647&amp;$AT$1&amp;"")</f>
        <v>0</v>
      </c>
      <c r="AU647" s="288" t="s">
        <v>1</v>
      </c>
      <c r="AV647" s="289" t="s">
        <v>1</v>
      </c>
      <c r="AW647" s="287" t="s">
        <v>1</v>
      </c>
      <c r="AX647" s="291">
        <v>14.4</v>
      </c>
      <c r="AY647" s="290">
        <v>72.06</v>
      </c>
      <c r="AZ647" s="291" cm="1">
        <f t="array" aca="1" ref="AZ647" ca="1">INDIRECT("'"&amp;$C647&amp;"'!"&amp;"$"&amp;$D647&amp;$AZ$1&amp;"")</f>
        <v>14.29</v>
      </c>
      <c r="BA647" s="289">
        <v>0.96</v>
      </c>
      <c r="BB647" s="287">
        <v>4.5999999999999996</v>
      </c>
      <c r="BC647" s="292">
        <v>67.8</v>
      </c>
      <c r="BD647" s="286" cm="1">
        <f t="array" aca="1" ref="BD647" ca="1">INDIRECT("'"&amp;$C647&amp;"'!"&amp;"$"&amp;$D647&amp;$BC$1&amp;"")</f>
        <v>0</v>
      </c>
      <c r="BE647" s="288" t="s">
        <v>1</v>
      </c>
      <c r="BF647" s="287" t="s">
        <v>1</v>
      </c>
      <c r="BG647" s="291" cm="1">
        <f t="array" aca="1" ref="BG647" ca="1">INDIRECT("'"&amp;$C647&amp;"'!"&amp;"$"&amp;$D647&amp;$BG$1&amp;"")</f>
        <v>1.31</v>
      </c>
      <c r="BH647" s="289"/>
      <c r="BI647" s="289">
        <v>0.99</v>
      </c>
      <c r="BJ647" s="287">
        <v>0.22</v>
      </c>
      <c r="BK647" s="292" cm="1">
        <f t="array" aca="1" ref="BK647" ca="1">INDIRECT("'"&amp;$C647&amp;"'!"&amp;"$"&amp;$D647&amp;$BK$1&amp;"")</f>
        <v>0.85</v>
      </c>
      <c r="BL647" s="289"/>
      <c r="BM647" s="289">
        <v>0.96</v>
      </c>
      <c r="BN647" s="287">
        <v>0.25</v>
      </c>
    </row>
    <row r="648" spans="1:66" ht="14.45" thickBot="1">
      <c r="A648" s="360">
        <v>45773</v>
      </c>
      <c r="B648" s="358">
        <v>0.750000000000001</v>
      </c>
      <c r="C648" s="313">
        <f t="shared" si="25"/>
        <v>26</v>
      </c>
      <c r="D648" s="314" t="s">
        <v>145</v>
      </c>
      <c r="E648" s="293">
        <v>14.3</v>
      </c>
      <c r="F648" s="294">
        <v>69.33</v>
      </c>
      <c r="G648" s="295" cm="1">
        <f t="array" aca="1" ref="G648" ca="1">INDIRECT("'"&amp;$C648&amp;"'!"&amp;"$"&amp;$D648&amp;$E$1&amp;"")</f>
        <v>6.8</v>
      </c>
      <c r="H648" s="296">
        <v>0.93</v>
      </c>
      <c r="I648" s="294">
        <v>2.71</v>
      </c>
      <c r="J648" s="295" cm="1">
        <f t="array" aca="1" ref="J648" ca="1">INDIRECT("'"&amp;$C648&amp;"'!"&amp;"$"&amp;$D648&amp;$J$1&amp;"")</f>
        <v>6.8</v>
      </c>
      <c r="K648" s="296"/>
      <c r="L648" s="296">
        <v>0.93</v>
      </c>
      <c r="M648" s="294">
        <v>2.71</v>
      </c>
      <c r="N648" s="295" cm="1">
        <f t="array" aca="1" ref="N648" ca="1">INDIRECT("'"&amp;$C648&amp;"'!"&amp;"$"&amp;$D648&amp;$N$1&amp;"")</f>
        <v>6.8</v>
      </c>
      <c r="O648" s="296"/>
      <c r="P648" s="296">
        <v>0.93</v>
      </c>
      <c r="Q648" s="294">
        <v>2.71</v>
      </c>
      <c r="R648" s="295" cm="1">
        <f t="array" aca="1" ref="R648" ca="1">INDIRECT("'"&amp;$C648&amp;"'!"&amp;"$"&amp;$D648&amp;$R$1&amp;"")</f>
        <v>6.8</v>
      </c>
      <c r="S648" s="296"/>
      <c r="T648" s="296">
        <v>0.93</v>
      </c>
      <c r="U648" s="294">
        <v>2.71</v>
      </c>
      <c r="V648" s="295" cm="1">
        <f t="array" aca="1" ref="V648" ca="1">INDIRECT("'"&amp;$C648&amp;"'!"&amp;"$"&amp;$D648&amp;$V$1&amp;"")</f>
        <v>0</v>
      </c>
      <c r="W648" s="296" t="s">
        <v>1</v>
      </c>
      <c r="X648" s="296" t="s">
        <v>1</v>
      </c>
      <c r="Y648" s="297" t="s">
        <v>1</v>
      </c>
      <c r="Z648" s="293" cm="1">
        <f t="array" aca="1" ref="Z648" ca="1">INDIRECT("'"&amp;$C648&amp;"'!"&amp;"$"&amp;$D648&amp;$Z$1&amp;"")</f>
        <v>0</v>
      </c>
      <c r="AA648" s="296" t="s">
        <v>1</v>
      </c>
      <c r="AB648" s="296" t="s">
        <v>1</v>
      </c>
      <c r="AC648" s="294" t="s">
        <v>1</v>
      </c>
      <c r="AD648" s="295" cm="1">
        <f t="array" aca="1" ref="AD648" ca="1">INDIRECT("'"&amp;$C648&amp;"'!"&amp;"$"&amp;$D648&amp;$AD$1&amp;"")</f>
        <v>3.8</v>
      </c>
      <c r="AE648" s="296">
        <f>3.8*3.52</f>
        <v>13.375999999999999</v>
      </c>
      <c r="AF648" s="296">
        <v>0.9</v>
      </c>
      <c r="AG648" s="297">
        <v>1.9</v>
      </c>
      <c r="AH648" s="293" cm="1">
        <f t="array" aca="1" ref="AH648" ca="1">INDIRECT("'"&amp;$C648&amp;"'!"&amp;"$"&amp;$D648&amp;$AH$1&amp;"")</f>
        <v>3</v>
      </c>
      <c r="AI648" s="296">
        <v>14</v>
      </c>
      <c r="AJ648" s="296">
        <v>0.99</v>
      </c>
      <c r="AK648" s="294">
        <v>0.22700000000000001</v>
      </c>
      <c r="AL648" s="293">
        <v>11.9</v>
      </c>
      <c r="AM648" s="297">
        <v>70.400000000000006</v>
      </c>
      <c r="AN648" s="293" cm="1">
        <f t="array" aca="1" ref="AN648" ca="1">INDIRECT("'"&amp;$C648&amp;"'!"&amp;"$"&amp;$D648&amp;$AL$1&amp;"")</f>
        <v>3.5</v>
      </c>
      <c r="AO648" s="296">
        <v>0.97</v>
      </c>
      <c r="AP648" s="294">
        <v>0.81</v>
      </c>
      <c r="AQ648" s="295" cm="1">
        <f t="array" aca="1" ref="AQ648" ca="1">INDIRECT("'"&amp;$C648&amp;"'!"&amp;"$"&amp;$D648&amp;$AQ$1&amp;"")</f>
        <v>3.5</v>
      </c>
      <c r="AR648" s="296">
        <v>0.97</v>
      </c>
      <c r="AS648" s="294">
        <v>0.81</v>
      </c>
      <c r="AT648" s="296" cm="1">
        <f t="array" aca="1" ref="AT648" ca="1">INDIRECT("'"&amp;$C648&amp;"'!"&amp;"$"&amp;$D648&amp;$AT$1&amp;"")</f>
        <v>0</v>
      </c>
      <c r="AU648" s="295" t="s">
        <v>1</v>
      </c>
      <c r="AV648" s="296" t="s">
        <v>1</v>
      </c>
      <c r="AW648" s="294" t="s">
        <v>1</v>
      </c>
      <c r="AX648" s="298">
        <v>14.37</v>
      </c>
      <c r="AY648" s="297">
        <v>72.040000000000006</v>
      </c>
      <c r="AZ648" s="298" cm="1">
        <f t="array" aca="1" ref="AZ648" ca="1">INDIRECT("'"&amp;$C648&amp;"'!"&amp;"$"&amp;$D648&amp;$AZ$1&amp;"")</f>
        <v>14.32</v>
      </c>
      <c r="BA648" s="296">
        <v>0.96</v>
      </c>
      <c r="BB648" s="294">
        <v>4.5999999999999996</v>
      </c>
      <c r="BC648" s="299">
        <v>68</v>
      </c>
      <c r="BD648" s="293" cm="1">
        <f t="array" aca="1" ref="BD648" ca="1">INDIRECT("'"&amp;$C648&amp;"'!"&amp;"$"&amp;$D648&amp;$BC$1&amp;"")</f>
        <v>0</v>
      </c>
      <c r="BE648" s="295" t="s">
        <v>1</v>
      </c>
      <c r="BF648" s="294" t="s">
        <v>1</v>
      </c>
      <c r="BG648" s="298" cm="1">
        <f t="array" aca="1" ref="BG648" ca="1">INDIRECT("'"&amp;$C648&amp;"'!"&amp;"$"&amp;$D648&amp;$BG$1&amp;"")</f>
        <v>1.32</v>
      </c>
      <c r="BH648" s="296"/>
      <c r="BI648" s="296">
        <v>0.99</v>
      </c>
      <c r="BJ648" s="294">
        <v>0.21</v>
      </c>
      <c r="BK648" s="299" cm="1">
        <f t="array" aca="1" ref="BK648" ca="1">INDIRECT("'"&amp;$C648&amp;"'!"&amp;"$"&amp;$D648&amp;$BK$1&amp;"")</f>
        <v>0.85</v>
      </c>
      <c r="BL648" s="296"/>
      <c r="BM648" s="296">
        <v>0.96</v>
      </c>
      <c r="BN648" s="294">
        <v>0.25</v>
      </c>
    </row>
    <row r="649" spans="1:66" ht="14.45" thickBot="1">
      <c r="A649" s="360">
        <v>45773</v>
      </c>
      <c r="B649" s="358">
        <v>0.79166666666666663</v>
      </c>
      <c r="C649" s="313">
        <f t="shared" si="25"/>
        <v>26</v>
      </c>
      <c r="D649" s="314" t="s">
        <v>146</v>
      </c>
      <c r="E649" s="286">
        <v>14.3</v>
      </c>
      <c r="F649" s="287">
        <v>69.66</v>
      </c>
      <c r="G649" s="288" cm="1">
        <f t="array" aca="1" ref="G649" ca="1">INDIRECT("'"&amp;$C649&amp;"'!"&amp;"$"&amp;$D649&amp;$E$1&amp;"")</f>
        <v>6.7</v>
      </c>
      <c r="H649" s="289">
        <v>0.96</v>
      </c>
      <c r="I649" s="287">
        <v>2.0499999999999998</v>
      </c>
      <c r="J649" s="288" cm="1">
        <f t="array" aca="1" ref="J649" ca="1">INDIRECT("'"&amp;$C649&amp;"'!"&amp;"$"&amp;$D649&amp;$J$1&amp;"")</f>
        <v>6.7</v>
      </c>
      <c r="K649" s="300"/>
      <c r="L649" s="289">
        <v>0.96</v>
      </c>
      <c r="M649" s="287">
        <v>2.0499999999999998</v>
      </c>
      <c r="N649" s="288" cm="1">
        <f t="array" aca="1" ref="N649" ca="1">INDIRECT("'"&amp;$C649&amp;"'!"&amp;"$"&amp;$D649&amp;$N$1&amp;"")</f>
        <v>6.7</v>
      </c>
      <c r="O649" s="289"/>
      <c r="P649" s="289">
        <v>0.96</v>
      </c>
      <c r="Q649" s="287">
        <v>2.0499999999999998</v>
      </c>
      <c r="R649" s="288" cm="1">
        <f t="array" aca="1" ref="R649" ca="1">INDIRECT("'"&amp;$C649&amp;"'!"&amp;"$"&amp;$D649&amp;$R$1&amp;"")</f>
        <v>6.7</v>
      </c>
      <c r="S649" s="289"/>
      <c r="T649" s="289">
        <v>0.96</v>
      </c>
      <c r="U649" s="287">
        <v>2.0499999999999998</v>
      </c>
      <c r="V649" s="288" cm="1">
        <f t="array" aca="1" ref="V649" ca="1">INDIRECT("'"&amp;$C649&amp;"'!"&amp;"$"&amp;$D649&amp;$V$1&amp;"")</f>
        <v>0</v>
      </c>
      <c r="W649" s="289" t="s">
        <v>1</v>
      </c>
      <c r="X649" s="289" t="s">
        <v>1</v>
      </c>
      <c r="Y649" s="290" t="s">
        <v>1</v>
      </c>
      <c r="Z649" s="286" cm="1">
        <f t="array" aca="1" ref="Z649" ca="1">INDIRECT("'"&amp;$C649&amp;"'!"&amp;"$"&amp;$D649&amp;$Z$1&amp;"")</f>
        <v>0</v>
      </c>
      <c r="AA649" s="289" t="s">
        <v>1</v>
      </c>
      <c r="AB649" s="289" t="s">
        <v>1</v>
      </c>
      <c r="AC649" s="287" t="s">
        <v>1</v>
      </c>
      <c r="AD649" s="288" cm="1">
        <f t="array" aca="1" ref="AD649" ca="1">INDIRECT("'"&amp;$C649&amp;"'!"&amp;"$"&amp;$D649&amp;$AD$1&amp;"")</f>
        <v>3.8</v>
      </c>
      <c r="AE649" s="289">
        <f>3.54*3.8</f>
        <v>13.452</v>
      </c>
      <c r="AF649" s="289">
        <v>0.93</v>
      </c>
      <c r="AG649" s="290">
        <v>1.45</v>
      </c>
      <c r="AH649" s="286" cm="1">
        <f t="array" aca="1" ref="AH649" ca="1">INDIRECT("'"&amp;$C649&amp;"'!"&amp;"$"&amp;$D649&amp;$AH$1&amp;"")</f>
        <v>3.8</v>
      </c>
      <c r="AI649" s="289">
        <v>14.04</v>
      </c>
      <c r="AJ649" s="289">
        <v>0.99</v>
      </c>
      <c r="AK649" s="287">
        <v>0.251</v>
      </c>
      <c r="AL649" s="286">
        <v>11.9</v>
      </c>
      <c r="AM649" s="290">
        <v>70.7</v>
      </c>
      <c r="AN649" s="286" cm="1">
        <f t="array" aca="1" ref="AN649" ca="1">INDIRECT("'"&amp;$C649&amp;"'!"&amp;"$"&amp;$D649&amp;$AL$1&amp;"")</f>
        <v>4.2</v>
      </c>
      <c r="AO649" s="289">
        <v>0.98</v>
      </c>
      <c r="AP649" s="287">
        <v>0.7</v>
      </c>
      <c r="AQ649" s="288" cm="1">
        <f t="array" aca="1" ref="AQ649" ca="1">INDIRECT("'"&amp;$C649&amp;"'!"&amp;"$"&amp;$D649&amp;$AQ$1&amp;"")</f>
        <v>4.2</v>
      </c>
      <c r="AR649" s="289">
        <v>0.98</v>
      </c>
      <c r="AS649" s="287">
        <v>0.7</v>
      </c>
      <c r="AT649" s="289" cm="1">
        <f t="array" aca="1" ref="AT649" ca="1">INDIRECT("'"&amp;$C649&amp;"'!"&amp;"$"&amp;$D649&amp;$AT$1&amp;"")</f>
        <v>0</v>
      </c>
      <c r="AU649" s="288" t="s">
        <v>1</v>
      </c>
      <c r="AV649" s="289" t="s">
        <v>1</v>
      </c>
      <c r="AW649" s="287" t="s">
        <v>1</v>
      </c>
      <c r="AX649" s="291">
        <v>14.39</v>
      </c>
      <c r="AY649" s="290">
        <v>71.91</v>
      </c>
      <c r="AZ649" s="291" cm="1">
        <f t="array" aca="1" ref="AZ649" ca="1">INDIRECT("'"&amp;$C649&amp;"'!"&amp;"$"&amp;$D649&amp;$AZ$1&amp;"")</f>
        <v>14.3</v>
      </c>
      <c r="BA649" s="289">
        <v>0.96</v>
      </c>
      <c r="BB649" s="287">
        <v>4.5999999999999996</v>
      </c>
      <c r="BC649" s="292">
        <v>68.3</v>
      </c>
      <c r="BD649" s="286" cm="1">
        <f t="array" aca="1" ref="BD649" ca="1">INDIRECT("'"&amp;$C649&amp;"'!"&amp;"$"&amp;$D649&amp;$BC$1&amp;"")</f>
        <v>2.2999999999999998</v>
      </c>
      <c r="BE649" s="288">
        <v>0.96</v>
      </c>
      <c r="BF649" s="287">
        <v>0.69</v>
      </c>
      <c r="BG649" s="291" cm="1">
        <f t="array" aca="1" ref="BG649" ca="1">INDIRECT("'"&amp;$C649&amp;"'!"&amp;"$"&amp;$D649&amp;$BG$1&amp;"")</f>
        <v>1.53</v>
      </c>
      <c r="BH649" s="289"/>
      <c r="BI649" s="289">
        <v>0.99</v>
      </c>
      <c r="BJ649" s="287">
        <v>0.24</v>
      </c>
      <c r="BK649" s="292" cm="1">
        <f t="array" aca="1" ref="BK649" ca="1">INDIRECT("'"&amp;$C649&amp;"'!"&amp;"$"&amp;$D649&amp;$BK$1&amp;"")</f>
        <v>0.98</v>
      </c>
      <c r="BL649" s="289"/>
      <c r="BM649" s="289">
        <v>0.96</v>
      </c>
      <c r="BN649" s="287">
        <v>0.26</v>
      </c>
    </row>
    <row r="650" spans="1:66" ht="14.45" thickBot="1">
      <c r="A650" s="360">
        <v>45773</v>
      </c>
      <c r="B650" s="358">
        <v>0.83333333333333337</v>
      </c>
      <c r="C650" s="313">
        <f t="shared" si="25"/>
        <v>26</v>
      </c>
      <c r="D650" s="314" t="s">
        <v>147</v>
      </c>
      <c r="E650" s="293">
        <v>14.3</v>
      </c>
      <c r="F650" s="294">
        <v>70.03</v>
      </c>
      <c r="G650" s="295" cm="1">
        <f t="array" aca="1" ref="G650" ca="1">INDIRECT("'"&amp;$C650&amp;"'!"&amp;"$"&amp;$D650&amp;$E$1&amp;"")</f>
        <v>6.5</v>
      </c>
      <c r="H650" s="296">
        <v>0.96</v>
      </c>
      <c r="I650" s="294">
        <v>2.0099999999999998</v>
      </c>
      <c r="J650" s="295" cm="1">
        <f t="array" aca="1" ref="J650" ca="1">INDIRECT("'"&amp;$C650&amp;"'!"&amp;"$"&amp;$D650&amp;$J$1&amp;"")</f>
        <v>6.7</v>
      </c>
      <c r="K650" s="296"/>
      <c r="L650" s="296">
        <v>0.96</v>
      </c>
      <c r="M650" s="294">
        <v>1.95</v>
      </c>
      <c r="N650" s="295" cm="1">
        <f t="array" aca="1" ref="N650" ca="1">INDIRECT("'"&amp;$C650&amp;"'!"&amp;"$"&amp;$D650&amp;$N$1&amp;"")</f>
        <v>6.5</v>
      </c>
      <c r="O650" s="296"/>
      <c r="P650" s="296">
        <v>0.96</v>
      </c>
      <c r="Q650" s="294">
        <v>2.0299999999999998</v>
      </c>
      <c r="R650" s="295" cm="1">
        <f t="array" aca="1" ref="R650" ca="1">INDIRECT("'"&amp;$C650&amp;"'!"&amp;"$"&amp;$D650&amp;$R$1&amp;"")</f>
        <v>6.5</v>
      </c>
      <c r="S650" s="296"/>
      <c r="T650" s="296">
        <v>0.96</v>
      </c>
      <c r="U650" s="294">
        <v>2.02</v>
      </c>
      <c r="V650" s="295" cm="1">
        <f t="array" aca="1" ref="V650" ca="1">INDIRECT("'"&amp;$C650&amp;"'!"&amp;"$"&amp;$D650&amp;$V$1&amp;"")</f>
        <v>0</v>
      </c>
      <c r="W650" s="296" t="s">
        <v>1</v>
      </c>
      <c r="X650" s="296" t="s">
        <v>1</v>
      </c>
      <c r="Y650" s="297" t="s">
        <v>1</v>
      </c>
      <c r="Z650" s="293" cm="1">
        <f t="array" aca="1" ref="Z650" ca="1">INDIRECT("'"&amp;$C650&amp;"'!"&amp;"$"&amp;$D650&amp;$Z$1&amp;"")</f>
        <v>0</v>
      </c>
      <c r="AA650" s="296" t="s">
        <v>1</v>
      </c>
      <c r="AB650" s="296" t="s">
        <v>1</v>
      </c>
      <c r="AC650" s="294" t="s">
        <v>1</v>
      </c>
      <c r="AD650" s="295" cm="1">
        <f t="array" aca="1" ref="AD650" ca="1">INDIRECT("'"&amp;$C650&amp;"'!"&amp;"$"&amp;$D650&amp;$AD$1&amp;"")</f>
        <v>3</v>
      </c>
      <c r="AE650" s="296">
        <f>3.56*3.8</f>
        <v>13.527999999999999</v>
      </c>
      <c r="AF650" s="296">
        <v>0.94</v>
      </c>
      <c r="AG650" s="297">
        <v>1.01</v>
      </c>
      <c r="AH650" s="293" cm="1">
        <f t="array" aca="1" ref="AH650" ca="1">INDIRECT("'"&amp;$C650&amp;"'!"&amp;"$"&amp;$D650&amp;$AH$1&amp;"")</f>
        <v>3.8</v>
      </c>
      <c r="AI650" s="296">
        <v>14.04</v>
      </c>
      <c r="AJ650" s="296">
        <v>0.99</v>
      </c>
      <c r="AK650" s="294">
        <v>0.314</v>
      </c>
      <c r="AL650" s="293">
        <v>11.9</v>
      </c>
      <c r="AM650" s="297">
        <v>70.7</v>
      </c>
      <c r="AN650" s="293" cm="1">
        <f t="array" aca="1" ref="AN650" ca="1">INDIRECT("'"&amp;$C650&amp;"'!"&amp;"$"&amp;$D650&amp;$AL$1&amp;"")</f>
        <v>4</v>
      </c>
      <c r="AO650" s="296">
        <v>0.98</v>
      </c>
      <c r="AP650" s="294">
        <v>0.7</v>
      </c>
      <c r="AQ650" s="295" cm="1">
        <f t="array" aca="1" ref="AQ650" ca="1">INDIRECT("'"&amp;$C650&amp;"'!"&amp;"$"&amp;$D650&amp;$AQ$1&amp;"")</f>
        <v>4</v>
      </c>
      <c r="AR650" s="296">
        <v>0.98</v>
      </c>
      <c r="AS650" s="294">
        <v>0.7</v>
      </c>
      <c r="AT650" s="296" cm="1">
        <f t="array" aca="1" ref="AT650" ca="1">INDIRECT("'"&amp;$C650&amp;"'!"&amp;"$"&amp;$D650&amp;$AT$1&amp;"")</f>
        <v>0</v>
      </c>
      <c r="AU650" s="295" t="s">
        <v>1</v>
      </c>
      <c r="AV650" s="296" t="s">
        <v>1</v>
      </c>
      <c r="AW650" s="294" t="s">
        <v>1</v>
      </c>
      <c r="AX650" s="298">
        <v>14.4</v>
      </c>
      <c r="AY650" s="297">
        <v>72.11</v>
      </c>
      <c r="AZ650" s="298" cm="1">
        <f t="array" aca="1" ref="AZ650" ca="1">INDIRECT("'"&amp;$C650&amp;"'!"&amp;"$"&amp;$D650&amp;$AZ$1&amp;"")</f>
        <v>14.28</v>
      </c>
      <c r="BA650" s="296">
        <v>0.96</v>
      </c>
      <c r="BB650" s="294">
        <v>4.5999999999999996</v>
      </c>
      <c r="BC650" s="299">
        <v>68.400000000000006</v>
      </c>
      <c r="BD650" s="293" cm="1">
        <f t="array" aca="1" ref="BD650" ca="1">INDIRECT("'"&amp;$C650&amp;"'!"&amp;"$"&amp;$D650&amp;$BC$1&amp;"")</f>
        <v>0</v>
      </c>
      <c r="BE650" s="295" t="s">
        <v>1</v>
      </c>
      <c r="BF650" s="294" t="s">
        <v>1</v>
      </c>
      <c r="BG650" s="298" cm="1">
        <f t="array" aca="1" ref="BG650" ca="1">INDIRECT("'"&amp;$C650&amp;"'!"&amp;"$"&amp;$D650&amp;$BG$1&amp;"")</f>
        <v>1.49</v>
      </c>
      <c r="BH650" s="296"/>
      <c r="BI650" s="296">
        <v>0.99</v>
      </c>
      <c r="BJ650" s="294">
        <v>0.26</v>
      </c>
      <c r="BK650" s="299" cm="1">
        <f t="array" aca="1" ref="BK650" ca="1">INDIRECT("'"&amp;$C650&amp;"'!"&amp;"$"&amp;$D650&amp;$BK$1&amp;"")</f>
        <v>0.98</v>
      </c>
      <c r="BL650" s="296"/>
      <c r="BM650" s="296">
        <v>0.96</v>
      </c>
      <c r="BN650" s="294">
        <v>0.26</v>
      </c>
    </row>
    <row r="651" spans="1:66" ht="14.45" thickBot="1">
      <c r="A651" s="360">
        <v>45773</v>
      </c>
      <c r="B651" s="358">
        <v>0.875000000000001</v>
      </c>
      <c r="C651" s="313">
        <f t="shared" si="25"/>
        <v>26</v>
      </c>
      <c r="D651" s="314" t="s">
        <v>148</v>
      </c>
      <c r="E651" s="286">
        <v>14.3</v>
      </c>
      <c r="F651" s="287">
        <v>69.31</v>
      </c>
      <c r="G651" s="288" cm="1">
        <f t="array" aca="1" ref="G651" ca="1">INDIRECT("'"&amp;$C651&amp;"'!"&amp;"$"&amp;$D651&amp;$E$1&amp;"")</f>
        <v>7</v>
      </c>
      <c r="H651" s="289">
        <v>0.97</v>
      </c>
      <c r="I651" s="287">
        <v>1.78</v>
      </c>
      <c r="J651" s="288" cm="1">
        <f t="array" aca="1" ref="J651" ca="1">INDIRECT("'"&amp;$C651&amp;"'!"&amp;"$"&amp;$D651&amp;$J$1&amp;"")</f>
        <v>6.5</v>
      </c>
      <c r="K651" s="289"/>
      <c r="L651" s="289">
        <v>0.97</v>
      </c>
      <c r="M651" s="287">
        <v>1.72</v>
      </c>
      <c r="N651" s="288" cm="1">
        <f t="array" aca="1" ref="N651" ca="1">INDIRECT("'"&amp;$C651&amp;"'!"&amp;"$"&amp;$D651&amp;$N$1&amp;"")</f>
        <v>6.5</v>
      </c>
      <c r="O651" s="289"/>
      <c r="P651" s="289">
        <v>0.97</v>
      </c>
      <c r="Q651" s="287">
        <v>1.71</v>
      </c>
      <c r="R651" s="288" cm="1">
        <f t="array" aca="1" ref="R651" ca="1">INDIRECT("'"&amp;$C651&amp;"'!"&amp;"$"&amp;$D651&amp;$R$1&amp;"")</f>
        <v>6.5</v>
      </c>
      <c r="S651" s="289"/>
      <c r="T651" s="289">
        <v>0.94</v>
      </c>
      <c r="U651" s="287">
        <v>2.35</v>
      </c>
      <c r="V651" s="288" cm="1">
        <f t="array" aca="1" ref="V651" ca="1">INDIRECT("'"&amp;$C651&amp;"'!"&amp;"$"&amp;$D651&amp;$V$1&amp;"")</f>
        <v>0</v>
      </c>
      <c r="W651" s="289" t="s">
        <v>1</v>
      </c>
      <c r="X651" s="289" t="s">
        <v>1</v>
      </c>
      <c r="Y651" s="290" t="s">
        <v>1</v>
      </c>
      <c r="Z651" s="286" cm="1">
        <f t="array" aca="1" ref="Z651" ca="1">INDIRECT("'"&amp;$C651&amp;"'!"&amp;"$"&amp;$D651&amp;$Z$1&amp;"")</f>
        <v>0</v>
      </c>
      <c r="AA651" s="289" t="s">
        <v>1</v>
      </c>
      <c r="AB651" s="289" t="s">
        <v>1</v>
      </c>
      <c r="AC651" s="287" t="s">
        <v>1</v>
      </c>
      <c r="AD651" s="288" cm="1">
        <f t="array" aca="1" ref="AD651" ca="1">INDIRECT("'"&amp;$C651&amp;"'!"&amp;"$"&amp;$D651&amp;$AD$1&amp;"")</f>
        <v>3</v>
      </c>
      <c r="AE651" s="289">
        <f>3.8*3.57</f>
        <v>13.565999999999999</v>
      </c>
      <c r="AF651" s="289">
        <v>0.95</v>
      </c>
      <c r="AG651" s="290">
        <v>0.91</v>
      </c>
      <c r="AH651" s="286" cm="1">
        <f t="array" aca="1" ref="AH651" ca="1">INDIRECT("'"&amp;$C651&amp;"'!"&amp;"$"&amp;$D651&amp;$AH$1&amp;"")</f>
        <v>3</v>
      </c>
      <c r="AI651" s="289">
        <v>14</v>
      </c>
      <c r="AJ651" s="289">
        <v>0.98</v>
      </c>
      <c r="AK651" s="287">
        <v>0.49299999999999999</v>
      </c>
      <c r="AL651" s="286">
        <v>11.9</v>
      </c>
      <c r="AM651" s="290">
        <v>70.599999999999994</v>
      </c>
      <c r="AN651" s="286" cm="1">
        <f t="array" aca="1" ref="AN651" ca="1">INDIRECT("'"&amp;$C651&amp;"'!"&amp;"$"&amp;$D651&amp;$AL$1&amp;"")</f>
        <v>3</v>
      </c>
      <c r="AO651" s="289">
        <v>0.97</v>
      </c>
      <c r="AP651" s="287">
        <v>0.8</v>
      </c>
      <c r="AQ651" s="288" cm="1">
        <f t="array" aca="1" ref="AQ651" ca="1">INDIRECT("'"&amp;$C651&amp;"'!"&amp;"$"&amp;$D651&amp;$AQ$1&amp;"")</f>
        <v>3</v>
      </c>
      <c r="AR651" s="289">
        <v>0.97</v>
      </c>
      <c r="AS651" s="287">
        <v>0.8</v>
      </c>
      <c r="AT651" s="289" cm="1">
        <f t="array" aca="1" ref="AT651" ca="1">INDIRECT("'"&amp;$C651&amp;"'!"&amp;"$"&amp;$D651&amp;$AT$1&amp;"")</f>
        <v>0</v>
      </c>
      <c r="AU651" s="288" t="s">
        <v>1</v>
      </c>
      <c r="AV651" s="289" t="s">
        <v>1</v>
      </c>
      <c r="AW651" s="287" t="s">
        <v>1</v>
      </c>
      <c r="AX651" s="291">
        <v>14.26</v>
      </c>
      <c r="AY651" s="290">
        <v>71.73</v>
      </c>
      <c r="AZ651" s="291" cm="1">
        <f t="array" aca="1" ref="AZ651" ca="1">INDIRECT("'"&amp;$C651&amp;"'!"&amp;"$"&amp;$D651&amp;$AZ$1&amp;"")</f>
        <v>13.81</v>
      </c>
      <c r="BA651" s="289">
        <v>0.98</v>
      </c>
      <c r="BB651" s="287">
        <v>3.4</v>
      </c>
      <c r="BC651" s="292">
        <v>68.599999999999994</v>
      </c>
      <c r="BD651" s="286" cm="1">
        <f t="array" aca="1" ref="BD651" ca="1">INDIRECT("'"&amp;$C651&amp;"'!"&amp;"$"&amp;$D651&amp;$BC$1&amp;"")</f>
        <v>0</v>
      </c>
      <c r="BE651" s="288" t="s">
        <v>1</v>
      </c>
      <c r="BF651" s="287" t="s">
        <v>1</v>
      </c>
      <c r="BG651" s="291" cm="1">
        <f t="array" aca="1" ref="BG651" ca="1">INDIRECT("'"&amp;$C651&amp;"'!"&amp;"$"&amp;$D651&amp;$BG$1&amp;"")</f>
        <v>1.38</v>
      </c>
      <c r="BH651" s="289"/>
      <c r="BI651" s="289">
        <v>0.99</v>
      </c>
      <c r="BJ651" s="287">
        <v>0.21</v>
      </c>
      <c r="BK651" s="292" cm="1">
        <f t="array" aca="1" ref="BK651" ca="1">INDIRECT("'"&amp;$C651&amp;"'!"&amp;"$"&amp;$D651&amp;$BK$1&amp;"")</f>
        <v>0.98</v>
      </c>
      <c r="BL651" s="289"/>
      <c r="BM651" s="289">
        <v>0.96</v>
      </c>
      <c r="BN651" s="287">
        <v>0.25</v>
      </c>
    </row>
    <row r="652" spans="1:66" ht="14.45" thickBot="1">
      <c r="A652" s="360">
        <v>45773</v>
      </c>
      <c r="B652" s="358">
        <v>0.91666666666666696</v>
      </c>
      <c r="C652" s="313">
        <f t="shared" si="25"/>
        <v>26</v>
      </c>
      <c r="D652" s="314" t="s">
        <v>149</v>
      </c>
      <c r="E652" s="293">
        <v>14.3</v>
      </c>
      <c r="F652" s="294">
        <v>70.7</v>
      </c>
      <c r="G652" s="295" cm="1">
        <f t="array" aca="1" ref="G652" ca="1">INDIRECT("'"&amp;$C652&amp;"'!"&amp;"$"&amp;$D652&amp;$E$1&amp;"")</f>
        <v>0</v>
      </c>
      <c r="H652" s="296" t="s">
        <v>1</v>
      </c>
      <c r="I652" s="294" t="s">
        <v>1</v>
      </c>
      <c r="J652" s="295" cm="1">
        <f t="array" aca="1" ref="J652" ca="1">INDIRECT("'"&amp;$C652&amp;"'!"&amp;"$"&amp;$D652&amp;$J$1&amp;"")</f>
        <v>6.7</v>
      </c>
      <c r="K652" s="296"/>
      <c r="L652" s="296">
        <v>0.97</v>
      </c>
      <c r="M652" s="294">
        <v>1.7</v>
      </c>
      <c r="N652" s="295" cm="1">
        <f t="array" aca="1" ref="N652" ca="1">INDIRECT("'"&amp;$C652&amp;"'!"&amp;"$"&amp;$D652&amp;$N$1&amp;"")</f>
        <v>6.4</v>
      </c>
      <c r="O652" s="296"/>
      <c r="P652" s="296">
        <v>0.97</v>
      </c>
      <c r="Q652" s="294">
        <v>1.6</v>
      </c>
      <c r="R652" s="295" cm="1">
        <f t="array" aca="1" ref="R652" ca="1">INDIRECT("'"&amp;$C652&amp;"'!"&amp;"$"&amp;$D652&amp;$R$1&amp;"")</f>
        <v>6.4</v>
      </c>
      <c r="S652" s="296"/>
      <c r="T652" s="296">
        <v>0.94</v>
      </c>
      <c r="U652" s="294">
        <v>2.2200000000000002</v>
      </c>
      <c r="V652" s="295" cm="1">
        <f t="array" aca="1" ref="V652" ca="1">INDIRECT("'"&amp;$C652&amp;"'!"&amp;"$"&amp;$D652&amp;$V$1&amp;"")</f>
        <v>0</v>
      </c>
      <c r="W652" s="296" t="s">
        <v>1</v>
      </c>
      <c r="X652" s="296" t="s">
        <v>1</v>
      </c>
      <c r="Y652" s="297" t="s">
        <v>1</v>
      </c>
      <c r="Z652" s="293" cm="1">
        <f t="array" aca="1" ref="Z652" ca="1">INDIRECT("'"&amp;$C652&amp;"'!"&amp;"$"&amp;$D652&amp;$Z$1&amp;"")</f>
        <v>0</v>
      </c>
      <c r="AA652" s="296" t="s">
        <v>1</v>
      </c>
      <c r="AB652" s="296" t="s">
        <v>1</v>
      </c>
      <c r="AC652" s="294" t="s">
        <v>1</v>
      </c>
      <c r="AD652" s="295" cm="1">
        <f t="array" aca="1" ref="AD652" ca="1">INDIRECT("'"&amp;$C652&amp;"'!"&amp;"$"&amp;$D652&amp;$AD$1&amp;"")</f>
        <v>3.8</v>
      </c>
      <c r="AE652" s="296">
        <f>3.6*3.8</f>
        <v>13.68</v>
      </c>
      <c r="AF652" s="296">
        <v>0.98</v>
      </c>
      <c r="AG652" s="297">
        <v>1.71</v>
      </c>
      <c r="AH652" s="293" cm="1">
        <f t="array" aca="1" ref="AH652" ca="1">INDIRECT("'"&amp;$C652&amp;"'!"&amp;"$"&amp;$D652&amp;$AH$1&amp;"")</f>
        <v>3.8</v>
      </c>
      <c r="AI652" s="296">
        <v>14.04</v>
      </c>
      <c r="AJ652" s="296">
        <v>1</v>
      </c>
      <c r="AK652" s="294">
        <v>0.88</v>
      </c>
      <c r="AL652" s="293">
        <v>11.9</v>
      </c>
      <c r="AM652" s="297">
        <v>71.099999999999994</v>
      </c>
      <c r="AN652" s="293" cm="1">
        <f t="array" aca="1" ref="AN652" ca="1">INDIRECT("'"&amp;$C652&amp;"'!"&amp;"$"&amp;$D652&amp;$AL$1&amp;"")</f>
        <v>4.2</v>
      </c>
      <c r="AO652" s="296">
        <v>0.99</v>
      </c>
      <c r="AP652" s="294">
        <v>0.05</v>
      </c>
      <c r="AQ652" s="295" cm="1">
        <f t="array" aca="1" ref="AQ652" ca="1">INDIRECT("'"&amp;$C652&amp;"'!"&amp;"$"&amp;$D652&amp;$AQ$1&amp;"")</f>
        <v>4.2</v>
      </c>
      <c r="AR652" s="296">
        <v>0.99</v>
      </c>
      <c r="AS652" s="294">
        <v>0.05</v>
      </c>
      <c r="AT652" s="296" cm="1">
        <f t="array" aca="1" ref="AT652" ca="1">INDIRECT("'"&amp;$C652&amp;"'!"&amp;"$"&amp;$D652&amp;$AT$1&amp;"")</f>
        <v>0</v>
      </c>
      <c r="AU652" s="295" t="s">
        <v>1</v>
      </c>
      <c r="AV652" s="296" t="s">
        <v>1</v>
      </c>
      <c r="AW652" s="294" t="s">
        <v>1</v>
      </c>
      <c r="AX652" s="298">
        <v>14.37</v>
      </c>
      <c r="AY652" s="297">
        <v>72.31</v>
      </c>
      <c r="AZ652" s="298" cm="1">
        <f t="array" aca="1" ref="AZ652" ca="1">INDIRECT("'"&amp;$C652&amp;"'!"&amp;"$"&amp;$D652&amp;$AZ$1&amp;"")</f>
        <v>14.32</v>
      </c>
      <c r="BA652" s="296">
        <v>0.98</v>
      </c>
      <c r="BB652" s="294">
        <v>3.5</v>
      </c>
      <c r="BC652" s="299">
        <v>69.099999999999994</v>
      </c>
      <c r="BD652" s="293" cm="1">
        <f t="array" aca="1" ref="BD652" ca="1">INDIRECT("'"&amp;$C652&amp;"'!"&amp;"$"&amp;$D652&amp;$BC$1&amp;"")</f>
        <v>0.8</v>
      </c>
      <c r="BE652" s="295">
        <v>0.99</v>
      </c>
      <c r="BF652" s="294">
        <v>0.11</v>
      </c>
      <c r="BG652" s="298" cm="1">
        <f t="array" aca="1" ref="BG652" ca="1">INDIRECT("'"&amp;$C652&amp;"'!"&amp;"$"&amp;$D652&amp;$BG$1&amp;"")</f>
        <v>1.25</v>
      </c>
      <c r="BH652" s="296"/>
      <c r="BI652" s="296">
        <v>0.99</v>
      </c>
      <c r="BJ652" s="294">
        <v>0.19</v>
      </c>
      <c r="BK652" s="299" cm="1">
        <f t="array" aca="1" ref="BK652" ca="1">INDIRECT("'"&amp;$C652&amp;"'!"&amp;"$"&amp;$D652&amp;$BK$1&amp;"")</f>
        <v>0.94</v>
      </c>
      <c r="BL652" s="296"/>
      <c r="BM652" s="296">
        <v>0.96</v>
      </c>
      <c r="BN652" s="294">
        <v>0.25</v>
      </c>
    </row>
    <row r="653" spans="1:66" ht="14.45" thickBot="1">
      <c r="A653" s="494">
        <v>45773</v>
      </c>
      <c r="B653" s="359">
        <v>0.95833333333333404</v>
      </c>
      <c r="C653" s="315">
        <f t="shared" si="25"/>
        <v>26</v>
      </c>
      <c r="D653" s="316" t="s">
        <v>150</v>
      </c>
      <c r="E653" s="301">
        <v>14.3</v>
      </c>
      <c r="F653" s="302">
        <v>70.38</v>
      </c>
      <c r="G653" s="303" cm="1">
        <f t="array" aca="1" ref="G653" ca="1">INDIRECT("'"&amp;$C653&amp;"'!"&amp;"$"&amp;$D653&amp;$E$1&amp;"")</f>
        <v>0</v>
      </c>
      <c r="H653" s="304" t="s">
        <v>1</v>
      </c>
      <c r="I653" s="302" t="s">
        <v>1</v>
      </c>
      <c r="J653" s="303" cm="1">
        <f t="array" aca="1" ref="J653" ca="1">INDIRECT("'"&amp;$C653&amp;"'!"&amp;"$"&amp;$D653&amp;$J$1&amp;"")</f>
        <v>6.7</v>
      </c>
      <c r="K653" s="304"/>
      <c r="L653" s="304">
        <v>0.97</v>
      </c>
      <c r="M653" s="302">
        <v>1.69</v>
      </c>
      <c r="N653" s="303" cm="1">
        <f t="array" aca="1" ref="N653" ca="1">INDIRECT("'"&amp;$C653&amp;"'!"&amp;"$"&amp;$D653&amp;$N$1&amp;"")</f>
        <v>6.6</v>
      </c>
      <c r="O653" s="304"/>
      <c r="P653" s="304">
        <v>0.97</v>
      </c>
      <c r="Q653" s="302">
        <v>1.63</v>
      </c>
      <c r="R653" s="303" cm="1">
        <f t="array" aca="1" ref="R653" ca="1">INDIRECT("'"&amp;$C653&amp;"'!"&amp;"$"&amp;$D653&amp;$R$1&amp;"")</f>
        <v>6.6</v>
      </c>
      <c r="S653" s="304"/>
      <c r="T653" s="304">
        <v>0.96</v>
      </c>
      <c r="U653" s="302">
        <v>2.04</v>
      </c>
      <c r="V653" s="303" cm="1">
        <f t="array" aca="1" ref="V653" ca="1">INDIRECT("'"&amp;$C653&amp;"'!"&amp;"$"&amp;$D653&amp;$V$1&amp;"")</f>
        <v>0</v>
      </c>
      <c r="W653" s="304" t="s">
        <v>1</v>
      </c>
      <c r="X653" s="304" t="s">
        <v>1</v>
      </c>
      <c r="Y653" s="305" t="s">
        <v>1</v>
      </c>
      <c r="Z653" s="301" cm="1">
        <f t="array" aca="1" ref="Z653" ca="1">INDIRECT("'"&amp;$C653&amp;"'!"&amp;"$"&amp;$D653&amp;$Z$1&amp;"")</f>
        <v>0</v>
      </c>
      <c r="AA653" s="304" t="s">
        <v>1</v>
      </c>
      <c r="AB653" s="304" t="s">
        <v>1</v>
      </c>
      <c r="AC653" s="302" t="s">
        <v>1</v>
      </c>
      <c r="AD653" s="303" cm="1">
        <f t="array" aca="1" ref="AD653" ca="1">INDIRECT("'"&amp;$C653&amp;"'!"&amp;"$"&amp;$D653&amp;$AD$1&amp;"")</f>
        <v>3</v>
      </c>
      <c r="AE653" s="304">
        <f>3.8*3.61</f>
        <v>13.717999999999998</v>
      </c>
      <c r="AF653" s="304">
        <v>0.98</v>
      </c>
      <c r="AG653" s="305">
        <v>0.53</v>
      </c>
      <c r="AH653" s="301" cm="1">
        <f t="array" aca="1" ref="AH653" ca="1">INDIRECT("'"&amp;$C653&amp;"'!"&amp;"$"&amp;$D653&amp;$AH$1&amp;"")</f>
        <v>3</v>
      </c>
      <c r="AI653" s="304">
        <v>14.04</v>
      </c>
      <c r="AJ653" s="304">
        <v>0.99</v>
      </c>
      <c r="AK653" s="302">
        <v>0.35</v>
      </c>
      <c r="AL653" s="301">
        <v>11.9</v>
      </c>
      <c r="AM653" s="305">
        <v>70.900000000000006</v>
      </c>
      <c r="AN653" s="301" cm="1">
        <f t="array" aca="1" ref="AN653" ca="1">INDIRECT("'"&amp;$C653&amp;"'!"&amp;"$"&amp;$D653&amp;$AL$1&amp;"")</f>
        <v>3.3</v>
      </c>
      <c r="AO653" s="304">
        <v>0.6</v>
      </c>
      <c r="AP653" s="302">
        <v>0.6</v>
      </c>
      <c r="AQ653" s="303" cm="1">
        <f t="array" aca="1" ref="AQ653" ca="1">INDIRECT("'"&amp;$C653&amp;"'!"&amp;"$"&amp;$D653&amp;$AQ$1&amp;"")</f>
        <v>3.3</v>
      </c>
      <c r="AR653" s="304">
        <v>0.98</v>
      </c>
      <c r="AS653" s="302">
        <v>0.6</v>
      </c>
      <c r="AT653" s="304" cm="1">
        <f t="array" aca="1" ref="AT653" ca="1">INDIRECT("'"&amp;$C653&amp;"'!"&amp;"$"&amp;$D653&amp;$AT$1&amp;"")</f>
        <v>0</v>
      </c>
      <c r="AU653" s="303" t="s">
        <v>1</v>
      </c>
      <c r="AV653" s="304" t="s">
        <v>1</v>
      </c>
      <c r="AW653" s="302" t="s">
        <v>1</v>
      </c>
      <c r="AX653" s="306">
        <v>14.18</v>
      </c>
      <c r="AY653" s="305">
        <v>71.75</v>
      </c>
      <c r="AZ653" s="306" cm="1">
        <f t="array" aca="1" ref="AZ653" ca="1">INDIRECT("'"&amp;$C653&amp;"'!"&amp;"$"&amp;$D653&amp;$AZ$1&amp;"")</f>
        <v>13.79</v>
      </c>
      <c r="BA653" s="304">
        <v>0.99</v>
      </c>
      <c r="BB653" s="302">
        <v>2.5</v>
      </c>
      <c r="BC653" s="307">
        <v>69.3</v>
      </c>
      <c r="BD653" s="301" cm="1">
        <f t="array" aca="1" ref="BD653" ca="1">INDIRECT("'"&amp;$C653&amp;"'!"&amp;"$"&amp;$D653&amp;$BC$1&amp;"")</f>
        <v>0</v>
      </c>
      <c r="BE653" s="303" t="s">
        <v>1</v>
      </c>
      <c r="BF653" s="302" t="s">
        <v>1</v>
      </c>
      <c r="BG653" s="306" cm="1">
        <f t="array" aca="1" ref="BG653" ca="1">INDIRECT("'"&amp;$C653&amp;"'!"&amp;"$"&amp;$D653&amp;$BG$1&amp;"")</f>
        <v>1.1399999999999999</v>
      </c>
      <c r="BH653" s="304"/>
      <c r="BI653" s="304">
        <v>0.99</v>
      </c>
      <c r="BJ653" s="302">
        <v>0.35</v>
      </c>
      <c r="BK653" s="307" cm="1">
        <f t="array" aca="1" ref="BK653" ca="1">INDIRECT("'"&amp;$C653&amp;"'!"&amp;"$"&amp;$D653&amp;$BK$1&amp;"")</f>
        <v>0.9</v>
      </c>
      <c r="BL653" s="304"/>
      <c r="BM653" s="304">
        <v>0.96</v>
      </c>
      <c r="BN653" s="302">
        <v>0.25</v>
      </c>
    </row>
    <row r="654" spans="1:66" ht="14.45" thickBot="1"/>
    <row r="655" spans="1:66" ht="14.45" thickBot="1">
      <c r="A655" s="360">
        <v>45774</v>
      </c>
      <c r="B655" s="357">
        <v>0</v>
      </c>
      <c r="C655" s="310">
        <f>C630+1</f>
        <v>27</v>
      </c>
      <c r="D655" s="311" t="s">
        <v>127</v>
      </c>
      <c r="E655" s="280">
        <v>14.1</v>
      </c>
      <c r="F655" s="281">
        <v>70.010000000000005</v>
      </c>
      <c r="G655" s="282" cm="1">
        <f t="array" aca="1" ref="G655" ca="1">INDIRECT("'"&amp;$C655&amp;"'!"&amp;"$"&amp;$D655&amp;$E$1&amp;"")</f>
        <v>0</v>
      </c>
      <c r="H655" s="283" t="s">
        <v>1</v>
      </c>
      <c r="I655" s="281" t="s">
        <v>1</v>
      </c>
      <c r="J655" s="282" cm="1">
        <f t="array" aca="1" ref="J655" ca="1">INDIRECT("'"&amp;$C655&amp;"'!"&amp;"$"&amp;$D655&amp;$J$1&amp;"")</f>
        <v>0</v>
      </c>
      <c r="K655" s="283"/>
      <c r="L655" s="283" t="s">
        <v>1</v>
      </c>
      <c r="M655" s="281" t="s">
        <v>1</v>
      </c>
      <c r="N655" s="282" cm="1">
        <f t="array" aca="1" ref="N655" ca="1">INDIRECT("'"&amp;$C655&amp;"'!"&amp;"$"&amp;$D655&amp;$N$1&amp;"")</f>
        <v>2</v>
      </c>
      <c r="O655" s="283"/>
      <c r="P655" s="283">
        <v>1</v>
      </c>
      <c r="Q655" s="281">
        <v>1.81</v>
      </c>
      <c r="R655" s="282" cm="1">
        <f t="array" aca="1" ref="R655" ca="1">INDIRECT("'"&amp;$C655&amp;"'!"&amp;"$"&amp;$D655&amp;$R$1&amp;"")</f>
        <v>6.4</v>
      </c>
      <c r="S655" s="283"/>
      <c r="T655" s="283">
        <v>0.95</v>
      </c>
      <c r="U655" s="281">
        <v>2.17</v>
      </c>
      <c r="V655" s="282" cm="1">
        <f t="array" aca="1" ref="V655" ca="1">INDIRECT("'"&amp;$C655&amp;"'!"&amp;"$"&amp;$D655&amp;$V$1&amp;"")</f>
        <v>0</v>
      </c>
      <c r="W655" s="283" t="s">
        <v>1</v>
      </c>
      <c r="X655" s="283" t="s">
        <v>1</v>
      </c>
      <c r="Y655" s="284" t="s">
        <v>1</v>
      </c>
      <c r="Z655" s="280" cm="1">
        <f t="array" aca="1" ref="Z655" ca="1">INDIRECT("'"&amp;$C655&amp;"'!"&amp;"$"&amp;$D655&amp;$Z$1&amp;"")</f>
        <v>0</v>
      </c>
      <c r="AA655" s="283" t="s">
        <v>1</v>
      </c>
      <c r="AB655" s="283" t="s">
        <v>1</v>
      </c>
      <c r="AC655" s="281" t="s">
        <v>1</v>
      </c>
      <c r="AD655" s="282" cm="1">
        <f t="array" aca="1" ref="AD655" ca="1">INDIRECT("'"&amp;$C655&amp;"'!"&amp;"$"&amp;$D655&amp;$AD$1&amp;"")</f>
        <v>3.8</v>
      </c>
      <c r="AE655" s="283">
        <f>3.8*3.62</f>
        <v>13.756</v>
      </c>
      <c r="AF655" s="283">
        <v>0.99</v>
      </c>
      <c r="AG655" s="281">
        <v>0.32</v>
      </c>
      <c r="AH655" s="280" cm="1">
        <f t="array" aca="1" ref="AH655" ca="1">INDIRECT("'"&amp;$C655&amp;"'!"&amp;"$"&amp;$D655&amp;$AH$1&amp;"")</f>
        <v>3.8</v>
      </c>
      <c r="AI655" s="283">
        <v>14.08</v>
      </c>
      <c r="AJ655" s="283">
        <v>1</v>
      </c>
      <c r="AK655" s="281">
        <v>0.1</v>
      </c>
      <c r="AL655" s="280">
        <v>11.9</v>
      </c>
      <c r="AM655" s="284">
        <v>71.099999999999994</v>
      </c>
      <c r="AN655" s="280" cm="1">
        <f t="array" aca="1" ref="AN655" ca="1">INDIRECT("'"&amp;$C655&amp;"'!"&amp;"$"&amp;$D655&amp;$AL$1&amp;"")</f>
        <v>4.3</v>
      </c>
      <c r="AO655" s="283">
        <v>0.99</v>
      </c>
      <c r="AP655" s="281">
        <v>0.4</v>
      </c>
      <c r="AQ655" s="282" cm="1">
        <f t="array" aca="1" ref="AQ655" ca="1">INDIRECT("'"&amp;$C655&amp;"'!"&amp;"$"&amp;$D655&amp;$AQ$1&amp;"")</f>
        <v>4.3</v>
      </c>
      <c r="AR655" s="283">
        <v>0.99</v>
      </c>
      <c r="AS655" s="281">
        <v>0.4</v>
      </c>
      <c r="AT655" s="283" cm="1">
        <f t="array" aca="1" ref="AT655" ca="1">INDIRECT("'"&amp;$C655&amp;"'!"&amp;"$"&amp;$D655&amp;$AT$1&amp;"")</f>
        <v>0</v>
      </c>
      <c r="AU655" s="282" t="s">
        <v>1</v>
      </c>
      <c r="AV655" s="283" t="s">
        <v>1</v>
      </c>
      <c r="AW655" s="281" t="s">
        <v>1</v>
      </c>
      <c r="AX655" s="285">
        <v>14.29</v>
      </c>
      <c r="AY655" s="284">
        <v>72.19</v>
      </c>
      <c r="AZ655" s="285" cm="1">
        <f t="array" aca="1" ref="AZ655" ca="1">INDIRECT("'"&amp;$C655&amp;"'!"&amp;"$"&amp;$D655&amp;$AZ$1&amp;"")</f>
        <v>14.31</v>
      </c>
      <c r="BA655" s="283">
        <v>0.99</v>
      </c>
      <c r="BB655" s="281">
        <v>2.5</v>
      </c>
      <c r="BC655" s="281">
        <v>69.400000000000006</v>
      </c>
      <c r="BD655" s="280" cm="1">
        <f t="array" aca="1" ref="BD655" ca="1">INDIRECT("'"&amp;$C655&amp;"'!"&amp;"$"&amp;$D655&amp;$BC$1&amp;"")</f>
        <v>4.01</v>
      </c>
      <c r="BE655" s="282">
        <v>0.98</v>
      </c>
      <c r="BF655" s="281">
        <v>0.81</v>
      </c>
      <c r="BG655" s="285" cm="1">
        <f t="array" aca="1" ref="BG655" ca="1">INDIRECT("'"&amp;$C655&amp;"'!"&amp;"$"&amp;$D655&amp;$BG$1&amp;"")</f>
        <v>1.04</v>
      </c>
      <c r="BH655" s="283"/>
      <c r="BI655" s="283">
        <v>0.99</v>
      </c>
      <c r="BJ655" s="281">
        <v>0.17</v>
      </c>
      <c r="BK655" s="285" cm="1">
        <f t="array" aca="1" ref="BK655" ca="1">INDIRECT("'"&amp;$C655&amp;"'!"&amp;"$"&amp;$D655&amp;$BK$1&amp;"")</f>
        <v>0.85</v>
      </c>
      <c r="BL655" s="283"/>
      <c r="BM655" s="283">
        <v>0.96</v>
      </c>
      <c r="BN655" s="281">
        <v>0.23</v>
      </c>
    </row>
    <row r="656" spans="1:66" ht="14.45" thickBot="1">
      <c r="A656" s="360">
        <v>45774</v>
      </c>
      <c r="B656" s="358">
        <v>4.1666666666666699E-2</v>
      </c>
      <c r="C656" s="313">
        <f t="shared" ref="C656:C678" si="26">C631+1</f>
        <v>27</v>
      </c>
      <c r="D656" s="314" t="s">
        <v>128</v>
      </c>
      <c r="E656" s="286" t="s">
        <v>1</v>
      </c>
      <c r="F656" s="287" t="s">
        <v>1</v>
      </c>
      <c r="G656" s="288" cm="1">
        <f t="array" aca="1" ref="G656" ca="1">INDIRECT("'"&amp;$C656&amp;"'!"&amp;"$"&amp;$D656&amp;$E$1&amp;"")</f>
        <v>0</v>
      </c>
      <c r="H656" s="289" t="s">
        <v>1</v>
      </c>
      <c r="I656" s="287" t="s">
        <v>1</v>
      </c>
      <c r="J656" s="288" cm="1">
        <f t="array" aca="1" ref="J656" ca="1">INDIRECT("'"&amp;$C656&amp;"'!"&amp;"$"&amp;$D656&amp;$J$1&amp;"")</f>
        <v>0</v>
      </c>
      <c r="K656" s="289"/>
      <c r="L656" s="289" t="s">
        <v>1</v>
      </c>
      <c r="M656" s="287" t="s">
        <v>1</v>
      </c>
      <c r="N656" s="288" cm="1">
        <f t="array" aca="1" ref="N656" ca="1">INDIRECT("'"&amp;$C656&amp;"'!"&amp;"$"&amp;$D656&amp;$N$1&amp;"")</f>
        <v>0</v>
      </c>
      <c r="O656" s="289"/>
      <c r="P656" s="289" t="s">
        <v>1</v>
      </c>
      <c r="Q656" s="287" t="s">
        <v>1</v>
      </c>
      <c r="R656" s="288" cm="1">
        <f t="array" aca="1" ref="R656" ca="1">INDIRECT("'"&amp;$C656&amp;"'!"&amp;"$"&amp;$D656&amp;$R$1&amp;"")</f>
        <v>0</v>
      </c>
      <c r="S656" s="289"/>
      <c r="T656" s="289" t="s">
        <v>1</v>
      </c>
      <c r="U656" s="287" t="s">
        <v>1</v>
      </c>
      <c r="V656" s="288" cm="1">
        <f t="array" aca="1" ref="V656" ca="1">INDIRECT("'"&amp;$C656&amp;"'!"&amp;"$"&amp;$D656&amp;$V$1&amp;"")</f>
        <v>0</v>
      </c>
      <c r="W656" s="289" t="s">
        <v>1</v>
      </c>
      <c r="X656" s="289" t="s">
        <v>1</v>
      </c>
      <c r="Y656" s="290" t="s">
        <v>1</v>
      </c>
      <c r="Z656" s="286" cm="1">
        <f t="array" aca="1" ref="Z656" ca="1">INDIRECT("'"&amp;$C656&amp;"'!"&amp;"$"&amp;$D656&amp;$Z$1&amp;"")</f>
        <v>0</v>
      </c>
      <c r="AA656" s="289" t="s">
        <v>1</v>
      </c>
      <c r="AB656" s="289" t="s">
        <v>1</v>
      </c>
      <c r="AC656" s="287" t="s">
        <v>1</v>
      </c>
      <c r="AD656" s="288" cm="1">
        <f t="array" aca="1" ref="AD656" ca="1">INDIRECT("'"&amp;$C656&amp;"'!"&amp;"$"&amp;$D656&amp;$AD$1&amp;"")</f>
        <v>3</v>
      </c>
      <c r="AE656" s="289">
        <f>3.8*3.69</f>
        <v>14.021999999999998</v>
      </c>
      <c r="AF656" s="289">
        <v>1</v>
      </c>
      <c r="AG656" s="290">
        <v>0</v>
      </c>
      <c r="AH656" s="286" cm="1">
        <f t="array" aca="1" ref="AH656" ca="1">INDIRECT("'"&amp;$C656&amp;"'!"&amp;"$"&amp;$D656&amp;$AH$1&amp;"")</f>
        <v>0</v>
      </c>
      <c r="AI656" s="289" t="s">
        <v>1</v>
      </c>
      <c r="AJ656" s="289" t="s">
        <v>1</v>
      </c>
      <c r="AK656" s="287" t="s">
        <v>1</v>
      </c>
      <c r="AL656" s="286">
        <v>12</v>
      </c>
      <c r="AM656" s="290">
        <v>71.5</v>
      </c>
      <c r="AN656" s="286" cm="1">
        <f t="array" aca="1" ref="AN656" ca="1">INDIRECT("'"&amp;$C656&amp;"'!"&amp;"$"&amp;$D656&amp;$AL$1&amp;"")</f>
        <v>2.9</v>
      </c>
      <c r="AO656" s="289">
        <v>1</v>
      </c>
      <c r="AP656" s="287">
        <v>0</v>
      </c>
      <c r="AQ656" s="288" cm="1">
        <f t="array" aca="1" ref="AQ656" ca="1">INDIRECT("'"&amp;$C656&amp;"'!"&amp;"$"&amp;$D656&amp;$AQ$1&amp;"")</f>
        <v>2.9</v>
      </c>
      <c r="AR656" s="289">
        <v>1</v>
      </c>
      <c r="AS656" s="287">
        <v>0</v>
      </c>
      <c r="AT656" s="289" cm="1">
        <f t="array" aca="1" ref="AT656" ca="1">INDIRECT("'"&amp;$C656&amp;"'!"&amp;"$"&amp;$D656&amp;$AT$1&amp;"")</f>
        <v>0</v>
      </c>
      <c r="AU656" s="288" t="s">
        <v>1</v>
      </c>
      <c r="AV656" s="289" t="s">
        <v>1</v>
      </c>
      <c r="AW656" s="287" t="s">
        <v>1</v>
      </c>
      <c r="AX656" s="291">
        <v>14.06</v>
      </c>
      <c r="AY656" s="290">
        <v>71.64</v>
      </c>
      <c r="AZ656" s="291" cm="1">
        <f t="array" aca="1" ref="AZ656" ca="1">INDIRECT("'"&amp;$C656&amp;"'!"&amp;"$"&amp;$D656&amp;$AZ$1&amp;"")</f>
        <v>9.7799999999999994</v>
      </c>
      <c r="BA656" s="289">
        <v>0.99</v>
      </c>
      <c r="BB656" s="287">
        <v>1.2</v>
      </c>
      <c r="BC656" s="292">
        <v>70.7</v>
      </c>
      <c r="BD656" s="286" cm="1">
        <f t="array" aca="1" ref="BD656" ca="1">INDIRECT("'"&amp;$C656&amp;"'!"&amp;"$"&amp;$D656&amp;$BC$1&amp;"")</f>
        <v>0.8</v>
      </c>
      <c r="BE656" s="288">
        <v>0.99</v>
      </c>
      <c r="BF656" s="287">
        <v>0.11</v>
      </c>
      <c r="BG656" s="291" cm="1">
        <f t="array" aca="1" ref="BG656" ca="1">INDIRECT("'"&amp;$C656&amp;"'!"&amp;"$"&amp;$D656&amp;$BG$1&amp;"")</f>
        <v>1.01</v>
      </c>
      <c r="BH656" s="289"/>
      <c r="BI656" s="289">
        <v>0.99</v>
      </c>
      <c r="BJ656" s="287">
        <v>0.17</v>
      </c>
      <c r="BK656" s="291" cm="1">
        <f t="array" aca="1" ref="BK656" ca="1">INDIRECT("'"&amp;$C656&amp;"'!"&amp;"$"&amp;$D656&amp;$BK$1&amp;"")</f>
        <v>0.84</v>
      </c>
      <c r="BL656" s="289"/>
      <c r="BM656" s="289">
        <v>0.96</v>
      </c>
      <c r="BN656" s="287">
        <v>0.24</v>
      </c>
    </row>
    <row r="657" spans="1:66" ht="14.45" thickBot="1">
      <c r="A657" s="360">
        <v>45774</v>
      </c>
      <c r="B657" s="358">
        <v>8.3333333333333301E-2</v>
      </c>
      <c r="C657" s="313">
        <f t="shared" si="26"/>
        <v>27</v>
      </c>
      <c r="D657" s="314" t="s">
        <v>129</v>
      </c>
      <c r="E657" s="293" t="s">
        <v>1</v>
      </c>
      <c r="F657" s="294" t="s">
        <v>1</v>
      </c>
      <c r="G657" s="295" cm="1">
        <f t="array" aca="1" ref="G657" ca="1">INDIRECT("'"&amp;$C657&amp;"'!"&amp;"$"&amp;$D657&amp;$E$1&amp;"")</f>
        <v>0</v>
      </c>
      <c r="H657" s="296" t="s">
        <v>1</v>
      </c>
      <c r="I657" s="294" t="s">
        <v>1</v>
      </c>
      <c r="J657" s="295" cm="1">
        <f t="array" aca="1" ref="J657" ca="1">INDIRECT("'"&amp;$C657&amp;"'!"&amp;"$"&amp;$D657&amp;$J$1&amp;"")</f>
        <v>0</v>
      </c>
      <c r="K657" s="296"/>
      <c r="L657" s="296" t="s">
        <v>1</v>
      </c>
      <c r="M657" s="294" t="s">
        <v>1</v>
      </c>
      <c r="N657" s="295" cm="1">
        <f t="array" aca="1" ref="N657" ca="1">INDIRECT("'"&amp;$C657&amp;"'!"&amp;"$"&amp;$D657&amp;$N$1&amp;"")</f>
        <v>0</v>
      </c>
      <c r="O657" s="296"/>
      <c r="P657" s="296" t="s">
        <v>1</v>
      </c>
      <c r="Q657" s="294" t="s">
        <v>1</v>
      </c>
      <c r="R657" s="295" cm="1">
        <f t="array" aca="1" ref="R657" ca="1">INDIRECT("'"&amp;$C657&amp;"'!"&amp;"$"&amp;$D657&amp;$R$1&amp;"")</f>
        <v>0</v>
      </c>
      <c r="S657" s="296"/>
      <c r="T657" s="296" t="s">
        <v>1</v>
      </c>
      <c r="U657" s="294" t="s">
        <v>1</v>
      </c>
      <c r="V657" s="295" cm="1">
        <f t="array" aca="1" ref="V657" ca="1">INDIRECT("'"&amp;$C657&amp;"'!"&amp;"$"&amp;$D657&amp;$V$1&amp;"")</f>
        <v>0</v>
      </c>
      <c r="W657" s="296" t="s">
        <v>1</v>
      </c>
      <c r="X657" s="296" t="s">
        <v>1</v>
      </c>
      <c r="Y657" s="297" t="s">
        <v>1</v>
      </c>
      <c r="Z657" s="293" cm="1">
        <f t="array" aca="1" ref="Z657" ca="1">INDIRECT("'"&amp;$C657&amp;"'!"&amp;"$"&amp;$D657&amp;$Z$1&amp;"")</f>
        <v>0</v>
      </c>
      <c r="AA657" s="296" t="s">
        <v>1</v>
      </c>
      <c r="AB657" s="296" t="s">
        <v>1</v>
      </c>
      <c r="AC657" s="294" t="s">
        <v>1</v>
      </c>
      <c r="AD657" s="295" cm="1">
        <f t="array" aca="1" ref="AD657" ca="1">INDIRECT("'"&amp;$C657&amp;"'!"&amp;"$"&amp;$D657&amp;$AD$1&amp;"")</f>
        <v>2.4</v>
      </c>
      <c r="AE657" s="296">
        <f>3.8*3.69</f>
        <v>14.021999999999998</v>
      </c>
      <c r="AF657" s="296">
        <v>0.94</v>
      </c>
      <c r="AG657" s="297">
        <v>0.89</v>
      </c>
      <c r="AH657" s="293" cm="1">
        <f t="array" aca="1" ref="AH657" ca="1">INDIRECT("'"&amp;$C657&amp;"'!"&amp;"$"&amp;$D657&amp;$AH$1&amp;"")</f>
        <v>0</v>
      </c>
      <c r="AI657" s="296" t="s">
        <v>1</v>
      </c>
      <c r="AJ657" s="296" t="s">
        <v>1</v>
      </c>
      <c r="AK657" s="297" t="s">
        <v>1</v>
      </c>
      <c r="AL657" s="293">
        <v>12</v>
      </c>
      <c r="AM657" s="297">
        <v>71.599999999999994</v>
      </c>
      <c r="AN657" s="293" cm="1">
        <f t="array" aca="1" ref="AN657" ca="1">INDIRECT("'"&amp;$C657&amp;"'!"&amp;"$"&amp;$D657&amp;$AL$1&amp;"")</f>
        <v>3.1</v>
      </c>
      <c r="AO657" s="296">
        <v>1</v>
      </c>
      <c r="AP657" s="294">
        <v>0</v>
      </c>
      <c r="AQ657" s="295" cm="1">
        <f t="array" aca="1" ref="AQ657" ca="1">INDIRECT("'"&amp;$C657&amp;"'!"&amp;"$"&amp;$D657&amp;$AQ$1&amp;"")</f>
        <v>3.1</v>
      </c>
      <c r="AR657" s="296">
        <v>1</v>
      </c>
      <c r="AS657" s="294">
        <v>0</v>
      </c>
      <c r="AT657" s="296" cm="1">
        <f t="array" aca="1" ref="AT657" ca="1">INDIRECT("'"&amp;$C657&amp;"'!"&amp;"$"&amp;$D657&amp;$AT$1&amp;"")</f>
        <v>0</v>
      </c>
      <c r="AU657" s="295" t="s">
        <v>1</v>
      </c>
      <c r="AV657" s="296" t="s">
        <v>1</v>
      </c>
      <c r="AW657" s="294" t="s">
        <v>1</v>
      </c>
      <c r="AX657" s="298">
        <v>14.03</v>
      </c>
      <c r="AY657" s="297">
        <v>71.62</v>
      </c>
      <c r="AZ657" s="298" cm="1">
        <f t="array" aca="1" ref="AZ657" ca="1">INDIRECT("'"&amp;$C657&amp;"'!"&amp;"$"&amp;$D657&amp;$AZ$1&amp;"")</f>
        <v>9.82</v>
      </c>
      <c r="BA657" s="296">
        <v>0.99</v>
      </c>
      <c r="BB657" s="294">
        <v>1.2</v>
      </c>
      <c r="BC657" s="299">
        <v>71.400000000000006</v>
      </c>
      <c r="BD657" s="293" cm="1">
        <f t="array" aca="1" ref="BD657" ca="1">INDIRECT("'"&amp;$C657&amp;"'!"&amp;"$"&amp;$D657&amp;$BC$1&amp;"")</f>
        <v>0</v>
      </c>
      <c r="BE657" s="295" t="s">
        <v>1</v>
      </c>
      <c r="BF657" s="294" t="s">
        <v>1</v>
      </c>
      <c r="BG657" s="298" cm="1">
        <f t="array" aca="1" ref="BG657" ca="1">INDIRECT("'"&amp;$C657&amp;"'!"&amp;"$"&amp;$D657&amp;$BG$1&amp;"")</f>
        <v>1.01</v>
      </c>
      <c r="BH657" s="296"/>
      <c r="BI657" s="296">
        <v>0.99</v>
      </c>
      <c r="BJ657" s="294">
        <v>0.17</v>
      </c>
      <c r="BK657" s="298" cm="1">
        <f t="array" aca="1" ref="BK657" ca="1">INDIRECT("'"&amp;$C657&amp;"'!"&amp;"$"&amp;$D657&amp;$BK$1&amp;"")</f>
        <v>0.8</v>
      </c>
      <c r="BL657" s="296"/>
      <c r="BM657" s="296">
        <v>0.96</v>
      </c>
      <c r="BN657" s="294">
        <v>0.22</v>
      </c>
    </row>
    <row r="658" spans="1:66" ht="14.45" thickBot="1">
      <c r="A658" s="360">
        <v>45774</v>
      </c>
      <c r="B658" s="358">
        <v>0.125</v>
      </c>
      <c r="C658" s="313">
        <f t="shared" si="26"/>
        <v>27</v>
      </c>
      <c r="D658" s="314" t="s">
        <v>130</v>
      </c>
      <c r="E658" s="286" t="s">
        <v>1</v>
      </c>
      <c r="F658" s="287" t="s">
        <v>1</v>
      </c>
      <c r="G658" s="288" cm="1">
        <f t="array" aca="1" ref="G658" ca="1">INDIRECT("'"&amp;$C658&amp;"'!"&amp;"$"&amp;$D658&amp;$E$1&amp;"")</f>
        <v>0</v>
      </c>
      <c r="H658" s="289" t="s">
        <v>1</v>
      </c>
      <c r="I658" s="287" t="s">
        <v>1</v>
      </c>
      <c r="J658" s="288" cm="1">
        <f t="array" aca="1" ref="J658" ca="1">INDIRECT("'"&amp;$C658&amp;"'!"&amp;"$"&amp;$D658&amp;$J$1&amp;"")</f>
        <v>0</v>
      </c>
      <c r="K658" s="289"/>
      <c r="L658" s="289" t="s">
        <v>1</v>
      </c>
      <c r="M658" s="287" t="s">
        <v>1</v>
      </c>
      <c r="N658" s="288" cm="1">
        <f t="array" aca="1" ref="N658" ca="1">INDIRECT("'"&amp;$C658&amp;"'!"&amp;"$"&amp;$D658&amp;$N$1&amp;"")</f>
        <v>0</v>
      </c>
      <c r="O658" s="289"/>
      <c r="P658" s="289" t="s">
        <v>1</v>
      </c>
      <c r="Q658" s="287" t="s">
        <v>1</v>
      </c>
      <c r="R658" s="288" cm="1">
        <f t="array" aca="1" ref="R658" ca="1">INDIRECT("'"&amp;$C658&amp;"'!"&amp;"$"&amp;$D658&amp;$R$1&amp;"")</f>
        <v>0</v>
      </c>
      <c r="S658" s="289"/>
      <c r="T658" s="289" t="s">
        <v>1</v>
      </c>
      <c r="U658" s="287" t="s">
        <v>1</v>
      </c>
      <c r="V658" s="288" cm="1">
        <f t="array" aca="1" ref="V658" ca="1">INDIRECT("'"&amp;$C658&amp;"'!"&amp;"$"&amp;$D658&amp;$V$1&amp;"")</f>
        <v>0</v>
      </c>
      <c r="W658" s="289" t="s">
        <v>1</v>
      </c>
      <c r="X658" s="289" t="s">
        <v>1</v>
      </c>
      <c r="Y658" s="290" t="s">
        <v>1</v>
      </c>
      <c r="Z658" s="286" cm="1">
        <f t="array" aca="1" ref="Z658" ca="1">INDIRECT("'"&amp;$C658&amp;"'!"&amp;"$"&amp;$D658&amp;$Z$1&amp;"")</f>
        <v>0</v>
      </c>
      <c r="AA658" s="289" t="s">
        <v>1</v>
      </c>
      <c r="AB658" s="289" t="s">
        <v>1</v>
      </c>
      <c r="AC658" s="287" t="s">
        <v>1</v>
      </c>
      <c r="AD658" s="288" cm="1">
        <f t="array" aca="1" ref="AD658" ca="1">INDIRECT("'"&amp;$C658&amp;"'!"&amp;"$"&amp;$D658&amp;$AD$1&amp;"")</f>
        <v>3</v>
      </c>
      <c r="AE658" s="289">
        <f>3.8*3.66</f>
        <v>13.907999999999999</v>
      </c>
      <c r="AF658" s="289">
        <v>1</v>
      </c>
      <c r="AG658" s="287">
        <v>0.01</v>
      </c>
      <c r="AH658" s="286" cm="1">
        <f t="array" aca="1" ref="AH658" ca="1">INDIRECT("'"&amp;$C658&amp;"'!"&amp;"$"&amp;$D658&amp;$AH$1&amp;"")</f>
        <v>0</v>
      </c>
      <c r="AI658" s="289" t="s">
        <v>1</v>
      </c>
      <c r="AJ658" s="289" t="s">
        <v>1</v>
      </c>
      <c r="AK658" s="287" t="s">
        <v>1</v>
      </c>
      <c r="AL658" s="286">
        <v>11.9</v>
      </c>
      <c r="AM658" s="290">
        <v>71.099999999999994</v>
      </c>
      <c r="AN658" s="286" cm="1">
        <f t="array" aca="1" ref="AN658" ca="1">INDIRECT("'"&amp;$C658&amp;"'!"&amp;"$"&amp;$D658&amp;$AL$1&amp;"")</f>
        <v>3.4</v>
      </c>
      <c r="AO658" s="289">
        <v>0.99</v>
      </c>
      <c r="AP658" s="287">
        <v>0.2</v>
      </c>
      <c r="AQ658" s="288" cm="1">
        <f t="array" aca="1" ref="AQ658" ca="1">INDIRECT("'"&amp;$C658&amp;"'!"&amp;"$"&amp;$D658&amp;$AQ$1&amp;"")</f>
        <v>3.4</v>
      </c>
      <c r="AR658" s="289">
        <v>0.99</v>
      </c>
      <c r="AS658" s="287">
        <v>0.2</v>
      </c>
      <c r="AT658" s="289" cm="1">
        <f t="array" aca="1" ref="AT658" ca="1">INDIRECT("'"&amp;$C658&amp;"'!"&amp;"$"&amp;$D658&amp;$AT$1&amp;"")</f>
        <v>0</v>
      </c>
      <c r="AU658" s="288" t="s">
        <v>1</v>
      </c>
      <c r="AV658" s="289" t="s">
        <v>1</v>
      </c>
      <c r="AW658" s="287" t="s">
        <v>1</v>
      </c>
      <c r="AX658" s="291">
        <v>14.23</v>
      </c>
      <c r="AY658" s="290">
        <v>72.069999999999993</v>
      </c>
      <c r="AZ658" s="291" cm="1">
        <f t="array" aca="1" ref="AZ658" ca="1">INDIRECT("'"&amp;$C658&amp;"'!"&amp;"$"&amp;$D658&amp;$AZ$1&amp;"")</f>
        <v>14.27</v>
      </c>
      <c r="BA658" s="289">
        <v>0.99</v>
      </c>
      <c r="BB658" s="287">
        <v>2.6</v>
      </c>
      <c r="BC658" s="292">
        <v>70</v>
      </c>
      <c r="BD658" s="286" cm="1">
        <f t="array" aca="1" ref="BD658" ca="1">INDIRECT("'"&amp;$C658&amp;"'!"&amp;"$"&amp;$D658&amp;$BC$1&amp;"")</f>
        <v>4</v>
      </c>
      <c r="BE658" s="288">
        <v>0.99</v>
      </c>
      <c r="BF658" s="287">
        <v>0.56000000000000005</v>
      </c>
      <c r="BG658" s="291" cm="1">
        <f t="array" aca="1" ref="BG658" ca="1">INDIRECT("'"&amp;$C658&amp;"'!"&amp;"$"&amp;$D658&amp;$BG$1&amp;"")</f>
        <v>0.91100000000000003</v>
      </c>
      <c r="BH658" s="289"/>
      <c r="BI658" s="289">
        <v>0.99</v>
      </c>
      <c r="BJ658" s="287">
        <v>0.13</v>
      </c>
      <c r="BK658" s="291" cm="1">
        <f t="array" aca="1" ref="BK658" ca="1">INDIRECT("'"&amp;$C658&amp;"'!"&amp;"$"&amp;$D658&amp;$BK$1&amp;"")</f>
        <v>0.8</v>
      </c>
      <c r="BL658" s="289"/>
      <c r="BM658" s="289">
        <v>0.96</v>
      </c>
      <c r="BN658" s="287">
        <v>0.22</v>
      </c>
    </row>
    <row r="659" spans="1:66" ht="14.45" thickBot="1">
      <c r="A659" s="360">
        <v>45774</v>
      </c>
      <c r="B659" s="358">
        <v>0.16666666666666699</v>
      </c>
      <c r="C659" s="313">
        <f t="shared" si="26"/>
        <v>27</v>
      </c>
      <c r="D659" s="314" t="s">
        <v>131</v>
      </c>
      <c r="E659" s="293">
        <v>14.2</v>
      </c>
      <c r="F659" s="294">
        <v>70.260000000000005</v>
      </c>
      <c r="G659" s="295" cm="1">
        <f t="array" aca="1" ref="G659" ca="1">INDIRECT("'"&amp;$C659&amp;"'!"&amp;"$"&amp;$D659&amp;$E$1&amp;"")</f>
        <v>0</v>
      </c>
      <c r="H659" s="296" t="s">
        <v>1</v>
      </c>
      <c r="I659" s="294" t="s">
        <v>1</v>
      </c>
      <c r="J659" s="295" cm="1">
        <f t="array" aca="1" ref="J659" ca="1">INDIRECT("'"&amp;$C659&amp;"'!"&amp;"$"&amp;$D659&amp;$J$1&amp;"")</f>
        <v>2.6</v>
      </c>
      <c r="K659" s="296"/>
      <c r="L659" s="296">
        <v>0.96</v>
      </c>
      <c r="M659" s="294">
        <v>0.8</v>
      </c>
      <c r="N659" s="295" cm="1">
        <f t="array" aca="1" ref="N659" ca="1">INDIRECT("'"&amp;$C659&amp;"'!"&amp;"$"&amp;$D659&amp;$N$1&amp;"")</f>
        <v>5.0999999999999996</v>
      </c>
      <c r="O659" s="296"/>
      <c r="P659" s="296">
        <v>0.97</v>
      </c>
      <c r="Q659" s="294">
        <v>1.31</v>
      </c>
      <c r="R659" s="295" cm="1">
        <f t="array" aca="1" ref="R659" ca="1">INDIRECT("'"&amp;$C659&amp;"'!"&amp;"$"&amp;$D659&amp;$R$1&amp;"")</f>
        <v>5.3</v>
      </c>
      <c r="S659" s="296"/>
      <c r="T659" s="296">
        <v>0.99</v>
      </c>
      <c r="U659" s="294">
        <v>0.88</v>
      </c>
      <c r="V659" s="295" cm="1">
        <f t="array" aca="1" ref="V659" ca="1">INDIRECT("'"&amp;$C659&amp;"'!"&amp;"$"&amp;$D659&amp;$V$1&amp;"")</f>
        <v>0</v>
      </c>
      <c r="W659" s="296" t="s">
        <v>1</v>
      </c>
      <c r="X659" s="296" t="s">
        <v>1</v>
      </c>
      <c r="Y659" s="297" t="s">
        <v>1</v>
      </c>
      <c r="Z659" s="293" cm="1">
        <f t="array" aca="1" ref="Z659" ca="1">INDIRECT("'"&amp;$C659&amp;"'!"&amp;"$"&amp;$D659&amp;$Z$1&amp;"")</f>
        <v>0</v>
      </c>
      <c r="AA659" s="296" t="s">
        <v>1</v>
      </c>
      <c r="AB659" s="296" t="s">
        <v>1</v>
      </c>
      <c r="AC659" s="294" t="s">
        <v>1</v>
      </c>
      <c r="AD659" s="295" cm="1">
        <f t="array" aca="1" ref="AD659" ca="1">INDIRECT("'"&amp;$C659&amp;"'!"&amp;"$"&amp;$D659&amp;$AD$1&amp;"")</f>
        <v>3</v>
      </c>
      <c r="AE659" s="296">
        <f>3.8*3.62</f>
        <v>13.756</v>
      </c>
      <c r="AF659" s="296">
        <v>0.99</v>
      </c>
      <c r="AG659" s="294">
        <v>0.22</v>
      </c>
      <c r="AH659" s="293" cm="1">
        <f t="array" aca="1" ref="AH659" ca="1">INDIRECT("'"&amp;$C659&amp;"'!"&amp;"$"&amp;$D659&amp;$AH$1&amp;"")</f>
        <v>0</v>
      </c>
      <c r="AI659" s="296" t="s">
        <v>1</v>
      </c>
      <c r="AJ659" s="296" t="s">
        <v>1</v>
      </c>
      <c r="AK659" s="294" t="s">
        <v>1</v>
      </c>
      <c r="AL659" s="293">
        <v>11.9</v>
      </c>
      <c r="AM659" s="297">
        <v>70.7</v>
      </c>
      <c r="AN659" s="293" cm="1">
        <f t="array" aca="1" ref="AN659" ca="1">INDIRECT("'"&amp;$C659&amp;"'!"&amp;"$"&amp;$D659&amp;$AL$1&amp;"")</f>
        <v>3</v>
      </c>
      <c r="AO659" s="296">
        <v>0.99</v>
      </c>
      <c r="AP659" s="294">
        <v>0.5</v>
      </c>
      <c r="AQ659" s="295" cm="1">
        <f t="array" aca="1" ref="AQ659" ca="1">INDIRECT("'"&amp;$C659&amp;"'!"&amp;"$"&amp;$D659&amp;$AQ$1&amp;"")</f>
        <v>3</v>
      </c>
      <c r="AR659" s="296">
        <v>0.99</v>
      </c>
      <c r="AS659" s="294">
        <v>0.5</v>
      </c>
      <c r="AT659" s="296" cm="1">
        <f t="array" aca="1" ref="AT659" ca="1">INDIRECT("'"&amp;$C659&amp;"'!"&amp;"$"&amp;$D659&amp;$AT$1&amp;"")</f>
        <v>0</v>
      </c>
      <c r="AU659" s="295" t="s">
        <v>1</v>
      </c>
      <c r="AV659" s="296" t="s">
        <v>1</v>
      </c>
      <c r="AW659" s="294" t="s">
        <v>1</v>
      </c>
      <c r="AX659" s="298">
        <v>14.17</v>
      </c>
      <c r="AY659" s="297">
        <v>71.69</v>
      </c>
      <c r="AZ659" s="298" cm="1">
        <f t="array" aca="1" ref="AZ659" ca="1">INDIRECT("'"&amp;$C659&amp;"'!"&amp;"$"&amp;$D659&amp;$AZ$1&amp;"")</f>
        <v>14.29</v>
      </c>
      <c r="BA659" s="296">
        <v>0.99</v>
      </c>
      <c r="BB659" s="294">
        <v>2.5</v>
      </c>
      <c r="BC659" s="299">
        <v>69.5</v>
      </c>
      <c r="BD659" s="293" cm="1">
        <f t="array" aca="1" ref="BD659" ca="1">INDIRECT("'"&amp;$C659&amp;"'!"&amp;"$"&amp;$D659&amp;$BC$1&amp;"")</f>
        <v>0</v>
      </c>
      <c r="BE659" s="295" t="s">
        <v>1</v>
      </c>
      <c r="BF659" s="294" t="s">
        <v>1</v>
      </c>
      <c r="BG659" s="298" cm="1">
        <f t="array" aca="1" ref="BG659" ca="1">INDIRECT("'"&amp;$C659&amp;"'!"&amp;"$"&amp;$D659&amp;$BG$1&amp;"")</f>
        <v>0.88</v>
      </c>
      <c r="BH659" s="296"/>
      <c r="BI659" s="296">
        <v>0.99</v>
      </c>
      <c r="BJ659" s="294">
        <v>0.13</v>
      </c>
      <c r="BK659" s="298" cm="1">
        <f t="array" aca="1" ref="BK659" ca="1">INDIRECT("'"&amp;$C659&amp;"'!"&amp;"$"&amp;$D659&amp;$BK$1&amp;"")</f>
        <v>0.76</v>
      </c>
      <c r="BL659" s="296"/>
      <c r="BM659" s="296">
        <v>0.96</v>
      </c>
      <c r="BN659" s="294">
        <v>0.21</v>
      </c>
    </row>
    <row r="660" spans="1:66" ht="14.45" thickBot="1">
      <c r="A660" s="360">
        <v>45774</v>
      </c>
      <c r="B660" s="358">
        <v>0.20833333333333301</v>
      </c>
      <c r="C660" s="313">
        <f t="shared" si="26"/>
        <v>27</v>
      </c>
      <c r="D660" s="314" t="s">
        <v>132</v>
      </c>
      <c r="E660" s="286">
        <v>14.2</v>
      </c>
      <c r="F660" s="287">
        <v>70.53</v>
      </c>
      <c r="G660" s="288" cm="1">
        <f t="array" aca="1" ref="G660" ca="1">INDIRECT("'"&amp;$C660&amp;"'!"&amp;"$"&amp;$D660&amp;$E$1&amp;"")</f>
        <v>0</v>
      </c>
      <c r="H660" s="289" t="s">
        <v>1</v>
      </c>
      <c r="I660" s="287" t="s">
        <v>1</v>
      </c>
      <c r="J660" s="288" cm="1">
        <f t="array" aca="1" ref="J660" ca="1">INDIRECT("'"&amp;$C660&amp;"'!"&amp;"$"&amp;$D660&amp;$J$1&amp;"")</f>
        <v>0</v>
      </c>
      <c r="K660" s="289"/>
      <c r="L660" s="289" t="s">
        <v>1</v>
      </c>
      <c r="M660" s="287" t="s">
        <v>1</v>
      </c>
      <c r="N660" s="288" cm="1">
        <f t="array" aca="1" ref="N660" ca="1">INDIRECT("'"&amp;$C660&amp;"'!"&amp;"$"&amp;$D660&amp;$N$1&amp;"")</f>
        <v>6.5</v>
      </c>
      <c r="O660" s="289"/>
      <c r="P660" s="289">
        <v>0.97</v>
      </c>
      <c r="Q660" s="287">
        <v>1.56</v>
      </c>
      <c r="R660" s="288" cm="1">
        <f t="array" aca="1" ref="R660" ca="1">INDIRECT("'"&amp;$C660&amp;"'!"&amp;"$"&amp;$D660&amp;$R$1&amp;"")</f>
        <v>6.7</v>
      </c>
      <c r="S660" s="289"/>
      <c r="T660" s="289">
        <v>0.98</v>
      </c>
      <c r="U660" s="287">
        <v>1.45</v>
      </c>
      <c r="V660" s="288" cm="1">
        <f t="array" aca="1" ref="V660" ca="1">INDIRECT("'"&amp;$C660&amp;"'!"&amp;"$"&amp;$D660&amp;$V$1&amp;"")</f>
        <v>0</v>
      </c>
      <c r="W660" s="289" t="s">
        <v>1</v>
      </c>
      <c r="X660" s="289" t="s">
        <v>1</v>
      </c>
      <c r="Y660" s="290" t="s">
        <v>1</v>
      </c>
      <c r="Z660" s="286" cm="1">
        <f t="array" aca="1" ref="Z660" ca="1">INDIRECT("'"&amp;$C660&amp;"'!"&amp;"$"&amp;$D660&amp;$Z$1&amp;"")</f>
        <v>0</v>
      </c>
      <c r="AA660" s="289" t="s">
        <v>1</v>
      </c>
      <c r="AB660" s="289" t="s">
        <v>1</v>
      </c>
      <c r="AC660" s="287" t="s">
        <v>1</v>
      </c>
      <c r="AD660" s="288" cm="1">
        <f t="array" aca="1" ref="AD660" ca="1">INDIRECT("'"&amp;$C660&amp;"'!"&amp;"$"&amp;$D660&amp;$AD$1&amp;"")</f>
        <v>3</v>
      </c>
      <c r="AE660" s="289">
        <f>3.8*3.63</f>
        <v>13.793999999999999</v>
      </c>
      <c r="AF660" s="289">
        <v>0.99</v>
      </c>
      <c r="AG660" s="290">
        <v>0.34</v>
      </c>
      <c r="AH660" s="286" cm="1">
        <f t="array" aca="1" ref="AH660" ca="1">INDIRECT("'"&amp;$C660&amp;"'!"&amp;"$"&amp;$D660&amp;$AH$1&amp;"")</f>
        <v>0</v>
      </c>
      <c r="AI660" s="289" t="s">
        <v>1</v>
      </c>
      <c r="AJ660" s="289" t="s">
        <v>1</v>
      </c>
      <c r="AK660" s="290" t="s">
        <v>1</v>
      </c>
      <c r="AL660" s="286">
        <v>11.9</v>
      </c>
      <c r="AM660" s="290">
        <v>71.099999999999994</v>
      </c>
      <c r="AN660" s="286" cm="1">
        <f t="array" aca="1" ref="AN660" ca="1">INDIRECT("'"&amp;$C660&amp;"'!"&amp;"$"&amp;$D660&amp;$AL$1&amp;"")</f>
        <v>3.2</v>
      </c>
      <c r="AO660" s="289">
        <v>0.99</v>
      </c>
      <c r="AP660" s="287">
        <v>0.2</v>
      </c>
      <c r="AQ660" s="288" cm="1">
        <f t="array" aca="1" ref="AQ660" ca="1">INDIRECT("'"&amp;$C660&amp;"'!"&amp;"$"&amp;$D660&amp;$AQ$1&amp;"")</f>
        <v>3.2</v>
      </c>
      <c r="AR660" s="289">
        <v>0.99</v>
      </c>
      <c r="AS660" s="287">
        <v>0.2</v>
      </c>
      <c r="AT660" s="289" cm="1">
        <f t="array" aca="1" ref="AT660" ca="1">INDIRECT("'"&amp;$C660&amp;"'!"&amp;"$"&amp;$D660&amp;$AT$1&amp;"")</f>
        <v>0</v>
      </c>
      <c r="AU660" s="288" t="s">
        <v>1</v>
      </c>
      <c r="AV660" s="289" t="s">
        <v>1</v>
      </c>
      <c r="AW660" s="287" t="s">
        <v>1</v>
      </c>
      <c r="AX660" s="291">
        <v>14.26</v>
      </c>
      <c r="AY660" s="290">
        <v>72.17</v>
      </c>
      <c r="AZ660" s="291" cm="1">
        <f t="array" aca="1" ref="AZ660" ca="1">INDIRECT("'"&amp;$C660&amp;"'!"&amp;"$"&amp;$D660&amp;$AZ$1&amp;"")</f>
        <v>14.32</v>
      </c>
      <c r="BA660" s="289">
        <v>0.99</v>
      </c>
      <c r="BB660" s="287">
        <v>2.5</v>
      </c>
      <c r="BC660" s="292">
        <v>69.7</v>
      </c>
      <c r="BD660" s="286" cm="1">
        <f t="array" aca="1" ref="BD660" ca="1">INDIRECT("'"&amp;$C660&amp;"'!"&amp;"$"&amp;$D660&amp;$BC$1&amp;"")</f>
        <v>0</v>
      </c>
      <c r="BE660" s="288" t="s">
        <v>1</v>
      </c>
      <c r="BF660" s="287" t="s">
        <v>1</v>
      </c>
      <c r="BG660" s="291" cm="1">
        <f t="array" aca="1" ref="BG660" ca="1">INDIRECT("'"&amp;$C660&amp;"'!"&amp;"$"&amp;$D660&amp;$BG$1&amp;"")</f>
        <v>0.85</v>
      </c>
      <c r="BH660" s="289"/>
      <c r="BI660" s="289">
        <v>0.99</v>
      </c>
      <c r="BJ660" s="287">
        <v>0.13</v>
      </c>
      <c r="BK660" s="291" cm="1">
        <f t="array" aca="1" ref="BK660" ca="1">INDIRECT("'"&amp;$C660&amp;"'!"&amp;"$"&amp;$D660&amp;$BK$1&amp;"")</f>
        <v>0.76</v>
      </c>
      <c r="BL660" s="289"/>
      <c r="BM660" s="289">
        <v>0.96</v>
      </c>
      <c r="BN660" s="287">
        <v>0.2</v>
      </c>
    </row>
    <row r="661" spans="1:66" ht="14.45" thickBot="1">
      <c r="A661" s="360">
        <v>45774</v>
      </c>
      <c r="B661" s="358">
        <v>0.25</v>
      </c>
      <c r="C661" s="313">
        <f t="shared" si="26"/>
        <v>27</v>
      </c>
      <c r="D661" s="314" t="s">
        <v>133</v>
      </c>
      <c r="E661" s="293">
        <v>14.24</v>
      </c>
      <c r="F661" s="294">
        <v>72.14</v>
      </c>
      <c r="G661" s="295" cm="1">
        <f t="array" aca="1" ref="G661" ca="1">INDIRECT("'"&amp;$C661&amp;"'!"&amp;"$"&amp;$D661&amp;$E$1&amp;"")</f>
        <v>0</v>
      </c>
      <c r="H661" s="296" t="s">
        <v>1</v>
      </c>
      <c r="I661" s="294" t="s">
        <v>1</v>
      </c>
      <c r="J661" s="295" cm="1">
        <f t="array" aca="1" ref="J661" ca="1">INDIRECT("'"&amp;$C661&amp;"'!"&amp;"$"&amp;$D661&amp;$J$1&amp;"")</f>
        <v>0</v>
      </c>
      <c r="K661" s="296"/>
      <c r="L661" s="296" t="s">
        <v>1</v>
      </c>
      <c r="M661" s="294" t="s">
        <v>1</v>
      </c>
      <c r="N661" s="295" cm="1">
        <f t="array" aca="1" ref="N661" ca="1">INDIRECT("'"&amp;$C661&amp;"'!"&amp;"$"&amp;$D661&amp;$N$1&amp;"")</f>
        <v>6.5</v>
      </c>
      <c r="O661" s="296"/>
      <c r="P661" s="296">
        <v>0.97</v>
      </c>
      <c r="Q661" s="294">
        <v>1.55</v>
      </c>
      <c r="R661" s="295" cm="1">
        <f t="array" aca="1" ref="R661" ca="1">INDIRECT("'"&amp;$C661&amp;"'!"&amp;"$"&amp;$D661&amp;$R$1&amp;"")</f>
        <v>6.7</v>
      </c>
      <c r="S661" s="296"/>
      <c r="T661" s="296">
        <v>0.97</v>
      </c>
      <c r="U661" s="294">
        <v>1.62</v>
      </c>
      <c r="V661" s="295" cm="1">
        <f t="array" aca="1" ref="V661" ca="1">INDIRECT("'"&amp;$C661&amp;"'!"&amp;"$"&amp;$D661&amp;$V$1&amp;"")</f>
        <v>0</v>
      </c>
      <c r="W661" s="296" t="s">
        <v>1</v>
      </c>
      <c r="X661" s="296" t="s">
        <v>1</v>
      </c>
      <c r="Y661" s="297" t="s">
        <v>1</v>
      </c>
      <c r="Z661" s="293" cm="1">
        <f t="array" aca="1" ref="Z661" ca="1">INDIRECT("'"&amp;$C661&amp;"'!"&amp;"$"&amp;$D661&amp;$Z$1&amp;"")</f>
        <v>0</v>
      </c>
      <c r="AA661" s="296" t="s">
        <v>1</v>
      </c>
      <c r="AB661" s="296" t="s">
        <v>1</v>
      </c>
      <c r="AC661" s="294" t="s">
        <v>1</v>
      </c>
      <c r="AD661" s="295" cm="1">
        <f t="array" aca="1" ref="AD661" ca="1">INDIRECT("'"&amp;$C661&amp;"'!"&amp;"$"&amp;$D661&amp;$AD$1&amp;"")</f>
        <v>3.5</v>
      </c>
      <c r="AE661" s="296">
        <f>3.8*3.63</f>
        <v>13.793999999999999</v>
      </c>
      <c r="AF661" s="296">
        <v>0.99</v>
      </c>
      <c r="AG661" s="297">
        <v>0.34</v>
      </c>
      <c r="AH661" s="293" t="str" cm="1">
        <f t="array" aca="1" ref="AH661" ca="1">INDIRECT("'"&amp;$C661&amp;"'!"&amp;"$"&amp;$D661&amp;$AH$1&amp;"")</f>
        <v>CMS</v>
      </c>
      <c r="AI661" s="296" t="s">
        <v>1</v>
      </c>
      <c r="AJ661" s="296" t="s">
        <v>1</v>
      </c>
      <c r="AK661" s="297" t="s">
        <v>1</v>
      </c>
      <c r="AL661" s="293">
        <v>11.9</v>
      </c>
      <c r="AM661" s="297">
        <v>71</v>
      </c>
      <c r="AN661" s="293" cm="1">
        <f t="array" aca="1" ref="AN661" ca="1">INDIRECT("'"&amp;$C661&amp;"'!"&amp;"$"&amp;$D661&amp;$AL$1&amp;"")</f>
        <v>3.7</v>
      </c>
      <c r="AO661" s="296">
        <v>0.99</v>
      </c>
      <c r="AP661" s="294">
        <v>0.2</v>
      </c>
      <c r="AQ661" s="295" cm="1">
        <f t="array" aca="1" ref="AQ661" ca="1">INDIRECT("'"&amp;$C661&amp;"'!"&amp;"$"&amp;$D661&amp;$AQ$1&amp;"")</f>
        <v>3.7</v>
      </c>
      <c r="AR661" s="296">
        <v>0.99</v>
      </c>
      <c r="AS661" s="294">
        <v>0.2</v>
      </c>
      <c r="AT661" s="296" cm="1">
        <f t="array" aca="1" ref="AT661" ca="1">INDIRECT("'"&amp;$C661&amp;"'!"&amp;"$"&amp;$D661&amp;$AT$1&amp;"")</f>
        <v>0</v>
      </c>
      <c r="AU661" s="295" t="s">
        <v>1</v>
      </c>
      <c r="AV661" s="296" t="s">
        <v>1</v>
      </c>
      <c r="AW661" s="294" t="s">
        <v>1</v>
      </c>
      <c r="AX661" s="298">
        <v>14.24</v>
      </c>
      <c r="AY661" s="297">
        <v>72.14</v>
      </c>
      <c r="AZ661" s="298" cm="1">
        <f t="array" aca="1" ref="AZ661" ca="1">INDIRECT("'"&amp;$C661&amp;"'!"&amp;"$"&amp;$D661&amp;$AZ$1&amp;"")</f>
        <v>14.29</v>
      </c>
      <c r="BA661" s="296">
        <v>0.99</v>
      </c>
      <c r="BB661" s="294">
        <v>2.5</v>
      </c>
      <c r="BC661" s="299">
        <v>69.599999999999994</v>
      </c>
      <c r="BD661" s="293" cm="1">
        <f t="array" aca="1" ref="BD661" ca="1">INDIRECT("'"&amp;$C661&amp;"'!"&amp;"$"&amp;$D661&amp;$BC$1&amp;"")</f>
        <v>0</v>
      </c>
      <c r="BE661" s="295" t="s">
        <v>1</v>
      </c>
      <c r="BF661" s="294" t="s">
        <v>1</v>
      </c>
      <c r="BG661" s="298" cm="1">
        <f t="array" aca="1" ref="BG661" ca="1">INDIRECT("'"&amp;$C661&amp;"'!"&amp;"$"&amp;$D661&amp;$BG$1&amp;"")</f>
        <v>0.97</v>
      </c>
      <c r="BH661" s="296"/>
      <c r="BI661" s="296">
        <v>0.96</v>
      </c>
      <c r="BJ661" s="294">
        <v>0.13</v>
      </c>
      <c r="BK661" s="298" cm="1">
        <f t="array" aca="1" ref="BK661" ca="1">INDIRECT("'"&amp;$C661&amp;"'!"&amp;"$"&amp;$D661&amp;$BK$1&amp;"")</f>
        <v>0.77</v>
      </c>
      <c r="BL661" s="296"/>
      <c r="BM661" s="296">
        <v>0.96</v>
      </c>
      <c r="BN661" s="294">
        <v>0.21</v>
      </c>
    </row>
    <row r="662" spans="1:66" ht="14.45" thickBot="1">
      <c r="A662" s="360">
        <v>45774</v>
      </c>
      <c r="B662" s="358">
        <v>0.29166666666666702</v>
      </c>
      <c r="C662" s="313">
        <f t="shared" si="26"/>
        <v>27</v>
      </c>
      <c r="D662" s="314" t="s">
        <v>134</v>
      </c>
      <c r="E662" s="286">
        <v>14.2</v>
      </c>
      <c r="F662" s="287">
        <v>70.45</v>
      </c>
      <c r="G662" s="288" cm="1">
        <f t="array" aca="1" ref="G662" ca="1">INDIRECT("'"&amp;$C662&amp;"'!"&amp;"$"&amp;$D662&amp;$E$1&amp;"")</f>
        <v>0</v>
      </c>
      <c r="H662" s="289" t="s">
        <v>1</v>
      </c>
      <c r="I662" s="287" t="s">
        <v>1</v>
      </c>
      <c r="J662" s="288" cm="1">
        <f t="array" aca="1" ref="J662" ca="1">INDIRECT("'"&amp;$C662&amp;"'!"&amp;"$"&amp;$D662&amp;$J$1&amp;"")</f>
        <v>0</v>
      </c>
      <c r="K662" s="289"/>
      <c r="L662" s="289" t="s">
        <v>1</v>
      </c>
      <c r="M662" s="287" t="s">
        <v>1</v>
      </c>
      <c r="N662" s="288" cm="1">
        <f t="array" aca="1" ref="N662" ca="1">INDIRECT("'"&amp;$C662&amp;"'!"&amp;"$"&amp;$D662&amp;$N$1&amp;"")</f>
        <v>6.7</v>
      </c>
      <c r="O662" s="289"/>
      <c r="P662" s="289">
        <v>0.96</v>
      </c>
      <c r="Q662" s="287">
        <v>1.84</v>
      </c>
      <c r="R662" s="288" cm="1">
        <f t="array" aca="1" ref="R662" ca="1">INDIRECT("'"&amp;$C662&amp;"'!"&amp;"$"&amp;$D662&amp;$R$1&amp;"")</f>
        <v>6.7</v>
      </c>
      <c r="S662" s="289"/>
      <c r="T662" s="289">
        <v>0.96</v>
      </c>
      <c r="U662" s="287">
        <v>1.87</v>
      </c>
      <c r="V662" s="288" cm="1">
        <f t="array" aca="1" ref="V662" ca="1">INDIRECT("'"&amp;$C662&amp;"'!"&amp;"$"&amp;$D662&amp;$V$1&amp;"")</f>
        <v>0</v>
      </c>
      <c r="W662" s="289" t="s">
        <v>1</v>
      </c>
      <c r="X662" s="289" t="s">
        <v>1</v>
      </c>
      <c r="Y662" s="290" t="s">
        <v>1</v>
      </c>
      <c r="Z662" s="286" cm="1">
        <f t="array" aca="1" ref="Z662" ca="1">INDIRECT("'"&amp;$C662&amp;"'!"&amp;"$"&amp;$D662&amp;$Z$1&amp;"")</f>
        <v>0</v>
      </c>
      <c r="AA662" s="289" t="s">
        <v>1</v>
      </c>
      <c r="AB662" s="289" t="s">
        <v>1</v>
      </c>
      <c r="AC662" s="287" t="s">
        <v>1</v>
      </c>
      <c r="AD662" s="288" cm="1">
        <f t="array" aca="1" ref="AD662" ca="1">INDIRECT("'"&amp;$C662&amp;"'!"&amp;"$"&amp;$D662&amp;$AD$1&amp;"")</f>
        <v>3.5</v>
      </c>
      <c r="AE662" s="289">
        <f>3.8*3.62</f>
        <v>13.756</v>
      </c>
      <c r="AF662" s="289">
        <v>0.99</v>
      </c>
      <c r="AG662" s="290">
        <v>0.36</v>
      </c>
      <c r="AH662" s="286" t="str" cm="1">
        <f t="array" aca="1" ref="AH662" ca="1">INDIRECT("'"&amp;$C662&amp;"'!"&amp;"$"&amp;$D662&amp;$AH$1&amp;"")</f>
        <v>CMS</v>
      </c>
      <c r="AI662" s="289" t="s">
        <v>1</v>
      </c>
      <c r="AJ662" s="289" t="s">
        <v>1</v>
      </c>
      <c r="AK662" s="290" t="s">
        <v>1</v>
      </c>
      <c r="AL662" s="286">
        <v>11.9</v>
      </c>
      <c r="AM662" s="290">
        <v>71</v>
      </c>
      <c r="AN662" s="286" cm="1">
        <f t="array" aca="1" ref="AN662" ca="1">INDIRECT("'"&amp;$C662&amp;"'!"&amp;"$"&amp;$D662&amp;$AL$1&amp;"")</f>
        <v>3.7</v>
      </c>
      <c r="AO662" s="289">
        <v>0.99</v>
      </c>
      <c r="AP662" s="287">
        <v>0.2</v>
      </c>
      <c r="AQ662" s="288" cm="1">
        <f t="array" aca="1" ref="AQ662" ca="1">INDIRECT("'"&amp;$C662&amp;"'!"&amp;"$"&amp;$D662&amp;$AQ$1&amp;"")</f>
        <v>3.7</v>
      </c>
      <c r="AR662" s="289">
        <v>0.99</v>
      </c>
      <c r="AS662" s="287">
        <v>0.2</v>
      </c>
      <c r="AT662" s="289" cm="1">
        <f t="array" aca="1" ref="AT662" ca="1">INDIRECT("'"&amp;$C662&amp;"'!"&amp;"$"&amp;$D662&amp;$AT$1&amp;"")</f>
        <v>0</v>
      </c>
      <c r="AU662" s="288" t="s">
        <v>1</v>
      </c>
      <c r="AV662" s="289" t="s">
        <v>1</v>
      </c>
      <c r="AW662" s="287" t="s">
        <v>1</v>
      </c>
      <c r="AX662" s="291">
        <v>14.27</v>
      </c>
      <c r="AY662" s="290">
        <v>72.150000000000006</v>
      </c>
      <c r="AZ662" s="291" cm="1">
        <f t="array" aca="1" ref="AZ662" ca="1">INDIRECT("'"&amp;$C662&amp;"'!"&amp;"$"&amp;$D662&amp;$AZ$1&amp;"")</f>
        <v>13.31</v>
      </c>
      <c r="BA662" s="289">
        <v>0.99</v>
      </c>
      <c r="BB662" s="287">
        <v>2.2999999999999998</v>
      </c>
      <c r="BC662" s="292">
        <v>69.5</v>
      </c>
      <c r="BD662" s="286" cm="1">
        <f t="array" aca="1" ref="BD662" ca="1">INDIRECT("'"&amp;$C662&amp;"'!"&amp;"$"&amp;$D662&amp;$BC$1&amp;"")</f>
        <v>0</v>
      </c>
      <c r="BE662" s="288" t="s">
        <v>1</v>
      </c>
      <c r="BF662" s="287" t="s">
        <v>1</v>
      </c>
      <c r="BG662" s="291" cm="1">
        <f t="array" aca="1" ref="BG662" ca="1">INDIRECT("'"&amp;$C662&amp;"'!"&amp;"$"&amp;$D662&amp;$BG$1&amp;"")</f>
        <v>1.06</v>
      </c>
      <c r="BH662" s="289"/>
      <c r="BI662" s="289">
        <v>0.99</v>
      </c>
      <c r="BJ662" s="287">
        <v>0.16</v>
      </c>
      <c r="BK662" s="292" cm="1">
        <f t="array" aca="1" ref="BK662" ca="1">INDIRECT("'"&amp;$C662&amp;"'!"&amp;"$"&amp;$D662&amp;$BK$1&amp;"")</f>
        <v>0.75</v>
      </c>
      <c r="BL662" s="289"/>
      <c r="BM662" s="289">
        <v>0.96</v>
      </c>
      <c r="BN662" s="287">
        <v>0.21</v>
      </c>
    </row>
    <row r="663" spans="1:66" ht="14.45" thickBot="1">
      <c r="A663" s="360">
        <v>45774</v>
      </c>
      <c r="B663" s="358">
        <v>0.33333333333333398</v>
      </c>
      <c r="C663" s="313">
        <f t="shared" si="26"/>
        <v>27</v>
      </c>
      <c r="D663" s="314" t="s">
        <v>135</v>
      </c>
      <c r="E663" s="293">
        <v>14.2</v>
      </c>
      <c r="F663" s="294">
        <v>69.86</v>
      </c>
      <c r="G663" s="295" cm="1">
        <f t="array" aca="1" ref="G663" ca="1">INDIRECT("'"&amp;$C663&amp;"'!"&amp;"$"&amp;$D663&amp;$E$1&amp;"")</f>
        <v>2.2999999999999998</v>
      </c>
      <c r="H663" s="296">
        <v>0.97</v>
      </c>
      <c r="I663" s="294">
        <v>0.53</v>
      </c>
      <c r="J663" s="295" cm="1">
        <f t="array" aca="1" ref="J663" ca="1">INDIRECT("'"&amp;$C663&amp;"'!"&amp;"$"&amp;$D663&amp;$J$1&amp;"")</f>
        <v>0</v>
      </c>
      <c r="K663" s="296"/>
      <c r="L663" s="296" t="s">
        <v>1</v>
      </c>
      <c r="M663" s="294" t="s">
        <v>1</v>
      </c>
      <c r="N663" s="295" cm="1">
        <f t="array" aca="1" ref="N663" ca="1">INDIRECT("'"&amp;$C663&amp;"'!"&amp;"$"&amp;$D663&amp;$N$1&amp;"")</f>
        <v>6.6</v>
      </c>
      <c r="O663" s="296"/>
      <c r="P663" s="296">
        <v>0.97</v>
      </c>
      <c r="Q663" s="294">
        <v>1.58</v>
      </c>
      <c r="R663" s="295" cm="1">
        <f t="array" aca="1" ref="R663" ca="1">INDIRECT("'"&amp;$C663&amp;"'!"&amp;"$"&amp;$D663&amp;$R$1&amp;"")</f>
        <v>6.6</v>
      </c>
      <c r="S663" s="296"/>
      <c r="T663" s="296">
        <v>0.97</v>
      </c>
      <c r="U663" s="294">
        <v>1.58</v>
      </c>
      <c r="V663" s="295" cm="1">
        <f t="array" aca="1" ref="V663" ca="1">INDIRECT("'"&amp;$C663&amp;"'!"&amp;"$"&amp;$D663&amp;$V$1&amp;"")</f>
        <v>0</v>
      </c>
      <c r="W663" s="296" t="s">
        <v>1</v>
      </c>
      <c r="X663" s="296" t="s">
        <v>1</v>
      </c>
      <c r="Y663" s="297" t="s">
        <v>1</v>
      </c>
      <c r="Z663" s="293" cm="1">
        <f t="array" aca="1" ref="Z663" ca="1">INDIRECT("'"&amp;$C663&amp;"'!"&amp;"$"&amp;$D663&amp;$Z$1&amp;"")</f>
        <v>0</v>
      </c>
      <c r="AA663" s="296" t="s">
        <v>1</v>
      </c>
      <c r="AB663" s="296" t="s">
        <v>1</v>
      </c>
      <c r="AC663" s="294" t="s">
        <v>1</v>
      </c>
      <c r="AD663" s="295" cm="1">
        <f t="array" aca="1" ref="AD663" ca="1">INDIRECT("'"&amp;$C663&amp;"'!"&amp;"$"&amp;$D663&amp;$AD$1&amp;"")</f>
        <v>3.8</v>
      </c>
      <c r="AE663" s="296">
        <f>3.8*3.61</f>
        <v>13.717999999999998</v>
      </c>
      <c r="AF663" s="296">
        <v>0.95</v>
      </c>
      <c r="AG663" s="297">
        <v>1.26</v>
      </c>
      <c r="AH663" s="293" t="str" cm="1">
        <f t="array" aca="1" ref="AH663" ca="1">INDIRECT("'"&amp;$C663&amp;"'!"&amp;"$"&amp;$D663&amp;$AH$1&amp;"")</f>
        <v>CMS</v>
      </c>
      <c r="AI663" s="296" t="s">
        <v>1</v>
      </c>
      <c r="AJ663" s="296" t="s">
        <v>1</v>
      </c>
      <c r="AK663" s="297" t="s">
        <v>1</v>
      </c>
      <c r="AL663" s="293">
        <v>11.9</v>
      </c>
      <c r="AM663" s="297">
        <v>70.5</v>
      </c>
      <c r="AN663" s="293" cm="1">
        <f t="array" aca="1" ref="AN663" ca="1">INDIRECT("'"&amp;$C663&amp;"'!"&amp;"$"&amp;$D663&amp;$AL$1&amp;"")</f>
        <v>4</v>
      </c>
      <c r="AO663" s="296">
        <v>0.98</v>
      </c>
      <c r="AP663" s="294">
        <v>0.6</v>
      </c>
      <c r="AQ663" s="295" cm="1">
        <f t="array" aca="1" ref="AQ663" ca="1">INDIRECT("'"&amp;$C663&amp;"'!"&amp;"$"&amp;$D663&amp;$AQ$1&amp;"")</f>
        <v>4</v>
      </c>
      <c r="AR663" s="296">
        <v>0.98</v>
      </c>
      <c r="AS663" s="294">
        <v>0.6</v>
      </c>
      <c r="AT663" s="296" cm="1">
        <f t="array" aca="1" ref="AT663" ca="1">INDIRECT("'"&amp;$C663&amp;"'!"&amp;"$"&amp;$D663&amp;$AT$1&amp;"")</f>
        <v>0</v>
      </c>
      <c r="AU663" s="295" t="s">
        <v>1</v>
      </c>
      <c r="AV663" s="296" t="s">
        <v>1</v>
      </c>
      <c r="AW663" s="294" t="s">
        <v>1</v>
      </c>
      <c r="AX663" s="298">
        <v>14.22</v>
      </c>
      <c r="AY663" s="297">
        <v>71.84</v>
      </c>
      <c r="AZ663" s="298" cm="1">
        <f t="array" aca="1" ref="AZ663" ca="1">INDIRECT("'"&amp;$C663&amp;"'!"&amp;"$"&amp;$D663&amp;$AZ$1&amp;"")</f>
        <v>14.3</v>
      </c>
      <c r="BA663" s="296">
        <v>0.99</v>
      </c>
      <c r="BB663" s="294">
        <v>2.4</v>
      </c>
      <c r="BC663" s="299">
        <v>68.8</v>
      </c>
      <c r="BD663" s="293" cm="1">
        <f t="array" aca="1" ref="BD663" ca="1">INDIRECT("'"&amp;$C663&amp;"'!"&amp;"$"&amp;$D663&amp;$BC$1&amp;"")</f>
        <v>0</v>
      </c>
      <c r="BE663" s="295" t="s">
        <v>1</v>
      </c>
      <c r="BF663" s="294" t="s">
        <v>1</v>
      </c>
      <c r="BG663" s="298" cm="1">
        <f t="array" aca="1" ref="BG663" ca="1">INDIRECT("'"&amp;$C663&amp;"'!"&amp;"$"&amp;$D663&amp;$BG$1&amp;"")</f>
        <v>1.1599999999999999</v>
      </c>
      <c r="BH663" s="296"/>
      <c r="BI663" s="296">
        <v>0.99</v>
      </c>
      <c r="BJ663" s="294">
        <v>0.17</v>
      </c>
      <c r="BK663" s="299" cm="1">
        <f t="array" aca="1" ref="BK663" ca="1">INDIRECT("'"&amp;$C663&amp;"'!"&amp;"$"&amp;$D663&amp;$BK$1&amp;"")</f>
        <v>0.77</v>
      </c>
      <c r="BL663" s="296"/>
      <c r="BM663" s="296">
        <v>0.96</v>
      </c>
      <c r="BN663" s="294">
        <v>0.22</v>
      </c>
    </row>
    <row r="664" spans="1:66" ht="14.45" thickBot="1">
      <c r="A664" s="360">
        <v>45774</v>
      </c>
      <c r="B664" s="358">
        <v>0.375</v>
      </c>
      <c r="C664" s="313">
        <f t="shared" si="26"/>
        <v>27</v>
      </c>
      <c r="D664" s="314" t="s">
        <v>136</v>
      </c>
      <c r="E664" s="286">
        <v>14.2</v>
      </c>
      <c r="F664" s="287">
        <v>69.28</v>
      </c>
      <c r="G664" s="288" cm="1">
        <f t="array" aca="1" ref="G664" ca="1">INDIRECT("'"&amp;$C664&amp;"'!"&amp;"$"&amp;$D664&amp;$E$1&amp;"")</f>
        <v>6.7</v>
      </c>
      <c r="H664" s="289">
        <v>0.96</v>
      </c>
      <c r="I664" s="287">
        <v>1.33</v>
      </c>
      <c r="J664" s="288" cm="1">
        <f t="array" aca="1" ref="J664" ca="1">INDIRECT("'"&amp;$C664&amp;"'!"&amp;"$"&amp;$D664&amp;$J$1&amp;"")</f>
        <v>0</v>
      </c>
      <c r="K664" s="289"/>
      <c r="L664" s="289" t="s">
        <v>1</v>
      </c>
      <c r="M664" s="287" t="s">
        <v>1</v>
      </c>
      <c r="N664" s="288" cm="1">
        <f t="array" aca="1" ref="N664" ca="1">INDIRECT("'"&amp;$C664&amp;"'!"&amp;"$"&amp;$D664&amp;$N$1&amp;"")</f>
        <v>6.7</v>
      </c>
      <c r="O664" s="289"/>
      <c r="P664" s="289">
        <v>0.96</v>
      </c>
      <c r="Q664" s="287">
        <v>1.33</v>
      </c>
      <c r="R664" s="288" cm="1">
        <f t="array" aca="1" ref="R664" ca="1">INDIRECT("'"&amp;$C664&amp;"'!"&amp;"$"&amp;$D664&amp;$R$1&amp;"")</f>
        <v>6.7</v>
      </c>
      <c r="S664" s="289"/>
      <c r="T664" s="289">
        <v>0.96</v>
      </c>
      <c r="U664" s="287">
        <v>1.33</v>
      </c>
      <c r="V664" s="288" cm="1">
        <f t="array" aca="1" ref="V664" ca="1">INDIRECT("'"&amp;$C664&amp;"'!"&amp;"$"&amp;$D664&amp;$V$1&amp;"")</f>
        <v>0</v>
      </c>
      <c r="W664" s="289" t="s">
        <v>1</v>
      </c>
      <c r="X664" s="289" t="s">
        <v>1</v>
      </c>
      <c r="Y664" s="290" t="s">
        <v>1</v>
      </c>
      <c r="Z664" s="286" cm="1">
        <f t="array" aca="1" ref="Z664" ca="1">INDIRECT("'"&amp;$C664&amp;"'!"&amp;"$"&amp;$D664&amp;$Z$1&amp;"")</f>
        <v>0</v>
      </c>
      <c r="AA664" s="289" t="s">
        <v>1</v>
      </c>
      <c r="AB664" s="289" t="s">
        <v>1</v>
      </c>
      <c r="AC664" s="287" t="s">
        <v>1</v>
      </c>
      <c r="AD664" s="288" cm="1">
        <f t="array" aca="1" ref="AD664" ca="1">INDIRECT("'"&amp;$C664&amp;"'!"&amp;"$"&amp;$D664&amp;$AD$1&amp;"")</f>
        <v>3.8</v>
      </c>
      <c r="AE664" s="289">
        <f>3.8*3.55</f>
        <v>13.489999999999998</v>
      </c>
      <c r="AF664" s="289">
        <v>0.93</v>
      </c>
      <c r="AG664" s="290">
        <v>1.48</v>
      </c>
      <c r="AH664" s="286" t="str" cm="1">
        <f t="array" aca="1" ref="AH664" ca="1">INDIRECT("'"&amp;$C664&amp;"'!"&amp;"$"&amp;$D664&amp;$AH$1&amp;"")</f>
        <v>CMS</v>
      </c>
      <c r="AI664" s="289" t="s">
        <v>1</v>
      </c>
      <c r="AJ664" s="289" t="s">
        <v>1</v>
      </c>
      <c r="AK664" s="287" t="s">
        <v>1</v>
      </c>
      <c r="AL664" s="286">
        <v>11.8</v>
      </c>
      <c r="AM664" s="290">
        <v>70.099999999999994</v>
      </c>
      <c r="AN664" s="286" cm="1">
        <f t="array" aca="1" ref="AN664" ca="1">INDIRECT("'"&amp;$C664&amp;"'!"&amp;"$"&amp;$D664&amp;$AL$1&amp;"")</f>
        <v>3.8</v>
      </c>
      <c r="AO664" s="289">
        <v>0.97</v>
      </c>
      <c r="AP664" s="287">
        <v>0.93</v>
      </c>
      <c r="AQ664" s="288" cm="1">
        <f t="array" aca="1" ref="AQ664" ca="1">INDIRECT("'"&amp;$C664&amp;"'!"&amp;"$"&amp;$D664&amp;$AQ$1&amp;"")</f>
        <v>3.8</v>
      </c>
      <c r="AR664" s="289">
        <v>0.97</v>
      </c>
      <c r="AS664" s="287">
        <v>0.93</v>
      </c>
      <c r="AT664" s="289" cm="1">
        <f t="array" aca="1" ref="AT664" ca="1">INDIRECT("'"&amp;$C664&amp;"'!"&amp;"$"&amp;$D664&amp;$AT$1&amp;"")</f>
        <v>0</v>
      </c>
      <c r="AU664" s="288" t="s">
        <v>1</v>
      </c>
      <c r="AV664" s="289" t="s">
        <v>1</v>
      </c>
      <c r="AW664" s="287" t="s">
        <v>1</v>
      </c>
      <c r="AX664" s="291">
        <v>14.08</v>
      </c>
      <c r="AY664" s="290">
        <v>71.22</v>
      </c>
      <c r="AZ664" s="291" cm="1">
        <f t="array" aca="1" ref="AZ664" ca="1">INDIRECT("'"&amp;$C664&amp;"'!"&amp;"$"&amp;$D664&amp;$AZ$1&amp;"")</f>
        <v>14.29</v>
      </c>
      <c r="BA664" s="289">
        <v>0.99</v>
      </c>
      <c r="BB664" s="287">
        <v>2.4300000000000002</v>
      </c>
      <c r="BC664" s="292">
        <v>68.2</v>
      </c>
      <c r="BD664" s="286" cm="1">
        <f t="array" aca="1" ref="BD664" ca="1">INDIRECT("'"&amp;$C664&amp;"'!"&amp;"$"&amp;$D664&amp;$BC$1&amp;"")</f>
        <v>0</v>
      </c>
      <c r="BE664" s="288" t="s">
        <v>1</v>
      </c>
      <c r="BF664" s="287" t="s">
        <v>1</v>
      </c>
      <c r="BG664" s="291" cm="1">
        <f t="array" aca="1" ref="BG664" ca="1">INDIRECT("'"&amp;$C664&amp;"'!"&amp;"$"&amp;$D664&amp;$BG$1&amp;"")</f>
        <v>1.17</v>
      </c>
      <c r="BH664" s="289"/>
      <c r="BI664" s="289">
        <v>0.99</v>
      </c>
      <c r="BJ664" s="287">
        <v>0.19</v>
      </c>
      <c r="BK664" s="292" cm="1">
        <f t="array" aca="1" ref="BK664" ca="1">INDIRECT("'"&amp;$C664&amp;"'!"&amp;"$"&amp;$D664&amp;$BK$1&amp;"")</f>
        <v>0.79</v>
      </c>
      <c r="BL664" s="289"/>
      <c r="BM664" s="289">
        <v>0.96</v>
      </c>
      <c r="BN664" s="287">
        <v>0.23</v>
      </c>
    </row>
    <row r="665" spans="1:66" ht="14.45" thickBot="1">
      <c r="A665" s="360">
        <v>45774</v>
      </c>
      <c r="B665" s="358">
        <v>0.41666666666666702</v>
      </c>
      <c r="C665" s="313">
        <f t="shared" si="26"/>
        <v>27</v>
      </c>
      <c r="D665" s="314" t="s">
        <v>137</v>
      </c>
      <c r="E665" s="293">
        <v>14.2</v>
      </c>
      <c r="F665" s="294">
        <v>69.42</v>
      </c>
      <c r="G665" s="295" cm="1">
        <f t="array" aca="1" ref="G665" ca="1">INDIRECT("'"&amp;$C665&amp;"'!"&amp;"$"&amp;$D665&amp;$E$1&amp;"")</f>
        <v>6.7</v>
      </c>
      <c r="H665" s="296">
        <v>0.95</v>
      </c>
      <c r="I665" s="294">
        <v>2.2000000000000002</v>
      </c>
      <c r="J665" s="295" cm="1">
        <f t="array" aca="1" ref="J665" ca="1">INDIRECT("'"&amp;$C665&amp;"'!"&amp;"$"&amp;$D665&amp;$J$1&amp;"")</f>
        <v>0</v>
      </c>
      <c r="K665" s="296"/>
      <c r="L665" s="296" t="s">
        <v>1</v>
      </c>
      <c r="M665" s="294" t="s">
        <v>1</v>
      </c>
      <c r="N665" s="295" cm="1">
        <f t="array" aca="1" ref="N665" ca="1">INDIRECT("'"&amp;$C665&amp;"'!"&amp;"$"&amp;$D665&amp;$N$1&amp;"")</f>
        <v>6.7</v>
      </c>
      <c r="O665" s="296"/>
      <c r="P665" s="296">
        <v>0.95</v>
      </c>
      <c r="Q665" s="294">
        <v>2.2000000000000002</v>
      </c>
      <c r="R665" s="295" cm="1">
        <f t="array" aca="1" ref="R665" ca="1">INDIRECT("'"&amp;$C665&amp;"'!"&amp;"$"&amp;$D665&amp;$R$1&amp;"")</f>
        <v>6.7</v>
      </c>
      <c r="S665" s="296"/>
      <c r="T665" s="296">
        <v>0.95</v>
      </c>
      <c r="U665" s="294">
        <v>2.2000000000000002</v>
      </c>
      <c r="V665" s="295" cm="1">
        <f t="array" aca="1" ref="V665" ca="1">INDIRECT("'"&amp;$C665&amp;"'!"&amp;"$"&amp;$D665&amp;$V$1&amp;"")</f>
        <v>2.4</v>
      </c>
      <c r="W665" s="296">
        <f>3.8*3.53</f>
        <v>13.413999999999998</v>
      </c>
      <c r="X665" s="296">
        <v>0.9</v>
      </c>
      <c r="Y665" s="297">
        <v>1.1299999999999999</v>
      </c>
      <c r="Z665" s="293" cm="1">
        <f t="array" aca="1" ref="Z665" ca="1">INDIRECT("'"&amp;$C665&amp;"'!"&amp;"$"&amp;$D665&amp;$Z$1&amp;"")</f>
        <v>0</v>
      </c>
      <c r="AA665" s="296" t="s">
        <v>1</v>
      </c>
      <c r="AB665" s="296" t="s">
        <v>1</v>
      </c>
      <c r="AC665" s="294" t="s">
        <v>1</v>
      </c>
      <c r="AD665" s="295" cm="1">
        <f t="array" aca="1" ref="AD665" ca="1">INDIRECT("'"&amp;$C665&amp;"'!"&amp;"$"&amp;$D665&amp;$AD$1&amp;"")</f>
        <v>3.8</v>
      </c>
      <c r="AE665" s="296">
        <f>3.8*3.53</f>
        <v>13.413999999999998</v>
      </c>
      <c r="AF665" s="296">
        <v>0.9</v>
      </c>
      <c r="AG665" s="297">
        <v>1.9</v>
      </c>
      <c r="AH665" s="293" t="str" cm="1">
        <f t="array" aca="1" ref="AH665" ca="1">INDIRECT("'"&amp;$C665&amp;"'!"&amp;"$"&amp;$D665&amp;$AH$1&amp;"")</f>
        <v>CMS</v>
      </c>
      <c r="AI665" s="296" t="s">
        <v>1</v>
      </c>
      <c r="AJ665" s="296" t="s">
        <v>1</v>
      </c>
      <c r="AK665" s="294" t="s">
        <v>1</v>
      </c>
      <c r="AL665" s="293">
        <v>11.8</v>
      </c>
      <c r="AM665" s="297">
        <v>70.099999999999994</v>
      </c>
      <c r="AN665" s="293" cm="1">
        <f t="array" aca="1" ref="AN665" ca="1">INDIRECT("'"&amp;$C665&amp;"'!"&amp;"$"&amp;$D665&amp;$AL$1&amp;"")</f>
        <v>4</v>
      </c>
      <c r="AO665" s="296">
        <v>0.97</v>
      </c>
      <c r="AP665" s="294">
        <v>0.88</v>
      </c>
      <c r="AQ665" s="295" cm="1">
        <f t="array" aca="1" ref="AQ665" ca="1">INDIRECT("'"&amp;$C665&amp;"'!"&amp;"$"&amp;$D665&amp;$AQ$1&amp;"")</f>
        <v>4</v>
      </c>
      <c r="AR665" s="296">
        <v>0.97</v>
      </c>
      <c r="AS665" s="294">
        <v>0.88</v>
      </c>
      <c r="AT665" s="296" cm="1">
        <f t="array" aca="1" ref="AT665" ca="1">INDIRECT("'"&amp;$C665&amp;"'!"&amp;"$"&amp;$D665&amp;$AT$1&amp;"")</f>
        <v>0</v>
      </c>
      <c r="AU665" s="295" t="s">
        <v>1</v>
      </c>
      <c r="AV665" s="296" t="s">
        <v>1</v>
      </c>
      <c r="AW665" s="294" t="s">
        <v>1</v>
      </c>
      <c r="AX665" s="298">
        <v>14.03</v>
      </c>
      <c r="AY665" s="297">
        <v>70.989999999999995</v>
      </c>
      <c r="AZ665" s="298" cm="1">
        <f t="array" aca="1" ref="AZ665" ca="1">INDIRECT("'"&amp;$C665&amp;"'!"&amp;"$"&amp;$D665&amp;$AZ$1&amp;"")</f>
        <v>14.28</v>
      </c>
      <c r="BA665" s="296">
        <v>0.99</v>
      </c>
      <c r="BB665" s="294">
        <v>2.4</v>
      </c>
      <c r="BC665" s="299">
        <v>68.2</v>
      </c>
      <c r="BD665" s="293" cm="1">
        <f t="array" aca="1" ref="BD665" ca="1">INDIRECT("'"&amp;$C665&amp;"'!"&amp;"$"&amp;$D665&amp;$BC$1&amp;"")</f>
        <v>0</v>
      </c>
      <c r="BE665" s="295" t="s">
        <v>1</v>
      </c>
      <c r="BF665" s="294" t="s">
        <v>1</v>
      </c>
      <c r="BG665" s="298" cm="1">
        <f t="array" aca="1" ref="BG665" ca="1">INDIRECT("'"&amp;$C665&amp;"'!"&amp;"$"&amp;$D665&amp;$BG$1&amp;"")</f>
        <v>1.22</v>
      </c>
      <c r="BH665" s="296"/>
      <c r="BI665" s="296">
        <v>0.99</v>
      </c>
      <c r="BJ665" s="294">
        <v>0.2</v>
      </c>
      <c r="BK665" s="299" cm="1">
        <f t="array" aca="1" ref="BK665" ca="1">INDIRECT("'"&amp;$C665&amp;"'!"&amp;"$"&amp;$D665&amp;$BK$1&amp;"")</f>
        <v>0.84</v>
      </c>
      <c r="BL665" s="296"/>
      <c r="BM665" s="296">
        <v>0.96</v>
      </c>
      <c r="BN665" s="294">
        <v>0.25</v>
      </c>
    </row>
    <row r="666" spans="1:66" ht="14.45" thickBot="1">
      <c r="A666" s="360">
        <v>45774</v>
      </c>
      <c r="B666" s="358">
        <v>0.45833333333333398</v>
      </c>
      <c r="C666" s="313">
        <f t="shared" si="26"/>
        <v>27</v>
      </c>
      <c r="D666" s="314" t="s">
        <v>138</v>
      </c>
      <c r="E666" s="286">
        <v>14.2</v>
      </c>
      <c r="F666" s="287">
        <v>69.77</v>
      </c>
      <c r="G666" s="288" cm="1">
        <f t="array" aca="1" ref="G666" ca="1">INDIRECT("'"&amp;$C666&amp;"'!"&amp;"$"&amp;$D666&amp;$E$1&amp;"")</f>
        <v>6.3</v>
      </c>
      <c r="H666" s="289">
        <v>0.95</v>
      </c>
      <c r="I666" s="287">
        <v>2.0099999999999998</v>
      </c>
      <c r="J666" s="288" cm="1">
        <f t="array" aca="1" ref="J666" ca="1">INDIRECT("'"&amp;$C666&amp;"'!"&amp;"$"&amp;$D666&amp;$J$1&amp;"")</f>
        <v>6.9</v>
      </c>
      <c r="K666" s="289"/>
      <c r="L666" s="289">
        <v>0.94</v>
      </c>
      <c r="M666" s="287">
        <v>2.5</v>
      </c>
      <c r="N666" s="288" cm="1">
        <f t="array" aca="1" ref="N666" ca="1">INDIRECT("'"&amp;$C666&amp;"'!"&amp;"$"&amp;$D666&amp;$N$1&amp;"")</f>
        <v>6.3</v>
      </c>
      <c r="O666" s="289"/>
      <c r="P666" s="289">
        <v>0.95</v>
      </c>
      <c r="Q666" s="287">
        <v>2.0099999999999998</v>
      </c>
      <c r="R666" s="288" cm="1">
        <f t="array" aca="1" ref="R666" ca="1">INDIRECT("'"&amp;$C666&amp;"'!"&amp;"$"&amp;$D666&amp;$R$1&amp;"")</f>
        <v>0</v>
      </c>
      <c r="S666" s="289"/>
      <c r="T666" s="289" t="s">
        <v>1</v>
      </c>
      <c r="U666" s="287" t="s">
        <v>1</v>
      </c>
      <c r="V666" s="288" cm="1">
        <f t="array" aca="1" ref="V666" ca="1">INDIRECT("'"&amp;$C666&amp;"'!"&amp;"$"&amp;$D666&amp;$V$1&amp;"")</f>
        <v>2.8</v>
      </c>
      <c r="W666" s="289">
        <f>3.68*3.8</f>
        <v>13.984</v>
      </c>
      <c r="X666" s="289">
        <v>0.9</v>
      </c>
      <c r="Y666" s="290">
        <v>1.31</v>
      </c>
      <c r="Z666" s="286" cm="1">
        <f t="array" aca="1" ref="Z666" ca="1">INDIRECT("'"&amp;$C666&amp;"'!"&amp;"$"&amp;$D666&amp;$Z$1&amp;"")</f>
        <v>0</v>
      </c>
      <c r="AA666" s="289" t="s">
        <v>1</v>
      </c>
      <c r="AB666" s="289" t="s">
        <v>1</v>
      </c>
      <c r="AC666" s="287" t="s">
        <v>1</v>
      </c>
      <c r="AD666" s="288" cm="1">
        <f t="array" aca="1" ref="AD666" ca="1">INDIRECT("'"&amp;$C666&amp;"'!"&amp;"$"&amp;$D666&amp;$AD$1&amp;"")</f>
        <v>3.8</v>
      </c>
      <c r="AE666" s="289">
        <v>13.984</v>
      </c>
      <c r="AF666" s="289">
        <v>0.9</v>
      </c>
      <c r="AG666" s="290">
        <v>1.93</v>
      </c>
      <c r="AH666" s="286" t="str" cm="1">
        <f t="array" aca="1" ref="AH666" ca="1">INDIRECT("'"&amp;$C666&amp;"'!"&amp;"$"&amp;$D666&amp;$AH$1&amp;"")</f>
        <v>CMS</v>
      </c>
      <c r="AI666" s="289" t="s">
        <v>1</v>
      </c>
      <c r="AJ666" s="289" t="s">
        <v>1</v>
      </c>
      <c r="AK666" s="287" t="s">
        <v>1</v>
      </c>
      <c r="AL666" s="286">
        <v>11.9</v>
      </c>
      <c r="AM666" s="290">
        <v>70.400000000000006</v>
      </c>
      <c r="AN666" s="286" cm="1">
        <f t="array" aca="1" ref="AN666" ca="1">INDIRECT("'"&amp;$C666&amp;"'!"&amp;"$"&amp;$D666&amp;$AL$1&amp;"")</f>
        <v>4</v>
      </c>
      <c r="AO666" s="289">
        <v>0.98</v>
      </c>
      <c r="AP666" s="287">
        <v>0.77</v>
      </c>
      <c r="AQ666" s="288" cm="1">
        <f t="array" aca="1" ref="AQ666" ca="1">INDIRECT("'"&amp;$C666&amp;"'!"&amp;"$"&amp;$D666&amp;$AQ$1&amp;"")</f>
        <v>4</v>
      </c>
      <c r="AR666" s="289">
        <v>0.98</v>
      </c>
      <c r="AS666" s="287">
        <v>0.77</v>
      </c>
      <c r="AT666" s="289" cm="1">
        <f t="array" aca="1" ref="AT666" ca="1">INDIRECT("'"&amp;$C666&amp;"'!"&amp;"$"&amp;$D666&amp;$AT$1&amp;"")</f>
        <v>0</v>
      </c>
      <c r="AU666" s="288" t="s">
        <v>1</v>
      </c>
      <c r="AV666" s="289" t="s">
        <v>1</v>
      </c>
      <c r="AW666" s="287" t="s">
        <v>1</v>
      </c>
      <c r="AX666" s="291">
        <v>14.09</v>
      </c>
      <c r="AY666" s="290">
        <v>71.23</v>
      </c>
      <c r="AZ666" s="291" cm="1">
        <f t="array" aca="1" ref="AZ666" ca="1">INDIRECT("'"&amp;$C666&amp;"'!"&amp;"$"&amp;$D666&amp;$AZ$1&amp;"")</f>
        <v>14.29</v>
      </c>
      <c r="BA666" s="289">
        <v>0.99</v>
      </c>
      <c r="BB666" s="287">
        <v>2.46</v>
      </c>
      <c r="BC666" s="292">
        <v>68.599999999999994</v>
      </c>
      <c r="BD666" s="286" cm="1">
        <f t="array" aca="1" ref="BD666" ca="1">INDIRECT("'"&amp;$C666&amp;"'!"&amp;"$"&amp;$D666&amp;$BC$1&amp;"")</f>
        <v>0</v>
      </c>
      <c r="BE666" s="288" t="s">
        <v>1</v>
      </c>
      <c r="BF666" s="287" t="s">
        <v>1</v>
      </c>
      <c r="BG666" s="291" cm="1">
        <f t="array" aca="1" ref="BG666" ca="1">INDIRECT("'"&amp;$C666&amp;"'!"&amp;"$"&amp;$D666&amp;$BG$1&amp;"")</f>
        <v>1.25</v>
      </c>
      <c r="BH666" s="289"/>
      <c r="BI666" s="289">
        <v>0.99</v>
      </c>
      <c r="BJ666" s="287">
        <v>0.2</v>
      </c>
      <c r="BK666" s="292" cm="1">
        <f t="array" aca="1" ref="BK666" ca="1">INDIRECT("'"&amp;$C666&amp;"'!"&amp;"$"&amp;$D666&amp;$BK$1&amp;"")</f>
        <v>0.87</v>
      </c>
      <c r="BL666" s="289"/>
      <c r="BM666" s="289">
        <v>0.95</v>
      </c>
      <c r="BN666" s="287">
        <v>0.26</v>
      </c>
    </row>
    <row r="667" spans="1:66" ht="14.45" thickBot="1">
      <c r="A667" s="360">
        <v>45774</v>
      </c>
      <c r="B667" s="358">
        <v>0.5</v>
      </c>
      <c r="C667" s="313">
        <f t="shared" si="26"/>
        <v>27</v>
      </c>
      <c r="D667" s="314" t="s">
        <v>139</v>
      </c>
      <c r="E667" s="293">
        <v>14.2</v>
      </c>
      <c r="F667" s="294">
        <v>69.48</v>
      </c>
      <c r="G667" s="295" cm="1">
        <f t="array" aca="1" ref="G667" ca="1">INDIRECT("'"&amp;$C667&amp;"'!"&amp;"$"&amp;$D667&amp;$E$1&amp;"")</f>
        <v>6.6</v>
      </c>
      <c r="H667" s="296">
        <v>0.94</v>
      </c>
      <c r="I667" s="294">
        <v>2.33</v>
      </c>
      <c r="J667" s="295" cm="1">
        <f t="array" aca="1" ref="J667" ca="1">INDIRECT("'"&amp;$C667&amp;"'!"&amp;"$"&amp;$D667&amp;$J$1&amp;"")</f>
        <v>6.6</v>
      </c>
      <c r="K667" s="296"/>
      <c r="L667" s="296">
        <v>0.94</v>
      </c>
      <c r="M667" s="294">
        <v>2.33</v>
      </c>
      <c r="N667" s="295" cm="1">
        <f t="array" aca="1" ref="N667" ca="1">INDIRECT("'"&amp;$C667&amp;"'!"&amp;"$"&amp;$D667&amp;$N$1&amp;"")</f>
        <v>6.6</v>
      </c>
      <c r="O667" s="296"/>
      <c r="P667" s="296">
        <v>0.94</v>
      </c>
      <c r="Q667" s="294">
        <v>2.33</v>
      </c>
      <c r="R667" s="295" cm="1">
        <f t="array" aca="1" ref="R667" ca="1">INDIRECT("'"&amp;$C667&amp;"'!"&amp;"$"&amp;$D667&amp;$R$1&amp;"")</f>
        <v>0</v>
      </c>
      <c r="S667" s="296"/>
      <c r="T667" s="296" t="s">
        <v>1</v>
      </c>
      <c r="U667" s="294" t="s">
        <v>1</v>
      </c>
      <c r="V667" s="295" cm="1">
        <f t="array" aca="1" ref="V667" ca="1">INDIRECT("'"&amp;$C667&amp;"'!"&amp;"$"&amp;$D667&amp;$V$1&amp;"")</f>
        <v>2.8</v>
      </c>
      <c r="W667" s="296">
        <f>3.47*3.8</f>
        <v>13.186</v>
      </c>
      <c r="X667" s="296">
        <v>0.93</v>
      </c>
      <c r="Y667" s="297">
        <v>1.1100000000000001</v>
      </c>
      <c r="Z667" s="293" cm="1">
        <f t="array" aca="1" ref="Z667" ca="1">INDIRECT("'"&amp;$C667&amp;"'!"&amp;"$"&amp;$D667&amp;$Z$1&amp;"")</f>
        <v>0</v>
      </c>
      <c r="AA667" s="296" t="s">
        <v>1</v>
      </c>
      <c r="AB667" s="296" t="s">
        <v>1</v>
      </c>
      <c r="AC667" s="294" t="s">
        <v>1</v>
      </c>
      <c r="AD667" s="295" t="str" cm="1">
        <f t="array" aca="1" ref="AD667" ca="1">INDIRECT("'"&amp;$C667&amp;"'!"&amp;"$"&amp;$D667&amp;$AD$1&amp;"")</f>
        <v>CMS</v>
      </c>
      <c r="AE667" s="296" t="s">
        <v>1</v>
      </c>
      <c r="AF667" s="296" t="s">
        <v>1</v>
      </c>
      <c r="AG667" s="297" t="s">
        <v>1</v>
      </c>
      <c r="AH667" s="293" t="str" cm="1">
        <f t="array" aca="1" ref="AH667" ca="1">INDIRECT("'"&amp;$C667&amp;"'!"&amp;"$"&amp;$D667&amp;$AH$1&amp;"")</f>
        <v>CMS</v>
      </c>
      <c r="AI667" s="296" t="s">
        <v>1</v>
      </c>
      <c r="AJ667" s="296" t="s">
        <v>1</v>
      </c>
      <c r="AK667" s="294" t="s">
        <v>1</v>
      </c>
      <c r="AL667" s="293">
        <v>11.9</v>
      </c>
      <c r="AM667" s="297">
        <v>70.099999999999994</v>
      </c>
      <c r="AN667" s="293" cm="1">
        <f t="array" aca="1" ref="AN667" ca="1">INDIRECT("'"&amp;$C667&amp;"'!"&amp;"$"&amp;$D667&amp;$AL$1&amp;"")</f>
        <v>4</v>
      </c>
      <c r="AO667" s="296">
        <v>0.98</v>
      </c>
      <c r="AP667" s="294">
        <v>0.89</v>
      </c>
      <c r="AQ667" s="295" cm="1">
        <f t="array" aca="1" ref="AQ667" ca="1">INDIRECT("'"&amp;$C667&amp;"'!"&amp;"$"&amp;$D667&amp;$AQ$1&amp;"")</f>
        <v>4</v>
      </c>
      <c r="AR667" s="296">
        <v>0.98</v>
      </c>
      <c r="AS667" s="294">
        <v>0.89</v>
      </c>
      <c r="AT667" s="296" cm="1">
        <f t="array" aca="1" ref="AT667" ca="1">INDIRECT("'"&amp;$C667&amp;"'!"&amp;"$"&amp;$D667&amp;$AT$1&amp;"")</f>
        <v>0</v>
      </c>
      <c r="AU667" s="295" t="s">
        <v>1</v>
      </c>
      <c r="AV667" s="296" t="s">
        <v>1</v>
      </c>
      <c r="AW667" s="294" t="s">
        <v>1</v>
      </c>
      <c r="AX667" s="298">
        <v>14.05</v>
      </c>
      <c r="AY667" s="297">
        <v>71.19</v>
      </c>
      <c r="AZ667" s="298" cm="1">
        <f t="array" aca="1" ref="AZ667" ca="1">INDIRECT("'"&amp;$C667&amp;"'!"&amp;"$"&amp;$D667&amp;$AZ$1&amp;"")</f>
        <v>14.27</v>
      </c>
      <c r="BA667" s="296">
        <v>0.99</v>
      </c>
      <c r="BB667" s="294">
        <v>2.46</v>
      </c>
      <c r="BC667" s="299">
        <v>68.2</v>
      </c>
      <c r="BD667" s="293" cm="1">
        <f t="array" aca="1" ref="BD667" ca="1">INDIRECT("'"&amp;$C667&amp;"'!"&amp;"$"&amp;$D667&amp;$BC$1&amp;"")</f>
        <v>3</v>
      </c>
      <c r="BE667" s="295">
        <v>0.95</v>
      </c>
      <c r="BF667" s="294">
        <v>0.98</v>
      </c>
      <c r="BG667" s="298" cm="1">
        <f t="array" aca="1" ref="BG667" ca="1">INDIRECT("'"&amp;$C667&amp;"'!"&amp;"$"&amp;$D667&amp;$BG$1&amp;"")</f>
        <v>1.28</v>
      </c>
      <c r="BH667" s="296"/>
      <c r="BI667" s="296">
        <v>0.99</v>
      </c>
      <c r="BJ667" s="294">
        <v>0.21</v>
      </c>
      <c r="BK667" s="299" cm="1">
        <f t="array" aca="1" ref="BK667" ca="1">INDIRECT("'"&amp;$C667&amp;"'!"&amp;"$"&amp;$D667&amp;$BK$1&amp;"")</f>
        <v>0.84</v>
      </c>
      <c r="BL667" s="296"/>
      <c r="BM667" s="296">
        <v>0.96</v>
      </c>
      <c r="BN667" s="294">
        <v>0.25</v>
      </c>
    </row>
    <row r="668" spans="1:66" ht="14.45" thickBot="1">
      <c r="A668" s="360">
        <v>45774</v>
      </c>
      <c r="B668" s="358">
        <v>0.54166666666666696</v>
      </c>
      <c r="C668" s="313">
        <f t="shared" si="26"/>
        <v>27</v>
      </c>
      <c r="D668" s="314" t="s">
        <v>140</v>
      </c>
      <c r="E668" s="286">
        <v>14.3</v>
      </c>
      <c r="F668" s="287">
        <v>69.61</v>
      </c>
      <c r="G668" s="288" cm="1">
        <f t="array" aca="1" ref="G668" ca="1">INDIRECT("'"&amp;$C668&amp;"'!"&amp;"$"&amp;$D668&amp;$E$1&amp;"")</f>
        <v>6.6</v>
      </c>
      <c r="H668" s="289">
        <v>0.94</v>
      </c>
      <c r="I668" s="287">
        <v>2.33</v>
      </c>
      <c r="J668" s="288" cm="1">
        <f t="array" aca="1" ref="J668" ca="1">INDIRECT("'"&amp;$C668&amp;"'!"&amp;"$"&amp;$D668&amp;$J$1&amp;"")</f>
        <v>6.6</v>
      </c>
      <c r="K668" s="289"/>
      <c r="L668" s="289">
        <v>0.94</v>
      </c>
      <c r="M668" s="287">
        <v>2.33</v>
      </c>
      <c r="N668" s="288" cm="1">
        <f t="array" aca="1" ref="N668" ca="1">INDIRECT("'"&amp;$C668&amp;"'!"&amp;"$"&amp;$D668&amp;$N$1&amp;"")</f>
        <v>6.6</v>
      </c>
      <c r="O668" s="289"/>
      <c r="P668" s="289">
        <v>0.94</v>
      </c>
      <c r="Q668" s="287">
        <v>2.33</v>
      </c>
      <c r="R668" s="288" cm="1">
        <f t="array" aca="1" ref="R668" ca="1">INDIRECT("'"&amp;$C668&amp;"'!"&amp;"$"&amp;$D668&amp;$R$1&amp;"")</f>
        <v>0</v>
      </c>
      <c r="S668" s="289"/>
      <c r="T668" s="289" t="s">
        <v>1</v>
      </c>
      <c r="U668" s="287" t="s">
        <v>1</v>
      </c>
      <c r="V668" s="288" cm="1">
        <f t="array" aca="1" ref="V668" ca="1">INDIRECT("'"&amp;$C668&amp;"'!"&amp;"$"&amp;$D668&amp;$V$1&amp;"")</f>
        <v>2.8</v>
      </c>
      <c r="W668" s="289">
        <f>3.48*3.8</f>
        <v>13.224</v>
      </c>
      <c r="X668" s="289">
        <v>0.93</v>
      </c>
      <c r="Y668" s="290">
        <v>1.1200000000000001</v>
      </c>
      <c r="Z668" s="286" cm="1">
        <f t="array" aca="1" ref="Z668" ca="1">INDIRECT("'"&amp;$C668&amp;"'!"&amp;"$"&amp;$D668&amp;$Z$1&amp;"")</f>
        <v>0</v>
      </c>
      <c r="AA668" s="289" t="s">
        <v>1</v>
      </c>
      <c r="AB668" s="289" t="s">
        <v>1</v>
      </c>
      <c r="AC668" s="287" t="s">
        <v>1</v>
      </c>
      <c r="AD668" s="288" t="str" cm="1">
        <f t="array" aca="1" ref="AD668" ca="1">INDIRECT("'"&amp;$C668&amp;"'!"&amp;"$"&amp;$D668&amp;$AD$1&amp;"")</f>
        <v>CMS</v>
      </c>
      <c r="AE668" s="289" t="s">
        <v>1</v>
      </c>
      <c r="AF668" s="289" t="s">
        <v>1</v>
      </c>
      <c r="AG668" s="290" t="s">
        <v>1</v>
      </c>
      <c r="AH668" s="286" t="str" cm="1">
        <f t="array" aca="1" ref="AH668" ca="1">INDIRECT("'"&amp;$C668&amp;"'!"&amp;"$"&amp;$D668&amp;$AH$1&amp;"")</f>
        <v>CMS</v>
      </c>
      <c r="AI668" s="289" t="s">
        <v>1</v>
      </c>
      <c r="AJ668" s="289" t="s">
        <v>1</v>
      </c>
      <c r="AK668" s="287" t="s">
        <v>1</v>
      </c>
      <c r="AL668" s="286">
        <v>11.8</v>
      </c>
      <c r="AM668" s="290">
        <v>70.2</v>
      </c>
      <c r="AN668" s="286" cm="1">
        <f t="array" aca="1" ref="AN668" ca="1">INDIRECT("'"&amp;$C668&amp;"'!"&amp;"$"&amp;$D668&amp;$AL$1&amp;"")</f>
        <v>4.0999999999999996</v>
      </c>
      <c r="AO668" s="289">
        <v>0.97</v>
      </c>
      <c r="AP668" s="287">
        <v>0.81</v>
      </c>
      <c r="AQ668" s="288" cm="1">
        <f t="array" aca="1" ref="AQ668" ca="1">INDIRECT("'"&amp;$C668&amp;"'!"&amp;"$"&amp;$D668&amp;$AQ$1&amp;"")</f>
        <v>4.0999999999999996</v>
      </c>
      <c r="AR668" s="289">
        <v>0.97</v>
      </c>
      <c r="AS668" s="287">
        <v>0.81</v>
      </c>
      <c r="AT668" s="289" cm="1">
        <f t="array" aca="1" ref="AT668" ca="1">INDIRECT("'"&amp;$C668&amp;"'!"&amp;"$"&amp;$D668&amp;$AT$1&amp;"")</f>
        <v>0</v>
      </c>
      <c r="AU668" s="288" t="s">
        <v>1</v>
      </c>
      <c r="AV668" s="289" t="s">
        <v>1</v>
      </c>
      <c r="AW668" s="287" t="s">
        <v>1</v>
      </c>
      <c r="AX668" s="291">
        <v>14.07</v>
      </c>
      <c r="AY668" s="290">
        <v>71.17</v>
      </c>
      <c r="AZ668" s="291" cm="1">
        <f t="array" aca="1" ref="AZ668" ca="1">INDIRECT("'"&amp;$C668&amp;"'!"&amp;"$"&amp;$D668&amp;$AZ$1&amp;"")</f>
        <v>14.31</v>
      </c>
      <c r="BA668" s="289">
        <v>0.99</v>
      </c>
      <c r="BB668" s="287">
        <v>2.4300000000000002</v>
      </c>
      <c r="BC668" s="292">
        <v>68.3</v>
      </c>
      <c r="BD668" s="286" cm="1">
        <f t="array" aca="1" ref="BD668" ca="1">INDIRECT("'"&amp;$C668&amp;"'!"&amp;"$"&amp;$D668&amp;$BC$1&amp;"")</f>
        <v>3</v>
      </c>
      <c r="BE668" s="288">
        <v>0.95</v>
      </c>
      <c r="BF668" s="287">
        <v>0.97</v>
      </c>
      <c r="BG668" s="291" cm="1">
        <f t="array" aca="1" ref="BG668" ca="1">INDIRECT("'"&amp;$C668&amp;"'!"&amp;"$"&amp;$D668&amp;$BG$1&amp;"")</f>
        <v>1.1000000000000001</v>
      </c>
      <c r="BH668" s="289"/>
      <c r="BI668" s="289">
        <v>0.99</v>
      </c>
      <c r="BJ668" s="287">
        <v>0.17</v>
      </c>
      <c r="BK668" s="292" cm="1">
        <f t="array" aca="1" ref="BK668" ca="1">INDIRECT("'"&amp;$C668&amp;"'!"&amp;"$"&amp;$D668&amp;$BK$1&amp;"")</f>
        <v>0.83</v>
      </c>
      <c r="BL668" s="289"/>
      <c r="BM668" s="289">
        <v>0.96</v>
      </c>
      <c r="BN668" s="287">
        <v>0.25</v>
      </c>
    </row>
    <row r="669" spans="1:66" ht="14.45" thickBot="1">
      <c r="A669" s="360">
        <v>45774</v>
      </c>
      <c r="B669" s="358">
        <v>0.58333333333333404</v>
      </c>
      <c r="C669" s="313">
        <f t="shared" si="26"/>
        <v>27</v>
      </c>
      <c r="D669" s="314" t="s">
        <v>141</v>
      </c>
      <c r="E669" s="293">
        <v>14.2</v>
      </c>
      <c r="F669" s="294">
        <v>69.11</v>
      </c>
      <c r="G669" s="295" cm="1">
        <f t="array" aca="1" ref="G669" ca="1">INDIRECT("'"&amp;$C669&amp;"'!"&amp;"$"&amp;$D669&amp;$E$1&amp;"")</f>
        <v>6.7</v>
      </c>
      <c r="H669" s="296">
        <v>0.93</v>
      </c>
      <c r="I669" s="294">
        <v>2.64</v>
      </c>
      <c r="J669" s="295" cm="1">
        <f t="array" aca="1" ref="J669" ca="1">INDIRECT("'"&amp;$C669&amp;"'!"&amp;"$"&amp;$D669&amp;$J$1&amp;"")</f>
        <v>6.7</v>
      </c>
      <c r="K669" s="296"/>
      <c r="L669" s="296">
        <v>0.93</v>
      </c>
      <c r="M669" s="294">
        <v>2.64</v>
      </c>
      <c r="N669" s="295" cm="1">
        <f t="array" aca="1" ref="N669" ca="1">INDIRECT("'"&amp;$C669&amp;"'!"&amp;"$"&amp;$D669&amp;$N$1&amp;"")</f>
        <v>6.7</v>
      </c>
      <c r="O669" s="296"/>
      <c r="P669" s="296">
        <v>0.93</v>
      </c>
      <c r="Q669" s="294">
        <v>2.64</v>
      </c>
      <c r="R669" s="295" cm="1">
        <f t="array" aca="1" ref="R669" ca="1">INDIRECT("'"&amp;$C669&amp;"'!"&amp;"$"&amp;$D669&amp;$R$1&amp;"")</f>
        <v>0</v>
      </c>
      <c r="S669" s="296"/>
      <c r="T669" s="296" t="s">
        <v>1</v>
      </c>
      <c r="U669" s="294" t="s">
        <v>1</v>
      </c>
      <c r="V669" s="295" cm="1">
        <f t="array" aca="1" ref="V669" ca="1">INDIRECT("'"&amp;$C669&amp;"'!"&amp;"$"&amp;$D669&amp;$V$1&amp;"")</f>
        <v>2.8</v>
      </c>
      <c r="W669" s="296">
        <f>3.44*3.8</f>
        <v>13.071999999999999</v>
      </c>
      <c r="X669" s="296">
        <v>0.93</v>
      </c>
      <c r="Y669" s="297">
        <v>1.1299999999999999</v>
      </c>
      <c r="Z669" s="293" cm="1">
        <f t="array" aca="1" ref="Z669" ca="1">INDIRECT("'"&amp;$C669&amp;"'!"&amp;"$"&amp;$D669&amp;$Z$1&amp;"")</f>
        <v>0</v>
      </c>
      <c r="AA669" s="296" t="s">
        <v>1</v>
      </c>
      <c r="AB669" s="296" t="s">
        <v>1</v>
      </c>
      <c r="AC669" s="294" t="s">
        <v>1</v>
      </c>
      <c r="AD669" s="295" t="str" cm="1">
        <f t="array" aca="1" ref="AD669" ca="1">INDIRECT("'"&amp;$C669&amp;"'!"&amp;"$"&amp;$D669&amp;$AD$1&amp;"")</f>
        <v>CMS</v>
      </c>
      <c r="AE669" s="296" t="s">
        <v>1</v>
      </c>
      <c r="AF669" s="296" t="s">
        <v>1</v>
      </c>
      <c r="AG669" s="297" t="s">
        <v>1</v>
      </c>
      <c r="AH669" s="293" t="str" cm="1">
        <f t="array" aca="1" ref="AH669" ca="1">INDIRECT("'"&amp;$C669&amp;"'!"&amp;"$"&amp;$D669&amp;$AH$1&amp;"")</f>
        <v>CMS</v>
      </c>
      <c r="AI669" s="296" t="s">
        <v>1</v>
      </c>
      <c r="AJ669" s="296" t="s">
        <v>1</v>
      </c>
      <c r="AK669" s="294" t="s">
        <v>1</v>
      </c>
      <c r="AL669" s="293">
        <v>11.8</v>
      </c>
      <c r="AM669" s="297">
        <v>70.3</v>
      </c>
      <c r="AN669" s="293" cm="1">
        <f t="array" aca="1" ref="AN669" ca="1">INDIRECT("'"&amp;$C669&amp;"'!"&amp;"$"&amp;$D669&amp;$AL$1&amp;"")</f>
        <v>4.0999999999999996</v>
      </c>
      <c r="AO669" s="296">
        <v>0.98</v>
      </c>
      <c r="AP669" s="294">
        <v>0.71</v>
      </c>
      <c r="AQ669" s="295" cm="1">
        <f t="array" aca="1" ref="AQ669" ca="1">INDIRECT("'"&amp;$C669&amp;"'!"&amp;"$"&amp;$D669&amp;$AQ$1&amp;"")</f>
        <v>4.0999999999999996</v>
      </c>
      <c r="AR669" s="296">
        <v>0.98</v>
      </c>
      <c r="AS669" s="294">
        <v>0.71</v>
      </c>
      <c r="AT669" s="296" cm="1">
        <f t="array" aca="1" ref="AT669" ca="1">INDIRECT("'"&amp;$C669&amp;"'!"&amp;"$"&amp;$D669&amp;$AT$1&amp;"")</f>
        <v>3.68</v>
      </c>
      <c r="AU669" s="295">
        <v>13.82</v>
      </c>
      <c r="AV669" s="296">
        <v>0.93</v>
      </c>
      <c r="AW669" s="294">
        <v>1.38</v>
      </c>
      <c r="AX669" s="298">
        <v>14.1</v>
      </c>
      <c r="AY669" s="297">
        <v>71.33</v>
      </c>
      <c r="AZ669" s="298" cm="1">
        <f t="array" aca="1" ref="AZ669" ca="1">INDIRECT("'"&amp;$C669&amp;"'!"&amp;"$"&amp;$D669&amp;$AZ$1&amp;"")</f>
        <v>14.3</v>
      </c>
      <c r="BA669" s="296">
        <v>0.99</v>
      </c>
      <c r="BB669" s="294">
        <v>2.44</v>
      </c>
      <c r="BC669" s="299">
        <v>67.900000000000006</v>
      </c>
      <c r="BD669" s="293" cm="1">
        <f t="array" aca="1" ref="BD669" ca="1">INDIRECT("'"&amp;$C669&amp;"'!"&amp;"$"&amp;$D669&amp;$BC$1&amp;"")</f>
        <v>0</v>
      </c>
      <c r="BE669" s="295" t="s">
        <v>1</v>
      </c>
      <c r="BF669" s="294" t="s">
        <v>1</v>
      </c>
      <c r="BG669" s="298" cm="1">
        <f t="array" aca="1" ref="BG669" ca="1">INDIRECT("'"&amp;$C669&amp;"'!"&amp;"$"&amp;$D669&amp;$BG$1&amp;"")</f>
        <v>1.24</v>
      </c>
      <c r="BH669" s="296"/>
      <c r="BI669" s="296">
        <v>0.99</v>
      </c>
      <c r="BJ669" s="294">
        <v>0.13</v>
      </c>
      <c r="BK669" s="299" cm="1">
        <f t="array" aca="1" ref="BK669" ca="1">INDIRECT("'"&amp;$C669&amp;"'!"&amp;"$"&amp;$D669&amp;$BK$1&amp;"")</f>
        <v>0.83</v>
      </c>
      <c r="BL669" s="296"/>
      <c r="BM669" s="296">
        <v>0.95</v>
      </c>
      <c r="BN669" s="294">
        <v>0.25</v>
      </c>
    </row>
    <row r="670" spans="1:66" ht="14.45" thickBot="1">
      <c r="A670" s="360">
        <v>45774</v>
      </c>
      <c r="B670" s="358">
        <v>0.625</v>
      </c>
      <c r="C670" s="313">
        <f t="shared" si="26"/>
        <v>27</v>
      </c>
      <c r="D670" s="314" t="s">
        <v>142</v>
      </c>
      <c r="E670" s="286">
        <v>14.2</v>
      </c>
      <c r="F670" s="287">
        <v>69.319999999999993</v>
      </c>
      <c r="G670" s="288" cm="1">
        <f t="array" aca="1" ref="G670" ca="1">INDIRECT("'"&amp;$C670&amp;"'!"&amp;"$"&amp;$D670&amp;$E$1&amp;"")</f>
        <v>6.7</v>
      </c>
      <c r="H670" s="289">
        <v>0.93</v>
      </c>
      <c r="I670" s="287">
        <v>2.61</v>
      </c>
      <c r="J670" s="288" cm="1">
        <f t="array" aca="1" ref="J670" ca="1">INDIRECT("'"&amp;$C670&amp;"'!"&amp;"$"&amp;$D670&amp;$J$1&amp;"")</f>
        <v>6.7</v>
      </c>
      <c r="K670" s="289"/>
      <c r="L670" s="289">
        <v>0.93</v>
      </c>
      <c r="M670" s="287">
        <v>2.61</v>
      </c>
      <c r="N670" s="288" cm="1">
        <f t="array" aca="1" ref="N670" ca="1">INDIRECT("'"&amp;$C670&amp;"'!"&amp;"$"&amp;$D670&amp;$N$1&amp;"")</f>
        <v>6.7</v>
      </c>
      <c r="O670" s="289"/>
      <c r="P670" s="289">
        <v>0.93</v>
      </c>
      <c r="Q670" s="287">
        <v>2.61</v>
      </c>
      <c r="R670" s="288" cm="1">
        <f t="array" aca="1" ref="R670" ca="1">INDIRECT("'"&amp;$C670&amp;"'!"&amp;"$"&amp;$D670&amp;$R$1&amp;"")</f>
        <v>0</v>
      </c>
      <c r="S670" s="289"/>
      <c r="T670" s="289" t="s">
        <v>1</v>
      </c>
      <c r="U670" s="287" t="s">
        <v>1</v>
      </c>
      <c r="V670" s="288" cm="1">
        <f t="array" aca="1" ref="V670" ca="1">INDIRECT("'"&amp;$C670&amp;"'!"&amp;"$"&amp;$D670&amp;$V$1&amp;"")</f>
        <v>2.8</v>
      </c>
      <c r="W670" s="289">
        <f>3.8*3.47</f>
        <v>13.186</v>
      </c>
      <c r="X670" s="289">
        <v>0.93</v>
      </c>
      <c r="Y670" s="290">
        <v>1.1399999999999999</v>
      </c>
      <c r="Z670" s="286" cm="1">
        <f t="array" aca="1" ref="Z670" ca="1">INDIRECT("'"&amp;$C670&amp;"'!"&amp;"$"&amp;$D670&amp;$Z$1&amp;"")</f>
        <v>0</v>
      </c>
      <c r="AA670" s="289" t="s">
        <v>1</v>
      </c>
      <c r="AB670" s="289" t="s">
        <v>1</v>
      </c>
      <c r="AC670" s="287" t="s">
        <v>1</v>
      </c>
      <c r="AD670" s="288" t="str" cm="1">
        <f t="array" aca="1" ref="AD670" ca="1">INDIRECT("'"&amp;$C670&amp;"'!"&amp;"$"&amp;$D670&amp;$AD$1&amp;"")</f>
        <v>CMS</v>
      </c>
      <c r="AE670" s="289" t="s">
        <v>1</v>
      </c>
      <c r="AF670" s="289" t="s">
        <v>1</v>
      </c>
      <c r="AG670" s="290" t="s">
        <v>1</v>
      </c>
      <c r="AH670" s="286" t="str" cm="1">
        <f t="array" aca="1" ref="AH670" ca="1">INDIRECT("'"&amp;$C670&amp;"'!"&amp;"$"&amp;$D670&amp;$AH$1&amp;"")</f>
        <v>CMS</v>
      </c>
      <c r="AI670" s="289" t="s">
        <v>1</v>
      </c>
      <c r="AJ670" s="289" t="s">
        <v>1</v>
      </c>
      <c r="AK670" s="287" t="s">
        <v>1</v>
      </c>
      <c r="AL670" s="286">
        <v>11.9</v>
      </c>
      <c r="AM670" s="290">
        <v>70.400000000000006</v>
      </c>
      <c r="AN670" s="286" cm="1">
        <f t="array" aca="1" ref="AN670" ca="1">INDIRECT("'"&amp;$C670&amp;"'!"&amp;"$"&amp;$D670&amp;$AL$1&amp;"")</f>
        <v>4.0999999999999996</v>
      </c>
      <c r="AO670" s="289">
        <v>0.98</v>
      </c>
      <c r="AP670" s="287">
        <v>0.67</v>
      </c>
      <c r="AQ670" s="288" cm="1">
        <f t="array" aca="1" ref="AQ670" ca="1">INDIRECT("'"&amp;$C670&amp;"'!"&amp;"$"&amp;$D670&amp;$AQ$1&amp;"")</f>
        <v>4.0999999999999996</v>
      </c>
      <c r="AR670" s="289">
        <v>0.98</v>
      </c>
      <c r="AS670" s="287">
        <v>0.67</v>
      </c>
      <c r="AT670" s="289" cm="1">
        <f t="array" aca="1" ref="AT670" ca="1">INDIRECT("'"&amp;$C670&amp;"'!"&amp;"$"&amp;$D670&amp;$AT$1&amp;"")</f>
        <v>3.06</v>
      </c>
      <c r="AU670" s="288">
        <v>13.83</v>
      </c>
      <c r="AV670" s="289">
        <v>0.92</v>
      </c>
      <c r="AW670" s="287">
        <v>1.32</v>
      </c>
      <c r="AX670" s="291">
        <v>14.11</v>
      </c>
      <c r="AY670" s="290">
        <v>71.400000000000006</v>
      </c>
      <c r="AZ670" s="291" cm="1">
        <f t="array" aca="1" ref="AZ670" ca="1">INDIRECT("'"&amp;$C670&amp;"'!"&amp;"$"&amp;$D670&amp;$AZ$1&amp;"")</f>
        <v>13.31</v>
      </c>
      <c r="BA670" s="289">
        <v>0.99</v>
      </c>
      <c r="BB670" s="287">
        <v>2.35</v>
      </c>
      <c r="BC670" s="292">
        <v>67.8</v>
      </c>
      <c r="BD670" s="286" cm="1">
        <f t="array" aca="1" ref="BD670" ca="1">INDIRECT("'"&amp;$C670&amp;"'!"&amp;"$"&amp;$D670&amp;$BC$1&amp;"")</f>
        <v>0</v>
      </c>
      <c r="BE670" s="288"/>
      <c r="BF670" s="287"/>
      <c r="BG670" s="291" cm="1">
        <f t="array" aca="1" ref="BG670" ca="1">INDIRECT("'"&amp;$C670&amp;"'!"&amp;"$"&amp;$D670&amp;$BG$1&amp;"")</f>
        <v>1.18</v>
      </c>
      <c r="BH670" s="289"/>
      <c r="BI670" s="289">
        <v>0.99</v>
      </c>
      <c r="BJ670" s="287">
        <v>0.19</v>
      </c>
      <c r="BK670" s="292" cm="1">
        <f t="array" aca="1" ref="BK670" ca="1">INDIRECT("'"&amp;$C670&amp;"'!"&amp;"$"&amp;$D670&amp;$BK$1&amp;"")</f>
        <v>0.84</v>
      </c>
      <c r="BL670" s="289"/>
      <c r="BM670" s="289">
        <v>0.95</v>
      </c>
      <c r="BN670" s="287">
        <v>0.25</v>
      </c>
    </row>
    <row r="671" spans="1:66" ht="14.45" thickBot="1">
      <c r="A671" s="360">
        <v>45774</v>
      </c>
      <c r="B671" s="358">
        <v>0.66666666666666696</v>
      </c>
      <c r="C671" s="313">
        <f t="shared" si="26"/>
        <v>27</v>
      </c>
      <c r="D671" s="314" t="s">
        <v>143</v>
      </c>
      <c r="E671" s="293">
        <v>14.2</v>
      </c>
      <c r="F671" s="294">
        <v>69.099999999999994</v>
      </c>
      <c r="G671" s="295" cm="1">
        <f t="array" aca="1" ref="G671" ca="1">INDIRECT("'"&amp;$C671&amp;"'!"&amp;"$"&amp;$D671&amp;$E$1&amp;"")</f>
        <v>6.8</v>
      </c>
      <c r="H671" s="296">
        <v>0.93</v>
      </c>
      <c r="I671" s="294">
        <v>2.64</v>
      </c>
      <c r="J671" s="295" cm="1">
        <f t="array" aca="1" ref="J671" ca="1">INDIRECT("'"&amp;$C671&amp;"'!"&amp;"$"&amp;$D671&amp;$J$1&amp;"")</f>
        <v>6.8</v>
      </c>
      <c r="K671" s="296"/>
      <c r="L671" s="296">
        <v>0.93</v>
      </c>
      <c r="M671" s="294">
        <v>2.64</v>
      </c>
      <c r="N671" s="295" cm="1">
        <f t="array" aca="1" ref="N671" ca="1">INDIRECT("'"&amp;$C671&amp;"'!"&amp;"$"&amp;$D671&amp;$N$1&amp;"")</f>
        <v>6.8</v>
      </c>
      <c r="O671" s="296"/>
      <c r="P671" s="296">
        <v>0.93</v>
      </c>
      <c r="Q671" s="294">
        <v>2.64</v>
      </c>
      <c r="R671" s="295" cm="1">
        <f t="array" aca="1" ref="R671" ca="1">INDIRECT("'"&amp;$C671&amp;"'!"&amp;"$"&amp;$D671&amp;$R$1&amp;"")</f>
        <v>0</v>
      </c>
      <c r="S671" s="296"/>
      <c r="T671" s="296" t="s">
        <v>1</v>
      </c>
      <c r="U671" s="294" t="s">
        <v>1</v>
      </c>
      <c r="V671" s="295" cm="1">
        <f t="array" aca="1" ref="V671" ca="1">INDIRECT("'"&amp;$C671&amp;"'!"&amp;"$"&amp;$D671&amp;$V$1&amp;"")</f>
        <v>2.8</v>
      </c>
      <c r="W671" s="296">
        <f>3.8*3.54</f>
        <v>13.452</v>
      </c>
      <c r="X671" s="296">
        <v>0.93</v>
      </c>
      <c r="Y671" s="297">
        <v>1.1000000000000001</v>
      </c>
      <c r="Z671" s="293" cm="1">
        <f t="array" aca="1" ref="Z671" ca="1">INDIRECT("'"&amp;$C671&amp;"'!"&amp;"$"&amp;$D671&amp;$Z$1&amp;"")</f>
        <v>0</v>
      </c>
      <c r="AA671" s="296" t="s">
        <v>1</v>
      </c>
      <c r="AB671" s="296" t="s">
        <v>1</v>
      </c>
      <c r="AC671" s="294" t="s">
        <v>1</v>
      </c>
      <c r="AD671" s="295" cm="1">
        <f t="array" aca="1" ref="AD671" ca="1">INDIRECT("'"&amp;$C671&amp;"'!"&amp;"$"&amp;$D671&amp;$AD$1&amp;"")</f>
        <v>3.8</v>
      </c>
      <c r="AE671" s="296">
        <f>3.8*3.54</f>
        <v>13.452</v>
      </c>
      <c r="AF671" s="296">
        <v>0.93</v>
      </c>
      <c r="AG671" s="297">
        <v>1.52</v>
      </c>
      <c r="AH671" s="293" t="str" cm="1">
        <f t="array" aca="1" ref="AH671" ca="1">INDIRECT("'"&amp;$C671&amp;"'!"&amp;"$"&amp;$D671&amp;$AH$1&amp;"")</f>
        <v>CMS</v>
      </c>
      <c r="AI671" s="296" t="s">
        <v>1</v>
      </c>
      <c r="AJ671" s="296" t="s">
        <v>1</v>
      </c>
      <c r="AK671" s="294" t="s">
        <v>1</v>
      </c>
      <c r="AL671" s="293">
        <v>11.9</v>
      </c>
      <c r="AM671" s="297">
        <v>70.099999999999994</v>
      </c>
      <c r="AN671" s="293" cm="1">
        <f t="array" aca="1" ref="AN671" ca="1">INDIRECT("'"&amp;$C671&amp;"'!"&amp;"$"&amp;$D671&amp;$AL$1&amp;"")</f>
        <v>4.0999999999999996</v>
      </c>
      <c r="AO671" s="296">
        <v>0.97</v>
      </c>
      <c r="AP671" s="294">
        <v>0.88</v>
      </c>
      <c r="AQ671" s="295" cm="1">
        <f t="array" aca="1" ref="AQ671" ca="1">INDIRECT("'"&amp;$C671&amp;"'!"&amp;"$"&amp;$D671&amp;$AQ$1&amp;"")</f>
        <v>4.0999999999999996</v>
      </c>
      <c r="AR671" s="296">
        <v>0.97</v>
      </c>
      <c r="AS671" s="294">
        <v>0.88</v>
      </c>
      <c r="AT671" s="296" cm="1">
        <f t="array" aca="1" ref="AT671" ca="1">INDIRECT("'"&amp;$C671&amp;"'!"&amp;"$"&amp;$D671&amp;$AT$1&amp;"")</f>
        <v>0</v>
      </c>
      <c r="AU671" s="295" t="s">
        <v>1</v>
      </c>
      <c r="AV671" s="296" t="s">
        <v>1</v>
      </c>
      <c r="AW671" s="294" t="s">
        <v>1</v>
      </c>
      <c r="AX671" s="298">
        <v>14.06</v>
      </c>
      <c r="AY671" s="297">
        <v>71.180000000000007</v>
      </c>
      <c r="AZ671" s="298" cm="1">
        <f t="array" aca="1" ref="AZ671" ca="1">INDIRECT("'"&amp;$C671&amp;"'!"&amp;"$"&amp;$D671&amp;$AZ$1&amp;"")</f>
        <v>14.29</v>
      </c>
      <c r="BA671" s="296">
        <v>0.99</v>
      </c>
      <c r="BB671" s="294">
        <v>2.41</v>
      </c>
      <c r="BC671" s="299">
        <v>68.3</v>
      </c>
      <c r="BD671" s="293" cm="1">
        <f t="array" aca="1" ref="BD671" ca="1">INDIRECT("'"&amp;$C671&amp;"'!"&amp;"$"&amp;$D671&amp;$BC$1&amp;"")</f>
        <v>0</v>
      </c>
      <c r="BE671" s="295"/>
      <c r="BF671" s="294"/>
      <c r="BG671" s="298" cm="1">
        <f t="array" aca="1" ref="BG671" ca="1">INDIRECT("'"&amp;$C671&amp;"'!"&amp;"$"&amp;$D671&amp;$BG$1&amp;"")</f>
        <v>1.2</v>
      </c>
      <c r="BH671" s="296"/>
      <c r="BI671" s="296">
        <v>0.99</v>
      </c>
      <c r="BJ671" s="294">
        <v>0.18</v>
      </c>
      <c r="BK671" s="299" cm="1">
        <f t="array" aca="1" ref="BK671" ca="1">INDIRECT("'"&amp;$C671&amp;"'!"&amp;"$"&amp;$D671&amp;$BK$1&amp;"")</f>
        <v>0.83</v>
      </c>
      <c r="BL671" s="296"/>
      <c r="BM671" s="296">
        <v>0.95</v>
      </c>
      <c r="BN671" s="294">
        <v>0.25</v>
      </c>
    </row>
    <row r="672" spans="1:66" ht="14.45" thickBot="1">
      <c r="A672" s="360">
        <v>45774</v>
      </c>
      <c r="B672" s="358">
        <v>0.70833333333333404</v>
      </c>
      <c r="C672" s="313">
        <f t="shared" si="26"/>
        <v>27</v>
      </c>
      <c r="D672" s="314" t="s">
        <v>144</v>
      </c>
      <c r="E672" s="286">
        <v>14.2</v>
      </c>
      <c r="F672" s="287">
        <v>69.459999999999994</v>
      </c>
      <c r="G672" s="288" cm="1">
        <f t="array" aca="1" ref="G672" ca="1">INDIRECT("'"&amp;$C672&amp;"'!"&amp;"$"&amp;$D672&amp;$E$1&amp;"")</f>
        <v>6.7</v>
      </c>
      <c r="H672" s="289">
        <v>0.93</v>
      </c>
      <c r="I672" s="287">
        <v>2.61</v>
      </c>
      <c r="J672" s="288" cm="1">
        <f t="array" aca="1" ref="J672" ca="1">INDIRECT("'"&amp;$C672&amp;"'!"&amp;"$"&amp;$D672&amp;$J$1&amp;"")</f>
        <v>6.7</v>
      </c>
      <c r="K672" s="289"/>
      <c r="L672" s="289">
        <v>0.93</v>
      </c>
      <c r="M672" s="287">
        <v>2.61</v>
      </c>
      <c r="N672" s="288" cm="1">
        <f t="array" aca="1" ref="N672" ca="1">INDIRECT("'"&amp;$C672&amp;"'!"&amp;"$"&amp;$D672&amp;$N$1&amp;"")</f>
        <v>6.7</v>
      </c>
      <c r="O672" s="289"/>
      <c r="P672" s="289">
        <v>0.93</v>
      </c>
      <c r="Q672" s="287">
        <v>2.61</v>
      </c>
      <c r="R672" s="288" cm="1">
        <f t="array" aca="1" ref="R672" ca="1">INDIRECT("'"&amp;$C672&amp;"'!"&amp;"$"&amp;$D672&amp;$R$1&amp;"")</f>
        <v>0</v>
      </c>
      <c r="S672" s="289"/>
      <c r="T672" s="289" t="s">
        <v>1</v>
      </c>
      <c r="U672" s="287" t="s">
        <v>1</v>
      </c>
      <c r="V672" s="288" cm="1">
        <f t="array" aca="1" ref="V672" ca="1">INDIRECT("'"&amp;$C672&amp;"'!"&amp;"$"&amp;$D672&amp;$V$1&amp;"")</f>
        <v>2.8</v>
      </c>
      <c r="W672" s="289">
        <f>3.8*3.54</f>
        <v>13.452</v>
      </c>
      <c r="X672" s="289">
        <v>0.93</v>
      </c>
      <c r="Y672" s="290">
        <v>1.1100000000000001</v>
      </c>
      <c r="Z672" s="286" cm="1">
        <f t="array" aca="1" ref="Z672" ca="1">INDIRECT("'"&amp;$C672&amp;"'!"&amp;"$"&amp;$D672&amp;$Z$1&amp;"")</f>
        <v>0</v>
      </c>
      <c r="AA672" s="289" t="s">
        <v>1</v>
      </c>
      <c r="AB672" s="289" t="s">
        <v>1</v>
      </c>
      <c r="AC672" s="287" t="s">
        <v>1</v>
      </c>
      <c r="AD672" s="288" cm="1">
        <f t="array" aca="1" ref="AD672" ca="1">INDIRECT("'"&amp;$C672&amp;"'!"&amp;"$"&amp;$D672&amp;$AD$1&amp;"")</f>
        <v>3.8</v>
      </c>
      <c r="AE672" s="289">
        <f>3.8*3.54</f>
        <v>13.452</v>
      </c>
      <c r="AF672" s="289">
        <v>0.93</v>
      </c>
      <c r="AG672" s="290">
        <v>1.49</v>
      </c>
      <c r="AH672" s="286" t="str" cm="1">
        <f t="array" aca="1" ref="AH672" ca="1">INDIRECT("'"&amp;$C672&amp;"'!"&amp;"$"&amp;$D672&amp;$AH$1&amp;"")</f>
        <v>CMS</v>
      </c>
      <c r="AI672" s="289" t="s">
        <v>1</v>
      </c>
      <c r="AJ672" s="289" t="s">
        <v>1</v>
      </c>
      <c r="AK672" s="287" t="s">
        <v>1</v>
      </c>
      <c r="AL672" s="286">
        <v>11.9</v>
      </c>
      <c r="AM672" s="290">
        <v>70.400000000000006</v>
      </c>
      <c r="AN672" s="286" cm="1">
        <f t="array" aca="1" ref="AN672" ca="1">INDIRECT("'"&amp;$C672&amp;"'!"&amp;"$"&amp;$D672&amp;$AL$1&amp;"")</f>
        <v>3.6</v>
      </c>
      <c r="AO672" s="289">
        <v>0.98</v>
      </c>
      <c r="AP672" s="287">
        <v>0.71</v>
      </c>
      <c r="AQ672" s="288" cm="1">
        <f t="array" aca="1" ref="AQ672" ca="1">INDIRECT("'"&amp;$C672&amp;"'!"&amp;"$"&amp;$D672&amp;$AQ$1&amp;"")</f>
        <v>3.6</v>
      </c>
      <c r="AR672" s="289">
        <v>0.98</v>
      </c>
      <c r="AS672" s="287">
        <v>0.71</v>
      </c>
      <c r="AT672" s="289" cm="1">
        <f t="array" aca="1" ref="AT672" ca="1">INDIRECT("'"&amp;$C672&amp;"'!"&amp;"$"&amp;$D672&amp;$AT$1&amp;"")</f>
        <v>0</v>
      </c>
      <c r="AU672" s="288" t="s">
        <v>1</v>
      </c>
      <c r="AV672" s="289" t="s">
        <v>1</v>
      </c>
      <c r="AW672" s="287" t="s">
        <v>1</v>
      </c>
      <c r="AX672" s="291">
        <v>14.09</v>
      </c>
      <c r="AY672" s="290">
        <v>71.34</v>
      </c>
      <c r="AZ672" s="291" cm="1">
        <f t="array" aca="1" ref="AZ672" ca="1">INDIRECT("'"&amp;$C672&amp;"'!"&amp;"$"&amp;$D672&amp;$AZ$1&amp;"")</f>
        <v>14.28</v>
      </c>
      <c r="BA672" s="289">
        <v>0.99</v>
      </c>
      <c r="BB672" s="287">
        <v>2.44</v>
      </c>
      <c r="BC672" s="292">
        <v>68.2</v>
      </c>
      <c r="BD672" s="286" cm="1">
        <f t="array" aca="1" ref="BD672" ca="1">INDIRECT("'"&amp;$C672&amp;"'!"&amp;"$"&amp;$D672&amp;$BC$1&amp;"")</f>
        <v>0</v>
      </c>
      <c r="BE672" s="288"/>
      <c r="BF672" s="287"/>
      <c r="BG672" s="291" cm="1">
        <f t="array" aca="1" ref="BG672" ca="1">INDIRECT("'"&amp;$C672&amp;"'!"&amp;"$"&amp;$D672&amp;$BG$1&amp;"")</f>
        <v>1.19</v>
      </c>
      <c r="BH672" s="289"/>
      <c r="BI672" s="289">
        <v>0.99</v>
      </c>
      <c r="BJ672" s="287">
        <v>0.16</v>
      </c>
      <c r="BK672" s="292" cm="1">
        <f t="array" aca="1" ref="BK672" ca="1">INDIRECT("'"&amp;$C672&amp;"'!"&amp;"$"&amp;$D672&amp;$BK$1&amp;"")</f>
        <v>0.83</v>
      </c>
      <c r="BL672" s="289"/>
      <c r="BM672" s="289">
        <v>0.95</v>
      </c>
      <c r="BN672" s="287">
        <v>0.26</v>
      </c>
    </row>
    <row r="673" spans="1:66" ht="14.45" thickBot="1">
      <c r="A673" s="360">
        <v>45774</v>
      </c>
      <c r="B673" s="358">
        <v>0.750000000000001</v>
      </c>
      <c r="C673" s="313">
        <f t="shared" si="26"/>
        <v>27</v>
      </c>
      <c r="D673" s="314" t="s">
        <v>145</v>
      </c>
      <c r="E673" s="293">
        <v>14.3</v>
      </c>
      <c r="F673" s="294">
        <v>69.87</v>
      </c>
      <c r="G673" s="295" cm="1">
        <f t="array" aca="1" ref="G673" ca="1">INDIRECT("'"&amp;$C673&amp;"'!"&amp;"$"&amp;$D673&amp;$E$1&amp;"")</f>
        <v>6.6</v>
      </c>
      <c r="H673" s="296">
        <v>0.93</v>
      </c>
      <c r="I673" s="294">
        <v>2.5</v>
      </c>
      <c r="J673" s="295" cm="1">
        <f t="array" aca="1" ref="J673" ca="1">INDIRECT("'"&amp;$C673&amp;"'!"&amp;"$"&amp;$D673&amp;$J$1&amp;"")</f>
        <v>6.6</v>
      </c>
      <c r="K673" s="296"/>
      <c r="L673" s="296">
        <v>0.93</v>
      </c>
      <c r="M673" s="294">
        <v>2.5</v>
      </c>
      <c r="N673" s="295" cm="1">
        <f t="array" aca="1" ref="N673" ca="1">INDIRECT("'"&amp;$C673&amp;"'!"&amp;"$"&amp;$D673&amp;$N$1&amp;"")</f>
        <v>6.6</v>
      </c>
      <c r="O673" s="296"/>
      <c r="P673" s="296">
        <v>0.93</v>
      </c>
      <c r="Q673" s="294">
        <v>2.5</v>
      </c>
      <c r="R673" s="295" cm="1">
        <f t="array" aca="1" ref="R673" ca="1">INDIRECT("'"&amp;$C673&amp;"'!"&amp;"$"&amp;$D673&amp;$R$1&amp;"")</f>
        <v>0</v>
      </c>
      <c r="S673" s="296"/>
      <c r="T673" s="296" t="s">
        <v>1</v>
      </c>
      <c r="U673" s="294" t="s">
        <v>1</v>
      </c>
      <c r="V673" s="295" cm="1">
        <f t="array" aca="1" ref="V673" ca="1">INDIRECT("'"&amp;$C673&amp;"'!"&amp;"$"&amp;$D673&amp;$V$1&amp;"")</f>
        <v>2.8</v>
      </c>
      <c r="W673" s="296">
        <f>3.8*3.57</f>
        <v>13.565999999999999</v>
      </c>
      <c r="X673" s="296">
        <v>0.94</v>
      </c>
      <c r="Y673" s="297">
        <v>1.02</v>
      </c>
      <c r="Z673" s="293" cm="1">
        <f t="array" aca="1" ref="Z673" ca="1">INDIRECT("'"&amp;$C673&amp;"'!"&amp;"$"&amp;$D673&amp;$Z$1&amp;"")</f>
        <v>0</v>
      </c>
      <c r="AA673" s="296" t="s">
        <v>1</v>
      </c>
      <c r="AB673" s="296" t="s">
        <v>1</v>
      </c>
      <c r="AC673" s="294" t="s">
        <v>1</v>
      </c>
      <c r="AD673" s="295" cm="1">
        <f t="array" aca="1" ref="AD673" ca="1">INDIRECT("'"&amp;$C673&amp;"'!"&amp;"$"&amp;$D673&amp;$AD$1&amp;"")</f>
        <v>3.8</v>
      </c>
      <c r="AE673" s="296">
        <f>3.8*3.57</f>
        <v>13.565999999999999</v>
      </c>
      <c r="AF673" s="296">
        <v>0.94</v>
      </c>
      <c r="AG673" s="297">
        <v>1.35</v>
      </c>
      <c r="AH673" s="293" t="str" cm="1">
        <f t="array" aca="1" ref="AH673" ca="1">INDIRECT("'"&amp;$C673&amp;"'!"&amp;"$"&amp;$D673&amp;$AH$1&amp;"")</f>
        <v>CMS</v>
      </c>
      <c r="AI673" s="296" t="s">
        <v>1</v>
      </c>
      <c r="AJ673" s="296" t="s">
        <v>1</v>
      </c>
      <c r="AK673" s="294" t="s">
        <v>1</v>
      </c>
      <c r="AL673" s="293">
        <v>11.9</v>
      </c>
      <c r="AM673" s="297">
        <v>70.5</v>
      </c>
      <c r="AN673" s="293" cm="1">
        <f t="array" aca="1" ref="AN673" ca="1">INDIRECT("'"&amp;$C673&amp;"'!"&amp;"$"&amp;$D673&amp;$AL$1&amp;"")</f>
        <v>3.2</v>
      </c>
      <c r="AO673" s="296">
        <v>0.98</v>
      </c>
      <c r="AP673" s="294">
        <v>0.65</v>
      </c>
      <c r="AQ673" s="295" cm="1">
        <f t="array" aca="1" ref="AQ673" ca="1">INDIRECT("'"&amp;$C673&amp;"'!"&amp;"$"&amp;$D673&amp;$AQ$1&amp;"")</f>
        <v>3.2</v>
      </c>
      <c r="AR673" s="296">
        <v>0.98</v>
      </c>
      <c r="AS673" s="294">
        <v>0.65</v>
      </c>
      <c r="AT673" s="296" cm="1">
        <f t="array" aca="1" ref="AT673" ca="1">INDIRECT("'"&amp;$C673&amp;"'!"&amp;"$"&amp;$D673&amp;$AT$1&amp;"")</f>
        <v>0</v>
      </c>
      <c r="AU673" s="295" t="s">
        <v>1</v>
      </c>
      <c r="AV673" s="296" t="s">
        <v>1</v>
      </c>
      <c r="AW673" s="294" t="s">
        <v>1</v>
      </c>
      <c r="AX673" s="298">
        <v>14.05</v>
      </c>
      <c r="AY673" s="297">
        <v>71.31</v>
      </c>
      <c r="AZ673" s="298" cm="1">
        <f t="array" aca="1" ref="AZ673" ca="1">INDIRECT("'"&amp;$C673&amp;"'!"&amp;"$"&amp;$D673&amp;$AZ$1&amp;"")</f>
        <v>14.3</v>
      </c>
      <c r="BA673" s="296">
        <v>0.99</v>
      </c>
      <c r="BB673" s="294">
        <v>2.41</v>
      </c>
      <c r="BC673" s="299">
        <v>68.5</v>
      </c>
      <c r="BD673" s="293" cm="1">
        <f t="array" aca="1" ref="BD673" ca="1">INDIRECT("'"&amp;$C673&amp;"'!"&amp;"$"&amp;$D673&amp;$BC$1&amp;"")</f>
        <v>1.5</v>
      </c>
      <c r="BE673" s="295">
        <v>0.97</v>
      </c>
      <c r="BF673" s="294">
        <v>0.37</v>
      </c>
      <c r="BG673" s="298" cm="1">
        <f t="array" aca="1" ref="BG673" ca="1">INDIRECT("'"&amp;$C673&amp;"'!"&amp;"$"&amp;$D673&amp;$BG$1&amp;"")</f>
        <v>1.1599999999999999</v>
      </c>
      <c r="BH673" s="296"/>
      <c r="BI673" s="296">
        <v>0.99</v>
      </c>
      <c r="BJ673" s="294">
        <v>0.16</v>
      </c>
      <c r="BK673" s="299" cm="1">
        <f t="array" aca="1" ref="BK673" ca="1">INDIRECT("'"&amp;$C673&amp;"'!"&amp;"$"&amp;$D673&amp;$BK$1&amp;"")</f>
        <v>0.86</v>
      </c>
      <c r="BL673" s="296"/>
      <c r="BM673" s="296">
        <v>0.96</v>
      </c>
      <c r="BN673" s="294">
        <v>0.25</v>
      </c>
    </row>
    <row r="674" spans="1:66" ht="14.45" thickBot="1">
      <c r="A674" s="360">
        <v>45774</v>
      </c>
      <c r="B674" s="358">
        <v>0.79166666666666663</v>
      </c>
      <c r="C674" s="313">
        <f t="shared" si="26"/>
        <v>27</v>
      </c>
      <c r="D674" s="314" t="s">
        <v>146</v>
      </c>
      <c r="E674" s="286">
        <v>14.2</v>
      </c>
      <c r="F674" s="287">
        <v>69.849999999999994</v>
      </c>
      <c r="G674" s="288" cm="1">
        <f t="array" aca="1" ref="G674" ca="1">INDIRECT("'"&amp;$C674&amp;"'!"&amp;"$"&amp;$D674&amp;$E$1&amp;"")</f>
        <v>6.6</v>
      </c>
      <c r="H674" s="289">
        <v>0.94</v>
      </c>
      <c r="I674" s="287">
        <v>2.29</v>
      </c>
      <c r="J674" s="288" cm="1">
        <f t="array" aca="1" ref="J674" ca="1">INDIRECT("'"&amp;$C674&amp;"'!"&amp;"$"&amp;$D674&amp;$J$1&amp;"")</f>
        <v>6.6</v>
      </c>
      <c r="K674" s="300"/>
      <c r="L674" s="289">
        <v>0.94</v>
      </c>
      <c r="M674" s="287">
        <v>2.29</v>
      </c>
      <c r="N674" s="288" cm="1">
        <f t="array" aca="1" ref="N674" ca="1">INDIRECT("'"&amp;$C674&amp;"'!"&amp;"$"&amp;$D674&amp;$N$1&amp;"")</f>
        <v>6.6</v>
      </c>
      <c r="O674" s="289"/>
      <c r="P674" s="289">
        <v>0.94</v>
      </c>
      <c r="Q674" s="287">
        <v>2.29</v>
      </c>
      <c r="R674" s="288" cm="1">
        <f t="array" aca="1" ref="R674" ca="1">INDIRECT("'"&amp;$C674&amp;"'!"&amp;"$"&amp;$D674&amp;$R$1&amp;"")</f>
        <v>0</v>
      </c>
      <c r="S674" s="289"/>
      <c r="T674" s="289" t="s">
        <v>1</v>
      </c>
      <c r="U674" s="287" t="s">
        <v>1</v>
      </c>
      <c r="V674" s="288" cm="1">
        <f t="array" aca="1" ref="V674" ca="1">INDIRECT("'"&amp;$C674&amp;"'!"&amp;"$"&amp;$D674&amp;$V$1&amp;"")</f>
        <v>2.8</v>
      </c>
      <c r="W674" s="289">
        <f>3.8*3.56</f>
        <v>13.527999999999999</v>
      </c>
      <c r="X674" s="289">
        <v>0.94</v>
      </c>
      <c r="Y674" s="290">
        <v>1.01</v>
      </c>
      <c r="Z674" s="286" cm="1">
        <f t="array" aca="1" ref="Z674" ca="1">INDIRECT("'"&amp;$C674&amp;"'!"&amp;"$"&amp;$D674&amp;$Z$1&amp;"")</f>
        <v>0</v>
      </c>
      <c r="AA674" s="289" t="s">
        <v>1</v>
      </c>
      <c r="AB674" s="289" t="s">
        <v>1</v>
      </c>
      <c r="AC674" s="287" t="s">
        <v>1</v>
      </c>
      <c r="AD674" s="288" cm="1">
        <f t="array" aca="1" ref="AD674" ca="1">INDIRECT("'"&amp;$C674&amp;"'!"&amp;"$"&amp;$D674&amp;$AD$1&amp;"")</f>
        <v>3.8</v>
      </c>
      <c r="AE674" s="289">
        <f>3.8*3.56</f>
        <v>13.527999999999999</v>
      </c>
      <c r="AF674" s="289">
        <v>0.94</v>
      </c>
      <c r="AG674" s="290">
        <v>1.32</v>
      </c>
      <c r="AH674" s="286" t="str" cm="1">
        <f t="array" aca="1" ref="AH674" ca="1">INDIRECT("'"&amp;$C674&amp;"'!"&amp;"$"&amp;$D674&amp;$AH$1&amp;"")</f>
        <v>CMS</v>
      </c>
      <c r="AI674" s="289" t="s">
        <v>1</v>
      </c>
      <c r="AJ674" s="289" t="s">
        <v>1</v>
      </c>
      <c r="AK674" s="287" t="s">
        <v>1</v>
      </c>
      <c r="AL674" s="286">
        <v>11.9</v>
      </c>
      <c r="AM674" s="290">
        <v>70.599999999999994</v>
      </c>
      <c r="AN674" s="286" cm="1">
        <f t="array" aca="1" ref="AN674" ca="1">INDIRECT("'"&amp;$C674&amp;"'!"&amp;"$"&amp;$D674&amp;$AL$1&amp;"")</f>
        <v>4.2</v>
      </c>
      <c r="AO674" s="289">
        <v>0.99</v>
      </c>
      <c r="AP674" s="287">
        <v>0.55000000000000004</v>
      </c>
      <c r="AQ674" s="288" cm="1">
        <f t="array" aca="1" ref="AQ674" ca="1">INDIRECT("'"&amp;$C674&amp;"'!"&amp;"$"&amp;$D674&amp;$AQ$1&amp;"")</f>
        <v>4.2</v>
      </c>
      <c r="AR674" s="289">
        <v>0.99</v>
      </c>
      <c r="AS674" s="287">
        <v>0.55000000000000004</v>
      </c>
      <c r="AT674" s="289" cm="1">
        <f t="array" aca="1" ref="AT674" ca="1">INDIRECT("'"&amp;$C674&amp;"'!"&amp;"$"&amp;$D674&amp;$AT$1&amp;"")</f>
        <v>1.49</v>
      </c>
      <c r="AU674" s="288">
        <v>13.83</v>
      </c>
      <c r="AV674" s="289">
        <v>0.98</v>
      </c>
      <c r="AW674" s="287">
        <v>0.31</v>
      </c>
      <c r="AX674" s="291">
        <v>14.09</v>
      </c>
      <c r="AY674" s="290">
        <v>71.290000000000006</v>
      </c>
      <c r="AZ674" s="291" cm="1">
        <f t="array" aca="1" ref="AZ674" ca="1">INDIRECT("'"&amp;$C674&amp;"'!"&amp;"$"&amp;$D674&amp;$AZ$1&amp;"")</f>
        <v>14.28</v>
      </c>
      <c r="BA674" s="289">
        <v>0.99</v>
      </c>
      <c r="BB674" s="287">
        <v>2.39</v>
      </c>
      <c r="BC674" s="292">
        <v>68.7</v>
      </c>
      <c r="BD674" s="286" cm="1">
        <f t="array" aca="1" ref="BD674" ca="1">INDIRECT("'"&amp;$C674&amp;"'!"&amp;"$"&amp;$D674&amp;$BC$1&amp;"")</f>
        <v>3.9000000000000004</v>
      </c>
      <c r="BE674" s="288">
        <v>0.97</v>
      </c>
      <c r="BF674" s="287">
        <v>0.95</v>
      </c>
      <c r="BG674" s="291" cm="1">
        <f t="array" aca="1" ref="BG674" ca="1">INDIRECT("'"&amp;$C674&amp;"'!"&amp;"$"&amp;$D674&amp;$BG$1&amp;"")</f>
        <v>1.26</v>
      </c>
      <c r="BH674" s="289"/>
      <c r="BI674" s="289">
        <v>0.99</v>
      </c>
      <c r="BJ674" s="287">
        <v>0.14000000000000001</v>
      </c>
      <c r="BK674" s="292" cm="1">
        <f t="array" aca="1" ref="BK674" ca="1">INDIRECT("'"&amp;$C674&amp;"'!"&amp;"$"&amp;$D674&amp;$BK$1&amp;"")</f>
        <v>1.02</v>
      </c>
      <c r="BL674" s="289"/>
      <c r="BM674" s="289">
        <v>0.96</v>
      </c>
      <c r="BN674" s="287">
        <v>0.27</v>
      </c>
    </row>
    <row r="675" spans="1:66" ht="14.45" thickBot="1">
      <c r="A675" s="360">
        <v>45774</v>
      </c>
      <c r="B675" s="358">
        <v>0.83333333333333337</v>
      </c>
      <c r="C675" s="313">
        <f t="shared" si="26"/>
        <v>27</v>
      </c>
      <c r="D675" s="314" t="s">
        <v>147</v>
      </c>
      <c r="E675" s="293">
        <v>14.2</v>
      </c>
      <c r="F675" s="294">
        <v>69.75</v>
      </c>
      <c r="G675" s="295" cm="1">
        <f t="array" aca="1" ref="G675" ca="1">INDIRECT("'"&amp;$C675&amp;"'!"&amp;"$"&amp;$D675&amp;$E$1&amp;"")</f>
        <v>6.6</v>
      </c>
      <c r="H675" s="296">
        <v>0.96</v>
      </c>
      <c r="I675" s="294">
        <v>1.85</v>
      </c>
      <c r="J675" s="295" cm="1">
        <f t="array" aca="1" ref="J675" ca="1">INDIRECT("'"&amp;$C675&amp;"'!"&amp;"$"&amp;$D675&amp;$J$1&amp;"")</f>
        <v>6.6</v>
      </c>
      <c r="K675" s="296"/>
      <c r="L675" s="296">
        <v>0.97</v>
      </c>
      <c r="M675" s="294">
        <v>1.78</v>
      </c>
      <c r="N675" s="295" cm="1">
        <f t="array" aca="1" ref="N675" ca="1">INDIRECT("'"&amp;$C675&amp;"'!"&amp;"$"&amp;$D675&amp;$N$1&amp;"")</f>
        <v>6.7</v>
      </c>
      <c r="O675" s="296"/>
      <c r="P675" s="296">
        <v>0.95</v>
      </c>
      <c r="Q675" s="294">
        <v>2.34</v>
      </c>
      <c r="R675" s="295" cm="1">
        <f t="array" aca="1" ref="R675" ca="1">INDIRECT("'"&amp;$C675&amp;"'!"&amp;"$"&amp;$D675&amp;$R$1&amp;"")</f>
        <v>0</v>
      </c>
      <c r="S675" s="296"/>
      <c r="T675" s="296" t="s">
        <v>1</v>
      </c>
      <c r="U675" s="294" t="s">
        <v>1</v>
      </c>
      <c r="V675" s="295" cm="1">
        <f t="array" aca="1" ref="V675" ca="1">INDIRECT("'"&amp;$C675&amp;"'!"&amp;"$"&amp;$D675&amp;$V$1&amp;"")</f>
        <v>2.8</v>
      </c>
      <c r="W675" s="296">
        <f>3.57*3.8</f>
        <v>13.565999999999999</v>
      </c>
      <c r="X675" s="296">
        <v>0.94</v>
      </c>
      <c r="Y675" s="297">
        <v>1</v>
      </c>
      <c r="Z675" s="293" cm="1">
        <f t="array" aca="1" ref="Z675" ca="1">INDIRECT("'"&amp;$C675&amp;"'!"&amp;"$"&amp;$D675&amp;$Z$1&amp;"")</f>
        <v>0</v>
      </c>
      <c r="AA675" s="296" t="s">
        <v>1</v>
      </c>
      <c r="AB675" s="296" t="s">
        <v>1</v>
      </c>
      <c r="AC675" s="294" t="s">
        <v>1</v>
      </c>
      <c r="AD675" s="295" cm="1">
        <f t="array" aca="1" ref="AD675" ca="1">INDIRECT("'"&amp;$C675&amp;"'!"&amp;"$"&amp;$D675&amp;$AD$1&amp;"")</f>
        <v>3.8</v>
      </c>
      <c r="AE675" s="296">
        <v>13.57</v>
      </c>
      <c r="AF675" s="296">
        <v>0.94</v>
      </c>
      <c r="AG675" s="297">
        <v>1.34</v>
      </c>
      <c r="AH675" s="293" t="str" cm="1">
        <f t="array" aca="1" ref="AH675" ca="1">INDIRECT("'"&amp;$C675&amp;"'!"&amp;"$"&amp;$D675&amp;$AH$1&amp;"")</f>
        <v>CMS</v>
      </c>
      <c r="AI675" s="296" t="s">
        <v>1</v>
      </c>
      <c r="AJ675" s="296" t="s">
        <v>1</v>
      </c>
      <c r="AK675" s="294" t="s">
        <v>1</v>
      </c>
      <c r="AL675" s="293">
        <v>11.9</v>
      </c>
      <c r="AM675" s="297">
        <v>70.599999999999994</v>
      </c>
      <c r="AN675" s="293" cm="1">
        <f t="array" aca="1" ref="AN675" ca="1">INDIRECT("'"&amp;$C675&amp;"'!"&amp;"$"&amp;$D675&amp;$AL$1&amp;"")</f>
        <v>4.2</v>
      </c>
      <c r="AO675" s="296">
        <v>0.99</v>
      </c>
      <c r="AP675" s="294">
        <v>0.56999999999999995</v>
      </c>
      <c r="AQ675" s="295" cm="1">
        <f t="array" aca="1" ref="AQ675" ca="1">INDIRECT("'"&amp;$C675&amp;"'!"&amp;"$"&amp;$D675&amp;$AQ$1&amp;"")</f>
        <v>4.2</v>
      </c>
      <c r="AR675" s="296">
        <v>0.99</v>
      </c>
      <c r="AS675" s="294">
        <v>0.56999999999999995</v>
      </c>
      <c r="AT675" s="296" cm="1">
        <f t="array" aca="1" ref="AT675" ca="1">INDIRECT("'"&amp;$C675&amp;"'!"&amp;"$"&amp;$D675&amp;$AT$1&amp;"")</f>
        <v>3.97</v>
      </c>
      <c r="AU675" s="295">
        <v>13.83</v>
      </c>
      <c r="AV675" s="296">
        <v>0.99</v>
      </c>
      <c r="AW675" s="294">
        <v>0.49</v>
      </c>
      <c r="AX675" s="298">
        <v>14.11</v>
      </c>
      <c r="AY675" s="297">
        <v>71.349999999999994</v>
      </c>
      <c r="AZ675" s="298" cm="1">
        <f t="array" aca="1" ref="AZ675" ca="1">INDIRECT("'"&amp;$C675&amp;"'!"&amp;"$"&amp;$D675&amp;$AZ$1&amp;"")</f>
        <v>14.3</v>
      </c>
      <c r="BA675" s="296">
        <v>0.99</v>
      </c>
      <c r="BB675" s="294">
        <v>2.44</v>
      </c>
      <c r="BC675" s="299">
        <v>68.599999999999994</v>
      </c>
      <c r="BD675" s="293" cm="1">
        <f t="array" aca="1" ref="BD675" ca="1">INDIRECT("'"&amp;$C675&amp;"'!"&amp;"$"&amp;$D675&amp;$BC$1&amp;"")</f>
        <v>0</v>
      </c>
      <c r="BE675" s="295" t="s">
        <v>1</v>
      </c>
      <c r="BF675" s="294" t="s">
        <v>1</v>
      </c>
      <c r="BG675" s="298" cm="1">
        <f t="array" aca="1" ref="BG675" ca="1">INDIRECT("'"&amp;$C675&amp;"'!"&amp;"$"&amp;$D675&amp;$BG$1&amp;"")</f>
        <v>1.31</v>
      </c>
      <c r="BH675" s="296"/>
      <c r="BI675" s="296">
        <v>0.99</v>
      </c>
      <c r="BJ675" s="294">
        <v>0.16</v>
      </c>
      <c r="BK675" s="299" cm="1">
        <f t="array" aca="1" ref="BK675" ca="1">INDIRECT("'"&amp;$C675&amp;"'!"&amp;"$"&amp;$D675&amp;$BK$1&amp;"")</f>
        <v>0.99</v>
      </c>
      <c r="BL675" s="296"/>
      <c r="BM675" s="296">
        <v>0.97</v>
      </c>
      <c r="BN675" s="294">
        <v>0.27</v>
      </c>
    </row>
    <row r="676" spans="1:66" ht="14.45" thickBot="1">
      <c r="A676" s="360">
        <v>45774</v>
      </c>
      <c r="B676" s="358">
        <v>0.875000000000001</v>
      </c>
      <c r="C676" s="313">
        <f t="shared" si="26"/>
        <v>27</v>
      </c>
      <c r="D676" s="314" t="s">
        <v>148</v>
      </c>
      <c r="E676" s="286">
        <v>14.2</v>
      </c>
      <c r="F676" s="287">
        <v>69.78</v>
      </c>
      <c r="G676" s="288" cm="1">
        <f t="array" aca="1" ref="G676" ca="1">INDIRECT("'"&amp;$C676&amp;"'!"&amp;"$"&amp;$D676&amp;$E$1&amp;"")</f>
        <v>6.6</v>
      </c>
      <c r="H676" s="289">
        <v>0.97</v>
      </c>
      <c r="I676" s="287">
        <v>1.73</v>
      </c>
      <c r="J676" s="288" cm="1">
        <f t="array" aca="1" ref="J676" ca="1">INDIRECT("'"&amp;$C676&amp;"'!"&amp;"$"&amp;$D676&amp;$J$1&amp;"")</f>
        <v>6.6</v>
      </c>
      <c r="K676" s="289"/>
      <c r="L676" s="289">
        <v>0.97</v>
      </c>
      <c r="M676" s="287">
        <v>1.76</v>
      </c>
      <c r="N676" s="288" cm="1">
        <f t="array" aca="1" ref="N676" ca="1">INDIRECT("'"&amp;$C676&amp;"'!"&amp;"$"&amp;$D676&amp;$N$1&amp;"")</f>
        <v>6.8</v>
      </c>
      <c r="O676" s="289"/>
      <c r="P676" s="289">
        <v>0.94</v>
      </c>
      <c r="Q676" s="287">
        <v>2.38</v>
      </c>
      <c r="R676" s="288" cm="1">
        <f t="array" aca="1" ref="R676" ca="1">INDIRECT("'"&amp;$C676&amp;"'!"&amp;"$"&amp;$D676&amp;$R$1&amp;"")</f>
        <v>0</v>
      </c>
      <c r="S676" s="289"/>
      <c r="T676" s="289" t="s">
        <v>1</v>
      </c>
      <c r="U676" s="287" t="s">
        <v>1</v>
      </c>
      <c r="V676" s="288" cm="1">
        <f t="array" aca="1" ref="V676" ca="1">INDIRECT("'"&amp;$C676&amp;"'!"&amp;"$"&amp;$D676&amp;$V$1&amp;"")</f>
        <v>2</v>
      </c>
      <c r="W676" s="289">
        <f>3.8*3.55</f>
        <v>13.489999999999998</v>
      </c>
      <c r="X676" s="289">
        <v>0.98</v>
      </c>
      <c r="Y676" s="290">
        <v>0.35</v>
      </c>
      <c r="Z676" s="286" cm="1">
        <f t="array" aca="1" ref="Z676" ca="1">INDIRECT("'"&amp;$C676&amp;"'!"&amp;"$"&amp;$D676&amp;$Z$1&amp;"")</f>
        <v>0</v>
      </c>
      <c r="AA676" s="289" t="s">
        <v>1</v>
      </c>
      <c r="AB676" s="289" t="s">
        <v>1</v>
      </c>
      <c r="AC676" s="287" t="s">
        <v>1</v>
      </c>
      <c r="AD676" s="288" cm="1">
        <f t="array" aca="1" ref="AD676" ca="1">INDIRECT("'"&amp;$C676&amp;"'!"&amp;"$"&amp;$D676&amp;$AD$1&amp;"")</f>
        <v>3</v>
      </c>
      <c r="AE676" s="289">
        <v>13.49</v>
      </c>
      <c r="AF676" s="289">
        <v>0.98</v>
      </c>
      <c r="AG676" s="290">
        <v>0.54</v>
      </c>
      <c r="AH676" s="286" t="str" cm="1">
        <f t="array" aca="1" ref="AH676" ca="1">INDIRECT("'"&amp;$C676&amp;"'!"&amp;"$"&amp;$D676&amp;$AH$1&amp;"")</f>
        <v>CMS</v>
      </c>
      <c r="AI676" s="289" t="s">
        <v>1</v>
      </c>
      <c r="AJ676" s="289" t="s">
        <v>1</v>
      </c>
      <c r="AK676" s="287" t="s">
        <v>1</v>
      </c>
      <c r="AL676" s="286">
        <v>11.9</v>
      </c>
      <c r="AM676" s="290">
        <v>70.599999999999994</v>
      </c>
      <c r="AN676" s="286" cm="1">
        <f t="array" aca="1" ref="AN676" ca="1">INDIRECT("'"&amp;$C676&amp;"'!"&amp;"$"&amp;$D676&amp;$AL$1&amp;"")</f>
        <v>3.6</v>
      </c>
      <c r="AO676" s="289">
        <v>0.99</v>
      </c>
      <c r="AP676" s="287">
        <v>0.5</v>
      </c>
      <c r="AQ676" s="288" cm="1">
        <f t="array" aca="1" ref="AQ676" ca="1">INDIRECT("'"&amp;$C676&amp;"'!"&amp;"$"&amp;$D676&amp;$AQ$1&amp;"")</f>
        <v>3.6</v>
      </c>
      <c r="AR676" s="289">
        <v>0.99</v>
      </c>
      <c r="AS676" s="287">
        <v>0.5</v>
      </c>
      <c r="AT676" s="289" cm="1">
        <f t="array" aca="1" ref="AT676" ca="1">INDIRECT("'"&amp;$C676&amp;"'!"&amp;"$"&amp;$D676&amp;$AT$1&amp;"")</f>
        <v>2.9</v>
      </c>
      <c r="AU676" s="288">
        <v>13.8</v>
      </c>
      <c r="AV676" s="289">
        <v>0.99</v>
      </c>
      <c r="AW676" s="287">
        <v>0.43</v>
      </c>
      <c r="AX676" s="291">
        <v>14.14</v>
      </c>
      <c r="AY676" s="290">
        <v>71.63</v>
      </c>
      <c r="AZ676" s="291" cm="1">
        <f t="array" aca="1" ref="AZ676" ca="1">INDIRECT("'"&amp;$C676&amp;"'!"&amp;"$"&amp;$D676&amp;$AZ$1&amp;"")</f>
        <v>14.24</v>
      </c>
      <c r="BA676" s="289">
        <v>0.99</v>
      </c>
      <c r="BB676" s="287">
        <v>2.4</v>
      </c>
      <c r="BC676" s="292">
        <v>68.7</v>
      </c>
      <c r="BD676" s="286" cm="1">
        <f t="array" aca="1" ref="BD676" ca="1">INDIRECT("'"&amp;$C676&amp;"'!"&amp;"$"&amp;$D676&amp;$BC$1&amp;"")</f>
        <v>0</v>
      </c>
      <c r="BE676" s="288" t="s">
        <v>1</v>
      </c>
      <c r="BF676" s="287" t="s">
        <v>1</v>
      </c>
      <c r="BG676" s="291" cm="1">
        <f t="array" aca="1" ref="BG676" ca="1">INDIRECT("'"&amp;$C676&amp;"'!"&amp;"$"&amp;$D676&amp;$BG$1&amp;"")</f>
        <v>1.2</v>
      </c>
      <c r="BH676" s="289"/>
      <c r="BI676" s="289">
        <v>0.99</v>
      </c>
      <c r="BJ676" s="287">
        <v>0.14000000000000001</v>
      </c>
      <c r="BK676" s="292" cm="1">
        <f t="array" aca="1" ref="BK676" ca="1">INDIRECT("'"&amp;$C676&amp;"'!"&amp;"$"&amp;$D676&amp;$BK$1&amp;"")</f>
        <v>0.98</v>
      </c>
      <c r="BL676" s="289"/>
      <c r="BM676" s="289">
        <v>0.97</v>
      </c>
      <c r="BN676" s="287">
        <v>0.25</v>
      </c>
    </row>
    <row r="677" spans="1:66" ht="14.45" thickBot="1">
      <c r="A677" s="360">
        <v>45774</v>
      </c>
      <c r="B677" s="358">
        <v>0.91666666666666696</v>
      </c>
      <c r="C677" s="313">
        <f t="shared" si="26"/>
        <v>27</v>
      </c>
      <c r="D677" s="314" t="s">
        <v>149</v>
      </c>
      <c r="E677" s="293">
        <v>14.2</v>
      </c>
      <c r="F677" s="294">
        <v>70.28</v>
      </c>
      <c r="G677" s="295" cm="1">
        <f t="array" aca="1" ref="G677" ca="1">INDIRECT("'"&amp;$C677&amp;"'!"&amp;"$"&amp;$D677&amp;$E$1&amp;"")</f>
        <v>6.7</v>
      </c>
      <c r="H677" s="296">
        <v>0.98</v>
      </c>
      <c r="I677" s="294">
        <v>1.47</v>
      </c>
      <c r="J677" s="295" cm="1">
        <f t="array" aca="1" ref="J677" ca="1">INDIRECT("'"&amp;$C677&amp;"'!"&amp;"$"&amp;$D677&amp;$J$1&amp;"")</f>
        <v>6.7</v>
      </c>
      <c r="K677" s="296"/>
      <c r="L677" s="296">
        <v>0.98</v>
      </c>
      <c r="M677" s="294">
        <v>0.48</v>
      </c>
      <c r="N677" s="295" cm="1">
        <f t="array" aca="1" ref="N677" ca="1">INDIRECT("'"&amp;$C677&amp;"'!"&amp;"$"&amp;$D677&amp;$N$1&amp;"")</f>
        <v>6.7</v>
      </c>
      <c r="O677" s="296"/>
      <c r="P677" s="296">
        <v>0.98</v>
      </c>
      <c r="Q677" s="294">
        <v>0.46</v>
      </c>
      <c r="R677" s="295" cm="1">
        <f t="array" aca="1" ref="R677" ca="1">INDIRECT("'"&amp;$C677&amp;"'!"&amp;"$"&amp;$D677&amp;$R$1&amp;"")</f>
        <v>0</v>
      </c>
      <c r="S677" s="296"/>
      <c r="T677" s="296" t="s">
        <v>1</v>
      </c>
      <c r="U677" s="294" t="s">
        <v>1</v>
      </c>
      <c r="V677" s="295" cm="1">
        <f t="array" aca="1" ref="V677" ca="1">INDIRECT("'"&amp;$C677&amp;"'!"&amp;"$"&amp;$D677&amp;$V$1&amp;"")</f>
        <v>2</v>
      </c>
      <c r="W677" s="296">
        <f>3.8*3.59</f>
        <v>13.641999999999999</v>
      </c>
      <c r="X677" s="296">
        <v>0.98</v>
      </c>
      <c r="Y677" s="297">
        <v>0.34</v>
      </c>
      <c r="Z677" s="293" cm="1">
        <f t="array" aca="1" ref="Z677" ca="1">INDIRECT("'"&amp;$C677&amp;"'!"&amp;"$"&amp;$D677&amp;$Z$1&amp;"")</f>
        <v>0</v>
      </c>
      <c r="AA677" s="296" t="s">
        <v>1</v>
      </c>
      <c r="AB677" s="296" t="s">
        <v>1</v>
      </c>
      <c r="AC677" s="294" t="s">
        <v>1</v>
      </c>
      <c r="AD677" s="295" cm="1">
        <f t="array" aca="1" ref="AD677" ca="1">INDIRECT("'"&amp;$C677&amp;"'!"&amp;"$"&amp;$D677&amp;$AD$1&amp;"")</f>
        <v>3</v>
      </c>
      <c r="AE677" s="296">
        <f>3.8*3.59</f>
        <v>13.641999999999999</v>
      </c>
      <c r="AF677" s="296">
        <v>0.98</v>
      </c>
      <c r="AG677" s="297">
        <v>0.53</v>
      </c>
      <c r="AH677" s="293" t="str" cm="1">
        <f t="array" aca="1" ref="AH677" ca="1">INDIRECT("'"&amp;$C677&amp;"'!"&amp;"$"&amp;$D677&amp;$AH$1&amp;"")</f>
        <v>CMS</v>
      </c>
      <c r="AI677" s="296" t="s">
        <v>1</v>
      </c>
      <c r="AJ677" s="296" t="s">
        <v>1</v>
      </c>
      <c r="AK677" s="294" t="s">
        <v>1</v>
      </c>
      <c r="AL677" s="293">
        <v>11.9</v>
      </c>
      <c r="AM677" s="297">
        <v>70.7</v>
      </c>
      <c r="AN677" s="293" cm="1">
        <f t="array" aca="1" ref="AN677" ca="1">INDIRECT("'"&amp;$C677&amp;"'!"&amp;"$"&amp;$D677&amp;$AL$1&amp;"")</f>
        <v>3.4</v>
      </c>
      <c r="AO677" s="296">
        <v>0.99</v>
      </c>
      <c r="AP677" s="294">
        <v>0.45</v>
      </c>
      <c r="AQ677" s="295" cm="1">
        <f t="array" aca="1" ref="AQ677" ca="1">INDIRECT("'"&amp;$C677&amp;"'!"&amp;"$"&amp;$D677&amp;$AQ$1&amp;"")</f>
        <v>3.4</v>
      </c>
      <c r="AR677" s="296">
        <v>0.99</v>
      </c>
      <c r="AS677" s="294">
        <v>0.45</v>
      </c>
      <c r="AT677" s="296" cm="1">
        <f t="array" aca="1" ref="AT677" ca="1">INDIRECT("'"&amp;$C677&amp;"'!"&amp;"$"&amp;$D677&amp;$AT$1&amp;"")</f>
        <v>0</v>
      </c>
      <c r="AU677" s="295" t="s">
        <v>1</v>
      </c>
      <c r="AV677" s="296" t="s">
        <v>1</v>
      </c>
      <c r="AW677" s="294" t="s">
        <v>1</v>
      </c>
      <c r="AX677" s="298">
        <v>14.18</v>
      </c>
      <c r="AY677" s="297">
        <v>71.81</v>
      </c>
      <c r="AZ677" s="298" cm="1">
        <f t="array" aca="1" ref="AZ677" ca="1">INDIRECT("'"&amp;$C677&amp;"'!"&amp;"$"&amp;$D677&amp;$AZ$1&amp;"")</f>
        <v>14.29</v>
      </c>
      <c r="BA677" s="296">
        <v>0.99</v>
      </c>
      <c r="BB677" s="294">
        <v>2.4</v>
      </c>
      <c r="BC677" s="299">
        <v>69</v>
      </c>
      <c r="BD677" s="293" cm="1">
        <f t="array" aca="1" ref="BD677" ca="1">INDIRECT("'"&amp;$C677&amp;"'!"&amp;"$"&amp;$D677&amp;$BC$1&amp;"")</f>
        <v>0</v>
      </c>
      <c r="BE677" s="295" t="s">
        <v>1</v>
      </c>
      <c r="BF677" s="294" t="s">
        <v>1</v>
      </c>
      <c r="BG677" s="298" cm="1">
        <f t="array" aca="1" ref="BG677" ca="1">INDIRECT("'"&amp;$C677&amp;"'!"&amp;"$"&amp;$D677&amp;$BG$1&amp;"")</f>
        <v>1.1000000000000001</v>
      </c>
      <c r="BH677" s="296"/>
      <c r="BI677" s="296">
        <v>0.99</v>
      </c>
      <c r="BJ677" s="294">
        <v>0.14000000000000001</v>
      </c>
      <c r="BK677" s="299" cm="1">
        <f t="array" aca="1" ref="BK677" ca="1">INDIRECT("'"&amp;$C677&amp;"'!"&amp;"$"&amp;$D677&amp;$BK$1&amp;"")</f>
        <v>0.91</v>
      </c>
      <c r="BL677" s="296"/>
      <c r="BM677" s="296">
        <v>0.98</v>
      </c>
      <c r="BN677" s="294">
        <v>0.24</v>
      </c>
    </row>
    <row r="678" spans="1:66" ht="14.45" thickBot="1">
      <c r="A678" s="494">
        <v>45773</v>
      </c>
      <c r="B678" s="359">
        <v>0.95833333333333404</v>
      </c>
      <c r="C678" s="315">
        <f t="shared" si="26"/>
        <v>27</v>
      </c>
      <c r="D678" s="316" t="s">
        <v>150</v>
      </c>
      <c r="E678" s="301">
        <v>14.2</v>
      </c>
      <c r="F678" s="302">
        <v>69.75</v>
      </c>
      <c r="G678" s="303" cm="1">
        <f t="array" aca="1" ref="G678" ca="1">INDIRECT("'"&amp;$C678&amp;"'!"&amp;"$"&amp;$D678&amp;$E$1&amp;"")</f>
        <v>6.8</v>
      </c>
      <c r="H678" s="304">
        <v>0.98</v>
      </c>
      <c r="I678" s="302">
        <v>1.41</v>
      </c>
      <c r="J678" s="303" cm="1">
        <f t="array" aca="1" ref="J678" ca="1">INDIRECT("'"&amp;$C678&amp;"'!"&amp;"$"&amp;$D678&amp;$J$1&amp;"")</f>
        <v>6.8</v>
      </c>
      <c r="K678" s="304"/>
      <c r="L678" s="304">
        <v>0.98</v>
      </c>
      <c r="M678" s="302">
        <v>1.43</v>
      </c>
      <c r="N678" s="303" cm="1">
        <f t="array" aca="1" ref="N678" ca="1">INDIRECT("'"&amp;$C678&amp;"'!"&amp;"$"&amp;$D678&amp;$N$1&amp;"")</f>
        <v>6.8</v>
      </c>
      <c r="O678" s="304"/>
      <c r="P678" s="304">
        <v>0.98</v>
      </c>
      <c r="Q678" s="302">
        <v>1.43</v>
      </c>
      <c r="R678" s="303" cm="1">
        <f t="array" aca="1" ref="R678" ca="1">INDIRECT("'"&amp;$C678&amp;"'!"&amp;"$"&amp;$D678&amp;$R$1&amp;"")</f>
        <v>0</v>
      </c>
      <c r="S678" s="304"/>
      <c r="T678" s="304" t="s">
        <v>1</v>
      </c>
      <c r="U678" s="302" t="s">
        <v>1</v>
      </c>
      <c r="V678" s="303" cm="1">
        <f t="array" aca="1" ref="V678" ca="1">INDIRECT("'"&amp;$C678&amp;"'!"&amp;"$"&amp;$D678&amp;$V$1&amp;"")</f>
        <v>0</v>
      </c>
      <c r="W678" s="304" t="s">
        <v>1</v>
      </c>
      <c r="X678" s="304" t="s">
        <v>1</v>
      </c>
      <c r="Y678" s="305" t="s">
        <v>1</v>
      </c>
      <c r="Z678" s="301" cm="1">
        <f t="array" aca="1" ref="Z678" ca="1">INDIRECT("'"&amp;$C678&amp;"'!"&amp;"$"&amp;$D678&amp;$Z$1&amp;"")</f>
        <v>0</v>
      </c>
      <c r="AA678" s="304" t="s">
        <v>1</v>
      </c>
      <c r="AB678" s="304" t="s">
        <v>1</v>
      </c>
      <c r="AC678" s="302" t="s">
        <v>1</v>
      </c>
      <c r="AD678" s="303" cm="1">
        <f t="array" aca="1" ref="AD678" ca="1">INDIRECT("'"&amp;$C678&amp;"'!"&amp;"$"&amp;$D678&amp;$AD$1&amp;"")</f>
        <v>2</v>
      </c>
      <c r="AE678" s="304">
        <f>3.8*3.57</f>
        <v>13.565999999999999</v>
      </c>
      <c r="AF678" s="304">
        <v>0.99</v>
      </c>
      <c r="AG678" s="305">
        <v>0.31</v>
      </c>
      <c r="AH678" s="301" t="str" cm="1">
        <f t="array" aca="1" ref="AH678" ca="1">INDIRECT("'"&amp;$C678&amp;"'!"&amp;"$"&amp;$D678&amp;$AH$1&amp;"")</f>
        <v>CMS</v>
      </c>
      <c r="AI678" s="304"/>
      <c r="AJ678" s="304"/>
      <c r="AK678" s="302"/>
      <c r="AL678" s="301">
        <v>11.9</v>
      </c>
      <c r="AM678" s="305">
        <v>70.8</v>
      </c>
      <c r="AN678" s="301" cm="1">
        <f t="array" aca="1" ref="AN678" ca="1">INDIRECT("'"&amp;$C678&amp;"'!"&amp;"$"&amp;$D678&amp;$AL$1&amp;"")</f>
        <v>3</v>
      </c>
      <c r="AO678" s="304">
        <v>0.99</v>
      </c>
      <c r="AP678" s="302">
        <v>0.45</v>
      </c>
      <c r="AQ678" s="303" cm="1">
        <f t="array" aca="1" ref="AQ678" ca="1">INDIRECT("'"&amp;$C678&amp;"'!"&amp;"$"&amp;$D678&amp;$AQ$1&amp;"")</f>
        <v>3</v>
      </c>
      <c r="AR678" s="304">
        <v>0.99</v>
      </c>
      <c r="AS678" s="302">
        <v>0.45</v>
      </c>
      <c r="AT678" s="304" cm="1">
        <f t="array" aca="1" ref="AT678" ca="1">INDIRECT("'"&amp;$C678&amp;"'!"&amp;"$"&amp;$D678&amp;$AT$1&amp;"")</f>
        <v>0</v>
      </c>
      <c r="AU678" s="303" t="s">
        <v>1</v>
      </c>
      <c r="AV678" s="304" t="s">
        <v>1</v>
      </c>
      <c r="AW678" s="302" t="s">
        <v>1</v>
      </c>
      <c r="AX678" s="306">
        <v>14.22</v>
      </c>
      <c r="AY678" s="305">
        <v>72.02</v>
      </c>
      <c r="AZ678" s="306" cm="1">
        <f t="array" aca="1" ref="AZ678" ca="1">INDIRECT("'"&amp;$C678&amp;"'!"&amp;"$"&amp;$D678&amp;$AZ$1&amp;"")</f>
        <v>14.27</v>
      </c>
      <c r="BA678" s="304">
        <v>0.99</v>
      </c>
      <c r="BB678" s="302">
        <v>2.4</v>
      </c>
      <c r="BC678" s="307">
        <v>69</v>
      </c>
      <c r="BD678" s="301" cm="1">
        <f t="array" aca="1" ref="BD678" ca="1">INDIRECT("'"&amp;$C678&amp;"'!"&amp;"$"&amp;$D678&amp;$BC$1&amp;"")</f>
        <v>0</v>
      </c>
      <c r="BE678" s="303" t="s">
        <v>1</v>
      </c>
      <c r="BF678" s="302" t="s">
        <v>1</v>
      </c>
      <c r="BG678" s="306" cm="1">
        <f t="array" aca="1" ref="BG678" ca="1">INDIRECT("'"&amp;$C678&amp;"'!"&amp;"$"&amp;$D678&amp;$BG$1&amp;"")</f>
        <v>1</v>
      </c>
      <c r="BH678" s="304"/>
      <c r="BI678" s="304">
        <v>0.99</v>
      </c>
      <c r="BJ678" s="302">
        <v>0.13</v>
      </c>
      <c r="BK678" s="307" cm="1">
        <f t="array" aca="1" ref="BK678" ca="1">INDIRECT("'"&amp;$C678&amp;"'!"&amp;"$"&amp;$D678&amp;$BK$1&amp;"")</f>
        <v>0.89</v>
      </c>
      <c r="BL678" s="304"/>
      <c r="BM678" s="304">
        <v>0.96</v>
      </c>
      <c r="BN678" s="302">
        <v>0.24</v>
      </c>
    </row>
    <row r="679" spans="1:66" ht="14.45" thickBot="1"/>
    <row r="680" spans="1:66" ht="14.45" thickBot="1">
      <c r="A680" s="360">
        <v>45775</v>
      </c>
      <c r="B680" s="357">
        <v>0</v>
      </c>
      <c r="C680" s="310">
        <f>C655+1</f>
        <v>28</v>
      </c>
      <c r="D680" s="311" t="s">
        <v>127</v>
      </c>
      <c r="E680" s="280">
        <v>14.2</v>
      </c>
      <c r="F680" s="281">
        <v>70.33</v>
      </c>
      <c r="G680" s="282" cm="1">
        <f t="array" aca="1" ref="G680" ca="1">INDIRECT("'"&amp;$C680&amp;"'!"&amp;"$"&amp;$D680&amp;$E$1&amp;"")</f>
        <v>6.6</v>
      </c>
      <c r="H680" s="283">
        <v>0.98</v>
      </c>
      <c r="I680" s="281">
        <v>1.41</v>
      </c>
      <c r="J680" s="282" cm="1">
        <f t="array" aca="1" ref="J680" ca="1">INDIRECT("'"&amp;$C680&amp;"'!"&amp;"$"&amp;$D680&amp;$J$1&amp;"")</f>
        <v>6.5</v>
      </c>
      <c r="K680" s="283"/>
      <c r="L680" s="283">
        <v>0.98</v>
      </c>
      <c r="M680" s="281">
        <v>1.36</v>
      </c>
      <c r="N680" s="282" cm="1">
        <f t="array" aca="1" ref="N680" ca="1">INDIRECT("'"&amp;$C680&amp;"'!"&amp;"$"&amp;$D680&amp;$N$1&amp;"")</f>
        <v>6.7</v>
      </c>
      <c r="O680" s="283"/>
      <c r="P680" s="283">
        <v>0.98</v>
      </c>
      <c r="Q680" s="281">
        <v>1.44</v>
      </c>
      <c r="R680" s="282" cm="1">
        <f t="array" aca="1" ref="R680" ca="1">INDIRECT("'"&amp;$C680&amp;"'!"&amp;"$"&amp;$D680&amp;$R$1&amp;"")</f>
        <v>0</v>
      </c>
      <c r="S680" s="283"/>
      <c r="T680" s="283" t="s">
        <v>1</v>
      </c>
      <c r="U680" s="281" t="s">
        <v>1</v>
      </c>
      <c r="V680" s="282" cm="1">
        <f t="array" aca="1" ref="V680" ca="1">INDIRECT("'"&amp;$C680&amp;"'!"&amp;"$"&amp;$D680&amp;$V$1&amp;"")</f>
        <v>0</v>
      </c>
      <c r="W680" s="283" t="s">
        <v>1</v>
      </c>
      <c r="X680" s="283" t="s">
        <v>1</v>
      </c>
      <c r="Y680" s="284" t="s">
        <v>1</v>
      </c>
      <c r="Z680" s="280" cm="1">
        <f t="array" aca="1" ref="Z680" ca="1">INDIRECT("'"&amp;$C680&amp;"'!"&amp;"$"&amp;$D680&amp;$Z$1&amp;"")</f>
        <v>0</v>
      </c>
      <c r="AA680" s="283" t="s">
        <v>1</v>
      </c>
      <c r="AB680" s="283" t="s">
        <v>1</v>
      </c>
      <c r="AC680" s="281" t="s">
        <v>1</v>
      </c>
      <c r="AD680" s="282" cm="1">
        <f t="array" aca="1" ref="AD680" ca="1">INDIRECT("'"&amp;$C680&amp;"'!"&amp;"$"&amp;$D680&amp;$AD$1&amp;"")</f>
        <v>0</v>
      </c>
      <c r="AE680" s="283" t="s">
        <v>1</v>
      </c>
      <c r="AF680" s="283" t="s">
        <v>1</v>
      </c>
      <c r="AG680" s="281" t="s">
        <v>1</v>
      </c>
      <c r="AH680" s="280" t="str" cm="1">
        <f t="array" aca="1" ref="AH680" ca="1">INDIRECT("'"&amp;$C680&amp;"'!"&amp;"$"&amp;$D680&amp;$AH$1&amp;"")</f>
        <v>CMS</v>
      </c>
      <c r="AI680" s="283" t="s">
        <v>1</v>
      </c>
      <c r="AJ680" s="283" t="s">
        <v>1</v>
      </c>
      <c r="AK680" s="281" t="s">
        <v>1</v>
      </c>
      <c r="AL680" s="280">
        <v>11.9</v>
      </c>
      <c r="AM680" s="284">
        <v>71</v>
      </c>
      <c r="AN680" s="280" cm="1">
        <f t="array" aca="1" ref="AN680" ca="1">INDIRECT("'"&amp;$C680&amp;"'!"&amp;"$"&amp;$D680&amp;$AL$1&amp;"")</f>
        <v>3</v>
      </c>
      <c r="AO680" s="283">
        <v>0.99</v>
      </c>
      <c r="AP680" s="281">
        <v>0.36</v>
      </c>
      <c r="AQ680" s="282" cm="1">
        <f t="array" aca="1" ref="AQ680" ca="1">INDIRECT("'"&amp;$C680&amp;"'!"&amp;"$"&amp;$D680&amp;$AQ$1&amp;"")</f>
        <v>3</v>
      </c>
      <c r="AR680" s="283">
        <v>0.99</v>
      </c>
      <c r="AS680" s="281">
        <v>0.36</v>
      </c>
      <c r="AT680" s="283" cm="1">
        <f t="array" aca="1" ref="AT680" ca="1">INDIRECT("'"&amp;$C680&amp;"'!"&amp;"$"&amp;$D680&amp;$AT$1&amp;"")</f>
        <v>0</v>
      </c>
      <c r="AU680" s="282" t="s">
        <v>1</v>
      </c>
      <c r="AV680" s="283" t="s">
        <v>1</v>
      </c>
      <c r="AW680" s="281" t="s">
        <v>1</v>
      </c>
      <c r="AX680" s="285">
        <v>14.29</v>
      </c>
      <c r="AY680" s="284">
        <v>72.239999999999995</v>
      </c>
      <c r="AZ680" s="285" cm="1">
        <f t="array" aca="1" ref="AZ680" ca="1">INDIRECT("'"&amp;$C680&amp;"'!"&amp;"$"&amp;$D680&amp;$AZ$1&amp;"")</f>
        <v>14.3</v>
      </c>
      <c r="BA680" s="283">
        <v>0.99</v>
      </c>
      <c r="BB680" s="281">
        <v>2.4</v>
      </c>
      <c r="BC680" s="281">
        <v>69.2</v>
      </c>
      <c r="BD680" s="280" cm="1">
        <f t="array" aca="1" ref="BD680" ca="1">INDIRECT("'"&amp;$C680&amp;"'!"&amp;"$"&amp;$D680&amp;$BC$1&amp;"")</f>
        <v>0</v>
      </c>
      <c r="BE680" s="282" t="s">
        <v>1</v>
      </c>
      <c r="BF680" s="281" t="s">
        <v>1</v>
      </c>
      <c r="BG680" s="285" cm="1">
        <f t="array" aca="1" ref="BG680" ca="1">INDIRECT("'"&amp;$C680&amp;"'!"&amp;"$"&amp;$D680&amp;$BG$1&amp;"")</f>
        <v>0.93</v>
      </c>
      <c r="BH680" s="283"/>
      <c r="BI680" s="283">
        <v>0.99</v>
      </c>
      <c r="BJ680" s="281">
        <v>0.13</v>
      </c>
      <c r="BK680" s="285" cm="1">
        <f t="array" aca="1" ref="BK680" ca="1">INDIRECT("'"&amp;$C680&amp;"'!"&amp;"$"&amp;$D680&amp;$BK$1&amp;"")</f>
        <v>0.81</v>
      </c>
      <c r="BL680" s="283"/>
      <c r="BM680" s="283">
        <v>0.96</v>
      </c>
      <c r="BN680" s="281">
        <v>0.21</v>
      </c>
    </row>
    <row r="681" spans="1:66" ht="14.45" thickBot="1">
      <c r="A681" s="360">
        <v>45775</v>
      </c>
      <c r="B681" s="358">
        <v>4.1666666666666699E-2</v>
      </c>
      <c r="C681" s="313">
        <f t="shared" ref="C681:C703" si="27">C656+1</f>
        <v>28</v>
      </c>
      <c r="D681" s="314" t="s">
        <v>128</v>
      </c>
      <c r="E681" s="286">
        <v>14.2</v>
      </c>
      <c r="F681" s="287">
        <v>70.3</v>
      </c>
      <c r="G681" s="288" cm="1">
        <f t="array" aca="1" ref="G681" ca="1">INDIRECT("'"&amp;$C681&amp;"'!"&amp;"$"&amp;$D681&amp;$E$1&amp;"")</f>
        <v>6.7</v>
      </c>
      <c r="H681" s="289">
        <v>0.99</v>
      </c>
      <c r="I681" s="287">
        <v>1.05</v>
      </c>
      <c r="J681" s="288" cm="1">
        <f t="array" aca="1" ref="J681" ca="1">INDIRECT("'"&amp;$C681&amp;"'!"&amp;"$"&amp;$D681&amp;$J$1&amp;"")</f>
        <v>6.6</v>
      </c>
      <c r="K681" s="289"/>
      <c r="L681" s="289">
        <v>0.99</v>
      </c>
      <c r="M681" s="287">
        <v>0.87</v>
      </c>
      <c r="N681" s="288" cm="1">
        <f t="array" aca="1" ref="N681" ca="1">INDIRECT("'"&amp;$C681&amp;"'!"&amp;"$"&amp;$D681&amp;$N$1&amp;"")</f>
        <v>0</v>
      </c>
      <c r="O681" s="289"/>
      <c r="P681" s="289" t="s">
        <v>1</v>
      </c>
      <c r="Q681" s="287" t="s">
        <v>1</v>
      </c>
      <c r="R681" s="288" cm="1">
        <f t="array" aca="1" ref="R681" ca="1">INDIRECT("'"&amp;$C681&amp;"'!"&amp;"$"&amp;$D681&amp;$R$1&amp;"")</f>
        <v>6.6</v>
      </c>
      <c r="S681" s="289"/>
      <c r="T681" s="289">
        <v>0.96</v>
      </c>
      <c r="U681" s="287">
        <v>0.92</v>
      </c>
      <c r="V681" s="288" cm="1">
        <f t="array" aca="1" ref="V681" ca="1">INDIRECT("'"&amp;$C681&amp;"'!"&amp;"$"&amp;$D681&amp;$V$1&amp;"")</f>
        <v>0</v>
      </c>
      <c r="W681" s="289" t="s">
        <v>1</v>
      </c>
      <c r="X681" s="289" t="s">
        <v>1</v>
      </c>
      <c r="Y681" s="290" t="s">
        <v>1</v>
      </c>
      <c r="Z681" s="286" cm="1">
        <f t="array" aca="1" ref="Z681" ca="1">INDIRECT("'"&amp;$C681&amp;"'!"&amp;"$"&amp;$D681&amp;$Z$1&amp;"")</f>
        <v>0</v>
      </c>
      <c r="AA681" s="289" t="s">
        <v>1</v>
      </c>
      <c r="AB681" s="289" t="s">
        <v>1</v>
      </c>
      <c r="AC681" s="287" t="s">
        <v>1</v>
      </c>
      <c r="AD681" s="288" cm="1">
        <f t="array" aca="1" ref="AD681" ca="1">INDIRECT("'"&amp;$C681&amp;"'!"&amp;"$"&amp;$D681&amp;$AD$1&amp;"")</f>
        <v>0</v>
      </c>
      <c r="AE681" s="289" t="s">
        <v>1</v>
      </c>
      <c r="AF681" s="289" t="s">
        <v>1</v>
      </c>
      <c r="AG681" s="290" t="s">
        <v>1</v>
      </c>
      <c r="AH681" s="286" t="str" cm="1">
        <f t="array" aca="1" ref="AH681" ca="1">INDIRECT("'"&amp;$C681&amp;"'!"&amp;"$"&amp;$D681&amp;$AH$1&amp;"")</f>
        <v>CMS</v>
      </c>
      <c r="AI681" s="289" t="s">
        <v>1</v>
      </c>
      <c r="AJ681" s="289" t="s">
        <v>1</v>
      </c>
      <c r="AK681" s="287" t="s">
        <v>1</v>
      </c>
      <c r="AL681" s="286">
        <v>11.9</v>
      </c>
      <c r="AM681" s="290">
        <v>70.8</v>
      </c>
      <c r="AN681" s="286" cm="1">
        <f t="array" aca="1" ref="AN681" ca="1">INDIRECT("'"&amp;$C681&amp;"'!"&amp;"$"&amp;$D681&amp;$AL$1&amp;"")</f>
        <v>2.5</v>
      </c>
      <c r="AO681" s="289">
        <v>1</v>
      </c>
      <c r="AP681" s="287">
        <v>0.16</v>
      </c>
      <c r="AQ681" s="288" cm="1">
        <f t="array" aca="1" ref="AQ681" ca="1">INDIRECT("'"&amp;$C681&amp;"'!"&amp;"$"&amp;$D681&amp;$AQ$1&amp;"")</f>
        <v>2.5</v>
      </c>
      <c r="AR681" s="289">
        <v>1</v>
      </c>
      <c r="AS681" s="287">
        <v>0.16</v>
      </c>
      <c r="AT681" s="289" cm="1">
        <f t="array" aca="1" ref="AT681" ca="1">INDIRECT("'"&amp;$C681&amp;"'!"&amp;"$"&amp;$D681&amp;$AT$1&amp;"")</f>
        <v>0</v>
      </c>
      <c r="AU681" s="288" t="s">
        <v>1</v>
      </c>
      <c r="AV681" s="289" t="s">
        <v>1</v>
      </c>
      <c r="AW681" s="287" t="s">
        <v>1</v>
      </c>
      <c r="AX681" s="291">
        <v>14.2</v>
      </c>
      <c r="AY681" s="290">
        <v>72.02</v>
      </c>
      <c r="AZ681" s="291" cm="1">
        <f t="array" aca="1" ref="AZ681" ca="1">INDIRECT("'"&amp;$C681&amp;"'!"&amp;"$"&amp;$D681&amp;$AZ$1&amp;"")</f>
        <v>12.75</v>
      </c>
      <c r="BA681" s="289">
        <v>0.99</v>
      </c>
      <c r="BB681" s="287">
        <v>2.2000000000000002</v>
      </c>
      <c r="BC681" s="292">
        <v>69.099999999999994</v>
      </c>
      <c r="BD681" s="286" cm="1">
        <f t="array" aca="1" ref="BD681" ca="1">INDIRECT("'"&amp;$C681&amp;"'!"&amp;"$"&amp;$D681&amp;$BC$1&amp;"")</f>
        <v>0</v>
      </c>
      <c r="BE681" s="288" t="s">
        <v>1</v>
      </c>
      <c r="BF681" s="287" t="s">
        <v>1</v>
      </c>
      <c r="BG681" s="291" cm="1">
        <f t="array" aca="1" ref="BG681" ca="1">INDIRECT("'"&amp;$C681&amp;"'!"&amp;"$"&amp;$D681&amp;$BG$1&amp;"")</f>
        <v>0.88</v>
      </c>
      <c r="BH681" s="289"/>
      <c r="BI681" s="289">
        <v>0.99</v>
      </c>
      <c r="BJ681" s="287">
        <v>0.11</v>
      </c>
      <c r="BK681" s="291" cm="1">
        <f t="array" aca="1" ref="BK681" ca="1">INDIRECT("'"&amp;$C681&amp;"'!"&amp;"$"&amp;$D681&amp;$BK$1&amp;"")</f>
        <v>0.8</v>
      </c>
      <c r="BL681" s="289"/>
      <c r="BM681" s="289">
        <v>0.96</v>
      </c>
      <c r="BN681" s="287">
        <v>0.21</v>
      </c>
    </row>
    <row r="682" spans="1:66" ht="14.45" thickBot="1">
      <c r="A682" s="360">
        <v>45775</v>
      </c>
      <c r="B682" s="358">
        <v>8.3333333333333301E-2</v>
      </c>
      <c r="C682" s="313">
        <f t="shared" si="27"/>
        <v>28</v>
      </c>
      <c r="D682" s="314" t="s">
        <v>129</v>
      </c>
      <c r="E682" s="293">
        <v>14.1</v>
      </c>
      <c r="F682" s="294">
        <v>69.87</v>
      </c>
      <c r="G682" s="295" cm="1">
        <f t="array" aca="1" ref="G682" ca="1">INDIRECT("'"&amp;$C682&amp;"'!"&amp;"$"&amp;$D682&amp;$E$1&amp;"")</f>
        <v>0</v>
      </c>
      <c r="H682" s="296" t="s">
        <v>1</v>
      </c>
      <c r="I682" s="294" t="s">
        <v>1</v>
      </c>
      <c r="J682" s="295" cm="1">
        <f t="array" aca="1" ref="J682" ca="1">INDIRECT("'"&amp;$C682&amp;"'!"&amp;"$"&amp;$D682&amp;$J$1&amp;"")</f>
        <v>6.8</v>
      </c>
      <c r="K682" s="296"/>
      <c r="L682" s="296">
        <v>0.98</v>
      </c>
      <c r="M682" s="294">
        <v>1.3</v>
      </c>
      <c r="N682" s="295" cm="1">
        <f t="array" aca="1" ref="N682" ca="1">INDIRECT("'"&amp;$C682&amp;"'!"&amp;"$"&amp;$D682&amp;$N$1&amp;"")</f>
        <v>0</v>
      </c>
      <c r="O682" s="296"/>
      <c r="P682" s="296" t="s">
        <v>1</v>
      </c>
      <c r="Q682" s="294" t="s">
        <v>1</v>
      </c>
      <c r="R682" s="295" cm="1">
        <f t="array" aca="1" ref="R682" ca="1">INDIRECT("'"&amp;$C682&amp;"'!"&amp;"$"&amp;$D682&amp;$R$1&amp;"")</f>
        <v>6.8</v>
      </c>
      <c r="S682" s="296"/>
      <c r="T682" s="296">
        <v>0.96</v>
      </c>
      <c r="U682" s="294">
        <v>1.97</v>
      </c>
      <c r="V682" s="295" cm="1">
        <f t="array" aca="1" ref="V682" ca="1">INDIRECT("'"&amp;$C682&amp;"'!"&amp;"$"&amp;$D682&amp;$V$1&amp;"")</f>
        <v>0</v>
      </c>
      <c r="W682" s="296" t="s">
        <v>1</v>
      </c>
      <c r="X682" s="296" t="s">
        <v>1</v>
      </c>
      <c r="Y682" s="297" t="s">
        <v>1</v>
      </c>
      <c r="Z682" s="293" cm="1">
        <f t="array" aca="1" ref="Z682" ca="1">INDIRECT("'"&amp;$C682&amp;"'!"&amp;"$"&amp;$D682&amp;$Z$1&amp;"")</f>
        <v>0</v>
      </c>
      <c r="AA682" s="296" t="s">
        <v>1</v>
      </c>
      <c r="AB682" s="296" t="s">
        <v>1</v>
      </c>
      <c r="AC682" s="294" t="s">
        <v>1</v>
      </c>
      <c r="AD682" s="295" cm="1">
        <f t="array" aca="1" ref="AD682" ca="1">INDIRECT("'"&amp;$C682&amp;"'!"&amp;"$"&amp;$D682&amp;$AD$1&amp;"")</f>
        <v>0</v>
      </c>
      <c r="AE682" s="296" t="s">
        <v>1</v>
      </c>
      <c r="AF682" s="296" t="s">
        <v>1</v>
      </c>
      <c r="AG682" s="297" t="s">
        <v>1</v>
      </c>
      <c r="AH682" s="293" t="str" cm="1">
        <f t="array" aca="1" ref="AH682" ca="1">INDIRECT("'"&amp;$C682&amp;"'!"&amp;"$"&amp;$D682&amp;$AH$1&amp;"")</f>
        <v>CMS</v>
      </c>
      <c r="AI682" s="296" t="s">
        <v>1</v>
      </c>
      <c r="AJ682" s="296" t="s">
        <v>1</v>
      </c>
      <c r="AK682" s="297" t="s">
        <v>1</v>
      </c>
      <c r="AL682" s="293">
        <v>11.9</v>
      </c>
      <c r="AM682" s="297">
        <v>70.8</v>
      </c>
      <c r="AN682" s="293" cm="1">
        <f t="array" aca="1" ref="AN682" ca="1">INDIRECT("'"&amp;$C682&amp;"'!"&amp;"$"&amp;$D682&amp;$AL$1&amp;"")</f>
        <v>4.3</v>
      </c>
      <c r="AO682" s="296">
        <v>1</v>
      </c>
      <c r="AP682" s="294">
        <v>0.12</v>
      </c>
      <c r="AQ682" s="295" cm="1">
        <f t="array" aca="1" ref="AQ682" ca="1">INDIRECT("'"&amp;$C682&amp;"'!"&amp;"$"&amp;$D682&amp;$AQ$1&amp;"")</f>
        <v>4.3</v>
      </c>
      <c r="AR682" s="296">
        <v>1</v>
      </c>
      <c r="AS682" s="294">
        <v>0.12</v>
      </c>
      <c r="AT682" s="296" cm="1">
        <f t="array" aca="1" ref="AT682" ca="1">INDIRECT("'"&amp;$C682&amp;"'!"&amp;"$"&amp;$D682&amp;$AT$1&amp;"")</f>
        <v>0</v>
      </c>
      <c r="AU682" s="295" t="s">
        <v>1</v>
      </c>
      <c r="AV682" s="296" t="s">
        <v>1</v>
      </c>
      <c r="AW682" s="294" t="s">
        <v>1</v>
      </c>
      <c r="AX682" s="298">
        <v>14.27</v>
      </c>
      <c r="AY682" s="297">
        <v>72.16</v>
      </c>
      <c r="AZ682" s="298" cm="1">
        <f t="array" aca="1" ref="AZ682" ca="1">INDIRECT("'"&amp;$C682&amp;"'!"&amp;"$"&amp;$D682&amp;$AZ$1&amp;"")</f>
        <v>14.29</v>
      </c>
      <c r="BA682" s="296">
        <v>0.99</v>
      </c>
      <c r="BB682" s="294">
        <v>2.4</v>
      </c>
      <c r="BC682" s="299">
        <v>68.8</v>
      </c>
      <c r="BD682" s="293" cm="1">
        <f t="array" aca="1" ref="BD682" ca="1">INDIRECT("'"&amp;$C682&amp;"'!"&amp;"$"&amp;$D682&amp;$BC$1&amp;"")</f>
        <v>0</v>
      </c>
      <c r="BE682" s="295" t="s">
        <v>1</v>
      </c>
      <c r="BF682" s="294" t="s">
        <v>1</v>
      </c>
      <c r="BG682" s="298" cm="1">
        <f t="array" aca="1" ref="BG682" ca="1">INDIRECT("'"&amp;$C682&amp;"'!"&amp;"$"&amp;$D682&amp;$BG$1&amp;"")</f>
        <v>0.84</v>
      </c>
      <c r="BH682" s="296"/>
      <c r="BI682" s="296">
        <v>0.99</v>
      </c>
      <c r="BJ682" s="294">
        <v>0.11</v>
      </c>
      <c r="BK682" s="298" cm="1">
        <f t="array" aca="1" ref="BK682" ca="1">INDIRECT("'"&amp;$C682&amp;"'!"&amp;"$"&amp;$D682&amp;$BK$1&amp;"")</f>
        <v>0.75</v>
      </c>
      <c r="BL682" s="296"/>
      <c r="BM682" s="296">
        <v>0.96</v>
      </c>
      <c r="BN682" s="294">
        <v>0.2</v>
      </c>
    </row>
    <row r="683" spans="1:66" ht="14.45" thickBot="1">
      <c r="A683" s="360">
        <v>45775</v>
      </c>
      <c r="B683" s="358">
        <v>0.125</v>
      </c>
      <c r="C683" s="313">
        <f t="shared" si="27"/>
        <v>28</v>
      </c>
      <c r="D683" s="314" t="s">
        <v>130</v>
      </c>
      <c r="E683" s="286">
        <v>14.1</v>
      </c>
      <c r="F683" s="287">
        <v>69.819999999999993</v>
      </c>
      <c r="G683" s="288" cm="1">
        <f t="array" aca="1" ref="G683" ca="1">INDIRECT("'"&amp;$C683&amp;"'!"&amp;"$"&amp;$D683&amp;$E$1&amp;"")</f>
        <v>0</v>
      </c>
      <c r="H683" s="289" t="s">
        <v>1</v>
      </c>
      <c r="I683" s="287" t="s">
        <v>1</v>
      </c>
      <c r="J683" s="288" cm="1">
        <f t="array" aca="1" ref="J683" ca="1">INDIRECT("'"&amp;$C683&amp;"'!"&amp;"$"&amp;$D683&amp;$J$1&amp;"")</f>
        <v>6.6</v>
      </c>
      <c r="K683" s="289"/>
      <c r="L683" s="289">
        <v>0.98</v>
      </c>
      <c r="M683" s="287">
        <v>1.27</v>
      </c>
      <c r="N683" s="288" cm="1">
        <f t="array" aca="1" ref="N683" ca="1">INDIRECT("'"&amp;$C683&amp;"'!"&amp;"$"&amp;$D683&amp;$N$1&amp;"")</f>
        <v>0</v>
      </c>
      <c r="O683" s="289"/>
      <c r="P683" s="289" t="s">
        <v>1</v>
      </c>
      <c r="Q683" s="287" t="s">
        <v>1</v>
      </c>
      <c r="R683" s="288" cm="1">
        <f t="array" aca="1" ref="R683" ca="1">INDIRECT("'"&amp;$C683&amp;"'!"&amp;"$"&amp;$D683&amp;$R$1&amp;"")</f>
        <v>6.5</v>
      </c>
      <c r="S683" s="289"/>
      <c r="T683" s="289">
        <v>0.97</v>
      </c>
      <c r="U683" s="287">
        <v>1.58</v>
      </c>
      <c r="V683" s="288" cm="1">
        <f t="array" aca="1" ref="V683" ca="1">INDIRECT("'"&amp;$C683&amp;"'!"&amp;"$"&amp;$D683&amp;$V$1&amp;"")</f>
        <v>0</v>
      </c>
      <c r="W683" s="289" t="s">
        <v>1</v>
      </c>
      <c r="X683" s="289" t="s">
        <v>1</v>
      </c>
      <c r="Y683" s="290" t="s">
        <v>1</v>
      </c>
      <c r="Z683" s="286" cm="1">
        <f t="array" aca="1" ref="Z683" ca="1">INDIRECT("'"&amp;$C683&amp;"'!"&amp;"$"&amp;$D683&amp;$Z$1&amp;"")</f>
        <v>0</v>
      </c>
      <c r="AA683" s="289" t="s">
        <v>1</v>
      </c>
      <c r="AB683" s="289" t="s">
        <v>1</v>
      </c>
      <c r="AC683" s="287" t="s">
        <v>1</v>
      </c>
      <c r="AD683" s="288" cm="1">
        <f t="array" aca="1" ref="AD683" ca="1">INDIRECT("'"&amp;$C683&amp;"'!"&amp;"$"&amp;$D683&amp;$AD$1&amp;"")</f>
        <v>0</v>
      </c>
      <c r="AE683" s="289" t="s">
        <v>1</v>
      </c>
      <c r="AF683" s="289" t="s">
        <v>1</v>
      </c>
      <c r="AG683" s="287" t="s">
        <v>1</v>
      </c>
      <c r="AH683" s="286" t="str" cm="1">
        <f t="array" aca="1" ref="AH683" ca="1">INDIRECT("'"&amp;$C683&amp;"'!"&amp;"$"&amp;$D683&amp;$AH$1&amp;"")</f>
        <v>CMS</v>
      </c>
      <c r="AI683" s="289" t="s">
        <v>1</v>
      </c>
      <c r="AJ683" s="289" t="s">
        <v>1</v>
      </c>
      <c r="AK683" s="287" t="s">
        <v>1</v>
      </c>
      <c r="AL683" s="286">
        <v>11.9</v>
      </c>
      <c r="AM683" s="290">
        <v>70.900000000000006</v>
      </c>
      <c r="AN683" s="286" cm="1">
        <f t="array" aca="1" ref="AN683" ca="1">INDIRECT("'"&amp;$C683&amp;"'!"&amp;"$"&amp;$D683&amp;$AL$1&amp;"")</f>
        <v>3.8</v>
      </c>
      <c r="AO683" s="289">
        <v>1</v>
      </c>
      <c r="AP683" s="287">
        <v>0.02</v>
      </c>
      <c r="AQ683" s="288" cm="1">
        <f t="array" aca="1" ref="AQ683" ca="1">INDIRECT("'"&amp;$C683&amp;"'!"&amp;"$"&amp;$D683&amp;$AQ$1&amp;"")</f>
        <v>3.8</v>
      </c>
      <c r="AR683" s="289">
        <v>1</v>
      </c>
      <c r="AS683" s="287">
        <v>0.02</v>
      </c>
      <c r="AT683" s="289" cm="1">
        <f t="array" aca="1" ref="AT683" ca="1">INDIRECT("'"&amp;$C683&amp;"'!"&amp;"$"&amp;$D683&amp;$AT$1&amp;"")</f>
        <v>0</v>
      </c>
      <c r="AU683" s="288" t="s">
        <v>1</v>
      </c>
      <c r="AV683" s="289" t="s">
        <v>1</v>
      </c>
      <c r="AW683" s="287" t="s">
        <v>1</v>
      </c>
      <c r="AX683" s="291">
        <v>14.3</v>
      </c>
      <c r="AY683" s="290">
        <v>72.349999999999994</v>
      </c>
      <c r="AZ683" s="291" cm="1">
        <f t="array" aca="1" ref="AZ683" ca="1">INDIRECT("'"&amp;$C683&amp;"'!"&amp;"$"&amp;$D683&amp;$AZ$1&amp;"")</f>
        <v>14.3</v>
      </c>
      <c r="BA683" s="289">
        <v>0.99</v>
      </c>
      <c r="BB683" s="287">
        <v>2.5</v>
      </c>
      <c r="BC683" s="292">
        <v>69.099999999999994</v>
      </c>
      <c r="BD683" s="286" cm="1">
        <f t="array" aca="1" ref="BD683" ca="1">INDIRECT("'"&amp;$C683&amp;"'!"&amp;"$"&amp;$D683&amp;$BC$1&amp;"")</f>
        <v>0</v>
      </c>
      <c r="BE683" s="288" t="s">
        <v>1</v>
      </c>
      <c r="BF683" s="287" t="s">
        <v>1</v>
      </c>
      <c r="BG683" s="291" cm="1">
        <f t="array" aca="1" ref="BG683" ca="1">INDIRECT("'"&amp;$C683&amp;"'!"&amp;"$"&amp;$D683&amp;$BG$1&amp;"")</f>
        <v>0.82</v>
      </c>
      <c r="BH683" s="289"/>
      <c r="BI683" s="289">
        <v>0.99</v>
      </c>
      <c r="BJ683" s="287">
        <v>0.11</v>
      </c>
      <c r="BK683" s="291" cm="1">
        <f t="array" aca="1" ref="BK683" ca="1">INDIRECT("'"&amp;$C683&amp;"'!"&amp;"$"&amp;$D683&amp;$BK$1&amp;"")</f>
        <v>0.73</v>
      </c>
      <c r="BL683" s="289"/>
      <c r="BM683" s="289">
        <v>0.96</v>
      </c>
      <c r="BN683" s="287">
        <v>0.2</v>
      </c>
    </row>
    <row r="684" spans="1:66" ht="14.45" thickBot="1">
      <c r="A684" s="360">
        <v>45775</v>
      </c>
      <c r="B684" s="358">
        <v>0.16666666666666699</v>
      </c>
      <c r="C684" s="313">
        <f t="shared" si="27"/>
        <v>28</v>
      </c>
      <c r="D684" s="314" t="s">
        <v>131</v>
      </c>
      <c r="E684" s="293">
        <v>14.1</v>
      </c>
      <c r="F684" s="294">
        <v>69.819999999999993</v>
      </c>
      <c r="G684" s="295" cm="1">
        <f t="array" aca="1" ref="G684" ca="1">INDIRECT("'"&amp;$C684&amp;"'!"&amp;"$"&amp;$D684&amp;$E$1&amp;"")</f>
        <v>0</v>
      </c>
      <c r="H684" s="296" t="s">
        <v>1</v>
      </c>
      <c r="I684" s="294" t="s">
        <v>1</v>
      </c>
      <c r="J684" s="295" cm="1">
        <f t="array" aca="1" ref="J684" ca="1">INDIRECT("'"&amp;$C684&amp;"'!"&amp;"$"&amp;$D684&amp;$J$1&amp;"")</f>
        <v>6.7</v>
      </c>
      <c r="K684" s="296"/>
      <c r="L684" s="296">
        <v>0.98</v>
      </c>
      <c r="M684" s="294">
        <v>1.31</v>
      </c>
      <c r="N684" s="295" cm="1">
        <f t="array" aca="1" ref="N684" ca="1">INDIRECT("'"&amp;$C684&amp;"'!"&amp;"$"&amp;$D684&amp;$N$1&amp;"")</f>
        <v>0</v>
      </c>
      <c r="O684" s="296"/>
      <c r="P684" s="296" t="s">
        <v>1</v>
      </c>
      <c r="Q684" s="294" t="s">
        <v>1</v>
      </c>
      <c r="R684" s="295" cm="1">
        <f t="array" aca="1" ref="R684" ca="1">INDIRECT("'"&amp;$C684&amp;"'!"&amp;"$"&amp;$D684&amp;$R$1&amp;"")</f>
        <v>6.7</v>
      </c>
      <c r="S684" s="296"/>
      <c r="T684" s="296">
        <v>0.95</v>
      </c>
      <c r="U684" s="294">
        <v>2.2000000000000002</v>
      </c>
      <c r="V684" s="295" cm="1">
        <f t="array" aca="1" ref="V684" ca="1">INDIRECT("'"&amp;$C684&amp;"'!"&amp;"$"&amp;$D684&amp;$V$1&amp;"")</f>
        <v>0</v>
      </c>
      <c r="W684" s="296" t="s">
        <v>1</v>
      </c>
      <c r="X684" s="296" t="s">
        <v>1</v>
      </c>
      <c r="Y684" s="297" t="s">
        <v>1</v>
      </c>
      <c r="Z684" s="293" cm="1">
        <f t="array" aca="1" ref="Z684" ca="1">INDIRECT("'"&amp;$C684&amp;"'!"&amp;"$"&amp;$D684&amp;$Z$1&amp;"")</f>
        <v>0</v>
      </c>
      <c r="AA684" s="296" t="s">
        <v>1</v>
      </c>
      <c r="AB684" s="296" t="s">
        <v>1</v>
      </c>
      <c r="AC684" s="294" t="s">
        <v>1</v>
      </c>
      <c r="AD684" s="295" cm="1">
        <f t="array" aca="1" ref="AD684" ca="1">INDIRECT("'"&amp;$C684&amp;"'!"&amp;"$"&amp;$D684&amp;$AD$1&amp;"")</f>
        <v>0</v>
      </c>
      <c r="AE684" s="296" t="s">
        <v>1</v>
      </c>
      <c r="AF684" s="296" t="s">
        <v>1</v>
      </c>
      <c r="AG684" s="294" t="s">
        <v>1</v>
      </c>
      <c r="AH684" s="293" t="str" cm="1">
        <f t="array" aca="1" ref="AH684" ca="1">INDIRECT("'"&amp;$C684&amp;"'!"&amp;"$"&amp;$D684&amp;$AH$1&amp;"")</f>
        <v>CMS</v>
      </c>
      <c r="AI684" s="296" t="s">
        <v>1</v>
      </c>
      <c r="AJ684" s="296" t="s">
        <v>1</v>
      </c>
      <c r="AK684" s="294" t="s">
        <v>1</v>
      </c>
      <c r="AL684" s="293">
        <v>11.9</v>
      </c>
      <c r="AM684" s="297">
        <v>69.819999999999993</v>
      </c>
      <c r="AN684" s="293" cm="1">
        <f t="array" aca="1" ref="AN684" ca="1">INDIRECT("'"&amp;$C684&amp;"'!"&amp;"$"&amp;$D684&amp;$AL$1&amp;"")</f>
        <v>3.6</v>
      </c>
      <c r="AO684" s="296">
        <v>1</v>
      </c>
      <c r="AP684" s="294">
        <v>0.35</v>
      </c>
      <c r="AQ684" s="295" cm="1">
        <f t="array" aca="1" ref="AQ684" ca="1">INDIRECT("'"&amp;$C684&amp;"'!"&amp;"$"&amp;$D684&amp;$AQ$1&amp;"")</f>
        <v>3.6</v>
      </c>
      <c r="AR684" s="296">
        <v>1</v>
      </c>
      <c r="AS684" s="294">
        <v>0.35</v>
      </c>
      <c r="AT684" s="296" cm="1">
        <f t="array" aca="1" ref="AT684" ca="1">INDIRECT("'"&amp;$C684&amp;"'!"&amp;"$"&amp;$D684&amp;$AT$1&amp;"")</f>
        <v>0</v>
      </c>
      <c r="AU684" s="295" t="s">
        <v>1</v>
      </c>
      <c r="AV684" s="296" t="s">
        <v>1</v>
      </c>
      <c r="AW684" s="294" t="s">
        <v>1</v>
      </c>
      <c r="AX684" s="298">
        <v>14.08</v>
      </c>
      <c r="AY684" s="297">
        <v>71.599999999999994</v>
      </c>
      <c r="AZ684" s="298" cm="1">
        <f t="array" aca="1" ref="AZ684" ca="1">INDIRECT("'"&amp;$C684&amp;"'!"&amp;"$"&amp;$D684&amp;$AZ$1&amp;"")</f>
        <v>14.29</v>
      </c>
      <c r="BA684" s="296">
        <v>1</v>
      </c>
      <c r="BB684" s="294">
        <v>1.4</v>
      </c>
      <c r="BC684" s="299">
        <v>68.7</v>
      </c>
      <c r="BD684" s="293" cm="1">
        <f t="array" aca="1" ref="BD684" ca="1">INDIRECT("'"&amp;$C684&amp;"'!"&amp;"$"&amp;$D684&amp;$BC$1&amp;"")</f>
        <v>0</v>
      </c>
      <c r="BE684" s="295" t="s">
        <v>1</v>
      </c>
      <c r="BF684" s="294" t="s">
        <v>1</v>
      </c>
      <c r="BG684" s="298" cm="1">
        <f t="array" aca="1" ref="BG684" ca="1">INDIRECT("'"&amp;$C684&amp;"'!"&amp;"$"&amp;$D684&amp;$BG$1&amp;"")</f>
        <v>0.81</v>
      </c>
      <c r="BH684" s="296"/>
      <c r="BI684" s="296">
        <v>0.99</v>
      </c>
      <c r="BJ684" s="294">
        <v>0.1</v>
      </c>
      <c r="BK684" s="298" cm="1">
        <f t="array" aca="1" ref="BK684" ca="1">INDIRECT("'"&amp;$C684&amp;"'!"&amp;"$"&amp;$D684&amp;$BK$1&amp;"")</f>
        <v>0.72</v>
      </c>
      <c r="BL684" s="296"/>
      <c r="BM684" s="296">
        <v>0.96</v>
      </c>
      <c r="BN684" s="294">
        <v>0.2</v>
      </c>
    </row>
    <row r="685" spans="1:66" ht="14.45" thickBot="1">
      <c r="A685" s="360">
        <v>45775</v>
      </c>
      <c r="B685" s="358">
        <v>0.20833333333333301</v>
      </c>
      <c r="C685" s="313">
        <f t="shared" si="27"/>
        <v>28</v>
      </c>
      <c r="D685" s="314" t="s">
        <v>132</v>
      </c>
      <c r="E685" s="286">
        <v>14.1</v>
      </c>
      <c r="F685" s="287">
        <v>70.260000000000005</v>
      </c>
      <c r="G685" s="288" cm="1">
        <f t="array" aca="1" ref="G685" ca="1">INDIRECT("'"&amp;$C685&amp;"'!"&amp;"$"&amp;$D685&amp;$E$1&amp;"")</f>
        <v>0</v>
      </c>
      <c r="H685" s="289" t="s">
        <v>1</v>
      </c>
      <c r="I685" s="287" t="s">
        <v>1</v>
      </c>
      <c r="J685" s="288" cm="1">
        <f t="array" aca="1" ref="J685" ca="1">INDIRECT("'"&amp;$C685&amp;"'!"&amp;"$"&amp;$D685&amp;$J$1&amp;"")</f>
        <v>6.2</v>
      </c>
      <c r="K685" s="289"/>
      <c r="L685" s="289">
        <v>0.98</v>
      </c>
      <c r="M685" s="287">
        <v>1.1399999999999999</v>
      </c>
      <c r="N685" s="288" cm="1">
        <f t="array" aca="1" ref="N685" ca="1">INDIRECT("'"&amp;$C685&amp;"'!"&amp;"$"&amp;$D685&amp;$N$1&amp;"")</f>
        <v>0</v>
      </c>
      <c r="O685" s="289"/>
      <c r="P685" s="289" t="s">
        <v>1</v>
      </c>
      <c r="Q685" s="287" t="s">
        <v>1</v>
      </c>
      <c r="R685" s="288" cm="1">
        <f t="array" aca="1" ref="R685" ca="1">INDIRECT("'"&amp;$C685&amp;"'!"&amp;"$"&amp;$D685&amp;$R$1&amp;"")</f>
        <v>6.2</v>
      </c>
      <c r="S685" s="289"/>
      <c r="T685" s="289">
        <v>0.98</v>
      </c>
      <c r="U685" s="287">
        <v>1.1299999999999999</v>
      </c>
      <c r="V685" s="288" cm="1">
        <f t="array" aca="1" ref="V685" ca="1">INDIRECT("'"&amp;$C685&amp;"'!"&amp;"$"&amp;$D685&amp;$V$1&amp;"")</f>
        <v>0</v>
      </c>
      <c r="W685" s="289" t="s">
        <v>1</v>
      </c>
      <c r="X685" s="289" t="s">
        <v>1</v>
      </c>
      <c r="Y685" s="290" t="s">
        <v>1</v>
      </c>
      <c r="Z685" s="286" cm="1">
        <f t="array" aca="1" ref="Z685" ca="1">INDIRECT("'"&amp;$C685&amp;"'!"&amp;"$"&amp;$D685&amp;$Z$1&amp;"")</f>
        <v>0</v>
      </c>
      <c r="AA685" s="289" t="s">
        <v>1</v>
      </c>
      <c r="AB685" s="289" t="s">
        <v>1</v>
      </c>
      <c r="AC685" s="287" t="s">
        <v>1</v>
      </c>
      <c r="AD685" s="288" cm="1">
        <f t="array" aca="1" ref="AD685" ca="1">INDIRECT("'"&amp;$C685&amp;"'!"&amp;"$"&amp;$D685&amp;$AD$1&amp;"")</f>
        <v>0</v>
      </c>
      <c r="AE685" s="289" t="s">
        <v>1</v>
      </c>
      <c r="AF685" s="289" t="s">
        <v>1</v>
      </c>
      <c r="AG685" s="290" t="s">
        <v>1</v>
      </c>
      <c r="AH685" s="286" t="str" cm="1">
        <f t="array" aca="1" ref="AH685" ca="1">INDIRECT("'"&amp;$C685&amp;"'!"&amp;"$"&amp;$D685&amp;$AH$1&amp;"")</f>
        <v>CMS</v>
      </c>
      <c r="AI685" s="289" t="s">
        <v>1</v>
      </c>
      <c r="AJ685" s="289" t="s">
        <v>1</v>
      </c>
      <c r="AK685" s="290" t="s">
        <v>1</v>
      </c>
      <c r="AL685" s="286">
        <v>11.9</v>
      </c>
      <c r="AM685" s="290">
        <v>70.5</v>
      </c>
      <c r="AN685" s="286" cm="1">
        <f t="array" aca="1" ref="AN685" ca="1">INDIRECT("'"&amp;$C685&amp;"'!"&amp;"$"&amp;$D685&amp;$AL$1&amp;"")</f>
        <v>2.5</v>
      </c>
      <c r="AO685" s="289">
        <v>1</v>
      </c>
      <c r="AP685" s="287">
        <v>0.16</v>
      </c>
      <c r="AQ685" s="288" cm="1">
        <f t="array" aca="1" ref="AQ685" ca="1">INDIRECT("'"&amp;$C685&amp;"'!"&amp;"$"&amp;$D685&amp;$AQ$1&amp;"")</f>
        <v>2.5</v>
      </c>
      <c r="AR685" s="289">
        <v>1</v>
      </c>
      <c r="AS685" s="287">
        <v>0.16</v>
      </c>
      <c r="AT685" s="289" cm="1">
        <f t="array" aca="1" ref="AT685" ca="1">INDIRECT("'"&amp;$C685&amp;"'!"&amp;"$"&amp;$D685&amp;$AT$1&amp;"")</f>
        <v>0</v>
      </c>
      <c r="AU685" s="288" t="s">
        <v>1</v>
      </c>
      <c r="AV685" s="289" t="s">
        <v>1</v>
      </c>
      <c r="AW685" s="287" t="s">
        <v>1</v>
      </c>
      <c r="AX685" s="291">
        <v>14.14</v>
      </c>
      <c r="AY685" s="290">
        <v>71.94</v>
      </c>
      <c r="AZ685" s="291" cm="1">
        <f t="array" aca="1" ref="AZ685" ca="1">INDIRECT("'"&amp;$C685&amp;"'!"&amp;"$"&amp;$D685&amp;$AZ$1&amp;"")</f>
        <v>14.28</v>
      </c>
      <c r="BA685" s="289">
        <v>1</v>
      </c>
      <c r="BB685" s="287">
        <v>1.5</v>
      </c>
      <c r="BC685" s="292">
        <v>69.2</v>
      </c>
      <c r="BD685" s="286" cm="1">
        <f t="array" aca="1" ref="BD685" ca="1">INDIRECT("'"&amp;$C685&amp;"'!"&amp;"$"&amp;$D685&amp;$BC$1&amp;"")</f>
        <v>0</v>
      </c>
      <c r="BE685" s="288" t="s">
        <v>1</v>
      </c>
      <c r="BF685" s="287" t="s">
        <v>1</v>
      </c>
      <c r="BG685" s="291" cm="1">
        <f t="array" aca="1" ref="BG685" ca="1">INDIRECT("'"&amp;$C685&amp;"'!"&amp;"$"&amp;$D685&amp;$BG$1&amp;"")</f>
        <v>0.83</v>
      </c>
      <c r="BH685" s="289"/>
      <c r="BI685" s="289">
        <v>0.99</v>
      </c>
      <c r="BJ685" s="287">
        <v>0.1</v>
      </c>
      <c r="BK685" s="291" cm="1">
        <f t="array" aca="1" ref="BK685" ca="1">INDIRECT("'"&amp;$C685&amp;"'!"&amp;"$"&amp;$D685&amp;$BK$1&amp;"")</f>
        <v>0.73</v>
      </c>
      <c r="BL685" s="289"/>
      <c r="BM685" s="289">
        <v>0.96</v>
      </c>
      <c r="BN685" s="287">
        <v>0.21</v>
      </c>
    </row>
    <row r="686" spans="1:66" ht="14.45" thickBot="1">
      <c r="A686" s="360">
        <v>45775</v>
      </c>
      <c r="B686" s="358">
        <v>0.25</v>
      </c>
      <c r="C686" s="313">
        <f t="shared" si="27"/>
        <v>28</v>
      </c>
      <c r="D686" s="314" t="s">
        <v>133</v>
      </c>
      <c r="E686" s="293">
        <v>14.1</v>
      </c>
      <c r="F686" s="294">
        <v>69.31</v>
      </c>
      <c r="G686" s="295" cm="1">
        <f t="array" aca="1" ref="G686" ca="1">INDIRECT("'"&amp;$C686&amp;"'!"&amp;"$"&amp;$D686&amp;$E$1&amp;"")</f>
        <v>0</v>
      </c>
      <c r="H686" s="296" t="s">
        <v>1</v>
      </c>
      <c r="I686" s="294" t="s">
        <v>1</v>
      </c>
      <c r="J686" s="295" cm="1">
        <f t="array" aca="1" ref="J686" ca="1">INDIRECT("'"&amp;$C686&amp;"'!"&amp;"$"&amp;$D686&amp;$J$1&amp;"")</f>
        <v>6.8</v>
      </c>
      <c r="K686" s="296"/>
      <c r="L686" s="296">
        <v>0.97</v>
      </c>
      <c r="M686" s="294">
        <v>1.67</v>
      </c>
      <c r="N686" s="295" cm="1">
        <f t="array" aca="1" ref="N686" ca="1">INDIRECT("'"&amp;$C686&amp;"'!"&amp;"$"&amp;$D686&amp;$N$1&amp;"")</f>
        <v>0</v>
      </c>
      <c r="O686" s="296"/>
      <c r="P686" s="296" t="s">
        <v>1</v>
      </c>
      <c r="Q686" s="294" t="s">
        <v>1</v>
      </c>
      <c r="R686" s="295" cm="1">
        <f t="array" aca="1" ref="R686" ca="1">INDIRECT("'"&amp;$C686&amp;"'!"&amp;"$"&amp;$D686&amp;$R$1&amp;"")</f>
        <v>6.8</v>
      </c>
      <c r="S686" s="296"/>
      <c r="T686" s="296">
        <v>0.96</v>
      </c>
      <c r="U686" s="294">
        <v>2.93</v>
      </c>
      <c r="V686" s="295" cm="1">
        <f t="array" aca="1" ref="V686" ca="1">INDIRECT("'"&amp;$C686&amp;"'!"&amp;"$"&amp;$D686&amp;$V$1&amp;"")</f>
        <v>0</v>
      </c>
      <c r="W686" s="296" t="s">
        <v>1</v>
      </c>
      <c r="X686" s="296" t="s">
        <v>1</v>
      </c>
      <c r="Y686" s="297" t="s">
        <v>1</v>
      </c>
      <c r="Z686" s="293" cm="1">
        <f t="array" aca="1" ref="Z686" ca="1">INDIRECT("'"&amp;$C686&amp;"'!"&amp;"$"&amp;$D686&amp;$Z$1&amp;"")</f>
        <v>0</v>
      </c>
      <c r="AA686" s="296" t="s">
        <v>1</v>
      </c>
      <c r="AB686" s="296" t="s">
        <v>1</v>
      </c>
      <c r="AC686" s="294" t="s">
        <v>1</v>
      </c>
      <c r="AD686" s="295" cm="1">
        <f t="array" aca="1" ref="AD686" ca="1">INDIRECT("'"&amp;$C686&amp;"'!"&amp;"$"&amp;$D686&amp;$AD$1&amp;"")</f>
        <v>0</v>
      </c>
      <c r="AE686" s="296" t="s">
        <v>1</v>
      </c>
      <c r="AF686" s="296" t="s">
        <v>1</v>
      </c>
      <c r="AG686" s="297" t="s">
        <v>1</v>
      </c>
      <c r="AH686" s="293" t="str" cm="1">
        <f t="array" aca="1" ref="AH686" ca="1">INDIRECT("'"&amp;$C686&amp;"'!"&amp;"$"&amp;$D686&amp;$AH$1&amp;"")</f>
        <v>CMS</v>
      </c>
      <c r="AI686" s="296" t="s">
        <v>1</v>
      </c>
      <c r="AJ686" s="296" t="s">
        <v>1</v>
      </c>
      <c r="AK686" s="297" t="s">
        <v>1</v>
      </c>
      <c r="AL686" s="293">
        <v>11.9</v>
      </c>
      <c r="AM686" s="297">
        <v>70.599999999999994</v>
      </c>
      <c r="AN686" s="293" cm="1">
        <f t="array" aca="1" ref="AN686" ca="1">INDIRECT("'"&amp;$C686&amp;"'!"&amp;"$"&amp;$D686&amp;$AL$1&amp;"")</f>
        <v>3.2</v>
      </c>
      <c r="AO686" s="296">
        <v>1</v>
      </c>
      <c r="AP686" s="294">
        <v>0.43</v>
      </c>
      <c r="AQ686" s="295" cm="1">
        <f t="array" aca="1" ref="AQ686" ca="1">INDIRECT("'"&amp;$C686&amp;"'!"&amp;"$"&amp;$D686&amp;$AQ$1&amp;"")</f>
        <v>3.2</v>
      </c>
      <c r="AR686" s="296">
        <v>1</v>
      </c>
      <c r="AS686" s="294">
        <v>0.43</v>
      </c>
      <c r="AT686" s="296" cm="1">
        <f t="array" aca="1" ref="AT686" ca="1">INDIRECT("'"&amp;$C686&amp;"'!"&amp;"$"&amp;$D686&amp;$AT$1&amp;"")</f>
        <v>0</v>
      </c>
      <c r="AU686" s="295" t="s">
        <v>1</v>
      </c>
      <c r="AV686" s="296" t="s">
        <v>1</v>
      </c>
      <c r="AW686" s="294" t="s">
        <v>1</v>
      </c>
      <c r="AX686" s="298">
        <v>14.04</v>
      </c>
      <c r="AY686" s="297">
        <v>71.510000000000005</v>
      </c>
      <c r="AZ686" s="298" cm="1">
        <f t="array" aca="1" ref="AZ686" ca="1">INDIRECT("'"&amp;$C686&amp;"'!"&amp;"$"&amp;$D686&amp;$AZ$1&amp;"")</f>
        <v>14.27</v>
      </c>
      <c r="BA686" s="296">
        <v>1</v>
      </c>
      <c r="BB686" s="294">
        <v>1.4</v>
      </c>
      <c r="BC686" s="299">
        <v>68.7</v>
      </c>
      <c r="BD686" s="293" cm="1">
        <f t="array" aca="1" ref="BD686" ca="1">INDIRECT("'"&amp;$C686&amp;"'!"&amp;"$"&amp;$D686&amp;$BC$1&amp;"")</f>
        <v>0</v>
      </c>
      <c r="BE686" s="295" t="s">
        <v>1</v>
      </c>
      <c r="BF686" s="294" t="s">
        <v>1</v>
      </c>
      <c r="BG686" s="298" cm="1">
        <f t="array" aca="1" ref="BG686" ca="1">INDIRECT("'"&amp;$C686&amp;"'!"&amp;"$"&amp;$D686&amp;$BG$1&amp;"")</f>
        <v>0.94</v>
      </c>
      <c r="BH686" s="296"/>
      <c r="BI686" s="296">
        <v>0.99</v>
      </c>
      <c r="BJ686" s="294">
        <v>0.11</v>
      </c>
      <c r="BK686" s="298" cm="1">
        <f t="array" aca="1" ref="BK686" ca="1">INDIRECT("'"&amp;$C686&amp;"'!"&amp;"$"&amp;$D686&amp;$BK$1&amp;"")</f>
        <v>0.76</v>
      </c>
      <c r="BL686" s="296"/>
      <c r="BM686" s="296">
        <v>0.96</v>
      </c>
      <c r="BN686" s="294">
        <v>0.2</v>
      </c>
    </row>
    <row r="687" spans="1:66" ht="14.45" thickBot="1">
      <c r="A687" s="360">
        <v>45775</v>
      </c>
      <c r="B687" s="358">
        <v>0.29166666666666702</v>
      </c>
      <c r="C687" s="313">
        <f t="shared" si="27"/>
        <v>28</v>
      </c>
      <c r="D687" s="314" t="s">
        <v>134</v>
      </c>
      <c r="E687" s="286">
        <v>14.1</v>
      </c>
      <c r="F687" s="287">
        <v>69.7</v>
      </c>
      <c r="G687" s="288" cm="1">
        <f t="array" aca="1" ref="G687" ca="1">INDIRECT("'"&amp;$C687&amp;"'!"&amp;"$"&amp;$D687&amp;$E$1&amp;"")</f>
        <v>0</v>
      </c>
      <c r="H687" s="289" t="s">
        <v>1</v>
      </c>
      <c r="I687" s="287" t="s">
        <v>1</v>
      </c>
      <c r="J687" s="288" cm="1">
        <f t="array" aca="1" ref="J687" ca="1">INDIRECT("'"&amp;$C687&amp;"'!"&amp;"$"&amp;$D687&amp;$J$1&amp;"")</f>
        <v>6.6</v>
      </c>
      <c r="K687" s="289"/>
      <c r="L687" s="289">
        <v>0.97</v>
      </c>
      <c r="M687" s="287">
        <v>2.61</v>
      </c>
      <c r="N687" s="288" cm="1">
        <f t="array" aca="1" ref="N687" ca="1">INDIRECT("'"&amp;$C687&amp;"'!"&amp;"$"&amp;$D687&amp;$N$1&amp;"")</f>
        <v>0</v>
      </c>
      <c r="O687" s="289"/>
      <c r="P687" s="289" t="s">
        <v>1</v>
      </c>
      <c r="Q687" s="287" t="s">
        <v>1</v>
      </c>
      <c r="R687" s="288" cm="1">
        <f t="array" aca="1" ref="R687" ca="1">INDIRECT("'"&amp;$C687&amp;"'!"&amp;"$"&amp;$D687&amp;$R$1&amp;"")</f>
        <v>6.6</v>
      </c>
      <c r="S687" s="289"/>
      <c r="T687" s="289">
        <v>0.97</v>
      </c>
      <c r="U687" s="287">
        <v>2.0099999999999998</v>
      </c>
      <c r="V687" s="288" cm="1">
        <f t="array" aca="1" ref="V687" ca="1">INDIRECT("'"&amp;$C687&amp;"'!"&amp;"$"&amp;$D687&amp;$V$1&amp;"")</f>
        <v>0</v>
      </c>
      <c r="W687" s="289" t="s">
        <v>1</v>
      </c>
      <c r="X687" s="289" t="s">
        <v>1</v>
      </c>
      <c r="Y687" s="290" t="s">
        <v>1</v>
      </c>
      <c r="Z687" s="286" cm="1">
        <f t="array" aca="1" ref="Z687" ca="1">INDIRECT("'"&amp;$C687&amp;"'!"&amp;"$"&amp;$D687&amp;$Z$1&amp;"")</f>
        <v>0</v>
      </c>
      <c r="AA687" s="289" t="s">
        <v>1</v>
      </c>
      <c r="AB687" s="289" t="s">
        <v>1</v>
      </c>
      <c r="AC687" s="287" t="s">
        <v>1</v>
      </c>
      <c r="AD687" s="288" cm="1">
        <f t="array" aca="1" ref="AD687" ca="1">INDIRECT("'"&amp;$C687&amp;"'!"&amp;"$"&amp;$D687&amp;$AD$1&amp;"")</f>
        <v>0</v>
      </c>
      <c r="AE687" s="289" t="s">
        <v>1</v>
      </c>
      <c r="AF687" s="289" t="s">
        <v>1</v>
      </c>
      <c r="AG687" s="290" t="s">
        <v>1</v>
      </c>
      <c r="AH687" s="286" t="str" cm="1">
        <f t="array" aca="1" ref="AH687" ca="1">INDIRECT("'"&amp;$C687&amp;"'!"&amp;"$"&amp;$D687&amp;$AH$1&amp;"")</f>
        <v>CMS</v>
      </c>
      <c r="AI687" s="289" t="s">
        <v>1</v>
      </c>
      <c r="AJ687" s="289" t="s">
        <v>1</v>
      </c>
      <c r="AK687" s="290" t="s">
        <v>1</v>
      </c>
      <c r="AL687" s="286">
        <v>11.9</v>
      </c>
      <c r="AM687" s="290">
        <v>70.7</v>
      </c>
      <c r="AN687" s="286" cm="1">
        <f t="array" aca="1" ref="AN687" ca="1">INDIRECT("'"&amp;$C687&amp;"'!"&amp;"$"&amp;$D687&amp;$AL$1&amp;"")</f>
        <v>4</v>
      </c>
      <c r="AO687" s="289">
        <v>0.97</v>
      </c>
      <c r="AP687" s="287">
        <v>0.96</v>
      </c>
      <c r="AQ687" s="288" cm="1">
        <f t="array" aca="1" ref="AQ687" ca="1">INDIRECT("'"&amp;$C687&amp;"'!"&amp;"$"&amp;$D687&amp;$AQ$1&amp;"")</f>
        <v>4</v>
      </c>
      <c r="AR687" s="289">
        <v>0.97</v>
      </c>
      <c r="AS687" s="287">
        <v>0.96</v>
      </c>
      <c r="AT687" s="289" cm="1">
        <f t="array" aca="1" ref="AT687" ca="1">INDIRECT("'"&amp;$C687&amp;"'!"&amp;"$"&amp;$D687&amp;$AT$1&amp;"")</f>
        <v>0</v>
      </c>
      <c r="AU687" s="288" t="s">
        <v>1</v>
      </c>
      <c r="AV687" s="289" t="s">
        <v>1</v>
      </c>
      <c r="AW687" s="287" t="s">
        <v>1</v>
      </c>
      <c r="AX687" s="291">
        <v>14.04</v>
      </c>
      <c r="AY687" s="290">
        <v>71.209999999999994</v>
      </c>
      <c r="AZ687" s="291" cm="1">
        <f t="array" aca="1" ref="AZ687" ca="1">INDIRECT("'"&amp;$C687&amp;"'!"&amp;"$"&amp;$D687&amp;$AZ$1&amp;"")</f>
        <v>14.27</v>
      </c>
      <c r="BA687" s="289">
        <v>1</v>
      </c>
      <c r="BB687" s="287">
        <v>1.4</v>
      </c>
      <c r="BC687" s="292">
        <v>68.599999999999994</v>
      </c>
      <c r="BD687" s="286" cm="1">
        <f t="array" aca="1" ref="BD687" ca="1">INDIRECT("'"&amp;$C687&amp;"'!"&amp;"$"&amp;$D687&amp;$BC$1&amp;"")</f>
        <v>0.8</v>
      </c>
      <c r="BE687" s="288">
        <v>0.97</v>
      </c>
      <c r="BF687" s="287">
        <v>0.22</v>
      </c>
      <c r="BG687" s="291" cm="1">
        <f t="array" aca="1" ref="BG687" ca="1">INDIRECT("'"&amp;$C687&amp;"'!"&amp;"$"&amp;$D687&amp;$BG$1&amp;"")</f>
        <v>1.04</v>
      </c>
      <c r="BH687" s="289"/>
      <c r="BI687" s="289">
        <v>0.99</v>
      </c>
      <c r="BJ687" s="287">
        <v>0.13</v>
      </c>
      <c r="BK687" s="292" cm="1">
        <f t="array" aca="1" ref="BK687" ca="1">INDIRECT("'"&amp;$C687&amp;"'!"&amp;"$"&amp;$D687&amp;$BK$1&amp;"")</f>
        <v>0.73</v>
      </c>
      <c r="BL687" s="289"/>
      <c r="BM687" s="289">
        <v>0.96</v>
      </c>
      <c r="BN687" s="287">
        <v>0.21</v>
      </c>
    </row>
    <row r="688" spans="1:66" ht="14.45" thickBot="1">
      <c r="A688" s="360">
        <v>45775</v>
      </c>
      <c r="B688" s="358">
        <v>0.33333333333333398</v>
      </c>
      <c r="C688" s="313">
        <f t="shared" si="27"/>
        <v>28</v>
      </c>
      <c r="D688" s="314" t="s">
        <v>135</v>
      </c>
      <c r="E688" s="293">
        <v>13.9</v>
      </c>
      <c r="F688" s="294">
        <v>69.2</v>
      </c>
      <c r="G688" s="295" cm="1">
        <f t="array" aca="1" ref="G688" ca="1">INDIRECT("'"&amp;$C688&amp;"'!"&amp;"$"&amp;$D688&amp;$E$1&amp;"")</f>
        <v>0</v>
      </c>
      <c r="H688" s="296" t="s">
        <v>1</v>
      </c>
      <c r="I688" s="294" t="s">
        <v>1</v>
      </c>
      <c r="J688" s="295" cm="1">
        <f t="array" aca="1" ref="J688" ca="1">INDIRECT("'"&amp;$C688&amp;"'!"&amp;"$"&amp;$D688&amp;$J$1&amp;"")</f>
        <v>6.7</v>
      </c>
      <c r="K688" s="296"/>
      <c r="L688" s="296">
        <v>0.96</v>
      </c>
      <c r="M688" s="294">
        <v>1.97</v>
      </c>
      <c r="N688" s="295" cm="1">
        <f t="array" aca="1" ref="N688" ca="1">INDIRECT("'"&amp;$C688&amp;"'!"&amp;"$"&amp;$D688&amp;$N$1&amp;"")</f>
        <v>0</v>
      </c>
      <c r="O688" s="296"/>
      <c r="P688" s="296" t="s">
        <v>1</v>
      </c>
      <c r="Q688" s="294" t="s">
        <v>1</v>
      </c>
      <c r="R688" s="295" cm="1">
        <f t="array" aca="1" ref="R688" ca="1">INDIRECT("'"&amp;$C688&amp;"'!"&amp;"$"&amp;$D688&amp;$R$1&amp;"")</f>
        <v>6.7</v>
      </c>
      <c r="S688" s="296"/>
      <c r="T688" s="296">
        <v>0.96</v>
      </c>
      <c r="U688" s="294">
        <v>1.97</v>
      </c>
      <c r="V688" s="295" cm="1">
        <f t="array" aca="1" ref="V688" ca="1">INDIRECT("'"&amp;$C688&amp;"'!"&amp;"$"&amp;$D688&amp;$V$1&amp;"")</f>
        <v>2.8</v>
      </c>
      <c r="W688" s="296">
        <f>3.8*3.49</f>
        <v>13.262</v>
      </c>
      <c r="X688" s="296">
        <v>0.98</v>
      </c>
      <c r="Y688" s="297">
        <v>0.45</v>
      </c>
      <c r="Z688" s="293" cm="1">
        <f t="array" aca="1" ref="Z688" ca="1">INDIRECT("'"&amp;$C688&amp;"'!"&amp;"$"&amp;$D688&amp;$Z$1&amp;"")</f>
        <v>0</v>
      </c>
      <c r="AA688" s="296" t="s">
        <v>1</v>
      </c>
      <c r="AB688" s="296" t="s">
        <v>1</v>
      </c>
      <c r="AC688" s="294" t="s">
        <v>1</v>
      </c>
      <c r="AD688" s="295" cm="1">
        <f t="array" aca="1" ref="AD688" ca="1">INDIRECT("'"&amp;$C688&amp;"'!"&amp;"$"&amp;$D688&amp;$AD$1&amp;"")</f>
        <v>0</v>
      </c>
      <c r="AE688" s="296" t="s">
        <v>1</v>
      </c>
      <c r="AF688" s="296" t="s">
        <v>1</v>
      </c>
      <c r="AG688" s="297" t="s">
        <v>1</v>
      </c>
      <c r="AH688" s="293" t="str" cm="1">
        <f t="array" aca="1" ref="AH688" ca="1">INDIRECT("'"&amp;$C688&amp;"'!"&amp;"$"&amp;$D688&amp;$AH$1&amp;"")</f>
        <v>CMS</v>
      </c>
      <c r="AI688" s="296" t="s">
        <v>1</v>
      </c>
      <c r="AJ688" s="296" t="s">
        <v>1</v>
      </c>
      <c r="AK688" s="297" t="s">
        <v>1</v>
      </c>
      <c r="AL688" s="293">
        <v>11.9</v>
      </c>
      <c r="AM688" s="297">
        <v>70.599999999999994</v>
      </c>
      <c r="AN688" s="293" cm="1">
        <f t="array" aca="1" ref="AN688" ca="1">INDIRECT("'"&amp;$C688&amp;"'!"&amp;"$"&amp;$D688&amp;$AL$1&amp;"")</f>
        <v>4</v>
      </c>
      <c r="AO688" s="296">
        <v>0.96</v>
      </c>
      <c r="AP688" s="294">
        <v>1.2</v>
      </c>
      <c r="AQ688" s="295" cm="1">
        <f t="array" aca="1" ref="AQ688" ca="1">INDIRECT("'"&amp;$C688&amp;"'!"&amp;"$"&amp;$D688&amp;$AQ$1&amp;"")</f>
        <v>4</v>
      </c>
      <c r="AR688" s="296">
        <v>0.96</v>
      </c>
      <c r="AS688" s="294">
        <v>1.2</v>
      </c>
      <c r="AT688" s="296" cm="1">
        <f t="array" aca="1" ref="AT688" ca="1">INDIRECT("'"&amp;$C688&amp;"'!"&amp;"$"&amp;$D688&amp;$AT$1&amp;"")</f>
        <v>0</v>
      </c>
      <c r="AU688" s="295" t="s">
        <v>1</v>
      </c>
      <c r="AV688" s="296" t="s">
        <v>1</v>
      </c>
      <c r="AW688" s="294" t="s">
        <v>1</v>
      </c>
      <c r="AX688" s="298">
        <v>13.94</v>
      </c>
      <c r="AY688" s="297">
        <v>70.78</v>
      </c>
      <c r="AZ688" s="298" cm="1">
        <f t="array" aca="1" ref="AZ688" ca="1">INDIRECT("'"&amp;$C688&amp;"'!"&amp;"$"&amp;$D688&amp;$AZ$1&amp;"")</f>
        <v>14.27</v>
      </c>
      <c r="BA688" s="296">
        <v>1</v>
      </c>
      <c r="BB688" s="294">
        <v>1.4</v>
      </c>
      <c r="BC688" s="299">
        <v>68.2</v>
      </c>
      <c r="BD688" s="293" cm="1">
        <f t="array" aca="1" ref="BD688" ca="1">INDIRECT("'"&amp;$C688&amp;"'!"&amp;"$"&amp;$D688&amp;$BC$1&amp;"")</f>
        <v>3.1</v>
      </c>
      <c r="BE688" s="295">
        <v>0.96</v>
      </c>
      <c r="BF688" s="294">
        <v>0.94</v>
      </c>
      <c r="BG688" s="298" cm="1">
        <f t="array" aca="1" ref="BG688" ca="1">INDIRECT("'"&amp;$C688&amp;"'!"&amp;"$"&amp;$D688&amp;$BG$1&amp;"")</f>
        <v>1.07</v>
      </c>
      <c r="BH688" s="296"/>
      <c r="BI688" s="296">
        <v>0.99</v>
      </c>
      <c r="BJ688" s="294">
        <v>0.16</v>
      </c>
      <c r="BK688" s="299" cm="1">
        <f t="array" aca="1" ref="BK688" ca="1">INDIRECT("'"&amp;$C688&amp;"'!"&amp;"$"&amp;$D688&amp;$BK$1&amp;"")</f>
        <v>0.76</v>
      </c>
      <c r="BL688" s="296"/>
      <c r="BM688" s="296">
        <v>0.95</v>
      </c>
      <c r="BN688" s="294">
        <v>0.22</v>
      </c>
    </row>
    <row r="689" spans="1:66" ht="14.45" thickBot="1">
      <c r="A689" s="360">
        <v>45775</v>
      </c>
      <c r="B689" s="358">
        <v>0.375</v>
      </c>
      <c r="C689" s="313">
        <f t="shared" si="27"/>
        <v>28</v>
      </c>
      <c r="D689" s="314" t="s">
        <v>136</v>
      </c>
      <c r="E689" s="286">
        <v>14.2</v>
      </c>
      <c r="F689" s="287">
        <v>69.72</v>
      </c>
      <c r="G689" s="288" cm="1">
        <f t="array" aca="1" ref="G689" ca="1">INDIRECT("'"&amp;$C689&amp;"'!"&amp;"$"&amp;$D689&amp;$E$1&amp;"")</f>
        <v>6.7</v>
      </c>
      <c r="H689" s="289">
        <v>0.94</v>
      </c>
      <c r="I689" s="287">
        <v>2.37</v>
      </c>
      <c r="J689" s="288" cm="1">
        <f t="array" aca="1" ref="J689" ca="1">INDIRECT("'"&amp;$C689&amp;"'!"&amp;"$"&amp;$D689&amp;$J$1&amp;"")</f>
        <v>6.7</v>
      </c>
      <c r="K689" s="289"/>
      <c r="L689" s="289">
        <v>0.94</v>
      </c>
      <c r="M689" s="287">
        <v>2.37</v>
      </c>
      <c r="N689" s="288" cm="1">
        <f t="array" aca="1" ref="N689" ca="1">INDIRECT("'"&amp;$C689&amp;"'!"&amp;"$"&amp;$D689&amp;$N$1&amp;"")</f>
        <v>0</v>
      </c>
      <c r="O689" s="289"/>
      <c r="P689" s="289" t="s">
        <v>1</v>
      </c>
      <c r="Q689" s="287" t="s">
        <v>1</v>
      </c>
      <c r="R689" s="288" cm="1">
        <f t="array" aca="1" ref="R689" ca="1">INDIRECT("'"&amp;$C689&amp;"'!"&amp;"$"&amp;$D689&amp;$R$1&amp;"")</f>
        <v>6.7</v>
      </c>
      <c r="S689" s="289"/>
      <c r="T689" s="289">
        <v>0.94</v>
      </c>
      <c r="U689" s="287">
        <v>2.37</v>
      </c>
      <c r="V689" s="288" cm="1">
        <f t="array" aca="1" ref="V689" ca="1">INDIRECT("'"&amp;$C689&amp;"'!"&amp;"$"&amp;$D689&amp;$V$1&amp;"")</f>
        <v>2.8</v>
      </c>
      <c r="W689" s="289">
        <f>3.8*3.52</f>
        <v>13.375999999999999</v>
      </c>
      <c r="X689" s="289">
        <v>0.95</v>
      </c>
      <c r="Y689" s="290">
        <v>2.88</v>
      </c>
      <c r="Z689" s="286" cm="1">
        <f t="array" aca="1" ref="Z689" ca="1">INDIRECT("'"&amp;$C689&amp;"'!"&amp;"$"&amp;$D689&amp;$Z$1&amp;"")</f>
        <v>0</v>
      </c>
      <c r="AA689" s="289" t="s">
        <v>1</v>
      </c>
      <c r="AB689" s="289" t="s">
        <v>1</v>
      </c>
      <c r="AC689" s="287" t="s">
        <v>1</v>
      </c>
      <c r="AD689" s="288" cm="1">
        <f t="array" aca="1" ref="AD689" ca="1">INDIRECT("'"&amp;$C689&amp;"'!"&amp;"$"&amp;$D689&amp;$AD$1&amp;"")</f>
        <v>3.8</v>
      </c>
      <c r="AE689" s="289">
        <f>3.8*3.52</f>
        <v>13.375999999999999</v>
      </c>
      <c r="AF689" s="289">
        <v>0.96</v>
      </c>
      <c r="AG689" s="290">
        <v>0.75</v>
      </c>
      <c r="AH689" s="286" t="str" cm="1">
        <f t="array" aca="1" ref="AH689" ca="1">INDIRECT("'"&amp;$C689&amp;"'!"&amp;"$"&amp;$D689&amp;$AH$1&amp;"")</f>
        <v>CMS</v>
      </c>
      <c r="AI689" s="289" t="s">
        <v>1</v>
      </c>
      <c r="AJ689" s="289" t="s">
        <v>1</v>
      </c>
      <c r="AK689" s="287" t="s">
        <v>1</v>
      </c>
      <c r="AL689" s="286">
        <v>11.8</v>
      </c>
      <c r="AM689" s="290">
        <v>70</v>
      </c>
      <c r="AN689" s="286" cm="1">
        <f t="array" aca="1" ref="AN689" ca="1">INDIRECT("'"&amp;$C689&amp;"'!"&amp;"$"&amp;$D689&amp;$AL$1&amp;"")</f>
        <v>4.0999999999999996</v>
      </c>
      <c r="AO689" s="289">
        <v>0.96</v>
      </c>
      <c r="AP689" s="287">
        <v>1</v>
      </c>
      <c r="AQ689" s="288" cm="1">
        <f t="array" aca="1" ref="AQ689" ca="1">INDIRECT("'"&amp;$C689&amp;"'!"&amp;"$"&amp;$D689&amp;$AQ$1&amp;"")</f>
        <v>4.0999999999999996</v>
      </c>
      <c r="AR689" s="289">
        <v>0.96</v>
      </c>
      <c r="AS689" s="287">
        <v>1</v>
      </c>
      <c r="AT689" s="289" cm="1">
        <f t="array" aca="1" ref="AT689" ca="1">INDIRECT("'"&amp;$C689&amp;"'!"&amp;"$"&amp;$D689&amp;$AT$1&amp;"")</f>
        <v>0</v>
      </c>
      <c r="AU689" s="288" t="s">
        <v>1</v>
      </c>
      <c r="AV689" s="289" t="s">
        <v>1</v>
      </c>
      <c r="AW689" s="287" t="s">
        <v>1</v>
      </c>
      <c r="AX689" s="291">
        <v>13.99</v>
      </c>
      <c r="AY689" s="290">
        <v>70.75</v>
      </c>
      <c r="AZ689" s="291" cm="1">
        <f t="array" aca="1" ref="AZ689" ca="1">INDIRECT("'"&amp;$C689&amp;"'!"&amp;"$"&amp;$D689&amp;$AZ$1&amp;"")</f>
        <v>14.27</v>
      </c>
      <c r="BA689" s="289">
        <v>0.99</v>
      </c>
      <c r="BB689" s="287">
        <v>2.4300000000000002</v>
      </c>
      <c r="BC689" s="292">
        <v>68.3</v>
      </c>
      <c r="BD689" s="286" cm="1">
        <f t="array" aca="1" ref="BD689" ca="1">INDIRECT("'"&amp;$C689&amp;"'!"&amp;"$"&amp;$D689&amp;$BC$1&amp;"")</f>
        <v>2.2999999999999998</v>
      </c>
      <c r="BE689" s="288">
        <v>0.96</v>
      </c>
      <c r="BF689" s="287">
        <v>0.65</v>
      </c>
      <c r="BG689" s="291" cm="1">
        <f t="array" aca="1" ref="BG689" ca="1">INDIRECT("'"&amp;$C689&amp;"'!"&amp;"$"&amp;$D689&amp;$BG$1&amp;"")</f>
        <v>1.34</v>
      </c>
      <c r="BH689" s="289"/>
      <c r="BI689" s="289">
        <v>0.99</v>
      </c>
      <c r="BJ689" s="287">
        <v>0.24</v>
      </c>
      <c r="BK689" s="292" cm="1">
        <f t="array" aca="1" ref="BK689" ca="1">INDIRECT("'"&amp;$C689&amp;"'!"&amp;"$"&amp;$D689&amp;$BK$1&amp;"")</f>
        <v>0.81</v>
      </c>
      <c r="BL689" s="289"/>
      <c r="BM689" s="289">
        <v>0.96</v>
      </c>
      <c r="BN689" s="287">
        <v>0.22</v>
      </c>
    </row>
    <row r="690" spans="1:66" ht="14.45" thickBot="1">
      <c r="A690" s="360">
        <v>45775</v>
      </c>
      <c r="B690" s="358">
        <v>0.41666666666666702</v>
      </c>
      <c r="C690" s="313">
        <f t="shared" si="27"/>
        <v>28</v>
      </c>
      <c r="D690" s="314" t="s">
        <v>137</v>
      </c>
      <c r="E690" s="293">
        <v>14.1</v>
      </c>
      <c r="F690" s="294">
        <v>69.09</v>
      </c>
      <c r="G690" s="295" cm="1">
        <f t="array" aca="1" ref="G690" ca="1">INDIRECT("'"&amp;$C690&amp;"'!"&amp;"$"&amp;$D690&amp;$E$1&amp;"")</f>
        <v>6.6</v>
      </c>
      <c r="H690" s="296">
        <v>0.94</v>
      </c>
      <c r="I690" s="294">
        <v>2.29</v>
      </c>
      <c r="J690" s="295" cm="1">
        <f t="array" aca="1" ref="J690" ca="1">INDIRECT("'"&amp;$C690&amp;"'!"&amp;"$"&amp;$D690&amp;$J$1&amp;"")</f>
        <v>6.6</v>
      </c>
      <c r="K690" s="296"/>
      <c r="L690" s="296">
        <v>0.94</v>
      </c>
      <c r="M690" s="294">
        <v>2.29</v>
      </c>
      <c r="N690" s="295" cm="1">
        <f t="array" aca="1" ref="N690" ca="1">INDIRECT("'"&amp;$C690&amp;"'!"&amp;"$"&amp;$D690&amp;$N$1&amp;"")</f>
        <v>0</v>
      </c>
      <c r="O690" s="296"/>
      <c r="P690" s="296" t="s">
        <v>1</v>
      </c>
      <c r="Q690" s="294" t="s">
        <v>1</v>
      </c>
      <c r="R690" s="295" cm="1">
        <f t="array" aca="1" ref="R690" ca="1">INDIRECT("'"&amp;$C690&amp;"'!"&amp;"$"&amp;$D690&amp;$R$1&amp;"")</f>
        <v>6.6</v>
      </c>
      <c r="S690" s="296"/>
      <c r="T690" s="296">
        <v>0.94</v>
      </c>
      <c r="U690" s="294">
        <v>2.29</v>
      </c>
      <c r="V690" s="295" cm="1">
        <f t="array" aca="1" ref="V690" ca="1">INDIRECT("'"&amp;$C690&amp;"'!"&amp;"$"&amp;$D690&amp;$V$1&amp;"")</f>
        <v>2.8</v>
      </c>
      <c r="W690" s="296">
        <f>3.51*3.8</f>
        <v>13.337999999999999</v>
      </c>
      <c r="X690" s="296">
        <v>0.94</v>
      </c>
      <c r="Y690" s="297">
        <v>1</v>
      </c>
      <c r="Z690" s="293" cm="1">
        <f t="array" aca="1" ref="Z690" ca="1">INDIRECT("'"&amp;$C690&amp;"'!"&amp;"$"&amp;$D690&amp;$Z$1&amp;"")</f>
        <v>0</v>
      </c>
      <c r="AA690" s="296" t="s">
        <v>1</v>
      </c>
      <c r="AB690" s="296" t="s">
        <v>1</v>
      </c>
      <c r="AC690" s="294" t="s">
        <v>1</v>
      </c>
      <c r="AD690" s="295" cm="1">
        <f t="array" aca="1" ref="AD690" ca="1">INDIRECT("'"&amp;$C690&amp;"'!"&amp;"$"&amp;$D690&amp;$AD$1&amp;"")</f>
        <v>3.8</v>
      </c>
      <c r="AE690" s="296">
        <f>3.51*3.8</f>
        <v>13.337999999999999</v>
      </c>
      <c r="AF690" s="296">
        <v>0.94</v>
      </c>
      <c r="AG690" s="297">
        <v>1.35</v>
      </c>
      <c r="AH690" s="293" t="str" cm="1">
        <f t="array" aca="1" ref="AH690" ca="1">INDIRECT("'"&amp;$C690&amp;"'!"&amp;"$"&amp;$D690&amp;$AH$1&amp;"")</f>
        <v>CMS</v>
      </c>
      <c r="AI690" s="296" t="s">
        <v>1</v>
      </c>
      <c r="AJ690" s="296" t="s">
        <v>1</v>
      </c>
      <c r="AK690" s="294" t="s">
        <v>1</v>
      </c>
      <c r="AL690" s="293">
        <v>11.9</v>
      </c>
      <c r="AM690" s="297">
        <v>70.599999999999994</v>
      </c>
      <c r="AN690" s="293" cm="1">
        <f t="array" aca="1" ref="AN690" ca="1">INDIRECT("'"&amp;$C690&amp;"'!"&amp;"$"&amp;$D690&amp;$AL$1&amp;"")</f>
        <v>4</v>
      </c>
      <c r="AO690" s="296">
        <v>0.99</v>
      </c>
      <c r="AP690" s="294">
        <v>0.63</v>
      </c>
      <c r="AQ690" s="295" cm="1">
        <f t="array" aca="1" ref="AQ690" ca="1">INDIRECT("'"&amp;$C690&amp;"'!"&amp;"$"&amp;$D690&amp;$AQ$1&amp;"")</f>
        <v>4</v>
      </c>
      <c r="AR690" s="296">
        <v>0.99</v>
      </c>
      <c r="AS690" s="294">
        <v>0.63</v>
      </c>
      <c r="AT690" s="296" cm="1">
        <f t="array" aca="1" ref="AT690" ca="1">INDIRECT("'"&amp;$C690&amp;"'!"&amp;"$"&amp;$D690&amp;$AT$1&amp;"")</f>
        <v>5.49</v>
      </c>
      <c r="AU690" s="295">
        <v>13.87</v>
      </c>
      <c r="AV690" s="296">
        <v>0.97</v>
      </c>
      <c r="AW690" s="294">
        <v>1.32</v>
      </c>
      <c r="AX690" s="298">
        <v>14.2</v>
      </c>
      <c r="AY690" s="297">
        <v>71.430000000000007</v>
      </c>
      <c r="AZ690" s="298" cm="1">
        <f t="array" aca="1" ref="AZ690" ca="1">INDIRECT("'"&amp;$C690&amp;"'!"&amp;"$"&amp;$D690&amp;$AZ$1&amp;"")</f>
        <v>14.28</v>
      </c>
      <c r="BA690" s="296">
        <v>0.98</v>
      </c>
      <c r="BB690" s="294">
        <v>3.53</v>
      </c>
      <c r="BC690" s="299">
        <v>67.900000000000006</v>
      </c>
      <c r="BD690" s="293" cm="1">
        <f t="array" aca="1" ref="BD690" ca="1">INDIRECT("'"&amp;$C690&amp;"'!"&amp;"$"&amp;$D690&amp;$BC$1&amp;"")</f>
        <v>0</v>
      </c>
      <c r="BE690" s="295" t="s">
        <v>1</v>
      </c>
      <c r="BF690" s="294" t="s">
        <v>1</v>
      </c>
      <c r="BG690" s="298" cm="1">
        <f t="array" aca="1" ref="BG690" ca="1">INDIRECT("'"&amp;$C690&amp;"'!"&amp;"$"&amp;$D690&amp;$BG$1&amp;"")</f>
        <v>1.41</v>
      </c>
      <c r="BH690" s="296"/>
      <c r="BI690" s="296">
        <v>0.99</v>
      </c>
      <c r="BJ690" s="294">
        <v>0.21</v>
      </c>
      <c r="BK690" s="299" cm="1">
        <f t="array" aca="1" ref="BK690" ca="1">INDIRECT("'"&amp;$C690&amp;"'!"&amp;"$"&amp;$D690&amp;$BK$1&amp;"")</f>
        <v>0.82</v>
      </c>
      <c r="BL690" s="296"/>
      <c r="BM690" s="296">
        <v>0.96</v>
      </c>
      <c r="BN690" s="294">
        <v>0.23</v>
      </c>
    </row>
    <row r="691" spans="1:66" ht="14.45" thickBot="1">
      <c r="A691" s="360">
        <v>45775</v>
      </c>
      <c r="B691" s="358">
        <v>0.45833333333333398</v>
      </c>
      <c r="C691" s="313">
        <f t="shared" si="27"/>
        <v>28</v>
      </c>
      <c r="D691" s="314" t="s">
        <v>138</v>
      </c>
      <c r="E691" s="286">
        <v>14.2</v>
      </c>
      <c r="F691" s="287">
        <v>69.06</v>
      </c>
      <c r="G691" s="288" cm="1">
        <f t="array" aca="1" ref="G691" ca="1">INDIRECT("'"&amp;$C691&amp;"'!"&amp;"$"&amp;$D691&amp;$E$1&amp;"")</f>
        <v>6.8</v>
      </c>
      <c r="H691" s="289">
        <v>0.94</v>
      </c>
      <c r="I691" s="287">
        <v>2.34</v>
      </c>
      <c r="J691" s="288" cm="1">
        <f t="array" aca="1" ref="J691" ca="1">INDIRECT("'"&amp;$C691&amp;"'!"&amp;"$"&amp;$D691&amp;$J$1&amp;"")</f>
        <v>6.8</v>
      </c>
      <c r="K691" s="289"/>
      <c r="L691" s="289">
        <v>0.94</v>
      </c>
      <c r="M691" s="287">
        <v>2.34</v>
      </c>
      <c r="N691" s="288" cm="1">
        <f t="array" aca="1" ref="N691" ca="1">INDIRECT("'"&amp;$C691&amp;"'!"&amp;"$"&amp;$D691&amp;$N$1&amp;"")</f>
        <v>0</v>
      </c>
      <c r="O691" s="289"/>
      <c r="P691" s="289" t="s">
        <v>1</v>
      </c>
      <c r="Q691" s="287" t="s">
        <v>1</v>
      </c>
      <c r="R691" s="288" cm="1">
        <f t="array" aca="1" ref="R691" ca="1">INDIRECT("'"&amp;$C691&amp;"'!"&amp;"$"&amp;$D691&amp;$R$1&amp;"")</f>
        <v>6.8</v>
      </c>
      <c r="S691" s="289"/>
      <c r="T691" s="289">
        <v>0.94</v>
      </c>
      <c r="U691" s="287">
        <v>2.34</v>
      </c>
      <c r="V691" s="288" cm="1">
        <f t="array" aca="1" ref="V691" ca="1">INDIRECT("'"&amp;$C691&amp;"'!"&amp;"$"&amp;$D691&amp;$V$1&amp;"")</f>
        <v>2.8</v>
      </c>
      <c r="W691" s="289">
        <f>3.51*3.8</f>
        <v>13.337999999999999</v>
      </c>
      <c r="X691" s="289">
        <v>0.94</v>
      </c>
      <c r="Y691" s="290">
        <v>1.01</v>
      </c>
      <c r="Z691" s="286" cm="1">
        <f t="array" aca="1" ref="Z691" ca="1">INDIRECT("'"&amp;$C691&amp;"'!"&amp;"$"&amp;$D691&amp;$Z$1&amp;"")</f>
        <v>0</v>
      </c>
      <c r="AA691" s="289" t="s">
        <v>1</v>
      </c>
      <c r="AB691" s="289" t="s">
        <v>1</v>
      </c>
      <c r="AC691" s="287" t="s">
        <v>1</v>
      </c>
      <c r="AD691" s="288" cm="1">
        <f t="array" aca="1" ref="AD691" ca="1">INDIRECT("'"&amp;$C691&amp;"'!"&amp;"$"&amp;$D691&amp;$AD$1&amp;"")</f>
        <v>3.8</v>
      </c>
      <c r="AE691" s="289">
        <f>3.51*3.8</f>
        <v>13.337999999999999</v>
      </c>
      <c r="AF691" s="289">
        <v>0.93</v>
      </c>
      <c r="AG691" s="290">
        <v>1.48</v>
      </c>
      <c r="AH691" s="286" t="str" cm="1">
        <f t="array" aca="1" ref="AH691" ca="1">INDIRECT("'"&amp;$C691&amp;"'!"&amp;"$"&amp;$D691&amp;$AH$1&amp;"")</f>
        <v>CMS</v>
      </c>
      <c r="AI691" s="289" t="s">
        <v>1</v>
      </c>
      <c r="AJ691" s="289" t="s">
        <v>1</v>
      </c>
      <c r="AK691" s="287" t="s">
        <v>1</v>
      </c>
      <c r="AL691" s="286">
        <v>11.9</v>
      </c>
      <c r="AM691" s="290">
        <v>70.599999999999994</v>
      </c>
      <c r="AN691" s="286" cm="1">
        <f t="array" aca="1" ref="AN691" ca="1">INDIRECT("'"&amp;$C691&amp;"'!"&amp;"$"&amp;$D691&amp;$AL$1&amp;"")</f>
        <v>4.0999999999999996</v>
      </c>
      <c r="AO691" s="289">
        <v>0.98</v>
      </c>
      <c r="AP691" s="287">
        <v>0.84</v>
      </c>
      <c r="AQ691" s="288" cm="1">
        <f t="array" aca="1" ref="AQ691" ca="1">INDIRECT("'"&amp;$C691&amp;"'!"&amp;"$"&amp;$D691&amp;$AQ$1&amp;"")</f>
        <v>4.0999999999999996</v>
      </c>
      <c r="AR691" s="289">
        <v>0.98</v>
      </c>
      <c r="AS691" s="287">
        <v>0.84</v>
      </c>
      <c r="AT691" s="289" cm="1">
        <f t="array" aca="1" ref="AT691" ca="1">INDIRECT("'"&amp;$C691&amp;"'!"&amp;"$"&amp;$D691&amp;$AT$1&amp;"")</f>
        <v>6.07</v>
      </c>
      <c r="AU691" s="288">
        <v>13.87</v>
      </c>
      <c r="AV691" s="289">
        <v>0.97</v>
      </c>
      <c r="AW691" s="287">
        <v>1.39</v>
      </c>
      <c r="AX691" s="291">
        <v>14.21</v>
      </c>
      <c r="AY691" s="290">
        <v>71.48</v>
      </c>
      <c r="AZ691" s="291" cm="1">
        <f t="array" aca="1" ref="AZ691" ca="1">INDIRECT("'"&amp;$C691&amp;"'!"&amp;"$"&amp;$D691&amp;$AZ$1&amp;"")</f>
        <v>14.27</v>
      </c>
      <c r="BA691" s="289">
        <v>0.98</v>
      </c>
      <c r="BB691" s="287">
        <v>3.52</v>
      </c>
      <c r="BC691" s="292">
        <v>67.8</v>
      </c>
      <c r="BD691" s="286" cm="1">
        <f t="array" aca="1" ref="BD691" ca="1">INDIRECT("'"&amp;$C691&amp;"'!"&amp;"$"&amp;$D691&amp;$BC$1&amp;"")</f>
        <v>0</v>
      </c>
      <c r="BE691" s="288" t="s">
        <v>1</v>
      </c>
      <c r="BF691" s="287" t="s">
        <v>1</v>
      </c>
      <c r="BG691" s="291" cm="1">
        <f t="array" aca="1" ref="BG691" ca="1">INDIRECT("'"&amp;$C691&amp;"'!"&amp;"$"&amp;$D691&amp;$BG$1&amp;"")</f>
        <v>1.47</v>
      </c>
      <c r="BH691" s="289"/>
      <c r="BI691" s="289">
        <v>0.99</v>
      </c>
      <c r="BJ691" s="287">
        <v>0.23</v>
      </c>
      <c r="BK691" s="292" cm="1">
        <f t="array" aca="1" ref="BK691" ca="1">INDIRECT("'"&amp;$C691&amp;"'!"&amp;"$"&amp;$D691&amp;$BK$1&amp;"")</f>
        <v>0.84</v>
      </c>
      <c r="BL691" s="289"/>
      <c r="BM691" s="289">
        <v>0.96</v>
      </c>
      <c r="BN691" s="287">
        <v>0.24</v>
      </c>
    </row>
    <row r="692" spans="1:66" ht="14.45" thickBot="1">
      <c r="A692" s="360">
        <v>45775</v>
      </c>
      <c r="B692" s="358">
        <v>0.5</v>
      </c>
      <c r="C692" s="313">
        <f t="shared" si="27"/>
        <v>28</v>
      </c>
      <c r="D692" s="314" t="s">
        <v>139</v>
      </c>
      <c r="E692" s="293">
        <v>14.2</v>
      </c>
      <c r="F692" s="294">
        <v>69.260000000000005</v>
      </c>
      <c r="G692" s="295" cm="1">
        <f t="array" aca="1" ref="G692" ca="1">INDIRECT("'"&amp;$C692&amp;"'!"&amp;"$"&amp;$D692&amp;$E$1&amp;"")</f>
        <v>6.7</v>
      </c>
      <c r="H692" s="296">
        <v>0.94</v>
      </c>
      <c r="I692" s="294">
        <v>2.36</v>
      </c>
      <c r="J692" s="295" cm="1">
        <f t="array" aca="1" ref="J692" ca="1">INDIRECT("'"&amp;$C692&amp;"'!"&amp;"$"&amp;$D692&amp;$J$1&amp;"")</f>
        <v>6.7</v>
      </c>
      <c r="K692" s="296"/>
      <c r="L692" s="296">
        <v>0.94</v>
      </c>
      <c r="M692" s="294">
        <v>2.36</v>
      </c>
      <c r="N692" s="295" cm="1">
        <f t="array" aca="1" ref="N692" ca="1">INDIRECT("'"&amp;$C692&amp;"'!"&amp;"$"&amp;$D692&amp;$N$1&amp;"")</f>
        <v>0</v>
      </c>
      <c r="O692" s="296"/>
      <c r="P692" s="296" t="s">
        <v>1</v>
      </c>
      <c r="Q692" s="294" t="s">
        <v>1</v>
      </c>
      <c r="R692" s="295" cm="1">
        <f t="array" aca="1" ref="R692" ca="1">INDIRECT("'"&amp;$C692&amp;"'!"&amp;"$"&amp;$D692&amp;$R$1&amp;"")</f>
        <v>6.7</v>
      </c>
      <c r="S692" s="296"/>
      <c r="T692" s="296">
        <v>0.94</v>
      </c>
      <c r="U692" s="294">
        <v>2.36</v>
      </c>
      <c r="V692" s="295" cm="1">
        <f t="array" aca="1" ref="V692" ca="1">INDIRECT("'"&amp;$C692&amp;"'!"&amp;"$"&amp;$D692&amp;$V$1&amp;"")</f>
        <v>2.8</v>
      </c>
      <c r="W692" s="296">
        <f>3.52*3.8</f>
        <v>13.375999999999999</v>
      </c>
      <c r="X692" s="296">
        <v>0.94</v>
      </c>
      <c r="Y692" s="297">
        <v>1.02</v>
      </c>
      <c r="Z692" s="293" cm="1">
        <f t="array" aca="1" ref="Z692" ca="1">INDIRECT("'"&amp;$C692&amp;"'!"&amp;"$"&amp;$D692&amp;$Z$1&amp;"")</f>
        <v>0</v>
      </c>
      <c r="AA692" s="296" t="s">
        <v>1</v>
      </c>
      <c r="AB692" s="296" t="s">
        <v>1</v>
      </c>
      <c r="AC692" s="294" t="s">
        <v>1</v>
      </c>
      <c r="AD692" s="295" cm="1">
        <f t="array" aca="1" ref="AD692" ca="1">INDIRECT("'"&amp;$C692&amp;"'!"&amp;"$"&amp;$D692&amp;$AD$1&amp;"")</f>
        <v>3.8</v>
      </c>
      <c r="AE692" s="296">
        <f>3.52*3.8</f>
        <v>13.375999999999999</v>
      </c>
      <c r="AF692" s="296">
        <v>0.93</v>
      </c>
      <c r="AG692" s="297">
        <v>1.45</v>
      </c>
      <c r="AH692" s="293" t="str" cm="1">
        <f t="array" aca="1" ref="AH692" ca="1">INDIRECT("'"&amp;$C692&amp;"'!"&amp;"$"&amp;$D692&amp;$AH$1&amp;"")</f>
        <v>CMS</v>
      </c>
      <c r="AI692" s="296" t="s">
        <v>1</v>
      </c>
      <c r="AJ692" s="296" t="s">
        <v>1</v>
      </c>
      <c r="AK692" s="294" t="s">
        <v>1</v>
      </c>
      <c r="AL692" s="293">
        <v>11.9</v>
      </c>
      <c r="AM692" s="297">
        <v>70.599999999999994</v>
      </c>
      <c r="AN692" s="293" cm="1">
        <f t="array" aca="1" ref="AN692" ca="1">INDIRECT("'"&amp;$C692&amp;"'!"&amp;"$"&amp;$D692&amp;$AL$1&amp;"")</f>
        <v>4</v>
      </c>
      <c r="AO692" s="296">
        <v>0.98</v>
      </c>
      <c r="AP692" s="294">
        <v>0.7</v>
      </c>
      <c r="AQ692" s="295" cm="1">
        <f t="array" aca="1" ref="AQ692" ca="1">INDIRECT("'"&amp;$C692&amp;"'!"&amp;"$"&amp;$D692&amp;$AQ$1&amp;"")</f>
        <v>4</v>
      </c>
      <c r="AR692" s="296">
        <v>0.98</v>
      </c>
      <c r="AS692" s="294">
        <v>0.7</v>
      </c>
      <c r="AT692" s="296" cm="1">
        <f t="array" aca="1" ref="AT692" ca="1">INDIRECT("'"&amp;$C692&amp;"'!"&amp;"$"&amp;$D692&amp;$AT$1&amp;"")</f>
        <v>6.86</v>
      </c>
      <c r="AU692" s="295">
        <v>13.89</v>
      </c>
      <c r="AV692" s="296">
        <v>0.98</v>
      </c>
      <c r="AW692" s="294">
        <v>1.56</v>
      </c>
      <c r="AX692" s="298">
        <v>14.19</v>
      </c>
      <c r="AY692" s="297">
        <v>71.400000000000006</v>
      </c>
      <c r="AZ692" s="298" cm="1">
        <f t="array" aca="1" ref="AZ692" ca="1">INDIRECT("'"&amp;$C692&amp;"'!"&amp;"$"&amp;$D692&amp;$AZ$1&amp;"")</f>
        <v>14.29</v>
      </c>
      <c r="BA692" s="296">
        <v>0.98</v>
      </c>
      <c r="BB692" s="294">
        <v>3.5</v>
      </c>
      <c r="BC692" s="299">
        <v>68</v>
      </c>
      <c r="BD692" s="293" cm="1">
        <f t="array" aca="1" ref="BD692" ca="1">INDIRECT("'"&amp;$C692&amp;"'!"&amp;"$"&amp;$D692&amp;$BC$1&amp;"")</f>
        <v>0</v>
      </c>
      <c r="BE692" s="295" t="s">
        <v>1</v>
      </c>
      <c r="BF692" s="294" t="s">
        <v>1</v>
      </c>
      <c r="BG692" s="298" cm="1">
        <f t="array" aca="1" ref="BG692" ca="1">INDIRECT("'"&amp;$C692&amp;"'!"&amp;"$"&amp;$D692&amp;$BG$1&amp;"")</f>
        <v>1.5</v>
      </c>
      <c r="BH692" s="296"/>
      <c r="BI692" s="296">
        <v>0.99</v>
      </c>
      <c r="BJ692" s="294">
        <v>0.23</v>
      </c>
      <c r="BK692" s="299" cm="1">
        <f t="array" aca="1" ref="BK692" ca="1">INDIRECT("'"&amp;$C692&amp;"'!"&amp;"$"&amp;$D692&amp;$BK$1&amp;"")</f>
        <v>0.87</v>
      </c>
      <c r="BL692" s="296"/>
      <c r="BM692" s="296">
        <v>0.96</v>
      </c>
      <c r="BN692" s="294">
        <v>0.26</v>
      </c>
    </row>
    <row r="693" spans="1:66" ht="14.45" thickBot="1">
      <c r="A693" s="360">
        <v>45775</v>
      </c>
      <c r="B693" s="358">
        <v>0.54166666666666696</v>
      </c>
      <c r="C693" s="313">
        <f t="shared" si="27"/>
        <v>28</v>
      </c>
      <c r="D693" s="314" t="s">
        <v>140</v>
      </c>
      <c r="E693" s="286">
        <v>14.1</v>
      </c>
      <c r="F693" s="287">
        <v>68.86</v>
      </c>
      <c r="G693" s="288" cm="1">
        <f t="array" aca="1" ref="G693" ca="1">INDIRECT("'"&amp;$C693&amp;"'!"&amp;"$"&amp;$D693&amp;$E$1&amp;"")</f>
        <v>6.6</v>
      </c>
      <c r="H693" s="289">
        <v>0.93</v>
      </c>
      <c r="I693" s="287">
        <v>2.66</v>
      </c>
      <c r="J693" s="288" cm="1">
        <f t="array" aca="1" ref="J693" ca="1">INDIRECT("'"&amp;$C693&amp;"'!"&amp;"$"&amp;$D693&amp;$J$1&amp;"")</f>
        <v>6.6</v>
      </c>
      <c r="K693" s="289"/>
      <c r="L693" s="289">
        <v>0.93</v>
      </c>
      <c r="M693" s="287">
        <v>2.66</v>
      </c>
      <c r="N693" s="288" cm="1">
        <f t="array" aca="1" ref="N693" ca="1">INDIRECT("'"&amp;$C693&amp;"'!"&amp;"$"&amp;$D693&amp;$N$1&amp;"")</f>
        <v>0</v>
      </c>
      <c r="O693" s="289"/>
      <c r="P693" s="289" t="s">
        <v>1</v>
      </c>
      <c r="Q693" s="287" t="s">
        <v>1</v>
      </c>
      <c r="R693" s="288" cm="1">
        <f t="array" aca="1" ref="R693" ca="1">INDIRECT("'"&amp;$C693&amp;"'!"&amp;"$"&amp;$D693&amp;$R$1&amp;"")</f>
        <v>6.7</v>
      </c>
      <c r="S693" s="289"/>
      <c r="T693" s="289">
        <v>0.93</v>
      </c>
      <c r="U693" s="287">
        <v>2.66</v>
      </c>
      <c r="V693" s="288" cm="1">
        <f t="array" aca="1" ref="V693" ca="1">INDIRECT("'"&amp;$C693&amp;"'!"&amp;"$"&amp;$D693&amp;$V$1&amp;"")</f>
        <v>2</v>
      </c>
      <c r="W693" s="289">
        <f>3.48*3.8</f>
        <v>13.224</v>
      </c>
      <c r="X693" s="289">
        <v>0.96</v>
      </c>
      <c r="Y693" s="290">
        <v>0.55000000000000004</v>
      </c>
      <c r="Z693" s="286" cm="1">
        <f t="array" aca="1" ref="Z693" ca="1">INDIRECT("'"&amp;$C693&amp;"'!"&amp;"$"&amp;$D693&amp;$Z$1&amp;"")</f>
        <v>0</v>
      </c>
      <c r="AA693" s="289" t="s">
        <v>1</v>
      </c>
      <c r="AB693" s="289" t="s">
        <v>1</v>
      </c>
      <c r="AC693" s="287" t="s">
        <v>1</v>
      </c>
      <c r="AD693" s="288" cm="1">
        <f t="array" aca="1" ref="AD693" ca="1">INDIRECT("'"&amp;$C693&amp;"'!"&amp;"$"&amp;$D693&amp;$AD$1&amp;"")</f>
        <v>3</v>
      </c>
      <c r="AE693" s="289">
        <f>3.48*3.8</f>
        <v>13.224</v>
      </c>
      <c r="AF693" s="289">
        <v>0.94</v>
      </c>
      <c r="AG693" s="290">
        <v>1.1000000000000001</v>
      </c>
      <c r="AH693" s="286" cm="1">
        <f t="array" aca="1" ref="AH693" ca="1">INDIRECT("'"&amp;$C693&amp;"'!"&amp;"$"&amp;$D693&amp;$AH$1&amp;"")</f>
        <v>2.4</v>
      </c>
      <c r="AI693" s="289">
        <v>13.88</v>
      </c>
      <c r="AJ693" s="289">
        <v>0.98</v>
      </c>
      <c r="AK693" s="287">
        <v>0.46400000000000002</v>
      </c>
      <c r="AL693" s="286">
        <v>11.9</v>
      </c>
      <c r="AM693" s="290">
        <v>70.5</v>
      </c>
      <c r="AN693" s="286" cm="1">
        <f t="array" aca="1" ref="AN693" ca="1">INDIRECT("'"&amp;$C693&amp;"'!"&amp;"$"&amp;$D693&amp;$AL$1&amp;"")</f>
        <v>3.2</v>
      </c>
      <c r="AO693" s="289">
        <v>0.97</v>
      </c>
      <c r="AP693" s="287">
        <v>0.82</v>
      </c>
      <c r="AQ693" s="288" cm="1">
        <f t="array" aca="1" ref="AQ693" ca="1">INDIRECT("'"&amp;$C693&amp;"'!"&amp;"$"&amp;$D693&amp;$AQ$1&amp;"")</f>
        <v>3.2</v>
      </c>
      <c r="AR693" s="289">
        <v>0.97</v>
      </c>
      <c r="AS693" s="287">
        <v>0.82</v>
      </c>
      <c r="AT693" s="289" cm="1">
        <f t="array" aca="1" ref="AT693" ca="1">INDIRECT("'"&amp;$C693&amp;"'!"&amp;"$"&amp;$D693&amp;$AT$1&amp;"")</f>
        <v>8.0299999999999994</v>
      </c>
      <c r="AU693" s="288">
        <v>13.87</v>
      </c>
      <c r="AV693" s="289">
        <v>0.98</v>
      </c>
      <c r="AW693" s="287">
        <v>1.44</v>
      </c>
      <c r="AX693" s="291">
        <v>14.23</v>
      </c>
      <c r="AY693" s="290">
        <v>71.569999999999993</v>
      </c>
      <c r="AZ693" s="291" cm="1">
        <f t="array" aca="1" ref="AZ693" ca="1">INDIRECT("'"&amp;$C693&amp;"'!"&amp;"$"&amp;$D693&amp;$AZ$1&amp;"")</f>
        <v>14.28</v>
      </c>
      <c r="BA693" s="289">
        <v>0.98</v>
      </c>
      <c r="BB693" s="287">
        <v>3.58</v>
      </c>
      <c r="BC693" s="292">
        <v>67.5</v>
      </c>
      <c r="BD693" s="286" cm="1">
        <f t="array" aca="1" ref="BD693" ca="1">INDIRECT("'"&amp;$C693&amp;"'!"&amp;"$"&amp;$D693&amp;$BC$1&amp;"")</f>
        <v>0</v>
      </c>
      <c r="BE693" s="288" t="s">
        <v>1</v>
      </c>
      <c r="BF693" s="287" t="s">
        <v>1</v>
      </c>
      <c r="BG693" s="291" cm="1">
        <f t="array" aca="1" ref="BG693" ca="1">INDIRECT("'"&amp;$C693&amp;"'!"&amp;"$"&amp;$D693&amp;$BG$1&amp;"")</f>
        <v>1.46</v>
      </c>
      <c r="BH693" s="289"/>
      <c r="BI693" s="289">
        <v>0.99</v>
      </c>
      <c r="BJ693" s="287">
        <v>0.23</v>
      </c>
      <c r="BK693" s="292" cm="1">
        <f t="array" aca="1" ref="BK693" ca="1">INDIRECT("'"&amp;$C693&amp;"'!"&amp;"$"&amp;$D693&amp;$BK$1&amp;"")</f>
        <v>0.87</v>
      </c>
      <c r="BL693" s="289"/>
      <c r="BM693" s="289">
        <v>0.96</v>
      </c>
      <c r="BN693" s="287">
        <v>0.26</v>
      </c>
    </row>
    <row r="694" spans="1:66" ht="14.45" thickBot="1">
      <c r="A694" s="360">
        <v>45775</v>
      </c>
      <c r="B694" s="358">
        <v>0.58333333333333404</v>
      </c>
      <c r="C694" s="313">
        <f t="shared" si="27"/>
        <v>28</v>
      </c>
      <c r="D694" s="314" t="s">
        <v>141</v>
      </c>
      <c r="E694" s="293">
        <v>14.2</v>
      </c>
      <c r="F694" s="294">
        <v>69.23</v>
      </c>
      <c r="G694" s="295" cm="1">
        <f t="array" aca="1" ref="G694" ca="1">INDIRECT("'"&amp;$C694&amp;"'!"&amp;"$"&amp;$D694&amp;$E$1&amp;"")</f>
        <v>6.9</v>
      </c>
      <c r="H694" s="296">
        <v>0.91</v>
      </c>
      <c r="I694" s="294">
        <v>3.13</v>
      </c>
      <c r="J694" s="295" cm="1">
        <f t="array" aca="1" ref="J694" ca="1">INDIRECT("'"&amp;$C694&amp;"'!"&amp;"$"&amp;$D694&amp;$J$1&amp;"")</f>
        <v>6.9</v>
      </c>
      <c r="K694" s="296"/>
      <c r="L694" s="296">
        <v>0.91</v>
      </c>
      <c r="M694" s="294">
        <v>3.13</v>
      </c>
      <c r="N694" s="295" cm="1">
        <f t="array" aca="1" ref="N694" ca="1">INDIRECT("'"&amp;$C694&amp;"'!"&amp;"$"&amp;$D694&amp;$N$1&amp;"")</f>
        <v>0</v>
      </c>
      <c r="O694" s="296"/>
      <c r="P694" s="296" t="s">
        <v>1</v>
      </c>
      <c r="Q694" s="294" t="s">
        <v>1</v>
      </c>
      <c r="R694" s="295" cm="1">
        <f t="array" aca="1" ref="R694" ca="1">INDIRECT("'"&amp;$C694&amp;"'!"&amp;"$"&amp;$D694&amp;$R$1&amp;"")</f>
        <v>6.9</v>
      </c>
      <c r="S694" s="296"/>
      <c r="T694" s="296">
        <v>0.91</v>
      </c>
      <c r="U694" s="294">
        <v>3.13</v>
      </c>
      <c r="V694" s="295" cm="1">
        <f t="array" aca="1" ref="V694" ca="1">INDIRECT("'"&amp;$C694&amp;"'!"&amp;"$"&amp;$D694&amp;$V$1&amp;"")</f>
        <v>2.8</v>
      </c>
      <c r="W694" s="296">
        <f>3.51*3.8</f>
        <v>13.337999999999999</v>
      </c>
      <c r="X694" s="296">
        <v>0.93</v>
      </c>
      <c r="Y694" s="297">
        <v>1.1000000000000001</v>
      </c>
      <c r="Z694" s="293" cm="1">
        <f t="array" aca="1" ref="Z694" ca="1">INDIRECT("'"&amp;$C694&amp;"'!"&amp;"$"&amp;$D694&amp;$Z$1&amp;"")</f>
        <v>0</v>
      </c>
      <c r="AA694" s="296" t="s">
        <v>1</v>
      </c>
      <c r="AB694" s="296" t="s">
        <v>1</v>
      </c>
      <c r="AC694" s="294" t="s">
        <v>1</v>
      </c>
      <c r="AD694" s="295" cm="1">
        <f t="array" aca="1" ref="AD694" ca="1">INDIRECT("'"&amp;$C694&amp;"'!"&amp;"$"&amp;$D694&amp;$AD$1&amp;"")</f>
        <v>3.8</v>
      </c>
      <c r="AE694" s="296">
        <f>3.8*3.51</f>
        <v>13.337999999999999</v>
      </c>
      <c r="AF694" s="296">
        <v>0.92</v>
      </c>
      <c r="AG694" s="297">
        <v>1.6</v>
      </c>
      <c r="AH694" s="293" cm="1">
        <f t="array" aca="1" ref="AH694" ca="1">INDIRECT("'"&amp;$C694&amp;"'!"&amp;"$"&amp;$D694&amp;$AH$1&amp;"")</f>
        <v>2.8</v>
      </c>
      <c r="AI694" s="296">
        <v>14</v>
      </c>
      <c r="AJ694" s="296">
        <v>0.97</v>
      </c>
      <c r="AK694" s="294">
        <v>0.622</v>
      </c>
      <c r="AL694" s="293">
        <v>11.9</v>
      </c>
      <c r="AM694" s="297">
        <v>70.7</v>
      </c>
      <c r="AN694" s="293" cm="1">
        <f t="array" aca="1" ref="AN694" ca="1">INDIRECT("'"&amp;$C694&amp;"'!"&amp;"$"&amp;$D694&amp;$AL$1&amp;"")</f>
        <v>4.5</v>
      </c>
      <c r="AO694" s="296">
        <v>0.98</v>
      </c>
      <c r="AP694" s="294">
        <v>0.78</v>
      </c>
      <c r="AQ694" s="295" cm="1">
        <f t="array" aca="1" ref="AQ694" ca="1">INDIRECT("'"&amp;$C694&amp;"'!"&amp;"$"&amp;$D694&amp;$AQ$1&amp;"")</f>
        <v>4.5</v>
      </c>
      <c r="AR694" s="296">
        <v>0.98</v>
      </c>
      <c r="AS694" s="294">
        <v>0.78</v>
      </c>
      <c r="AT694" s="296" cm="1">
        <f t="array" aca="1" ref="AT694" ca="1">INDIRECT("'"&amp;$C694&amp;"'!"&amp;"$"&amp;$D694&amp;$AT$1&amp;"")</f>
        <v>4.42</v>
      </c>
      <c r="AU694" s="295">
        <v>13.9</v>
      </c>
      <c r="AV694" s="296">
        <v>0.97</v>
      </c>
      <c r="AW694" s="294">
        <v>1.1399999999999999</v>
      </c>
      <c r="AX694" s="298">
        <v>14.25</v>
      </c>
      <c r="AY694" s="297">
        <v>71.66</v>
      </c>
      <c r="AZ694" s="298" cm="1">
        <f t="array" aca="1" ref="AZ694" ca="1">INDIRECT("'"&amp;$C694&amp;"'!"&amp;"$"&amp;$D694&amp;$AZ$1&amp;"")</f>
        <v>14.29</v>
      </c>
      <c r="BA694" s="296">
        <v>0.98</v>
      </c>
      <c r="BB694" s="294">
        <v>3.55</v>
      </c>
      <c r="BC694" s="299">
        <v>67.900000000000006</v>
      </c>
      <c r="BD694" s="293" cm="1">
        <f t="array" aca="1" ref="BD694" ca="1">INDIRECT("'"&amp;$C694&amp;"'!"&amp;"$"&amp;$D694&amp;$BC$1&amp;"")</f>
        <v>0</v>
      </c>
      <c r="BE694" s="295" t="s">
        <v>1</v>
      </c>
      <c r="BF694" s="294" t="s">
        <v>1</v>
      </c>
      <c r="BG694" s="298" cm="1">
        <f t="array" aca="1" ref="BG694" ca="1">INDIRECT("'"&amp;$C694&amp;"'!"&amp;"$"&amp;$D694&amp;$BG$1&amp;"")</f>
        <v>1.49</v>
      </c>
      <c r="BH694" s="296"/>
      <c r="BI694" s="296">
        <v>0.99</v>
      </c>
      <c r="BJ694" s="294">
        <v>0.24</v>
      </c>
      <c r="BK694" s="299" cm="1">
        <f t="array" aca="1" ref="BK694" ca="1">INDIRECT("'"&amp;$C694&amp;"'!"&amp;"$"&amp;$D694&amp;$BK$1&amp;"")</f>
        <v>0.89</v>
      </c>
      <c r="BL694" s="296"/>
      <c r="BM694" s="296">
        <v>0.96</v>
      </c>
      <c r="BN694" s="294">
        <v>0.25</v>
      </c>
    </row>
    <row r="695" spans="1:66" ht="14.45" thickBot="1">
      <c r="A695" s="360">
        <v>45775</v>
      </c>
      <c r="B695" s="358">
        <v>0.625</v>
      </c>
      <c r="C695" s="313">
        <f t="shared" si="27"/>
        <v>28</v>
      </c>
      <c r="D695" s="314" t="s">
        <v>142</v>
      </c>
      <c r="E695" s="286">
        <v>14.2</v>
      </c>
      <c r="F695" s="287">
        <v>69.16</v>
      </c>
      <c r="G695" s="288" cm="1">
        <f t="array" aca="1" ref="G695" ca="1">INDIRECT("'"&amp;$C695&amp;"'!"&amp;"$"&amp;$D695&amp;$E$1&amp;"")</f>
        <v>6.6</v>
      </c>
      <c r="H695" s="289">
        <v>0.94</v>
      </c>
      <c r="I695" s="287">
        <v>2.34</v>
      </c>
      <c r="J695" s="288" cm="1">
        <f t="array" aca="1" ref="J695" ca="1">INDIRECT("'"&amp;$C695&amp;"'!"&amp;"$"&amp;$D695&amp;$J$1&amp;"")</f>
        <v>6.6</v>
      </c>
      <c r="K695" s="289"/>
      <c r="L695" s="289">
        <v>0.94</v>
      </c>
      <c r="M695" s="287">
        <v>2.34</v>
      </c>
      <c r="N695" s="288" cm="1">
        <f t="array" aca="1" ref="N695" ca="1">INDIRECT("'"&amp;$C695&amp;"'!"&amp;"$"&amp;$D695&amp;$N$1&amp;"")</f>
        <v>6.6</v>
      </c>
      <c r="O695" s="289"/>
      <c r="P695" s="289">
        <v>0.94</v>
      </c>
      <c r="Q695" s="287">
        <v>2.34</v>
      </c>
      <c r="R695" s="288" cm="1">
        <f t="array" aca="1" ref="R695" ca="1">INDIRECT("'"&amp;$C695&amp;"'!"&amp;"$"&amp;$D695&amp;$R$1&amp;"")</f>
        <v>6.6</v>
      </c>
      <c r="S695" s="289"/>
      <c r="T695" s="289">
        <v>0.94</v>
      </c>
      <c r="U695" s="287">
        <v>2.34</v>
      </c>
      <c r="V695" s="288" cm="1">
        <f t="array" aca="1" ref="V695" ca="1">INDIRECT("'"&amp;$C695&amp;"'!"&amp;"$"&amp;$D695&amp;$V$1&amp;"")</f>
        <v>2</v>
      </c>
      <c r="W695" s="289">
        <f>3.8*3.51</f>
        <v>13.337999999999999</v>
      </c>
      <c r="X695" s="289">
        <v>0.93</v>
      </c>
      <c r="Y695" s="290">
        <v>0.91</v>
      </c>
      <c r="Z695" s="286" cm="1">
        <f t="array" aca="1" ref="Z695" ca="1">INDIRECT("'"&amp;$C695&amp;"'!"&amp;"$"&amp;$D695&amp;$Z$1&amp;"")</f>
        <v>0</v>
      </c>
      <c r="AA695" s="289" t="s">
        <v>1</v>
      </c>
      <c r="AB695" s="289" t="s">
        <v>1</v>
      </c>
      <c r="AC695" s="287" t="s">
        <v>1</v>
      </c>
      <c r="AD695" s="288" cm="1">
        <f t="array" aca="1" ref="AD695" ca="1">INDIRECT("'"&amp;$C695&amp;"'!"&amp;"$"&amp;$D695&amp;$AD$1&amp;"")</f>
        <v>3.4</v>
      </c>
      <c r="AE695" s="289">
        <f>3.8*3.51</f>
        <v>13.337999999999999</v>
      </c>
      <c r="AF695" s="289">
        <v>0.92</v>
      </c>
      <c r="AG695" s="290">
        <v>1.51</v>
      </c>
      <c r="AH695" s="286" cm="1">
        <f t="array" aca="1" ref="AH695" ca="1">INDIRECT("'"&amp;$C695&amp;"'!"&amp;"$"&amp;$D695&amp;$AH$1&amp;"")</f>
        <v>3.8</v>
      </c>
      <c r="AI695" s="289">
        <v>13.96</v>
      </c>
      <c r="AJ695" s="289">
        <v>0.96</v>
      </c>
      <c r="AK695" s="287">
        <v>1.07</v>
      </c>
      <c r="AL695" s="286">
        <v>11.9</v>
      </c>
      <c r="AM695" s="290">
        <v>70.3</v>
      </c>
      <c r="AN695" s="286" cm="1">
        <f t="array" aca="1" ref="AN695" ca="1">INDIRECT("'"&amp;$C695&amp;"'!"&amp;"$"&amp;$D695&amp;$AL$1&amp;"")</f>
        <v>4.0999999999999996</v>
      </c>
      <c r="AO695" s="289">
        <v>0.96</v>
      </c>
      <c r="AP695" s="287">
        <v>1.1499999999999999</v>
      </c>
      <c r="AQ695" s="288" cm="1">
        <f t="array" aca="1" ref="AQ695" ca="1">INDIRECT("'"&amp;$C695&amp;"'!"&amp;"$"&amp;$D695&amp;$AQ$1&amp;"")</f>
        <v>4.0999999999999996</v>
      </c>
      <c r="AR695" s="289">
        <v>0.96</v>
      </c>
      <c r="AS695" s="287">
        <v>1.1499999999999999</v>
      </c>
      <c r="AT695" s="289" cm="1">
        <f t="array" aca="1" ref="AT695" ca="1">INDIRECT("'"&amp;$C695&amp;"'!"&amp;"$"&amp;$D695&amp;$AT$1&amp;"")</f>
        <v>0</v>
      </c>
      <c r="AU695" s="288" t="s">
        <v>1</v>
      </c>
      <c r="AV695" s="289" t="s">
        <v>1</v>
      </c>
      <c r="AW695" s="287" t="s">
        <v>1</v>
      </c>
      <c r="AX695" s="291">
        <v>14.14</v>
      </c>
      <c r="AY695" s="290">
        <v>71.17</v>
      </c>
      <c r="AZ695" s="291" cm="1">
        <f t="array" aca="1" ref="AZ695" ca="1">INDIRECT("'"&amp;$C695&amp;"'!"&amp;"$"&amp;$D695&amp;$AZ$1&amp;"")</f>
        <v>14.28</v>
      </c>
      <c r="BA695" s="289">
        <v>0.98</v>
      </c>
      <c r="BB695" s="287">
        <v>3.51</v>
      </c>
      <c r="BC695" s="292">
        <v>67.7</v>
      </c>
      <c r="BD695" s="286" cm="1">
        <f t="array" aca="1" ref="BD695" ca="1">INDIRECT("'"&amp;$C695&amp;"'!"&amp;"$"&amp;$D695&amp;$BC$1&amp;"")</f>
        <v>0</v>
      </c>
      <c r="BE695" s="288" t="s">
        <v>1</v>
      </c>
      <c r="BF695" s="287" t="s">
        <v>1</v>
      </c>
      <c r="BG695" s="291" cm="1">
        <f t="array" aca="1" ref="BG695" ca="1">INDIRECT("'"&amp;$C695&amp;"'!"&amp;"$"&amp;$D695&amp;$BG$1&amp;"")</f>
        <v>1.47</v>
      </c>
      <c r="BH695" s="289"/>
      <c r="BI695" s="289">
        <v>0.99</v>
      </c>
      <c r="BJ695" s="287">
        <v>0.24</v>
      </c>
      <c r="BK695" s="292" cm="1">
        <f t="array" aca="1" ref="BK695" ca="1">INDIRECT("'"&amp;$C695&amp;"'!"&amp;"$"&amp;$D695&amp;$BK$1&amp;"")</f>
        <v>0.88</v>
      </c>
      <c r="BL695" s="289"/>
      <c r="BM695" s="289">
        <v>0.96</v>
      </c>
      <c r="BN695" s="287">
        <v>0.24</v>
      </c>
    </row>
    <row r="696" spans="1:66" ht="14.45" thickBot="1">
      <c r="A696" s="360">
        <v>45775</v>
      </c>
      <c r="B696" s="358">
        <v>0.66666666666666696</v>
      </c>
      <c r="C696" s="313">
        <f t="shared" si="27"/>
        <v>28</v>
      </c>
      <c r="D696" s="314" t="s">
        <v>143</v>
      </c>
      <c r="E696" s="293">
        <v>14.3</v>
      </c>
      <c r="F696" s="294">
        <v>69.16</v>
      </c>
      <c r="G696" s="295" cm="1">
        <f t="array" aca="1" ref="G696" ca="1">INDIRECT("'"&amp;$C696&amp;"'!"&amp;"$"&amp;$D696&amp;$E$1&amp;"")</f>
        <v>6.8</v>
      </c>
      <c r="H696" s="296">
        <v>0.94</v>
      </c>
      <c r="I696" s="294">
        <v>2.41</v>
      </c>
      <c r="J696" s="295" cm="1">
        <f t="array" aca="1" ref="J696" ca="1">INDIRECT("'"&amp;$C696&amp;"'!"&amp;"$"&amp;$D696&amp;$J$1&amp;"")</f>
        <v>6.8</v>
      </c>
      <c r="K696" s="296"/>
      <c r="L696" s="296">
        <v>0.94</v>
      </c>
      <c r="M696" s="294">
        <v>2.41</v>
      </c>
      <c r="N696" s="295" cm="1">
        <f t="array" aca="1" ref="N696" ca="1">INDIRECT("'"&amp;$C696&amp;"'!"&amp;"$"&amp;$D696&amp;$N$1&amp;"")</f>
        <v>6.8</v>
      </c>
      <c r="O696" s="296"/>
      <c r="P696" s="296">
        <v>0.94</v>
      </c>
      <c r="Q696" s="294">
        <v>2.41</v>
      </c>
      <c r="R696" s="295" cm="1">
        <f t="array" aca="1" ref="R696" ca="1">INDIRECT("'"&amp;$C696&amp;"'!"&amp;"$"&amp;$D696&amp;$R$1&amp;"")</f>
        <v>6.8</v>
      </c>
      <c r="S696" s="296"/>
      <c r="T696" s="296">
        <v>0.94</v>
      </c>
      <c r="U696" s="294">
        <v>2.41</v>
      </c>
      <c r="V696" s="295" cm="1">
        <f t="array" aca="1" ref="V696" ca="1">INDIRECT("'"&amp;$C696&amp;"'!"&amp;"$"&amp;$D696&amp;$V$1&amp;"")</f>
        <v>2</v>
      </c>
      <c r="W696" s="296">
        <f>3.8*3.45</f>
        <v>13.11</v>
      </c>
      <c r="X696" s="296">
        <v>0.93</v>
      </c>
      <c r="Y696" s="297">
        <v>0.98</v>
      </c>
      <c r="Z696" s="293" cm="1">
        <f t="array" aca="1" ref="Z696" ca="1">INDIRECT("'"&amp;$C696&amp;"'!"&amp;"$"&amp;$D696&amp;$Z$1&amp;"")</f>
        <v>0</v>
      </c>
      <c r="AA696" s="296" t="s">
        <v>1</v>
      </c>
      <c r="AB696" s="296" t="s">
        <v>1</v>
      </c>
      <c r="AC696" s="294" t="s">
        <v>1</v>
      </c>
      <c r="AD696" s="295" cm="1">
        <f t="array" aca="1" ref="AD696" ca="1">INDIRECT("'"&amp;$C696&amp;"'!"&amp;"$"&amp;$D696&amp;$AD$1&amp;"")</f>
        <v>3</v>
      </c>
      <c r="AE696" s="296">
        <f>3.8*3.45</f>
        <v>13.11</v>
      </c>
      <c r="AF696" s="296">
        <v>0.93</v>
      </c>
      <c r="AG696" s="297">
        <v>1.08</v>
      </c>
      <c r="AH696" s="293" cm="1">
        <f t="array" aca="1" ref="AH696" ca="1">INDIRECT("'"&amp;$C696&amp;"'!"&amp;"$"&amp;$D696&amp;$AH$1&amp;"")</f>
        <v>3</v>
      </c>
      <c r="AI696" s="296">
        <v>13.96</v>
      </c>
      <c r="AJ696" s="296">
        <v>0.96</v>
      </c>
      <c r="AK696" s="294">
        <v>0.81699999999999995</v>
      </c>
      <c r="AL696" s="293">
        <v>11.9</v>
      </c>
      <c r="AM696" s="297">
        <v>70.099999999999994</v>
      </c>
      <c r="AN696" s="293" cm="1">
        <f t="array" aca="1" ref="AN696" ca="1">INDIRECT("'"&amp;$C696&amp;"'!"&amp;"$"&amp;$D696&amp;$AL$1&amp;"")</f>
        <v>3.9</v>
      </c>
      <c r="AO696" s="296">
        <v>0.96</v>
      </c>
      <c r="AP696" s="294">
        <v>1.2</v>
      </c>
      <c r="AQ696" s="295" cm="1">
        <f t="array" aca="1" ref="AQ696" ca="1">INDIRECT("'"&amp;$C696&amp;"'!"&amp;"$"&amp;$D696&amp;$AQ$1&amp;"")</f>
        <v>3.9</v>
      </c>
      <c r="AR696" s="296">
        <v>0.96</v>
      </c>
      <c r="AS696" s="294">
        <v>1.2</v>
      </c>
      <c r="AT696" s="296" cm="1">
        <f t="array" aca="1" ref="AT696" ca="1">INDIRECT("'"&amp;$C696&amp;"'!"&amp;"$"&amp;$D696&amp;$AT$1&amp;"")</f>
        <v>0</v>
      </c>
      <c r="AU696" s="295" t="s">
        <v>1</v>
      </c>
      <c r="AV696" s="296" t="s">
        <v>1</v>
      </c>
      <c r="AW696" s="294" t="s">
        <v>1</v>
      </c>
      <c r="AX696" s="298">
        <v>14.14</v>
      </c>
      <c r="AY696" s="297">
        <v>71.239999999999995</v>
      </c>
      <c r="AZ696" s="298" cm="1">
        <f t="array" aca="1" ref="AZ696" ca="1">INDIRECT("'"&amp;$C696&amp;"'!"&amp;"$"&amp;$D696&amp;$AZ$1&amp;"")</f>
        <v>14.27</v>
      </c>
      <c r="BA696" s="296">
        <v>0.98</v>
      </c>
      <c r="BB696" s="294">
        <v>3.48</v>
      </c>
      <c r="BC696" s="299">
        <v>67.8</v>
      </c>
      <c r="BD696" s="293" cm="1">
        <f t="array" aca="1" ref="BD696" ca="1">INDIRECT("'"&amp;$C696&amp;"'!"&amp;"$"&amp;$D696&amp;$BC$1&amp;"")</f>
        <v>0</v>
      </c>
      <c r="BE696" s="295" t="s">
        <v>1</v>
      </c>
      <c r="BF696" s="294" t="s">
        <v>1</v>
      </c>
      <c r="BG696" s="298" cm="1">
        <f t="array" aca="1" ref="BG696" ca="1">INDIRECT("'"&amp;$C696&amp;"'!"&amp;"$"&amp;$D696&amp;$BG$1&amp;"")</f>
        <v>1.51</v>
      </c>
      <c r="BH696" s="296"/>
      <c r="BI696" s="296">
        <v>0.99</v>
      </c>
      <c r="BJ696" s="294">
        <v>0.21</v>
      </c>
      <c r="BK696" s="299" cm="1">
        <f t="array" aca="1" ref="BK696" ca="1">INDIRECT("'"&amp;$C696&amp;"'!"&amp;"$"&amp;$D696&amp;$BK$1&amp;"")</f>
        <v>0.9</v>
      </c>
      <c r="BL696" s="296"/>
      <c r="BM696" s="296">
        <v>0.96</v>
      </c>
      <c r="BN696" s="294">
        <v>0.26</v>
      </c>
    </row>
    <row r="697" spans="1:66" ht="14.45" thickBot="1">
      <c r="A697" s="360">
        <v>45775</v>
      </c>
      <c r="B697" s="358">
        <v>0.70833333333333404</v>
      </c>
      <c r="C697" s="313">
        <f t="shared" si="27"/>
        <v>28</v>
      </c>
      <c r="D697" s="314" t="s">
        <v>144</v>
      </c>
      <c r="E697" s="286">
        <v>14.3</v>
      </c>
      <c r="F697" s="287">
        <v>69.959999999999994</v>
      </c>
      <c r="G697" s="288" cm="1">
        <f t="array" aca="1" ref="G697" ca="1">INDIRECT("'"&amp;$C697&amp;"'!"&amp;"$"&amp;$D697&amp;$E$1&amp;"")</f>
        <v>6.5</v>
      </c>
      <c r="H697" s="289">
        <v>0.94</v>
      </c>
      <c r="I697" s="287">
        <v>2.29</v>
      </c>
      <c r="J697" s="288" cm="1">
        <f t="array" aca="1" ref="J697" ca="1">INDIRECT("'"&amp;$C697&amp;"'!"&amp;"$"&amp;$D697&amp;$J$1&amp;"")</f>
        <v>6.5</v>
      </c>
      <c r="K697" s="289"/>
      <c r="L697" s="289">
        <v>0.94</v>
      </c>
      <c r="M697" s="287">
        <v>2.29</v>
      </c>
      <c r="N697" s="288" cm="1">
        <f t="array" aca="1" ref="N697" ca="1">INDIRECT("'"&amp;$C697&amp;"'!"&amp;"$"&amp;$D697&amp;$N$1&amp;"")</f>
        <v>6.5</v>
      </c>
      <c r="O697" s="289"/>
      <c r="P697" s="289">
        <v>0.94</v>
      </c>
      <c r="Q697" s="287">
        <v>2.29</v>
      </c>
      <c r="R697" s="288" cm="1">
        <f t="array" aca="1" ref="R697" ca="1">INDIRECT("'"&amp;$C697&amp;"'!"&amp;"$"&amp;$D697&amp;$R$1&amp;"")</f>
        <v>6.5</v>
      </c>
      <c r="S697" s="289"/>
      <c r="T697" s="289">
        <v>0.94</v>
      </c>
      <c r="U697" s="287">
        <v>2.29</v>
      </c>
      <c r="V697" s="288" cm="1">
        <f t="array" aca="1" ref="V697" ca="1">INDIRECT("'"&amp;$C697&amp;"'!"&amp;"$"&amp;$D697&amp;$V$1&amp;"")</f>
        <v>2</v>
      </c>
      <c r="W697" s="289">
        <f>3.8*3.49</f>
        <v>13.262</v>
      </c>
      <c r="X697" s="289">
        <v>0.93</v>
      </c>
      <c r="Y697" s="290">
        <v>0.88</v>
      </c>
      <c r="Z697" s="286" cm="1">
        <f t="array" aca="1" ref="Z697" ca="1">INDIRECT("'"&amp;$C697&amp;"'!"&amp;"$"&amp;$D697&amp;$Z$1&amp;"")</f>
        <v>0</v>
      </c>
      <c r="AA697" s="289" t="s">
        <v>1</v>
      </c>
      <c r="AB697" s="289" t="s">
        <v>1</v>
      </c>
      <c r="AC697" s="287" t="s">
        <v>1</v>
      </c>
      <c r="AD697" s="288" cm="1">
        <f t="array" aca="1" ref="AD697" ca="1">INDIRECT("'"&amp;$C697&amp;"'!"&amp;"$"&amp;$D697&amp;$AD$1&amp;"")</f>
        <v>3</v>
      </c>
      <c r="AE697" s="289">
        <f>3.8*3.49</f>
        <v>13.262</v>
      </c>
      <c r="AF697" s="289">
        <v>0.93</v>
      </c>
      <c r="AG697" s="290">
        <v>1.0900000000000001</v>
      </c>
      <c r="AH697" s="286" cm="1">
        <f t="array" aca="1" ref="AH697" ca="1">INDIRECT("'"&amp;$C697&amp;"'!"&amp;"$"&amp;$D697&amp;$AH$1&amp;"")</f>
        <v>3</v>
      </c>
      <c r="AI697" s="289">
        <v>13.96</v>
      </c>
      <c r="AJ697" s="289">
        <v>0.97</v>
      </c>
      <c r="AK697" s="287">
        <v>0.72499999999999998</v>
      </c>
      <c r="AL697" s="286">
        <v>11.9</v>
      </c>
      <c r="AM697" s="290">
        <v>70.3</v>
      </c>
      <c r="AN697" s="286" cm="1">
        <f t="array" aca="1" ref="AN697" ca="1">INDIRECT("'"&amp;$C697&amp;"'!"&amp;"$"&amp;$D697&amp;$AL$1&amp;"")</f>
        <v>3.5</v>
      </c>
      <c r="AO697" s="289">
        <v>0.96</v>
      </c>
      <c r="AP697" s="287">
        <v>1</v>
      </c>
      <c r="AQ697" s="288" cm="1">
        <f t="array" aca="1" ref="AQ697" ca="1">INDIRECT("'"&amp;$C697&amp;"'!"&amp;"$"&amp;$D697&amp;$AQ$1&amp;"")</f>
        <v>3.5</v>
      </c>
      <c r="AR697" s="289">
        <v>0.96</v>
      </c>
      <c r="AS697" s="287">
        <v>1</v>
      </c>
      <c r="AT697" s="289" cm="1">
        <f t="array" aca="1" ref="AT697" ca="1">INDIRECT("'"&amp;$C697&amp;"'!"&amp;"$"&amp;$D697&amp;$AT$1&amp;"")</f>
        <v>0</v>
      </c>
      <c r="AU697" s="288" t="s">
        <v>1</v>
      </c>
      <c r="AV697" s="289" t="s">
        <v>1</v>
      </c>
      <c r="AW697" s="287" t="s">
        <v>1</v>
      </c>
      <c r="AX697" s="291">
        <v>14.2</v>
      </c>
      <c r="AY697" s="290">
        <v>71.489999999999995</v>
      </c>
      <c r="AZ697" s="291" cm="1">
        <f t="array" aca="1" ref="AZ697" ca="1">INDIRECT("'"&amp;$C697&amp;"'!"&amp;"$"&amp;$D697&amp;$AZ$1&amp;"")</f>
        <v>14.29</v>
      </c>
      <c r="BA697" s="289">
        <v>0.98</v>
      </c>
      <c r="BB697" s="287">
        <v>3.49</v>
      </c>
      <c r="BC697" s="292">
        <v>67.900000000000006</v>
      </c>
      <c r="BD697" s="286" cm="1">
        <f t="array" aca="1" ref="BD697" ca="1">INDIRECT("'"&amp;$C697&amp;"'!"&amp;"$"&amp;$D697&amp;$BC$1&amp;"")</f>
        <v>0</v>
      </c>
      <c r="BE697" s="288" t="s">
        <v>1</v>
      </c>
      <c r="BF697" s="287" t="s">
        <v>1</v>
      </c>
      <c r="BG697" s="291" cm="1">
        <f t="array" aca="1" ref="BG697" ca="1">INDIRECT("'"&amp;$C697&amp;"'!"&amp;"$"&amp;$D697&amp;$BG$1&amp;"")</f>
        <v>1.43</v>
      </c>
      <c r="BH697" s="289"/>
      <c r="BI697" s="289">
        <v>0.99</v>
      </c>
      <c r="BJ697" s="287">
        <v>0.21</v>
      </c>
      <c r="BK697" s="292" cm="1">
        <f t="array" aca="1" ref="BK697" ca="1">INDIRECT("'"&amp;$C697&amp;"'!"&amp;"$"&amp;$D697&amp;$BK$1&amp;"")</f>
        <v>0.88</v>
      </c>
      <c r="BL697" s="289"/>
      <c r="BM697" s="289">
        <v>0.96</v>
      </c>
      <c r="BN697" s="287">
        <v>0.25</v>
      </c>
    </row>
    <row r="698" spans="1:66" ht="14.45" thickBot="1">
      <c r="A698" s="360">
        <v>45775</v>
      </c>
      <c r="B698" s="358">
        <v>0.750000000000001</v>
      </c>
      <c r="C698" s="313">
        <f t="shared" si="27"/>
        <v>28</v>
      </c>
      <c r="D698" s="314" t="s">
        <v>145</v>
      </c>
      <c r="E698" s="293">
        <v>14.3</v>
      </c>
      <c r="F698" s="294">
        <v>69.98</v>
      </c>
      <c r="G698" s="295" cm="1">
        <f t="array" aca="1" ref="G698" ca="1">INDIRECT("'"&amp;$C698&amp;"'!"&amp;"$"&amp;$D698&amp;$E$1&amp;"")</f>
        <v>6.5</v>
      </c>
      <c r="H698" s="296">
        <v>0.95</v>
      </c>
      <c r="I698" s="294">
        <v>2.19</v>
      </c>
      <c r="J698" s="295" cm="1">
        <f t="array" aca="1" ref="J698" ca="1">INDIRECT("'"&amp;$C698&amp;"'!"&amp;"$"&amp;$D698&amp;$J$1&amp;"")</f>
        <v>6.5</v>
      </c>
      <c r="K698" s="296"/>
      <c r="L698" s="296">
        <v>0.95</v>
      </c>
      <c r="M698" s="294">
        <v>2.19</v>
      </c>
      <c r="N698" s="295" cm="1">
        <f t="array" aca="1" ref="N698" ca="1">INDIRECT("'"&amp;$C698&amp;"'!"&amp;"$"&amp;$D698&amp;$N$1&amp;"")</f>
        <v>6.5</v>
      </c>
      <c r="O698" s="296"/>
      <c r="P698" s="296">
        <v>0.95</v>
      </c>
      <c r="Q698" s="294">
        <v>2.19</v>
      </c>
      <c r="R698" s="295" cm="1">
        <f t="array" aca="1" ref="R698" ca="1">INDIRECT("'"&amp;$C698&amp;"'!"&amp;"$"&amp;$D698&amp;$R$1&amp;"")</f>
        <v>6.5</v>
      </c>
      <c r="S698" s="296"/>
      <c r="T698" s="296">
        <v>0.95</v>
      </c>
      <c r="U698" s="294">
        <v>2.19</v>
      </c>
      <c r="V698" s="295" cm="1">
        <f t="array" aca="1" ref="V698" ca="1">INDIRECT("'"&amp;$C698&amp;"'!"&amp;"$"&amp;$D698&amp;$V$1&amp;"")</f>
        <v>2</v>
      </c>
      <c r="W698" s="296">
        <f>3.8*3.566</f>
        <v>13.550799999999999</v>
      </c>
      <c r="X698" s="296">
        <v>0.93</v>
      </c>
      <c r="Y698" s="297">
        <v>0.87</v>
      </c>
      <c r="Z698" s="293" cm="1">
        <f t="array" aca="1" ref="Z698" ca="1">INDIRECT("'"&amp;$C698&amp;"'!"&amp;"$"&amp;$D698&amp;$Z$1&amp;"")</f>
        <v>0</v>
      </c>
      <c r="AA698" s="296" t="s">
        <v>1</v>
      </c>
      <c r="AB698" s="296" t="s">
        <v>1</v>
      </c>
      <c r="AC698" s="294" t="s">
        <v>1</v>
      </c>
      <c r="AD698" s="295" cm="1">
        <f t="array" aca="1" ref="AD698" ca="1">INDIRECT("'"&amp;$C698&amp;"'!"&amp;"$"&amp;$D698&amp;$AD$1&amp;"")</f>
        <v>3</v>
      </c>
      <c r="AE698" s="296">
        <f>3.8*3.566</f>
        <v>13.550799999999999</v>
      </c>
      <c r="AF698" s="296">
        <v>0.93</v>
      </c>
      <c r="AG698" s="297">
        <v>1.1100000000000001</v>
      </c>
      <c r="AH698" s="293" cm="1">
        <f t="array" aca="1" ref="AH698" ca="1">INDIRECT("'"&amp;$C698&amp;"'!"&amp;"$"&amp;$D698&amp;$AH$1&amp;"")</f>
        <v>3</v>
      </c>
      <c r="AI698" s="296">
        <v>14</v>
      </c>
      <c r="AJ698" s="296">
        <v>0.98</v>
      </c>
      <c r="AK698" s="294">
        <v>0.46</v>
      </c>
      <c r="AL698" s="293">
        <v>11.9</v>
      </c>
      <c r="AM698" s="297">
        <v>70.400000000000006</v>
      </c>
      <c r="AN698" s="293" cm="1">
        <f t="array" aca="1" ref="AN698" ca="1">INDIRECT("'"&amp;$C698&amp;"'!"&amp;"$"&amp;$D698&amp;$AL$1&amp;"")</f>
        <v>3</v>
      </c>
      <c r="AO698" s="296">
        <v>0.96</v>
      </c>
      <c r="AP698" s="294">
        <v>0.88</v>
      </c>
      <c r="AQ698" s="295" cm="1">
        <f t="array" aca="1" ref="AQ698" ca="1">INDIRECT("'"&amp;$C698&amp;"'!"&amp;"$"&amp;$D698&amp;$AQ$1&amp;"")</f>
        <v>3</v>
      </c>
      <c r="AR698" s="296">
        <v>0.96</v>
      </c>
      <c r="AS698" s="294">
        <v>0.88</v>
      </c>
      <c r="AT698" s="296" cm="1">
        <f t="array" aca="1" ref="AT698" ca="1">INDIRECT("'"&amp;$C698&amp;"'!"&amp;"$"&amp;$D698&amp;$AT$1&amp;"")</f>
        <v>0</v>
      </c>
      <c r="AU698" s="295" t="s">
        <v>1</v>
      </c>
      <c r="AV698" s="296" t="s">
        <v>1</v>
      </c>
      <c r="AW698" s="294" t="s">
        <v>1</v>
      </c>
      <c r="AX698" s="298">
        <v>14.23</v>
      </c>
      <c r="AY698" s="297">
        <v>71.819999999999993</v>
      </c>
      <c r="AZ698" s="298" cm="1">
        <f t="array" aca="1" ref="AZ698" ca="1">INDIRECT("'"&amp;$C698&amp;"'!"&amp;"$"&amp;$D698&amp;$AZ$1&amp;"")</f>
        <v>12.8</v>
      </c>
      <c r="BA698" s="296">
        <v>0.98</v>
      </c>
      <c r="BB698" s="294">
        <v>3.23</v>
      </c>
      <c r="BC698" s="299">
        <v>68.400000000000006</v>
      </c>
      <c r="BD698" s="293" cm="1">
        <f t="array" aca="1" ref="BD698" ca="1">INDIRECT("'"&amp;$C698&amp;"'!"&amp;"$"&amp;$D698&amp;$BC$1&amp;"")</f>
        <v>0</v>
      </c>
      <c r="BE698" s="295" t="s">
        <v>1</v>
      </c>
      <c r="BF698" s="294" t="s">
        <v>1</v>
      </c>
      <c r="BG698" s="298" cm="1">
        <f t="array" aca="1" ref="BG698" ca="1">INDIRECT("'"&amp;$C698&amp;"'!"&amp;"$"&amp;$D698&amp;$BG$1&amp;"")</f>
        <v>1</v>
      </c>
      <c r="BH698" s="296"/>
      <c r="BI698" s="296">
        <v>0.99</v>
      </c>
      <c r="BJ698" s="294">
        <v>0.09</v>
      </c>
      <c r="BK698" s="299" cm="1">
        <f t="array" aca="1" ref="BK698" ca="1">INDIRECT("'"&amp;$C698&amp;"'!"&amp;"$"&amp;$D698&amp;$BK$1&amp;"")</f>
        <v>0.88</v>
      </c>
      <c r="BL698" s="296"/>
      <c r="BM698" s="296">
        <v>0.96</v>
      </c>
      <c r="BN698" s="294">
        <v>0.25</v>
      </c>
    </row>
    <row r="699" spans="1:66" ht="14.45" thickBot="1">
      <c r="A699" s="360">
        <v>45775</v>
      </c>
      <c r="B699" s="358">
        <v>0.79166666666666663</v>
      </c>
      <c r="C699" s="313">
        <f t="shared" si="27"/>
        <v>28</v>
      </c>
      <c r="D699" s="314" t="s">
        <v>146</v>
      </c>
      <c r="E699" s="286">
        <v>14.3</v>
      </c>
      <c r="F699" s="287">
        <v>69.69</v>
      </c>
      <c r="G699" s="288" cm="1">
        <f t="array" aca="1" ref="G699" ca="1">INDIRECT("'"&amp;$C699&amp;"'!"&amp;"$"&amp;$D699&amp;$E$1&amp;"")</f>
        <v>6.6</v>
      </c>
      <c r="H699" s="289">
        <v>0.96</v>
      </c>
      <c r="I699" s="287">
        <v>1.84</v>
      </c>
      <c r="J699" s="288" cm="1">
        <f t="array" aca="1" ref="J699" ca="1">INDIRECT("'"&amp;$C699&amp;"'!"&amp;"$"&amp;$D699&amp;$J$1&amp;"")</f>
        <v>6.6</v>
      </c>
      <c r="K699" s="300"/>
      <c r="L699" s="289">
        <v>0.96</v>
      </c>
      <c r="M699" s="287">
        <v>1.84</v>
      </c>
      <c r="N699" s="288" cm="1">
        <f t="array" aca="1" ref="N699" ca="1">INDIRECT("'"&amp;$C699&amp;"'!"&amp;"$"&amp;$D699&amp;$N$1&amp;"")</f>
        <v>6.6</v>
      </c>
      <c r="O699" s="289"/>
      <c r="P699" s="289">
        <v>0.96</v>
      </c>
      <c r="Q699" s="287">
        <v>1.84</v>
      </c>
      <c r="R699" s="288" cm="1">
        <f t="array" aca="1" ref="R699" ca="1">INDIRECT("'"&amp;$C699&amp;"'!"&amp;"$"&amp;$D699&amp;$R$1&amp;"")</f>
        <v>6.6</v>
      </c>
      <c r="S699" s="289"/>
      <c r="T699" s="289">
        <v>0.96</v>
      </c>
      <c r="U699" s="287">
        <v>1.84</v>
      </c>
      <c r="V699" s="288" cm="1">
        <f t="array" aca="1" ref="V699" ca="1">INDIRECT("'"&amp;$C699&amp;"'!"&amp;"$"&amp;$D699&amp;$V$1&amp;"")</f>
        <v>2.8</v>
      </c>
      <c r="W699" s="289">
        <f>3.8*3.55</f>
        <v>13.489999999999998</v>
      </c>
      <c r="X699" s="289">
        <v>0.93</v>
      </c>
      <c r="Y699" s="290">
        <v>1.1499999999999999</v>
      </c>
      <c r="Z699" s="286" cm="1">
        <f t="array" aca="1" ref="Z699" ca="1">INDIRECT("'"&amp;$C699&amp;"'!"&amp;"$"&amp;$D699&amp;$Z$1&amp;"")</f>
        <v>0</v>
      </c>
      <c r="AA699" s="289" t="s">
        <v>1</v>
      </c>
      <c r="AB699" s="289" t="s">
        <v>1</v>
      </c>
      <c r="AC699" s="287" t="s">
        <v>1</v>
      </c>
      <c r="AD699" s="288" cm="1">
        <f t="array" aca="1" ref="AD699" ca="1">INDIRECT("'"&amp;$C699&amp;"'!"&amp;"$"&amp;$D699&amp;$AD$1&amp;"")</f>
        <v>3</v>
      </c>
      <c r="AE699" s="289">
        <v>13.49</v>
      </c>
      <c r="AF699" s="289">
        <v>0.93</v>
      </c>
      <c r="AG699" s="290">
        <v>1.1499999999999999</v>
      </c>
      <c r="AH699" s="286" cm="1">
        <f t="array" aca="1" ref="AH699" ca="1">INDIRECT("'"&amp;$C699&amp;"'!"&amp;"$"&amp;$D699&amp;$AH$1&amp;"")</f>
        <v>3</v>
      </c>
      <c r="AI699" s="289">
        <v>14</v>
      </c>
      <c r="AJ699" s="289">
        <v>0.99</v>
      </c>
      <c r="AK699" s="287">
        <v>0.34300000000000003</v>
      </c>
      <c r="AL699" s="286">
        <v>11.9</v>
      </c>
      <c r="AM699" s="290">
        <v>70.7</v>
      </c>
      <c r="AN699" s="286" cm="1">
        <f t="array" aca="1" ref="AN699" ca="1">INDIRECT("'"&amp;$C699&amp;"'!"&amp;"$"&amp;$D699&amp;$AL$1&amp;"")</f>
        <v>3.5</v>
      </c>
      <c r="AO699" s="289">
        <v>0.97</v>
      </c>
      <c r="AP699" s="287">
        <v>0.76</v>
      </c>
      <c r="AQ699" s="288" cm="1">
        <f t="array" aca="1" ref="AQ699" ca="1">INDIRECT("'"&amp;$C699&amp;"'!"&amp;"$"&amp;$D699&amp;$AQ$1&amp;"")</f>
        <v>3.5</v>
      </c>
      <c r="AR699" s="289">
        <v>0.97</v>
      </c>
      <c r="AS699" s="287">
        <v>0.76</v>
      </c>
      <c r="AT699" s="289" cm="1">
        <f t="array" aca="1" ref="AT699" ca="1">INDIRECT("'"&amp;$C699&amp;"'!"&amp;"$"&amp;$D699&amp;$AT$1&amp;"")</f>
        <v>0</v>
      </c>
      <c r="AU699" s="288" t="s">
        <v>1</v>
      </c>
      <c r="AV699" s="289" t="s">
        <v>1</v>
      </c>
      <c r="AW699" s="287" t="s">
        <v>1</v>
      </c>
      <c r="AX699" s="291">
        <v>14.29</v>
      </c>
      <c r="AY699" s="290">
        <v>71.91</v>
      </c>
      <c r="AZ699" s="291" cm="1">
        <f t="array" aca="1" ref="AZ699" ca="1">INDIRECT("'"&amp;$C699&amp;"'!"&amp;"$"&amp;$D699&amp;$AZ$1&amp;"")</f>
        <v>14.29</v>
      </c>
      <c r="BA699" s="289">
        <v>0.98</v>
      </c>
      <c r="BB699" s="287">
        <v>3.56</v>
      </c>
      <c r="BC699" s="292">
        <v>68.400000000000006</v>
      </c>
      <c r="BD699" s="286" cm="1">
        <f t="array" aca="1" ref="BD699" ca="1">INDIRECT("'"&amp;$C699&amp;"'!"&amp;"$"&amp;$D699&amp;$BC$1&amp;"")</f>
        <v>0</v>
      </c>
      <c r="BE699" s="288" t="s">
        <v>1</v>
      </c>
      <c r="BF699" s="287" t="s">
        <v>1</v>
      </c>
      <c r="BG699" s="291" cm="1">
        <f t="array" aca="1" ref="BG699" ca="1">INDIRECT("'"&amp;$C699&amp;"'!"&amp;"$"&amp;$D699&amp;$BG$1&amp;"")</f>
        <v>1.54</v>
      </c>
      <c r="BH699" s="289"/>
      <c r="BI699" s="289">
        <v>0.99</v>
      </c>
      <c r="BJ699" s="287">
        <v>0.22</v>
      </c>
      <c r="BK699" s="292" cm="1">
        <f t="array" aca="1" ref="BK699" ca="1">INDIRECT("'"&amp;$C699&amp;"'!"&amp;"$"&amp;$D699&amp;$BK$1&amp;"")</f>
        <v>0.97</v>
      </c>
      <c r="BL699" s="289"/>
      <c r="BM699" s="289">
        <v>0.96</v>
      </c>
      <c r="BN699" s="287">
        <v>0.26</v>
      </c>
    </row>
    <row r="700" spans="1:66" ht="14.45" thickBot="1">
      <c r="A700" s="360">
        <v>45775</v>
      </c>
      <c r="B700" s="358">
        <v>0.83333333333333337</v>
      </c>
      <c r="C700" s="313">
        <f t="shared" si="27"/>
        <v>28</v>
      </c>
      <c r="D700" s="314" t="s">
        <v>147</v>
      </c>
      <c r="E700" s="293">
        <v>14.2</v>
      </c>
      <c r="F700" s="294">
        <v>69.78</v>
      </c>
      <c r="G700" s="295" cm="1">
        <f t="array" aca="1" ref="G700" ca="1">INDIRECT("'"&amp;$C700&amp;"'!"&amp;"$"&amp;$D700&amp;$E$1&amp;"")</f>
        <v>6.7</v>
      </c>
      <c r="H700" s="296">
        <v>0.96</v>
      </c>
      <c r="I700" s="294">
        <v>1.88</v>
      </c>
      <c r="J700" s="295" cm="1">
        <f t="array" aca="1" ref="J700" ca="1">INDIRECT("'"&amp;$C700&amp;"'!"&amp;"$"&amp;$D700&amp;$J$1&amp;"")</f>
        <v>0</v>
      </c>
      <c r="K700" s="296"/>
      <c r="L700" s="296" t="s">
        <v>1</v>
      </c>
      <c r="M700" s="294" t="s">
        <v>1</v>
      </c>
      <c r="N700" s="295" cm="1">
        <f t="array" aca="1" ref="N700" ca="1">INDIRECT("'"&amp;$C700&amp;"'!"&amp;"$"&amp;$D700&amp;$N$1&amp;"")</f>
        <v>6.7</v>
      </c>
      <c r="O700" s="296"/>
      <c r="P700" s="296">
        <v>0.96</v>
      </c>
      <c r="Q700" s="294">
        <v>1.87</v>
      </c>
      <c r="R700" s="295" cm="1">
        <f t="array" aca="1" ref="R700" ca="1">INDIRECT("'"&amp;$C700&amp;"'!"&amp;"$"&amp;$D700&amp;$R$1&amp;"")</f>
        <v>6.7</v>
      </c>
      <c r="S700" s="296"/>
      <c r="T700" s="296">
        <v>0.96</v>
      </c>
      <c r="U700" s="294">
        <v>1.82</v>
      </c>
      <c r="V700" s="295" cm="1">
        <f t="array" aca="1" ref="V700" ca="1">INDIRECT("'"&amp;$C700&amp;"'!"&amp;"$"&amp;$D700&amp;$V$1&amp;"")</f>
        <v>2.8</v>
      </c>
      <c r="W700" s="296">
        <f>3.8*3.57</f>
        <v>13.565999999999999</v>
      </c>
      <c r="X700" s="296">
        <v>0.96</v>
      </c>
      <c r="Y700" s="297">
        <v>0.74</v>
      </c>
      <c r="Z700" s="293" cm="1">
        <f t="array" aca="1" ref="Z700" ca="1">INDIRECT("'"&amp;$C700&amp;"'!"&amp;"$"&amp;$D700&amp;$Z$1&amp;"")</f>
        <v>0</v>
      </c>
      <c r="AA700" s="296" t="s">
        <v>1</v>
      </c>
      <c r="AB700" s="296" t="s">
        <v>1</v>
      </c>
      <c r="AC700" s="294" t="s">
        <v>1</v>
      </c>
      <c r="AD700" s="295" cm="1">
        <f t="array" aca="1" ref="AD700" ca="1">INDIRECT("'"&amp;$C700&amp;"'!"&amp;"$"&amp;$D700&amp;$AD$1&amp;"")</f>
        <v>3.8</v>
      </c>
      <c r="AE700" s="296">
        <v>13.57</v>
      </c>
      <c r="AF700" s="296">
        <v>0.96</v>
      </c>
      <c r="AG700" s="297">
        <v>1.05</v>
      </c>
      <c r="AH700" s="293" cm="1">
        <f t="array" aca="1" ref="AH700" ca="1">INDIRECT("'"&amp;$C700&amp;"'!"&amp;"$"&amp;$D700&amp;$AH$1&amp;"")</f>
        <v>3.8</v>
      </c>
      <c r="AI700" s="296">
        <v>14.04</v>
      </c>
      <c r="AJ700" s="296">
        <v>0.99</v>
      </c>
      <c r="AK700" s="294">
        <v>0.16</v>
      </c>
      <c r="AL700" s="293">
        <v>11.9</v>
      </c>
      <c r="AM700" s="297">
        <v>7.7</v>
      </c>
      <c r="AN700" s="293" cm="1">
        <f t="array" aca="1" ref="AN700" ca="1">INDIRECT("'"&amp;$C700&amp;"'!"&amp;"$"&amp;$D700&amp;$AL$1&amp;"")</f>
        <v>4.4000000000000004</v>
      </c>
      <c r="AO700" s="296">
        <v>0.98</v>
      </c>
      <c r="AP700" s="294">
        <v>0.81</v>
      </c>
      <c r="AQ700" s="295" cm="1">
        <f t="array" aca="1" ref="AQ700" ca="1">INDIRECT("'"&amp;$C700&amp;"'!"&amp;"$"&amp;$D700&amp;$AQ$1&amp;"")</f>
        <v>4.4000000000000004</v>
      </c>
      <c r="AR700" s="296">
        <v>0.98</v>
      </c>
      <c r="AS700" s="294">
        <v>0.81</v>
      </c>
      <c r="AT700" s="296" cm="1">
        <f t="array" aca="1" ref="AT700" ca="1">INDIRECT("'"&amp;$C700&amp;"'!"&amp;"$"&amp;$D700&amp;$AT$1&amp;"")</f>
        <v>0</v>
      </c>
      <c r="AU700" s="295" t="s">
        <v>1</v>
      </c>
      <c r="AV700" s="296" t="s">
        <v>1</v>
      </c>
      <c r="AW700" s="294" t="s">
        <v>1</v>
      </c>
      <c r="AX700" s="298">
        <v>14.18</v>
      </c>
      <c r="AY700" s="297">
        <v>71.709999999999994</v>
      </c>
      <c r="AZ700" s="298" cm="1">
        <f t="array" aca="1" ref="AZ700" ca="1">INDIRECT("'"&amp;$C700&amp;"'!"&amp;"$"&amp;$D700&amp;$AZ$1&amp;"")</f>
        <v>14.3</v>
      </c>
      <c r="BA700" s="296">
        <v>0.99</v>
      </c>
      <c r="BB700" s="294">
        <v>2.4700000000000002</v>
      </c>
      <c r="BC700" s="299">
        <v>68.8</v>
      </c>
      <c r="BD700" s="293" cm="1">
        <f t="array" aca="1" ref="BD700" ca="1">INDIRECT("'"&amp;$C700&amp;"'!"&amp;"$"&amp;$D700&amp;$BC$1&amp;"")</f>
        <v>1.5</v>
      </c>
      <c r="BE700" s="295">
        <v>0.98</v>
      </c>
      <c r="BF700" s="294">
        <v>0.28999999999999998</v>
      </c>
      <c r="BG700" s="298" cm="1">
        <f t="array" aca="1" ref="BG700" ca="1">INDIRECT("'"&amp;$C700&amp;"'!"&amp;"$"&amp;$D700&amp;$BG$1&amp;"")</f>
        <v>1.49</v>
      </c>
      <c r="BH700" s="296"/>
      <c r="BI700" s="296">
        <v>0.99</v>
      </c>
      <c r="BJ700" s="294">
        <v>0.23</v>
      </c>
      <c r="BK700" s="299" cm="1">
        <f t="array" aca="1" ref="BK700" ca="1">INDIRECT("'"&amp;$C700&amp;"'!"&amp;"$"&amp;$D700&amp;$BK$1&amp;"")</f>
        <v>1</v>
      </c>
      <c r="BL700" s="296"/>
      <c r="BM700" s="296">
        <v>0.97</v>
      </c>
      <c r="BN700" s="294">
        <v>0.26</v>
      </c>
    </row>
    <row r="701" spans="1:66" ht="14.45" thickBot="1">
      <c r="A701" s="360">
        <v>45775</v>
      </c>
      <c r="B701" s="358">
        <v>0.875000000000001</v>
      </c>
      <c r="C701" s="313">
        <f t="shared" si="27"/>
        <v>28</v>
      </c>
      <c r="D701" s="314" t="s">
        <v>148</v>
      </c>
      <c r="E701" s="286">
        <v>14.4</v>
      </c>
      <c r="F701" s="287">
        <v>69.78</v>
      </c>
      <c r="G701" s="288" cm="1">
        <f t="array" aca="1" ref="G701" ca="1">INDIRECT("'"&amp;$C701&amp;"'!"&amp;"$"&amp;$D701&amp;$E$1&amp;"")</f>
        <v>6.5</v>
      </c>
      <c r="H701" s="289">
        <v>0.96</v>
      </c>
      <c r="I701" s="287">
        <v>1.79</v>
      </c>
      <c r="J701" s="288" cm="1">
        <f t="array" aca="1" ref="J701" ca="1">INDIRECT("'"&amp;$C701&amp;"'!"&amp;"$"&amp;$D701&amp;$J$1&amp;"")</f>
        <v>0</v>
      </c>
      <c r="K701" s="289"/>
      <c r="L701" s="289" t="s">
        <v>1</v>
      </c>
      <c r="M701" s="287" t="s">
        <v>1</v>
      </c>
      <c r="N701" s="288" cm="1">
        <f t="array" aca="1" ref="N701" ca="1">INDIRECT("'"&amp;$C701&amp;"'!"&amp;"$"&amp;$D701&amp;$N$1&amp;"")</f>
        <v>6.5</v>
      </c>
      <c r="O701" s="289"/>
      <c r="P701" s="289">
        <v>0.96</v>
      </c>
      <c r="Q701" s="287">
        <v>1.78</v>
      </c>
      <c r="R701" s="288" cm="1">
        <f t="array" aca="1" ref="R701" ca="1">INDIRECT("'"&amp;$C701&amp;"'!"&amp;"$"&amp;$D701&amp;$R$1&amp;"")</f>
        <v>6.6</v>
      </c>
      <c r="S701" s="289"/>
      <c r="T701" s="289">
        <v>0.95</v>
      </c>
      <c r="U701" s="287">
        <v>2.0499999999999998</v>
      </c>
      <c r="V701" s="288" cm="1">
        <f t="array" aca="1" ref="V701" ca="1">INDIRECT("'"&amp;$C701&amp;"'!"&amp;"$"&amp;$D701&amp;$V$1&amp;"")</f>
        <v>2</v>
      </c>
      <c r="W701" s="289">
        <f>3.8*3.56</f>
        <v>13.527999999999999</v>
      </c>
      <c r="X701" s="289">
        <v>0.98</v>
      </c>
      <c r="Y701" s="290">
        <v>0.34</v>
      </c>
      <c r="Z701" s="286" cm="1">
        <f t="array" aca="1" ref="Z701" ca="1">INDIRECT("'"&amp;$C701&amp;"'!"&amp;"$"&amp;$D701&amp;$Z$1&amp;"")</f>
        <v>0</v>
      </c>
      <c r="AA701" s="289" t="s">
        <v>1</v>
      </c>
      <c r="AB701" s="289" t="s">
        <v>1</v>
      </c>
      <c r="AC701" s="287" t="s">
        <v>1</v>
      </c>
      <c r="AD701" s="288" cm="1">
        <f t="array" aca="1" ref="AD701" ca="1">INDIRECT("'"&amp;$C701&amp;"'!"&amp;"$"&amp;$D701&amp;$AD$1&amp;"")</f>
        <v>3</v>
      </c>
      <c r="AE701" s="289">
        <v>13.53</v>
      </c>
      <c r="AF701" s="289">
        <v>0.98</v>
      </c>
      <c r="AG701" s="290">
        <v>0.48</v>
      </c>
      <c r="AH701" s="286" cm="1">
        <f t="array" aca="1" ref="AH701" ca="1">INDIRECT("'"&amp;$C701&amp;"'!"&amp;"$"&amp;$D701&amp;$AH$1&amp;"")</f>
        <v>3</v>
      </c>
      <c r="AI701" s="289">
        <v>14</v>
      </c>
      <c r="AJ701" s="289">
        <v>0.97</v>
      </c>
      <c r="AK701" s="287">
        <v>0.60399999999999998</v>
      </c>
      <c r="AL701" s="286">
        <v>11.9</v>
      </c>
      <c r="AM701" s="290">
        <v>70.599999999999994</v>
      </c>
      <c r="AN701" s="286" cm="1">
        <f t="array" aca="1" ref="AN701" ca="1">INDIRECT("'"&amp;$C701&amp;"'!"&amp;"$"&amp;$D701&amp;$AL$1&amp;"")</f>
        <v>4.3</v>
      </c>
      <c r="AO701" s="289">
        <v>0.98</v>
      </c>
      <c r="AP701" s="287">
        <v>0.75</v>
      </c>
      <c r="AQ701" s="288" cm="1">
        <f t="array" aca="1" ref="AQ701" ca="1">INDIRECT("'"&amp;$C701&amp;"'!"&amp;"$"&amp;$D701&amp;$AQ$1&amp;"")</f>
        <v>4.3</v>
      </c>
      <c r="AR701" s="289">
        <v>0.98</v>
      </c>
      <c r="AS701" s="287">
        <v>0.75</v>
      </c>
      <c r="AT701" s="289" cm="1">
        <f t="array" aca="1" ref="AT701" ca="1">INDIRECT("'"&amp;$C701&amp;"'!"&amp;"$"&amp;$D701&amp;$AT$1&amp;"")</f>
        <v>0</v>
      </c>
      <c r="AU701" s="288" t="s">
        <v>1</v>
      </c>
      <c r="AV701" s="289" t="s">
        <v>1</v>
      </c>
      <c r="AW701" s="287" t="s">
        <v>1</v>
      </c>
      <c r="AX701" s="291">
        <v>14.17</v>
      </c>
      <c r="AY701" s="290">
        <v>71.69</v>
      </c>
      <c r="AZ701" s="291" cm="1">
        <f t="array" aca="1" ref="AZ701" ca="1">INDIRECT("'"&amp;$C701&amp;"'!"&amp;"$"&amp;$D701&amp;$AZ$1&amp;"")</f>
        <v>14.28</v>
      </c>
      <c r="BA701" s="289">
        <v>0.99</v>
      </c>
      <c r="BB701" s="287">
        <v>2.5</v>
      </c>
      <c r="BC701" s="292">
        <v>68.7</v>
      </c>
      <c r="BD701" s="286" cm="1">
        <f t="array" aca="1" ref="BD701" ca="1">INDIRECT("'"&amp;$C701&amp;"'!"&amp;"$"&amp;$D701&amp;$BC$1&amp;"")</f>
        <v>0</v>
      </c>
      <c r="BE701" s="288" t="s">
        <v>1</v>
      </c>
      <c r="BF701" s="287" t="s">
        <v>1</v>
      </c>
      <c r="BG701" s="291" cm="1">
        <f t="array" aca="1" ref="BG701" ca="1">INDIRECT("'"&amp;$C701&amp;"'!"&amp;"$"&amp;$D701&amp;$BG$1&amp;"")</f>
        <v>1.35</v>
      </c>
      <c r="BH701" s="289"/>
      <c r="BI701" s="289">
        <v>0.99</v>
      </c>
      <c r="BJ701" s="287">
        <v>0.21</v>
      </c>
      <c r="BK701" s="292" cm="1">
        <f t="array" aca="1" ref="BK701" ca="1">INDIRECT("'"&amp;$C701&amp;"'!"&amp;"$"&amp;$D701&amp;$BK$1&amp;"")</f>
        <v>1.01</v>
      </c>
      <c r="BL701" s="289"/>
      <c r="BM701" s="289">
        <v>0.97</v>
      </c>
      <c r="BN701" s="287">
        <v>0.25</v>
      </c>
    </row>
    <row r="702" spans="1:66" ht="14.45" thickBot="1">
      <c r="A702" s="360">
        <v>45775</v>
      </c>
      <c r="B702" s="358">
        <v>0.91666666666666696</v>
      </c>
      <c r="C702" s="313">
        <f t="shared" si="27"/>
        <v>28</v>
      </c>
      <c r="D702" s="314" t="s">
        <v>149</v>
      </c>
      <c r="E702" s="293">
        <v>14.2</v>
      </c>
      <c r="F702" s="294">
        <v>70.17</v>
      </c>
      <c r="G702" s="295" cm="1">
        <f t="array" aca="1" ref="G702" ca="1">INDIRECT("'"&amp;$C702&amp;"'!"&amp;"$"&amp;$D702&amp;$E$1&amp;"")</f>
        <v>6.5</v>
      </c>
      <c r="H702" s="296">
        <v>0.97</v>
      </c>
      <c r="I702" s="294">
        <v>1.74</v>
      </c>
      <c r="J702" s="295" cm="1">
        <f t="array" aca="1" ref="J702" ca="1">INDIRECT("'"&amp;$C702&amp;"'!"&amp;"$"&amp;$D702&amp;$J$1&amp;"")</f>
        <v>0</v>
      </c>
      <c r="K702" s="296"/>
      <c r="L702" s="296" t="s">
        <v>1</v>
      </c>
      <c r="M702" s="294" t="s">
        <v>1</v>
      </c>
      <c r="N702" s="295" cm="1">
        <f t="array" aca="1" ref="N702" ca="1">INDIRECT("'"&amp;$C702&amp;"'!"&amp;"$"&amp;$D702&amp;$N$1&amp;"")</f>
        <v>6.5</v>
      </c>
      <c r="O702" s="296"/>
      <c r="P702" s="296">
        <v>0.97</v>
      </c>
      <c r="Q702" s="294">
        <v>1.75</v>
      </c>
      <c r="R702" s="295" cm="1">
        <f t="array" aca="1" ref="R702" ca="1">INDIRECT("'"&amp;$C702&amp;"'!"&amp;"$"&amp;$D702&amp;$R$1&amp;"")</f>
        <v>6.5</v>
      </c>
      <c r="S702" s="296"/>
      <c r="T702" s="296">
        <v>0.97</v>
      </c>
      <c r="U702" s="294">
        <v>1.59</v>
      </c>
      <c r="V702" s="295" cm="1">
        <f t="array" aca="1" ref="V702" ca="1">INDIRECT("'"&amp;$C702&amp;"'!"&amp;"$"&amp;$D702&amp;$V$1&amp;"")</f>
        <v>0</v>
      </c>
      <c r="W702" s="296" t="s">
        <v>1</v>
      </c>
      <c r="X702" s="296" t="s">
        <v>1</v>
      </c>
      <c r="Y702" s="297" t="s">
        <v>1</v>
      </c>
      <c r="Z702" s="293" cm="1">
        <f t="array" aca="1" ref="Z702" ca="1">INDIRECT("'"&amp;$C702&amp;"'!"&amp;"$"&amp;$D702&amp;$Z$1&amp;"")</f>
        <v>0</v>
      </c>
      <c r="AA702" s="296" t="s">
        <v>1</v>
      </c>
      <c r="AB702" s="296" t="s">
        <v>1</v>
      </c>
      <c r="AC702" s="294" t="s">
        <v>1</v>
      </c>
      <c r="AD702" s="295" cm="1">
        <f t="array" aca="1" ref="AD702" ca="1">INDIRECT("'"&amp;$C702&amp;"'!"&amp;"$"&amp;$D702&amp;$AD$1&amp;"")</f>
        <v>3</v>
      </c>
      <c r="AE702" s="296">
        <f>3.8*3.59</f>
        <v>13.641999999999999</v>
      </c>
      <c r="AF702" s="296">
        <v>0.99</v>
      </c>
      <c r="AG702" s="297">
        <v>0.51</v>
      </c>
      <c r="AH702" s="293" cm="1">
        <f t="array" aca="1" ref="AH702" ca="1">INDIRECT("'"&amp;$C702&amp;"'!"&amp;"$"&amp;$D702&amp;$AH$1&amp;"")</f>
        <v>3</v>
      </c>
      <c r="AI702" s="296">
        <v>14.04</v>
      </c>
      <c r="AJ702" s="296">
        <v>0.99</v>
      </c>
      <c r="AK702" s="294">
        <v>0.22500000000000001</v>
      </c>
      <c r="AL702" s="293">
        <v>11.9</v>
      </c>
      <c r="AM702" s="297">
        <v>70.900000000000006</v>
      </c>
      <c r="AN702" s="293" cm="1">
        <f t="array" aca="1" ref="AN702" ca="1">INDIRECT("'"&amp;$C702&amp;"'!"&amp;"$"&amp;$D702&amp;$AL$1&amp;"")</f>
        <v>3.4</v>
      </c>
      <c r="AO702" s="296">
        <v>0.98</v>
      </c>
      <c r="AP702" s="294">
        <v>0.65</v>
      </c>
      <c r="AQ702" s="295" cm="1">
        <f t="array" aca="1" ref="AQ702" ca="1">INDIRECT("'"&amp;$C702&amp;"'!"&amp;"$"&amp;$D702&amp;$AQ$1&amp;"")</f>
        <v>3.4</v>
      </c>
      <c r="AR702" s="296">
        <v>0.98</v>
      </c>
      <c r="AS702" s="294">
        <v>0.55000000000000004</v>
      </c>
      <c r="AT702" s="296" cm="1">
        <f t="array" aca="1" ref="AT702" ca="1">INDIRECT("'"&amp;$C702&amp;"'!"&amp;"$"&amp;$D702&amp;$AT$1&amp;"")</f>
        <v>0</v>
      </c>
      <c r="AU702" s="295" t="s">
        <v>1</v>
      </c>
      <c r="AV702" s="296" t="s">
        <v>1</v>
      </c>
      <c r="AW702" s="294" t="s">
        <v>1</v>
      </c>
      <c r="AX702" s="298">
        <v>14.25</v>
      </c>
      <c r="AY702" s="297">
        <v>72.02</v>
      </c>
      <c r="AZ702" s="298" cm="1">
        <f t="array" aca="1" ref="AZ702" ca="1">INDIRECT("'"&amp;$C702&amp;"'!"&amp;"$"&amp;$D702&amp;$AZ$1&amp;"")</f>
        <v>14.29</v>
      </c>
      <c r="BA702" s="296">
        <v>0.99</v>
      </c>
      <c r="BB702" s="294">
        <v>2.5</v>
      </c>
      <c r="BC702" s="299">
        <v>69.099999999999994</v>
      </c>
      <c r="BD702" s="293" cm="1">
        <f t="array" aca="1" ref="BD702" ca="1">INDIRECT("'"&amp;$C702&amp;"'!"&amp;"$"&amp;$D702&amp;$BC$1&amp;"")</f>
        <v>0</v>
      </c>
      <c r="BE702" s="295" t="s">
        <v>1</v>
      </c>
      <c r="BF702" s="294" t="s">
        <v>1</v>
      </c>
      <c r="BG702" s="298" cm="1">
        <f t="array" aca="1" ref="BG702" ca="1">INDIRECT("'"&amp;$C702&amp;"'!"&amp;"$"&amp;$D702&amp;$BG$1&amp;"")</f>
        <v>1.22</v>
      </c>
      <c r="BH702" s="296"/>
      <c r="BI702" s="296">
        <v>0.99</v>
      </c>
      <c r="BJ702" s="294">
        <v>0.2</v>
      </c>
      <c r="BK702" s="299" cm="1">
        <f t="array" aca="1" ref="BK702" ca="1">INDIRECT("'"&amp;$C702&amp;"'!"&amp;"$"&amp;$D702&amp;$BK$1&amp;"")</f>
        <v>0.93</v>
      </c>
      <c r="BL702" s="296"/>
      <c r="BM702" s="296">
        <v>0.96</v>
      </c>
      <c r="BN702" s="294">
        <v>0.24</v>
      </c>
    </row>
    <row r="703" spans="1:66" ht="14.45" thickBot="1">
      <c r="A703" s="360">
        <v>45775</v>
      </c>
      <c r="B703" s="359">
        <v>0.95833333333333404</v>
      </c>
      <c r="C703" s="315">
        <f t="shared" si="27"/>
        <v>28</v>
      </c>
      <c r="D703" s="316" t="s">
        <v>150</v>
      </c>
      <c r="E703" s="301">
        <v>14.3</v>
      </c>
      <c r="F703" s="302">
        <v>70.45</v>
      </c>
      <c r="G703" s="303" cm="1">
        <f t="array" aca="1" ref="G703" ca="1">INDIRECT("'"&amp;$C703&amp;"'!"&amp;"$"&amp;$D703&amp;$E$1&amp;"")</f>
        <v>0</v>
      </c>
      <c r="H703" s="304" t="s">
        <v>1</v>
      </c>
      <c r="I703" s="302" t="s">
        <v>1</v>
      </c>
      <c r="J703" s="303" cm="1">
        <f t="array" aca="1" ref="J703" ca="1">INDIRECT("'"&amp;$C703&amp;"'!"&amp;"$"&amp;$D703&amp;$J$1&amp;"")</f>
        <v>6.6</v>
      </c>
      <c r="K703" s="304"/>
      <c r="L703" s="304">
        <v>0.98</v>
      </c>
      <c r="M703" s="302">
        <v>1.33</v>
      </c>
      <c r="N703" s="303" cm="1">
        <f t="array" aca="1" ref="N703" ca="1">INDIRECT("'"&amp;$C703&amp;"'!"&amp;"$"&amp;$D703&amp;$N$1&amp;"")</f>
        <v>6.7</v>
      </c>
      <c r="O703" s="304"/>
      <c r="P703" s="304">
        <v>0.98</v>
      </c>
      <c r="Q703" s="302">
        <v>1.26</v>
      </c>
      <c r="R703" s="303" cm="1">
        <f t="array" aca="1" ref="R703" ca="1">INDIRECT("'"&amp;$C703&amp;"'!"&amp;"$"&amp;$D703&amp;$R$1&amp;"")</f>
        <v>6.7</v>
      </c>
      <c r="S703" s="304"/>
      <c r="T703" s="304">
        <v>0.98</v>
      </c>
      <c r="U703" s="302">
        <v>1.27</v>
      </c>
      <c r="V703" s="303" cm="1">
        <f t="array" aca="1" ref="V703" ca="1">INDIRECT("'"&amp;$C703&amp;"'!"&amp;"$"&amp;$D703&amp;$V$1&amp;"")</f>
        <v>0</v>
      </c>
      <c r="W703" s="304" t="s">
        <v>1</v>
      </c>
      <c r="X703" s="304" t="s">
        <v>1</v>
      </c>
      <c r="Y703" s="305" t="s">
        <v>1</v>
      </c>
      <c r="Z703" s="301" cm="1">
        <f t="array" aca="1" ref="Z703" ca="1">INDIRECT("'"&amp;$C703&amp;"'!"&amp;"$"&amp;$D703&amp;$Z$1&amp;"")</f>
        <v>0</v>
      </c>
      <c r="AA703" s="304" t="s">
        <v>1</v>
      </c>
      <c r="AB703" s="304" t="s">
        <v>1</v>
      </c>
      <c r="AC703" s="302" t="s">
        <v>1</v>
      </c>
      <c r="AD703" s="303" cm="1">
        <f t="array" aca="1" ref="AD703" ca="1">INDIRECT("'"&amp;$C703&amp;"'!"&amp;"$"&amp;$D703&amp;$AD$1&amp;"")</f>
        <v>3</v>
      </c>
      <c r="AE703" s="304">
        <f>3.8*3.62</f>
        <v>13.756</v>
      </c>
      <c r="AF703" s="304">
        <v>0.98</v>
      </c>
      <c r="AG703" s="305">
        <v>0.51</v>
      </c>
      <c r="AH703" s="301" cm="1">
        <f t="array" aca="1" ref="AH703" ca="1">INDIRECT("'"&amp;$C703&amp;"'!"&amp;"$"&amp;$D703&amp;$AH$1&amp;"")</f>
        <v>0</v>
      </c>
      <c r="AI703" s="304" t="s">
        <v>1</v>
      </c>
      <c r="AJ703" s="304" t="s">
        <v>1</v>
      </c>
      <c r="AK703" s="302" t="s">
        <v>1</v>
      </c>
      <c r="AL703" s="301">
        <v>11.9</v>
      </c>
      <c r="AM703" s="305">
        <v>70.900000000000006</v>
      </c>
      <c r="AN703" s="301" cm="1">
        <f t="array" aca="1" ref="AN703" ca="1">INDIRECT("'"&amp;$C703&amp;"'!"&amp;"$"&amp;$D703&amp;$AL$1&amp;"")</f>
        <v>3</v>
      </c>
      <c r="AO703" s="304">
        <v>0.98</v>
      </c>
      <c r="AP703" s="302">
        <v>0.4</v>
      </c>
      <c r="AQ703" s="303" cm="1">
        <f t="array" aca="1" ref="AQ703" ca="1">INDIRECT("'"&amp;$C703&amp;"'!"&amp;"$"&amp;$D703&amp;$AQ$1&amp;"")</f>
        <v>3</v>
      </c>
      <c r="AR703" s="304">
        <v>0.98</v>
      </c>
      <c r="AS703" s="302">
        <v>0.4</v>
      </c>
      <c r="AT703" s="304" cm="1">
        <f t="array" aca="1" ref="AT703" ca="1">INDIRECT("'"&amp;$C703&amp;"'!"&amp;"$"&amp;$D703&amp;$AT$1&amp;"")</f>
        <v>0</v>
      </c>
      <c r="AU703" s="303" t="s">
        <v>1</v>
      </c>
      <c r="AV703" s="304" t="s">
        <v>1</v>
      </c>
      <c r="AW703" s="302" t="s">
        <v>1</v>
      </c>
      <c r="AX703" s="306">
        <v>14.26</v>
      </c>
      <c r="AY703" s="305">
        <v>72.17</v>
      </c>
      <c r="AZ703" s="306" cm="1">
        <f t="array" aca="1" ref="AZ703" ca="1">INDIRECT("'"&amp;$C703&amp;"'!"&amp;"$"&amp;$D703&amp;$AZ$1&amp;"")</f>
        <v>14.29</v>
      </c>
      <c r="BA703" s="304">
        <v>0.99</v>
      </c>
      <c r="BB703" s="302">
        <v>2.5</v>
      </c>
      <c r="BC703" s="307">
        <v>69.599999999999994</v>
      </c>
      <c r="BD703" s="301" cm="1">
        <f t="array" aca="1" ref="BD703" ca="1">INDIRECT("'"&amp;$C703&amp;"'!"&amp;"$"&amp;$D703&amp;$BC$1&amp;"")</f>
        <v>0</v>
      </c>
      <c r="BE703" s="303" t="s">
        <v>1</v>
      </c>
      <c r="BF703" s="302" t="s">
        <v>1</v>
      </c>
      <c r="BG703" s="306" cm="1">
        <f t="array" aca="1" ref="BG703" ca="1">INDIRECT("'"&amp;$C703&amp;"'!"&amp;"$"&amp;$D703&amp;$BG$1&amp;"")</f>
        <v>1.1599999999999999</v>
      </c>
      <c r="BH703" s="304"/>
      <c r="BI703" s="304">
        <v>0.98</v>
      </c>
      <c r="BJ703" s="302">
        <v>0.19</v>
      </c>
      <c r="BK703" s="307" cm="1">
        <f t="array" aca="1" ref="BK703" ca="1">INDIRECT("'"&amp;$C703&amp;"'!"&amp;"$"&amp;$D703&amp;$BK$1&amp;"")</f>
        <v>0.89</v>
      </c>
      <c r="BL703" s="304"/>
      <c r="BM703" s="304">
        <v>0.97</v>
      </c>
      <c r="BN703" s="302">
        <v>0.22</v>
      </c>
    </row>
    <row r="704" spans="1:66" ht="14.45" thickBot="1"/>
    <row r="705" spans="1:66" ht="14.45" thickBot="1">
      <c r="A705" s="360">
        <v>45776</v>
      </c>
      <c r="B705" s="357">
        <v>0</v>
      </c>
      <c r="C705" s="310">
        <f>C680+1</f>
        <v>29</v>
      </c>
      <c r="D705" s="311" t="s">
        <v>127</v>
      </c>
      <c r="E705" s="280">
        <v>14.2</v>
      </c>
      <c r="F705" s="281">
        <v>70.290000000000006</v>
      </c>
      <c r="G705" s="282" cm="1">
        <f t="array" aca="1" ref="G705" ca="1">INDIRECT("'"&amp;$C705&amp;"'!"&amp;"$"&amp;$D705&amp;$E$1&amp;"")</f>
        <v>0</v>
      </c>
      <c r="H705" s="283" t="s">
        <v>1</v>
      </c>
      <c r="I705" s="281" t="s">
        <v>1</v>
      </c>
      <c r="J705" s="282" cm="1">
        <f t="array" aca="1" ref="J705" ca="1">INDIRECT("'"&amp;$C705&amp;"'!"&amp;"$"&amp;$D705&amp;$J$1&amp;"")</f>
        <v>6.6</v>
      </c>
      <c r="K705" s="283"/>
      <c r="L705" s="283">
        <v>0.98</v>
      </c>
      <c r="M705" s="281">
        <v>1.28</v>
      </c>
      <c r="N705" s="282" cm="1">
        <f t="array" aca="1" ref="N705" ca="1">INDIRECT("'"&amp;$C705&amp;"'!"&amp;"$"&amp;$D705&amp;$N$1&amp;"")</f>
        <v>6.6</v>
      </c>
      <c r="O705" s="283"/>
      <c r="P705" s="283">
        <v>0.98</v>
      </c>
      <c r="Q705" s="281">
        <v>1.3</v>
      </c>
      <c r="R705" s="282" cm="1">
        <f t="array" aca="1" ref="R705" ca="1">INDIRECT("'"&amp;$C705&amp;"'!"&amp;"$"&amp;$D705&amp;$R$1&amp;"")</f>
        <v>6.6</v>
      </c>
      <c r="S705" s="283"/>
      <c r="T705" s="283">
        <v>0.98</v>
      </c>
      <c r="U705" s="281">
        <v>1.29</v>
      </c>
      <c r="V705" s="282" cm="1">
        <f t="array" aca="1" ref="V705" ca="1">INDIRECT("'"&amp;$C705&amp;"'!"&amp;"$"&amp;$D705&amp;$V$1&amp;"")</f>
        <v>0</v>
      </c>
      <c r="W705" s="283" t="s">
        <v>1</v>
      </c>
      <c r="X705" s="283" t="s">
        <v>1</v>
      </c>
      <c r="Y705" s="284" t="s">
        <v>1</v>
      </c>
      <c r="Z705" s="280" cm="1">
        <f t="array" aca="1" ref="Z705" ca="1">INDIRECT("'"&amp;$C705&amp;"'!"&amp;"$"&amp;$D705&amp;$Z$1&amp;"")</f>
        <v>0</v>
      </c>
      <c r="AA705" s="283" t="s">
        <v>1</v>
      </c>
      <c r="AB705" s="283" t="s">
        <v>1</v>
      </c>
      <c r="AC705" s="281" t="s">
        <v>1</v>
      </c>
      <c r="AD705" s="282" cm="1">
        <f t="array" aca="1" ref="AD705" ca="1">INDIRECT("'"&amp;$C705&amp;"'!"&amp;"$"&amp;$D705&amp;$AD$1&amp;"")</f>
        <v>0</v>
      </c>
      <c r="AE705" s="283" t="s">
        <v>1</v>
      </c>
      <c r="AF705" s="283" t="s">
        <v>1</v>
      </c>
      <c r="AG705" s="281" t="s">
        <v>1</v>
      </c>
      <c r="AH705" s="280" cm="1">
        <f t="array" aca="1" ref="AH705" ca="1">INDIRECT("'"&amp;$C705&amp;"'!"&amp;"$"&amp;$D705&amp;$AH$1&amp;"")</f>
        <v>0</v>
      </c>
      <c r="AI705" s="283" t="s">
        <v>1</v>
      </c>
      <c r="AJ705" s="283" t="s">
        <v>1</v>
      </c>
      <c r="AK705" s="281" t="s">
        <v>1</v>
      </c>
      <c r="AL705" s="280">
        <v>11.9</v>
      </c>
      <c r="AM705" s="284">
        <v>70.8</v>
      </c>
      <c r="AN705" s="280" cm="1">
        <f t="array" aca="1" ref="AN705" ca="1">INDIRECT("'"&amp;$C705&amp;"'!"&amp;"$"&amp;$D705&amp;$AL$1&amp;"")</f>
        <v>3</v>
      </c>
      <c r="AO705" s="283">
        <v>0.99</v>
      </c>
      <c r="AP705" s="281">
        <v>0.33</v>
      </c>
      <c r="AQ705" s="282" cm="1">
        <f t="array" aca="1" ref="AQ705" ca="1">INDIRECT("'"&amp;$C705&amp;"'!"&amp;"$"&amp;$D705&amp;$AQ$1&amp;"")</f>
        <v>3</v>
      </c>
      <c r="AR705" s="283">
        <v>0.99</v>
      </c>
      <c r="AS705" s="281">
        <v>0.33</v>
      </c>
      <c r="AT705" s="283" cm="1">
        <f t="array" aca="1" ref="AT705" ca="1">INDIRECT("'"&amp;$C705&amp;"'!"&amp;"$"&amp;$D705&amp;$AT$1&amp;"")</f>
        <v>0</v>
      </c>
      <c r="AU705" s="282" t="s">
        <v>1</v>
      </c>
      <c r="AV705" s="283" t="s">
        <v>1</v>
      </c>
      <c r="AW705" s="281" t="s">
        <v>1</v>
      </c>
      <c r="AX705" s="285">
        <v>14.22</v>
      </c>
      <c r="AY705" s="284">
        <v>72.02</v>
      </c>
      <c r="AZ705" s="285" cm="1">
        <f t="array" aca="1" ref="AZ705" ca="1">INDIRECT("'"&amp;$C705&amp;"'!"&amp;"$"&amp;$D705&amp;$AZ$1&amp;"")</f>
        <v>14.26</v>
      </c>
      <c r="BA705" s="283">
        <v>0.99</v>
      </c>
      <c r="BB705" s="281">
        <v>2.5</v>
      </c>
      <c r="BC705" s="281">
        <v>69.2</v>
      </c>
      <c r="BD705" s="280" cm="1">
        <f t="array" aca="1" ref="BD705" ca="1">INDIRECT("'"&amp;$C705&amp;"'!"&amp;"$"&amp;$D705&amp;$BC$1&amp;"")</f>
        <v>0</v>
      </c>
      <c r="BE705" s="282" t="s">
        <v>1</v>
      </c>
      <c r="BF705" s="281" t="s">
        <v>1</v>
      </c>
      <c r="BG705" s="285" cm="1">
        <f t="array" aca="1" ref="BG705" ca="1">INDIRECT("'"&amp;$C705&amp;"'!"&amp;"$"&amp;$D705&amp;$BG$1&amp;"")</f>
        <v>1.04</v>
      </c>
      <c r="BH705" s="283"/>
      <c r="BI705" s="283">
        <v>0.99</v>
      </c>
      <c r="BJ705" s="281">
        <v>0.18</v>
      </c>
      <c r="BK705" s="285" cm="1">
        <f t="array" aca="1" ref="BK705" ca="1">INDIRECT("'"&amp;$C705&amp;"'!"&amp;"$"&amp;$D705&amp;$BK$1&amp;"")</f>
        <v>0.84</v>
      </c>
      <c r="BL705" s="283"/>
      <c r="BM705" s="283">
        <v>0.96</v>
      </c>
      <c r="BN705" s="281">
        <v>0.21</v>
      </c>
    </row>
    <row r="706" spans="1:66" ht="14.45" thickBot="1">
      <c r="A706" s="360">
        <v>45776</v>
      </c>
      <c r="B706" s="358">
        <v>4.1666666666666699E-2</v>
      </c>
      <c r="C706" s="313">
        <f t="shared" ref="C706:C728" si="28">C681+1</f>
        <v>29</v>
      </c>
      <c r="D706" s="314" t="s">
        <v>128</v>
      </c>
      <c r="E706" s="286">
        <v>14.3</v>
      </c>
      <c r="F706" s="287">
        <v>70.7</v>
      </c>
      <c r="G706" s="288" cm="1">
        <f t="array" aca="1" ref="G706" ca="1">INDIRECT("'"&amp;$C706&amp;"'!"&amp;"$"&amp;$D706&amp;$E$1&amp;"")</f>
        <v>0</v>
      </c>
      <c r="H706" s="289" t="s">
        <v>1</v>
      </c>
      <c r="I706" s="287" t="s">
        <v>1</v>
      </c>
      <c r="J706" s="288" cm="1">
        <f t="array" aca="1" ref="J706" ca="1">INDIRECT("'"&amp;$C706&amp;"'!"&amp;"$"&amp;$D706&amp;$J$1&amp;"")</f>
        <v>6.5</v>
      </c>
      <c r="K706" s="289"/>
      <c r="L706" s="289">
        <v>0.98</v>
      </c>
      <c r="M706" s="287">
        <v>1.21</v>
      </c>
      <c r="N706" s="288" cm="1">
        <f t="array" aca="1" ref="N706" ca="1">INDIRECT("'"&amp;$C706&amp;"'!"&amp;"$"&amp;$D706&amp;$N$1&amp;"")</f>
        <v>6.7</v>
      </c>
      <c r="O706" s="289"/>
      <c r="P706" s="289">
        <v>0.98</v>
      </c>
      <c r="Q706" s="287">
        <v>1.24</v>
      </c>
      <c r="R706" s="288" cm="1">
        <f t="array" aca="1" ref="R706" ca="1">INDIRECT("'"&amp;$C706&amp;"'!"&amp;"$"&amp;$D706&amp;$R$1&amp;"")</f>
        <v>6.7</v>
      </c>
      <c r="S706" s="289"/>
      <c r="T706" s="289">
        <v>0.98</v>
      </c>
      <c r="U706" s="287">
        <v>1.24</v>
      </c>
      <c r="V706" s="288" cm="1">
        <f t="array" aca="1" ref="V706" ca="1">INDIRECT("'"&amp;$C706&amp;"'!"&amp;"$"&amp;$D706&amp;$V$1&amp;"")</f>
        <v>0</v>
      </c>
      <c r="W706" s="289" t="s">
        <v>1</v>
      </c>
      <c r="X706" s="289" t="s">
        <v>1</v>
      </c>
      <c r="Y706" s="290" t="s">
        <v>1</v>
      </c>
      <c r="Z706" s="286" cm="1">
        <f t="array" aca="1" ref="Z706" ca="1">INDIRECT("'"&amp;$C706&amp;"'!"&amp;"$"&amp;$D706&amp;$Z$1&amp;"")</f>
        <v>0</v>
      </c>
      <c r="AA706" s="289" t="s">
        <v>1</v>
      </c>
      <c r="AB706" s="289" t="s">
        <v>1</v>
      </c>
      <c r="AC706" s="287" t="s">
        <v>1</v>
      </c>
      <c r="AD706" s="288" cm="1">
        <f t="array" aca="1" ref="AD706" ca="1">INDIRECT("'"&amp;$C706&amp;"'!"&amp;"$"&amp;$D706&amp;$AD$1&amp;"")</f>
        <v>0</v>
      </c>
      <c r="AE706" s="289" t="s">
        <v>1</v>
      </c>
      <c r="AF706" s="289" t="s">
        <v>1</v>
      </c>
      <c r="AG706" s="290" t="s">
        <v>1</v>
      </c>
      <c r="AH706" s="286" cm="1">
        <f t="array" aca="1" ref="AH706" ca="1">INDIRECT("'"&amp;$C706&amp;"'!"&amp;"$"&amp;$D706&amp;$AH$1&amp;"")</f>
        <v>0</v>
      </c>
      <c r="AI706" s="289" t="s">
        <v>1</v>
      </c>
      <c r="AJ706" s="289" t="s">
        <v>1</v>
      </c>
      <c r="AK706" s="287" t="s">
        <v>1</v>
      </c>
      <c r="AL706" s="286">
        <v>11.9</v>
      </c>
      <c r="AM706" s="290">
        <v>71</v>
      </c>
      <c r="AN706" s="286" cm="1">
        <f t="array" aca="1" ref="AN706" ca="1">INDIRECT("'"&amp;$C706&amp;"'!"&amp;"$"&amp;$D706&amp;$AL$1&amp;"")</f>
        <v>2.5</v>
      </c>
      <c r="AO706" s="289">
        <v>0.99</v>
      </c>
      <c r="AP706" s="287">
        <v>0.15</v>
      </c>
      <c r="AQ706" s="288" cm="1">
        <f t="array" aca="1" ref="AQ706" ca="1">INDIRECT("'"&amp;$C706&amp;"'!"&amp;"$"&amp;$D706&amp;$AQ$1&amp;"")</f>
        <v>2.5</v>
      </c>
      <c r="AR706" s="289">
        <v>0.99</v>
      </c>
      <c r="AS706" s="287">
        <v>0.15</v>
      </c>
      <c r="AT706" s="289" cm="1">
        <f t="array" aca="1" ref="AT706" ca="1">INDIRECT("'"&amp;$C706&amp;"'!"&amp;"$"&amp;$D706&amp;$AT$1&amp;"")</f>
        <v>0</v>
      </c>
      <c r="AU706" s="288" t="s">
        <v>1</v>
      </c>
      <c r="AV706" s="289" t="s">
        <v>1</v>
      </c>
      <c r="AW706" s="287" t="s">
        <v>1</v>
      </c>
      <c r="AX706" s="291">
        <v>14.26</v>
      </c>
      <c r="AY706" s="290">
        <v>72.16</v>
      </c>
      <c r="AZ706" s="291" cm="1">
        <f t="array" aca="1" ref="AZ706" ca="1">INDIRECT("'"&amp;$C706&amp;"'!"&amp;"$"&amp;$D706&amp;$AZ$1&amp;"")</f>
        <v>12.74</v>
      </c>
      <c r="BA706" s="289">
        <v>0.99</v>
      </c>
      <c r="BB706" s="287">
        <v>2.2999999999999998</v>
      </c>
      <c r="BC706" s="292">
        <v>69.7</v>
      </c>
      <c r="BD706" s="286" cm="1">
        <f t="array" aca="1" ref="BD706" ca="1">INDIRECT("'"&amp;$C706&amp;"'!"&amp;"$"&amp;$D706&amp;$BC$1&amp;"")</f>
        <v>0</v>
      </c>
      <c r="BE706" s="288" t="s">
        <v>1</v>
      </c>
      <c r="BF706" s="287" t="s">
        <v>1</v>
      </c>
      <c r="BG706" s="291" cm="1">
        <f t="array" aca="1" ref="BG706" ca="1">INDIRECT("'"&amp;$C706&amp;"'!"&amp;"$"&amp;$D706&amp;$BG$1&amp;"")</f>
        <v>0.98</v>
      </c>
      <c r="BH706" s="289"/>
      <c r="BI706" s="289">
        <v>0.99</v>
      </c>
      <c r="BJ706" s="287">
        <v>0.16</v>
      </c>
      <c r="BK706" s="291" cm="1">
        <f t="array" aca="1" ref="BK706" ca="1">INDIRECT("'"&amp;$C706&amp;"'!"&amp;"$"&amp;$D706&amp;$BK$1&amp;"")</f>
        <v>0.8</v>
      </c>
      <c r="BL706" s="289"/>
      <c r="BM706" s="289">
        <v>0.96</v>
      </c>
      <c r="BN706" s="287">
        <v>0.21</v>
      </c>
    </row>
    <row r="707" spans="1:66" ht="14.45" thickBot="1">
      <c r="A707" s="360">
        <v>45776</v>
      </c>
      <c r="B707" s="358">
        <v>8.3333333333333301E-2</v>
      </c>
      <c r="C707" s="313">
        <f t="shared" si="28"/>
        <v>29</v>
      </c>
      <c r="D707" s="314" t="s">
        <v>129</v>
      </c>
      <c r="E707" s="293">
        <v>14.2</v>
      </c>
      <c r="F707" s="294">
        <v>70.58</v>
      </c>
      <c r="G707" s="295" cm="1">
        <f t="array" aca="1" ref="G707" ca="1">INDIRECT("'"&amp;$C707&amp;"'!"&amp;"$"&amp;$D707&amp;$E$1&amp;"")</f>
        <v>0</v>
      </c>
      <c r="H707" s="296" t="s">
        <v>1</v>
      </c>
      <c r="I707" s="294" t="s">
        <v>1</v>
      </c>
      <c r="J707" s="295" cm="1">
        <f t="array" aca="1" ref="J707" ca="1">INDIRECT("'"&amp;$C707&amp;"'!"&amp;"$"&amp;$D707&amp;$J$1&amp;"")</f>
        <v>6.6</v>
      </c>
      <c r="K707" s="296"/>
      <c r="L707" s="296">
        <v>0.98</v>
      </c>
      <c r="M707" s="294">
        <v>1.28</v>
      </c>
      <c r="N707" s="295" cm="1">
        <f t="array" aca="1" ref="N707" ca="1">INDIRECT("'"&amp;$C707&amp;"'!"&amp;"$"&amp;$D707&amp;$N$1&amp;"")</f>
        <v>0</v>
      </c>
      <c r="O707" s="296"/>
      <c r="P707" s="296" t="s">
        <v>1</v>
      </c>
      <c r="Q707" s="294" t="s">
        <v>1</v>
      </c>
      <c r="R707" s="295" cm="1">
        <f t="array" aca="1" ref="R707" ca="1">INDIRECT("'"&amp;$C707&amp;"'!"&amp;"$"&amp;$D707&amp;$R$1&amp;"")</f>
        <v>6.7</v>
      </c>
      <c r="S707" s="296"/>
      <c r="T707" s="296">
        <v>0.94</v>
      </c>
      <c r="U707" s="294">
        <v>2.42</v>
      </c>
      <c r="V707" s="295" cm="1">
        <f t="array" aca="1" ref="V707" ca="1">INDIRECT("'"&amp;$C707&amp;"'!"&amp;"$"&amp;$D707&amp;$V$1&amp;"")</f>
        <v>0</v>
      </c>
      <c r="W707" s="296" t="s">
        <v>1</v>
      </c>
      <c r="X707" s="296" t="s">
        <v>1</v>
      </c>
      <c r="Y707" s="297" t="s">
        <v>1</v>
      </c>
      <c r="Z707" s="293" cm="1">
        <f t="array" aca="1" ref="Z707" ca="1">INDIRECT("'"&amp;$C707&amp;"'!"&amp;"$"&amp;$D707&amp;$Z$1&amp;"")</f>
        <v>0</v>
      </c>
      <c r="AA707" s="296" t="s">
        <v>1</v>
      </c>
      <c r="AB707" s="296" t="s">
        <v>1</v>
      </c>
      <c r="AC707" s="294" t="s">
        <v>1</v>
      </c>
      <c r="AD707" s="295" cm="1">
        <f t="array" aca="1" ref="AD707" ca="1">INDIRECT("'"&amp;$C707&amp;"'!"&amp;"$"&amp;$D707&amp;$AD$1&amp;"")</f>
        <v>0</v>
      </c>
      <c r="AE707" s="296" t="s">
        <v>1</v>
      </c>
      <c r="AF707" s="296" t="s">
        <v>1</v>
      </c>
      <c r="AG707" s="297" t="s">
        <v>1</v>
      </c>
      <c r="AH707" s="293" cm="1">
        <f t="array" aca="1" ref="AH707" ca="1">INDIRECT("'"&amp;$C707&amp;"'!"&amp;"$"&amp;$D707&amp;$AH$1&amp;"")</f>
        <v>0</v>
      </c>
      <c r="AI707" s="296" t="s">
        <v>1</v>
      </c>
      <c r="AJ707" s="296" t="s">
        <v>1</v>
      </c>
      <c r="AK707" s="297" t="s">
        <v>1</v>
      </c>
      <c r="AL707" s="293">
        <v>11.9</v>
      </c>
      <c r="AM707" s="297">
        <v>71.099999999999994</v>
      </c>
      <c r="AN707" s="293" cm="1">
        <f t="array" aca="1" ref="AN707" ca="1">INDIRECT("'"&amp;$C707&amp;"'!"&amp;"$"&amp;$D707&amp;$AL$1&amp;"")</f>
        <v>4.4000000000000004</v>
      </c>
      <c r="AO707" s="296">
        <v>1</v>
      </c>
      <c r="AP707" s="294">
        <v>0.13</v>
      </c>
      <c r="AQ707" s="295" cm="1">
        <f t="array" aca="1" ref="AQ707" ca="1">INDIRECT("'"&amp;$C707&amp;"'!"&amp;"$"&amp;$D707&amp;$AQ$1&amp;"")</f>
        <v>4.4000000000000004</v>
      </c>
      <c r="AR707" s="296">
        <v>1</v>
      </c>
      <c r="AS707" s="294">
        <v>0.1</v>
      </c>
      <c r="AT707" s="296" cm="1">
        <f t="array" aca="1" ref="AT707" ca="1">INDIRECT("'"&amp;$C707&amp;"'!"&amp;"$"&amp;$D707&amp;$AT$1&amp;"")</f>
        <v>0</v>
      </c>
      <c r="AU707" s="295" t="s">
        <v>1</v>
      </c>
      <c r="AV707" s="296" t="s">
        <v>1</v>
      </c>
      <c r="AW707" s="294" t="s">
        <v>1</v>
      </c>
      <c r="AX707" s="298">
        <v>14.13</v>
      </c>
      <c r="AY707" s="297">
        <v>71.900000000000006</v>
      </c>
      <c r="AZ707" s="298" cm="1">
        <f t="array" aca="1" ref="AZ707" ca="1">INDIRECT("'"&amp;$C707&amp;"'!"&amp;"$"&amp;$D707&amp;$AZ$1&amp;"")</f>
        <v>14.28</v>
      </c>
      <c r="BA707" s="296">
        <v>1</v>
      </c>
      <c r="BB707" s="294">
        <v>1.5</v>
      </c>
      <c r="BC707" s="299">
        <v>69.5</v>
      </c>
      <c r="BD707" s="293" cm="1">
        <f t="array" aca="1" ref="BD707" ca="1">INDIRECT("'"&amp;$C707&amp;"'!"&amp;"$"&amp;$D707&amp;$BC$1&amp;"")</f>
        <v>0.8</v>
      </c>
      <c r="BE707" s="295">
        <v>0.99</v>
      </c>
      <c r="BF707" s="294">
        <v>0.11</v>
      </c>
      <c r="BG707" s="298" cm="1">
        <f t="array" aca="1" ref="BG707" ca="1">INDIRECT("'"&amp;$C707&amp;"'!"&amp;"$"&amp;$D707&amp;$BG$1&amp;"")</f>
        <v>0.93</v>
      </c>
      <c r="BH707" s="296"/>
      <c r="BI707" s="296">
        <v>0.99</v>
      </c>
      <c r="BJ707" s="294">
        <v>0.16</v>
      </c>
      <c r="BK707" s="298" cm="1">
        <f t="array" aca="1" ref="BK707" ca="1">INDIRECT("'"&amp;$C707&amp;"'!"&amp;"$"&amp;$D707&amp;$BK$1&amp;"")</f>
        <v>0.78</v>
      </c>
      <c r="BL707" s="296"/>
      <c r="BM707" s="296">
        <v>0.96</v>
      </c>
      <c r="BN707" s="294">
        <v>0.21</v>
      </c>
    </row>
    <row r="708" spans="1:66" ht="14.45" thickBot="1">
      <c r="A708" s="360">
        <v>45776</v>
      </c>
      <c r="B708" s="358">
        <v>0.125</v>
      </c>
      <c r="C708" s="313">
        <f t="shared" si="28"/>
        <v>29</v>
      </c>
      <c r="D708" s="314" t="s">
        <v>130</v>
      </c>
      <c r="E708" s="286">
        <v>14.2</v>
      </c>
      <c r="F708" s="287">
        <v>70.37</v>
      </c>
      <c r="G708" s="288" cm="1">
        <f t="array" aca="1" ref="G708" ca="1">INDIRECT("'"&amp;$C708&amp;"'!"&amp;"$"&amp;$D708&amp;$E$1&amp;"")</f>
        <v>0</v>
      </c>
      <c r="H708" s="289" t="s">
        <v>1</v>
      </c>
      <c r="I708" s="287" t="s">
        <v>1</v>
      </c>
      <c r="J708" s="288" cm="1">
        <f t="array" aca="1" ref="J708" ca="1">INDIRECT("'"&amp;$C708&amp;"'!"&amp;"$"&amp;$D708&amp;$J$1&amp;"")</f>
        <v>6.7</v>
      </c>
      <c r="K708" s="289"/>
      <c r="L708" s="289">
        <v>0.98</v>
      </c>
      <c r="M708" s="287">
        <v>1.33</v>
      </c>
      <c r="N708" s="288" cm="1">
        <f t="array" aca="1" ref="N708" ca="1">INDIRECT("'"&amp;$C708&amp;"'!"&amp;"$"&amp;$D708&amp;$N$1&amp;"")</f>
        <v>0</v>
      </c>
      <c r="O708" s="289"/>
      <c r="P708" s="289" t="s">
        <v>1</v>
      </c>
      <c r="Q708" s="287" t="s">
        <v>1</v>
      </c>
      <c r="R708" s="288" cm="1">
        <f t="array" aca="1" ref="R708" ca="1">INDIRECT("'"&amp;$C708&amp;"'!"&amp;"$"&amp;$D708&amp;$R$1&amp;"")</f>
        <v>6.7</v>
      </c>
      <c r="S708" s="289"/>
      <c r="T708" s="289">
        <v>0.98</v>
      </c>
      <c r="U708" s="287">
        <v>1.33</v>
      </c>
      <c r="V708" s="288" cm="1">
        <f t="array" aca="1" ref="V708" ca="1">INDIRECT("'"&amp;$C708&amp;"'!"&amp;"$"&amp;$D708&amp;$V$1&amp;"")</f>
        <v>0</v>
      </c>
      <c r="W708" s="289" t="s">
        <v>1</v>
      </c>
      <c r="X708" s="289" t="s">
        <v>1</v>
      </c>
      <c r="Y708" s="290" t="s">
        <v>1</v>
      </c>
      <c r="Z708" s="286" cm="1">
        <f t="array" aca="1" ref="Z708" ca="1">INDIRECT("'"&amp;$C708&amp;"'!"&amp;"$"&amp;$D708&amp;$Z$1&amp;"")</f>
        <v>0</v>
      </c>
      <c r="AA708" s="289" t="s">
        <v>1</v>
      </c>
      <c r="AB708" s="289" t="s">
        <v>1</v>
      </c>
      <c r="AC708" s="287" t="s">
        <v>1</v>
      </c>
      <c r="AD708" s="288" cm="1">
        <f t="array" aca="1" ref="AD708" ca="1">INDIRECT("'"&amp;$C708&amp;"'!"&amp;"$"&amp;$D708&amp;$AD$1&amp;"")</f>
        <v>0</v>
      </c>
      <c r="AE708" s="289" t="s">
        <v>1</v>
      </c>
      <c r="AF708" s="289" t="s">
        <v>1</v>
      </c>
      <c r="AG708" s="287" t="s">
        <v>1</v>
      </c>
      <c r="AH708" s="286" cm="1">
        <f t="array" aca="1" ref="AH708" ca="1">INDIRECT("'"&amp;$C708&amp;"'!"&amp;"$"&amp;$D708&amp;$AH$1&amp;"")</f>
        <v>0</v>
      </c>
      <c r="AI708" s="289" t="s">
        <v>1</v>
      </c>
      <c r="AJ708" s="289" t="s">
        <v>1</v>
      </c>
      <c r="AK708" s="287" t="s">
        <v>1</v>
      </c>
      <c r="AL708" s="286">
        <v>11.8</v>
      </c>
      <c r="AM708" s="290">
        <v>70.8</v>
      </c>
      <c r="AN708" s="286" cm="1">
        <f t="array" aca="1" ref="AN708" ca="1">INDIRECT("'"&amp;$C708&amp;"'!"&amp;"$"&amp;$D708&amp;$AL$1&amp;"")</f>
        <v>3.8</v>
      </c>
      <c r="AO708" s="289">
        <v>1</v>
      </c>
      <c r="AP708" s="287">
        <v>0.3</v>
      </c>
      <c r="AQ708" s="288" cm="1">
        <f t="array" aca="1" ref="AQ708" ca="1">INDIRECT("'"&amp;$C708&amp;"'!"&amp;"$"&amp;$D708&amp;$AQ$1&amp;"")</f>
        <v>3.8</v>
      </c>
      <c r="AR708" s="289">
        <v>1</v>
      </c>
      <c r="AS708" s="287">
        <v>0.3</v>
      </c>
      <c r="AT708" s="289" cm="1">
        <f t="array" aca="1" ref="AT708" ca="1">INDIRECT("'"&amp;$C708&amp;"'!"&amp;"$"&amp;$D708&amp;$AT$1&amp;"")</f>
        <v>0</v>
      </c>
      <c r="AU708" s="288" t="s">
        <v>1</v>
      </c>
      <c r="AV708" s="289" t="s">
        <v>1</v>
      </c>
      <c r="AW708" s="287" t="s">
        <v>1</v>
      </c>
      <c r="AX708" s="291">
        <v>14.12</v>
      </c>
      <c r="AY708" s="290">
        <v>71.87</v>
      </c>
      <c r="AZ708" s="291" cm="1">
        <f t="array" aca="1" ref="AZ708" ca="1">INDIRECT("'"&amp;$C708&amp;"'!"&amp;"$"&amp;$D708&amp;$AZ$1&amp;"")</f>
        <v>14.3</v>
      </c>
      <c r="BA708" s="289">
        <v>1</v>
      </c>
      <c r="BB708" s="287">
        <v>1.4</v>
      </c>
      <c r="BC708" s="292">
        <v>69.599999999999994</v>
      </c>
      <c r="BD708" s="286" cm="1">
        <f t="array" aca="1" ref="BD708" ca="1">INDIRECT("'"&amp;$C708&amp;"'!"&amp;"$"&amp;$D708&amp;$BC$1&amp;"")</f>
        <v>0</v>
      </c>
      <c r="BE708" s="288" t="s">
        <v>1</v>
      </c>
      <c r="BF708" s="287" t="s">
        <v>1</v>
      </c>
      <c r="BG708" s="291" cm="1">
        <f t="array" aca="1" ref="BG708" ca="1">INDIRECT("'"&amp;$C708&amp;"'!"&amp;"$"&amp;$D708&amp;$BG$1&amp;"")</f>
        <v>0.9</v>
      </c>
      <c r="BH708" s="289"/>
      <c r="BI708" s="289">
        <v>0.99</v>
      </c>
      <c r="BJ708" s="287">
        <v>0.14000000000000001</v>
      </c>
      <c r="BK708" s="291" cm="1">
        <f t="array" aca="1" ref="BK708" ca="1">INDIRECT("'"&amp;$C708&amp;"'!"&amp;"$"&amp;$D708&amp;$BK$1&amp;"")</f>
        <v>0.75</v>
      </c>
      <c r="BL708" s="289"/>
      <c r="BM708" s="289">
        <v>0.96</v>
      </c>
      <c r="BN708" s="287">
        <v>0.2</v>
      </c>
    </row>
    <row r="709" spans="1:66" ht="14.45" thickBot="1">
      <c r="A709" s="360">
        <v>45776</v>
      </c>
      <c r="B709" s="358">
        <v>0.16666666666666699</v>
      </c>
      <c r="C709" s="313">
        <f t="shared" si="28"/>
        <v>29</v>
      </c>
      <c r="D709" s="314" t="s">
        <v>131</v>
      </c>
      <c r="E709" s="293">
        <v>14.2</v>
      </c>
      <c r="F709" s="294">
        <v>70.37</v>
      </c>
      <c r="G709" s="295" cm="1">
        <f t="array" aca="1" ref="G709" ca="1">INDIRECT("'"&amp;$C709&amp;"'!"&amp;"$"&amp;$D709&amp;$E$1&amp;"")</f>
        <v>0</v>
      </c>
      <c r="H709" s="296" t="s">
        <v>1</v>
      </c>
      <c r="I709" s="294" t="s">
        <v>1</v>
      </c>
      <c r="J709" s="295" cm="1">
        <f t="array" aca="1" ref="J709" ca="1">INDIRECT("'"&amp;$C709&amp;"'!"&amp;"$"&amp;$D709&amp;$J$1&amp;"")</f>
        <v>6.7</v>
      </c>
      <c r="K709" s="296"/>
      <c r="L709" s="296">
        <v>0.98</v>
      </c>
      <c r="M709" s="294">
        <v>1.34</v>
      </c>
      <c r="N709" s="295" cm="1">
        <f t="array" aca="1" ref="N709" ca="1">INDIRECT("'"&amp;$C709&amp;"'!"&amp;"$"&amp;$D709&amp;$N$1&amp;"")</f>
        <v>0</v>
      </c>
      <c r="O709" s="296"/>
      <c r="P709" s="296" t="s">
        <v>1</v>
      </c>
      <c r="Q709" s="294" t="s">
        <v>1</v>
      </c>
      <c r="R709" s="295" cm="1">
        <f t="array" aca="1" ref="R709" ca="1">INDIRECT("'"&amp;$C709&amp;"'!"&amp;"$"&amp;$D709&amp;$R$1&amp;"")</f>
        <v>6.8</v>
      </c>
      <c r="S709" s="296"/>
      <c r="T709" s="296">
        <v>0.96</v>
      </c>
      <c r="U709" s="294">
        <v>2.08</v>
      </c>
      <c r="V709" s="295" cm="1">
        <f t="array" aca="1" ref="V709" ca="1">INDIRECT("'"&amp;$C709&amp;"'!"&amp;"$"&amp;$D709&amp;$V$1&amp;"")</f>
        <v>0</v>
      </c>
      <c r="W709" s="296" t="s">
        <v>1</v>
      </c>
      <c r="X709" s="296" t="s">
        <v>1</v>
      </c>
      <c r="Y709" s="297" t="s">
        <v>1</v>
      </c>
      <c r="Z709" s="293" cm="1">
        <f t="array" aca="1" ref="Z709" ca="1">INDIRECT("'"&amp;$C709&amp;"'!"&amp;"$"&amp;$D709&amp;$Z$1&amp;"")</f>
        <v>0</v>
      </c>
      <c r="AA709" s="296" t="s">
        <v>1</v>
      </c>
      <c r="AB709" s="296" t="s">
        <v>1</v>
      </c>
      <c r="AC709" s="294" t="s">
        <v>1</v>
      </c>
      <c r="AD709" s="295" cm="1">
        <f t="array" aca="1" ref="AD709" ca="1">INDIRECT("'"&amp;$C709&amp;"'!"&amp;"$"&amp;$D709&amp;$AD$1&amp;"")</f>
        <v>0</v>
      </c>
      <c r="AE709" s="296" t="s">
        <v>1</v>
      </c>
      <c r="AF709" s="296" t="s">
        <v>1</v>
      </c>
      <c r="AG709" s="294" t="s">
        <v>1</v>
      </c>
      <c r="AH709" s="293" cm="1">
        <f t="array" aca="1" ref="AH709" ca="1">INDIRECT("'"&amp;$C709&amp;"'!"&amp;"$"&amp;$D709&amp;$AH$1&amp;"")</f>
        <v>0</v>
      </c>
      <c r="AI709" s="296" t="s">
        <v>1</v>
      </c>
      <c r="AJ709" s="296" t="s">
        <v>1</v>
      </c>
      <c r="AK709" s="294" t="s">
        <v>1</v>
      </c>
      <c r="AL709" s="293">
        <v>11.8</v>
      </c>
      <c r="AM709" s="297">
        <v>70.8</v>
      </c>
      <c r="AN709" s="293" cm="1">
        <f t="array" aca="1" ref="AN709" ca="1">INDIRECT("'"&amp;$C709&amp;"'!"&amp;"$"&amp;$D709&amp;$AL$1&amp;"")</f>
        <v>3</v>
      </c>
      <c r="AO709" s="296">
        <v>1</v>
      </c>
      <c r="AP709" s="294">
        <v>0.28000000000000003</v>
      </c>
      <c r="AQ709" s="295" cm="1">
        <f t="array" aca="1" ref="AQ709" ca="1">INDIRECT("'"&amp;$C709&amp;"'!"&amp;"$"&amp;$D709&amp;$AQ$1&amp;"")</f>
        <v>3</v>
      </c>
      <c r="AR709" s="296">
        <v>1</v>
      </c>
      <c r="AS709" s="294">
        <v>0.28000000000000003</v>
      </c>
      <c r="AT709" s="296" cm="1">
        <f t="array" aca="1" ref="AT709" ca="1">INDIRECT("'"&amp;$C709&amp;"'!"&amp;"$"&amp;$D709&amp;$AT$1&amp;"")</f>
        <v>0</v>
      </c>
      <c r="AU709" s="295" t="s">
        <v>1</v>
      </c>
      <c r="AV709" s="296" t="s">
        <v>1</v>
      </c>
      <c r="AW709" s="294" t="s">
        <v>1</v>
      </c>
      <c r="AX709" s="298">
        <v>14.14</v>
      </c>
      <c r="AY709" s="297">
        <v>71.959999999999994</v>
      </c>
      <c r="AZ709" s="298" cm="1">
        <f t="array" aca="1" ref="AZ709" ca="1">INDIRECT("'"&amp;$C709&amp;"'!"&amp;"$"&amp;$D709&amp;$AZ$1&amp;"")</f>
        <v>14.3</v>
      </c>
      <c r="BA709" s="296">
        <v>1</v>
      </c>
      <c r="BB709" s="294">
        <v>1.4</v>
      </c>
      <c r="BC709" s="299">
        <v>69.599999999999994</v>
      </c>
      <c r="BD709" s="293" cm="1">
        <f t="array" aca="1" ref="BD709" ca="1">INDIRECT("'"&amp;$C709&amp;"'!"&amp;"$"&amp;$D709&amp;$BC$1&amp;"")</f>
        <v>0</v>
      </c>
      <c r="BE709" s="295" t="s">
        <v>1</v>
      </c>
      <c r="BF709" s="294" t="s">
        <v>1</v>
      </c>
      <c r="BG709" s="298" cm="1">
        <f t="array" aca="1" ref="BG709" ca="1">INDIRECT("'"&amp;$C709&amp;"'!"&amp;"$"&amp;$D709&amp;$BG$1&amp;"")</f>
        <v>0.86</v>
      </c>
      <c r="BH709" s="296"/>
      <c r="BI709" s="296">
        <v>0.96</v>
      </c>
      <c r="BJ709" s="294">
        <v>0.13</v>
      </c>
      <c r="BK709" s="298" cm="1">
        <f t="array" aca="1" ref="BK709" ca="1">INDIRECT("'"&amp;$C709&amp;"'!"&amp;"$"&amp;$D709&amp;$BK$1&amp;"")</f>
        <v>0.73</v>
      </c>
      <c r="BL709" s="296"/>
      <c r="BM709" s="296">
        <v>0.96</v>
      </c>
      <c r="BN709" s="294">
        <v>0.2</v>
      </c>
    </row>
    <row r="710" spans="1:66" ht="14.45" thickBot="1">
      <c r="A710" s="360">
        <v>45776</v>
      </c>
      <c r="B710" s="358">
        <v>0.20833333333333301</v>
      </c>
      <c r="C710" s="313">
        <f t="shared" si="28"/>
        <v>29</v>
      </c>
      <c r="D710" s="314" t="s">
        <v>132</v>
      </c>
      <c r="E710" s="286">
        <v>14.2</v>
      </c>
      <c r="F710" s="287">
        <v>69.95</v>
      </c>
      <c r="G710" s="288" cm="1">
        <f t="array" aca="1" ref="G710" ca="1">INDIRECT("'"&amp;$C710&amp;"'!"&amp;"$"&amp;$D710&amp;$E$1&amp;"")</f>
        <v>0</v>
      </c>
      <c r="H710" s="289" t="s">
        <v>1</v>
      </c>
      <c r="I710" s="287" t="s">
        <v>1</v>
      </c>
      <c r="J710" s="288" cm="1">
        <f t="array" aca="1" ref="J710" ca="1">INDIRECT("'"&amp;$C710&amp;"'!"&amp;"$"&amp;$D710&amp;$J$1&amp;"")</f>
        <v>6.6</v>
      </c>
      <c r="K710" s="289"/>
      <c r="L710" s="289">
        <v>0.98</v>
      </c>
      <c r="M710" s="287">
        <v>1.31</v>
      </c>
      <c r="N710" s="288" cm="1">
        <f t="array" aca="1" ref="N710" ca="1">INDIRECT("'"&amp;$C710&amp;"'!"&amp;"$"&amp;$D710&amp;$N$1&amp;"")</f>
        <v>0</v>
      </c>
      <c r="O710" s="289"/>
      <c r="P710" s="289" t="s">
        <v>1</v>
      </c>
      <c r="Q710" s="287" t="s">
        <v>1</v>
      </c>
      <c r="R710" s="288" cm="1">
        <f t="array" aca="1" ref="R710" ca="1">INDIRECT("'"&amp;$C710&amp;"'!"&amp;"$"&amp;$D710&amp;$R$1&amp;"")</f>
        <v>6.8</v>
      </c>
      <c r="S710" s="289"/>
      <c r="T710" s="289">
        <v>0.94</v>
      </c>
      <c r="U710" s="287">
        <v>2.52</v>
      </c>
      <c r="V710" s="288" cm="1">
        <f t="array" aca="1" ref="V710" ca="1">INDIRECT("'"&amp;$C710&amp;"'!"&amp;"$"&amp;$D710&amp;$V$1&amp;"")</f>
        <v>0</v>
      </c>
      <c r="W710" s="289" t="s">
        <v>1</v>
      </c>
      <c r="X710" s="289" t="s">
        <v>1</v>
      </c>
      <c r="Y710" s="290" t="s">
        <v>1</v>
      </c>
      <c r="Z710" s="286" cm="1">
        <f t="array" aca="1" ref="Z710" ca="1">INDIRECT("'"&amp;$C710&amp;"'!"&amp;"$"&amp;$D710&amp;$Z$1&amp;"")</f>
        <v>0</v>
      </c>
      <c r="AA710" s="289" t="s">
        <v>1</v>
      </c>
      <c r="AB710" s="289" t="s">
        <v>1</v>
      </c>
      <c r="AC710" s="287" t="s">
        <v>1</v>
      </c>
      <c r="AD710" s="288" cm="1">
        <f t="array" aca="1" ref="AD710" ca="1">INDIRECT("'"&amp;$C710&amp;"'!"&amp;"$"&amp;$D710&amp;$AD$1&amp;"")</f>
        <v>0</v>
      </c>
      <c r="AE710" s="289" t="s">
        <v>1</v>
      </c>
      <c r="AF710" s="289" t="s">
        <v>1</v>
      </c>
      <c r="AG710" s="290" t="s">
        <v>1</v>
      </c>
      <c r="AH710" s="286" cm="1">
        <f t="array" aca="1" ref="AH710" ca="1">INDIRECT("'"&amp;$C710&amp;"'!"&amp;"$"&amp;$D710&amp;$AH$1&amp;"")</f>
        <v>0</v>
      </c>
      <c r="AI710" s="289" t="s">
        <v>1</v>
      </c>
      <c r="AJ710" s="289" t="s">
        <v>1</v>
      </c>
      <c r="AK710" s="290" t="s">
        <v>1</v>
      </c>
      <c r="AL710" s="286">
        <v>11.8</v>
      </c>
      <c r="AM710" s="290">
        <v>70.7</v>
      </c>
      <c r="AN710" s="286" cm="1">
        <f t="array" aca="1" ref="AN710" ca="1">INDIRECT("'"&amp;$C710&amp;"'!"&amp;"$"&amp;$D710&amp;$AL$1&amp;"")</f>
        <v>3.8</v>
      </c>
      <c r="AO710" s="289">
        <v>1</v>
      </c>
      <c r="AP710" s="287">
        <v>0.4</v>
      </c>
      <c r="AQ710" s="288" cm="1">
        <f t="array" aca="1" ref="AQ710" ca="1">INDIRECT("'"&amp;$C710&amp;"'!"&amp;"$"&amp;$D710&amp;$AQ$1&amp;"")</f>
        <v>3.8</v>
      </c>
      <c r="AR710" s="289">
        <v>1</v>
      </c>
      <c r="AS710" s="287">
        <v>0.4</v>
      </c>
      <c r="AT710" s="289" cm="1">
        <f t="array" aca="1" ref="AT710" ca="1">INDIRECT("'"&amp;$C710&amp;"'!"&amp;"$"&amp;$D710&amp;$AT$1&amp;"")</f>
        <v>0</v>
      </c>
      <c r="AU710" s="288" t="s">
        <v>1</v>
      </c>
      <c r="AV710" s="289" t="s">
        <v>1</v>
      </c>
      <c r="AW710" s="287" t="s">
        <v>1</v>
      </c>
      <c r="AX710" s="291">
        <v>14.1</v>
      </c>
      <c r="AY710" s="290">
        <v>71.7</v>
      </c>
      <c r="AZ710" s="291" cm="1">
        <f t="array" aca="1" ref="AZ710" ca="1">INDIRECT("'"&amp;$C710&amp;"'!"&amp;"$"&amp;$D710&amp;$AZ$1&amp;"")</f>
        <v>14.27</v>
      </c>
      <c r="BA710" s="289">
        <v>1</v>
      </c>
      <c r="BB710" s="287">
        <v>1.73</v>
      </c>
      <c r="BC710" s="292">
        <v>69.099999999999994</v>
      </c>
      <c r="BD710" s="286" cm="1">
        <f t="array" aca="1" ref="BD710" ca="1">INDIRECT("'"&amp;$C710&amp;"'!"&amp;"$"&amp;$D710&amp;$BC$1&amp;"")</f>
        <v>0</v>
      </c>
      <c r="BE710" s="288" t="s">
        <v>1</v>
      </c>
      <c r="BF710" s="287" t="s">
        <v>1</v>
      </c>
      <c r="BG710" s="291" cm="1">
        <f t="array" aca="1" ref="BG710" ca="1">INDIRECT("'"&amp;$C710&amp;"'!"&amp;"$"&amp;$D710&amp;$BG$1&amp;"")</f>
        <v>0.86</v>
      </c>
      <c r="BH710" s="289"/>
      <c r="BI710" s="289">
        <v>0.99</v>
      </c>
      <c r="BJ710" s="287">
        <v>0.13</v>
      </c>
      <c r="BK710" s="291" cm="1">
        <f t="array" aca="1" ref="BK710" ca="1">INDIRECT("'"&amp;$C710&amp;"'!"&amp;"$"&amp;$D710&amp;$BK$1&amp;"")</f>
        <v>0.75</v>
      </c>
      <c r="BL710" s="289"/>
      <c r="BM710" s="289">
        <v>0.96</v>
      </c>
      <c r="BN710" s="287">
        <v>0.19</v>
      </c>
    </row>
    <row r="711" spans="1:66" ht="14.45" thickBot="1">
      <c r="A711" s="360">
        <v>45776</v>
      </c>
      <c r="B711" s="358">
        <v>0.25</v>
      </c>
      <c r="C711" s="313">
        <f t="shared" si="28"/>
        <v>29</v>
      </c>
      <c r="D711" s="314" t="s">
        <v>133</v>
      </c>
      <c r="E711" s="293">
        <v>14.2</v>
      </c>
      <c r="F711" s="294">
        <v>70.12</v>
      </c>
      <c r="G711" s="295" cm="1">
        <f t="array" aca="1" ref="G711" ca="1">INDIRECT("'"&amp;$C711&amp;"'!"&amp;"$"&amp;$D711&amp;$E$1&amp;"")</f>
        <v>0</v>
      </c>
      <c r="H711" s="296" t="s">
        <v>1</v>
      </c>
      <c r="I711" s="294" t="s">
        <v>1</v>
      </c>
      <c r="J711" s="295" cm="1">
        <f t="array" aca="1" ref="J711" ca="1">INDIRECT("'"&amp;$C711&amp;"'!"&amp;"$"&amp;$D711&amp;$J$1&amp;"")</f>
        <v>6.5</v>
      </c>
      <c r="K711" s="296"/>
      <c r="L711" s="296">
        <v>0.98</v>
      </c>
      <c r="M711" s="294">
        <v>1.29</v>
      </c>
      <c r="N711" s="295" cm="1">
        <f t="array" aca="1" ref="N711" ca="1">INDIRECT("'"&amp;$C711&amp;"'!"&amp;"$"&amp;$D711&amp;$N$1&amp;"")</f>
        <v>0</v>
      </c>
      <c r="O711" s="296"/>
      <c r="P711" s="296" t="s">
        <v>1</v>
      </c>
      <c r="Q711" s="294" t="s">
        <v>1</v>
      </c>
      <c r="R711" s="295" cm="1">
        <f t="array" aca="1" ref="R711" ca="1">INDIRECT("'"&amp;$C711&amp;"'!"&amp;"$"&amp;$D711&amp;$R$1&amp;"")</f>
        <v>6.7</v>
      </c>
      <c r="S711" s="296"/>
      <c r="T711" s="296">
        <v>0.95</v>
      </c>
      <c r="U711" s="294">
        <v>2.2799999999999998</v>
      </c>
      <c r="V711" s="295" cm="1">
        <f t="array" aca="1" ref="V711" ca="1">INDIRECT("'"&amp;$C711&amp;"'!"&amp;"$"&amp;$D711&amp;$V$1&amp;"")</f>
        <v>0</v>
      </c>
      <c r="W711" s="296" t="s">
        <v>1</v>
      </c>
      <c r="X711" s="296" t="s">
        <v>1</v>
      </c>
      <c r="Y711" s="297" t="s">
        <v>1</v>
      </c>
      <c r="Z711" s="293" cm="1">
        <f t="array" aca="1" ref="Z711" ca="1">INDIRECT("'"&amp;$C711&amp;"'!"&amp;"$"&amp;$D711&amp;$Z$1&amp;"")</f>
        <v>0</v>
      </c>
      <c r="AA711" s="296" t="s">
        <v>1</v>
      </c>
      <c r="AB711" s="296" t="s">
        <v>1</v>
      </c>
      <c r="AC711" s="294" t="s">
        <v>1</v>
      </c>
      <c r="AD711" s="295" cm="1">
        <f t="array" aca="1" ref="AD711" ca="1">INDIRECT("'"&amp;$C711&amp;"'!"&amp;"$"&amp;$D711&amp;$AD$1&amp;"")</f>
        <v>0</v>
      </c>
      <c r="AE711" s="296" t="s">
        <v>1</v>
      </c>
      <c r="AF711" s="296" t="s">
        <v>1</v>
      </c>
      <c r="AG711" s="297" t="s">
        <v>1</v>
      </c>
      <c r="AH711" s="293" cm="1">
        <f t="array" aca="1" ref="AH711" ca="1">INDIRECT("'"&amp;$C711&amp;"'!"&amp;"$"&amp;$D711&amp;$AH$1&amp;"")</f>
        <v>0</v>
      </c>
      <c r="AI711" s="296" t="s">
        <v>1</v>
      </c>
      <c r="AJ711" s="296" t="s">
        <v>1</v>
      </c>
      <c r="AK711" s="297" t="s">
        <v>1</v>
      </c>
      <c r="AL711" s="293">
        <v>11.8</v>
      </c>
      <c r="AM711" s="297">
        <v>70.599999999999994</v>
      </c>
      <c r="AN711" s="293" cm="1">
        <f t="array" aca="1" ref="AN711" ca="1">INDIRECT("'"&amp;$C711&amp;"'!"&amp;"$"&amp;$D711&amp;$AL$1&amp;"")</f>
        <v>4</v>
      </c>
      <c r="AO711" s="296">
        <v>1</v>
      </c>
      <c r="AP711" s="294">
        <v>0.45</v>
      </c>
      <c r="AQ711" s="295" cm="1">
        <f t="array" aca="1" ref="AQ711" ca="1">INDIRECT("'"&amp;$C711&amp;"'!"&amp;"$"&amp;$D711&amp;$AQ$1&amp;"")</f>
        <v>4</v>
      </c>
      <c r="AR711" s="296">
        <v>1</v>
      </c>
      <c r="AS711" s="294">
        <v>0.45</v>
      </c>
      <c r="AT711" s="296" cm="1">
        <f t="array" aca="1" ref="AT711" ca="1">INDIRECT("'"&amp;$C711&amp;"'!"&amp;"$"&amp;$D711&amp;$AT$1&amp;"")</f>
        <v>0</v>
      </c>
      <c r="AU711" s="295" t="s">
        <v>1</v>
      </c>
      <c r="AV711" s="296" t="s">
        <v>1</v>
      </c>
      <c r="AW711" s="294" t="s">
        <v>1</v>
      </c>
      <c r="AX711" s="298">
        <v>14.05</v>
      </c>
      <c r="AY711" s="297">
        <v>71.510000000000005</v>
      </c>
      <c r="AZ711" s="298" cm="1">
        <f t="array" aca="1" ref="AZ711" ca="1">INDIRECT("'"&amp;$C711&amp;"'!"&amp;"$"&amp;$D711&amp;$AZ$1&amp;"")</f>
        <v>14.29</v>
      </c>
      <c r="BA711" s="296">
        <v>1</v>
      </c>
      <c r="BB711" s="294">
        <v>1.3</v>
      </c>
      <c r="BC711" s="299">
        <v>69.3</v>
      </c>
      <c r="BD711" s="293" cm="1">
        <f t="array" aca="1" ref="BD711" ca="1">INDIRECT("'"&amp;$C711&amp;"'!"&amp;"$"&amp;$D711&amp;$BC$1&amp;"")</f>
        <v>3.1</v>
      </c>
      <c r="BE711" s="295">
        <v>0.99</v>
      </c>
      <c r="BF711" s="294">
        <v>0.94</v>
      </c>
      <c r="BG711" s="298" cm="1">
        <f t="array" aca="1" ref="BG711" ca="1">INDIRECT("'"&amp;$C711&amp;"'!"&amp;"$"&amp;$D711&amp;$BG$1&amp;"")</f>
        <v>1</v>
      </c>
      <c r="BH711" s="296"/>
      <c r="BI711" s="296">
        <v>0.99</v>
      </c>
      <c r="BJ711" s="294">
        <v>0.13</v>
      </c>
      <c r="BK711" s="298" cm="1">
        <f t="array" aca="1" ref="BK711" ca="1">INDIRECT("'"&amp;$C711&amp;"'!"&amp;"$"&amp;$D711&amp;$BK$1&amp;"")</f>
        <v>0.78</v>
      </c>
      <c r="BL711" s="296"/>
      <c r="BM711" s="296">
        <v>0.96</v>
      </c>
      <c r="BN711" s="294">
        <v>0.21</v>
      </c>
    </row>
    <row r="712" spans="1:66" ht="14.45" thickBot="1">
      <c r="A712" s="360">
        <v>45776</v>
      </c>
      <c r="B712" s="358">
        <v>0.29166666666666702</v>
      </c>
      <c r="C712" s="313">
        <f t="shared" si="28"/>
        <v>29</v>
      </c>
      <c r="D712" s="314" t="s">
        <v>134</v>
      </c>
      <c r="E712" s="286">
        <v>14.1</v>
      </c>
      <c r="F712" s="287">
        <v>69.599999999999994</v>
      </c>
      <c r="G712" s="288" cm="1">
        <f t="array" aca="1" ref="G712" ca="1">INDIRECT("'"&amp;$C712&amp;"'!"&amp;"$"&amp;$D712&amp;$E$1&amp;"")</f>
        <v>0</v>
      </c>
      <c r="H712" s="289" t="s">
        <v>1</v>
      </c>
      <c r="I712" s="287" t="s">
        <v>1</v>
      </c>
      <c r="J712" s="288" cm="1">
        <f t="array" aca="1" ref="J712" ca="1">INDIRECT("'"&amp;$C712&amp;"'!"&amp;"$"&amp;$D712&amp;$J$1&amp;"")</f>
        <v>6.6</v>
      </c>
      <c r="K712" s="289"/>
      <c r="L712" s="289">
        <v>0.97</v>
      </c>
      <c r="M712" s="287">
        <v>1.68</v>
      </c>
      <c r="N712" s="288" cm="1">
        <f t="array" aca="1" ref="N712" ca="1">INDIRECT("'"&amp;$C712&amp;"'!"&amp;"$"&amp;$D712&amp;$N$1&amp;"")</f>
        <v>0</v>
      </c>
      <c r="O712" s="289"/>
      <c r="P712" s="289" t="s">
        <v>1</v>
      </c>
      <c r="Q712" s="287" t="s">
        <v>1</v>
      </c>
      <c r="R712" s="288" cm="1">
        <f t="array" aca="1" ref="R712" ca="1">INDIRECT("'"&amp;$C712&amp;"'!"&amp;"$"&amp;$D712&amp;$R$1&amp;"")</f>
        <v>6.8</v>
      </c>
      <c r="S712" s="289"/>
      <c r="T712" s="289">
        <v>0.95</v>
      </c>
      <c r="U712" s="287">
        <v>2.36</v>
      </c>
      <c r="V712" s="288" cm="1">
        <f t="array" aca="1" ref="V712" ca="1">INDIRECT("'"&amp;$C712&amp;"'!"&amp;"$"&amp;$D712&amp;$V$1&amp;"")</f>
        <v>2.8</v>
      </c>
      <c r="W712" s="289">
        <f>3.8*3.53</f>
        <v>13.413999999999998</v>
      </c>
      <c r="X712" s="289">
        <v>0.92</v>
      </c>
      <c r="Y712" s="290">
        <v>1.2</v>
      </c>
      <c r="Z712" s="286" cm="1">
        <f t="array" aca="1" ref="Z712" ca="1">INDIRECT("'"&amp;$C712&amp;"'!"&amp;"$"&amp;$D712&amp;$Z$1&amp;"")</f>
        <v>0</v>
      </c>
      <c r="AA712" s="289" t="s">
        <v>1</v>
      </c>
      <c r="AB712" s="289" t="s">
        <v>1</v>
      </c>
      <c r="AC712" s="287" t="s">
        <v>1</v>
      </c>
      <c r="AD712" s="288" cm="1">
        <f t="array" aca="1" ref="AD712" ca="1">INDIRECT("'"&amp;$C712&amp;"'!"&amp;"$"&amp;$D712&amp;$AD$1&amp;"")</f>
        <v>0</v>
      </c>
      <c r="AE712" s="289" t="s">
        <v>1</v>
      </c>
      <c r="AF712" s="289" t="s">
        <v>1</v>
      </c>
      <c r="AG712" s="290" t="s">
        <v>1</v>
      </c>
      <c r="AH712" s="286" cm="1">
        <f t="array" aca="1" ref="AH712" ca="1">INDIRECT("'"&amp;$C712&amp;"'!"&amp;"$"&amp;$D712&amp;$AH$1&amp;"")</f>
        <v>0</v>
      </c>
      <c r="AI712" s="289" t="s">
        <v>1</v>
      </c>
      <c r="AJ712" s="289" t="s">
        <v>1</v>
      </c>
      <c r="AK712" s="290" t="s">
        <v>1</v>
      </c>
      <c r="AL712" s="286">
        <v>11.8</v>
      </c>
      <c r="AM712" s="290">
        <v>70.3</v>
      </c>
      <c r="AN712" s="286" cm="1">
        <f t="array" aca="1" ref="AN712" ca="1">INDIRECT("'"&amp;$C712&amp;"'!"&amp;"$"&amp;$D712&amp;$AL$1&amp;"")</f>
        <v>4.2</v>
      </c>
      <c r="AO712" s="289">
        <v>1</v>
      </c>
      <c r="AP712" s="287">
        <v>0.7</v>
      </c>
      <c r="AQ712" s="288" cm="1">
        <f t="array" aca="1" ref="AQ712" ca="1">INDIRECT("'"&amp;$C712&amp;"'!"&amp;"$"&amp;$D712&amp;$AQ$1&amp;"")</f>
        <v>4.2</v>
      </c>
      <c r="AR712" s="289">
        <v>1</v>
      </c>
      <c r="AS712" s="287">
        <v>0.7</v>
      </c>
      <c r="AT712" s="289" cm="1">
        <f t="array" aca="1" ref="AT712" ca="1">INDIRECT("'"&amp;$C712&amp;"'!"&amp;"$"&amp;$D712&amp;$AT$1&amp;"")</f>
        <v>0</v>
      </c>
      <c r="AU712" s="288" t="s">
        <v>1</v>
      </c>
      <c r="AV712" s="289" t="s">
        <v>1</v>
      </c>
      <c r="AW712" s="287" t="s">
        <v>1</v>
      </c>
      <c r="AX712" s="291">
        <v>14.02</v>
      </c>
      <c r="AY712" s="290">
        <v>71.260000000000005</v>
      </c>
      <c r="AZ712" s="291" cm="1">
        <f t="array" aca="1" ref="AZ712" ca="1">INDIRECT("'"&amp;$C712&amp;"'!"&amp;"$"&amp;$D712&amp;$AZ$1&amp;"")</f>
        <v>14.27</v>
      </c>
      <c r="BA712" s="289">
        <v>1</v>
      </c>
      <c r="BB712" s="287">
        <v>1.4</v>
      </c>
      <c r="BC712" s="292">
        <v>68.8</v>
      </c>
      <c r="BD712" s="286" cm="1">
        <f t="array" aca="1" ref="BD712" ca="1">INDIRECT("'"&amp;$C712&amp;"'!"&amp;"$"&amp;$D712&amp;$BC$1&amp;"")</f>
        <v>0</v>
      </c>
      <c r="BE712" s="288" t="s">
        <v>1</v>
      </c>
      <c r="BF712" s="287" t="s">
        <v>1</v>
      </c>
      <c r="BG712" s="291" cm="1">
        <f t="array" aca="1" ref="BG712" ca="1">INDIRECT("'"&amp;$C712&amp;"'!"&amp;"$"&amp;$D712&amp;$BG$1&amp;"")</f>
        <v>1.06</v>
      </c>
      <c r="BH712" s="289"/>
      <c r="BI712" s="289">
        <v>0.99</v>
      </c>
      <c r="BJ712" s="287">
        <v>0.13</v>
      </c>
      <c r="BK712" s="292" cm="1">
        <f t="array" aca="1" ref="BK712" ca="1">INDIRECT("'"&amp;$C712&amp;"'!"&amp;"$"&amp;$D712&amp;$BK$1&amp;"")</f>
        <v>0.75</v>
      </c>
      <c r="BL712" s="289"/>
      <c r="BM712" s="289">
        <v>0.96</v>
      </c>
      <c r="BN712" s="287">
        <v>0.2</v>
      </c>
    </row>
    <row r="713" spans="1:66" ht="14.45" thickBot="1">
      <c r="A713" s="360">
        <v>45776</v>
      </c>
      <c r="B713" s="358">
        <v>0.33333333333333398</v>
      </c>
      <c r="C713" s="313">
        <f t="shared" si="28"/>
        <v>29</v>
      </c>
      <c r="D713" s="314" t="s">
        <v>135</v>
      </c>
      <c r="E713" s="293">
        <v>14.3</v>
      </c>
      <c r="F713" s="294">
        <v>69.75</v>
      </c>
      <c r="G713" s="295" cm="1">
        <f t="array" aca="1" ref="G713" ca="1">INDIRECT("'"&amp;$C713&amp;"'!"&amp;"$"&amp;$D713&amp;$E$1&amp;"")</f>
        <v>6.6</v>
      </c>
      <c r="H713" s="296">
        <v>0.91</v>
      </c>
      <c r="I713" s="294">
        <v>2.96</v>
      </c>
      <c r="J713" s="295" cm="1">
        <f t="array" aca="1" ref="J713" ca="1">INDIRECT("'"&amp;$C713&amp;"'!"&amp;"$"&amp;$D713&amp;$J$1&amp;"")</f>
        <v>6.6</v>
      </c>
      <c r="K713" s="296"/>
      <c r="L713" s="296">
        <v>0.94</v>
      </c>
      <c r="M713" s="294">
        <v>2.41</v>
      </c>
      <c r="N713" s="295" cm="1">
        <f t="array" aca="1" ref="N713" ca="1">INDIRECT("'"&amp;$C713&amp;"'!"&amp;"$"&amp;$D713&amp;$N$1&amp;"")</f>
        <v>0</v>
      </c>
      <c r="O713" s="296"/>
      <c r="P713" s="296" t="s">
        <v>1</v>
      </c>
      <c r="Q713" s="294" t="s">
        <v>1</v>
      </c>
      <c r="R713" s="295" cm="1">
        <f t="array" aca="1" ref="R713" ca="1">INDIRECT("'"&amp;$C713&amp;"'!"&amp;"$"&amp;$D713&amp;$R$1&amp;"")</f>
        <v>6.7</v>
      </c>
      <c r="S713" s="296"/>
      <c r="T713" s="296">
        <v>0.97</v>
      </c>
      <c r="U713" s="294">
        <v>1.69</v>
      </c>
      <c r="V713" s="295" cm="1">
        <f t="array" aca="1" ref="V713" ca="1">INDIRECT("'"&amp;$C713&amp;"'!"&amp;"$"&amp;$D713&amp;$V$1&amp;"")</f>
        <v>2.8</v>
      </c>
      <c r="W713" s="296">
        <f>3.8*3.5</f>
        <v>13.299999999999999</v>
      </c>
      <c r="X713" s="296">
        <v>0.96</v>
      </c>
      <c r="Y713" s="297">
        <v>0.75</v>
      </c>
      <c r="Z713" s="293" cm="1">
        <f t="array" aca="1" ref="Z713" ca="1">INDIRECT("'"&amp;$C713&amp;"'!"&amp;"$"&amp;$D713&amp;$Z$1&amp;"")</f>
        <v>0</v>
      </c>
      <c r="AA713" s="296" t="s">
        <v>1</v>
      </c>
      <c r="AB713" s="296" t="s">
        <v>1</v>
      </c>
      <c r="AC713" s="294" t="s">
        <v>1</v>
      </c>
      <c r="AD713" s="295" cm="1">
        <f t="array" aca="1" ref="AD713" ca="1">INDIRECT("'"&amp;$C713&amp;"'!"&amp;"$"&amp;$D713&amp;$AD$1&amp;"")</f>
        <v>0</v>
      </c>
      <c r="AE713" s="296" t="s">
        <v>1</v>
      </c>
      <c r="AF713" s="296" t="s">
        <v>1</v>
      </c>
      <c r="AG713" s="297" t="s">
        <v>1</v>
      </c>
      <c r="AH713" s="293" cm="1">
        <f t="array" aca="1" ref="AH713" ca="1">INDIRECT("'"&amp;$C713&amp;"'!"&amp;"$"&amp;$D713&amp;$AH$1&amp;"")</f>
        <v>0</v>
      </c>
      <c r="AI713" s="296" t="s">
        <v>1</v>
      </c>
      <c r="AJ713" s="296" t="s">
        <v>1</v>
      </c>
      <c r="AK713" s="297" t="s">
        <v>1</v>
      </c>
      <c r="AL713" s="293">
        <v>11.8</v>
      </c>
      <c r="AM713" s="297">
        <v>69.599999999999994</v>
      </c>
      <c r="AN713" s="293" cm="1">
        <f t="array" aca="1" ref="AN713" ca="1">INDIRECT("'"&amp;$C713&amp;"'!"&amp;"$"&amp;$D713&amp;$AL$1&amp;"")</f>
        <v>4.3</v>
      </c>
      <c r="AO713" s="296">
        <v>0.97</v>
      </c>
      <c r="AP713" s="294">
        <v>1.03</v>
      </c>
      <c r="AQ713" s="295" cm="1">
        <f t="array" aca="1" ref="AQ713" ca="1">INDIRECT("'"&amp;$C713&amp;"'!"&amp;"$"&amp;$D713&amp;$AQ$1&amp;"")</f>
        <v>4.3</v>
      </c>
      <c r="AR713" s="296">
        <v>0.97</v>
      </c>
      <c r="AS713" s="294">
        <v>1.03</v>
      </c>
      <c r="AT713" s="296" cm="1">
        <f t="array" aca="1" ref="AT713" ca="1">INDIRECT("'"&amp;$C713&amp;"'!"&amp;"$"&amp;$D713&amp;$AT$1&amp;"")</f>
        <v>0</v>
      </c>
      <c r="AU713" s="295" t="s">
        <v>1</v>
      </c>
      <c r="AV713" s="296" t="s">
        <v>1</v>
      </c>
      <c r="AW713" s="294" t="s">
        <v>1</v>
      </c>
      <c r="AX713" s="298">
        <v>13.83</v>
      </c>
      <c r="AY713" s="297">
        <v>70.3</v>
      </c>
      <c r="AZ713" s="298" cm="1">
        <f t="array" aca="1" ref="AZ713" ca="1">INDIRECT("'"&amp;$C713&amp;"'!"&amp;"$"&amp;$D713&amp;$AZ$1&amp;"")</f>
        <v>14.3</v>
      </c>
      <c r="BA713" s="296">
        <v>1</v>
      </c>
      <c r="BB713" s="294">
        <v>1.3</v>
      </c>
      <c r="BC713" s="299">
        <v>68.3</v>
      </c>
      <c r="BD713" s="293" cm="1">
        <f t="array" aca="1" ref="BD713" ca="1">INDIRECT("'"&amp;$C713&amp;"'!"&amp;"$"&amp;$D713&amp;$BC$1&amp;"")</f>
        <v>0</v>
      </c>
      <c r="BE713" s="295" t="s">
        <v>1</v>
      </c>
      <c r="BF713" s="294" t="s">
        <v>1</v>
      </c>
      <c r="BG713" s="298" cm="1">
        <f t="array" aca="1" ref="BG713" ca="1">INDIRECT("'"&amp;$C713&amp;"'!"&amp;"$"&amp;$D713&amp;$BG$1&amp;"")</f>
        <v>1.23</v>
      </c>
      <c r="BH713" s="296"/>
      <c r="BI713" s="296">
        <v>0.99</v>
      </c>
      <c r="BJ713" s="294">
        <v>0.18</v>
      </c>
      <c r="BK713" s="299" cm="1">
        <f t="array" aca="1" ref="BK713" ca="1">INDIRECT("'"&amp;$C713&amp;"'!"&amp;"$"&amp;$D713&amp;$BK$1&amp;"")</f>
        <v>0.79</v>
      </c>
      <c r="BL713" s="296"/>
      <c r="BM713" s="296">
        <v>0.96</v>
      </c>
      <c r="BN713" s="294">
        <v>0.22</v>
      </c>
    </row>
    <row r="714" spans="1:66" ht="14.45" thickBot="1">
      <c r="A714" s="360">
        <v>45776</v>
      </c>
      <c r="B714" s="358">
        <v>0.375</v>
      </c>
      <c r="C714" s="313">
        <f t="shared" si="28"/>
        <v>29</v>
      </c>
      <c r="D714" s="314" t="s">
        <v>136</v>
      </c>
      <c r="E714" s="286">
        <v>14.2</v>
      </c>
      <c r="F714" s="287">
        <v>69.77</v>
      </c>
      <c r="G714" s="288" cm="1">
        <f t="array" aca="1" ref="G714" ca="1">INDIRECT("'"&amp;$C714&amp;"'!"&amp;"$"&amp;$D714&amp;$E$1&amp;"")</f>
        <v>6.7</v>
      </c>
      <c r="H714" s="289">
        <v>0.91</v>
      </c>
      <c r="I714" s="287">
        <v>3.12</v>
      </c>
      <c r="J714" s="288" cm="1">
        <f t="array" aca="1" ref="J714" ca="1">INDIRECT("'"&amp;$C714&amp;"'!"&amp;"$"&amp;$D714&amp;$J$1&amp;"")</f>
        <v>6.7</v>
      </c>
      <c r="K714" s="289"/>
      <c r="L714" s="289">
        <v>0.91</v>
      </c>
      <c r="M714" s="287">
        <v>3.15</v>
      </c>
      <c r="N714" s="288" cm="1">
        <f t="array" aca="1" ref="N714" ca="1">INDIRECT("'"&amp;$C714&amp;"'!"&amp;"$"&amp;$D714&amp;$N$1&amp;"")</f>
        <v>0</v>
      </c>
      <c r="O714" s="289"/>
      <c r="P714" s="289" t="s">
        <v>1</v>
      </c>
      <c r="Q714" s="287" t="s">
        <v>1</v>
      </c>
      <c r="R714" s="288" cm="1">
        <f t="array" aca="1" ref="R714" ca="1">INDIRECT("'"&amp;$C714&amp;"'!"&amp;"$"&amp;$D714&amp;$R$1&amp;"")</f>
        <v>6.7</v>
      </c>
      <c r="S714" s="289"/>
      <c r="T714" s="289">
        <v>0.89</v>
      </c>
      <c r="U714" s="287">
        <v>3.41</v>
      </c>
      <c r="V714" s="288" cm="1">
        <f t="array" aca="1" ref="V714" ca="1">INDIRECT("'"&amp;$C714&amp;"'!"&amp;"$"&amp;$D714&amp;$V$1&amp;"")</f>
        <v>2.8</v>
      </c>
      <c r="W714" s="289">
        <f>3.8*3.5</f>
        <v>13.299999999999999</v>
      </c>
      <c r="X714" s="289">
        <v>0.95</v>
      </c>
      <c r="Y714" s="290">
        <v>0.88</v>
      </c>
      <c r="Z714" s="286" cm="1">
        <f t="array" aca="1" ref="Z714" ca="1">INDIRECT("'"&amp;$C714&amp;"'!"&amp;"$"&amp;$D714&amp;$Z$1&amp;"")</f>
        <v>0</v>
      </c>
      <c r="AA714" s="289" t="s">
        <v>1</v>
      </c>
      <c r="AB714" s="289" t="s">
        <v>1</v>
      </c>
      <c r="AC714" s="287" t="s">
        <v>1</v>
      </c>
      <c r="AD714" s="288" cm="1">
        <f t="array" aca="1" ref="AD714" ca="1">INDIRECT("'"&amp;$C714&amp;"'!"&amp;"$"&amp;$D714&amp;$AD$1&amp;"")</f>
        <v>3.8</v>
      </c>
      <c r="AE714" s="289">
        <f>3.8*3.5</f>
        <v>13.299999999999999</v>
      </c>
      <c r="AF714" s="289">
        <v>0.94</v>
      </c>
      <c r="AG714" s="290">
        <v>1.31</v>
      </c>
      <c r="AH714" s="286" cm="1">
        <f t="array" aca="1" ref="AH714" ca="1">INDIRECT("'"&amp;$C714&amp;"'!"&amp;"$"&amp;$D714&amp;$AH$1&amp;"")</f>
        <v>2.8</v>
      </c>
      <c r="AI714" s="289">
        <v>13.8</v>
      </c>
      <c r="AJ714" s="289">
        <v>0.99</v>
      </c>
      <c r="AK714" s="287">
        <v>0.17</v>
      </c>
      <c r="AL714" s="286">
        <v>11.8</v>
      </c>
      <c r="AM714" s="290">
        <v>70.099999999999994</v>
      </c>
      <c r="AN714" s="286" cm="1">
        <f t="array" aca="1" ref="AN714" ca="1">INDIRECT("'"&amp;$C714&amp;"'!"&amp;"$"&amp;$D714&amp;$AL$1&amp;"")</f>
        <v>4</v>
      </c>
      <c r="AO714" s="289">
        <v>0.98</v>
      </c>
      <c r="AP714" s="287">
        <v>0.86</v>
      </c>
      <c r="AQ714" s="288" cm="1">
        <f t="array" aca="1" ref="AQ714" ca="1">INDIRECT("'"&amp;$C714&amp;"'!"&amp;"$"&amp;$D714&amp;$AQ$1&amp;"")</f>
        <v>4</v>
      </c>
      <c r="AR714" s="289">
        <v>0.98</v>
      </c>
      <c r="AS714" s="287">
        <v>0.86</v>
      </c>
      <c r="AT714" s="289" cm="1">
        <f t="array" aca="1" ref="AT714" ca="1">INDIRECT("'"&amp;$C714&amp;"'!"&amp;"$"&amp;$D714&amp;$AT$1&amp;"")</f>
        <v>0</v>
      </c>
      <c r="AU714" s="288" t="s">
        <v>1</v>
      </c>
      <c r="AV714" s="289" t="s">
        <v>1</v>
      </c>
      <c r="AW714" s="287" t="s">
        <v>1</v>
      </c>
      <c r="AX714" s="291">
        <v>14.14</v>
      </c>
      <c r="AY714" s="290">
        <v>71.13</v>
      </c>
      <c r="AZ714" s="291" cm="1">
        <f t="array" aca="1" ref="AZ714" ca="1">INDIRECT("'"&amp;$C714&amp;"'!"&amp;"$"&amp;$D714&amp;$AZ$1&amp;"")</f>
        <v>14.28</v>
      </c>
      <c r="BA714" s="289">
        <v>0.98</v>
      </c>
      <c r="BB714" s="287">
        <v>3.48</v>
      </c>
      <c r="BC714" s="292">
        <v>68</v>
      </c>
      <c r="BD714" s="286" cm="1">
        <f t="array" aca="1" ref="BD714" ca="1">INDIRECT("'"&amp;$C714&amp;"'!"&amp;"$"&amp;$D714&amp;$BC$1&amp;"")</f>
        <v>3</v>
      </c>
      <c r="BE714" s="288">
        <v>0.95</v>
      </c>
      <c r="BF714" s="287">
        <v>0.98</v>
      </c>
      <c r="BG714" s="291" cm="1">
        <f t="array" aca="1" ref="BG714" ca="1">INDIRECT("'"&amp;$C714&amp;"'!"&amp;"$"&amp;$D714&amp;$BG$1&amp;"")</f>
        <v>1.27</v>
      </c>
      <c r="BH714" s="289"/>
      <c r="BI714" s="289">
        <v>0.99</v>
      </c>
      <c r="BJ714" s="287">
        <v>0.2</v>
      </c>
      <c r="BK714" s="292" cm="1">
        <f t="array" aca="1" ref="BK714" ca="1">INDIRECT("'"&amp;$C714&amp;"'!"&amp;"$"&amp;$D714&amp;$BK$1&amp;"")</f>
        <v>0.81</v>
      </c>
      <c r="BL714" s="289"/>
      <c r="BM714" s="289">
        <v>0.96</v>
      </c>
      <c r="BN714" s="287">
        <v>0.23</v>
      </c>
    </row>
    <row r="715" spans="1:66" ht="14.45" thickBot="1">
      <c r="A715" s="360">
        <v>45776</v>
      </c>
      <c r="B715" s="358">
        <v>0.41666666666666702</v>
      </c>
      <c r="C715" s="313">
        <f t="shared" si="28"/>
        <v>29</v>
      </c>
      <c r="D715" s="314" t="s">
        <v>137</v>
      </c>
      <c r="E715" s="293">
        <v>14.2</v>
      </c>
      <c r="F715" s="294">
        <v>69.13</v>
      </c>
      <c r="G715" s="295" cm="1">
        <f t="array" aca="1" ref="G715" ca="1">INDIRECT("'"&amp;$C715&amp;"'!"&amp;"$"&amp;$D715&amp;$E$1&amp;"")</f>
        <v>5.7</v>
      </c>
      <c r="H715" s="296">
        <v>0.91</v>
      </c>
      <c r="I715" s="294">
        <v>2.56</v>
      </c>
      <c r="J715" s="295" cm="1">
        <f t="array" aca="1" ref="J715" ca="1">INDIRECT("'"&amp;$C715&amp;"'!"&amp;"$"&amp;$D715&amp;$J$1&amp;"")</f>
        <v>5.7</v>
      </c>
      <c r="K715" s="296"/>
      <c r="L715" s="296">
        <v>0.91</v>
      </c>
      <c r="M715" s="294">
        <v>2.59</v>
      </c>
      <c r="N715" s="295" cm="1">
        <f t="array" aca="1" ref="N715" ca="1">INDIRECT("'"&amp;$C715&amp;"'!"&amp;"$"&amp;$D715&amp;$N$1&amp;"")</f>
        <v>6.5</v>
      </c>
      <c r="O715" s="296"/>
      <c r="P715" s="296">
        <v>0.92</v>
      </c>
      <c r="Q715" s="294">
        <v>2.34</v>
      </c>
      <c r="R715" s="295" cm="1">
        <f t="array" aca="1" ref="R715" ca="1">INDIRECT("'"&amp;$C715&amp;"'!"&amp;"$"&amp;$D715&amp;$R$1&amp;"")</f>
        <v>5.7</v>
      </c>
      <c r="S715" s="296"/>
      <c r="T715" s="296">
        <v>0.91</v>
      </c>
      <c r="U715" s="294">
        <v>2.5499999999999998</v>
      </c>
      <c r="V715" s="295" cm="1">
        <f t="array" aca="1" ref="V715" ca="1">INDIRECT("'"&amp;$C715&amp;"'!"&amp;"$"&amp;$D715&amp;$V$1&amp;"")</f>
        <v>2.8</v>
      </c>
      <c r="W715" s="296">
        <f>3.8*3.48</f>
        <v>13.224</v>
      </c>
      <c r="X715" s="296">
        <v>0.93</v>
      </c>
      <c r="Y715" s="297">
        <v>1.47</v>
      </c>
      <c r="Z715" s="293" cm="1">
        <f t="array" aca="1" ref="Z715" ca="1">INDIRECT("'"&amp;$C715&amp;"'!"&amp;"$"&amp;$D715&amp;$Z$1&amp;"")</f>
        <v>0</v>
      </c>
      <c r="AA715" s="296" t="s">
        <v>1</v>
      </c>
      <c r="AB715" s="296" t="s">
        <v>1</v>
      </c>
      <c r="AC715" s="294" t="s">
        <v>1</v>
      </c>
      <c r="AD715" s="295" cm="1">
        <f t="array" aca="1" ref="AD715" ca="1">INDIRECT("'"&amp;$C715&amp;"'!"&amp;"$"&amp;$D715&amp;$AD$1&amp;"")</f>
        <v>3.8</v>
      </c>
      <c r="AE715" s="296">
        <f>3.8*3.48</f>
        <v>13.224</v>
      </c>
      <c r="AF715" s="296">
        <v>0.93</v>
      </c>
      <c r="AG715" s="297">
        <v>1.47</v>
      </c>
      <c r="AH715" s="293" cm="1">
        <f t="array" aca="1" ref="AH715" ca="1">INDIRECT("'"&amp;$C715&amp;"'!"&amp;"$"&amp;$D715&amp;$AH$1&amp;"")</f>
        <v>3.8</v>
      </c>
      <c r="AI715" s="296">
        <v>13.88</v>
      </c>
      <c r="AJ715" s="296">
        <v>0.99</v>
      </c>
      <c r="AK715" s="294">
        <v>0.16700000000000001</v>
      </c>
      <c r="AL715" s="293">
        <v>11.8</v>
      </c>
      <c r="AM715" s="297">
        <v>70.099999999999994</v>
      </c>
      <c r="AN715" s="293" cm="1">
        <f t="array" aca="1" ref="AN715" ca="1">INDIRECT("'"&amp;$C715&amp;"'!"&amp;"$"&amp;$D715&amp;$AL$1&amp;"")</f>
        <v>4.0999999999999996</v>
      </c>
      <c r="AO715" s="296">
        <v>0.98</v>
      </c>
      <c r="AP715" s="294">
        <v>0.81</v>
      </c>
      <c r="AQ715" s="295" cm="1">
        <f t="array" aca="1" ref="AQ715" ca="1">INDIRECT("'"&amp;$C715&amp;"'!"&amp;"$"&amp;$D715&amp;$AQ$1&amp;"")</f>
        <v>4.0999999999999996</v>
      </c>
      <c r="AR715" s="296">
        <v>0.98</v>
      </c>
      <c r="AS715" s="294">
        <v>0.81</v>
      </c>
      <c r="AT715" s="296" cm="1">
        <f t="array" aca="1" ref="AT715" ca="1">INDIRECT("'"&amp;$C715&amp;"'!"&amp;"$"&amp;$D715&amp;$AT$1&amp;"")</f>
        <v>2.61</v>
      </c>
      <c r="AU715" s="295">
        <v>13.75</v>
      </c>
      <c r="AV715" s="296">
        <v>0.93</v>
      </c>
      <c r="AW715" s="294">
        <v>1.02</v>
      </c>
      <c r="AX715" s="298">
        <v>14.25</v>
      </c>
      <c r="AY715" s="297">
        <v>71.540000000000006</v>
      </c>
      <c r="AZ715" s="298" cm="1">
        <f t="array" aca="1" ref="AZ715" ca="1">INDIRECT("'"&amp;$C715&amp;"'!"&amp;"$"&amp;$D715&amp;$AZ$1&amp;"")</f>
        <v>14.26</v>
      </c>
      <c r="BA715" s="296">
        <v>0.98</v>
      </c>
      <c r="BB715" s="294">
        <v>4.37</v>
      </c>
      <c r="BC715" s="299">
        <v>67.400000000000006</v>
      </c>
      <c r="BD715" s="293" cm="1">
        <f t="array" aca="1" ref="BD715" ca="1">INDIRECT("'"&amp;$C715&amp;"'!"&amp;"$"&amp;$D715&amp;$BC$1&amp;"")</f>
        <v>0</v>
      </c>
      <c r="BE715" s="295" t="s">
        <v>1</v>
      </c>
      <c r="BF715" s="294" t="s">
        <v>1</v>
      </c>
      <c r="BG715" s="298" cm="1">
        <f t="array" aca="1" ref="BG715" ca="1">INDIRECT("'"&amp;$C715&amp;"'!"&amp;"$"&amp;$D715&amp;$BG$1&amp;"")</f>
        <v>1.47</v>
      </c>
      <c r="BH715" s="296"/>
      <c r="BI715" s="296">
        <v>0.99</v>
      </c>
      <c r="BJ715" s="294">
        <v>0.23</v>
      </c>
      <c r="BK715" s="299" cm="1">
        <f t="array" aca="1" ref="BK715" ca="1">INDIRECT("'"&amp;$C715&amp;"'!"&amp;"$"&amp;$D715&amp;$BK$1&amp;"")</f>
        <v>0.84</v>
      </c>
      <c r="BL715" s="296"/>
      <c r="BM715" s="296">
        <v>0.96</v>
      </c>
      <c r="BN715" s="294">
        <v>0.24</v>
      </c>
    </row>
    <row r="716" spans="1:66" ht="14.45" thickBot="1">
      <c r="A716" s="360">
        <v>45776</v>
      </c>
      <c r="B716" s="358">
        <v>0.45833333333333398</v>
      </c>
      <c r="C716" s="313">
        <f t="shared" si="28"/>
        <v>29</v>
      </c>
      <c r="D716" s="314" t="s">
        <v>138</v>
      </c>
      <c r="E716" s="286">
        <v>14.3</v>
      </c>
      <c r="F716" s="287">
        <v>69.900000000000006</v>
      </c>
      <c r="G716" s="288" cm="1">
        <f t="array" aca="1" ref="G716" ca="1">INDIRECT("'"&amp;$C716&amp;"'!"&amp;"$"&amp;$D716&amp;$E$1&amp;"")</f>
        <v>6.7</v>
      </c>
      <c r="H716" s="289">
        <v>0.92</v>
      </c>
      <c r="I716" s="287">
        <v>2.85</v>
      </c>
      <c r="J716" s="288" cm="1">
        <f t="array" aca="1" ref="J716" ca="1">INDIRECT("'"&amp;$C716&amp;"'!"&amp;"$"&amp;$D716&amp;$J$1&amp;"")</f>
        <v>6.7</v>
      </c>
      <c r="K716" s="289"/>
      <c r="L716" s="289">
        <v>0.92</v>
      </c>
      <c r="M716" s="287">
        <v>2.83</v>
      </c>
      <c r="N716" s="288" cm="1">
        <f t="array" aca="1" ref="N716" ca="1">INDIRECT("'"&amp;$C716&amp;"'!"&amp;"$"&amp;$D716&amp;$N$1&amp;"")</f>
        <v>6.7</v>
      </c>
      <c r="O716" s="289"/>
      <c r="P716" s="289">
        <v>0.92</v>
      </c>
      <c r="Q716" s="287">
        <v>2.89</v>
      </c>
      <c r="R716" s="288" cm="1">
        <f t="array" aca="1" ref="R716" ca="1">INDIRECT("'"&amp;$C716&amp;"'!"&amp;"$"&amp;$D716&amp;$R$1&amp;"")</f>
        <v>6.7</v>
      </c>
      <c r="S716" s="289"/>
      <c r="T716" s="289">
        <v>0.92</v>
      </c>
      <c r="U716" s="287">
        <v>2.87</v>
      </c>
      <c r="V716" s="288" cm="1">
        <f t="array" aca="1" ref="V716" ca="1">INDIRECT("'"&amp;$C716&amp;"'!"&amp;"$"&amp;$D716&amp;$V$1&amp;"")</f>
        <v>2.5</v>
      </c>
      <c r="W716" s="289">
        <f>3.8*3.52</f>
        <v>13.375999999999999</v>
      </c>
      <c r="X716" s="289">
        <v>0.93</v>
      </c>
      <c r="Y716" s="290">
        <v>0.99</v>
      </c>
      <c r="Z716" s="286" cm="1">
        <f t="array" aca="1" ref="Z716" ca="1">INDIRECT("'"&amp;$C716&amp;"'!"&amp;"$"&amp;$D716&amp;$Z$1&amp;"")</f>
        <v>0</v>
      </c>
      <c r="AA716" s="289" t="s">
        <v>1</v>
      </c>
      <c r="AB716" s="289" t="s">
        <v>1</v>
      </c>
      <c r="AC716" s="287" t="s">
        <v>1</v>
      </c>
      <c r="AD716" s="288" cm="1">
        <f t="array" aca="1" ref="AD716" ca="1">INDIRECT("'"&amp;$C716&amp;"'!"&amp;"$"&amp;$D716&amp;$AD$1&amp;"")</f>
        <v>3.5</v>
      </c>
      <c r="AE716" s="289">
        <f>3.8*3.52</f>
        <v>13.375999999999999</v>
      </c>
      <c r="AF716" s="289">
        <v>0.93</v>
      </c>
      <c r="AG716" s="290">
        <v>1.4</v>
      </c>
      <c r="AH716" s="286" cm="1">
        <f t="array" aca="1" ref="AH716" ca="1">INDIRECT("'"&amp;$C716&amp;"'!"&amp;"$"&amp;$D716&amp;$AH$1&amp;"")</f>
        <v>3</v>
      </c>
      <c r="AI716" s="289">
        <v>13.96</v>
      </c>
      <c r="AJ716" s="289">
        <v>0.96</v>
      </c>
      <c r="AK716" s="287">
        <v>0.69199999999999995</v>
      </c>
      <c r="AL716" s="286">
        <v>11.8</v>
      </c>
      <c r="AM716" s="290">
        <v>70.7</v>
      </c>
      <c r="AN716" s="286" cm="1">
        <f t="array" aca="1" ref="AN716" ca="1">INDIRECT("'"&amp;$C716&amp;"'!"&amp;"$"&amp;$D716&amp;$AL$1&amp;"")</f>
        <v>3.8</v>
      </c>
      <c r="AO716" s="289">
        <v>0.98</v>
      </c>
      <c r="AP716" s="287">
        <v>0.83</v>
      </c>
      <c r="AQ716" s="288" cm="1">
        <f t="array" aca="1" ref="AQ716" ca="1">INDIRECT("'"&amp;$C716&amp;"'!"&amp;"$"&amp;$D716&amp;$AQ$1&amp;"")</f>
        <v>3.8</v>
      </c>
      <c r="AR716" s="289">
        <v>0.98</v>
      </c>
      <c r="AS716" s="287">
        <v>0.83</v>
      </c>
      <c r="AT716" s="289" cm="1">
        <f t="array" aca="1" ref="AT716" ca="1">INDIRECT("'"&amp;$C716&amp;"'!"&amp;"$"&amp;$D716&amp;$AT$1&amp;"")</f>
        <v>2.9</v>
      </c>
      <c r="AU716" s="288">
        <v>13.84</v>
      </c>
      <c r="AV716" s="289">
        <v>0.96</v>
      </c>
      <c r="AW716" s="287">
        <v>0.79</v>
      </c>
      <c r="AX716" s="291">
        <v>14.26</v>
      </c>
      <c r="AY716" s="290">
        <v>71.52</v>
      </c>
      <c r="AZ716" s="291" cm="1">
        <f t="array" aca="1" ref="AZ716" ca="1">INDIRECT("'"&amp;$C716&amp;"'!"&amp;"$"&amp;$D716&amp;$AZ$1&amp;"")</f>
        <v>13.25</v>
      </c>
      <c r="BA716" s="289">
        <v>0.96</v>
      </c>
      <c r="BB716" s="287">
        <v>4.08</v>
      </c>
      <c r="BC716" s="292">
        <v>68.400000000000006</v>
      </c>
      <c r="BD716" s="286" cm="1">
        <f t="array" aca="1" ref="BD716" ca="1">INDIRECT("'"&amp;$C716&amp;"'!"&amp;"$"&amp;$D716&amp;$BC$1&amp;"")</f>
        <v>0</v>
      </c>
      <c r="BE716" s="288" t="s">
        <v>1</v>
      </c>
      <c r="BF716" s="287" t="s">
        <v>1</v>
      </c>
      <c r="BG716" s="291" cm="1">
        <f t="array" aca="1" ref="BG716" ca="1">INDIRECT("'"&amp;$C716&amp;"'!"&amp;"$"&amp;$D716&amp;$BG$1&amp;"")</f>
        <v>1.47</v>
      </c>
      <c r="BH716" s="289"/>
      <c r="BI716" s="289">
        <v>0.99</v>
      </c>
      <c r="BJ716" s="287">
        <v>0.23</v>
      </c>
      <c r="BK716" s="292" cm="1">
        <f t="array" aca="1" ref="BK716" ca="1">INDIRECT("'"&amp;$C716&amp;"'!"&amp;"$"&amp;$D716&amp;$BK$1&amp;"")</f>
        <v>0.88</v>
      </c>
      <c r="BL716" s="289"/>
      <c r="BM716" s="289">
        <v>0.96</v>
      </c>
      <c r="BN716" s="287">
        <v>0.25</v>
      </c>
    </row>
    <row r="717" spans="1:66" ht="14.45" thickBot="1">
      <c r="A717" s="360">
        <v>45776</v>
      </c>
      <c r="B717" s="358">
        <v>0.5</v>
      </c>
      <c r="C717" s="313">
        <f t="shared" si="28"/>
        <v>29</v>
      </c>
      <c r="D717" s="314" t="s">
        <v>139</v>
      </c>
      <c r="E717" s="293">
        <v>14.1</v>
      </c>
      <c r="F717" s="294">
        <v>69.680000000000007</v>
      </c>
      <c r="G717" s="295" cm="1">
        <f t="array" aca="1" ref="G717" ca="1">INDIRECT("'"&amp;$C717&amp;"'!"&amp;"$"&amp;$D717&amp;$E$1&amp;"")</f>
        <v>6.7</v>
      </c>
      <c r="H717" s="296">
        <v>0.91</v>
      </c>
      <c r="I717" s="294">
        <v>3</v>
      </c>
      <c r="J717" s="295" cm="1">
        <f t="array" aca="1" ref="J717" ca="1">INDIRECT("'"&amp;$C717&amp;"'!"&amp;"$"&amp;$D717&amp;$J$1&amp;"")</f>
        <v>6.7</v>
      </c>
      <c r="K717" s="296"/>
      <c r="L717" s="296">
        <v>0.91</v>
      </c>
      <c r="M717" s="294">
        <v>2.99</v>
      </c>
      <c r="N717" s="295" cm="1">
        <f t="array" aca="1" ref="N717" ca="1">INDIRECT("'"&amp;$C717&amp;"'!"&amp;"$"&amp;$D717&amp;$N$1&amp;"")</f>
        <v>6.7</v>
      </c>
      <c r="O717" s="296"/>
      <c r="P717" s="296">
        <v>0.91</v>
      </c>
      <c r="Q717" s="294">
        <v>3.05</v>
      </c>
      <c r="R717" s="295" cm="1">
        <f t="array" aca="1" ref="R717" ca="1">INDIRECT("'"&amp;$C717&amp;"'!"&amp;"$"&amp;$D717&amp;$R$1&amp;"")</f>
        <v>6.7</v>
      </c>
      <c r="S717" s="296"/>
      <c r="T717" s="296">
        <v>0.91</v>
      </c>
      <c r="U717" s="294">
        <v>3.04</v>
      </c>
      <c r="V717" s="295" cm="1">
        <f t="array" aca="1" ref="V717" ca="1">INDIRECT("'"&amp;$C717&amp;"'!"&amp;"$"&amp;$D717&amp;$V$1&amp;"")</f>
        <v>2.8</v>
      </c>
      <c r="W717" s="296">
        <f>3.8*3.5</f>
        <v>13.299999999999999</v>
      </c>
      <c r="X717" s="296">
        <v>0.93</v>
      </c>
      <c r="Y717" s="297">
        <v>1.1000000000000001</v>
      </c>
      <c r="Z717" s="293" cm="1">
        <f t="array" aca="1" ref="Z717" ca="1">INDIRECT("'"&amp;$C717&amp;"'!"&amp;"$"&amp;$D717&amp;$Z$1&amp;"")</f>
        <v>0</v>
      </c>
      <c r="AA717" s="296" t="s">
        <v>1</v>
      </c>
      <c r="AB717" s="296" t="s">
        <v>1</v>
      </c>
      <c r="AC717" s="294" t="s">
        <v>1</v>
      </c>
      <c r="AD717" s="295" cm="1">
        <f t="array" aca="1" ref="AD717" ca="1">INDIRECT("'"&amp;$C717&amp;"'!"&amp;"$"&amp;$D717&amp;$AD$1&amp;"")</f>
        <v>3.8</v>
      </c>
      <c r="AE717" s="296">
        <f>3.8*3.5</f>
        <v>13.299999999999999</v>
      </c>
      <c r="AF717" s="296">
        <v>0.92</v>
      </c>
      <c r="AG717" s="297">
        <v>1.59</v>
      </c>
      <c r="AH717" s="293" cm="1">
        <f t="array" aca="1" ref="AH717" ca="1">INDIRECT("'"&amp;$C717&amp;"'!"&amp;"$"&amp;$D717&amp;$AH$1&amp;"")</f>
        <v>3.8</v>
      </c>
      <c r="AI717" s="296">
        <v>13.96</v>
      </c>
      <c r="AJ717" s="296">
        <v>0.96</v>
      </c>
      <c r="AK717" s="294">
        <v>0.72799999999999998</v>
      </c>
      <c r="AL717" s="293">
        <v>11.9</v>
      </c>
      <c r="AM717" s="297">
        <v>70.2</v>
      </c>
      <c r="AN717" s="293" cm="1">
        <f t="array" aca="1" ref="AN717" ca="1">INDIRECT("'"&amp;$C717&amp;"'!"&amp;"$"&amp;$D717&amp;$AL$1&amp;"")</f>
        <v>4.0999999999999996</v>
      </c>
      <c r="AO717" s="296">
        <v>0.97</v>
      </c>
      <c r="AP717" s="294">
        <v>1</v>
      </c>
      <c r="AQ717" s="295" cm="1">
        <f t="array" aca="1" ref="AQ717" ca="1">INDIRECT("'"&amp;$C717&amp;"'!"&amp;"$"&amp;$D717&amp;$AQ$1&amp;"")</f>
        <v>4.0999999999999996</v>
      </c>
      <c r="AR717" s="296">
        <v>0.97</v>
      </c>
      <c r="AS717" s="294">
        <v>1</v>
      </c>
      <c r="AT717" s="296" cm="1">
        <f t="array" aca="1" ref="AT717" ca="1">INDIRECT("'"&amp;$C717&amp;"'!"&amp;"$"&amp;$D717&amp;$AT$1&amp;"")</f>
        <v>0</v>
      </c>
      <c r="AU717" s="295" t="s">
        <v>1</v>
      </c>
      <c r="AV717" s="296" t="s">
        <v>1</v>
      </c>
      <c r="AW717" s="294" t="s">
        <v>1</v>
      </c>
      <c r="AX717" s="298">
        <v>14.22</v>
      </c>
      <c r="AY717" s="297">
        <v>71.33</v>
      </c>
      <c r="AZ717" s="298" cm="1">
        <f t="array" aca="1" ref="AZ717" ca="1">INDIRECT("'"&amp;$C717&amp;"'!"&amp;"$"&amp;$D717&amp;$AZ$1&amp;"")</f>
        <v>14.24</v>
      </c>
      <c r="BA717" s="296">
        <v>0.96</v>
      </c>
      <c r="BB717" s="294">
        <v>4.3099999999999996</v>
      </c>
      <c r="BC717" s="299">
        <v>67.900000000000006</v>
      </c>
      <c r="BD717" s="293" cm="1">
        <f t="array" aca="1" ref="BD717" ca="1">INDIRECT("'"&amp;$C717&amp;"'!"&amp;"$"&amp;$D717&amp;$BC$1&amp;"")</f>
        <v>1.4</v>
      </c>
      <c r="BE717" s="295">
        <v>0.95</v>
      </c>
      <c r="BF717" s="294">
        <v>0.46</v>
      </c>
      <c r="BG717" s="298" cm="1">
        <f t="array" aca="1" ref="BG717" ca="1">INDIRECT("'"&amp;$C717&amp;"'!"&amp;"$"&amp;$D717&amp;$BG$1&amp;"")</f>
        <v>1.49</v>
      </c>
      <c r="BH717" s="296"/>
      <c r="BI717" s="296">
        <v>0.99</v>
      </c>
      <c r="BJ717" s="294">
        <v>0.22</v>
      </c>
      <c r="BK717" s="299" cm="1">
        <f t="array" aca="1" ref="BK717" ca="1">INDIRECT("'"&amp;$C717&amp;"'!"&amp;"$"&amp;$D717&amp;$BK$1&amp;"")</f>
        <v>0.9</v>
      </c>
      <c r="BL717" s="296"/>
      <c r="BM717" s="296">
        <v>0.96</v>
      </c>
      <c r="BN717" s="294">
        <v>0.25</v>
      </c>
    </row>
    <row r="718" spans="1:66" ht="14.45" thickBot="1">
      <c r="A718" s="360">
        <v>45776</v>
      </c>
      <c r="B718" s="358">
        <v>0.54166666666666696</v>
      </c>
      <c r="C718" s="313">
        <f t="shared" si="28"/>
        <v>29</v>
      </c>
      <c r="D718" s="314" t="s">
        <v>140</v>
      </c>
      <c r="E718" s="286">
        <v>14.3</v>
      </c>
      <c r="F718" s="287">
        <v>69.12</v>
      </c>
      <c r="G718" s="288" cm="1">
        <f t="array" aca="1" ref="G718" ca="1">INDIRECT("'"&amp;$C718&amp;"'!"&amp;"$"&amp;$D718&amp;$E$1&amp;"")</f>
        <v>6.6</v>
      </c>
      <c r="H718" s="289">
        <v>0.92</v>
      </c>
      <c r="I718" s="287">
        <v>2.74</v>
      </c>
      <c r="J718" s="288" cm="1">
        <f t="array" aca="1" ref="J718" ca="1">INDIRECT("'"&amp;$C718&amp;"'!"&amp;"$"&amp;$D718&amp;$J$1&amp;"")</f>
        <v>6.6</v>
      </c>
      <c r="K718" s="289"/>
      <c r="L718" s="289">
        <v>0.92</v>
      </c>
      <c r="M718" s="287">
        <v>2.71</v>
      </c>
      <c r="N718" s="288" cm="1">
        <f t="array" aca="1" ref="N718" ca="1">INDIRECT("'"&amp;$C718&amp;"'!"&amp;"$"&amp;$D718&amp;$N$1&amp;"")</f>
        <v>6.6</v>
      </c>
      <c r="O718" s="289"/>
      <c r="P718" s="289">
        <v>0.92</v>
      </c>
      <c r="Q718" s="287">
        <v>2.76</v>
      </c>
      <c r="R718" s="288" cm="1">
        <f t="array" aca="1" ref="R718" ca="1">INDIRECT("'"&amp;$C718&amp;"'!"&amp;"$"&amp;$D718&amp;$R$1&amp;"")</f>
        <v>6.6</v>
      </c>
      <c r="S718" s="289"/>
      <c r="T718" s="289">
        <v>0.92</v>
      </c>
      <c r="U718" s="287">
        <v>2.75</v>
      </c>
      <c r="V718" s="288" cm="1">
        <f t="array" aca="1" ref="V718" ca="1">INDIRECT("'"&amp;$C718&amp;"'!"&amp;"$"&amp;$D718&amp;$V$1&amp;"")</f>
        <v>2.8</v>
      </c>
      <c r="W718" s="289">
        <f>3.8*3.48</f>
        <v>13.224</v>
      </c>
      <c r="X718" s="289">
        <v>0.91</v>
      </c>
      <c r="Y718" s="290">
        <v>1.24</v>
      </c>
      <c r="Z718" s="286" cm="1">
        <f t="array" aca="1" ref="Z718" ca="1">INDIRECT("'"&amp;$C718&amp;"'!"&amp;"$"&amp;$D718&amp;$Z$1&amp;"")</f>
        <v>0</v>
      </c>
      <c r="AA718" s="289" t="s">
        <v>1</v>
      </c>
      <c r="AB718" s="289" t="s">
        <v>1</v>
      </c>
      <c r="AC718" s="287" t="s">
        <v>1</v>
      </c>
      <c r="AD718" s="288" cm="1">
        <f t="array" aca="1" ref="AD718" ca="1">INDIRECT("'"&amp;$C718&amp;"'!"&amp;"$"&amp;$D718&amp;$AD$1&amp;"")</f>
        <v>3.6</v>
      </c>
      <c r="AE718" s="289">
        <f>3.8*3.48</f>
        <v>13.224</v>
      </c>
      <c r="AF718" s="289">
        <v>0.91</v>
      </c>
      <c r="AG718" s="290">
        <v>1.71</v>
      </c>
      <c r="AH718" s="286" cm="1">
        <f t="array" aca="1" ref="AH718" ca="1">INDIRECT("'"&amp;$C718&amp;"'!"&amp;"$"&amp;$D718&amp;$AH$1&amp;"")</f>
        <v>3.8</v>
      </c>
      <c r="AI718" s="289">
        <v>13.88</v>
      </c>
      <c r="AJ718" s="289">
        <v>0.96</v>
      </c>
      <c r="AK718" s="287">
        <v>0.84299999999999997</v>
      </c>
      <c r="AL718" s="286">
        <v>11.9</v>
      </c>
      <c r="AM718" s="290" t="s">
        <v>152</v>
      </c>
      <c r="AN718" s="286" cm="1">
        <f t="array" aca="1" ref="AN718" ca="1">INDIRECT("'"&amp;$C718&amp;"'!"&amp;"$"&amp;$D718&amp;$AL$1&amp;"")</f>
        <v>4</v>
      </c>
      <c r="AO718" s="289">
        <v>0.95</v>
      </c>
      <c r="AP718" s="287">
        <v>1.42</v>
      </c>
      <c r="AQ718" s="288" cm="1">
        <f t="array" aca="1" ref="AQ718" ca="1">INDIRECT("'"&amp;$C718&amp;"'!"&amp;"$"&amp;$D718&amp;$AQ$1&amp;"")</f>
        <v>4</v>
      </c>
      <c r="AR718" s="289">
        <v>0.95</v>
      </c>
      <c r="AS718" s="287">
        <v>1.42</v>
      </c>
      <c r="AT718" s="289" cm="1">
        <f t="array" aca="1" ref="AT718" ca="1">INDIRECT("'"&amp;$C718&amp;"'!"&amp;"$"&amp;$D718&amp;$AT$1&amp;"")</f>
        <v>0</v>
      </c>
      <c r="AU718" s="288" t="s">
        <v>1</v>
      </c>
      <c r="AV718" s="289" t="s">
        <v>1</v>
      </c>
      <c r="AW718" s="287" t="s">
        <v>1</v>
      </c>
      <c r="AX718" s="291">
        <v>14.09</v>
      </c>
      <c r="AY718" s="290" t="s">
        <v>153</v>
      </c>
      <c r="AZ718" s="291" cm="1">
        <f t="array" aca="1" ref="AZ718" ca="1">INDIRECT("'"&amp;$C718&amp;"'!"&amp;"$"&amp;$D718&amp;$AZ$1&amp;"")</f>
        <v>12.7</v>
      </c>
      <c r="BA718" s="289">
        <v>0.96</v>
      </c>
      <c r="BB718" s="287">
        <v>3.92</v>
      </c>
      <c r="BC718" s="292">
        <v>67.2</v>
      </c>
      <c r="BD718" s="286" cm="1">
        <f t="array" aca="1" ref="BD718" ca="1">INDIRECT("'"&amp;$C718&amp;"'!"&amp;"$"&amp;$D718&amp;$BC$1&amp;"")</f>
        <v>0</v>
      </c>
      <c r="BE718" s="288" t="s">
        <v>1</v>
      </c>
      <c r="BF718" s="287" t="s">
        <v>1</v>
      </c>
      <c r="BG718" s="291" cm="1">
        <f t="array" aca="1" ref="BG718" ca="1">INDIRECT("'"&amp;$C718&amp;"'!"&amp;"$"&amp;$D718&amp;$BG$1&amp;"")</f>
        <v>1.48</v>
      </c>
      <c r="BH718" s="289"/>
      <c r="BI718" s="289">
        <v>0.99</v>
      </c>
      <c r="BJ718" s="287">
        <v>0.22</v>
      </c>
      <c r="BK718" s="292" cm="1">
        <f t="array" aca="1" ref="BK718" ca="1">INDIRECT("'"&amp;$C718&amp;"'!"&amp;"$"&amp;$D718&amp;$BK$1&amp;"")</f>
        <v>0.9</v>
      </c>
      <c r="BL718" s="289"/>
      <c r="BM718" s="289">
        <v>0.96</v>
      </c>
      <c r="BN718" s="287">
        <v>0.24</v>
      </c>
    </row>
    <row r="719" spans="1:66" ht="14.45" thickBot="1">
      <c r="A719" s="360">
        <v>45776</v>
      </c>
      <c r="B719" s="358">
        <v>0.58333333333333404</v>
      </c>
      <c r="C719" s="313">
        <f t="shared" si="28"/>
        <v>29</v>
      </c>
      <c r="D719" s="314" t="s">
        <v>141</v>
      </c>
      <c r="E719" s="293">
        <v>14.3</v>
      </c>
      <c r="F719" s="294">
        <v>69.45</v>
      </c>
      <c r="G719" s="295" cm="1">
        <f t="array" aca="1" ref="G719" ca="1">INDIRECT("'"&amp;$C719&amp;"'!"&amp;"$"&amp;$D719&amp;$E$1&amp;"")</f>
        <v>6.6</v>
      </c>
      <c r="H719" s="296">
        <v>0.91</v>
      </c>
      <c r="I719" s="294">
        <v>3.03</v>
      </c>
      <c r="J719" s="295" cm="1">
        <f t="array" aca="1" ref="J719" ca="1">INDIRECT("'"&amp;$C719&amp;"'!"&amp;"$"&amp;$D719&amp;$J$1&amp;"")</f>
        <v>6.6</v>
      </c>
      <c r="K719" s="296"/>
      <c r="L719" s="296">
        <v>0.91</v>
      </c>
      <c r="M719" s="294">
        <v>3.05</v>
      </c>
      <c r="N719" s="295" cm="1">
        <f t="array" aca="1" ref="N719" ca="1">INDIRECT("'"&amp;$C719&amp;"'!"&amp;"$"&amp;$D719&amp;$N$1&amp;"")</f>
        <v>6.6</v>
      </c>
      <c r="O719" s="296"/>
      <c r="P719" s="296">
        <v>0.9</v>
      </c>
      <c r="Q719" s="294">
        <v>3.12</v>
      </c>
      <c r="R719" s="295" cm="1">
        <f t="array" aca="1" ref="R719" ca="1">INDIRECT("'"&amp;$C719&amp;"'!"&amp;"$"&amp;$D719&amp;$R$1&amp;"")</f>
        <v>6.6</v>
      </c>
      <c r="S719" s="296"/>
      <c r="T719" s="296">
        <v>0.91</v>
      </c>
      <c r="U719" s="294">
        <v>3.03</v>
      </c>
      <c r="V719" s="295" cm="1">
        <f t="array" aca="1" ref="V719" ca="1">INDIRECT("'"&amp;$C719&amp;"'!"&amp;"$"&amp;$D719&amp;$V$1&amp;"")</f>
        <v>2</v>
      </c>
      <c r="W719" s="296">
        <f>3.8*3.48</f>
        <v>13.224</v>
      </c>
      <c r="X719" s="296">
        <v>0.9</v>
      </c>
      <c r="Y719" s="297">
        <v>1.22</v>
      </c>
      <c r="Z719" s="293" cm="1">
        <f t="array" aca="1" ref="Z719" ca="1">INDIRECT("'"&amp;$C719&amp;"'!"&amp;"$"&amp;$D719&amp;$Z$1&amp;"")</f>
        <v>0</v>
      </c>
      <c r="AA719" s="296" t="s">
        <v>1</v>
      </c>
      <c r="AB719" s="296" t="s">
        <v>1</v>
      </c>
      <c r="AC719" s="294" t="s">
        <v>1</v>
      </c>
      <c r="AD719" s="295" cm="1">
        <f t="array" aca="1" ref="AD719" ca="1">INDIRECT("'"&amp;$C719&amp;"'!"&amp;"$"&amp;$D719&amp;$AD$1&amp;"")</f>
        <v>3</v>
      </c>
      <c r="AE719" s="296">
        <f>3.8*3.48</f>
        <v>13.224</v>
      </c>
      <c r="AF719" s="296">
        <v>0.91</v>
      </c>
      <c r="AG719" s="297">
        <v>0.75</v>
      </c>
      <c r="AH719" s="293" cm="1">
        <f t="array" aca="1" ref="AH719" ca="1">INDIRECT("'"&amp;$C719&amp;"'!"&amp;"$"&amp;$D719&amp;$AH$1&amp;"")</f>
        <v>3</v>
      </c>
      <c r="AI719" s="296">
        <v>13.96</v>
      </c>
      <c r="AJ719" s="296">
        <v>0.94</v>
      </c>
      <c r="AK719" s="294">
        <v>1.1499999999999999</v>
      </c>
      <c r="AL719" s="293">
        <v>11.9</v>
      </c>
      <c r="AM719" s="297">
        <v>70.2</v>
      </c>
      <c r="AN719" s="293" cm="1">
        <f t="array" aca="1" ref="AN719" ca="1">INDIRECT("'"&amp;$C719&amp;"'!"&amp;"$"&amp;$D719&amp;$AL$1&amp;"")</f>
        <v>4</v>
      </c>
      <c r="AO719" s="296">
        <v>0.95</v>
      </c>
      <c r="AP719" s="294">
        <v>1.19</v>
      </c>
      <c r="AQ719" s="295" cm="1">
        <f t="array" aca="1" ref="AQ719" ca="1">INDIRECT("'"&amp;$C719&amp;"'!"&amp;"$"&amp;$D719&amp;$AQ$1&amp;"")</f>
        <v>4</v>
      </c>
      <c r="AR719" s="296">
        <v>0.95</v>
      </c>
      <c r="AS719" s="294">
        <v>1.19</v>
      </c>
      <c r="AT719" s="296" cm="1">
        <f t="array" aca="1" ref="AT719" ca="1">INDIRECT("'"&amp;$C719&amp;"'!"&amp;"$"&amp;$D719&amp;$AT$1&amp;"")</f>
        <v>0</v>
      </c>
      <c r="AU719" s="295" t="s">
        <v>1</v>
      </c>
      <c r="AV719" s="296" t="s">
        <v>1</v>
      </c>
      <c r="AW719" s="294" t="s">
        <v>1</v>
      </c>
      <c r="AX719" s="298">
        <v>14.36</v>
      </c>
      <c r="AY719" s="297">
        <v>71.67</v>
      </c>
      <c r="AZ719" s="298" cm="1">
        <f t="array" aca="1" ref="AZ719" ca="1">INDIRECT("'"&amp;$C719&amp;"'!"&amp;"$"&amp;$D719&amp;$AZ$1&amp;"")</f>
        <v>14.22</v>
      </c>
      <c r="BA719" s="296">
        <v>0.94</v>
      </c>
      <c r="BB719" s="294">
        <v>5.34</v>
      </c>
      <c r="BC719" s="299">
        <v>67.5</v>
      </c>
      <c r="BD719" s="293" cm="1">
        <f t="array" aca="1" ref="BD719" ca="1">INDIRECT("'"&amp;$C719&amp;"'!"&amp;"$"&amp;$D719&amp;$BC$1&amp;"")</f>
        <v>0</v>
      </c>
      <c r="BE719" s="295" t="s">
        <v>1</v>
      </c>
      <c r="BF719" s="294" t="s">
        <v>1</v>
      </c>
      <c r="BG719" s="298" cm="1">
        <f t="array" aca="1" ref="BG719" ca="1">INDIRECT("'"&amp;$C719&amp;"'!"&amp;"$"&amp;$D719&amp;$BG$1&amp;"")</f>
        <v>1.5</v>
      </c>
      <c r="BH719" s="296"/>
      <c r="BI719" s="296">
        <v>0.99</v>
      </c>
      <c r="BJ719" s="294">
        <v>0.24</v>
      </c>
      <c r="BK719" s="299" cm="1">
        <f t="array" aca="1" ref="BK719" ca="1">INDIRECT("'"&amp;$C719&amp;"'!"&amp;"$"&amp;$D719&amp;$BK$1&amp;"")</f>
        <v>0.94</v>
      </c>
      <c r="BL719" s="296"/>
      <c r="BM719" s="296">
        <v>0.96</v>
      </c>
      <c r="BN719" s="294">
        <v>0.27</v>
      </c>
    </row>
    <row r="720" spans="1:66" ht="14.45" thickBot="1">
      <c r="A720" s="360">
        <v>45776</v>
      </c>
      <c r="B720" s="358">
        <v>0.625</v>
      </c>
      <c r="C720" s="313">
        <f t="shared" si="28"/>
        <v>29</v>
      </c>
      <c r="D720" s="314" t="s">
        <v>142</v>
      </c>
      <c r="E720" s="286">
        <v>14.1</v>
      </c>
      <c r="F720" s="287">
        <v>69.900000000000006</v>
      </c>
      <c r="G720" s="288" cm="1">
        <f t="array" aca="1" ref="G720" ca="1">INDIRECT("'"&amp;$C720&amp;"'!"&amp;"$"&amp;$D720&amp;$E$1&amp;"")</f>
        <v>6.7</v>
      </c>
      <c r="H720" s="289">
        <v>0.91</v>
      </c>
      <c r="I720" s="287">
        <v>3.08</v>
      </c>
      <c r="J720" s="288" cm="1">
        <f t="array" aca="1" ref="J720" ca="1">INDIRECT("'"&amp;$C720&amp;"'!"&amp;"$"&amp;$D720&amp;$J$1&amp;"")</f>
        <v>6.7</v>
      </c>
      <c r="K720" s="289"/>
      <c r="L720" s="289">
        <v>0.91</v>
      </c>
      <c r="M720" s="287">
        <v>3.05</v>
      </c>
      <c r="N720" s="288" cm="1">
        <f t="array" aca="1" ref="N720" ca="1">INDIRECT("'"&amp;$C720&amp;"'!"&amp;"$"&amp;$D720&amp;$N$1&amp;"")</f>
        <v>6.7</v>
      </c>
      <c r="O720" s="289"/>
      <c r="P720" s="289">
        <v>0.91</v>
      </c>
      <c r="Q720" s="287">
        <v>3.07</v>
      </c>
      <c r="R720" s="288" cm="1">
        <f t="array" aca="1" ref="R720" ca="1">INDIRECT("'"&amp;$C720&amp;"'!"&amp;"$"&amp;$D720&amp;$R$1&amp;"")</f>
        <v>6.7</v>
      </c>
      <c r="S720" s="289"/>
      <c r="T720" s="289">
        <v>0.91</v>
      </c>
      <c r="U720" s="287">
        <v>3.09</v>
      </c>
      <c r="V720" s="288" cm="1">
        <f t="array" aca="1" ref="V720" ca="1">INDIRECT("'"&amp;$C720&amp;"'!"&amp;"$"&amp;$D720&amp;$V$1&amp;"")</f>
        <v>2.8</v>
      </c>
      <c r="W720" s="289">
        <f>3.8*3.51</f>
        <v>13.337999999999999</v>
      </c>
      <c r="X720" s="289">
        <v>0.91</v>
      </c>
      <c r="Y720" s="290">
        <v>1.25</v>
      </c>
      <c r="Z720" s="286" cm="1">
        <f t="array" aca="1" ref="Z720" ca="1">INDIRECT("'"&amp;$C720&amp;"'!"&amp;"$"&amp;$D720&amp;$Z$1&amp;"")</f>
        <v>0</v>
      </c>
      <c r="AA720" s="289" t="s">
        <v>1</v>
      </c>
      <c r="AB720" s="289" t="s">
        <v>1</v>
      </c>
      <c r="AC720" s="287" t="s">
        <v>1</v>
      </c>
      <c r="AD720" s="288" cm="1">
        <f t="array" aca="1" ref="AD720" ca="1">INDIRECT("'"&amp;$C720&amp;"'!"&amp;"$"&amp;$D720&amp;$AD$1&amp;"")</f>
        <v>3.8</v>
      </c>
      <c r="AE720" s="289">
        <f>3.8*3.51</f>
        <v>13.337999999999999</v>
      </c>
      <c r="AF720" s="289">
        <v>0.9</v>
      </c>
      <c r="AG720" s="290">
        <v>1.82</v>
      </c>
      <c r="AH720" s="286" cm="1">
        <f t="array" aca="1" ref="AH720" ca="1">INDIRECT("'"&amp;$C720&amp;"'!"&amp;"$"&amp;$D720&amp;$AH$1&amp;"")</f>
        <v>3.8</v>
      </c>
      <c r="AI720" s="289">
        <v>13.96</v>
      </c>
      <c r="AJ720" s="289">
        <v>0.96</v>
      </c>
      <c r="AK720" s="290">
        <v>0.92</v>
      </c>
      <c r="AL720" s="286">
        <v>11.9</v>
      </c>
      <c r="AM720" s="290">
        <v>70.2</v>
      </c>
      <c r="AN720" s="286" cm="1">
        <f t="array" aca="1" ref="AN720" ca="1">INDIRECT("'"&amp;$C720&amp;"'!"&amp;"$"&amp;$D720&amp;$AL$1&amp;"")</f>
        <v>4.0999999999999996</v>
      </c>
      <c r="AO720" s="289">
        <v>0.97</v>
      </c>
      <c r="AP720" s="287">
        <v>0.86</v>
      </c>
      <c r="AQ720" s="288" cm="1">
        <f t="array" aca="1" ref="AQ720" ca="1">INDIRECT("'"&amp;$C720&amp;"'!"&amp;"$"&amp;$D720&amp;$AQ$1&amp;"")</f>
        <v>4.0999999999999996</v>
      </c>
      <c r="AR720" s="289">
        <v>0.97</v>
      </c>
      <c r="AS720" s="287">
        <v>0.86</v>
      </c>
      <c r="AT720" s="289" cm="1">
        <f t="array" aca="1" ref="AT720" ca="1">INDIRECT("'"&amp;$C720&amp;"'!"&amp;"$"&amp;$D720&amp;$AT$1&amp;"")</f>
        <v>0</v>
      </c>
      <c r="AU720" s="288" t="s">
        <v>1</v>
      </c>
      <c r="AV720" s="289" t="s">
        <v>1</v>
      </c>
      <c r="AW720" s="287" t="s">
        <v>1</v>
      </c>
      <c r="AX720" s="291">
        <v>14.23</v>
      </c>
      <c r="AY720" s="290">
        <v>71.33</v>
      </c>
      <c r="AZ720" s="291" cm="1">
        <f t="array" aca="1" ref="AZ720" ca="1">INDIRECT("'"&amp;$C720&amp;"'!"&amp;"$"&amp;$D720&amp;$AZ$1&amp;"")</f>
        <v>14.21</v>
      </c>
      <c r="BA720" s="289">
        <v>0.96</v>
      </c>
      <c r="BB720" s="287">
        <v>4.42</v>
      </c>
      <c r="BC720" s="292">
        <v>68</v>
      </c>
      <c r="BD720" s="286" cm="1">
        <f t="array" aca="1" ref="BD720" ca="1">INDIRECT("'"&amp;$C720&amp;"'!"&amp;"$"&amp;$D720&amp;$BC$1&amp;"")</f>
        <v>1.4</v>
      </c>
      <c r="BE720" s="288">
        <v>0.95</v>
      </c>
      <c r="BF720" s="287">
        <v>0.46</v>
      </c>
      <c r="BG720" s="291" cm="1">
        <f t="array" aca="1" ref="BG720" ca="1">INDIRECT("'"&amp;$C720&amp;"'!"&amp;"$"&amp;$D720&amp;$BG$1&amp;"")</f>
        <v>1.5</v>
      </c>
      <c r="BH720" s="289"/>
      <c r="BI720" s="289">
        <v>0.99</v>
      </c>
      <c r="BJ720" s="287">
        <v>0.24</v>
      </c>
      <c r="BK720" s="292" cm="1">
        <f t="array" aca="1" ref="BK720" ca="1">INDIRECT("'"&amp;$C720&amp;"'!"&amp;"$"&amp;$D720&amp;$BK$1&amp;"")</f>
        <v>0.94</v>
      </c>
      <c r="BL720" s="289"/>
      <c r="BM720" s="289">
        <v>0.96</v>
      </c>
      <c r="BN720" s="287">
        <v>0.25</v>
      </c>
    </row>
    <row r="721" spans="1:66" ht="14.45" thickBot="1">
      <c r="A721" s="360">
        <v>45776</v>
      </c>
      <c r="B721" s="358">
        <v>0.66666666666666696</v>
      </c>
      <c r="C721" s="313">
        <f t="shared" si="28"/>
        <v>29</v>
      </c>
      <c r="D721" s="314" t="s">
        <v>143</v>
      </c>
      <c r="E721" s="293">
        <v>14.1</v>
      </c>
      <c r="F721" s="294">
        <v>69.569999999999993</v>
      </c>
      <c r="G721" s="295" cm="1">
        <f t="array" aca="1" ref="G721" ca="1">INDIRECT("'"&amp;$C721&amp;"'!"&amp;"$"&amp;$D721&amp;$E$1&amp;"")</f>
        <v>6.7</v>
      </c>
      <c r="H721" s="296">
        <v>0.9</v>
      </c>
      <c r="I721" s="294">
        <v>3.31</v>
      </c>
      <c r="J721" s="295" cm="1">
        <f t="array" aca="1" ref="J721" ca="1">INDIRECT("'"&amp;$C721&amp;"'!"&amp;"$"&amp;$D721&amp;$J$1&amp;"")</f>
        <v>6.7</v>
      </c>
      <c r="K721" s="296"/>
      <c r="L721" s="296">
        <v>0.9</v>
      </c>
      <c r="M721" s="294">
        <v>3.3</v>
      </c>
      <c r="N721" s="295" cm="1">
        <f t="array" aca="1" ref="N721" ca="1">INDIRECT("'"&amp;$C721&amp;"'!"&amp;"$"&amp;$D721&amp;$N$1&amp;"")</f>
        <v>6.7</v>
      </c>
      <c r="O721" s="296"/>
      <c r="P721" s="296">
        <v>0.9</v>
      </c>
      <c r="Q721" s="294">
        <v>3.29</v>
      </c>
      <c r="R721" s="295" cm="1">
        <f t="array" aca="1" ref="R721" ca="1">INDIRECT("'"&amp;$C721&amp;"'!"&amp;"$"&amp;$D721&amp;$R$1&amp;"")</f>
        <v>6.7</v>
      </c>
      <c r="S721" s="296"/>
      <c r="T721" s="296">
        <v>0.9</v>
      </c>
      <c r="U721" s="294">
        <v>3.3</v>
      </c>
      <c r="V721" s="295" cm="1">
        <f t="array" aca="1" ref="V721" ca="1">INDIRECT("'"&amp;$C721&amp;"'!"&amp;"$"&amp;$D721&amp;$V$1&amp;"")</f>
        <v>2.8</v>
      </c>
      <c r="W721" s="296">
        <f>3.8*3.51</f>
        <v>13.337999999999999</v>
      </c>
      <c r="X721" s="296">
        <v>0.91</v>
      </c>
      <c r="Y721" s="297">
        <v>1.29</v>
      </c>
      <c r="Z721" s="293" cm="1">
        <f t="array" aca="1" ref="Z721" ca="1">INDIRECT("'"&amp;$C721&amp;"'!"&amp;"$"&amp;$D721&amp;$Z$1&amp;"")</f>
        <v>0</v>
      </c>
      <c r="AA721" s="296" t="s">
        <v>1</v>
      </c>
      <c r="AB721" s="296" t="s">
        <v>1</v>
      </c>
      <c r="AC721" s="294" t="s">
        <v>1</v>
      </c>
      <c r="AD721" s="295" cm="1">
        <f t="array" aca="1" ref="AD721" ca="1">INDIRECT("'"&amp;$C721&amp;"'!"&amp;"$"&amp;$D721&amp;$AD$1&amp;"")</f>
        <v>3.8</v>
      </c>
      <c r="AE721" s="296">
        <f>3.8*3.51</f>
        <v>13.337999999999999</v>
      </c>
      <c r="AF721" s="296">
        <v>0.91</v>
      </c>
      <c r="AG721" s="297">
        <v>1.68</v>
      </c>
      <c r="AH721" s="293" cm="1">
        <f t="array" aca="1" ref="AH721" ca="1">INDIRECT("'"&amp;$C721&amp;"'!"&amp;"$"&amp;$D721&amp;$AH$1&amp;"")</f>
        <v>3.8</v>
      </c>
      <c r="AI721" s="296">
        <v>14</v>
      </c>
      <c r="AJ721" s="296">
        <v>0.96</v>
      </c>
      <c r="AK721" s="297">
        <v>0.80700000000000005</v>
      </c>
      <c r="AL721" s="293">
        <v>11.9</v>
      </c>
      <c r="AM721" s="297">
        <v>70.2</v>
      </c>
      <c r="AN721" s="293" cm="1">
        <f t="array" aca="1" ref="AN721" ca="1">INDIRECT("'"&amp;$C721&amp;"'!"&amp;"$"&amp;$D721&amp;$AL$1&amp;"")</f>
        <v>4.0999999999999996</v>
      </c>
      <c r="AO721" s="296">
        <v>0.97</v>
      </c>
      <c r="AP721" s="294">
        <v>0.85</v>
      </c>
      <c r="AQ721" s="295" cm="1">
        <f t="array" aca="1" ref="AQ721" ca="1">INDIRECT("'"&amp;$C721&amp;"'!"&amp;"$"&amp;$D721&amp;$AQ$1&amp;"")</f>
        <v>4.0999999999999996</v>
      </c>
      <c r="AR721" s="296">
        <v>0.97</v>
      </c>
      <c r="AS721" s="294">
        <v>0.85</v>
      </c>
      <c r="AT721" s="296" cm="1">
        <f t="array" aca="1" ref="AT721" ca="1">INDIRECT("'"&amp;$C721&amp;"'!"&amp;"$"&amp;$D721&amp;$AT$1&amp;"")</f>
        <v>0</v>
      </c>
      <c r="AU721" s="295" t="s">
        <v>1</v>
      </c>
      <c r="AV721" s="296" t="s">
        <v>1</v>
      </c>
      <c r="AW721" s="294" t="s">
        <v>1</v>
      </c>
      <c r="AX721" s="298">
        <v>14.27</v>
      </c>
      <c r="AY721" s="297">
        <v>71.510000000000005</v>
      </c>
      <c r="AZ721" s="298" cm="1">
        <f t="array" aca="1" ref="AZ721" ca="1">INDIRECT("'"&amp;$C721&amp;"'!"&amp;"$"&amp;$D721&amp;$AZ$1&amp;"")</f>
        <v>14.23</v>
      </c>
      <c r="BA721" s="296">
        <v>0.96</v>
      </c>
      <c r="BB721" s="294">
        <v>4.59</v>
      </c>
      <c r="BC721" s="299">
        <v>67.8</v>
      </c>
      <c r="BD721" s="293" cm="1">
        <f t="array" aca="1" ref="BD721" ca="1">INDIRECT("'"&amp;$C721&amp;"'!"&amp;"$"&amp;$D721&amp;$BC$1&amp;"")</f>
        <v>0</v>
      </c>
      <c r="BE721" s="295" t="s">
        <v>1</v>
      </c>
      <c r="BF721" s="294" t="s">
        <v>1</v>
      </c>
      <c r="BG721" s="298" cm="1">
        <f t="array" aca="1" ref="BG721" ca="1">INDIRECT("'"&amp;$C721&amp;"'!"&amp;"$"&amp;$D721&amp;$BG$1&amp;"")</f>
        <v>0</v>
      </c>
      <c r="BH721" s="296"/>
      <c r="BI721" s="296" t="s">
        <v>1</v>
      </c>
      <c r="BJ721" s="294" t="s">
        <v>1</v>
      </c>
      <c r="BK721" s="299" cm="1">
        <f t="array" aca="1" ref="BK721" ca="1">INDIRECT("'"&amp;$C721&amp;"'!"&amp;"$"&amp;$D721&amp;$BK$1&amp;"")</f>
        <v>0.94</v>
      </c>
      <c r="BL721" s="296"/>
      <c r="BM721" s="296">
        <v>0.96</v>
      </c>
      <c r="BN721" s="294">
        <v>0.26</v>
      </c>
    </row>
    <row r="722" spans="1:66" ht="14.45" thickBot="1">
      <c r="A722" s="360">
        <v>45776</v>
      </c>
      <c r="B722" s="358">
        <v>0.70833333333333404</v>
      </c>
      <c r="C722" s="313">
        <f t="shared" si="28"/>
        <v>29</v>
      </c>
      <c r="D722" s="314" t="s">
        <v>144</v>
      </c>
      <c r="E722" s="286">
        <v>14.1</v>
      </c>
      <c r="F722" s="287">
        <v>69.75</v>
      </c>
      <c r="G722" s="288" cm="1">
        <f t="array" aca="1" ref="G722" ca="1">INDIRECT("'"&amp;$C722&amp;"'!"&amp;"$"&amp;$D722&amp;$E$1&amp;"")</f>
        <v>6.3</v>
      </c>
      <c r="H722" s="289">
        <v>0.93</v>
      </c>
      <c r="I722" s="287">
        <v>2.4500000000000002</v>
      </c>
      <c r="J722" s="288" cm="1">
        <f t="array" aca="1" ref="J722" ca="1">INDIRECT("'"&amp;$C722&amp;"'!"&amp;"$"&amp;$D722&amp;$J$1&amp;"")</f>
        <v>6.3</v>
      </c>
      <c r="K722" s="289"/>
      <c r="L722" s="289">
        <v>0.93</v>
      </c>
      <c r="M722" s="287">
        <v>2.48</v>
      </c>
      <c r="N722" s="288" cm="1">
        <f t="array" aca="1" ref="N722" ca="1">INDIRECT("'"&amp;$C722&amp;"'!"&amp;"$"&amp;$D722&amp;$N$1&amp;"")</f>
        <v>6.3</v>
      </c>
      <c r="O722" s="289"/>
      <c r="P722" s="289">
        <v>0.93</v>
      </c>
      <c r="Q722" s="287">
        <v>2.46</v>
      </c>
      <c r="R722" s="288" cm="1">
        <f t="array" aca="1" ref="R722" ca="1">INDIRECT("'"&amp;$C722&amp;"'!"&amp;"$"&amp;$D722&amp;$R$1&amp;"")</f>
        <v>6.3</v>
      </c>
      <c r="S722" s="289"/>
      <c r="T722" s="289">
        <v>0.93</v>
      </c>
      <c r="U722" s="287">
        <v>2.4700000000000002</v>
      </c>
      <c r="V722" s="288" cm="1">
        <f t="array" aca="1" ref="V722" ca="1">INDIRECT("'"&amp;$C722&amp;"'!"&amp;"$"&amp;$D722&amp;$V$1&amp;"")</f>
        <v>2</v>
      </c>
      <c r="W722" s="289">
        <f>3.8*3.51</f>
        <v>13.337999999999999</v>
      </c>
      <c r="X722" s="289">
        <v>0.91</v>
      </c>
      <c r="Y722" s="290">
        <v>0.88</v>
      </c>
      <c r="Z722" s="286" cm="1">
        <f t="array" aca="1" ref="Z722" ca="1">INDIRECT("'"&amp;$C722&amp;"'!"&amp;"$"&amp;$D722&amp;$Z$1&amp;"")</f>
        <v>0</v>
      </c>
      <c r="AA722" s="289" t="s">
        <v>1</v>
      </c>
      <c r="AB722" s="289" t="s">
        <v>1</v>
      </c>
      <c r="AC722" s="287" t="s">
        <v>1</v>
      </c>
      <c r="AD722" s="288" cm="1">
        <f t="array" aca="1" ref="AD722" ca="1">INDIRECT("'"&amp;$C722&amp;"'!"&amp;"$"&amp;$D722&amp;$AD$1&amp;"")</f>
        <v>3</v>
      </c>
      <c r="AE722" s="289">
        <f>3.8*3.51</f>
        <v>13.337999999999999</v>
      </c>
      <c r="AF722" s="289">
        <v>0.91</v>
      </c>
      <c r="AG722" s="290">
        <v>1.32</v>
      </c>
      <c r="AH722" s="286" cm="1">
        <f t="array" aca="1" ref="AH722" ca="1">INDIRECT("'"&amp;$C722&amp;"'!"&amp;"$"&amp;$D722&amp;$AH$1&amp;"")</f>
        <v>3</v>
      </c>
      <c r="AI722" s="289">
        <v>14</v>
      </c>
      <c r="AJ722" s="289">
        <v>0.95</v>
      </c>
      <c r="AK722" s="287">
        <v>0.83599999999999997</v>
      </c>
      <c r="AL722" s="286">
        <v>11.9</v>
      </c>
      <c r="AM722" s="290">
        <v>70.3</v>
      </c>
      <c r="AN722" s="286" cm="1">
        <f t="array" aca="1" ref="AN722" ca="1">INDIRECT("'"&amp;$C722&amp;"'!"&amp;"$"&amp;$D722&amp;$AL$1&amp;"")</f>
        <v>3.8</v>
      </c>
      <c r="AO722" s="289">
        <v>0.97</v>
      </c>
      <c r="AP722" s="287">
        <v>0.88</v>
      </c>
      <c r="AQ722" s="288" cm="1">
        <f t="array" aca="1" ref="AQ722" ca="1">INDIRECT("'"&amp;$C722&amp;"'!"&amp;"$"&amp;$D722&amp;$AQ$1&amp;"")</f>
        <v>3.8</v>
      </c>
      <c r="AR722" s="289">
        <v>0.97</v>
      </c>
      <c r="AS722" s="287">
        <v>0.88</v>
      </c>
      <c r="AT722" s="289" cm="1">
        <f t="array" aca="1" ref="AT722" ca="1">INDIRECT("'"&amp;$C722&amp;"'!"&amp;"$"&amp;$D722&amp;$AT$1&amp;"")</f>
        <v>0</v>
      </c>
      <c r="AU722" s="288" t="s">
        <v>1</v>
      </c>
      <c r="AV722" s="289" t="s">
        <v>1</v>
      </c>
      <c r="AW722" s="287" t="s">
        <v>1</v>
      </c>
      <c r="AX722" s="291">
        <v>14.2</v>
      </c>
      <c r="AY722" s="290">
        <v>71.52</v>
      </c>
      <c r="AZ722" s="291" cm="1">
        <f t="array" aca="1" ref="AZ722" ca="1">INDIRECT("'"&amp;$C722&amp;"'!"&amp;"$"&amp;$D722&amp;$AZ$1&amp;"")</f>
        <v>14.24</v>
      </c>
      <c r="BA722" s="289">
        <v>0.98</v>
      </c>
      <c r="BB722" s="287">
        <v>3.61</v>
      </c>
      <c r="BC722" s="292">
        <v>68.3</v>
      </c>
      <c r="BD722" s="286" cm="1">
        <f t="array" aca="1" ref="BD722" ca="1">INDIRECT("'"&amp;$C722&amp;"'!"&amp;"$"&amp;$D722&amp;$BC$1&amp;"")</f>
        <v>0</v>
      </c>
      <c r="BE722" s="288" t="s">
        <v>1</v>
      </c>
      <c r="BF722" s="287" t="s">
        <v>1</v>
      </c>
      <c r="BG722" s="291" cm="1">
        <f t="array" aca="1" ref="BG722" ca="1">INDIRECT("'"&amp;$C722&amp;"'!"&amp;"$"&amp;$D722&amp;$BG$1&amp;"")</f>
        <v>1.5</v>
      </c>
      <c r="BH722" s="289"/>
      <c r="BI722" s="289">
        <v>0.99</v>
      </c>
      <c r="BJ722" s="287">
        <v>0.25</v>
      </c>
      <c r="BK722" s="292" cm="1">
        <f t="array" aca="1" ref="BK722" ca="1">INDIRECT("'"&amp;$C722&amp;"'!"&amp;"$"&amp;$D722&amp;$BK$1&amp;"")</f>
        <v>0.9</v>
      </c>
      <c r="BL722" s="289"/>
      <c r="BM722" s="289">
        <v>0.96</v>
      </c>
      <c r="BN722" s="287">
        <v>0.26</v>
      </c>
    </row>
    <row r="723" spans="1:66" ht="14.45" thickBot="1">
      <c r="A723" s="360">
        <v>45776</v>
      </c>
      <c r="B723" s="358">
        <v>0.750000000000001</v>
      </c>
      <c r="C723" s="313">
        <f t="shared" si="28"/>
        <v>29</v>
      </c>
      <c r="D723" s="314" t="s">
        <v>145</v>
      </c>
      <c r="E723" s="293">
        <v>14.3</v>
      </c>
      <c r="F723" s="294">
        <v>69.73</v>
      </c>
      <c r="G723" s="295" cm="1">
        <f t="array" aca="1" ref="G723" ca="1">INDIRECT("'"&amp;$C723&amp;"'!"&amp;"$"&amp;$D723&amp;$E$1&amp;"")</f>
        <v>6.7</v>
      </c>
      <c r="H723" s="296">
        <v>0.92</v>
      </c>
      <c r="I723" s="294">
        <v>2.95</v>
      </c>
      <c r="J723" s="295" cm="1">
        <f t="array" aca="1" ref="J723" ca="1">INDIRECT("'"&amp;$C723&amp;"'!"&amp;"$"&amp;$D723&amp;$J$1&amp;"")</f>
        <v>6.7</v>
      </c>
      <c r="K723" s="296"/>
      <c r="L723" s="296">
        <v>0.92</v>
      </c>
      <c r="M723" s="294">
        <v>2.94</v>
      </c>
      <c r="N723" s="295" cm="1">
        <f t="array" aca="1" ref="N723" ca="1">INDIRECT("'"&amp;$C723&amp;"'!"&amp;"$"&amp;$D723&amp;$N$1&amp;"")</f>
        <v>6.7</v>
      </c>
      <c r="O723" s="296"/>
      <c r="P723" s="296">
        <v>0.92</v>
      </c>
      <c r="Q723" s="294">
        <v>2.92</v>
      </c>
      <c r="R723" s="295" cm="1">
        <f t="array" aca="1" ref="R723" ca="1">INDIRECT("'"&amp;$C723&amp;"'!"&amp;"$"&amp;$D723&amp;$R$1&amp;"")</f>
        <v>6.7</v>
      </c>
      <c r="S723" s="296"/>
      <c r="T723" s="296">
        <v>0.92</v>
      </c>
      <c r="U723" s="294">
        <v>2.98</v>
      </c>
      <c r="V723" s="295" cm="1">
        <f t="array" aca="1" ref="V723" ca="1">INDIRECT("'"&amp;$C723&amp;"'!"&amp;"$"&amp;$D723&amp;$V$1&amp;"")</f>
        <v>0</v>
      </c>
      <c r="W723" s="296" t="s">
        <v>1</v>
      </c>
      <c r="X723" s="296" t="s">
        <v>1</v>
      </c>
      <c r="Y723" s="297" t="s">
        <v>1</v>
      </c>
      <c r="Z723" s="293" cm="1">
        <f t="array" aca="1" ref="Z723" ca="1">INDIRECT("'"&amp;$C723&amp;"'!"&amp;"$"&amp;$D723&amp;$Z$1&amp;"")</f>
        <v>0</v>
      </c>
      <c r="AA723" s="296" t="s">
        <v>1</v>
      </c>
      <c r="AB723" s="296" t="s">
        <v>1</v>
      </c>
      <c r="AC723" s="294" t="s">
        <v>1</v>
      </c>
      <c r="AD723" s="295" cm="1">
        <f t="array" aca="1" ref="AD723" ca="1">INDIRECT("'"&amp;$C723&amp;"'!"&amp;"$"&amp;$D723&amp;$AD$1&amp;"")</f>
        <v>3</v>
      </c>
      <c r="AE723" s="296">
        <f>3.8*3.52</f>
        <v>13.375999999999999</v>
      </c>
      <c r="AF723" s="296">
        <v>0.93</v>
      </c>
      <c r="AG723" s="297">
        <v>1.08</v>
      </c>
      <c r="AH723" s="293" cm="1">
        <f t="array" aca="1" ref="AH723" ca="1">INDIRECT("'"&amp;$C723&amp;"'!"&amp;"$"&amp;$D723&amp;$AH$1&amp;"")</f>
        <v>3</v>
      </c>
      <c r="AI723" s="296">
        <v>14</v>
      </c>
      <c r="AJ723" s="296">
        <v>0.98</v>
      </c>
      <c r="AK723" s="294">
        <v>0.52600000000000002</v>
      </c>
      <c r="AL723" s="293">
        <v>11.9</v>
      </c>
      <c r="AM723" s="297">
        <v>70.3</v>
      </c>
      <c r="AN723" s="293" cm="1">
        <f t="array" aca="1" ref="AN723" ca="1">INDIRECT("'"&amp;$C723&amp;"'!"&amp;"$"&amp;$D723&amp;$AL$1&amp;"")</f>
        <v>3.8</v>
      </c>
      <c r="AO723" s="296">
        <v>0.97</v>
      </c>
      <c r="AP723" s="294">
        <v>0.82</v>
      </c>
      <c r="AQ723" s="295" cm="1">
        <f t="array" aca="1" ref="AQ723" ca="1">INDIRECT("'"&amp;$C723&amp;"'!"&amp;"$"&amp;$D723&amp;$AQ$1&amp;"")</f>
        <v>3.8</v>
      </c>
      <c r="AR723" s="296">
        <v>0.97</v>
      </c>
      <c r="AS723" s="294">
        <v>0.82</v>
      </c>
      <c r="AT723" s="296" cm="1">
        <f t="array" aca="1" ref="AT723" ca="1">INDIRECT("'"&amp;$C723&amp;"'!"&amp;"$"&amp;$D723&amp;$AT$1&amp;"")</f>
        <v>0</v>
      </c>
      <c r="AU723" s="295" t="s">
        <v>1</v>
      </c>
      <c r="AV723" s="296" t="s">
        <v>1</v>
      </c>
      <c r="AW723" s="294" t="s">
        <v>1</v>
      </c>
      <c r="AX723" s="298">
        <v>14.22</v>
      </c>
      <c r="AY723" s="297">
        <v>71.66</v>
      </c>
      <c r="AZ723" s="298" cm="1">
        <f t="array" aca="1" ref="AZ723" ca="1">INDIRECT("'"&amp;$C723&amp;"'!"&amp;"$"&amp;$D723&amp;$AZ$1&amp;"")</f>
        <v>13.2</v>
      </c>
      <c r="BA723" s="296">
        <v>0.98</v>
      </c>
      <c r="BB723" s="294">
        <v>3.27</v>
      </c>
      <c r="BC723" s="299">
        <v>68</v>
      </c>
      <c r="BD723" s="293" cm="1">
        <f t="array" aca="1" ref="BD723" ca="1">INDIRECT("'"&amp;$C723&amp;"'!"&amp;"$"&amp;$D723&amp;$BC$1&amp;"")</f>
        <v>0</v>
      </c>
      <c r="BE723" s="295" t="s">
        <v>1</v>
      </c>
      <c r="BF723" s="294" t="s">
        <v>1</v>
      </c>
      <c r="BG723" s="298" cm="1">
        <f t="array" aca="1" ref="BG723" ca="1">INDIRECT("'"&amp;$C723&amp;"'!"&amp;"$"&amp;$D723&amp;$BG$1&amp;"")</f>
        <v>1.37</v>
      </c>
      <c r="BH723" s="296"/>
      <c r="BI723" s="296">
        <v>0.99</v>
      </c>
      <c r="BJ723" s="294">
        <v>0.19</v>
      </c>
      <c r="BK723" s="299" cm="1">
        <f t="array" aca="1" ref="BK723" ca="1">INDIRECT("'"&amp;$C723&amp;"'!"&amp;"$"&amp;$D723&amp;$BK$1&amp;"")</f>
        <v>0.88</v>
      </c>
      <c r="BL723" s="296"/>
      <c r="BM723" s="296">
        <v>0.96</v>
      </c>
      <c r="BN723" s="294">
        <v>0.25</v>
      </c>
    </row>
    <row r="724" spans="1:66" ht="14.45" thickBot="1">
      <c r="A724" s="360">
        <v>45776</v>
      </c>
      <c r="B724" s="358">
        <v>0.79166666666666663</v>
      </c>
      <c r="C724" s="313">
        <f t="shared" si="28"/>
        <v>29</v>
      </c>
      <c r="D724" s="314" t="s">
        <v>146</v>
      </c>
      <c r="E724" s="286">
        <v>14.3</v>
      </c>
      <c r="F724" s="287">
        <v>70.09</v>
      </c>
      <c r="G724" s="288" cm="1">
        <f t="array" aca="1" ref="G724" ca="1">INDIRECT("'"&amp;$C724&amp;"'!"&amp;"$"&amp;$D724&amp;$E$1&amp;"")</f>
        <v>6.6</v>
      </c>
      <c r="H724" s="289">
        <v>0.93</v>
      </c>
      <c r="I724" s="287">
        <v>2.64</v>
      </c>
      <c r="J724" s="288" cm="1">
        <f t="array" aca="1" ref="J724" ca="1">INDIRECT("'"&amp;$C724&amp;"'!"&amp;"$"&amp;$D724&amp;$J$1&amp;"")</f>
        <v>6.6</v>
      </c>
      <c r="K724" s="300"/>
      <c r="L724" s="289">
        <v>0.93</v>
      </c>
      <c r="M724" s="287">
        <v>2.66</v>
      </c>
      <c r="N724" s="288" cm="1">
        <f t="array" aca="1" ref="N724" ca="1">INDIRECT("'"&amp;$C724&amp;"'!"&amp;"$"&amp;$D724&amp;$N$1&amp;"")</f>
        <v>6.6</v>
      </c>
      <c r="O724" s="289"/>
      <c r="P724" s="289">
        <v>0.93</v>
      </c>
      <c r="Q724" s="287">
        <v>2.68</v>
      </c>
      <c r="R724" s="288" cm="1">
        <f t="array" aca="1" ref="R724" ca="1">INDIRECT("'"&amp;$C724&amp;"'!"&amp;"$"&amp;$D724&amp;$R$1&amp;"")</f>
        <v>6.6</v>
      </c>
      <c r="S724" s="289"/>
      <c r="T724" s="289">
        <v>0.93</v>
      </c>
      <c r="U724" s="287">
        <v>2.65</v>
      </c>
      <c r="V724" s="288" cm="1">
        <f t="array" aca="1" ref="V724" ca="1">INDIRECT("'"&amp;$C724&amp;"'!"&amp;"$"&amp;$D724&amp;$V$1&amp;"")</f>
        <v>0</v>
      </c>
      <c r="W724" s="289" t="s">
        <v>1</v>
      </c>
      <c r="X724" s="289" t="s">
        <v>1</v>
      </c>
      <c r="Y724" s="290" t="s">
        <v>1</v>
      </c>
      <c r="Z724" s="286" cm="1">
        <f t="array" aca="1" ref="Z724" ca="1">INDIRECT("'"&amp;$C724&amp;"'!"&amp;"$"&amp;$D724&amp;$Z$1&amp;"")</f>
        <v>0</v>
      </c>
      <c r="AA724" s="289" t="s">
        <v>1</v>
      </c>
      <c r="AB724" s="289" t="s">
        <v>1</v>
      </c>
      <c r="AC724" s="287" t="s">
        <v>1</v>
      </c>
      <c r="AD724" s="288" cm="1">
        <f t="array" aca="1" ref="AD724" ca="1">INDIRECT("'"&amp;$C724&amp;"'!"&amp;"$"&amp;$D724&amp;$AD$1&amp;"")</f>
        <v>3.8</v>
      </c>
      <c r="AE724" s="289">
        <f>3.54*3.8</f>
        <v>13.452</v>
      </c>
      <c r="AF724" s="289">
        <v>0.93</v>
      </c>
      <c r="AG724" s="290">
        <v>1.46</v>
      </c>
      <c r="AH724" s="286" cm="1">
        <f t="array" aca="1" ref="AH724" ca="1">INDIRECT("'"&amp;$C724&amp;"'!"&amp;"$"&amp;$D724&amp;$AH$1&amp;"")</f>
        <v>3.8</v>
      </c>
      <c r="AI724" s="289">
        <v>14</v>
      </c>
      <c r="AJ724" s="289">
        <v>0.98</v>
      </c>
      <c r="AK724" s="287">
        <v>0.46700000000000003</v>
      </c>
      <c r="AL724" s="286">
        <v>11.9</v>
      </c>
      <c r="AM724" s="290">
        <v>70.5</v>
      </c>
      <c r="AN724" s="286" cm="1">
        <f t="array" aca="1" ref="AN724" ca="1">INDIRECT("'"&amp;$C724&amp;"'!"&amp;"$"&amp;$D724&amp;$AL$1&amp;"")</f>
        <v>4.0999999999999996</v>
      </c>
      <c r="AO724" s="289">
        <v>0.98</v>
      </c>
      <c r="AP724" s="287">
        <v>0.64</v>
      </c>
      <c r="AQ724" s="288" cm="1">
        <f t="array" aca="1" ref="AQ724" ca="1">INDIRECT("'"&amp;$C724&amp;"'!"&amp;"$"&amp;$D724&amp;$AQ$1&amp;"")</f>
        <v>4.0999999999999996</v>
      </c>
      <c r="AR724" s="289">
        <v>0.98</v>
      </c>
      <c r="AS724" s="287">
        <v>0.64</v>
      </c>
      <c r="AT724" s="289" cm="1">
        <f t="array" aca="1" ref="AT724" ca="1">INDIRECT("'"&amp;$C724&amp;"'!"&amp;"$"&amp;$D724&amp;$AT$1&amp;"")</f>
        <v>0</v>
      </c>
      <c r="AU724" s="288" t="s">
        <v>1</v>
      </c>
      <c r="AV724" s="289" t="s">
        <v>1</v>
      </c>
      <c r="AW724" s="287" t="s">
        <v>1</v>
      </c>
      <c r="AX724" s="291">
        <v>14.27</v>
      </c>
      <c r="AY724" s="290">
        <v>71.73</v>
      </c>
      <c r="AZ724" s="291" cm="1">
        <f t="array" aca="1" ref="AZ724" ca="1">INDIRECT("'"&amp;$C724&amp;"'!"&amp;"$"&amp;$D724&amp;$AZ$1&amp;"")</f>
        <v>14.26</v>
      </c>
      <c r="BA724" s="289">
        <v>0.98</v>
      </c>
      <c r="BB724" s="287">
        <v>3.54</v>
      </c>
      <c r="BC724" s="292">
        <v>68.400000000000006</v>
      </c>
      <c r="BD724" s="286" cm="1">
        <f t="array" aca="1" ref="BD724" ca="1">INDIRECT("'"&amp;$C724&amp;"'!"&amp;"$"&amp;$D724&amp;$BC$1&amp;"")</f>
        <v>1.4</v>
      </c>
      <c r="BE724" s="288">
        <v>0.97</v>
      </c>
      <c r="BF724" s="287">
        <v>0.35</v>
      </c>
      <c r="BG724" s="291" cm="1">
        <f t="array" aca="1" ref="BG724" ca="1">INDIRECT("'"&amp;$C724&amp;"'!"&amp;"$"&amp;$D724&amp;$BG$1&amp;"")</f>
        <v>1.67</v>
      </c>
      <c r="BH724" s="289"/>
      <c r="BI724" s="289">
        <v>0.99</v>
      </c>
      <c r="BJ724" s="287">
        <v>0.23</v>
      </c>
      <c r="BK724" s="292" cm="1">
        <f t="array" aca="1" ref="BK724" ca="1">INDIRECT("'"&amp;$C724&amp;"'!"&amp;"$"&amp;$D724&amp;$BK$1&amp;"")</f>
        <v>1.04</v>
      </c>
      <c r="BL724" s="289"/>
      <c r="BM724" s="289">
        <v>0.97</v>
      </c>
      <c r="BN724" s="287">
        <v>0.27</v>
      </c>
    </row>
    <row r="725" spans="1:66" ht="14.45" thickBot="1">
      <c r="A725" s="360">
        <v>45776</v>
      </c>
      <c r="B725" s="358">
        <v>0.83333333333333337</v>
      </c>
      <c r="C725" s="313">
        <f t="shared" si="28"/>
        <v>29</v>
      </c>
      <c r="D725" s="314" t="s">
        <v>147</v>
      </c>
      <c r="E725" s="293">
        <v>14.3</v>
      </c>
      <c r="F725" s="294">
        <v>69.819999999999993</v>
      </c>
      <c r="G725" s="295" cm="1">
        <f t="array" aca="1" ref="G725" ca="1">INDIRECT("'"&amp;$C725&amp;"'!"&amp;"$"&amp;$D725&amp;$E$1&amp;"")</f>
        <v>6.6</v>
      </c>
      <c r="H725" s="296">
        <v>0.96</v>
      </c>
      <c r="I725" s="294">
        <v>2.0099999999999998</v>
      </c>
      <c r="J725" s="295" cm="1">
        <f t="array" aca="1" ref="J725" ca="1">INDIRECT("'"&amp;$C725&amp;"'!"&amp;"$"&amp;$D725&amp;$J$1&amp;"")</f>
        <v>6.6</v>
      </c>
      <c r="K725" s="296"/>
      <c r="L725" s="296">
        <v>0.96</v>
      </c>
      <c r="M725" s="294">
        <v>2.0099999999999998</v>
      </c>
      <c r="N725" s="295" cm="1">
        <f t="array" aca="1" ref="N725" ca="1">INDIRECT("'"&amp;$C725&amp;"'!"&amp;"$"&amp;$D725&amp;$N$1&amp;"")</f>
        <v>6.6</v>
      </c>
      <c r="O725" s="296"/>
      <c r="P725" s="296">
        <v>0.96</v>
      </c>
      <c r="Q725" s="294">
        <v>2.0099999999999998</v>
      </c>
      <c r="R725" s="295" cm="1">
        <f t="array" aca="1" ref="R725" ca="1">INDIRECT("'"&amp;$C725&amp;"'!"&amp;"$"&amp;$D725&amp;$R$1&amp;"")</f>
        <v>6.6</v>
      </c>
      <c r="S725" s="296"/>
      <c r="T725" s="296">
        <v>0.96</v>
      </c>
      <c r="U725" s="294">
        <v>2.0099999999999998</v>
      </c>
      <c r="V725" s="295" cm="1">
        <f t="array" aca="1" ref="V725" ca="1">INDIRECT("'"&amp;$C725&amp;"'!"&amp;"$"&amp;$D725&amp;$V$1&amp;"")</f>
        <v>0</v>
      </c>
      <c r="W725" s="296" t="s">
        <v>1</v>
      </c>
      <c r="X725" s="296" t="s">
        <v>1</v>
      </c>
      <c r="Y725" s="297" t="s">
        <v>1</v>
      </c>
      <c r="Z725" s="293" cm="1">
        <f t="array" aca="1" ref="Z725" ca="1">INDIRECT("'"&amp;$C725&amp;"'!"&amp;"$"&amp;$D725&amp;$Z$1&amp;"")</f>
        <v>0</v>
      </c>
      <c r="AA725" s="296" t="s">
        <v>1</v>
      </c>
      <c r="AB725" s="296" t="s">
        <v>1</v>
      </c>
      <c r="AC725" s="294" t="s">
        <v>1</v>
      </c>
      <c r="AD725" s="295" cm="1">
        <f t="array" aca="1" ref="AD725" ca="1">INDIRECT("'"&amp;$C725&amp;"'!"&amp;"$"&amp;$D725&amp;$AD$1&amp;"")</f>
        <v>3</v>
      </c>
      <c r="AE725" s="296">
        <f>3.8*3.54</f>
        <v>13.452</v>
      </c>
      <c r="AF725" s="296">
        <v>0.95</v>
      </c>
      <c r="AG725" s="297">
        <v>0.91</v>
      </c>
      <c r="AH725" s="293" cm="1">
        <f t="array" aca="1" ref="AH725" ca="1">INDIRECT("'"&amp;$C725&amp;"'!"&amp;"$"&amp;$D725&amp;$AH$1&amp;"")</f>
        <v>3</v>
      </c>
      <c r="AI725" s="296">
        <v>14.04</v>
      </c>
      <c r="AJ725" s="296">
        <v>0.98</v>
      </c>
      <c r="AK725" s="294">
        <v>0.55400000000000005</v>
      </c>
      <c r="AL725" s="293">
        <v>11.9</v>
      </c>
      <c r="AM725" s="297">
        <v>70.599999999999994</v>
      </c>
      <c r="AN725" s="293" cm="1">
        <f t="array" aca="1" ref="AN725" ca="1">INDIRECT("'"&amp;$C725&amp;"'!"&amp;"$"&amp;$D725&amp;$AL$1&amp;"")</f>
        <v>4</v>
      </c>
      <c r="AO725" s="296">
        <v>0.98</v>
      </c>
      <c r="AP725" s="294">
        <v>0.61</v>
      </c>
      <c r="AQ725" s="295" cm="1">
        <f t="array" aca="1" ref="AQ725" ca="1">INDIRECT("'"&amp;$C725&amp;"'!"&amp;"$"&amp;$D725&amp;$AQ$1&amp;"")</f>
        <v>4</v>
      </c>
      <c r="AR725" s="296">
        <v>0.98</v>
      </c>
      <c r="AS725" s="294">
        <v>0.61</v>
      </c>
      <c r="AT725" s="296" cm="1">
        <f t="array" aca="1" ref="AT725" ca="1">INDIRECT("'"&amp;$C725&amp;"'!"&amp;"$"&amp;$D725&amp;$AT$1&amp;"")</f>
        <v>0</v>
      </c>
      <c r="AU725" s="295" t="s">
        <v>1</v>
      </c>
      <c r="AV725" s="296" t="s">
        <v>1</v>
      </c>
      <c r="AW725" s="294" t="s">
        <v>1</v>
      </c>
      <c r="AX725" s="298">
        <v>14.28</v>
      </c>
      <c r="AY725" s="297">
        <v>71.83</v>
      </c>
      <c r="AZ725" s="298" cm="1">
        <f t="array" aca="1" ref="AZ725" ca="1">INDIRECT("'"&amp;$C725&amp;"'!"&amp;"$"&amp;$D725&amp;$AZ$1&amp;"")</f>
        <v>13.29</v>
      </c>
      <c r="BA725" s="296">
        <v>0.98</v>
      </c>
      <c r="BB725" s="294">
        <v>3.32</v>
      </c>
      <c r="BC725" s="299">
        <v>68.400000000000006</v>
      </c>
      <c r="BD725" s="293" cm="1">
        <f t="array" aca="1" ref="BD725" ca="1">INDIRECT("'"&amp;$C725&amp;"'!"&amp;"$"&amp;$D725&amp;$BC$1&amp;"")</f>
        <v>0</v>
      </c>
      <c r="BE725" s="295" t="s">
        <v>1</v>
      </c>
      <c r="BF725" s="294" t="s">
        <v>1</v>
      </c>
      <c r="BG725" s="298" cm="1">
        <f t="array" aca="1" ref="BG725" ca="1">INDIRECT("'"&amp;$C725&amp;"'!"&amp;"$"&amp;$D725&amp;$BG$1&amp;"")</f>
        <v>1.56</v>
      </c>
      <c r="BH725" s="296"/>
      <c r="BI725" s="296">
        <v>0.99</v>
      </c>
      <c r="BJ725" s="294">
        <v>0.23</v>
      </c>
      <c r="BK725" s="299" cm="1">
        <f t="array" aca="1" ref="BK725" ca="1">INDIRECT("'"&amp;$C725&amp;"'!"&amp;"$"&amp;$D725&amp;$BK$1&amp;"")</f>
        <v>1.02</v>
      </c>
      <c r="BL725" s="296"/>
      <c r="BM725" s="296">
        <v>0.97</v>
      </c>
      <c r="BN725" s="294">
        <v>0.26</v>
      </c>
    </row>
    <row r="726" spans="1:66" ht="14.45" thickBot="1">
      <c r="A726" s="360">
        <v>45776</v>
      </c>
      <c r="B726" s="358">
        <v>0.875000000000001</v>
      </c>
      <c r="C726" s="313">
        <f t="shared" si="28"/>
        <v>29</v>
      </c>
      <c r="D726" s="314" t="s">
        <v>148</v>
      </c>
      <c r="E726" s="286">
        <v>14.2</v>
      </c>
      <c r="F726" s="287">
        <v>70.09</v>
      </c>
      <c r="G726" s="288" cm="1">
        <f t="array" aca="1" ref="G726" ca="1">INDIRECT("'"&amp;$C726&amp;"'!"&amp;"$"&amp;$D726&amp;$E$1&amp;"")</f>
        <v>7.1</v>
      </c>
      <c r="H726" s="289">
        <v>0.97</v>
      </c>
      <c r="I726" s="287">
        <v>1.78</v>
      </c>
      <c r="J726" s="288" cm="1">
        <f t="array" aca="1" ref="J726" ca="1">INDIRECT("'"&amp;$C726&amp;"'!"&amp;"$"&amp;$D726&amp;$J$1&amp;"")</f>
        <v>6.2</v>
      </c>
      <c r="K726" s="289"/>
      <c r="L726" s="289">
        <v>0.97</v>
      </c>
      <c r="M726" s="287">
        <v>1.56</v>
      </c>
      <c r="N726" s="288" cm="1">
        <f t="array" aca="1" ref="N726" ca="1">INDIRECT("'"&amp;$C726&amp;"'!"&amp;"$"&amp;$D726&amp;$N$1&amp;"")</f>
        <v>6.2</v>
      </c>
      <c r="O726" s="289"/>
      <c r="P726" s="289">
        <v>0.97</v>
      </c>
      <c r="Q726" s="287">
        <v>1.56</v>
      </c>
      <c r="R726" s="288" cm="1">
        <f t="array" aca="1" ref="R726" ca="1">INDIRECT("'"&amp;$C726&amp;"'!"&amp;"$"&amp;$D726&amp;$R$1&amp;"")</f>
        <v>6.2</v>
      </c>
      <c r="S726" s="289"/>
      <c r="T726" s="289">
        <v>0.97</v>
      </c>
      <c r="U726" s="287">
        <v>1.56</v>
      </c>
      <c r="V726" s="288" cm="1">
        <f t="array" aca="1" ref="V726" ca="1">INDIRECT("'"&amp;$C726&amp;"'!"&amp;"$"&amp;$D726&amp;$V$1&amp;"")</f>
        <v>0</v>
      </c>
      <c r="W726" s="289" t="s">
        <v>1</v>
      </c>
      <c r="X726" s="289" t="s">
        <v>1</v>
      </c>
      <c r="Y726" s="290" t="s">
        <v>1</v>
      </c>
      <c r="Z726" s="286" cm="1">
        <f t="array" aca="1" ref="Z726" ca="1">INDIRECT("'"&amp;$C726&amp;"'!"&amp;"$"&amp;$D726&amp;$Z$1&amp;"")</f>
        <v>0</v>
      </c>
      <c r="AA726" s="289" t="s">
        <v>1</v>
      </c>
      <c r="AB726" s="289" t="s">
        <v>1</v>
      </c>
      <c r="AC726" s="287" t="s">
        <v>1</v>
      </c>
      <c r="AD726" s="288" cm="1">
        <f t="array" aca="1" ref="AD726" ca="1">INDIRECT("'"&amp;$C726&amp;"'!"&amp;"$"&amp;$D726&amp;$AD$1&amp;"")</f>
        <v>3</v>
      </c>
      <c r="AE726" s="289">
        <f>3.8*3.58</f>
        <v>13.603999999999999</v>
      </c>
      <c r="AF726" s="289">
        <v>0.96</v>
      </c>
      <c r="AG726" s="290">
        <v>0.84</v>
      </c>
      <c r="AH726" s="286" cm="1">
        <f t="array" aca="1" ref="AH726" ca="1">INDIRECT("'"&amp;$C726&amp;"'!"&amp;"$"&amp;$D726&amp;$AH$1&amp;"")</f>
        <v>3.2</v>
      </c>
      <c r="AI726" s="289">
        <v>14.04</v>
      </c>
      <c r="AJ726" s="289">
        <v>0.99</v>
      </c>
      <c r="AK726" s="287">
        <v>0.45300000000000001</v>
      </c>
      <c r="AL726" s="286">
        <v>11.9</v>
      </c>
      <c r="AM726" s="290">
        <v>70.7</v>
      </c>
      <c r="AN726" s="286" cm="1">
        <f t="array" aca="1" ref="AN726" ca="1">INDIRECT("'"&amp;$C726&amp;"'!"&amp;"$"&amp;$D726&amp;$AL$1&amp;"")</f>
        <v>3</v>
      </c>
      <c r="AO726" s="289">
        <v>0.98</v>
      </c>
      <c r="AP726" s="287">
        <v>0.52</v>
      </c>
      <c r="AQ726" s="288" cm="1">
        <f t="array" aca="1" ref="AQ726" ca="1">INDIRECT("'"&amp;$C726&amp;"'!"&amp;"$"&amp;$D726&amp;$AQ$1&amp;"")</f>
        <v>3</v>
      </c>
      <c r="AR726" s="289">
        <v>0.98</v>
      </c>
      <c r="AS726" s="287">
        <v>0.52</v>
      </c>
      <c r="AT726" s="289" cm="1">
        <f t="array" aca="1" ref="AT726" ca="1">INDIRECT("'"&amp;$C726&amp;"'!"&amp;"$"&amp;$D726&amp;$AT$1&amp;"")</f>
        <v>0</v>
      </c>
      <c r="AU726" s="288" t="s">
        <v>1</v>
      </c>
      <c r="AV726" s="289" t="s">
        <v>1</v>
      </c>
      <c r="AW726" s="287" t="s">
        <v>1</v>
      </c>
      <c r="AX726" s="291">
        <v>14.27</v>
      </c>
      <c r="AY726" s="290">
        <v>71.989999999999995</v>
      </c>
      <c r="AZ726" s="291" cm="1">
        <f t="array" aca="1" ref="AZ726" ca="1">INDIRECT("'"&amp;$C726&amp;"'!"&amp;"$"&amp;$D726&amp;$AZ$1&amp;"")</f>
        <v>12.76</v>
      </c>
      <c r="BA726" s="289">
        <v>0.98</v>
      </c>
      <c r="BB726" s="287">
        <v>3.2</v>
      </c>
      <c r="BC726" s="292">
        <v>68.900000000000006</v>
      </c>
      <c r="BD726" s="286" cm="1">
        <f t="array" aca="1" ref="BD726" ca="1">INDIRECT("'"&amp;$C726&amp;"'!"&amp;"$"&amp;$D726&amp;$BC$1&amp;"")</f>
        <v>0</v>
      </c>
      <c r="BE726" s="288" t="s">
        <v>1</v>
      </c>
      <c r="BF726" s="287" t="s">
        <v>1</v>
      </c>
      <c r="BG726" s="291" cm="1">
        <f t="array" aca="1" ref="BG726" ca="1">INDIRECT("'"&amp;$C726&amp;"'!"&amp;"$"&amp;$D726&amp;$BG$1&amp;"")</f>
        <v>1.53</v>
      </c>
      <c r="BH726" s="289"/>
      <c r="BI726" s="289">
        <v>0.99</v>
      </c>
      <c r="BJ726" s="287">
        <v>0.25</v>
      </c>
      <c r="BK726" s="292" cm="1">
        <f t="array" aca="1" ref="BK726" ca="1">INDIRECT("'"&amp;$C726&amp;"'!"&amp;"$"&amp;$D726&amp;$BK$1&amp;"")</f>
        <v>0.99</v>
      </c>
      <c r="BL726" s="289"/>
      <c r="BM726" s="289">
        <v>0.97</v>
      </c>
      <c r="BN726" s="287">
        <v>0.25</v>
      </c>
    </row>
    <row r="727" spans="1:66" ht="14.45" thickBot="1">
      <c r="A727" s="360">
        <v>45776</v>
      </c>
      <c r="B727" s="358">
        <v>0.91666666666666696</v>
      </c>
      <c r="C727" s="313">
        <f t="shared" si="28"/>
        <v>29</v>
      </c>
      <c r="D727" s="314" t="s">
        <v>149</v>
      </c>
      <c r="E727" s="293">
        <v>14.1</v>
      </c>
      <c r="F727" s="294">
        <v>69.599999999999994</v>
      </c>
      <c r="G727" s="295" cm="1">
        <f t="array" aca="1" ref="G727" ca="1">INDIRECT("'"&amp;$C727&amp;"'!"&amp;"$"&amp;$D727&amp;$E$1&amp;"")</f>
        <v>0</v>
      </c>
      <c r="H727" s="296" t="s">
        <v>1</v>
      </c>
      <c r="I727" s="294" t="s">
        <v>1</v>
      </c>
      <c r="J727" s="295" cm="1">
        <f t="array" aca="1" ref="J727" ca="1">INDIRECT("'"&amp;$C727&amp;"'!"&amp;"$"&amp;$D727&amp;$J$1&amp;"")</f>
        <v>6.6</v>
      </c>
      <c r="K727" s="296"/>
      <c r="L727" s="296">
        <v>0.98</v>
      </c>
      <c r="M727" s="294">
        <v>1.42</v>
      </c>
      <c r="N727" s="295" cm="1">
        <f t="array" aca="1" ref="N727" ca="1">INDIRECT("'"&amp;$C727&amp;"'!"&amp;"$"&amp;$D727&amp;$N$1&amp;"")</f>
        <v>6.6</v>
      </c>
      <c r="O727" s="296"/>
      <c r="P727" s="296">
        <v>0.98</v>
      </c>
      <c r="Q727" s="294">
        <v>1.42</v>
      </c>
      <c r="R727" s="295" cm="1">
        <f t="array" aca="1" ref="R727" ca="1">INDIRECT("'"&amp;$C727&amp;"'!"&amp;"$"&amp;$D727&amp;$R$1&amp;"")</f>
        <v>6.6</v>
      </c>
      <c r="S727" s="296"/>
      <c r="T727" s="296">
        <v>0.98</v>
      </c>
      <c r="U727" s="294">
        <v>1.42</v>
      </c>
      <c r="V727" s="295" cm="1">
        <f t="array" aca="1" ref="V727" ca="1">INDIRECT("'"&amp;$C727&amp;"'!"&amp;"$"&amp;$D727&amp;$V$1&amp;"")</f>
        <v>0</v>
      </c>
      <c r="W727" s="296" t="s">
        <v>1</v>
      </c>
      <c r="X727" s="296" t="s">
        <v>1</v>
      </c>
      <c r="Y727" s="297" t="s">
        <v>1</v>
      </c>
      <c r="Z727" s="293" cm="1">
        <f t="array" aca="1" ref="Z727" ca="1">INDIRECT("'"&amp;$C727&amp;"'!"&amp;"$"&amp;$D727&amp;$Z$1&amp;"")</f>
        <v>0</v>
      </c>
      <c r="AA727" s="296" t="s">
        <v>1</v>
      </c>
      <c r="AB727" s="296" t="s">
        <v>1</v>
      </c>
      <c r="AC727" s="294" t="s">
        <v>1</v>
      </c>
      <c r="AD727" s="295" cm="1">
        <f t="array" aca="1" ref="AD727" ca="1">INDIRECT("'"&amp;$C727&amp;"'!"&amp;"$"&amp;$D727&amp;$AD$1&amp;"")</f>
        <v>3</v>
      </c>
      <c r="AE727" s="296">
        <f>3.8*3.57</f>
        <v>13.565999999999999</v>
      </c>
      <c r="AF727" s="296">
        <v>0.98</v>
      </c>
      <c r="AG727" s="297">
        <v>0.51</v>
      </c>
      <c r="AH727" s="293" cm="1">
        <f t="array" aca="1" ref="AH727" ca="1">INDIRECT("'"&amp;$C727&amp;"'!"&amp;"$"&amp;$D727&amp;$AH$1&amp;"")</f>
        <v>3</v>
      </c>
      <c r="AI727" s="296">
        <v>14</v>
      </c>
      <c r="AJ727" s="296">
        <v>0.99</v>
      </c>
      <c r="AK727" s="294">
        <v>0.217</v>
      </c>
      <c r="AL727" s="293">
        <v>11.9</v>
      </c>
      <c r="AM727" s="297">
        <v>70.7</v>
      </c>
      <c r="AN727" s="293" cm="1">
        <f t="array" aca="1" ref="AN727" ca="1">INDIRECT("'"&amp;$C727&amp;"'!"&amp;"$"&amp;$D727&amp;$AL$1&amp;"")</f>
        <v>3.5</v>
      </c>
      <c r="AO727" s="296">
        <v>0.98</v>
      </c>
      <c r="AP727" s="294">
        <v>0.55000000000000004</v>
      </c>
      <c r="AQ727" s="295" cm="1">
        <f t="array" aca="1" ref="AQ727" ca="1">INDIRECT("'"&amp;$C727&amp;"'!"&amp;"$"&amp;$D727&amp;$AQ$1&amp;"")</f>
        <v>3.5</v>
      </c>
      <c r="AR727" s="296">
        <v>0.98</v>
      </c>
      <c r="AS727" s="294">
        <v>0.55000000000000004</v>
      </c>
      <c r="AT727" s="296" cm="1">
        <f t="array" aca="1" ref="AT727" ca="1">INDIRECT("'"&amp;$C727&amp;"'!"&amp;"$"&amp;$D727&amp;$AT$1&amp;"")</f>
        <v>0</v>
      </c>
      <c r="AU727" s="295" t="s">
        <v>1</v>
      </c>
      <c r="AV727" s="296" t="s">
        <v>1</v>
      </c>
      <c r="AW727" s="294" t="s">
        <v>1</v>
      </c>
      <c r="AX727" s="298">
        <v>14.2</v>
      </c>
      <c r="AY727" s="297">
        <v>71.900000000000006</v>
      </c>
      <c r="AZ727" s="298" cm="1">
        <f t="array" aca="1" ref="AZ727" ca="1">INDIRECT("'"&amp;$C727&amp;"'!"&amp;"$"&amp;$D727&amp;$AZ$1&amp;"")</f>
        <v>14.24</v>
      </c>
      <c r="BA727" s="296">
        <v>0.99</v>
      </c>
      <c r="BB727" s="294">
        <v>2.4</v>
      </c>
      <c r="BC727" s="299">
        <v>68.8</v>
      </c>
      <c r="BD727" s="293" cm="1">
        <f t="array" aca="1" ref="BD727" ca="1">INDIRECT("'"&amp;$C727&amp;"'!"&amp;"$"&amp;$D727&amp;$BC$1&amp;"")</f>
        <v>0</v>
      </c>
      <c r="BE727" s="295" t="s">
        <v>1</v>
      </c>
      <c r="BF727" s="294" t="s">
        <v>1</v>
      </c>
      <c r="BG727" s="298" cm="1">
        <f t="array" aca="1" ref="BG727" ca="1">INDIRECT("'"&amp;$C727&amp;"'!"&amp;"$"&amp;$D727&amp;$BG$1&amp;"")</f>
        <v>1.38</v>
      </c>
      <c r="BH727" s="296"/>
      <c r="BI727" s="296">
        <v>0.99</v>
      </c>
      <c r="BJ727" s="294">
        <v>0.2</v>
      </c>
      <c r="BK727" s="299" cm="1">
        <f t="array" aca="1" ref="BK727" ca="1">INDIRECT("'"&amp;$C727&amp;"'!"&amp;"$"&amp;$D727&amp;$BK$1&amp;"")</f>
        <v>0.95</v>
      </c>
      <c r="BL727" s="296"/>
      <c r="BM727" s="296">
        <v>0.97</v>
      </c>
      <c r="BN727" s="294">
        <v>0.25</v>
      </c>
    </row>
    <row r="728" spans="1:66" ht="14.45" thickBot="1">
      <c r="A728" s="360">
        <v>45776</v>
      </c>
      <c r="B728" s="359">
        <v>0.95833333333333404</v>
      </c>
      <c r="C728" s="315">
        <f t="shared" si="28"/>
        <v>29</v>
      </c>
      <c r="D728" s="316" t="s">
        <v>150</v>
      </c>
      <c r="E728" s="301">
        <v>14.1</v>
      </c>
      <c r="F728" s="302">
        <v>69.28</v>
      </c>
      <c r="G728" s="303" cm="1">
        <f t="array" aca="1" ref="G728" ca="1">INDIRECT("'"&amp;$C728&amp;"'!"&amp;"$"&amp;$D728&amp;$E$1&amp;"")</f>
        <v>0</v>
      </c>
      <c r="H728" s="304" t="s">
        <v>1</v>
      </c>
      <c r="I728" s="302" t="s">
        <v>1</v>
      </c>
      <c r="J728" s="303" cm="1">
        <f t="array" aca="1" ref="J728" ca="1">INDIRECT("'"&amp;$C728&amp;"'!"&amp;"$"&amp;$D728&amp;$J$1&amp;"")</f>
        <v>6.7</v>
      </c>
      <c r="K728" s="304"/>
      <c r="L728" s="304">
        <v>0.98</v>
      </c>
      <c r="M728" s="302">
        <v>1.45</v>
      </c>
      <c r="N728" s="303" cm="1">
        <f t="array" aca="1" ref="N728" ca="1">INDIRECT("'"&amp;$C728&amp;"'!"&amp;"$"&amp;$D728&amp;$N$1&amp;"")</f>
        <v>6.7</v>
      </c>
      <c r="O728" s="304"/>
      <c r="P728" s="304">
        <v>0.98</v>
      </c>
      <c r="Q728" s="302">
        <v>1.45</v>
      </c>
      <c r="R728" s="303" cm="1">
        <f t="array" aca="1" ref="R728" ca="1">INDIRECT("'"&amp;$C728&amp;"'!"&amp;"$"&amp;$D728&amp;$R$1&amp;"")</f>
        <v>6.7</v>
      </c>
      <c r="S728" s="304"/>
      <c r="T728" s="304">
        <v>0.98</v>
      </c>
      <c r="U728" s="302">
        <v>1.45</v>
      </c>
      <c r="V728" s="303" cm="1">
        <f t="array" aca="1" ref="V728" ca="1">INDIRECT("'"&amp;$C728&amp;"'!"&amp;"$"&amp;$D728&amp;$V$1&amp;"")</f>
        <v>0</v>
      </c>
      <c r="W728" s="304" t="s">
        <v>1</v>
      </c>
      <c r="X728" s="304" t="s">
        <v>1</v>
      </c>
      <c r="Y728" s="305" t="s">
        <v>1</v>
      </c>
      <c r="Z728" s="301" cm="1">
        <f t="array" aca="1" ref="Z728" ca="1">INDIRECT("'"&amp;$C728&amp;"'!"&amp;"$"&amp;$D728&amp;$Z$1&amp;"")</f>
        <v>0</v>
      </c>
      <c r="AA728" s="304" t="s">
        <v>1</v>
      </c>
      <c r="AB728" s="304" t="s">
        <v>1</v>
      </c>
      <c r="AC728" s="302" t="s">
        <v>1</v>
      </c>
      <c r="AD728" s="303" cm="1">
        <f t="array" aca="1" ref="AD728" ca="1">INDIRECT("'"&amp;$C728&amp;"'!"&amp;"$"&amp;$D728&amp;$AD$1&amp;"")</f>
        <v>3.8</v>
      </c>
      <c r="AE728" s="304">
        <f>3.8*3.6</f>
        <v>13.68</v>
      </c>
      <c r="AF728" s="304">
        <v>0.98</v>
      </c>
      <c r="AG728" s="305">
        <v>0.91</v>
      </c>
      <c r="AH728" s="301" cm="1">
        <f t="array" aca="1" ref="AH728" ca="1">INDIRECT("'"&amp;$C728&amp;"'!"&amp;"$"&amp;$D728&amp;$AH$1&amp;"")</f>
        <v>0</v>
      </c>
      <c r="AI728" s="304" t="s">
        <v>1</v>
      </c>
      <c r="AJ728" s="304" t="s">
        <v>1</v>
      </c>
      <c r="AK728" s="302" t="s">
        <v>1</v>
      </c>
      <c r="AL728" s="301">
        <v>11.9</v>
      </c>
      <c r="AM728" s="305">
        <v>70.599999999999994</v>
      </c>
      <c r="AN728" s="301" cm="1">
        <f t="array" aca="1" ref="AN728" ca="1">INDIRECT("'"&amp;$C728&amp;"'!"&amp;"$"&amp;$D728&amp;$AL$1&amp;"")</f>
        <v>3.4</v>
      </c>
      <c r="AO728" s="304">
        <v>0.98</v>
      </c>
      <c r="AP728" s="302">
        <v>0.72</v>
      </c>
      <c r="AQ728" s="303" cm="1">
        <f t="array" aca="1" ref="AQ728" ca="1">INDIRECT("'"&amp;$C728&amp;"'!"&amp;"$"&amp;$D728&amp;$AQ$1&amp;"")</f>
        <v>3.4</v>
      </c>
      <c r="AR728" s="304">
        <v>0.98</v>
      </c>
      <c r="AS728" s="302">
        <v>0.72</v>
      </c>
      <c r="AT728" s="304" cm="1">
        <f t="array" aca="1" ref="AT728" ca="1">INDIRECT("'"&amp;$C728&amp;"'!"&amp;"$"&amp;$D728&amp;$AT$1&amp;"")</f>
        <v>0</v>
      </c>
      <c r="AU728" s="303" t="s">
        <v>1</v>
      </c>
      <c r="AV728" s="304" t="s">
        <v>1</v>
      </c>
      <c r="AW728" s="302" t="s">
        <v>1</v>
      </c>
      <c r="AX728" s="306">
        <v>14.14</v>
      </c>
      <c r="AY728" s="305">
        <v>71.64</v>
      </c>
      <c r="AZ728" s="306" cm="1">
        <f t="array" aca="1" ref="AZ728" ca="1">INDIRECT("'"&amp;$C728&amp;"'!"&amp;"$"&amp;$D728&amp;$AZ$1&amp;"")</f>
        <v>14.26</v>
      </c>
      <c r="BA728" s="304">
        <v>0.99</v>
      </c>
      <c r="BB728" s="302">
        <v>2.5</v>
      </c>
      <c r="BC728" s="307">
        <v>68.900000000000006</v>
      </c>
      <c r="BD728" s="301" cm="1">
        <f t="array" aca="1" ref="BD728" ca="1">INDIRECT("'"&amp;$C728&amp;"'!"&amp;"$"&amp;$D728&amp;$BC$1&amp;"")</f>
        <v>0</v>
      </c>
      <c r="BE728" s="303" t="s">
        <v>1</v>
      </c>
      <c r="BF728" s="302" t="s">
        <v>1</v>
      </c>
      <c r="BG728" s="306" cm="1">
        <f t="array" aca="1" ref="BG728" ca="1">INDIRECT("'"&amp;$C728&amp;"'!"&amp;"$"&amp;$D728&amp;$BG$1&amp;"")</f>
        <v>1.24</v>
      </c>
      <c r="BH728" s="304"/>
      <c r="BI728" s="304">
        <v>0.99</v>
      </c>
      <c r="BJ728" s="302">
        <v>0.19</v>
      </c>
      <c r="BK728" s="307" cm="1">
        <f t="array" aca="1" ref="BK728" ca="1">INDIRECT("'"&amp;$C728&amp;"'!"&amp;"$"&amp;$D728&amp;$BK$1&amp;"")</f>
        <v>0.9</v>
      </c>
      <c r="BL728" s="304"/>
      <c r="BM728" s="304">
        <v>0.97</v>
      </c>
      <c r="BN728" s="302">
        <v>0.23</v>
      </c>
    </row>
    <row r="729" spans="1:66" ht="14.45" thickBot="1"/>
    <row r="730" spans="1:66" ht="14.45" thickBot="1">
      <c r="A730" s="360">
        <v>45777</v>
      </c>
      <c r="B730" s="357">
        <v>0</v>
      </c>
      <c r="C730" s="310">
        <f>C705+1</f>
        <v>30</v>
      </c>
      <c r="D730" s="311" t="s">
        <v>127</v>
      </c>
      <c r="E730" s="280">
        <v>14.1</v>
      </c>
      <c r="F730" s="281">
        <v>70.099999999999994</v>
      </c>
      <c r="G730" s="282" cm="1">
        <f t="array" aca="1" ref="G730" ca="1">INDIRECT("'"&amp;$C730&amp;"'!"&amp;"$"&amp;$D730&amp;$E$1&amp;"")</f>
        <v>0</v>
      </c>
      <c r="H730" s="283" t="s">
        <v>1</v>
      </c>
      <c r="I730" s="281" t="s">
        <v>1</v>
      </c>
      <c r="J730" s="282" cm="1">
        <f t="array" aca="1" ref="J730" ca="1">INDIRECT("'"&amp;$C730&amp;"'!"&amp;"$"&amp;$D730&amp;$J$1&amp;"")</f>
        <v>6.6</v>
      </c>
      <c r="K730" s="283"/>
      <c r="L730" s="283">
        <v>0.99</v>
      </c>
      <c r="M730" s="281">
        <v>1.01</v>
      </c>
      <c r="N730" s="282" cm="1">
        <f t="array" aca="1" ref="N730" ca="1">INDIRECT("'"&amp;$C730&amp;"'!"&amp;"$"&amp;$D730&amp;$N$1&amp;"")</f>
        <v>6.6</v>
      </c>
      <c r="O730" s="283"/>
      <c r="P730" s="283">
        <v>0.99</v>
      </c>
      <c r="Q730" s="281">
        <v>1.01</v>
      </c>
      <c r="R730" s="282" cm="1">
        <f t="array" aca="1" ref="R730" ca="1">INDIRECT("'"&amp;$C730&amp;"'!"&amp;"$"&amp;$D730&amp;$R$1&amp;"")</f>
        <v>0</v>
      </c>
      <c r="S730" s="283"/>
      <c r="T730" s="283">
        <v>0.99</v>
      </c>
      <c r="U730" s="281">
        <v>1.01</v>
      </c>
      <c r="V730" s="282" cm="1">
        <f t="array" aca="1" ref="V730" ca="1">INDIRECT("'"&amp;$C730&amp;"'!"&amp;"$"&amp;$D730&amp;$V$1&amp;"")</f>
        <v>0</v>
      </c>
      <c r="W730" s="283" t="s">
        <v>1</v>
      </c>
      <c r="X730" s="283" t="s">
        <v>1</v>
      </c>
      <c r="Y730" s="284" t="s">
        <v>1</v>
      </c>
      <c r="Z730" s="280" cm="1">
        <f t="array" aca="1" ref="Z730" ca="1">INDIRECT("'"&amp;$C730&amp;"'!"&amp;"$"&amp;$D730&amp;$Z$1&amp;"")</f>
        <v>0</v>
      </c>
      <c r="AA730" s="283" t="s">
        <v>1</v>
      </c>
      <c r="AB730" s="283" t="s">
        <v>1</v>
      </c>
      <c r="AC730" s="281" t="s">
        <v>1</v>
      </c>
      <c r="AD730" s="282" cm="1">
        <f t="array" aca="1" ref="AD730" ca="1">INDIRECT("'"&amp;$C730&amp;"'!"&amp;"$"&amp;$D730&amp;$AD$1&amp;"")</f>
        <v>2</v>
      </c>
      <c r="AE730" s="283">
        <f>3.59*3.8</f>
        <v>13.641999999999999</v>
      </c>
      <c r="AF730" s="283">
        <v>0.99</v>
      </c>
      <c r="AG730" s="281">
        <v>0.25</v>
      </c>
      <c r="AH730" s="280" cm="1">
        <f t="array" aca="1" ref="AH730" ca="1">INDIRECT("'"&amp;$C730&amp;"'!"&amp;"$"&amp;$D730&amp;$AH$1&amp;"")</f>
        <v>0</v>
      </c>
      <c r="AI730" s="283" t="s">
        <v>1</v>
      </c>
      <c r="AJ730" s="283" t="s">
        <v>1</v>
      </c>
      <c r="AK730" s="281" t="s">
        <v>1</v>
      </c>
      <c r="AL730" s="280">
        <v>11.9</v>
      </c>
      <c r="AM730" s="284">
        <v>70.599999999999994</v>
      </c>
      <c r="AN730" s="280" cm="1">
        <f t="array" aca="1" ref="AN730" ca="1">INDIRECT("'"&amp;$C730&amp;"'!"&amp;"$"&amp;$D730&amp;$AL$1&amp;"")</f>
        <v>3</v>
      </c>
      <c r="AO730" s="283">
        <v>0.98</v>
      </c>
      <c r="AP730" s="281">
        <v>0.56000000000000005</v>
      </c>
      <c r="AQ730" s="282" cm="1">
        <f t="array" aca="1" ref="AQ730" ca="1">INDIRECT("'"&amp;$C730&amp;"'!"&amp;"$"&amp;$D730&amp;$AQ$1&amp;"")</f>
        <v>3</v>
      </c>
      <c r="AR730" s="283">
        <v>0.98</v>
      </c>
      <c r="AS730" s="281">
        <v>0.56000000000000005</v>
      </c>
      <c r="AT730" s="283" cm="1">
        <f t="array" aca="1" ref="AT730" ca="1">INDIRECT("'"&amp;$C730&amp;"'!"&amp;"$"&amp;$D730&amp;$AT$1&amp;"")</f>
        <v>0</v>
      </c>
      <c r="AU730" s="282" t="s">
        <v>1</v>
      </c>
      <c r="AV730" s="283" t="s">
        <v>1</v>
      </c>
      <c r="AW730" s="281" t="s">
        <v>1</v>
      </c>
      <c r="AX730" s="285">
        <v>14.19</v>
      </c>
      <c r="AY730" s="284">
        <v>71.89</v>
      </c>
      <c r="AZ730" s="285" cm="1">
        <f t="array" aca="1" ref="AZ730" ca="1">INDIRECT("'"&amp;$C730&amp;"'!"&amp;"$"&amp;$D730&amp;$AZ$1&amp;"")</f>
        <v>13.29</v>
      </c>
      <c r="BA730" s="283">
        <v>0.99</v>
      </c>
      <c r="BB730" s="281">
        <v>2.2999999999999998</v>
      </c>
      <c r="BC730" s="281">
        <v>69.099999999999994</v>
      </c>
      <c r="BD730" s="280" cm="1">
        <f t="array" aca="1" ref="BD730" ca="1">INDIRECT("'"&amp;$C730&amp;"'!"&amp;"$"&amp;$D730&amp;$BC$1&amp;"")</f>
        <v>0</v>
      </c>
      <c r="BE730" s="282" t="s">
        <v>1</v>
      </c>
      <c r="BF730" s="281" t="s">
        <v>1</v>
      </c>
      <c r="BG730" s="285" cm="1">
        <f t="array" aca="1" ref="BG730" ca="1">INDIRECT("'"&amp;$C730&amp;"'!"&amp;"$"&amp;$D730&amp;$BG$1&amp;"")</f>
        <v>1.17</v>
      </c>
      <c r="BH730" s="283"/>
      <c r="BI730" s="283">
        <v>0.99</v>
      </c>
      <c r="BJ730" s="281">
        <v>0.18</v>
      </c>
      <c r="BK730" s="285" cm="1">
        <f t="array" aca="1" ref="BK730" ca="1">INDIRECT("'"&amp;$C730&amp;"'!"&amp;"$"&amp;$D730&amp;$BK$1&amp;"")</f>
        <v>0.87</v>
      </c>
      <c r="BL730" s="283"/>
      <c r="BM730" s="283">
        <v>0.97</v>
      </c>
      <c r="BN730" s="281">
        <v>0.23</v>
      </c>
    </row>
    <row r="731" spans="1:66" ht="14.45" thickBot="1">
      <c r="A731" s="360">
        <v>45777</v>
      </c>
      <c r="B731" s="358">
        <v>4.1666666666666699E-2</v>
      </c>
      <c r="C731" s="313">
        <f t="shared" ref="C731:C753" si="29">C706+1</f>
        <v>30</v>
      </c>
      <c r="D731" s="314" t="s">
        <v>128</v>
      </c>
      <c r="E731" s="286">
        <v>14.1</v>
      </c>
      <c r="F731" s="287">
        <v>69.98</v>
      </c>
      <c r="G731" s="288" cm="1">
        <f t="array" aca="1" ref="G731" ca="1">INDIRECT("'"&amp;$C731&amp;"'!"&amp;"$"&amp;$D731&amp;$E$1&amp;"")</f>
        <v>0</v>
      </c>
      <c r="H731" s="289" t="s">
        <v>1</v>
      </c>
      <c r="I731" s="287" t="s">
        <v>1</v>
      </c>
      <c r="J731" s="288" cm="1">
        <f t="array" aca="1" ref="J731" ca="1">INDIRECT("'"&amp;$C731&amp;"'!"&amp;"$"&amp;$D731&amp;$J$1&amp;"")</f>
        <v>6.2</v>
      </c>
      <c r="K731" s="289"/>
      <c r="L731" s="289">
        <v>0.99</v>
      </c>
      <c r="M731" s="287">
        <v>0.98</v>
      </c>
      <c r="N731" s="288" cm="1">
        <f t="array" aca="1" ref="N731" ca="1">INDIRECT("'"&amp;$C731&amp;"'!"&amp;"$"&amp;$D731&amp;$N$1&amp;"")</f>
        <v>6.2</v>
      </c>
      <c r="O731" s="289"/>
      <c r="P731" s="289">
        <v>0.99</v>
      </c>
      <c r="Q731" s="287">
        <v>0.98</v>
      </c>
      <c r="R731" s="288" cm="1">
        <f t="array" aca="1" ref="R731" ca="1">INDIRECT("'"&amp;$C731&amp;"'!"&amp;"$"&amp;$D731&amp;$R$1&amp;"")</f>
        <v>0</v>
      </c>
      <c r="S731" s="289"/>
      <c r="T731" s="289">
        <v>0.99</v>
      </c>
      <c r="U731" s="287">
        <v>0.98</v>
      </c>
      <c r="V731" s="288" cm="1">
        <f t="array" aca="1" ref="V731" ca="1">INDIRECT("'"&amp;$C731&amp;"'!"&amp;"$"&amp;$D731&amp;$V$1&amp;"")</f>
        <v>0</v>
      </c>
      <c r="W731" s="289" t="s">
        <v>1</v>
      </c>
      <c r="X731" s="289" t="s">
        <v>1</v>
      </c>
      <c r="Y731" s="290" t="s">
        <v>1</v>
      </c>
      <c r="Z731" s="286" cm="1">
        <f t="array" aca="1" ref="Z731" ca="1">INDIRECT("'"&amp;$C731&amp;"'!"&amp;"$"&amp;$D731&amp;$Z$1&amp;"")</f>
        <v>0</v>
      </c>
      <c r="AA731" s="289" t="s">
        <v>1</v>
      </c>
      <c r="AB731" s="289" t="s">
        <v>1</v>
      </c>
      <c r="AC731" s="287" t="s">
        <v>1</v>
      </c>
      <c r="AD731" s="288" cm="1">
        <f t="array" aca="1" ref="AD731" ca="1">INDIRECT("'"&amp;$C731&amp;"'!"&amp;"$"&amp;$D731&amp;$AD$1&amp;"")</f>
        <v>0</v>
      </c>
      <c r="AE731" s="289" t="s">
        <v>1</v>
      </c>
      <c r="AF731" s="289" t="s">
        <v>1</v>
      </c>
      <c r="AG731" s="290" t="s">
        <v>1</v>
      </c>
      <c r="AH731" s="286" cm="1">
        <f t="array" aca="1" ref="AH731" ca="1">INDIRECT("'"&amp;$C731&amp;"'!"&amp;"$"&amp;$D731&amp;$AH$1&amp;"")</f>
        <v>0</v>
      </c>
      <c r="AI731" s="289" t="s">
        <v>1</v>
      </c>
      <c r="AJ731" s="289" t="s">
        <v>1</v>
      </c>
      <c r="AK731" s="287" t="s">
        <v>1</v>
      </c>
      <c r="AL731" s="286">
        <v>11.9</v>
      </c>
      <c r="AM731" s="290">
        <v>70.900000000000006</v>
      </c>
      <c r="AN731" s="286" cm="1">
        <f t="array" aca="1" ref="AN731" ca="1">INDIRECT("'"&amp;$C731&amp;"'!"&amp;"$"&amp;$D731&amp;$AL$1&amp;"")</f>
        <v>3</v>
      </c>
      <c r="AO731" s="289">
        <v>0.99</v>
      </c>
      <c r="AP731" s="287">
        <v>0.45</v>
      </c>
      <c r="AQ731" s="288" cm="1">
        <f t="array" aca="1" ref="AQ731" ca="1">INDIRECT("'"&amp;$C731&amp;"'!"&amp;"$"&amp;$D731&amp;$AQ$1&amp;"")</f>
        <v>3</v>
      </c>
      <c r="AR731" s="289">
        <v>0.99</v>
      </c>
      <c r="AS731" s="287">
        <v>0.45</v>
      </c>
      <c r="AT731" s="289" cm="1">
        <f t="array" aca="1" ref="AT731" ca="1">INDIRECT("'"&amp;$C731&amp;"'!"&amp;"$"&amp;$D731&amp;$AT$1&amp;"")</f>
        <v>0</v>
      </c>
      <c r="AU731" s="288" t="s">
        <v>1</v>
      </c>
      <c r="AV731" s="289" t="s">
        <v>1</v>
      </c>
      <c r="AW731" s="287" t="s">
        <v>1</v>
      </c>
      <c r="AX731" s="291">
        <v>14.32</v>
      </c>
      <c r="AY731" s="290">
        <v>72.45</v>
      </c>
      <c r="AZ731" s="291" cm="1">
        <f t="array" aca="1" ref="AZ731" ca="1">INDIRECT("'"&amp;$C731&amp;"'!"&amp;"$"&amp;$D731&amp;$AZ$1&amp;"")</f>
        <v>12.75</v>
      </c>
      <c r="BA731" s="289">
        <v>0.99</v>
      </c>
      <c r="BB731" s="287">
        <v>2.2999999999999998</v>
      </c>
      <c r="BC731" s="292">
        <v>69</v>
      </c>
      <c r="BD731" s="286" cm="1">
        <f t="array" aca="1" ref="BD731" ca="1">INDIRECT("'"&amp;$C731&amp;"'!"&amp;"$"&amp;$D731&amp;$BC$1&amp;"")</f>
        <v>0</v>
      </c>
      <c r="BE731" s="288" t="s">
        <v>1</v>
      </c>
      <c r="BF731" s="287" t="s">
        <v>1</v>
      </c>
      <c r="BG731" s="291" cm="1">
        <f t="array" aca="1" ref="BG731" ca="1">INDIRECT("'"&amp;$C731&amp;"'!"&amp;"$"&amp;$D731&amp;$BG$1&amp;"")</f>
        <v>1.0900000000000001</v>
      </c>
      <c r="BH731" s="289"/>
      <c r="BI731" s="289">
        <v>0.99</v>
      </c>
      <c r="BJ731" s="287">
        <v>0.17</v>
      </c>
      <c r="BK731" s="291" cm="1">
        <f t="array" aca="1" ref="BK731" ca="1">INDIRECT("'"&amp;$C731&amp;"'!"&amp;"$"&amp;$D731&amp;$BK$1&amp;"")</f>
        <v>0.84</v>
      </c>
      <c r="BL731" s="289"/>
      <c r="BM731" s="289">
        <v>0.96</v>
      </c>
      <c r="BN731" s="287">
        <v>0.21</v>
      </c>
    </row>
    <row r="732" spans="1:66" ht="14.45" thickBot="1">
      <c r="A732" s="360">
        <v>45777</v>
      </c>
      <c r="B732" s="358">
        <v>8.3333333333333301E-2</v>
      </c>
      <c r="C732" s="313">
        <f t="shared" si="29"/>
        <v>30</v>
      </c>
      <c r="D732" s="314" t="s">
        <v>129</v>
      </c>
      <c r="E732" s="293">
        <v>14.1</v>
      </c>
      <c r="F732" s="294">
        <v>69.92</v>
      </c>
      <c r="G732" s="295" cm="1">
        <f t="array" aca="1" ref="G732" ca="1">INDIRECT("'"&amp;$C732&amp;"'!"&amp;"$"&amp;$D732&amp;$E$1&amp;"")</f>
        <v>0</v>
      </c>
      <c r="H732" s="296" t="s">
        <v>1</v>
      </c>
      <c r="I732" s="294" t="s">
        <v>1</v>
      </c>
      <c r="J732" s="295" cm="1">
        <f t="array" aca="1" ref="J732" ca="1">INDIRECT("'"&amp;$C732&amp;"'!"&amp;"$"&amp;$D732&amp;$J$1&amp;"")</f>
        <v>6.7</v>
      </c>
      <c r="K732" s="296"/>
      <c r="L732" s="296">
        <v>0.97</v>
      </c>
      <c r="M732" s="294">
        <v>1.57</v>
      </c>
      <c r="N732" s="295" cm="1">
        <f t="array" aca="1" ref="N732" ca="1">INDIRECT("'"&amp;$C732&amp;"'!"&amp;"$"&amp;$D732&amp;$N$1&amp;"")</f>
        <v>6.7</v>
      </c>
      <c r="O732" s="296"/>
      <c r="P732" s="296">
        <v>0.97</v>
      </c>
      <c r="Q732" s="294">
        <v>1.57</v>
      </c>
      <c r="R732" s="295" cm="1">
        <f t="array" aca="1" ref="R732" ca="1">INDIRECT("'"&amp;$C732&amp;"'!"&amp;"$"&amp;$D732&amp;$R$1&amp;"")</f>
        <v>0</v>
      </c>
      <c r="S732" s="296"/>
      <c r="T732" s="296" t="s">
        <v>1</v>
      </c>
      <c r="U732" s="294" t="s">
        <v>1</v>
      </c>
      <c r="V732" s="295" cm="1">
        <f t="array" aca="1" ref="V732" ca="1">INDIRECT("'"&amp;$C732&amp;"'!"&amp;"$"&amp;$D732&amp;$V$1&amp;"")</f>
        <v>0</v>
      </c>
      <c r="W732" s="296" t="s">
        <v>1</v>
      </c>
      <c r="X732" s="296" t="s">
        <v>1</v>
      </c>
      <c r="Y732" s="297" t="s">
        <v>1</v>
      </c>
      <c r="Z732" s="293" cm="1">
        <f t="array" aca="1" ref="Z732" ca="1">INDIRECT("'"&amp;$C732&amp;"'!"&amp;"$"&amp;$D732&amp;$Z$1&amp;"")</f>
        <v>0</v>
      </c>
      <c r="AA732" s="296" t="s">
        <v>1</v>
      </c>
      <c r="AB732" s="296" t="s">
        <v>1</v>
      </c>
      <c r="AC732" s="294" t="s">
        <v>1</v>
      </c>
      <c r="AD732" s="295" cm="1">
        <f t="array" aca="1" ref="AD732" ca="1">INDIRECT("'"&amp;$C732&amp;"'!"&amp;"$"&amp;$D732&amp;$AD$1&amp;"")</f>
        <v>0</v>
      </c>
      <c r="AE732" s="296" t="s">
        <v>1</v>
      </c>
      <c r="AF732" s="296" t="s">
        <v>1</v>
      </c>
      <c r="AG732" s="297" t="s">
        <v>1</v>
      </c>
      <c r="AH732" s="293" cm="1">
        <f t="array" aca="1" ref="AH732" ca="1">INDIRECT("'"&amp;$C732&amp;"'!"&amp;"$"&amp;$D732&amp;$AH$1&amp;"")</f>
        <v>0</v>
      </c>
      <c r="AI732" s="296" t="s">
        <v>1</v>
      </c>
      <c r="AJ732" s="296" t="s">
        <v>1</v>
      </c>
      <c r="AK732" s="297" t="s">
        <v>1</v>
      </c>
      <c r="AL732" s="293">
        <v>11.9</v>
      </c>
      <c r="AM732" s="297">
        <v>70.8</v>
      </c>
      <c r="AN732" s="293" cm="1">
        <f t="array" aca="1" ref="AN732" ca="1">INDIRECT("'"&amp;$C732&amp;"'!"&amp;"$"&amp;$D732&amp;$AL$1&amp;"")</f>
        <v>4.5</v>
      </c>
      <c r="AO732" s="296">
        <v>0.99</v>
      </c>
      <c r="AP732" s="294">
        <v>0.36</v>
      </c>
      <c r="AQ732" s="295" cm="1">
        <f t="array" aca="1" ref="AQ732" ca="1">INDIRECT("'"&amp;$C732&amp;"'!"&amp;"$"&amp;$D732&amp;$AQ$1&amp;"")</f>
        <v>4.5</v>
      </c>
      <c r="AR732" s="296">
        <v>0.99</v>
      </c>
      <c r="AS732" s="294">
        <v>0.36</v>
      </c>
      <c r="AT732" s="296" cm="1">
        <f t="array" aca="1" ref="AT732" ca="1">INDIRECT("'"&amp;$C732&amp;"'!"&amp;"$"&amp;$D732&amp;$AT$1&amp;"")</f>
        <v>0</v>
      </c>
      <c r="AU732" s="295" t="s">
        <v>1</v>
      </c>
      <c r="AV732" s="296" t="s">
        <v>1</v>
      </c>
      <c r="AW732" s="294" t="s">
        <v>1</v>
      </c>
      <c r="AX732" s="298">
        <v>14.1</v>
      </c>
      <c r="AY732" s="297">
        <v>71.7</v>
      </c>
      <c r="AZ732" s="298" cm="1">
        <f t="array" aca="1" ref="AZ732" ca="1">INDIRECT("'"&amp;$C732&amp;"'!"&amp;"$"&amp;$D732&amp;$AZ$1&amp;"")</f>
        <v>14.26</v>
      </c>
      <c r="BA732" s="296">
        <v>1</v>
      </c>
      <c r="BB732" s="294">
        <v>1.3</v>
      </c>
      <c r="BC732" s="299">
        <v>68.400000000000006</v>
      </c>
      <c r="BD732" s="293" cm="1">
        <f t="array" aca="1" ref="BD732" ca="1">INDIRECT("'"&amp;$C732&amp;"'!"&amp;"$"&amp;$D732&amp;$BC$1&amp;"")</f>
        <v>0</v>
      </c>
      <c r="BE732" s="295" t="s">
        <v>1</v>
      </c>
      <c r="BF732" s="294" t="s">
        <v>1</v>
      </c>
      <c r="BG732" s="298" cm="1">
        <f t="array" aca="1" ref="BG732" ca="1">INDIRECT("'"&amp;$C732&amp;"'!"&amp;"$"&amp;$D732&amp;$BG$1&amp;"")</f>
        <v>1.02</v>
      </c>
      <c r="BH732" s="296"/>
      <c r="BI732" s="296">
        <v>0.99</v>
      </c>
      <c r="BJ732" s="294">
        <v>0.16</v>
      </c>
      <c r="BK732" s="298" cm="1">
        <f t="array" aca="1" ref="BK732" ca="1">INDIRECT("'"&amp;$C732&amp;"'!"&amp;"$"&amp;$D732&amp;$BK$1&amp;"")</f>
        <v>0.81</v>
      </c>
      <c r="BL732" s="296"/>
      <c r="BM732" s="296">
        <v>0.96</v>
      </c>
      <c r="BN732" s="294">
        <v>0.21</v>
      </c>
    </row>
    <row r="733" spans="1:66" ht="14.45" thickBot="1">
      <c r="A733" s="360">
        <v>45777</v>
      </c>
      <c r="B733" s="358">
        <v>0.125</v>
      </c>
      <c r="C733" s="313">
        <f t="shared" si="29"/>
        <v>30</v>
      </c>
      <c r="D733" s="314" t="s">
        <v>130</v>
      </c>
      <c r="E733" s="286">
        <v>14.1</v>
      </c>
      <c r="F733" s="287">
        <v>69.89</v>
      </c>
      <c r="G733" s="288" cm="1">
        <f t="array" aca="1" ref="G733" ca="1">INDIRECT("'"&amp;$C733&amp;"'!"&amp;"$"&amp;$D733&amp;$E$1&amp;"")</f>
        <v>0</v>
      </c>
      <c r="H733" s="289" t="s">
        <v>1</v>
      </c>
      <c r="I733" s="287" t="s">
        <v>1</v>
      </c>
      <c r="J733" s="288" cm="1">
        <f t="array" aca="1" ref="J733" ca="1">INDIRECT("'"&amp;$C733&amp;"'!"&amp;"$"&amp;$D733&amp;$J$1&amp;"")</f>
        <v>6.6</v>
      </c>
      <c r="K733" s="289"/>
      <c r="L733" s="289">
        <v>0.97</v>
      </c>
      <c r="M733" s="287">
        <v>1.58</v>
      </c>
      <c r="N733" s="288" cm="1">
        <f t="array" aca="1" ref="N733" ca="1">INDIRECT("'"&amp;$C733&amp;"'!"&amp;"$"&amp;$D733&amp;$N$1&amp;"")</f>
        <v>6.6</v>
      </c>
      <c r="O733" s="289"/>
      <c r="P733" s="289">
        <v>0.97</v>
      </c>
      <c r="Q733" s="287">
        <v>1.58</v>
      </c>
      <c r="R733" s="288" cm="1">
        <f t="array" aca="1" ref="R733" ca="1">INDIRECT("'"&amp;$C733&amp;"'!"&amp;"$"&amp;$D733&amp;$R$1&amp;"")</f>
        <v>0</v>
      </c>
      <c r="S733" s="289"/>
      <c r="T733" s="289" t="s">
        <v>1</v>
      </c>
      <c r="U733" s="287" t="s">
        <v>1</v>
      </c>
      <c r="V733" s="288" cm="1">
        <f t="array" aca="1" ref="V733" ca="1">INDIRECT("'"&amp;$C733&amp;"'!"&amp;"$"&amp;$D733&amp;$V$1&amp;"")</f>
        <v>0</v>
      </c>
      <c r="W733" s="289" t="s">
        <v>1</v>
      </c>
      <c r="X733" s="289" t="s">
        <v>1</v>
      </c>
      <c r="Y733" s="290" t="s">
        <v>1</v>
      </c>
      <c r="Z733" s="286" cm="1">
        <f t="array" aca="1" ref="Z733" ca="1">INDIRECT("'"&amp;$C733&amp;"'!"&amp;"$"&amp;$D733&amp;$Z$1&amp;"")</f>
        <v>0</v>
      </c>
      <c r="AA733" s="289" t="s">
        <v>1</v>
      </c>
      <c r="AB733" s="289" t="s">
        <v>1</v>
      </c>
      <c r="AC733" s="287" t="s">
        <v>1</v>
      </c>
      <c r="AD733" s="288" cm="1">
        <f t="array" aca="1" ref="AD733" ca="1">INDIRECT("'"&amp;$C733&amp;"'!"&amp;"$"&amp;$D733&amp;$AD$1&amp;"")</f>
        <v>0</v>
      </c>
      <c r="AE733" s="289" t="s">
        <v>1</v>
      </c>
      <c r="AF733" s="289" t="s">
        <v>1</v>
      </c>
      <c r="AG733" s="287" t="s">
        <v>1</v>
      </c>
      <c r="AH733" s="286" cm="1">
        <f t="array" aca="1" ref="AH733" ca="1">INDIRECT("'"&amp;$C733&amp;"'!"&amp;"$"&amp;$D733&amp;$AH$1&amp;"")</f>
        <v>0</v>
      </c>
      <c r="AI733" s="289" t="s">
        <v>1</v>
      </c>
      <c r="AJ733" s="289" t="s">
        <v>1</v>
      </c>
      <c r="AK733" s="287" t="s">
        <v>1</v>
      </c>
      <c r="AL733" s="286">
        <v>11.9</v>
      </c>
      <c r="AM733" s="290">
        <v>70.7</v>
      </c>
      <c r="AN733" s="286" cm="1">
        <f t="array" aca="1" ref="AN733" ca="1">INDIRECT("'"&amp;$C733&amp;"'!"&amp;"$"&amp;$D733&amp;$AL$1&amp;"")</f>
        <v>3.8</v>
      </c>
      <c r="AO733" s="289">
        <v>0.99</v>
      </c>
      <c r="AP733" s="287">
        <v>0.6</v>
      </c>
      <c r="AQ733" s="288" cm="1">
        <f t="array" aca="1" ref="AQ733" ca="1">INDIRECT("'"&amp;$C733&amp;"'!"&amp;"$"&amp;$D733&amp;$AQ$1&amp;"")</f>
        <v>3.8</v>
      </c>
      <c r="AR733" s="289">
        <v>0.99</v>
      </c>
      <c r="AS733" s="287">
        <v>0.6</v>
      </c>
      <c r="AT733" s="289" cm="1">
        <f t="array" aca="1" ref="AT733" ca="1">INDIRECT("'"&amp;$C733&amp;"'!"&amp;"$"&amp;$D733&amp;$AT$1&amp;"")</f>
        <v>0</v>
      </c>
      <c r="AU733" s="288" t="s">
        <v>1</v>
      </c>
      <c r="AV733" s="289" t="s">
        <v>1</v>
      </c>
      <c r="AW733" s="287" t="s">
        <v>1</v>
      </c>
      <c r="AX733" s="291">
        <v>14.07</v>
      </c>
      <c r="AY733" s="290">
        <v>71.540000000000006</v>
      </c>
      <c r="AZ733" s="291" cm="1">
        <f t="array" aca="1" ref="AZ733" ca="1">INDIRECT("'"&amp;$C733&amp;"'!"&amp;"$"&amp;$D733&amp;$AZ$1&amp;"")</f>
        <v>14.24</v>
      </c>
      <c r="BA733" s="289">
        <v>1</v>
      </c>
      <c r="BB733" s="287">
        <v>1.4</v>
      </c>
      <c r="BC733" s="292">
        <v>68.900000000000006</v>
      </c>
      <c r="BD733" s="286" cm="1">
        <f t="array" aca="1" ref="BD733" ca="1">INDIRECT("'"&amp;$C733&amp;"'!"&amp;"$"&amp;$D733&amp;$BC$1&amp;"")</f>
        <v>0</v>
      </c>
      <c r="BE733" s="288" t="s">
        <v>1</v>
      </c>
      <c r="BF733" s="287" t="s">
        <v>1</v>
      </c>
      <c r="BG733" s="291" cm="1">
        <f t="array" aca="1" ref="BG733" ca="1">INDIRECT("'"&amp;$C733&amp;"'!"&amp;"$"&amp;$D733&amp;$BG$1&amp;"")</f>
        <v>0.95</v>
      </c>
      <c r="BH733" s="289"/>
      <c r="BI733" s="289">
        <v>0.99</v>
      </c>
      <c r="BJ733" s="287">
        <v>0.14000000000000001</v>
      </c>
      <c r="BK733" s="291" cm="1">
        <f t="array" aca="1" ref="BK733" ca="1">INDIRECT("'"&amp;$C733&amp;"'!"&amp;"$"&amp;$D733&amp;$BK$1&amp;"")</f>
        <v>0.77</v>
      </c>
      <c r="BL733" s="289"/>
      <c r="BM733" s="289">
        <v>0.96</v>
      </c>
      <c r="BN733" s="287">
        <v>0.21</v>
      </c>
    </row>
    <row r="734" spans="1:66" ht="14.45" thickBot="1">
      <c r="A734" s="360">
        <v>45777</v>
      </c>
      <c r="B734" s="358">
        <v>0.16666666666666699</v>
      </c>
      <c r="C734" s="313">
        <f t="shared" si="29"/>
        <v>30</v>
      </c>
      <c r="D734" s="314" t="s">
        <v>131</v>
      </c>
      <c r="E734" s="293">
        <v>14.1</v>
      </c>
      <c r="F734" s="294">
        <v>69.87</v>
      </c>
      <c r="G734" s="295" cm="1">
        <f t="array" aca="1" ref="G734" ca="1">INDIRECT("'"&amp;$C734&amp;"'!"&amp;"$"&amp;$D734&amp;$E$1&amp;"")</f>
        <v>0</v>
      </c>
      <c r="H734" s="296" t="s">
        <v>1</v>
      </c>
      <c r="I734" s="294" t="s">
        <v>1</v>
      </c>
      <c r="J734" s="295" cm="1">
        <f t="array" aca="1" ref="J734" ca="1">INDIRECT("'"&amp;$C734&amp;"'!"&amp;"$"&amp;$D734&amp;$J$1&amp;"")</f>
        <v>6.7</v>
      </c>
      <c r="K734" s="296"/>
      <c r="L734" s="296">
        <v>0.97</v>
      </c>
      <c r="M734" s="294">
        <v>1.58</v>
      </c>
      <c r="N734" s="295" cm="1">
        <f t="array" aca="1" ref="N734" ca="1">INDIRECT("'"&amp;$C734&amp;"'!"&amp;"$"&amp;$D734&amp;$N$1&amp;"")</f>
        <v>6.7</v>
      </c>
      <c r="O734" s="296"/>
      <c r="P734" s="296">
        <v>0.97</v>
      </c>
      <c r="Q734" s="294">
        <v>1.58</v>
      </c>
      <c r="R734" s="295" cm="1">
        <f t="array" aca="1" ref="R734" ca="1">INDIRECT("'"&amp;$C734&amp;"'!"&amp;"$"&amp;$D734&amp;$R$1&amp;"")</f>
        <v>0</v>
      </c>
      <c r="S734" s="296"/>
      <c r="T734" s="296" t="s">
        <v>1</v>
      </c>
      <c r="U734" s="294" t="s">
        <v>1</v>
      </c>
      <c r="V734" s="295" cm="1">
        <f t="array" aca="1" ref="V734" ca="1">INDIRECT("'"&amp;$C734&amp;"'!"&amp;"$"&amp;$D734&amp;$V$1&amp;"")</f>
        <v>0</v>
      </c>
      <c r="W734" s="296" t="s">
        <v>1</v>
      </c>
      <c r="X734" s="296" t="s">
        <v>1</v>
      </c>
      <c r="Y734" s="297" t="s">
        <v>1</v>
      </c>
      <c r="Z734" s="293" cm="1">
        <f t="array" aca="1" ref="Z734" ca="1">INDIRECT("'"&amp;$C734&amp;"'!"&amp;"$"&amp;$D734&amp;$Z$1&amp;"")</f>
        <v>0</v>
      </c>
      <c r="AA734" s="296" t="s">
        <v>1</v>
      </c>
      <c r="AB734" s="296" t="s">
        <v>1</v>
      </c>
      <c r="AC734" s="294" t="s">
        <v>1</v>
      </c>
      <c r="AD734" s="295" cm="1">
        <f t="array" aca="1" ref="AD734" ca="1">INDIRECT("'"&amp;$C734&amp;"'!"&amp;"$"&amp;$D734&amp;$AD$1&amp;"")</f>
        <v>0</v>
      </c>
      <c r="AE734" s="296" t="s">
        <v>1</v>
      </c>
      <c r="AF734" s="296" t="s">
        <v>1</v>
      </c>
      <c r="AG734" s="294" t="s">
        <v>1</v>
      </c>
      <c r="AH734" s="293" cm="1">
        <f t="array" aca="1" ref="AH734" ca="1">INDIRECT("'"&amp;$C734&amp;"'!"&amp;"$"&amp;$D734&amp;$AH$1&amp;"")</f>
        <v>0</v>
      </c>
      <c r="AI734" s="296" t="s">
        <v>1</v>
      </c>
      <c r="AJ734" s="296" t="s">
        <v>1</v>
      </c>
      <c r="AK734" s="294" t="s">
        <v>1</v>
      </c>
      <c r="AL734" s="293">
        <v>11.9</v>
      </c>
      <c r="AM734" s="297">
        <v>70.599999999999994</v>
      </c>
      <c r="AN734" s="293" cm="1">
        <f t="array" aca="1" ref="AN734" ca="1">INDIRECT("'"&amp;$C734&amp;"'!"&amp;"$"&amp;$D734&amp;$AL$1&amp;"")</f>
        <v>3.4</v>
      </c>
      <c r="AO734" s="296">
        <v>0.98</v>
      </c>
      <c r="AP734" s="294">
        <v>0.6</v>
      </c>
      <c r="AQ734" s="295" cm="1">
        <f t="array" aca="1" ref="AQ734" ca="1">INDIRECT("'"&amp;$C734&amp;"'!"&amp;"$"&amp;$D734&amp;$AQ$1&amp;"")</f>
        <v>3.4</v>
      </c>
      <c r="AR734" s="296">
        <v>0.98</v>
      </c>
      <c r="AS734" s="294">
        <v>0.6</v>
      </c>
      <c r="AT734" s="296" cm="1">
        <f t="array" aca="1" ref="AT734" ca="1">INDIRECT("'"&amp;$C734&amp;"'!"&amp;"$"&amp;$D734&amp;$AT$1&amp;"")</f>
        <v>0</v>
      </c>
      <c r="AU734" s="295" t="s">
        <v>1</v>
      </c>
      <c r="AV734" s="296" t="s">
        <v>1</v>
      </c>
      <c r="AW734" s="294" t="s">
        <v>1</v>
      </c>
      <c r="AX734" s="298">
        <v>14.09</v>
      </c>
      <c r="AY734" s="297">
        <v>71.78</v>
      </c>
      <c r="AZ734" s="298" cm="1">
        <f t="array" aca="1" ref="AZ734" ca="1">INDIRECT("'"&amp;$C734&amp;"'!"&amp;"$"&amp;$D734&amp;$AZ$1&amp;"")</f>
        <v>14.3</v>
      </c>
      <c r="BA734" s="296">
        <v>1</v>
      </c>
      <c r="BB734" s="294">
        <v>1.4</v>
      </c>
      <c r="BC734" s="299">
        <v>68.900000000000006</v>
      </c>
      <c r="BD734" s="293" cm="1">
        <f t="array" aca="1" ref="BD734" ca="1">INDIRECT("'"&amp;$C734&amp;"'!"&amp;"$"&amp;$D734&amp;$BC$1&amp;"")</f>
        <v>0</v>
      </c>
      <c r="BE734" s="295" t="s">
        <v>1</v>
      </c>
      <c r="BF734" s="294" t="s">
        <v>1</v>
      </c>
      <c r="BG734" s="298" cm="1">
        <f t="array" aca="1" ref="BG734" ca="1">INDIRECT("'"&amp;$C734&amp;"'!"&amp;"$"&amp;$D734&amp;$BG$1&amp;"")</f>
        <v>0.92</v>
      </c>
      <c r="BH734" s="296"/>
      <c r="BI734" s="296">
        <v>0.99</v>
      </c>
      <c r="BJ734" s="294">
        <v>0.14000000000000001</v>
      </c>
      <c r="BK734" s="298" cm="1">
        <f t="array" aca="1" ref="BK734" ca="1">INDIRECT("'"&amp;$C734&amp;"'!"&amp;"$"&amp;$D734&amp;$BK$1&amp;"")</f>
        <v>0.75</v>
      </c>
      <c r="BL734" s="296"/>
      <c r="BM734" s="296">
        <v>0.96</v>
      </c>
      <c r="BN734" s="294">
        <v>0.2</v>
      </c>
    </row>
    <row r="735" spans="1:66" ht="14.45" thickBot="1">
      <c r="A735" s="360">
        <v>45777</v>
      </c>
      <c r="B735" s="358">
        <v>0.20833333333333301</v>
      </c>
      <c r="C735" s="313">
        <f t="shared" si="29"/>
        <v>30</v>
      </c>
      <c r="D735" s="314" t="s">
        <v>132</v>
      </c>
      <c r="E735" s="286">
        <v>14.1</v>
      </c>
      <c r="F735" s="287">
        <v>69.87</v>
      </c>
      <c r="G735" s="288" cm="1">
        <f t="array" aca="1" ref="G735" ca="1">INDIRECT("'"&amp;$C735&amp;"'!"&amp;"$"&amp;$D735&amp;$E$1&amp;"")</f>
        <v>0</v>
      </c>
      <c r="H735" s="289" t="s">
        <v>1</v>
      </c>
      <c r="I735" s="287" t="s">
        <v>1</v>
      </c>
      <c r="J735" s="288" cm="1">
        <f t="array" aca="1" ref="J735" ca="1">INDIRECT("'"&amp;$C735&amp;"'!"&amp;"$"&amp;$D735&amp;$J$1&amp;"")</f>
        <v>6.6</v>
      </c>
      <c r="K735" s="289"/>
      <c r="L735" s="289">
        <v>0.97</v>
      </c>
      <c r="M735" s="287">
        <v>1.59</v>
      </c>
      <c r="N735" s="288" cm="1">
        <f t="array" aca="1" ref="N735" ca="1">INDIRECT("'"&amp;$C735&amp;"'!"&amp;"$"&amp;$D735&amp;$N$1&amp;"")</f>
        <v>6.6</v>
      </c>
      <c r="O735" s="289"/>
      <c r="P735" s="289">
        <v>0.97</v>
      </c>
      <c r="Q735" s="287">
        <v>1.59</v>
      </c>
      <c r="R735" s="288" cm="1">
        <f t="array" aca="1" ref="R735" ca="1">INDIRECT("'"&amp;$C735&amp;"'!"&amp;"$"&amp;$D735&amp;$R$1&amp;"")</f>
        <v>0</v>
      </c>
      <c r="S735" s="289"/>
      <c r="T735" s="289" t="s">
        <v>1</v>
      </c>
      <c r="U735" s="287" t="s">
        <v>1</v>
      </c>
      <c r="V735" s="288" cm="1">
        <f t="array" aca="1" ref="V735" ca="1">INDIRECT("'"&amp;$C735&amp;"'!"&amp;"$"&amp;$D735&amp;$V$1&amp;"")</f>
        <v>0</v>
      </c>
      <c r="W735" s="289" t="s">
        <v>1</v>
      </c>
      <c r="X735" s="289" t="s">
        <v>1</v>
      </c>
      <c r="Y735" s="290" t="s">
        <v>1</v>
      </c>
      <c r="Z735" s="286" cm="1">
        <f t="array" aca="1" ref="Z735" ca="1">INDIRECT("'"&amp;$C735&amp;"'!"&amp;"$"&amp;$D735&amp;$Z$1&amp;"")</f>
        <v>0</v>
      </c>
      <c r="AA735" s="289" t="s">
        <v>1</v>
      </c>
      <c r="AB735" s="289" t="s">
        <v>1</v>
      </c>
      <c r="AC735" s="287" t="s">
        <v>1</v>
      </c>
      <c r="AD735" s="288" cm="1">
        <f t="array" aca="1" ref="AD735" ca="1">INDIRECT("'"&amp;$C735&amp;"'!"&amp;"$"&amp;$D735&amp;$AD$1&amp;"")</f>
        <v>0</v>
      </c>
      <c r="AE735" s="289" t="s">
        <v>1</v>
      </c>
      <c r="AF735" s="289" t="s">
        <v>1</v>
      </c>
      <c r="AG735" s="290" t="s">
        <v>1</v>
      </c>
      <c r="AH735" s="286" cm="1">
        <f t="array" aca="1" ref="AH735" ca="1">INDIRECT("'"&amp;$C735&amp;"'!"&amp;"$"&amp;$D735&amp;$AH$1&amp;"")</f>
        <v>0</v>
      </c>
      <c r="AI735" s="289" t="s">
        <v>1</v>
      </c>
      <c r="AJ735" s="289" t="s">
        <v>1</v>
      </c>
      <c r="AK735" s="290" t="s">
        <v>1</v>
      </c>
      <c r="AL735" s="286">
        <v>11.9</v>
      </c>
      <c r="AM735" s="290">
        <v>70.7</v>
      </c>
      <c r="AN735" s="286" cm="1">
        <f t="array" aca="1" ref="AN735" ca="1">INDIRECT("'"&amp;$C735&amp;"'!"&amp;"$"&amp;$D735&amp;$AL$1&amp;"")</f>
        <v>3.4</v>
      </c>
      <c r="AO735" s="289">
        <v>0.98</v>
      </c>
      <c r="AP735" s="287">
        <v>0.57999999999999996</v>
      </c>
      <c r="AQ735" s="288" cm="1">
        <f t="array" aca="1" ref="AQ735" ca="1">INDIRECT("'"&amp;$C735&amp;"'!"&amp;"$"&amp;$D735&amp;$AQ$1&amp;"")</f>
        <v>3.4</v>
      </c>
      <c r="AR735" s="289">
        <v>0.98</v>
      </c>
      <c r="AS735" s="287">
        <v>0.57999999999999996</v>
      </c>
      <c r="AT735" s="289" cm="1">
        <f t="array" aca="1" ref="AT735" ca="1">INDIRECT("'"&amp;$C735&amp;"'!"&amp;"$"&amp;$D735&amp;$AT$1&amp;"")</f>
        <v>0</v>
      </c>
      <c r="AU735" s="288" t="s">
        <v>1</v>
      </c>
      <c r="AV735" s="289" t="s">
        <v>1</v>
      </c>
      <c r="AW735" s="287" t="s">
        <v>1</v>
      </c>
      <c r="AX735" s="291">
        <v>14.09</v>
      </c>
      <c r="AY735" s="290">
        <v>71.680000000000007</v>
      </c>
      <c r="AZ735" s="291" cm="1">
        <f t="array" aca="1" ref="AZ735" ca="1">INDIRECT("'"&amp;$C735&amp;"'!"&amp;"$"&amp;$D735&amp;$AZ$1&amp;"")</f>
        <v>14.28</v>
      </c>
      <c r="BA735" s="289">
        <v>1</v>
      </c>
      <c r="BB735" s="287">
        <v>1.4</v>
      </c>
      <c r="BC735" s="292">
        <v>68.8</v>
      </c>
      <c r="BD735" s="286" cm="1">
        <f t="array" aca="1" ref="BD735" ca="1">INDIRECT("'"&amp;$C735&amp;"'!"&amp;"$"&amp;$D735&amp;$BC$1&amp;"")</f>
        <v>0</v>
      </c>
      <c r="BE735" s="288" t="s">
        <v>1</v>
      </c>
      <c r="BF735" s="287" t="s">
        <v>1</v>
      </c>
      <c r="BG735" s="291" cm="1">
        <f t="array" aca="1" ref="BG735" ca="1">INDIRECT("'"&amp;$C735&amp;"'!"&amp;"$"&amp;$D735&amp;$BG$1&amp;"")</f>
        <v>0.92</v>
      </c>
      <c r="BH735" s="289"/>
      <c r="BI735" s="289">
        <v>0.99</v>
      </c>
      <c r="BJ735" s="287">
        <v>0.13</v>
      </c>
      <c r="BK735" s="291" cm="1">
        <f t="array" aca="1" ref="BK735" ca="1">INDIRECT("'"&amp;$C735&amp;"'!"&amp;"$"&amp;$D735&amp;$BK$1&amp;"")</f>
        <v>0.77</v>
      </c>
      <c r="BL735" s="289"/>
      <c r="BM735" s="289">
        <v>0.97</v>
      </c>
      <c r="BN735" s="287">
        <v>0.2</v>
      </c>
    </row>
    <row r="736" spans="1:66" ht="14.45" thickBot="1">
      <c r="A736" s="360">
        <v>45777</v>
      </c>
      <c r="B736" s="358">
        <v>0.25</v>
      </c>
      <c r="C736" s="313">
        <f t="shared" si="29"/>
        <v>30</v>
      </c>
      <c r="D736" s="314" t="s">
        <v>133</v>
      </c>
      <c r="E736" s="293">
        <v>14.1</v>
      </c>
      <c r="F736" s="294">
        <v>69.84</v>
      </c>
      <c r="G736" s="295" cm="1">
        <f t="array" aca="1" ref="G736" ca="1">INDIRECT("'"&amp;$C736&amp;"'!"&amp;"$"&amp;$D736&amp;$E$1&amp;"")</f>
        <v>0</v>
      </c>
      <c r="H736" s="296" t="s">
        <v>1</v>
      </c>
      <c r="I736" s="294" t="s">
        <v>1</v>
      </c>
      <c r="J736" s="295" cm="1">
        <f t="array" aca="1" ref="J736" ca="1">INDIRECT("'"&amp;$C736&amp;"'!"&amp;"$"&amp;$D736&amp;$J$1&amp;"")</f>
        <v>6.6</v>
      </c>
      <c r="K736" s="296"/>
      <c r="L736" s="296">
        <v>0.97</v>
      </c>
      <c r="M736" s="294">
        <v>1.59</v>
      </c>
      <c r="N736" s="295" cm="1">
        <f t="array" aca="1" ref="N736" ca="1">INDIRECT("'"&amp;$C736&amp;"'!"&amp;"$"&amp;$D736&amp;$N$1&amp;"")</f>
        <v>6.6</v>
      </c>
      <c r="O736" s="296"/>
      <c r="P736" s="296">
        <v>0.97</v>
      </c>
      <c r="Q736" s="294">
        <v>1.59</v>
      </c>
      <c r="R736" s="295" cm="1">
        <f t="array" aca="1" ref="R736" ca="1">INDIRECT("'"&amp;$C736&amp;"'!"&amp;"$"&amp;$D736&amp;$R$1&amp;"")</f>
        <v>0</v>
      </c>
      <c r="S736" s="296"/>
      <c r="T736" s="296" t="s">
        <v>1</v>
      </c>
      <c r="U736" s="294" t="s">
        <v>1</v>
      </c>
      <c r="V736" s="295" cm="1">
        <f t="array" aca="1" ref="V736" ca="1">INDIRECT("'"&amp;$C736&amp;"'!"&amp;"$"&amp;$D736&amp;$V$1&amp;"")</f>
        <v>0</v>
      </c>
      <c r="W736" s="296" t="s">
        <v>1</v>
      </c>
      <c r="X736" s="296" t="s">
        <v>1</v>
      </c>
      <c r="Y736" s="297" t="s">
        <v>1</v>
      </c>
      <c r="Z736" s="293" cm="1">
        <f t="array" aca="1" ref="Z736" ca="1">INDIRECT("'"&amp;$C736&amp;"'!"&amp;"$"&amp;$D736&amp;$Z$1&amp;"")</f>
        <v>0</v>
      </c>
      <c r="AA736" s="296" t="s">
        <v>1</v>
      </c>
      <c r="AB736" s="296" t="s">
        <v>1</v>
      </c>
      <c r="AC736" s="294" t="s">
        <v>1</v>
      </c>
      <c r="AD736" s="295" cm="1">
        <f t="array" aca="1" ref="AD736" ca="1">INDIRECT("'"&amp;$C736&amp;"'!"&amp;"$"&amp;$D736&amp;$AD$1&amp;"")</f>
        <v>0</v>
      </c>
      <c r="AE736" s="296" t="s">
        <v>1</v>
      </c>
      <c r="AF736" s="296" t="s">
        <v>1</v>
      </c>
      <c r="AG736" s="297" t="s">
        <v>1</v>
      </c>
      <c r="AH736" s="293" cm="1">
        <f t="array" aca="1" ref="AH736" ca="1">INDIRECT("'"&amp;$C736&amp;"'!"&amp;"$"&amp;$D736&amp;$AH$1&amp;"")</f>
        <v>0</v>
      </c>
      <c r="AI736" s="296" t="s">
        <v>1</v>
      </c>
      <c r="AJ736" s="296" t="s">
        <v>1</v>
      </c>
      <c r="AK736" s="297" t="s">
        <v>1</v>
      </c>
      <c r="AL736" s="293">
        <v>11.9</v>
      </c>
      <c r="AM736" s="297">
        <v>70.3</v>
      </c>
      <c r="AN736" s="293" cm="1">
        <f t="array" aca="1" ref="AN736" ca="1">INDIRECT("'"&amp;$C736&amp;"'!"&amp;"$"&amp;$D736&amp;$AL$1&amp;"")</f>
        <v>4</v>
      </c>
      <c r="AO736" s="296">
        <v>0.98</v>
      </c>
      <c r="AP736" s="294">
        <v>0.65</v>
      </c>
      <c r="AQ736" s="295" cm="1">
        <f t="array" aca="1" ref="AQ736" ca="1">INDIRECT("'"&amp;$C736&amp;"'!"&amp;"$"&amp;$D736&amp;$AQ$1&amp;"")</f>
        <v>4</v>
      </c>
      <c r="AR736" s="296">
        <v>0.98</v>
      </c>
      <c r="AS736" s="294">
        <v>0.65</v>
      </c>
      <c r="AT736" s="296" cm="1">
        <f t="array" aca="1" ref="AT736" ca="1">INDIRECT("'"&amp;$C736&amp;"'!"&amp;"$"&amp;$D736&amp;$AT$1&amp;"")</f>
        <v>0</v>
      </c>
      <c r="AU736" s="295" t="s">
        <v>1</v>
      </c>
      <c r="AV736" s="296" t="s">
        <v>1</v>
      </c>
      <c r="AW736" s="294" t="s">
        <v>1</v>
      </c>
      <c r="AX736" s="298">
        <v>14.06</v>
      </c>
      <c r="AY736" s="297">
        <v>71.61</v>
      </c>
      <c r="AZ736" s="298" cm="1">
        <f t="array" aca="1" ref="AZ736" ca="1">INDIRECT("'"&amp;$C736&amp;"'!"&amp;"$"&amp;$D736&amp;$AZ$1&amp;"")</f>
        <v>14.28</v>
      </c>
      <c r="BA736" s="296">
        <v>1</v>
      </c>
      <c r="BB736" s="294">
        <v>1.4</v>
      </c>
      <c r="BC736" s="299">
        <v>68.8</v>
      </c>
      <c r="BD736" s="293" cm="1">
        <f t="array" aca="1" ref="BD736" ca="1">INDIRECT("'"&amp;$C736&amp;"'!"&amp;"$"&amp;$D736&amp;$BC$1&amp;"")</f>
        <v>1.5</v>
      </c>
      <c r="BE736" s="295">
        <v>0.98</v>
      </c>
      <c r="BF736" s="294">
        <v>0.3</v>
      </c>
      <c r="BG736" s="298" cm="1">
        <f t="array" aca="1" ref="BG736" ca="1">INDIRECT("'"&amp;$C736&amp;"'!"&amp;"$"&amp;$D736&amp;$BG$1&amp;"")</f>
        <v>1.03</v>
      </c>
      <c r="BH736" s="296"/>
      <c r="BI736" s="296">
        <v>0.99</v>
      </c>
      <c r="BJ736" s="294">
        <v>0.14000000000000001</v>
      </c>
      <c r="BK736" s="298" cm="1">
        <f t="array" aca="1" ref="BK736" ca="1">INDIRECT("'"&amp;$C736&amp;"'!"&amp;"$"&amp;$D736&amp;$BK$1&amp;"")</f>
        <v>0.79</v>
      </c>
      <c r="BL736" s="296"/>
      <c r="BM736" s="296">
        <v>0.96</v>
      </c>
      <c r="BN736" s="294">
        <v>0.2</v>
      </c>
    </row>
    <row r="737" spans="1:66" ht="14.45" thickBot="1">
      <c r="A737" s="360">
        <v>45777</v>
      </c>
      <c r="B737" s="358">
        <v>0.29166666666666702</v>
      </c>
      <c r="C737" s="313">
        <f t="shared" si="29"/>
        <v>30</v>
      </c>
      <c r="D737" s="314" t="s">
        <v>134</v>
      </c>
      <c r="E737" s="286">
        <v>14.1</v>
      </c>
      <c r="F737" s="287">
        <v>69.709999999999994</v>
      </c>
      <c r="G737" s="288" cm="1">
        <f t="array" aca="1" ref="G737" ca="1">INDIRECT("'"&amp;$C737&amp;"'!"&amp;"$"&amp;$D737&amp;$E$1&amp;"")</f>
        <v>0</v>
      </c>
      <c r="H737" s="289" t="s">
        <v>1</v>
      </c>
      <c r="I737" s="287" t="s">
        <v>1</v>
      </c>
      <c r="J737" s="288" cm="1">
        <f t="array" aca="1" ref="J737" ca="1">INDIRECT("'"&amp;$C737&amp;"'!"&amp;"$"&amp;$D737&amp;$J$1&amp;"")</f>
        <v>6.7</v>
      </c>
      <c r="K737" s="289"/>
      <c r="L737" s="289">
        <v>0.97</v>
      </c>
      <c r="M737" s="287">
        <v>1.61</v>
      </c>
      <c r="N737" s="288" cm="1">
        <f t="array" aca="1" ref="N737" ca="1">INDIRECT("'"&amp;$C737&amp;"'!"&amp;"$"&amp;$D737&amp;$N$1&amp;"")</f>
        <v>6.7</v>
      </c>
      <c r="O737" s="289"/>
      <c r="P737" s="289">
        <v>0.97</v>
      </c>
      <c r="Q737" s="287">
        <v>1.61</v>
      </c>
      <c r="R737" s="288" cm="1">
        <f t="array" aca="1" ref="R737" ca="1">INDIRECT("'"&amp;$C737&amp;"'!"&amp;"$"&amp;$D737&amp;$R$1&amp;"")</f>
        <v>0</v>
      </c>
      <c r="S737" s="289"/>
      <c r="T737" s="289" t="s">
        <v>1</v>
      </c>
      <c r="U737" s="287" t="s">
        <v>1</v>
      </c>
      <c r="V737" s="288" cm="1">
        <f t="array" aca="1" ref="V737" ca="1">INDIRECT("'"&amp;$C737&amp;"'!"&amp;"$"&amp;$D737&amp;$V$1&amp;"")</f>
        <v>2.8</v>
      </c>
      <c r="W737" s="289">
        <f>3.53*3.8</f>
        <v>13.413999999999998</v>
      </c>
      <c r="X737" s="289">
        <v>0.97</v>
      </c>
      <c r="Y737" s="290">
        <v>0.64</v>
      </c>
      <c r="Z737" s="286" cm="1">
        <f t="array" aca="1" ref="Z737" ca="1">INDIRECT("'"&amp;$C737&amp;"'!"&amp;"$"&amp;$D737&amp;$Z$1&amp;"")</f>
        <v>0</v>
      </c>
      <c r="AA737" s="289" t="s">
        <v>1</v>
      </c>
      <c r="AB737" s="289" t="s">
        <v>1</v>
      </c>
      <c r="AC737" s="287" t="s">
        <v>1</v>
      </c>
      <c r="AD737" s="288" cm="1">
        <f t="array" aca="1" ref="AD737" ca="1">INDIRECT("'"&amp;$C737&amp;"'!"&amp;"$"&amp;$D737&amp;$AD$1&amp;"")</f>
        <v>0</v>
      </c>
      <c r="AE737" s="289" t="s">
        <v>1</v>
      </c>
      <c r="AF737" s="289" t="s">
        <v>1</v>
      </c>
      <c r="AG737" s="290" t="s">
        <v>1</v>
      </c>
      <c r="AH737" s="286" cm="1">
        <f t="array" aca="1" ref="AH737" ca="1">INDIRECT("'"&amp;$C737&amp;"'!"&amp;"$"&amp;$D737&amp;$AH$1&amp;"")</f>
        <v>0</v>
      </c>
      <c r="AI737" s="289" t="s">
        <v>1</v>
      </c>
      <c r="AJ737" s="289" t="s">
        <v>1</v>
      </c>
      <c r="AK737" s="290" t="s">
        <v>1</v>
      </c>
      <c r="AL737" s="286">
        <v>11.9</v>
      </c>
      <c r="AM737" s="290">
        <v>70.400000000000006</v>
      </c>
      <c r="AN737" s="286" cm="1">
        <f t="array" aca="1" ref="AN737" ca="1">INDIRECT("'"&amp;$C737&amp;"'!"&amp;"$"&amp;$D737&amp;$AL$1&amp;"")</f>
        <v>4</v>
      </c>
      <c r="AO737" s="289">
        <v>0.98</v>
      </c>
      <c r="AP737" s="287">
        <v>0.76</v>
      </c>
      <c r="AQ737" s="288" cm="1">
        <f t="array" aca="1" ref="AQ737" ca="1">INDIRECT("'"&amp;$C737&amp;"'!"&amp;"$"&amp;$D737&amp;$AQ$1&amp;"")</f>
        <v>4</v>
      </c>
      <c r="AR737" s="289">
        <v>0.98</v>
      </c>
      <c r="AS737" s="287">
        <v>0.76</v>
      </c>
      <c r="AT737" s="289" cm="1">
        <f t="array" aca="1" ref="AT737" ca="1">INDIRECT("'"&amp;$C737&amp;"'!"&amp;"$"&amp;$D737&amp;$AT$1&amp;"")</f>
        <v>0</v>
      </c>
      <c r="AU737" s="288" t="s">
        <v>1</v>
      </c>
      <c r="AV737" s="289" t="s">
        <v>1</v>
      </c>
      <c r="AW737" s="287" t="s">
        <v>1</v>
      </c>
      <c r="AX737" s="291">
        <v>14</v>
      </c>
      <c r="AY737" s="290">
        <v>71.349999999999994</v>
      </c>
      <c r="AZ737" s="291" cm="1">
        <f t="array" aca="1" ref="AZ737" ca="1">INDIRECT("'"&amp;$C737&amp;"'!"&amp;"$"&amp;$D737&amp;$AZ$1&amp;"")</f>
        <v>13.29</v>
      </c>
      <c r="BA737" s="289">
        <v>1</v>
      </c>
      <c r="BB737" s="287">
        <v>1.3</v>
      </c>
      <c r="BC737" s="292">
        <v>68.8</v>
      </c>
      <c r="BD737" s="286" cm="1">
        <f t="array" aca="1" ref="BD737" ca="1">INDIRECT("'"&amp;$C737&amp;"'!"&amp;"$"&amp;$D737&amp;$BC$1&amp;"")</f>
        <v>0</v>
      </c>
      <c r="BE737" s="288" t="s">
        <v>1</v>
      </c>
      <c r="BF737" s="287" t="s">
        <v>1</v>
      </c>
      <c r="BG737" s="291" cm="1">
        <f t="array" aca="1" ref="BG737" ca="1">INDIRECT("'"&amp;$C737&amp;"'!"&amp;"$"&amp;$D737&amp;$BG$1&amp;"")</f>
        <v>1.1100000000000001</v>
      </c>
      <c r="BH737" s="289"/>
      <c r="BI737" s="289">
        <v>0.99</v>
      </c>
      <c r="BJ737" s="287">
        <v>0.17</v>
      </c>
      <c r="BK737" s="292" cm="1">
        <f t="array" aca="1" ref="BK737" ca="1">INDIRECT("'"&amp;$C737&amp;"'!"&amp;"$"&amp;$D737&amp;$BK$1&amp;"")</f>
        <v>0.79</v>
      </c>
      <c r="BL737" s="289"/>
      <c r="BM737" s="289">
        <v>0.96</v>
      </c>
      <c r="BN737" s="287">
        <v>0.22</v>
      </c>
    </row>
    <row r="738" spans="1:66" ht="14.45" thickBot="1">
      <c r="A738" s="360">
        <v>45777</v>
      </c>
      <c r="B738" s="358">
        <v>0.33333333333333398</v>
      </c>
      <c r="C738" s="313">
        <f t="shared" si="29"/>
        <v>30</v>
      </c>
      <c r="D738" s="314" t="s">
        <v>135</v>
      </c>
      <c r="E738" s="293">
        <v>14</v>
      </c>
      <c r="F738" s="294">
        <v>69.73</v>
      </c>
      <c r="G738" s="295" cm="1">
        <f t="array" aca="1" ref="G738" ca="1">INDIRECT("'"&amp;$C738&amp;"'!"&amp;"$"&amp;$D738&amp;$E$1&amp;"")</f>
        <v>3.3</v>
      </c>
      <c r="H738" s="296">
        <v>0.94</v>
      </c>
      <c r="I738" s="294">
        <v>1.5</v>
      </c>
      <c r="J738" s="295" cm="1">
        <f t="array" aca="1" ref="J738" ca="1">INDIRECT("'"&amp;$C738&amp;"'!"&amp;"$"&amp;$D738&amp;$J$1&amp;"")</f>
        <v>6.7</v>
      </c>
      <c r="K738" s="296"/>
      <c r="L738" s="296">
        <v>0.94</v>
      </c>
      <c r="M738" s="294">
        <v>2.2400000000000002</v>
      </c>
      <c r="N738" s="295" cm="1">
        <f t="array" aca="1" ref="N738" ca="1">INDIRECT("'"&amp;$C738&amp;"'!"&amp;"$"&amp;$D738&amp;$N$1&amp;"")</f>
        <v>6.7</v>
      </c>
      <c r="O738" s="296"/>
      <c r="P738" s="296">
        <v>0.94</v>
      </c>
      <c r="Q738" s="294">
        <v>2.25</v>
      </c>
      <c r="R738" s="295" cm="1">
        <f t="array" aca="1" ref="R738" ca="1">INDIRECT("'"&amp;$C738&amp;"'!"&amp;"$"&amp;$D738&amp;$R$1&amp;"")</f>
        <v>0</v>
      </c>
      <c r="S738" s="296"/>
      <c r="T738" s="296" t="s">
        <v>1</v>
      </c>
      <c r="U738" s="294" t="s">
        <v>1</v>
      </c>
      <c r="V738" s="295" cm="1">
        <f t="array" aca="1" ref="V738" ca="1">INDIRECT("'"&amp;$C738&amp;"'!"&amp;"$"&amp;$D738&amp;$V$1&amp;"")</f>
        <v>2.8</v>
      </c>
      <c r="W738" s="296">
        <f>3.49*3.8</f>
        <v>13.262</v>
      </c>
      <c r="X738" s="296">
        <v>0.97</v>
      </c>
      <c r="Y738" s="297">
        <v>0.66</v>
      </c>
      <c r="Z738" s="293" cm="1">
        <f t="array" aca="1" ref="Z738" ca="1">INDIRECT("'"&amp;$C738&amp;"'!"&amp;"$"&amp;$D738&amp;$Z$1&amp;"")</f>
        <v>0</v>
      </c>
      <c r="AA738" s="296" t="s">
        <v>1</v>
      </c>
      <c r="AB738" s="296" t="s">
        <v>1</v>
      </c>
      <c r="AC738" s="294" t="s">
        <v>1</v>
      </c>
      <c r="AD738" s="295" cm="1">
        <f t="array" aca="1" ref="AD738" ca="1">INDIRECT("'"&amp;$C738&amp;"'!"&amp;"$"&amp;$D738&amp;$AD$1&amp;"")</f>
        <v>0</v>
      </c>
      <c r="AE738" s="296" t="s">
        <v>1</v>
      </c>
      <c r="AF738" s="296" t="s">
        <v>1</v>
      </c>
      <c r="AG738" s="297" t="s">
        <v>1</v>
      </c>
      <c r="AH738" s="293" cm="1">
        <f t="array" aca="1" ref="AH738" ca="1">INDIRECT("'"&amp;$C738&amp;"'!"&amp;"$"&amp;$D738&amp;$AH$1&amp;"")</f>
        <v>0</v>
      </c>
      <c r="AI738" s="296" t="s">
        <v>1</v>
      </c>
      <c r="AJ738" s="296" t="s">
        <v>1</v>
      </c>
      <c r="AK738" s="297" t="s">
        <v>1</v>
      </c>
      <c r="AL738" s="293">
        <v>11.9</v>
      </c>
      <c r="AM738" s="297">
        <v>70.099999999999994</v>
      </c>
      <c r="AN738" s="293" cm="1">
        <f t="array" aca="1" ref="AN738" ca="1">INDIRECT("'"&amp;$C738&amp;"'!"&amp;"$"&amp;$D738&amp;$AL$1&amp;"")</f>
        <v>4.2</v>
      </c>
      <c r="AO738" s="296">
        <v>0.97</v>
      </c>
      <c r="AP738" s="294">
        <v>0.88</v>
      </c>
      <c r="AQ738" s="295" cm="1">
        <f t="array" aca="1" ref="AQ738" ca="1">INDIRECT("'"&amp;$C738&amp;"'!"&amp;"$"&amp;$D738&amp;$AQ$1&amp;"")</f>
        <v>4.2</v>
      </c>
      <c r="AR738" s="296">
        <v>0.97</v>
      </c>
      <c r="AS738" s="294">
        <v>0.88</v>
      </c>
      <c r="AT738" s="296" cm="1">
        <f t="array" aca="1" ref="AT738" ca="1">INDIRECT("'"&amp;$C738&amp;"'!"&amp;"$"&amp;$D738&amp;$AT$1&amp;"")</f>
        <v>0</v>
      </c>
      <c r="AU738" s="295" t="s">
        <v>1</v>
      </c>
      <c r="AV738" s="296" t="s">
        <v>1</v>
      </c>
      <c r="AW738" s="294" t="s">
        <v>1</v>
      </c>
      <c r="AX738" s="298">
        <v>14.09</v>
      </c>
      <c r="AY738" s="297">
        <v>71.16</v>
      </c>
      <c r="AZ738" s="298" cm="1">
        <f t="array" aca="1" ref="AZ738" ca="1">INDIRECT("'"&amp;$C738&amp;"'!"&amp;"$"&amp;$D738&amp;$AZ$1&amp;"")</f>
        <v>14.25</v>
      </c>
      <c r="BA738" s="296">
        <v>0.99</v>
      </c>
      <c r="BB738" s="294">
        <v>2.4</v>
      </c>
      <c r="BC738" s="299">
        <v>68.7</v>
      </c>
      <c r="BD738" s="293" cm="1">
        <f t="array" aca="1" ref="BD738" ca="1">INDIRECT("'"&amp;$C738&amp;"'!"&amp;"$"&amp;$D738&amp;$BC$1&amp;"")</f>
        <v>2.25</v>
      </c>
      <c r="BE738" s="295">
        <v>0.97</v>
      </c>
      <c r="BF738" s="294">
        <v>0.56000000000000005</v>
      </c>
      <c r="BG738" s="298" cm="1">
        <f t="array" aca="1" ref="BG738" ca="1">INDIRECT("'"&amp;$C738&amp;"'!"&amp;"$"&amp;$D738&amp;$BG$1&amp;"")</f>
        <v>1.26</v>
      </c>
      <c r="BH738" s="296"/>
      <c r="BI738" s="296">
        <v>0.99</v>
      </c>
      <c r="BJ738" s="294">
        <v>0.18</v>
      </c>
      <c r="BK738" s="299" cm="1">
        <f t="array" aca="1" ref="BK738" ca="1">INDIRECT("'"&amp;$C738&amp;"'!"&amp;"$"&amp;$D738&amp;$BK$1&amp;"")</f>
        <v>0.8</v>
      </c>
      <c r="BL738" s="296"/>
      <c r="BM738" s="296">
        <v>0.96</v>
      </c>
      <c r="BN738" s="294">
        <v>0.22</v>
      </c>
    </row>
    <row r="739" spans="1:66" ht="14.45" thickBot="1">
      <c r="A739" s="360">
        <v>45777</v>
      </c>
      <c r="B739" s="358">
        <v>0.375</v>
      </c>
      <c r="C739" s="313">
        <f t="shared" si="29"/>
        <v>30</v>
      </c>
      <c r="D739" s="314" t="s">
        <v>136</v>
      </c>
      <c r="E739" s="286">
        <v>14.1</v>
      </c>
      <c r="F739" s="287">
        <v>69.97</v>
      </c>
      <c r="G739" s="288" cm="1">
        <f t="array" aca="1" ref="G739" ca="1">INDIRECT("'"&amp;$C739&amp;"'!"&amp;"$"&amp;$D739&amp;$E$1&amp;"")</f>
        <v>5.6</v>
      </c>
      <c r="H739" s="289">
        <v>0.92</v>
      </c>
      <c r="I739" s="287">
        <v>2.31</v>
      </c>
      <c r="J739" s="288" cm="1">
        <f t="array" aca="1" ref="J739" ca="1">INDIRECT("'"&amp;$C739&amp;"'!"&amp;"$"&amp;$D739&amp;$J$1&amp;"")</f>
        <v>5.6</v>
      </c>
      <c r="K739" s="289"/>
      <c r="L739" s="289">
        <v>0.92</v>
      </c>
      <c r="M739" s="287">
        <v>2.3199999999999998</v>
      </c>
      <c r="N739" s="288" cm="1">
        <f t="array" aca="1" ref="N739" ca="1">INDIRECT("'"&amp;$C739&amp;"'!"&amp;"$"&amp;$D739&amp;$N$1&amp;"")</f>
        <v>5.6</v>
      </c>
      <c r="O739" s="289"/>
      <c r="P739" s="289">
        <v>0.92</v>
      </c>
      <c r="Q739" s="287">
        <v>2.29</v>
      </c>
      <c r="R739" s="288" cm="1">
        <f t="array" aca="1" ref="R739" ca="1">INDIRECT("'"&amp;$C739&amp;"'!"&amp;"$"&amp;$D739&amp;$R$1&amp;"")</f>
        <v>3.2</v>
      </c>
      <c r="S739" s="289"/>
      <c r="T739" s="289">
        <v>0.93</v>
      </c>
      <c r="U739" s="287">
        <v>0.95</v>
      </c>
      <c r="V739" s="288" cm="1">
        <f t="array" aca="1" ref="V739" ca="1">INDIRECT("'"&amp;$C739&amp;"'!"&amp;"$"&amp;$D739&amp;$V$1&amp;"")</f>
        <v>2.8</v>
      </c>
      <c r="W739" s="289">
        <f>3.52*3.8</f>
        <v>13.375999999999999</v>
      </c>
      <c r="X739" s="289">
        <v>0.96</v>
      </c>
      <c r="Y739" s="290">
        <v>0.75</v>
      </c>
      <c r="Z739" s="286" cm="1">
        <f t="array" aca="1" ref="Z739" ca="1">INDIRECT("'"&amp;$C739&amp;"'!"&amp;"$"&amp;$D739&amp;$Z$1&amp;"")</f>
        <v>0</v>
      </c>
      <c r="AA739" s="289" t="s">
        <v>1</v>
      </c>
      <c r="AB739" s="289" t="s">
        <v>1</v>
      </c>
      <c r="AC739" s="287" t="s">
        <v>1</v>
      </c>
      <c r="AD739" s="288" cm="1">
        <f t="array" aca="1" ref="AD739" ca="1">INDIRECT("'"&amp;$C739&amp;"'!"&amp;"$"&amp;$D739&amp;$AD$1&amp;"")</f>
        <v>3.8</v>
      </c>
      <c r="AE739" s="289">
        <f>3.52*3.8</f>
        <v>13.375999999999999</v>
      </c>
      <c r="AF739" s="289">
        <v>0.94</v>
      </c>
      <c r="AG739" s="290">
        <v>1.32</v>
      </c>
      <c r="AH739" s="286" cm="1">
        <f t="array" aca="1" ref="AH739" ca="1">INDIRECT("'"&amp;$C739&amp;"'!"&amp;"$"&amp;$D739&amp;$AH$1&amp;"")</f>
        <v>2.5</v>
      </c>
      <c r="AI739" s="289">
        <v>13.84</v>
      </c>
      <c r="AJ739" s="289">
        <v>0.99</v>
      </c>
      <c r="AK739" s="287">
        <v>0.20300000000000001</v>
      </c>
      <c r="AL739" s="286">
        <v>11.9</v>
      </c>
      <c r="AM739" s="290">
        <v>70.400000000000006</v>
      </c>
      <c r="AN739" s="286" cm="1">
        <f t="array" aca="1" ref="AN739" ca="1">INDIRECT("'"&amp;$C739&amp;"'!"&amp;"$"&amp;$D739&amp;$AL$1&amp;"")</f>
        <v>4.2</v>
      </c>
      <c r="AO739" s="289">
        <v>0.97</v>
      </c>
      <c r="AP739" s="287">
        <v>0.85</v>
      </c>
      <c r="AQ739" s="288" cm="1">
        <f t="array" aca="1" ref="AQ739" ca="1">INDIRECT("'"&amp;$C739&amp;"'!"&amp;"$"&amp;$D739&amp;$AQ$1&amp;"")</f>
        <v>4.2</v>
      </c>
      <c r="AR739" s="289">
        <v>0.97</v>
      </c>
      <c r="AS739" s="287">
        <v>0.85</v>
      </c>
      <c r="AT739" s="289" cm="1">
        <f t="array" aca="1" ref="AT739" ca="1">INDIRECT("'"&amp;$C739&amp;"'!"&amp;"$"&amp;$D739&amp;$AT$1&amp;"")</f>
        <v>0</v>
      </c>
      <c r="AU739" s="288" t="s">
        <v>1</v>
      </c>
      <c r="AV739" s="289" t="s">
        <v>1</v>
      </c>
      <c r="AW739" s="287" t="s">
        <v>1</v>
      </c>
      <c r="AX739" s="291">
        <v>14.16</v>
      </c>
      <c r="AY739" s="290">
        <v>71.34</v>
      </c>
      <c r="AZ739" s="291" cm="1">
        <f t="array" aca="1" ref="AZ739" ca="1">INDIRECT("'"&amp;$C739&amp;"'!"&amp;"$"&amp;$D739&amp;$AZ$1&amp;"")</f>
        <v>14.25</v>
      </c>
      <c r="BA739" s="289">
        <v>0.98</v>
      </c>
      <c r="BB739" s="287">
        <v>3.51</v>
      </c>
      <c r="BC739" s="292">
        <v>68.2</v>
      </c>
      <c r="BD739" s="286" cm="1">
        <f t="array" aca="1" ref="BD739" ca="1">INDIRECT("'"&amp;$C739&amp;"'!"&amp;"$"&amp;$D739&amp;$BC$1&amp;"")</f>
        <v>1.5</v>
      </c>
      <c r="BE739" s="288">
        <v>0.96</v>
      </c>
      <c r="BF739" s="287">
        <v>0.43</v>
      </c>
      <c r="BG739" s="291" cm="1">
        <f t="array" aca="1" ref="BG739" ca="1">INDIRECT("'"&amp;$C739&amp;"'!"&amp;"$"&amp;$D739&amp;$BG$1&amp;"")</f>
        <v>0</v>
      </c>
      <c r="BH739" s="289"/>
      <c r="BI739" s="289" t="s">
        <v>1</v>
      </c>
      <c r="BJ739" s="287" t="s">
        <v>1</v>
      </c>
      <c r="BK739" s="292" cm="1">
        <f t="array" aca="1" ref="BK739" ca="1">INDIRECT("'"&amp;$C739&amp;"'!"&amp;"$"&amp;$D739&amp;$BK$1&amp;"")</f>
        <v>0.83</v>
      </c>
      <c r="BL739" s="289"/>
      <c r="BM739" s="289">
        <v>0.96</v>
      </c>
      <c r="BN739" s="287">
        <v>0.23</v>
      </c>
    </row>
    <row r="740" spans="1:66" ht="14.45" thickBot="1">
      <c r="A740" s="360">
        <v>45777</v>
      </c>
      <c r="B740" s="358">
        <v>0.41666666666666702</v>
      </c>
      <c r="C740" s="313">
        <f t="shared" si="29"/>
        <v>30</v>
      </c>
      <c r="D740" s="314" t="s">
        <v>137</v>
      </c>
      <c r="E740" s="293">
        <v>14.1</v>
      </c>
      <c r="F740" s="294">
        <v>69.59</v>
      </c>
      <c r="G740" s="295" cm="1">
        <f t="array" aca="1" ref="G740" ca="1">INDIRECT("'"&amp;$C740&amp;"'!"&amp;"$"&amp;$D740&amp;$E$1&amp;"")</f>
        <v>6.5</v>
      </c>
      <c r="H740" s="296">
        <v>0.92</v>
      </c>
      <c r="I740" s="294">
        <v>2.92</v>
      </c>
      <c r="J740" s="295" cm="1">
        <f t="array" aca="1" ref="J740" ca="1">INDIRECT("'"&amp;$C740&amp;"'!"&amp;"$"&amp;$D740&amp;$J$1&amp;"")</f>
        <v>6.5</v>
      </c>
      <c r="K740" s="296"/>
      <c r="L740" s="296">
        <v>0.92</v>
      </c>
      <c r="M740" s="294">
        <v>2.89</v>
      </c>
      <c r="N740" s="295" cm="1">
        <f t="array" aca="1" ref="N740" ca="1">INDIRECT("'"&amp;$C740&amp;"'!"&amp;"$"&amp;$D740&amp;$N$1&amp;"")</f>
        <v>6.5</v>
      </c>
      <c r="O740" s="296"/>
      <c r="P740" s="296">
        <v>0.92</v>
      </c>
      <c r="Q740" s="294">
        <v>2.9</v>
      </c>
      <c r="R740" s="295" cm="1">
        <f t="array" aca="1" ref="R740" ca="1">INDIRECT("'"&amp;$C740&amp;"'!"&amp;"$"&amp;$D740&amp;$R$1&amp;"")</f>
        <v>1.5</v>
      </c>
      <c r="S740" s="296"/>
      <c r="T740" s="296">
        <v>0.94</v>
      </c>
      <c r="U740" s="294">
        <v>0.55000000000000004</v>
      </c>
      <c r="V740" s="295" cm="1">
        <f t="array" aca="1" ref="V740" ca="1">INDIRECT("'"&amp;$C740&amp;"'!"&amp;"$"&amp;$D740&amp;$V$1&amp;"")</f>
        <v>2.8</v>
      </c>
      <c r="W740" s="296">
        <f>3.5*3.8</f>
        <v>13.299999999999999</v>
      </c>
      <c r="X740" s="296">
        <v>0.94</v>
      </c>
      <c r="Y740" s="297">
        <v>0.95</v>
      </c>
      <c r="Z740" s="293" cm="1">
        <f t="array" aca="1" ref="Z740" ca="1">INDIRECT("'"&amp;$C740&amp;"'!"&amp;"$"&amp;$D740&amp;$Z$1&amp;"")</f>
        <v>0</v>
      </c>
      <c r="AA740" s="296" t="s">
        <v>1</v>
      </c>
      <c r="AB740" s="296" t="s">
        <v>1</v>
      </c>
      <c r="AC740" s="294" t="s">
        <v>1</v>
      </c>
      <c r="AD740" s="295" cm="1">
        <f t="array" aca="1" ref="AD740" ca="1">INDIRECT("'"&amp;$C740&amp;"'!"&amp;"$"&amp;$D740&amp;$AD$1&amp;"")</f>
        <v>3.8</v>
      </c>
      <c r="AE740" s="296">
        <f>3.5*3.8</f>
        <v>13.299999999999999</v>
      </c>
      <c r="AF740" s="296">
        <v>0.94</v>
      </c>
      <c r="AG740" s="297">
        <v>1.3109999999999999</v>
      </c>
      <c r="AH740" s="293" cm="1">
        <f t="array" aca="1" ref="AH740" ca="1">INDIRECT("'"&amp;$C740&amp;"'!"&amp;"$"&amp;$D740&amp;$AH$1&amp;"")</f>
        <v>3.8</v>
      </c>
      <c r="AI740" s="296">
        <v>13.84</v>
      </c>
      <c r="AJ740" s="296">
        <v>0.99</v>
      </c>
      <c r="AK740" s="294">
        <v>1.31</v>
      </c>
      <c r="AL740" s="293">
        <v>11.9</v>
      </c>
      <c r="AM740" s="297">
        <v>70.2</v>
      </c>
      <c r="AN740" s="293" cm="1">
        <f t="array" aca="1" ref="AN740" ca="1">INDIRECT("'"&amp;$C740&amp;"'!"&amp;"$"&amp;$D740&amp;$AL$1&amp;"")</f>
        <v>4.2</v>
      </c>
      <c r="AO740" s="296">
        <v>0.96</v>
      </c>
      <c r="AP740" s="294">
        <v>1.2</v>
      </c>
      <c r="AQ740" s="295" cm="1">
        <f t="array" aca="1" ref="AQ740" ca="1">INDIRECT("'"&amp;$C740&amp;"'!"&amp;"$"&amp;$D740&amp;$AQ$1&amp;"")</f>
        <v>4.2</v>
      </c>
      <c r="AR740" s="296">
        <v>0.96</v>
      </c>
      <c r="AS740" s="294">
        <v>1.2</v>
      </c>
      <c r="AT740" s="296" cm="1">
        <f t="array" aca="1" ref="AT740" ca="1">INDIRECT("'"&amp;$C740&amp;"'!"&amp;"$"&amp;$D740&amp;$AT$1&amp;"")</f>
        <v>0</v>
      </c>
      <c r="AU740" s="295" t="s">
        <v>1</v>
      </c>
      <c r="AV740" s="296" t="s">
        <v>1</v>
      </c>
      <c r="AW740" s="294"/>
      <c r="AX740" s="298">
        <v>14.13</v>
      </c>
      <c r="AY740" s="297">
        <v>71.11</v>
      </c>
      <c r="AZ740" s="298" cm="1">
        <f t="array" aca="1" ref="AZ740" ca="1">INDIRECT("'"&amp;$C740&amp;"'!"&amp;"$"&amp;$D740&amp;$AZ$1&amp;"")</f>
        <v>14.25</v>
      </c>
      <c r="BA740" s="296">
        <v>0.98</v>
      </c>
      <c r="BB740" s="294">
        <v>3.52</v>
      </c>
      <c r="BC740" s="299">
        <v>67.900000000000006</v>
      </c>
      <c r="BD740" s="293" cm="1">
        <f t="array" aca="1" ref="BD740" ca="1">INDIRECT("'"&amp;$C740&amp;"'!"&amp;"$"&amp;$D740&amp;$BC$1&amp;"")</f>
        <v>3.8</v>
      </c>
      <c r="BE740" s="295">
        <v>0.96</v>
      </c>
      <c r="BF740" s="294">
        <v>1.1000000000000001</v>
      </c>
      <c r="BG740" s="298" cm="1">
        <f t="array" aca="1" ref="BG740" ca="1">INDIRECT("'"&amp;$C740&amp;"'!"&amp;"$"&amp;$D740&amp;$BG$1&amp;"")</f>
        <v>0</v>
      </c>
      <c r="BH740" s="296"/>
      <c r="BI740" s="296" t="s">
        <v>1</v>
      </c>
      <c r="BJ740" s="294" t="s">
        <v>1</v>
      </c>
      <c r="BK740" s="299" cm="1">
        <f t="array" aca="1" ref="BK740" ca="1">INDIRECT("'"&amp;$C740&amp;"'!"&amp;"$"&amp;$D740&amp;$BK$1&amp;"")</f>
        <v>0.81</v>
      </c>
      <c r="BL740" s="296"/>
      <c r="BM740" s="296">
        <v>0.96</v>
      </c>
      <c r="BN740" s="294">
        <v>0.23</v>
      </c>
    </row>
    <row r="741" spans="1:66" ht="14.45" thickBot="1">
      <c r="A741" s="360">
        <v>45777</v>
      </c>
      <c r="B741" s="358">
        <v>0.45833333333333398</v>
      </c>
      <c r="C741" s="313">
        <f t="shared" si="29"/>
        <v>30</v>
      </c>
      <c r="D741" s="314" t="s">
        <v>138</v>
      </c>
      <c r="E741" s="286">
        <v>14.1</v>
      </c>
      <c r="F741" s="287">
        <v>69.81</v>
      </c>
      <c r="G741" s="288" cm="1">
        <f t="array" aca="1" ref="G741" ca="1">INDIRECT("'"&amp;$C741&amp;"'!"&amp;"$"&amp;$D741&amp;$E$1&amp;"")</f>
        <v>6.6</v>
      </c>
      <c r="H741" s="289">
        <v>0.92</v>
      </c>
      <c r="I741" s="287">
        <v>2.89</v>
      </c>
      <c r="J741" s="288" cm="1">
        <f t="array" aca="1" ref="J741" ca="1">INDIRECT("'"&amp;$C741&amp;"'!"&amp;"$"&amp;$D741&amp;$J$1&amp;"")</f>
        <v>6.6</v>
      </c>
      <c r="K741" s="289"/>
      <c r="L741" s="289">
        <v>0.92</v>
      </c>
      <c r="M741" s="287">
        <v>2.87</v>
      </c>
      <c r="N741" s="288" cm="1">
        <f t="array" aca="1" ref="N741" ca="1">INDIRECT("'"&amp;$C741&amp;"'!"&amp;"$"&amp;$D741&amp;$N$1&amp;"")</f>
        <v>6.6</v>
      </c>
      <c r="O741" s="289"/>
      <c r="P741" s="289">
        <v>0.92</v>
      </c>
      <c r="Q741" s="287">
        <v>2.89</v>
      </c>
      <c r="R741" s="288" cm="1">
        <f t="array" aca="1" ref="R741" ca="1">INDIRECT("'"&amp;$C741&amp;"'!"&amp;"$"&amp;$D741&amp;$R$1&amp;"")</f>
        <v>6.6</v>
      </c>
      <c r="S741" s="289"/>
      <c r="T741" s="289">
        <v>0.92</v>
      </c>
      <c r="U741" s="287">
        <v>2.2999999999999998</v>
      </c>
      <c r="V741" s="288" cm="1">
        <f t="array" aca="1" ref="V741" ca="1">INDIRECT("'"&amp;$C741&amp;"'!"&amp;"$"&amp;$D741&amp;$V$1&amp;"")</f>
        <v>2.8</v>
      </c>
      <c r="W741" s="289">
        <f>3.51*3.8</f>
        <v>13.337999999999999</v>
      </c>
      <c r="X741" s="289">
        <v>0.93</v>
      </c>
      <c r="Y741" s="290">
        <v>1.05</v>
      </c>
      <c r="Z741" s="286" cm="1">
        <f t="array" aca="1" ref="Z741" ca="1">INDIRECT("'"&amp;$C741&amp;"'!"&amp;"$"&amp;$D741&amp;$Z$1&amp;"")</f>
        <v>0</v>
      </c>
      <c r="AA741" s="289" t="s">
        <v>1</v>
      </c>
      <c r="AB741" s="289" t="s">
        <v>1</v>
      </c>
      <c r="AC741" s="287" t="s">
        <v>1</v>
      </c>
      <c r="AD741" s="288" cm="1">
        <f t="array" aca="1" ref="AD741" ca="1">INDIRECT("'"&amp;$C741&amp;"'!"&amp;"$"&amp;$D741&amp;$AD$1&amp;"")</f>
        <v>3.8</v>
      </c>
      <c r="AE741" s="289">
        <f>3.51*3.8</f>
        <v>13.337999999999999</v>
      </c>
      <c r="AF741" s="289">
        <v>0.92</v>
      </c>
      <c r="AG741" s="290">
        <v>1.59</v>
      </c>
      <c r="AH741" s="286" cm="1">
        <f t="array" aca="1" ref="AH741" ca="1">INDIRECT("'"&amp;$C741&amp;"'!"&amp;"$"&amp;$D741&amp;$AH$1&amp;"")</f>
        <v>3.8</v>
      </c>
      <c r="AI741" s="289">
        <v>13.84</v>
      </c>
      <c r="AJ741" s="289">
        <v>0.99</v>
      </c>
      <c r="AK741" s="287">
        <v>0.36899999999999999</v>
      </c>
      <c r="AL741" s="286">
        <v>11.9</v>
      </c>
      <c r="AM741" s="290">
        <v>70.2</v>
      </c>
      <c r="AN741" s="286" cm="1">
        <f t="array" aca="1" ref="AN741" ca="1">INDIRECT("'"&amp;$C741&amp;"'!"&amp;"$"&amp;$D741&amp;$AL$1&amp;"")</f>
        <v>4.0999999999999996</v>
      </c>
      <c r="AO741" s="289">
        <v>0.96</v>
      </c>
      <c r="AP741" s="287">
        <v>1.1000000000000001</v>
      </c>
      <c r="AQ741" s="288" cm="1">
        <f t="array" aca="1" ref="AQ741" ca="1">INDIRECT("'"&amp;$C741&amp;"'!"&amp;"$"&amp;$D741&amp;$AQ$1&amp;"")</f>
        <v>4.0999999999999996</v>
      </c>
      <c r="AR741" s="289">
        <v>0.96</v>
      </c>
      <c r="AS741" s="287">
        <v>1.1000000000000001</v>
      </c>
      <c r="AT741" s="289" cm="1">
        <f t="array" aca="1" ref="AT741" ca="1">INDIRECT("'"&amp;$C741&amp;"'!"&amp;"$"&amp;$D741&amp;$AT$1&amp;"")</f>
        <v>0</v>
      </c>
      <c r="AU741" s="288" t="s">
        <v>1</v>
      </c>
      <c r="AV741" s="289" t="s">
        <v>1</v>
      </c>
      <c r="AW741" s="287" t="s">
        <v>1</v>
      </c>
      <c r="AX741" s="291">
        <v>14.07</v>
      </c>
      <c r="AY741" s="290">
        <v>70.84</v>
      </c>
      <c r="AZ741" s="291" cm="1">
        <f t="array" aca="1" ref="AZ741" ca="1">INDIRECT("'"&amp;$C741&amp;"'!"&amp;"$"&amp;$D741&amp;$AZ$1&amp;"")</f>
        <v>14.27</v>
      </c>
      <c r="BA741" s="289">
        <v>0.98</v>
      </c>
      <c r="BB741" s="287">
        <v>3.52</v>
      </c>
      <c r="BC741" s="292">
        <v>67.7</v>
      </c>
      <c r="BD741" s="286" cm="1">
        <f t="array" aca="1" ref="BD741" ca="1">INDIRECT("'"&amp;$C741&amp;"'!"&amp;"$"&amp;$D741&amp;$BC$1&amp;"")</f>
        <v>0</v>
      </c>
      <c r="BE741" s="288" t="s">
        <v>1</v>
      </c>
      <c r="BF741" s="287" t="s">
        <v>1</v>
      </c>
      <c r="BG741" s="291" cm="1">
        <f t="array" aca="1" ref="BG741" ca="1">INDIRECT("'"&amp;$C741&amp;"'!"&amp;"$"&amp;$D741&amp;$BG$1&amp;"")</f>
        <v>1.56</v>
      </c>
      <c r="BH741" s="289"/>
      <c r="BI741" s="289">
        <v>0.99</v>
      </c>
      <c r="BJ741" s="287">
        <v>0.26</v>
      </c>
      <c r="BK741" s="292" cm="1">
        <f t="array" aca="1" ref="BK741" ca="1">INDIRECT("'"&amp;$C741&amp;"'!"&amp;"$"&amp;$D741&amp;$BK$1&amp;"")</f>
        <v>0.81</v>
      </c>
      <c r="BL741" s="289"/>
      <c r="BM741" s="289">
        <v>0.96</v>
      </c>
      <c r="BN741" s="287">
        <v>0.22</v>
      </c>
    </row>
    <row r="742" spans="1:66" ht="14.45" thickBot="1">
      <c r="A742" s="360">
        <v>45777</v>
      </c>
      <c r="B742" s="358">
        <v>0.5</v>
      </c>
      <c r="C742" s="313">
        <f t="shared" si="29"/>
        <v>30</v>
      </c>
      <c r="D742" s="314" t="s">
        <v>139</v>
      </c>
      <c r="E742" s="293">
        <v>14.1</v>
      </c>
      <c r="F742" s="294">
        <v>69.84</v>
      </c>
      <c r="G742" s="295" cm="1">
        <f t="array" aca="1" ref="G742" ca="1">INDIRECT("'"&amp;$C742&amp;"'!"&amp;"$"&amp;$D742&amp;$E$1&amp;"")</f>
        <v>6.5</v>
      </c>
      <c r="H742" s="296">
        <v>0.92</v>
      </c>
      <c r="I742" s="294">
        <v>2.9</v>
      </c>
      <c r="J742" s="295" cm="1">
        <f t="array" aca="1" ref="J742" ca="1">INDIRECT("'"&amp;$C742&amp;"'!"&amp;"$"&amp;$D742&amp;$J$1&amp;"")</f>
        <v>6.5</v>
      </c>
      <c r="K742" s="296"/>
      <c r="L742" s="296">
        <v>0.92</v>
      </c>
      <c r="M742" s="294">
        <v>2.87</v>
      </c>
      <c r="N742" s="295" cm="1">
        <f t="array" aca="1" ref="N742" ca="1">INDIRECT("'"&amp;$C742&amp;"'!"&amp;"$"&amp;$D742&amp;$N$1&amp;"")</f>
        <v>6.5</v>
      </c>
      <c r="O742" s="296"/>
      <c r="P742" s="296">
        <v>0.92</v>
      </c>
      <c r="Q742" s="294">
        <v>2.89</v>
      </c>
      <c r="R742" s="295" cm="1">
        <f t="array" aca="1" ref="R742" ca="1">INDIRECT("'"&amp;$C742&amp;"'!"&amp;"$"&amp;$D742&amp;$R$1&amp;"")</f>
        <v>6.5</v>
      </c>
      <c r="S742" s="296"/>
      <c r="T742" s="296">
        <v>0.92</v>
      </c>
      <c r="U742" s="294">
        <v>2.86</v>
      </c>
      <c r="V742" s="295" cm="1">
        <f t="array" aca="1" ref="V742" ca="1">INDIRECT("'"&amp;$C742&amp;"'!"&amp;"$"&amp;$D742&amp;$V$1&amp;"")</f>
        <v>2.8</v>
      </c>
      <c r="W742" s="296">
        <f>3.52*3.8</f>
        <v>13.375999999999999</v>
      </c>
      <c r="X742" s="296">
        <v>0.93</v>
      </c>
      <c r="Y742" s="297">
        <v>1.05</v>
      </c>
      <c r="Z742" s="293" cm="1">
        <f t="array" aca="1" ref="Z742" ca="1">INDIRECT("'"&amp;$C742&amp;"'!"&amp;"$"&amp;$D742&amp;$Z$1&amp;"")</f>
        <v>0</v>
      </c>
      <c r="AA742" s="296" t="s">
        <v>1</v>
      </c>
      <c r="AB742" s="296" t="s">
        <v>1</v>
      </c>
      <c r="AC742" s="294" t="s">
        <v>1</v>
      </c>
      <c r="AD742" s="295" cm="1">
        <f t="array" aca="1" ref="AD742" ca="1">INDIRECT("'"&amp;$C742&amp;"'!"&amp;"$"&amp;$D742&amp;$AD$1&amp;"")</f>
        <v>3.8</v>
      </c>
      <c r="AE742" s="296">
        <f>3.52*3.8</f>
        <v>13.375999999999999</v>
      </c>
      <c r="AF742" s="296">
        <v>0.92</v>
      </c>
      <c r="AG742" s="297">
        <v>1.6</v>
      </c>
      <c r="AH742" s="293" cm="1">
        <f t="array" aca="1" ref="AH742" ca="1">INDIRECT("'"&amp;$C742&amp;"'!"&amp;"$"&amp;$D742&amp;$AH$1&amp;"")</f>
        <v>3.8</v>
      </c>
      <c r="AI742" s="296">
        <v>13.96</v>
      </c>
      <c r="AJ742" s="296">
        <v>0.97</v>
      </c>
      <c r="AK742" s="294">
        <v>0.751</v>
      </c>
      <c r="AL742" s="293">
        <v>11.9</v>
      </c>
      <c r="AM742" s="297">
        <v>70.3</v>
      </c>
      <c r="AN742" s="293" cm="1">
        <f t="array" aca="1" ref="AN742" ca="1">INDIRECT("'"&amp;$C742&amp;"'!"&amp;"$"&amp;$D742&amp;$AL$1&amp;"")</f>
        <v>3.8</v>
      </c>
      <c r="AO742" s="296">
        <v>0.96</v>
      </c>
      <c r="AP742" s="294">
        <v>1</v>
      </c>
      <c r="AQ742" s="295" cm="1">
        <f t="array" aca="1" ref="AQ742" ca="1">INDIRECT("'"&amp;$C742&amp;"'!"&amp;"$"&amp;$D742&amp;$AQ$1&amp;"")</f>
        <v>3.8</v>
      </c>
      <c r="AR742" s="296">
        <v>0.96</v>
      </c>
      <c r="AS742" s="294">
        <v>1</v>
      </c>
      <c r="AT742" s="296" cm="1">
        <f t="array" aca="1" ref="AT742" ca="1">INDIRECT("'"&amp;$C742&amp;"'!"&amp;"$"&amp;$D742&amp;$AT$1&amp;"")</f>
        <v>0</v>
      </c>
      <c r="AU742" s="295" t="s">
        <v>1</v>
      </c>
      <c r="AV742" s="296" t="s">
        <v>1</v>
      </c>
      <c r="AW742" s="294" t="s">
        <v>1</v>
      </c>
      <c r="AX742" s="298">
        <v>14.18</v>
      </c>
      <c r="AY742" s="297">
        <v>71.349999999999994</v>
      </c>
      <c r="AZ742" s="298" cm="1">
        <f t="array" aca="1" ref="AZ742" ca="1">INDIRECT("'"&amp;$C742&amp;"'!"&amp;"$"&amp;$D742&amp;$AZ$1&amp;"")</f>
        <v>14.26</v>
      </c>
      <c r="BA742" s="296">
        <v>0.98</v>
      </c>
      <c r="BB742" s="294">
        <v>3.52</v>
      </c>
      <c r="BC742" s="299">
        <v>68</v>
      </c>
      <c r="BD742" s="293" cm="1">
        <f t="array" aca="1" ref="BD742" ca="1">INDIRECT("'"&amp;$C742&amp;"'!"&amp;"$"&amp;$D742&amp;$BC$1&amp;"")</f>
        <v>0.7</v>
      </c>
      <c r="BE742" s="295">
        <v>0.96</v>
      </c>
      <c r="BF742" s="294">
        <v>0.2</v>
      </c>
      <c r="BG742" s="298" cm="1">
        <f t="array" aca="1" ref="BG742" ca="1">INDIRECT("'"&amp;$C742&amp;"'!"&amp;"$"&amp;$D742&amp;$BG$1&amp;"")</f>
        <v>1.5699999999999998</v>
      </c>
      <c r="BH742" s="296"/>
      <c r="BI742" s="296">
        <v>0.99</v>
      </c>
      <c r="BJ742" s="294">
        <v>0.24</v>
      </c>
      <c r="BK742" s="299" cm="1">
        <f t="array" aca="1" ref="BK742" ca="1">INDIRECT("'"&amp;$C742&amp;"'!"&amp;"$"&amp;$D742&amp;$BK$1&amp;"")</f>
        <v>0.81</v>
      </c>
      <c r="BL742" s="296"/>
      <c r="BM742" s="296">
        <v>0.96</v>
      </c>
      <c r="BN742" s="294">
        <v>0.23</v>
      </c>
    </row>
    <row r="743" spans="1:66" ht="14.45" thickBot="1">
      <c r="A743" s="360">
        <v>45777</v>
      </c>
      <c r="B743" s="358">
        <v>0.54166666666666696</v>
      </c>
      <c r="C743" s="313">
        <f t="shared" si="29"/>
        <v>30</v>
      </c>
      <c r="D743" s="314" t="s">
        <v>140</v>
      </c>
      <c r="E743" s="286">
        <v>14.1</v>
      </c>
      <c r="F743" s="287">
        <v>69.8</v>
      </c>
      <c r="G743" s="288" cm="1">
        <f t="array" aca="1" ref="G743" ca="1">INDIRECT("'"&amp;$C743&amp;"'!"&amp;"$"&amp;$D743&amp;$E$1&amp;"")</f>
        <v>6.6</v>
      </c>
      <c r="H743" s="289">
        <v>0.91</v>
      </c>
      <c r="I743" s="287">
        <v>3.08</v>
      </c>
      <c r="J743" s="288" cm="1">
        <f t="array" aca="1" ref="J743" ca="1">INDIRECT("'"&amp;$C743&amp;"'!"&amp;"$"&amp;$D743&amp;$J$1&amp;"")</f>
        <v>6.6</v>
      </c>
      <c r="K743" s="289"/>
      <c r="L743" s="289">
        <v>0.91</v>
      </c>
      <c r="M743" s="287">
        <v>3.06</v>
      </c>
      <c r="N743" s="288" cm="1">
        <f t="array" aca="1" ref="N743" ca="1">INDIRECT("'"&amp;$C743&amp;"'!"&amp;"$"&amp;$D743&amp;$N$1&amp;"")</f>
        <v>6.6</v>
      </c>
      <c r="O743" s="289"/>
      <c r="P743" s="289">
        <v>0.91</v>
      </c>
      <c r="Q743" s="287">
        <v>3.09</v>
      </c>
      <c r="R743" s="288" cm="1">
        <f t="array" aca="1" ref="R743" ca="1">INDIRECT("'"&amp;$C743&amp;"'!"&amp;"$"&amp;$D743&amp;$R$1&amp;"")</f>
        <v>6.6</v>
      </c>
      <c r="S743" s="289"/>
      <c r="T743" s="289">
        <v>0.91</v>
      </c>
      <c r="U743" s="287">
        <v>3.04</v>
      </c>
      <c r="V743" s="288" cm="1">
        <f t="array" aca="1" ref="V743" ca="1">INDIRECT("'"&amp;$C743&amp;"'!"&amp;"$"&amp;$D743&amp;$V$1&amp;"")</f>
        <v>2.8</v>
      </c>
      <c r="W743" s="289">
        <f>3.5*3.8</f>
        <v>13.299999999999999</v>
      </c>
      <c r="X743" s="289">
        <v>0.92</v>
      </c>
      <c r="Y743" s="290">
        <v>1.1399999999999999</v>
      </c>
      <c r="Z743" s="286" cm="1">
        <f t="array" aca="1" ref="Z743" ca="1">INDIRECT("'"&amp;$C743&amp;"'!"&amp;"$"&amp;$D743&amp;$Z$1&amp;"")</f>
        <v>0</v>
      </c>
      <c r="AA743" s="289" t="s">
        <v>1</v>
      </c>
      <c r="AB743" s="289" t="s">
        <v>1</v>
      </c>
      <c r="AC743" s="287" t="s">
        <v>1</v>
      </c>
      <c r="AD743" s="288" cm="1">
        <f t="array" aca="1" ref="AD743" ca="1">INDIRECT("'"&amp;$C743&amp;"'!"&amp;"$"&amp;$D743&amp;$AD$1&amp;"")</f>
        <v>3.8</v>
      </c>
      <c r="AE743" s="289">
        <f>3.5*3.8</f>
        <v>13.299999999999999</v>
      </c>
      <c r="AF743" s="289">
        <v>0.92</v>
      </c>
      <c r="AG743" s="290">
        <v>1.61</v>
      </c>
      <c r="AH743" s="286" cm="1">
        <f t="array" aca="1" ref="AH743" ca="1">INDIRECT("'"&amp;$C743&amp;"'!"&amp;"$"&amp;$D743&amp;$AH$1&amp;"")</f>
        <v>3.8</v>
      </c>
      <c r="AI743" s="289">
        <v>13.92</v>
      </c>
      <c r="AJ743" s="289">
        <v>0.96</v>
      </c>
      <c r="AK743" s="287">
        <v>0.875</v>
      </c>
      <c r="AL743" s="286">
        <v>11.9</v>
      </c>
      <c r="AM743" s="290">
        <v>70.2</v>
      </c>
      <c r="AN743" s="286" cm="1">
        <f t="array" aca="1" ref="AN743" ca="1">INDIRECT("'"&amp;$C743&amp;"'!"&amp;"$"&amp;$D743&amp;$AL$1&amp;"")</f>
        <v>4</v>
      </c>
      <c r="AO743" s="289">
        <v>0.96</v>
      </c>
      <c r="AP743" s="287">
        <v>1</v>
      </c>
      <c r="AQ743" s="288" cm="1">
        <f t="array" aca="1" ref="AQ743" ca="1">INDIRECT("'"&amp;$C743&amp;"'!"&amp;"$"&amp;$D743&amp;$AQ$1&amp;"")</f>
        <v>4</v>
      </c>
      <c r="AR743" s="289">
        <v>0.96</v>
      </c>
      <c r="AS743" s="287">
        <v>1</v>
      </c>
      <c r="AT743" s="289" cm="1">
        <f t="array" aca="1" ref="AT743" ca="1">INDIRECT("'"&amp;$C743&amp;"'!"&amp;"$"&amp;$D743&amp;$AT$1&amp;"")</f>
        <v>0</v>
      </c>
      <c r="AU743" s="288" t="s">
        <v>1</v>
      </c>
      <c r="AV743" s="289" t="s">
        <v>1</v>
      </c>
      <c r="AW743" s="287" t="s">
        <v>1</v>
      </c>
      <c r="AX743" s="291">
        <v>14.15</v>
      </c>
      <c r="AY743" s="290">
        <v>71.13</v>
      </c>
      <c r="AZ743" s="291" cm="1">
        <f t="array" aca="1" ref="AZ743" ca="1">INDIRECT("'"&amp;$C743&amp;"'!"&amp;"$"&amp;$D743&amp;$AZ$1&amp;"")</f>
        <v>14.25</v>
      </c>
      <c r="BA743" s="289">
        <v>0.98</v>
      </c>
      <c r="BB743" s="287">
        <v>3.53</v>
      </c>
      <c r="BC743" s="292">
        <v>68</v>
      </c>
      <c r="BD743" s="286" cm="1">
        <f t="array" aca="1" ref="BD743" ca="1">INDIRECT("'"&amp;$C743&amp;"'!"&amp;"$"&amp;$D743&amp;$BC$1&amp;"")</f>
        <v>0.7</v>
      </c>
      <c r="BE743" s="288">
        <v>0.96</v>
      </c>
      <c r="BF743" s="287">
        <v>0.21</v>
      </c>
      <c r="BG743" s="291" cm="1">
        <f t="array" aca="1" ref="BG743" ca="1">INDIRECT("'"&amp;$C743&amp;"'!"&amp;"$"&amp;$D743&amp;$BG$1&amp;"")</f>
        <v>1.28</v>
      </c>
      <c r="BH743" s="289"/>
      <c r="BI743" s="289">
        <v>0.99</v>
      </c>
      <c r="BJ743" s="287">
        <v>0.2</v>
      </c>
      <c r="BK743" s="292" cm="1">
        <f t="array" aca="1" ref="BK743" ca="1">INDIRECT("'"&amp;$C743&amp;"'!"&amp;"$"&amp;$D743&amp;$BK$1&amp;"")</f>
        <v>0.8</v>
      </c>
      <c r="BL743" s="289"/>
      <c r="BM743" s="289">
        <v>0.96</v>
      </c>
      <c r="BN743" s="287">
        <v>0.22</v>
      </c>
    </row>
    <row r="744" spans="1:66" ht="14.45" thickBot="1">
      <c r="A744" s="360">
        <v>45777</v>
      </c>
      <c r="B744" s="358">
        <v>0.58333333333333404</v>
      </c>
      <c r="C744" s="313">
        <f t="shared" si="29"/>
        <v>30</v>
      </c>
      <c r="D744" s="314" t="s">
        <v>141</v>
      </c>
      <c r="E744" s="293">
        <v>14.1</v>
      </c>
      <c r="F744" s="294">
        <v>68.97</v>
      </c>
      <c r="G744" s="295" cm="1">
        <f t="array" aca="1" ref="G744" ca="1">INDIRECT("'"&amp;$C744&amp;"'!"&amp;"$"&amp;$D744&amp;$E$1&amp;"")</f>
        <v>6.6</v>
      </c>
      <c r="H744" s="296">
        <v>0.9</v>
      </c>
      <c r="I744" s="294">
        <v>3.28</v>
      </c>
      <c r="J744" s="295" cm="1">
        <f t="array" aca="1" ref="J744" ca="1">INDIRECT("'"&amp;$C744&amp;"'!"&amp;"$"&amp;$D744&amp;$J$1&amp;"")</f>
        <v>6.6</v>
      </c>
      <c r="K744" s="296"/>
      <c r="L744" s="296">
        <v>0.9</v>
      </c>
      <c r="M744" s="294">
        <v>3.25</v>
      </c>
      <c r="N744" s="295" cm="1">
        <f t="array" aca="1" ref="N744" ca="1">INDIRECT("'"&amp;$C744&amp;"'!"&amp;"$"&amp;$D744&amp;$N$1&amp;"")</f>
        <v>6.6</v>
      </c>
      <c r="O744" s="296"/>
      <c r="P744" s="296">
        <v>0.89</v>
      </c>
      <c r="Q744" s="294">
        <v>3.34</v>
      </c>
      <c r="R744" s="295" cm="1">
        <f t="array" aca="1" ref="R744" ca="1">INDIRECT("'"&amp;$C744&amp;"'!"&amp;"$"&amp;$D744&amp;$R$1&amp;"")</f>
        <v>6.6</v>
      </c>
      <c r="S744" s="296"/>
      <c r="T744" s="296">
        <v>0.9</v>
      </c>
      <c r="U744" s="294">
        <v>3.27</v>
      </c>
      <c r="V744" s="295" cm="1">
        <f t="array" aca="1" ref="V744" ca="1">INDIRECT("'"&amp;$C744&amp;"'!"&amp;"$"&amp;$D744&amp;$V$1&amp;"")</f>
        <v>2.8</v>
      </c>
      <c r="W744" s="296">
        <f>3.8*3.47</f>
        <v>13.186</v>
      </c>
      <c r="X744" s="296">
        <v>0.91</v>
      </c>
      <c r="Y744" s="297">
        <v>1.2</v>
      </c>
      <c r="Z744" s="293" cm="1">
        <f t="array" aca="1" ref="Z744" ca="1">INDIRECT("'"&amp;$C744&amp;"'!"&amp;"$"&amp;$D744&amp;$Z$1&amp;"")</f>
        <v>0</v>
      </c>
      <c r="AA744" s="296" t="s">
        <v>1</v>
      </c>
      <c r="AB744" s="296" t="s">
        <v>1</v>
      </c>
      <c r="AC744" s="294" t="s">
        <v>1</v>
      </c>
      <c r="AD744" s="295" cm="1">
        <f t="array" aca="1" ref="AD744" ca="1">INDIRECT("'"&amp;$C744&amp;"'!"&amp;"$"&amp;$D744&amp;$AD$1&amp;"")</f>
        <v>3.8</v>
      </c>
      <c r="AE744" s="296">
        <f>3.8*3.47</f>
        <v>13.186</v>
      </c>
      <c r="AF744" s="296">
        <v>0.91</v>
      </c>
      <c r="AG744" s="297">
        <v>1.75</v>
      </c>
      <c r="AH744" s="293" cm="1">
        <f t="array" aca="1" ref="AH744" ca="1">INDIRECT("'"&amp;$C744&amp;"'!"&amp;"$"&amp;$D744&amp;$AH$1&amp;"")</f>
        <v>3.8</v>
      </c>
      <c r="AI744" s="296">
        <v>13.96</v>
      </c>
      <c r="AJ744" s="296">
        <v>0.97</v>
      </c>
      <c r="AK744" s="294">
        <v>0.68300000000000005</v>
      </c>
      <c r="AL744" s="293">
        <v>11.9</v>
      </c>
      <c r="AM744" s="297">
        <v>70.2</v>
      </c>
      <c r="AN744" s="293" cm="1">
        <f t="array" aca="1" ref="AN744" ca="1">INDIRECT("'"&amp;$C744&amp;"'!"&amp;"$"&amp;$D744&amp;$AL$1&amp;"")</f>
        <v>4.0999999999999996</v>
      </c>
      <c r="AO744" s="296">
        <v>0.96</v>
      </c>
      <c r="AP744" s="294">
        <v>1.1000000000000001</v>
      </c>
      <c r="AQ744" s="295" cm="1">
        <f t="array" aca="1" ref="AQ744" ca="1">INDIRECT("'"&amp;$C744&amp;"'!"&amp;"$"&amp;$D744&amp;$AQ$1&amp;"")</f>
        <v>4.0999999999999996</v>
      </c>
      <c r="AR744" s="296">
        <v>0.96</v>
      </c>
      <c r="AS744" s="294">
        <v>1.1000000000000001</v>
      </c>
      <c r="AT744" s="296" cm="1">
        <f t="array" aca="1" ref="AT744" ca="1">INDIRECT("'"&amp;$C744&amp;"'!"&amp;"$"&amp;$D744&amp;$AT$1&amp;"")</f>
        <v>2.7</v>
      </c>
      <c r="AU744" s="295">
        <v>13.7</v>
      </c>
      <c r="AV744" s="296">
        <v>0.94</v>
      </c>
      <c r="AW744" s="294">
        <v>0.98</v>
      </c>
      <c r="AX744" s="298">
        <v>14.17</v>
      </c>
      <c r="AY744" s="297">
        <v>71.319999999999993</v>
      </c>
      <c r="AZ744" s="298" cm="1">
        <f t="array" aca="1" ref="AZ744" ca="1">INDIRECT("'"&amp;$C744&amp;"'!"&amp;"$"&amp;$D744&amp;$AZ$1&amp;"")</f>
        <v>14.26</v>
      </c>
      <c r="BA744" s="296">
        <v>0.98</v>
      </c>
      <c r="BB744" s="294">
        <v>3.54</v>
      </c>
      <c r="BC744" s="299">
        <v>67.2</v>
      </c>
      <c r="BD744" s="293" cm="1">
        <f t="array" aca="1" ref="BD744" ca="1">INDIRECT("'"&amp;$C744&amp;"'!"&amp;"$"&amp;$D744&amp;$BC$1&amp;"")</f>
        <v>0</v>
      </c>
      <c r="BE744" s="295" t="s">
        <v>1</v>
      </c>
      <c r="BF744" s="294" t="s">
        <v>1</v>
      </c>
      <c r="BG744" s="298" cm="1">
        <f t="array" aca="1" ref="BG744" ca="1">INDIRECT("'"&amp;$C744&amp;"'!"&amp;"$"&amp;$D744&amp;$BG$1&amp;"")</f>
        <v>1.27</v>
      </c>
      <c r="BH744" s="296"/>
      <c r="BI744" s="296">
        <v>0.99</v>
      </c>
      <c r="BJ744" s="294">
        <v>0.17</v>
      </c>
      <c r="BK744" s="299" cm="1">
        <f t="array" aca="1" ref="BK744" ca="1">INDIRECT("'"&amp;$C744&amp;"'!"&amp;"$"&amp;$D744&amp;$BK$1&amp;"")</f>
        <v>0.8</v>
      </c>
      <c r="BL744" s="296"/>
      <c r="BM744" s="296">
        <v>0.96</v>
      </c>
      <c r="BN744" s="294">
        <v>0.23</v>
      </c>
    </row>
    <row r="745" spans="1:66" ht="14.45" thickBot="1">
      <c r="A745" s="360">
        <v>45777</v>
      </c>
      <c r="B745" s="358">
        <v>0.625</v>
      </c>
      <c r="C745" s="313">
        <f t="shared" si="29"/>
        <v>30</v>
      </c>
      <c r="D745" s="314" t="s">
        <v>142</v>
      </c>
      <c r="E745" s="286">
        <v>14.3</v>
      </c>
      <c r="F745" s="287">
        <v>69.86</v>
      </c>
      <c r="G745" s="288" cm="1">
        <f t="array" aca="1" ref="G745" ca="1">INDIRECT("'"&amp;$C745&amp;"'!"&amp;"$"&amp;$D745&amp;$E$1&amp;"")</f>
        <v>6.4</v>
      </c>
      <c r="H745" s="289">
        <v>0.91</v>
      </c>
      <c r="I745" s="287">
        <v>3.04</v>
      </c>
      <c r="J745" s="288" cm="1">
        <f t="array" aca="1" ref="J745" ca="1">INDIRECT("'"&amp;$C745&amp;"'!"&amp;"$"&amp;$D745&amp;$J$1&amp;"")</f>
        <v>6.4</v>
      </c>
      <c r="K745" s="289"/>
      <c r="L745" s="289">
        <v>0.91</v>
      </c>
      <c r="M745" s="287">
        <v>3.02</v>
      </c>
      <c r="N745" s="288" cm="1">
        <f t="array" aca="1" ref="N745" ca="1">INDIRECT("'"&amp;$C745&amp;"'!"&amp;"$"&amp;$D745&amp;$N$1&amp;"")</f>
        <v>6.4</v>
      </c>
      <c r="O745" s="289"/>
      <c r="P745" s="289">
        <v>0.91</v>
      </c>
      <c r="Q745" s="287">
        <v>3</v>
      </c>
      <c r="R745" s="288" cm="1">
        <f t="array" aca="1" ref="R745" ca="1">INDIRECT("'"&amp;$C745&amp;"'!"&amp;"$"&amp;$D745&amp;$R$1&amp;"")</f>
        <v>6.4</v>
      </c>
      <c r="S745" s="289"/>
      <c r="T745" s="289">
        <v>0.91</v>
      </c>
      <c r="U745" s="287">
        <v>3.05</v>
      </c>
      <c r="V745" s="288" cm="1">
        <f t="array" aca="1" ref="V745" ca="1">INDIRECT("'"&amp;$C745&amp;"'!"&amp;"$"&amp;$D745&amp;$V$1&amp;"")</f>
        <v>2.8</v>
      </c>
      <c r="W745" s="289">
        <f>3.8*3.5</f>
        <v>13.299999999999999</v>
      </c>
      <c r="X745" s="289">
        <v>0.92</v>
      </c>
      <c r="Y745" s="290">
        <v>1.1499999999999999</v>
      </c>
      <c r="Z745" s="286" cm="1">
        <f t="array" aca="1" ref="Z745" ca="1">INDIRECT("'"&amp;$C745&amp;"'!"&amp;"$"&amp;$D745&amp;$Z$1&amp;"")</f>
        <v>0</v>
      </c>
      <c r="AA745" s="289" t="s">
        <v>1</v>
      </c>
      <c r="AB745" s="289" t="s">
        <v>1</v>
      </c>
      <c r="AC745" s="287" t="s">
        <v>1</v>
      </c>
      <c r="AD745" s="288" cm="1">
        <f t="array" aca="1" ref="AD745" ca="1">INDIRECT("'"&amp;$C745&amp;"'!"&amp;"$"&amp;$D745&amp;$AD$1&amp;"")</f>
        <v>3.8</v>
      </c>
      <c r="AE745" s="289">
        <v>13.3</v>
      </c>
      <c r="AF745" s="289">
        <v>0.91</v>
      </c>
      <c r="AG745" s="290">
        <v>1.76</v>
      </c>
      <c r="AH745" s="286" cm="1">
        <f t="array" aca="1" ref="AH745" ca="1">INDIRECT("'"&amp;$C745&amp;"'!"&amp;"$"&amp;$D745&amp;$AH$1&amp;"")</f>
        <v>3.8</v>
      </c>
      <c r="AI745" s="289">
        <v>13.96</v>
      </c>
      <c r="AJ745" s="289">
        <v>0.98</v>
      </c>
      <c r="AK745" s="290">
        <v>0.60099999999999998</v>
      </c>
      <c r="AL745" s="286">
        <v>11.9</v>
      </c>
      <c r="AM745" s="290">
        <v>70.400000000000006</v>
      </c>
      <c r="AN745" s="286" cm="1">
        <f t="array" aca="1" ref="AN745" ca="1">INDIRECT("'"&amp;$C745&amp;"'!"&amp;"$"&amp;$D745&amp;$AL$1&amp;"")</f>
        <v>3.5</v>
      </c>
      <c r="AO745" s="289">
        <v>0.96</v>
      </c>
      <c r="AP745" s="287">
        <v>1</v>
      </c>
      <c r="AQ745" s="288" cm="1">
        <f t="array" aca="1" ref="AQ745" ca="1">INDIRECT("'"&amp;$C745&amp;"'!"&amp;"$"&amp;$D745&amp;$AQ$1&amp;"")</f>
        <v>3.5</v>
      </c>
      <c r="AR745" s="289">
        <v>0.96</v>
      </c>
      <c r="AS745" s="287">
        <v>1</v>
      </c>
      <c r="AT745" s="289" cm="1">
        <f t="array" aca="1" ref="AT745" ca="1">INDIRECT("'"&amp;$C745&amp;"'!"&amp;"$"&amp;$D745&amp;$AT$1&amp;"")</f>
        <v>0</v>
      </c>
      <c r="AU745" s="288" t="s">
        <v>1</v>
      </c>
      <c r="AV745" s="289" t="s">
        <v>1</v>
      </c>
      <c r="AW745" s="287" t="s">
        <v>1</v>
      </c>
      <c r="AX745" s="291">
        <v>14.29</v>
      </c>
      <c r="AY745" s="290">
        <v>71.569999999999993</v>
      </c>
      <c r="AZ745" s="291" cm="1">
        <f t="array" aca="1" ref="AZ745" ca="1">INDIRECT("'"&amp;$C745&amp;"'!"&amp;"$"&amp;$D745&amp;$AZ$1&amp;"")</f>
        <v>14.25</v>
      </c>
      <c r="BA745" s="289">
        <v>0.96</v>
      </c>
      <c r="BB745" s="287">
        <v>4.55</v>
      </c>
      <c r="BC745" s="292">
        <v>67.900000000000006</v>
      </c>
      <c r="BD745" s="286" cm="1">
        <f t="array" aca="1" ref="BD745" ca="1">INDIRECT("'"&amp;$C745&amp;"'!"&amp;"$"&amp;$D745&amp;$BC$1&amp;"")</f>
        <v>0</v>
      </c>
      <c r="BE745" s="288" t="s">
        <v>1</v>
      </c>
      <c r="BF745" s="287" t="s">
        <v>1</v>
      </c>
      <c r="BG745" s="291" cm="1">
        <f t="array" aca="1" ref="BG745" ca="1">INDIRECT("'"&amp;$C745&amp;"'!"&amp;"$"&amp;$D745&amp;$BG$1&amp;"")</f>
        <v>1.44</v>
      </c>
      <c r="BH745" s="289"/>
      <c r="BI745" s="289">
        <v>0.99</v>
      </c>
      <c r="BJ745" s="287">
        <v>0.22</v>
      </c>
      <c r="BK745" s="292" cm="1">
        <f t="array" aca="1" ref="BK745" ca="1">INDIRECT("'"&amp;$C745&amp;"'!"&amp;"$"&amp;$D745&amp;$BK$1&amp;"")</f>
        <v>0.79</v>
      </c>
      <c r="BL745" s="289"/>
      <c r="BM745" s="289">
        <v>0.96</v>
      </c>
      <c r="BN745" s="287">
        <v>0.23</v>
      </c>
    </row>
    <row r="746" spans="1:66" ht="14.45" thickBot="1">
      <c r="A746" s="360">
        <v>45777</v>
      </c>
      <c r="B746" s="358">
        <v>0.66666666666666696</v>
      </c>
      <c r="C746" s="313">
        <f t="shared" si="29"/>
        <v>30</v>
      </c>
      <c r="D746" s="314" t="s">
        <v>143</v>
      </c>
      <c r="E746" s="293">
        <v>14.3</v>
      </c>
      <c r="F746" s="294">
        <v>69.63</v>
      </c>
      <c r="G746" s="295" cm="1">
        <f t="array" aca="1" ref="G746" ca="1">INDIRECT("'"&amp;$C746&amp;"'!"&amp;"$"&amp;$D746&amp;$E$1&amp;"")</f>
        <v>6.4</v>
      </c>
      <c r="H746" s="296">
        <v>0.92</v>
      </c>
      <c r="I746" s="294">
        <v>2.81</v>
      </c>
      <c r="J746" s="295" cm="1">
        <f t="array" aca="1" ref="J746" ca="1">INDIRECT("'"&amp;$C746&amp;"'!"&amp;"$"&amp;$D746&amp;$J$1&amp;"")</f>
        <v>6.4</v>
      </c>
      <c r="K746" s="296"/>
      <c r="L746" s="296">
        <v>0.92</v>
      </c>
      <c r="M746" s="294">
        <v>2.8</v>
      </c>
      <c r="N746" s="295" cm="1">
        <f t="array" aca="1" ref="N746" ca="1">INDIRECT("'"&amp;$C746&amp;"'!"&amp;"$"&amp;$D746&amp;$N$1&amp;"")</f>
        <v>6.4</v>
      </c>
      <c r="O746" s="296"/>
      <c r="P746" s="296">
        <v>0.92</v>
      </c>
      <c r="Q746" s="294">
        <v>2.83</v>
      </c>
      <c r="R746" s="295" cm="1">
        <f t="array" aca="1" ref="R746" ca="1">INDIRECT("'"&amp;$C746&amp;"'!"&amp;"$"&amp;$D746&amp;$R$1&amp;"")</f>
        <v>6.4</v>
      </c>
      <c r="S746" s="296"/>
      <c r="T746" s="296">
        <v>0.92</v>
      </c>
      <c r="U746" s="294">
        <v>2.8</v>
      </c>
      <c r="V746" s="295" cm="1">
        <f t="array" aca="1" ref="V746" ca="1">INDIRECT("'"&amp;$C746&amp;"'!"&amp;"$"&amp;$D746&amp;$V$1&amp;"")</f>
        <v>2</v>
      </c>
      <c r="W746" s="296">
        <f>3.8*3.5</f>
        <v>13.299999999999999</v>
      </c>
      <c r="X746" s="296">
        <v>0.93</v>
      </c>
      <c r="Y746" s="297">
        <v>0.99</v>
      </c>
      <c r="Z746" s="293" cm="1">
        <f t="array" aca="1" ref="Z746" ca="1">INDIRECT("'"&amp;$C746&amp;"'!"&amp;"$"&amp;$D746&amp;$Z$1&amp;"")</f>
        <v>0</v>
      </c>
      <c r="AA746" s="296" t="s">
        <v>1</v>
      </c>
      <c r="AB746" s="296" t="s">
        <v>1</v>
      </c>
      <c r="AC746" s="294" t="s">
        <v>1</v>
      </c>
      <c r="AD746" s="295" cm="1">
        <f t="array" aca="1" ref="AD746" ca="1">INDIRECT("'"&amp;$C746&amp;"'!"&amp;"$"&amp;$D746&amp;$AD$1&amp;"")</f>
        <v>3</v>
      </c>
      <c r="AE746" s="296">
        <v>13.3</v>
      </c>
      <c r="AF746" s="296">
        <v>0.92</v>
      </c>
      <c r="AG746" s="297">
        <v>1.53</v>
      </c>
      <c r="AH746" s="293" cm="1">
        <f t="array" aca="1" ref="AH746" ca="1">INDIRECT("'"&amp;$C746&amp;"'!"&amp;"$"&amp;$D746&amp;$AH$1&amp;"")</f>
        <v>3.8</v>
      </c>
      <c r="AI746" s="296">
        <v>13.96</v>
      </c>
      <c r="AJ746" s="296">
        <v>0.98</v>
      </c>
      <c r="AK746" s="297">
        <v>0.64800000000000002</v>
      </c>
      <c r="AL746" s="293">
        <v>11.9</v>
      </c>
      <c r="AM746" s="297">
        <v>70.400000000000006</v>
      </c>
      <c r="AN746" s="293" cm="1">
        <f t="array" aca="1" ref="AN746" ca="1">INDIRECT("'"&amp;$C746&amp;"'!"&amp;"$"&amp;$D746&amp;$AL$1&amp;"")</f>
        <v>2.2000000000000002</v>
      </c>
      <c r="AO746" s="296">
        <v>0.91</v>
      </c>
      <c r="AP746" s="294">
        <v>0.9</v>
      </c>
      <c r="AQ746" s="295" cm="1">
        <f t="array" aca="1" ref="AQ746" ca="1">INDIRECT("'"&amp;$C746&amp;"'!"&amp;"$"&amp;$D746&amp;$AQ$1&amp;"")</f>
        <v>2.2000000000000002</v>
      </c>
      <c r="AR746" s="296">
        <v>0.91</v>
      </c>
      <c r="AS746" s="294">
        <v>0.9</v>
      </c>
      <c r="AT746" s="296" cm="1">
        <f t="array" aca="1" ref="AT746" ca="1">INDIRECT("'"&amp;$C746&amp;"'!"&amp;"$"&amp;$D746&amp;$AT$1&amp;"")</f>
        <v>0</v>
      </c>
      <c r="AU746" s="295" t="s">
        <v>1</v>
      </c>
      <c r="AV746" s="296" t="s">
        <v>1</v>
      </c>
      <c r="AW746" s="294" t="s">
        <v>1</v>
      </c>
      <c r="AX746" s="298">
        <v>14.23</v>
      </c>
      <c r="AY746" s="297">
        <v>71.59</v>
      </c>
      <c r="AZ746" s="298" cm="1">
        <f t="array" aca="1" ref="AZ746" ca="1">INDIRECT("'"&amp;$C746&amp;"'!"&amp;"$"&amp;$D746&amp;$AZ$1&amp;"")</f>
        <v>14.27</v>
      </c>
      <c r="BA746" s="296">
        <v>0.98</v>
      </c>
      <c r="BB746" s="294">
        <v>3.56</v>
      </c>
      <c r="BC746" s="299">
        <v>68</v>
      </c>
      <c r="BD746" s="293" cm="1">
        <f t="array" aca="1" ref="BD746" ca="1">INDIRECT("'"&amp;$C746&amp;"'!"&amp;"$"&amp;$D746&amp;$BC$1&amp;"")</f>
        <v>0</v>
      </c>
      <c r="BE746" s="295" t="s">
        <v>1</v>
      </c>
      <c r="BF746" s="294" t="s">
        <v>1</v>
      </c>
      <c r="BG746" s="298" cm="1">
        <f t="array" aca="1" ref="BG746" ca="1">INDIRECT("'"&amp;$C746&amp;"'!"&amp;"$"&amp;$D746&amp;$BG$1&amp;"")</f>
        <v>1.32</v>
      </c>
      <c r="BH746" s="296"/>
      <c r="BI746" s="296">
        <v>0.99</v>
      </c>
      <c r="BJ746" s="294">
        <v>0.22</v>
      </c>
      <c r="BK746" s="299" cm="1">
        <f t="array" aca="1" ref="BK746" ca="1">INDIRECT("'"&amp;$C746&amp;"'!"&amp;"$"&amp;$D746&amp;$BK$1&amp;"")</f>
        <v>0.81</v>
      </c>
      <c r="BL746" s="296"/>
      <c r="BM746" s="296">
        <v>0.96</v>
      </c>
      <c r="BN746" s="294">
        <v>0.23</v>
      </c>
    </row>
    <row r="747" spans="1:66" ht="14.45" thickBot="1">
      <c r="A747" s="360">
        <v>45777</v>
      </c>
      <c r="B747" s="358">
        <v>0.70833333333333404</v>
      </c>
      <c r="C747" s="313">
        <f t="shared" si="29"/>
        <v>30</v>
      </c>
      <c r="D747" s="314" t="s">
        <v>144</v>
      </c>
      <c r="E747" s="286">
        <v>14.3</v>
      </c>
      <c r="F747" s="287">
        <v>69.87</v>
      </c>
      <c r="G747" s="288" cm="1">
        <f t="array" aca="1" ref="G747" ca="1">INDIRECT("'"&amp;$C747&amp;"'!"&amp;"$"&amp;$D747&amp;$E$1&amp;"")</f>
        <v>6.2</v>
      </c>
      <c r="H747" s="289">
        <v>0.95</v>
      </c>
      <c r="I747" s="287">
        <v>2</v>
      </c>
      <c r="J747" s="288" cm="1">
        <f t="array" aca="1" ref="J747" ca="1">INDIRECT("'"&amp;$C747&amp;"'!"&amp;"$"&amp;$D747&amp;$J$1&amp;"")</f>
        <v>6.2</v>
      </c>
      <c r="K747" s="289"/>
      <c r="L747" s="289">
        <v>0.95</v>
      </c>
      <c r="M747" s="287">
        <v>2.04</v>
      </c>
      <c r="N747" s="288" cm="1">
        <f t="array" aca="1" ref="N747" ca="1">INDIRECT("'"&amp;$C747&amp;"'!"&amp;"$"&amp;$D747&amp;$N$1&amp;"")</f>
        <v>6.2</v>
      </c>
      <c r="O747" s="289"/>
      <c r="P747" s="289">
        <v>0.95</v>
      </c>
      <c r="Q747" s="287">
        <v>2.0299999999999998</v>
      </c>
      <c r="R747" s="288" cm="1">
        <f t="array" aca="1" ref="R747" ca="1">INDIRECT("'"&amp;$C747&amp;"'!"&amp;"$"&amp;$D747&amp;$R$1&amp;"")</f>
        <v>6.2</v>
      </c>
      <c r="S747" s="289"/>
      <c r="T747" s="289">
        <v>0.95</v>
      </c>
      <c r="U747" s="287">
        <v>2.02</v>
      </c>
      <c r="V747" s="288" cm="1">
        <f t="array" aca="1" ref="V747" ca="1">INDIRECT("'"&amp;$C747&amp;"'!"&amp;"$"&amp;$D747&amp;$V$1&amp;"")</f>
        <v>2</v>
      </c>
      <c r="W747" s="289">
        <f>3.8*3.51</f>
        <v>13.337999999999999</v>
      </c>
      <c r="X747" s="289">
        <v>0.94</v>
      </c>
      <c r="Y747" s="290">
        <v>0.73</v>
      </c>
      <c r="Z747" s="286" cm="1">
        <f t="array" aca="1" ref="Z747" ca="1">INDIRECT("'"&amp;$C747&amp;"'!"&amp;"$"&amp;$D747&amp;$Z$1&amp;"")</f>
        <v>0</v>
      </c>
      <c r="AA747" s="289" t="s">
        <v>1</v>
      </c>
      <c r="AB747" s="289" t="s">
        <v>1</v>
      </c>
      <c r="AC747" s="287" t="s">
        <v>1</v>
      </c>
      <c r="AD747" s="288" cm="1">
        <f t="array" aca="1" ref="AD747" ca="1">INDIRECT("'"&amp;$C747&amp;"'!"&amp;"$"&amp;$D747&amp;$AD$1&amp;"")</f>
        <v>3</v>
      </c>
      <c r="AE747" s="289">
        <v>13.34</v>
      </c>
      <c r="AF747" s="289">
        <v>0.93</v>
      </c>
      <c r="AG747" s="290">
        <v>1.4</v>
      </c>
      <c r="AH747" s="286" cm="1">
        <f t="array" aca="1" ref="AH747" ca="1">INDIRECT("'"&amp;$C747&amp;"'!"&amp;"$"&amp;$D747&amp;$AH$1&amp;"")</f>
        <v>3</v>
      </c>
      <c r="AI747" s="289">
        <v>14</v>
      </c>
      <c r="AJ747" s="289">
        <v>0.99</v>
      </c>
      <c r="AK747" s="287">
        <v>0.40200000000000002</v>
      </c>
      <c r="AL747" s="286">
        <v>11.9</v>
      </c>
      <c r="AM747" s="290">
        <v>70.400000000000006</v>
      </c>
      <c r="AN747" s="286" cm="1">
        <f t="array" aca="1" ref="AN747" ca="1">INDIRECT("'"&amp;$C747&amp;"'!"&amp;"$"&amp;$D747&amp;$AL$1&amp;"")</f>
        <v>1.5</v>
      </c>
      <c r="AO747" s="289">
        <v>0.94</v>
      </c>
      <c r="AP747" s="287">
        <v>0.5</v>
      </c>
      <c r="AQ747" s="288" cm="1">
        <f t="array" aca="1" ref="AQ747" ca="1">INDIRECT("'"&amp;$C747&amp;"'!"&amp;"$"&amp;$D747&amp;$AQ$1&amp;"")</f>
        <v>1.5</v>
      </c>
      <c r="AR747" s="289">
        <v>0.94</v>
      </c>
      <c r="AS747" s="287">
        <v>0.5</v>
      </c>
      <c r="AT747" s="289" cm="1">
        <f t="array" aca="1" ref="AT747" ca="1">INDIRECT("'"&amp;$C747&amp;"'!"&amp;"$"&amp;$D747&amp;$AT$1&amp;"")</f>
        <v>0</v>
      </c>
      <c r="AU747" s="288" t="s">
        <v>1</v>
      </c>
      <c r="AV747" s="289" t="s">
        <v>1</v>
      </c>
      <c r="AW747" s="287" t="s">
        <v>1</v>
      </c>
      <c r="AX747" s="291">
        <v>14.27</v>
      </c>
      <c r="AY747" s="290">
        <v>71.81</v>
      </c>
      <c r="AZ747" s="291" cm="1">
        <f t="array" aca="1" ref="AZ747" ca="1">INDIRECT("'"&amp;$C747&amp;"'!"&amp;"$"&amp;$D747&amp;$AZ$1&amp;"")</f>
        <v>13.74</v>
      </c>
      <c r="BA747" s="289">
        <v>0.98</v>
      </c>
      <c r="BB747" s="287">
        <v>3.51</v>
      </c>
      <c r="BC747" s="292">
        <v>68.2</v>
      </c>
      <c r="BD747" s="286" cm="1">
        <f t="array" aca="1" ref="BD747" ca="1">INDIRECT("'"&amp;$C747&amp;"'!"&amp;"$"&amp;$D747&amp;$BC$1&amp;"")</f>
        <v>0</v>
      </c>
      <c r="BE747" s="288" t="s">
        <v>1</v>
      </c>
      <c r="BF747" s="287" t="s">
        <v>1</v>
      </c>
      <c r="BG747" s="291" cm="1">
        <f t="array" aca="1" ref="BG747" ca="1">INDIRECT("'"&amp;$C747&amp;"'!"&amp;"$"&amp;$D747&amp;$BG$1&amp;"")</f>
        <v>1.34</v>
      </c>
      <c r="BH747" s="289"/>
      <c r="BI747" s="289">
        <v>0.99</v>
      </c>
      <c r="BJ747" s="287">
        <v>0.22</v>
      </c>
      <c r="BK747" s="292" cm="1">
        <f t="array" aca="1" ref="BK747" ca="1">INDIRECT("'"&amp;$C747&amp;"'!"&amp;"$"&amp;$D747&amp;$BK$1&amp;"")</f>
        <v>0.84</v>
      </c>
      <c r="BL747" s="289"/>
      <c r="BM747" s="289">
        <v>0.96</v>
      </c>
      <c r="BN747" s="287">
        <v>0.24</v>
      </c>
    </row>
    <row r="748" spans="1:66" ht="14.45" thickBot="1">
      <c r="A748" s="360">
        <v>45777</v>
      </c>
      <c r="B748" s="358">
        <v>0.750000000000001</v>
      </c>
      <c r="C748" s="313">
        <f t="shared" si="29"/>
        <v>30</v>
      </c>
      <c r="D748" s="314" t="s">
        <v>145</v>
      </c>
      <c r="E748" s="293">
        <v>14.3</v>
      </c>
      <c r="F748" s="294">
        <v>70.11</v>
      </c>
      <c r="G748" s="295" cm="1">
        <f t="array" aca="1" ref="G748" ca="1">INDIRECT("'"&amp;$C748&amp;"'!"&amp;"$"&amp;$D748&amp;$E$1&amp;"")</f>
        <v>6.4</v>
      </c>
      <c r="H748" s="296">
        <v>0.96</v>
      </c>
      <c r="I748" s="294">
        <v>1.91</v>
      </c>
      <c r="J748" s="295" cm="1">
        <f t="array" aca="1" ref="J748" ca="1">INDIRECT("'"&amp;$C748&amp;"'!"&amp;"$"&amp;$D748&amp;$J$1&amp;"")</f>
        <v>6.4</v>
      </c>
      <c r="K748" s="296"/>
      <c r="L748" s="296">
        <v>0.96</v>
      </c>
      <c r="M748" s="294">
        <v>1.9</v>
      </c>
      <c r="N748" s="295" cm="1">
        <f t="array" aca="1" ref="N748" ca="1">INDIRECT("'"&amp;$C748&amp;"'!"&amp;"$"&amp;$D748&amp;$N$1&amp;"")</f>
        <v>6.4</v>
      </c>
      <c r="O748" s="296"/>
      <c r="P748" s="296">
        <v>0.96</v>
      </c>
      <c r="Q748" s="294">
        <v>1.93</v>
      </c>
      <c r="R748" s="295" cm="1">
        <f t="array" aca="1" ref="R748" ca="1">INDIRECT("'"&amp;$C748&amp;"'!"&amp;"$"&amp;$D748&amp;$R$1&amp;"")</f>
        <v>6.4</v>
      </c>
      <c r="S748" s="296"/>
      <c r="T748" s="296">
        <v>0.96</v>
      </c>
      <c r="U748" s="294">
        <v>1.95</v>
      </c>
      <c r="V748" s="295" cm="1">
        <f t="array" aca="1" ref="V748" ca="1">INDIRECT("'"&amp;$C748&amp;"'!"&amp;"$"&amp;$D748&amp;$V$1&amp;"")</f>
        <v>2.2000000000000002</v>
      </c>
      <c r="W748" s="296">
        <f>3.8*3.54</f>
        <v>13.452</v>
      </c>
      <c r="X748" s="296">
        <v>0.94</v>
      </c>
      <c r="Y748" s="297">
        <v>1.79</v>
      </c>
      <c r="Z748" s="293" cm="1">
        <f t="array" aca="1" ref="Z748" ca="1">INDIRECT("'"&amp;$C748&amp;"'!"&amp;"$"&amp;$D748&amp;$Z$1&amp;"")</f>
        <v>0</v>
      </c>
      <c r="AA748" s="296" t="s">
        <v>1</v>
      </c>
      <c r="AB748" s="296" t="s">
        <v>1</v>
      </c>
      <c r="AC748" s="294" t="s">
        <v>1</v>
      </c>
      <c r="AD748" s="295" cm="1">
        <f t="array" aca="1" ref="AD748" ca="1">INDIRECT("'"&amp;$C748&amp;"'!"&amp;"$"&amp;$D748&amp;$AD$1&amp;"")</f>
        <v>3.3</v>
      </c>
      <c r="AE748" s="296">
        <v>13.45</v>
      </c>
      <c r="AF748" s="296">
        <v>0.95</v>
      </c>
      <c r="AG748" s="297">
        <v>1.1000000000000001</v>
      </c>
      <c r="AH748" s="293" cm="1">
        <f t="array" aca="1" ref="AH748" ca="1">INDIRECT("'"&amp;$C748&amp;"'!"&amp;"$"&amp;$D748&amp;$AH$1&amp;"")</f>
        <v>3</v>
      </c>
      <c r="AI748" s="296">
        <v>14</v>
      </c>
      <c r="AJ748" s="296">
        <v>0.99</v>
      </c>
      <c r="AK748" s="294">
        <v>0.41399999999999998</v>
      </c>
      <c r="AL748" s="293">
        <v>11.9</v>
      </c>
      <c r="AM748" s="297">
        <v>70.599999999999994</v>
      </c>
      <c r="AN748" s="293" cm="1">
        <f t="array" aca="1" ref="AN748" ca="1">INDIRECT("'"&amp;$C748&amp;"'!"&amp;"$"&amp;$D748&amp;$AL$1&amp;"")</f>
        <v>1.6</v>
      </c>
      <c r="AO748" s="296">
        <v>0.95</v>
      </c>
      <c r="AP748" s="294">
        <v>0.5</v>
      </c>
      <c r="AQ748" s="295" cm="1">
        <f t="array" aca="1" ref="AQ748" ca="1">INDIRECT("'"&amp;$C748&amp;"'!"&amp;"$"&amp;$D748&amp;$AQ$1&amp;"")</f>
        <v>1.6</v>
      </c>
      <c r="AR748" s="296">
        <v>0.95</v>
      </c>
      <c r="AS748" s="294">
        <v>0.5</v>
      </c>
      <c r="AT748" s="296" cm="1">
        <f t="array" aca="1" ref="AT748" ca="1">INDIRECT("'"&amp;$C748&amp;"'!"&amp;"$"&amp;$D748&amp;$AT$1&amp;"")</f>
        <v>3.8</v>
      </c>
      <c r="AU748" s="295">
        <v>13.85</v>
      </c>
      <c r="AV748" s="296">
        <v>0.99</v>
      </c>
      <c r="AW748" s="294">
        <v>0.51</v>
      </c>
      <c r="AX748" s="298">
        <v>14.22</v>
      </c>
      <c r="AY748" s="297">
        <v>71.819999999999993</v>
      </c>
      <c r="AZ748" s="298" cm="1">
        <f t="array" aca="1" ref="AZ748" ca="1">INDIRECT("'"&amp;$C748&amp;"'!"&amp;"$"&amp;$D748&amp;$AZ$1&amp;"")</f>
        <v>11.27</v>
      </c>
      <c r="BA748" s="296">
        <v>0.98</v>
      </c>
      <c r="BB748" s="294">
        <v>2.98</v>
      </c>
      <c r="BC748" s="299">
        <v>68.599999999999994</v>
      </c>
      <c r="BD748" s="293" cm="1">
        <f t="array" aca="1" ref="BD748" ca="1">INDIRECT("'"&amp;$C748&amp;"'!"&amp;"$"&amp;$D748&amp;$BC$1&amp;"")</f>
        <v>0</v>
      </c>
      <c r="BE748" s="295" t="s">
        <v>1</v>
      </c>
      <c r="BF748" s="294" t="s">
        <v>1</v>
      </c>
      <c r="BG748" s="298" cm="1">
        <f t="array" aca="1" ref="BG748" ca="1">INDIRECT("'"&amp;$C748&amp;"'!"&amp;"$"&amp;$D748&amp;$BG$1&amp;"")</f>
        <v>1.34</v>
      </c>
      <c r="BH748" s="296"/>
      <c r="BI748" s="296">
        <v>0.99</v>
      </c>
      <c r="BJ748" s="294">
        <v>0.22</v>
      </c>
      <c r="BK748" s="299" cm="1">
        <f t="array" aca="1" ref="BK748" ca="1">INDIRECT("'"&amp;$C748&amp;"'!"&amp;"$"&amp;$D748&amp;$BK$1&amp;"")</f>
        <v>0.86</v>
      </c>
      <c r="BL748" s="296"/>
      <c r="BM748" s="296">
        <v>0.96</v>
      </c>
      <c r="BN748" s="294">
        <v>0.22</v>
      </c>
    </row>
    <row r="749" spans="1:66" ht="14.45" thickBot="1">
      <c r="A749" s="360">
        <v>45777</v>
      </c>
      <c r="B749" s="358">
        <v>0.79166666666666663</v>
      </c>
      <c r="C749" s="313">
        <f t="shared" si="29"/>
        <v>30</v>
      </c>
      <c r="D749" s="314" t="s">
        <v>146</v>
      </c>
      <c r="E749" s="286">
        <v>14.1</v>
      </c>
      <c r="F749" s="287">
        <v>69.92</v>
      </c>
      <c r="G749" s="288" cm="1">
        <f t="array" aca="1" ref="G749" ca="1">INDIRECT("'"&amp;$C749&amp;"'!"&amp;"$"&amp;$D749&amp;$E$1&amp;"")</f>
        <v>6.7</v>
      </c>
      <c r="H749" s="289">
        <v>0.93</v>
      </c>
      <c r="I749" s="287">
        <v>2.78</v>
      </c>
      <c r="J749" s="288" cm="1">
        <f t="array" aca="1" ref="J749" ca="1">INDIRECT("'"&amp;$C749&amp;"'!"&amp;"$"&amp;$D749&amp;$J$1&amp;"")</f>
        <v>6.7</v>
      </c>
      <c r="K749" s="300"/>
      <c r="L749" s="289">
        <v>0.93</v>
      </c>
      <c r="M749" s="287">
        <v>2.76</v>
      </c>
      <c r="N749" s="288" cm="1">
        <f t="array" aca="1" ref="N749" ca="1">INDIRECT("'"&amp;$C749&amp;"'!"&amp;"$"&amp;$D749&amp;$N$1&amp;"")</f>
        <v>6.7</v>
      </c>
      <c r="O749" s="289"/>
      <c r="P749" s="289">
        <v>0.93</v>
      </c>
      <c r="Q749" s="287">
        <v>2.79</v>
      </c>
      <c r="R749" s="288" cm="1">
        <f t="array" aca="1" ref="R749" ca="1">INDIRECT("'"&amp;$C749&amp;"'!"&amp;"$"&amp;$D749&amp;$R$1&amp;"")</f>
        <v>6.7</v>
      </c>
      <c r="S749" s="289"/>
      <c r="T749" s="289">
        <v>0.93</v>
      </c>
      <c r="U749" s="287">
        <v>2.79</v>
      </c>
      <c r="V749" s="288" cm="1">
        <f t="array" aca="1" ref="V749" ca="1">INDIRECT("'"&amp;$C749&amp;"'!"&amp;"$"&amp;$D749&amp;$V$1&amp;"")</f>
        <v>1.2</v>
      </c>
      <c r="W749" s="289">
        <f>3.8*3.52</f>
        <v>13.375999999999999</v>
      </c>
      <c r="X749" s="289">
        <v>0.96</v>
      </c>
      <c r="Y749" s="290">
        <v>0.35</v>
      </c>
      <c r="Z749" s="286" cm="1">
        <f t="array" aca="1" ref="Z749" ca="1">INDIRECT("'"&amp;$C749&amp;"'!"&amp;"$"&amp;$D749&amp;$Z$1&amp;"")</f>
        <v>0</v>
      </c>
      <c r="AA749" s="289" t="s">
        <v>1</v>
      </c>
      <c r="AB749" s="289" t="s">
        <v>1</v>
      </c>
      <c r="AC749" s="287" t="s">
        <v>1</v>
      </c>
      <c r="AD749" s="288" cm="1">
        <f t="array" aca="1" ref="AD749" ca="1">INDIRECT("'"&amp;$C749&amp;"'!"&amp;"$"&amp;$D749&amp;$AD$1&amp;"")</f>
        <v>3.8</v>
      </c>
      <c r="AE749" s="289">
        <f>3.8*3.52</f>
        <v>13.375999999999999</v>
      </c>
      <c r="AF749" s="289">
        <v>0.95</v>
      </c>
      <c r="AG749" s="290">
        <v>1.2</v>
      </c>
      <c r="AH749" s="286" cm="1">
        <f t="array" aca="1" ref="AH749" ca="1">INDIRECT("'"&amp;$C749&amp;"'!"&amp;"$"&amp;$D749&amp;$AH$1&amp;"")</f>
        <v>3</v>
      </c>
      <c r="AI749" s="289">
        <v>14</v>
      </c>
      <c r="AJ749" s="289">
        <v>0.99</v>
      </c>
      <c r="AK749" s="287">
        <v>0.309</v>
      </c>
      <c r="AL749" s="286">
        <v>11.9</v>
      </c>
      <c r="AM749" s="290">
        <v>70.3</v>
      </c>
      <c r="AN749" s="286" cm="1">
        <f t="array" aca="1" ref="AN749" ca="1">INDIRECT("'"&amp;$C749&amp;"'!"&amp;"$"&amp;$D749&amp;$AL$1&amp;"")</f>
        <v>3</v>
      </c>
      <c r="AO749" s="289">
        <v>0.97</v>
      </c>
      <c r="AP749" s="287">
        <v>0.7</v>
      </c>
      <c r="AQ749" s="288" cm="1">
        <f t="array" aca="1" ref="AQ749" ca="1">INDIRECT("'"&amp;$C749&amp;"'!"&amp;"$"&amp;$D749&amp;$AQ$1&amp;"")</f>
        <v>3</v>
      </c>
      <c r="AR749" s="289">
        <v>0.97</v>
      </c>
      <c r="AS749" s="287">
        <v>0.7</v>
      </c>
      <c r="AT749" s="289" cm="1">
        <f t="array" aca="1" ref="AT749" ca="1">INDIRECT("'"&amp;$C749&amp;"'!"&amp;"$"&amp;$D749&amp;$AT$1&amp;"")</f>
        <v>0</v>
      </c>
      <c r="AU749" s="288" t="s">
        <v>1</v>
      </c>
      <c r="AV749" s="289" t="s">
        <v>1</v>
      </c>
      <c r="AW749" s="287" t="s">
        <v>1</v>
      </c>
      <c r="AX749" s="291">
        <v>14.3</v>
      </c>
      <c r="AY749" s="290">
        <v>71.92</v>
      </c>
      <c r="AZ749" s="291" cm="1">
        <f t="array" aca="1" ref="AZ749" ca="1">INDIRECT("'"&amp;$C749&amp;"'!"&amp;"$"&amp;$D749&amp;$AZ$1&amp;"")</f>
        <v>14.25</v>
      </c>
      <c r="BA749" s="289">
        <v>0.98</v>
      </c>
      <c r="BB749" s="287">
        <v>3.58</v>
      </c>
      <c r="BC749" s="292">
        <v>68.3</v>
      </c>
      <c r="BD749" s="286" cm="1">
        <f t="array" aca="1" ref="BD749" ca="1">INDIRECT("'"&amp;$C749&amp;"'!"&amp;"$"&amp;$D749&amp;$BC$1&amp;"")</f>
        <v>0</v>
      </c>
      <c r="BE749" s="288" t="s">
        <v>1</v>
      </c>
      <c r="BF749" s="287" t="s">
        <v>1</v>
      </c>
      <c r="BG749" s="291" cm="1">
        <f t="array" aca="1" ref="BG749" ca="1">INDIRECT("'"&amp;$C749&amp;"'!"&amp;"$"&amp;$D749&amp;$BG$1&amp;"")</f>
        <v>1.54</v>
      </c>
      <c r="BH749" s="289"/>
      <c r="BI749" s="289">
        <v>0.99</v>
      </c>
      <c r="BJ749" s="287">
        <v>0.25</v>
      </c>
      <c r="BK749" s="292" cm="1">
        <f t="array" aca="1" ref="BK749" ca="1">INDIRECT("'"&amp;$C749&amp;"'!"&amp;"$"&amp;$D749&amp;$BK$1&amp;"")</f>
        <v>0.97</v>
      </c>
      <c r="BL749" s="289"/>
      <c r="BM749" s="289">
        <v>0.97</v>
      </c>
      <c r="BN749" s="287">
        <v>0.24</v>
      </c>
    </row>
    <row r="750" spans="1:66" ht="14.45" thickBot="1">
      <c r="A750" s="360">
        <v>45777</v>
      </c>
      <c r="B750" s="358">
        <v>0.83333333333333337</v>
      </c>
      <c r="C750" s="313">
        <f t="shared" si="29"/>
        <v>30</v>
      </c>
      <c r="D750" s="314" t="s">
        <v>147</v>
      </c>
      <c r="E750" s="293">
        <v>14.1</v>
      </c>
      <c r="F750" s="294">
        <v>69.72</v>
      </c>
      <c r="G750" s="295" cm="1">
        <f t="array" aca="1" ref="G750" ca="1">INDIRECT("'"&amp;$C750&amp;"'!"&amp;"$"&amp;$D750&amp;$E$1&amp;"")</f>
        <v>6.6</v>
      </c>
      <c r="H750" s="296">
        <v>0.96</v>
      </c>
      <c r="I750" s="294">
        <v>1.98</v>
      </c>
      <c r="J750" s="295" cm="1">
        <f t="array" aca="1" ref="J750" ca="1">INDIRECT("'"&amp;$C750&amp;"'!"&amp;"$"&amp;$D750&amp;$J$1&amp;"")</f>
        <v>6.6</v>
      </c>
      <c r="K750" s="296"/>
      <c r="L750" s="296">
        <v>0.96</v>
      </c>
      <c r="M750" s="294">
        <v>1.98</v>
      </c>
      <c r="N750" s="295" cm="1">
        <f t="array" aca="1" ref="N750" ca="1">INDIRECT("'"&amp;$C750&amp;"'!"&amp;"$"&amp;$D750&amp;$N$1&amp;"")</f>
        <v>6.6</v>
      </c>
      <c r="O750" s="296"/>
      <c r="P750" s="296">
        <v>0.96</v>
      </c>
      <c r="Q750" s="294">
        <v>1.98</v>
      </c>
      <c r="R750" s="295" cm="1">
        <f t="array" aca="1" ref="R750" ca="1">INDIRECT("'"&amp;$C750&amp;"'!"&amp;"$"&amp;$D750&amp;$R$1&amp;"")</f>
        <v>6.6</v>
      </c>
      <c r="S750" s="296"/>
      <c r="T750" s="296">
        <v>0.96</v>
      </c>
      <c r="U750" s="294">
        <v>1.98</v>
      </c>
      <c r="V750" s="295" cm="1">
        <f t="array" aca="1" ref="V750" ca="1">INDIRECT("'"&amp;$C750&amp;"'!"&amp;"$"&amp;$D750&amp;$V$1&amp;"")</f>
        <v>0</v>
      </c>
      <c r="W750" s="296" t="s">
        <v>1</v>
      </c>
      <c r="X750" s="296" t="s">
        <v>1</v>
      </c>
      <c r="Y750" s="297" t="s">
        <v>1</v>
      </c>
      <c r="Z750" s="293" cm="1">
        <f t="array" aca="1" ref="Z750" ca="1">INDIRECT("'"&amp;$C750&amp;"'!"&amp;"$"&amp;$D750&amp;$Z$1&amp;"")</f>
        <v>0</v>
      </c>
      <c r="AA750" s="296" t="s">
        <v>1</v>
      </c>
      <c r="AB750" s="296" t="s">
        <v>1</v>
      </c>
      <c r="AC750" s="294" t="s">
        <v>1</v>
      </c>
      <c r="AD750" s="295" cm="1">
        <f t="array" aca="1" ref="AD750" ca="1">INDIRECT("'"&amp;$C750&amp;"'!"&amp;"$"&amp;$D750&amp;$AD$1&amp;"")</f>
        <v>3</v>
      </c>
      <c r="AE750" s="296">
        <f>3.8*3.53</f>
        <v>13.413999999999998</v>
      </c>
      <c r="AF750" s="296">
        <v>0.97</v>
      </c>
      <c r="AG750" s="297">
        <v>0.74</v>
      </c>
      <c r="AH750" s="293" cm="1">
        <f t="array" aca="1" ref="AH750" ca="1">INDIRECT("'"&amp;$C750&amp;"'!"&amp;"$"&amp;$D750&amp;$AH$1&amp;"")</f>
        <v>3</v>
      </c>
      <c r="AI750" s="296">
        <v>14</v>
      </c>
      <c r="AJ750" s="296">
        <v>0.99</v>
      </c>
      <c r="AK750" s="294">
        <v>0.34499999999999997</v>
      </c>
      <c r="AL750" s="293">
        <v>11.9</v>
      </c>
      <c r="AM750" s="297">
        <v>70.3</v>
      </c>
      <c r="AN750" s="293" cm="1">
        <f t="array" aca="1" ref="AN750" ca="1">INDIRECT("'"&amp;$C750&amp;"'!"&amp;"$"&amp;$D750&amp;$AL$1&amp;"")</f>
        <v>3.1</v>
      </c>
      <c r="AO750" s="296">
        <v>0.98</v>
      </c>
      <c r="AP750" s="294">
        <v>0.6</v>
      </c>
      <c r="AQ750" s="295" cm="1">
        <f t="array" aca="1" ref="AQ750" ca="1">INDIRECT("'"&amp;$C750&amp;"'!"&amp;"$"&amp;$D750&amp;$AQ$1&amp;"")</f>
        <v>3.1</v>
      </c>
      <c r="AR750" s="296">
        <v>0.98</v>
      </c>
      <c r="AS750" s="294">
        <v>0.6</v>
      </c>
      <c r="AT750" s="296" cm="1">
        <f t="array" aca="1" ref="AT750" ca="1">INDIRECT("'"&amp;$C750&amp;"'!"&amp;"$"&amp;$D750&amp;$AT$1&amp;"")</f>
        <v>0</v>
      </c>
      <c r="AU750" s="295" t="s">
        <v>1</v>
      </c>
      <c r="AV750" s="296" t="s">
        <v>1</v>
      </c>
      <c r="AW750" s="294" t="s">
        <v>1</v>
      </c>
      <c r="AX750" s="298">
        <v>14.28</v>
      </c>
      <c r="AY750" s="297">
        <v>71.86</v>
      </c>
      <c r="AZ750" s="298" cm="1">
        <f t="array" aca="1" ref="AZ750" ca="1">INDIRECT("'"&amp;$C750&amp;"'!"&amp;"$"&amp;$D750&amp;$AZ$1&amp;"")</f>
        <v>13.74</v>
      </c>
      <c r="BA750" s="296">
        <v>0.98</v>
      </c>
      <c r="BB750" s="294">
        <v>3.42</v>
      </c>
      <c r="BC750" s="299">
        <v>68.400000000000006</v>
      </c>
      <c r="BD750" s="293" cm="1">
        <f t="array" aca="1" ref="BD750" ca="1">INDIRECT("'"&amp;$C750&amp;"'!"&amp;"$"&amp;$D750&amp;$BC$1&amp;"")</f>
        <v>0</v>
      </c>
      <c r="BE750" s="295" t="s">
        <v>1</v>
      </c>
      <c r="BF750" s="294" t="s">
        <v>1</v>
      </c>
      <c r="BG750" s="298" cm="1">
        <f t="array" aca="1" ref="BG750" ca="1">INDIRECT("'"&amp;$C750&amp;"'!"&amp;"$"&amp;$D750&amp;$BG$1&amp;"")</f>
        <v>1.56</v>
      </c>
      <c r="BH750" s="296"/>
      <c r="BI750" s="296">
        <v>0.99</v>
      </c>
      <c r="BJ750" s="294">
        <v>0.22</v>
      </c>
      <c r="BK750" s="299" cm="1">
        <f t="array" aca="1" ref="BK750" ca="1">INDIRECT("'"&amp;$C750&amp;"'!"&amp;"$"&amp;$D750&amp;$BK$1&amp;"")</f>
        <v>0.96</v>
      </c>
      <c r="BL750" s="296"/>
      <c r="BM750" s="296">
        <v>0.97</v>
      </c>
      <c r="BN750" s="294">
        <v>0.23</v>
      </c>
    </row>
    <row r="751" spans="1:66" ht="14.45" thickBot="1">
      <c r="A751" s="360">
        <v>45777</v>
      </c>
      <c r="B751" s="358">
        <v>0.875000000000001</v>
      </c>
      <c r="C751" s="313">
        <f t="shared" si="29"/>
        <v>30</v>
      </c>
      <c r="D751" s="314" t="s">
        <v>148</v>
      </c>
      <c r="E751" s="286">
        <v>14</v>
      </c>
      <c r="F751" s="287">
        <v>69.900000000000006</v>
      </c>
      <c r="G751" s="288" cm="1">
        <f t="array" aca="1" ref="G751" ca="1">INDIRECT("'"&amp;$C751&amp;"'!"&amp;"$"&amp;$D751&amp;$E$1&amp;"")</f>
        <v>6.4</v>
      </c>
      <c r="H751" s="289">
        <v>0.96</v>
      </c>
      <c r="I751" s="287">
        <v>1.93</v>
      </c>
      <c r="J751" s="288" cm="1">
        <f t="array" aca="1" ref="J751" ca="1">INDIRECT("'"&amp;$C751&amp;"'!"&amp;"$"&amp;$D751&amp;$J$1&amp;"")</f>
        <v>0</v>
      </c>
      <c r="K751" s="289"/>
      <c r="L751" s="289" t="s">
        <v>1</v>
      </c>
      <c r="M751" s="287" t="s">
        <v>1</v>
      </c>
      <c r="N751" s="288" cm="1">
        <f t="array" aca="1" ref="N751" ca="1">INDIRECT("'"&amp;$C751&amp;"'!"&amp;"$"&amp;$D751&amp;$N$1&amp;"")</f>
        <v>6.4</v>
      </c>
      <c r="O751" s="289"/>
      <c r="P751" s="289">
        <v>0.96</v>
      </c>
      <c r="Q751" s="287">
        <v>1.93</v>
      </c>
      <c r="R751" s="288" cm="1">
        <f t="array" aca="1" ref="R751" ca="1">INDIRECT("'"&amp;$C751&amp;"'!"&amp;"$"&amp;$D751&amp;$R$1&amp;"")</f>
        <v>6.4</v>
      </c>
      <c r="S751" s="289"/>
      <c r="T751" s="289">
        <v>0.96</v>
      </c>
      <c r="U751" s="287">
        <v>1.93</v>
      </c>
      <c r="V751" s="288" cm="1">
        <f t="array" aca="1" ref="V751" ca="1">INDIRECT("'"&amp;$C751&amp;"'!"&amp;"$"&amp;$D751&amp;$V$1&amp;"")</f>
        <v>0</v>
      </c>
      <c r="W751" s="289" t="s">
        <v>1</v>
      </c>
      <c r="X751" s="289" t="s">
        <v>1</v>
      </c>
      <c r="Y751" s="290" t="s">
        <v>1</v>
      </c>
      <c r="Z751" s="286" cm="1">
        <f t="array" aca="1" ref="Z751" ca="1">INDIRECT("'"&amp;$C751&amp;"'!"&amp;"$"&amp;$D751&amp;$Z$1&amp;"")</f>
        <v>0</v>
      </c>
      <c r="AA751" s="289" t="s">
        <v>1</v>
      </c>
      <c r="AB751" s="289" t="s">
        <v>1</v>
      </c>
      <c r="AC751" s="287" t="s">
        <v>1</v>
      </c>
      <c r="AD751" s="288" cm="1">
        <f t="array" aca="1" ref="AD751" ca="1">INDIRECT("'"&amp;$C751&amp;"'!"&amp;"$"&amp;$D751&amp;$AD$1&amp;"")</f>
        <v>3.8</v>
      </c>
      <c r="AE751" s="289">
        <f>3.8*3.57</f>
        <v>13.565999999999999</v>
      </c>
      <c r="AF751" s="289">
        <v>0.98</v>
      </c>
      <c r="AG751" s="290">
        <v>0.73</v>
      </c>
      <c r="AH751" s="286" cm="1">
        <f t="array" aca="1" ref="AH751" ca="1">INDIRECT("'"&amp;$C751&amp;"'!"&amp;"$"&amp;$D751&amp;$AH$1&amp;"")</f>
        <v>3.8</v>
      </c>
      <c r="AI751" s="289">
        <v>14</v>
      </c>
      <c r="AJ751" s="289">
        <v>0.99</v>
      </c>
      <c r="AK751" s="287">
        <v>0.255</v>
      </c>
      <c r="AL751" s="286">
        <v>11.9</v>
      </c>
      <c r="AM751" s="290">
        <v>70.400000000000006</v>
      </c>
      <c r="AN751" s="286" cm="1">
        <f t="array" aca="1" ref="AN751" ca="1">INDIRECT("'"&amp;$C751&amp;"'!"&amp;"$"&amp;$D751&amp;$AL$1&amp;"")</f>
        <v>4.2</v>
      </c>
      <c r="AO751" s="289">
        <v>0.99</v>
      </c>
      <c r="AP751" s="287">
        <v>0.35</v>
      </c>
      <c r="AQ751" s="288" cm="1">
        <f t="array" aca="1" ref="AQ751" ca="1">INDIRECT("'"&amp;$C751&amp;"'!"&amp;"$"&amp;$D751&amp;$AQ$1&amp;"")</f>
        <v>4.2</v>
      </c>
      <c r="AR751" s="289">
        <v>0.99</v>
      </c>
      <c r="AS751" s="287">
        <v>0.35</v>
      </c>
      <c r="AT751" s="289" cm="1">
        <f t="array" aca="1" ref="AT751" ca="1">INDIRECT("'"&amp;$C751&amp;"'!"&amp;"$"&amp;$D751&amp;$AT$1&amp;"")</f>
        <v>0</v>
      </c>
      <c r="AU751" s="288" t="s">
        <v>1</v>
      </c>
      <c r="AV751" s="289" t="s">
        <v>1</v>
      </c>
      <c r="AW751" s="287" t="s">
        <v>1</v>
      </c>
      <c r="AX751" s="291">
        <v>14.27</v>
      </c>
      <c r="AY751" s="290">
        <v>71.819999999999993</v>
      </c>
      <c r="AZ751" s="291" cm="1">
        <f t="array" aca="1" ref="AZ751" ca="1">INDIRECT("'"&amp;$C751&amp;"'!"&amp;"$"&amp;$D751&amp;$AZ$1&amp;"")</f>
        <v>14.24</v>
      </c>
      <c r="BA751" s="289">
        <v>0.98</v>
      </c>
      <c r="BB751" s="287">
        <v>3.5</v>
      </c>
      <c r="BC751" s="292">
        <v>68.8</v>
      </c>
      <c r="BD751" s="286" cm="1">
        <f t="array" aca="1" ref="BD751" ca="1">INDIRECT("'"&amp;$C751&amp;"'!"&amp;"$"&amp;$D751&amp;$BC$1&amp;"")</f>
        <v>1.5</v>
      </c>
      <c r="BE751" s="288">
        <v>0.93</v>
      </c>
      <c r="BF751" s="287">
        <v>0.3</v>
      </c>
      <c r="BG751" s="291" cm="1">
        <f t="array" aca="1" ref="BG751" ca="1">INDIRECT("'"&amp;$C751&amp;"'!"&amp;"$"&amp;$D751&amp;$BG$1&amp;"")</f>
        <v>1.49</v>
      </c>
      <c r="BH751" s="289"/>
      <c r="BI751" s="289">
        <v>0.99</v>
      </c>
      <c r="BJ751" s="287">
        <v>0.19</v>
      </c>
      <c r="BK751" s="292" cm="1">
        <f t="array" aca="1" ref="BK751" ca="1">INDIRECT("'"&amp;$C751&amp;"'!"&amp;"$"&amp;$D751&amp;$BK$1&amp;"")</f>
        <v>0.91</v>
      </c>
      <c r="BL751" s="289"/>
      <c r="BM751" s="289">
        <v>0.97</v>
      </c>
      <c r="BN751" s="287">
        <v>0.22</v>
      </c>
    </row>
    <row r="752" spans="1:66" ht="14.45" thickBot="1">
      <c r="A752" s="360">
        <v>45777</v>
      </c>
      <c r="B752" s="358">
        <v>0.91666666666666696</v>
      </c>
      <c r="C752" s="313">
        <f t="shared" si="29"/>
        <v>30</v>
      </c>
      <c r="D752" s="314" t="s">
        <v>149</v>
      </c>
      <c r="E752" s="293">
        <v>14.1</v>
      </c>
      <c r="F752" s="294">
        <v>70.05</v>
      </c>
      <c r="G752" s="295" cm="1">
        <f t="array" aca="1" ref="G752" ca="1">INDIRECT("'"&amp;$C752&amp;"'!"&amp;"$"&amp;$D752&amp;$E$1&amp;"")</f>
        <v>6.6</v>
      </c>
      <c r="H752" s="296">
        <v>0.97</v>
      </c>
      <c r="I752" s="294">
        <v>1.77</v>
      </c>
      <c r="J752" s="295" cm="1">
        <f t="array" aca="1" ref="J752" ca="1">INDIRECT("'"&amp;$C752&amp;"'!"&amp;"$"&amp;$D752&amp;$J$1&amp;"")</f>
        <v>0</v>
      </c>
      <c r="K752" s="296"/>
      <c r="L752" s="296" t="s">
        <v>1</v>
      </c>
      <c r="M752" s="294" t="s">
        <v>1</v>
      </c>
      <c r="N752" s="295" cm="1">
        <f t="array" aca="1" ref="N752" ca="1">INDIRECT("'"&amp;$C752&amp;"'!"&amp;"$"&amp;$D752&amp;$N$1&amp;"")</f>
        <v>6.6</v>
      </c>
      <c r="O752" s="296"/>
      <c r="P752" s="296">
        <v>0.97</v>
      </c>
      <c r="Q752" s="294">
        <v>1.77</v>
      </c>
      <c r="R752" s="295" cm="1">
        <f t="array" aca="1" ref="R752" ca="1">INDIRECT("'"&amp;$C752&amp;"'!"&amp;"$"&amp;$D752&amp;$R$1&amp;"")</f>
        <v>6.6</v>
      </c>
      <c r="S752" s="296"/>
      <c r="T752" s="296">
        <v>0.97</v>
      </c>
      <c r="U752" s="294">
        <v>1.77</v>
      </c>
      <c r="V752" s="295" cm="1">
        <f t="array" aca="1" ref="V752" ca="1">INDIRECT("'"&amp;$C752&amp;"'!"&amp;"$"&amp;$D752&amp;$V$1&amp;"")</f>
        <v>0</v>
      </c>
      <c r="W752" s="296" t="s">
        <v>1</v>
      </c>
      <c r="X752" s="296" t="s">
        <v>1</v>
      </c>
      <c r="Y752" s="297" t="s">
        <v>1</v>
      </c>
      <c r="Z752" s="293" cm="1">
        <f t="array" aca="1" ref="Z752" ca="1">INDIRECT("'"&amp;$C752&amp;"'!"&amp;"$"&amp;$D752&amp;$Z$1&amp;"")</f>
        <v>0</v>
      </c>
      <c r="AA752" s="296" t="s">
        <v>1</v>
      </c>
      <c r="AB752" s="296" t="s">
        <v>1</v>
      </c>
      <c r="AC752" s="294" t="s">
        <v>1</v>
      </c>
      <c r="AD752" s="295" cm="1">
        <f t="array" aca="1" ref="AD752" ca="1">INDIRECT("'"&amp;$C752&amp;"'!"&amp;"$"&amp;$D752&amp;$AD$1&amp;"")</f>
        <v>3</v>
      </c>
      <c r="AE752" s="296">
        <f>3.8*3.59</f>
        <v>13.641999999999999</v>
      </c>
      <c r="AF752" s="296">
        <v>0.98</v>
      </c>
      <c r="AG752" s="297">
        <v>0.52</v>
      </c>
      <c r="AH752" s="293" cm="1">
        <f t="array" aca="1" ref="AH752" ca="1">INDIRECT("'"&amp;$C752&amp;"'!"&amp;"$"&amp;$D752&amp;$AH$1&amp;"")</f>
        <v>3</v>
      </c>
      <c r="AI752" s="296">
        <v>14.04</v>
      </c>
      <c r="AJ752" s="296">
        <v>0.99</v>
      </c>
      <c r="AK752" s="294">
        <v>0.187</v>
      </c>
      <c r="AL752" s="293">
        <v>11.9</v>
      </c>
      <c r="AM752" s="297">
        <v>70.599999999999994</v>
      </c>
      <c r="AN752" s="293" cm="1">
        <f t="array" aca="1" ref="AN752" ca="1">INDIRECT("'"&amp;$C752&amp;"'!"&amp;"$"&amp;$D752&amp;$AL$1&amp;"")</f>
        <v>3</v>
      </c>
      <c r="AO752" s="296">
        <v>0.99</v>
      </c>
      <c r="AP752" s="294">
        <v>0.42</v>
      </c>
      <c r="AQ752" s="295" cm="1">
        <f t="array" aca="1" ref="AQ752" ca="1">INDIRECT("'"&amp;$C752&amp;"'!"&amp;"$"&amp;$D752&amp;$AQ$1&amp;"")</f>
        <v>3</v>
      </c>
      <c r="AR752" s="296">
        <v>0.99</v>
      </c>
      <c r="AS752" s="294">
        <v>0.42</v>
      </c>
      <c r="AT752" s="296" cm="1">
        <f t="array" aca="1" ref="AT752" ca="1">INDIRECT("'"&amp;$C752&amp;"'!"&amp;"$"&amp;$D752&amp;$AT$1&amp;"")</f>
        <v>0</v>
      </c>
      <c r="AU752" s="295" t="s">
        <v>1</v>
      </c>
      <c r="AV752" s="296" t="s">
        <v>1</v>
      </c>
      <c r="AW752" s="294" t="s">
        <v>1</v>
      </c>
      <c r="AX752" s="298">
        <v>14.22</v>
      </c>
      <c r="AY752" s="297">
        <v>72.03</v>
      </c>
      <c r="AZ752" s="298" cm="1">
        <f t="array" aca="1" ref="AZ752" ca="1">INDIRECT("'"&amp;$C752&amp;"'!"&amp;"$"&amp;$D752&amp;$AZ$1&amp;"")</f>
        <v>13.3</v>
      </c>
      <c r="BA752" s="296">
        <v>0.7</v>
      </c>
      <c r="BB752" s="294">
        <v>0.99</v>
      </c>
      <c r="BC752" s="299">
        <v>69</v>
      </c>
      <c r="BD752" s="293" cm="1">
        <f t="array" aca="1" ref="BD752" ca="1">INDIRECT("'"&amp;$C752&amp;"'!"&amp;"$"&amp;$D752&amp;$BC$1&amp;"")</f>
        <v>0</v>
      </c>
      <c r="BE752" s="295" t="s">
        <v>1</v>
      </c>
      <c r="BF752" s="294" t="s">
        <v>1</v>
      </c>
      <c r="BG752" s="298" cm="1">
        <f t="array" aca="1" ref="BG752" ca="1">INDIRECT("'"&amp;$C752&amp;"'!"&amp;"$"&amp;$D752&amp;$BG$1&amp;"")</f>
        <v>1.29</v>
      </c>
      <c r="BH752" s="296"/>
      <c r="BI752" s="296">
        <v>0.99</v>
      </c>
      <c r="BJ752" s="294">
        <v>0.16</v>
      </c>
      <c r="BK752" s="299" cm="1">
        <f t="array" aca="1" ref="BK752" ca="1">INDIRECT("'"&amp;$C752&amp;"'!"&amp;"$"&amp;$D752&amp;$BK$1&amp;"")</f>
        <v>0.88</v>
      </c>
      <c r="BL752" s="296"/>
      <c r="BM752" s="296">
        <v>0.97</v>
      </c>
      <c r="BN752" s="294">
        <v>0.22</v>
      </c>
    </row>
    <row r="753" spans="1:66" ht="14.45" thickBot="1">
      <c r="A753" s="360">
        <v>45777</v>
      </c>
      <c r="B753" s="359">
        <v>0.95833333333333404</v>
      </c>
      <c r="C753" s="315">
        <f t="shared" si="29"/>
        <v>30</v>
      </c>
      <c r="D753" s="316" t="s">
        <v>150</v>
      </c>
      <c r="E753" s="301">
        <v>14.1</v>
      </c>
      <c r="F753" s="302">
        <v>69.84</v>
      </c>
      <c r="G753" s="303" cm="1">
        <f t="array" aca="1" ref="G753" ca="1">INDIRECT("'"&amp;$C753&amp;"'!"&amp;"$"&amp;$D753&amp;$E$1&amp;"")</f>
        <v>7</v>
      </c>
      <c r="H753" s="304">
        <v>0.97</v>
      </c>
      <c r="I753" s="302">
        <v>1.87</v>
      </c>
      <c r="J753" s="303" cm="1">
        <f t="array" aca="1" ref="J753" ca="1">INDIRECT("'"&amp;$C753&amp;"'!"&amp;"$"&amp;$D753&amp;$J$1&amp;"")</f>
        <v>0</v>
      </c>
      <c r="K753" s="304"/>
      <c r="L753" s="304" t="s">
        <v>1</v>
      </c>
      <c r="M753" s="302" t="s">
        <v>1</v>
      </c>
      <c r="N753" s="303" cm="1">
        <f t="array" aca="1" ref="N753" ca="1">INDIRECT("'"&amp;$C753&amp;"'!"&amp;"$"&amp;$D753&amp;$N$1&amp;"")</f>
        <v>7</v>
      </c>
      <c r="O753" s="304"/>
      <c r="P753" s="304">
        <v>0.97</v>
      </c>
      <c r="Q753" s="302">
        <v>1.87</v>
      </c>
      <c r="R753" s="303" cm="1">
        <f t="array" aca="1" ref="R753" ca="1">INDIRECT("'"&amp;$C753&amp;"'!"&amp;"$"&amp;$D753&amp;$R$1&amp;"")</f>
        <v>7</v>
      </c>
      <c r="S753" s="304"/>
      <c r="T753" s="304">
        <v>0.97</v>
      </c>
      <c r="U753" s="302">
        <v>1.87</v>
      </c>
      <c r="V753" s="303" cm="1">
        <f t="array" aca="1" ref="V753" ca="1">INDIRECT("'"&amp;$C753&amp;"'!"&amp;"$"&amp;$D753&amp;$V$1&amp;"")</f>
        <v>0</v>
      </c>
      <c r="W753" s="304" t="s">
        <v>1</v>
      </c>
      <c r="X753" s="304" t="s">
        <v>1</v>
      </c>
      <c r="Y753" s="305" t="s">
        <v>1</v>
      </c>
      <c r="Z753" s="301" cm="1">
        <f t="array" aca="1" ref="Z753" ca="1">INDIRECT("'"&amp;$C753&amp;"'!"&amp;"$"&amp;$D753&amp;$Z$1&amp;"")</f>
        <v>0</v>
      </c>
      <c r="AA753" s="304" t="s">
        <v>1</v>
      </c>
      <c r="AB753" s="304" t="s">
        <v>1</v>
      </c>
      <c r="AC753" s="302" t="s">
        <v>1</v>
      </c>
      <c r="AD753" s="303" cm="1">
        <f t="array" aca="1" ref="AD753" ca="1">INDIRECT("'"&amp;$C753&amp;"'!"&amp;"$"&amp;$D753&amp;$AD$1&amp;"")</f>
        <v>0</v>
      </c>
      <c r="AE753" s="304" t="s">
        <v>1</v>
      </c>
      <c r="AF753" s="304" t="s">
        <v>1</v>
      </c>
      <c r="AG753" s="305" t="s">
        <v>1</v>
      </c>
      <c r="AH753" s="301" cm="1">
        <f t="array" aca="1" ref="AH753" ca="1">INDIRECT("'"&amp;$C753&amp;"'!"&amp;"$"&amp;$D753&amp;$AH$1&amp;"")</f>
        <v>0</v>
      </c>
      <c r="AI753" s="304" t="s">
        <v>1</v>
      </c>
      <c r="AJ753" s="304" t="s">
        <v>1</v>
      </c>
      <c r="AK753" s="302" t="s">
        <v>1</v>
      </c>
      <c r="AL753" s="301">
        <v>11.9</v>
      </c>
      <c r="AM753" s="305">
        <v>70.7</v>
      </c>
      <c r="AN753" s="301" cm="1">
        <f t="array" aca="1" ref="AN753" ca="1">INDIRECT("'"&amp;$C753&amp;"'!"&amp;"$"&amp;$D753&amp;$AL$1&amp;"")</f>
        <v>4.5</v>
      </c>
      <c r="AO753" s="304">
        <v>0.99</v>
      </c>
      <c r="AP753" s="302">
        <v>0.47</v>
      </c>
      <c r="AQ753" s="303" cm="1">
        <f t="array" aca="1" ref="AQ753" ca="1">INDIRECT("'"&amp;$C753&amp;"'!"&amp;"$"&amp;$D753&amp;$AQ$1&amp;"")</f>
        <v>4.5</v>
      </c>
      <c r="AR753" s="304">
        <v>0.99</v>
      </c>
      <c r="AS753" s="302">
        <v>0.47</v>
      </c>
      <c r="AT753" s="304" cm="1">
        <f t="array" aca="1" ref="AT753" ca="1">INDIRECT("'"&amp;$C753&amp;"'!"&amp;"$"&amp;$D753&amp;$AT$1&amp;"")</f>
        <v>0</v>
      </c>
      <c r="AU753" s="303" t="s">
        <v>1</v>
      </c>
      <c r="AV753" s="304" t="s">
        <v>1</v>
      </c>
      <c r="AW753" s="302" t="s">
        <v>1</v>
      </c>
      <c r="AX753" s="306">
        <v>14.17</v>
      </c>
      <c r="AY753" s="305">
        <v>71.819999999999993</v>
      </c>
      <c r="AZ753" s="306" cm="1">
        <f t="array" aca="1" ref="AZ753" ca="1">INDIRECT("'"&amp;$C753&amp;"'!"&amp;"$"&amp;$D753&amp;$AZ$1&amp;"")</f>
        <v>14.26</v>
      </c>
      <c r="BA753" s="304">
        <v>0.99</v>
      </c>
      <c r="BB753" s="302">
        <v>2.2999999999999998</v>
      </c>
      <c r="BC753" s="307">
        <v>68.7</v>
      </c>
      <c r="BD753" s="301" cm="1">
        <f t="array" aca="1" ref="BD753" ca="1">INDIRECT("'"&amp;$C753&amp;"'!"&amp;"$"&amp;$D753&amp;$BC$1&amp;"")</f>
        <v>0</v>
      </c>
      <c r="BE753" s="303" t="s">
        <v>1</v>
      </c>
      <c r="BF753" s="302" t="s">
        <v>1</v>
      </c>
      <c r="BG753" s="306" cm="1">
        <f t="array" aca="1" ref="BG753" ca="1">INDIRECT("'"&amp;$C753&amp;"'!"&amp;"$"&amp;$D753&amp;$BG$1&amp;"")</f>
        <v>1.1499999999999999</v>
      </c>
      <c r="BH753" s="304"/>
      <c r="BI753" s="304">
        <v>0.99</v>
      </c>
      <c r="BJ753" s="302">
        <v>0.15</v>
      </c>
      <c r="BK753" s="307" cm="1">
        <f t="array" aca="1" ref="BK753" ca="1">INDIRECT("'"&amp;$C753&amp;"'!"&amp;"$"&amp;$D753&amp;$BK$1&amp;"")</f>
        <v>0.84</v>
      </c>
      <c r="BL753" s="304"/>
      <c r="BM753" s="304">
        <v>0.97</v>
      </c>
      <c r="BN753" s="302">
        <v>0.21</v>
      </c>
    </row>
  </sheetData>
  <mergeCells count="32">
    <mergeCell ref="BO4:BR4"/>
    <mergeCell ref="AQ4:AS4"/>
    <mergeCell ref="AT4:AW4"/>
    <mergeCell ref="AX4:AY4"/>
    <mergeCell ref="AZ4:BB4"/>
    <mergeCell ref="BD4:BF4"/>
    <mergeCell ref="BG4:BJ4"/>
    <mergeCell ref="BC2:BF2"/>
    <mergeCell ref="BG2:BJ2"/>
    <mergeCell ref="BK2:BN2"/>
    <mergeCell ref="V4:Y4"/>
    <mergeCell ref="Z4:AC4"/>
    <mergeCell ref="AD4:AG4"/>
    <mergeCell ref="AH4:AK4"/>
    <mergeCell ref="AL4:AM4"/>
    <mergeCell ref="BK4:BN4"/>
    <mergeCell ref="BO2:BR2"/>
    <mergeCell ref="E3:F3"/>
    <mergeCell ref="AL3:AM3"/>
    <mergeCell ref="AX3:AY3"/>
    <mergeCell ref="A2:A4"/>
    <mergeCell ref="B2:B4"/>
    <mergeCell ref="E2:U2"/>
    <mergeCell ref="V2:AG2"/>
    <mergeCell ref="AH2:AK2"/>
    <mergeCell ref="AL2:AW2"/>
    <mergeCell ref="G4:I4"/>
    <mergeCell ref="J4:M4"/>
    <mergeCell ref="N4:Q4"/>
    <mergeCell ref="R4:U4"/>
    <mergeCell ref="AN4:AP4"/>
    <mergeCell ref="AX2:BB2"/>
  </mergeCells>
  <conditionalFormatting sqref="BH5:BJ28 BL5:BN28 BE5:BF28 BP5:BP28 BA6:BC28 BA5:BB5 E5:AZ28">
    <cfRule type="cellIs" dxfId="1191" priority="3279" operator="equal">
      <formula>"PMS"</formula>
    </cfRule>
    <cfRule type="cellIs" dxfId="1190" priority="3280" operator="equal">
      <formula>"CMS"</formula>
    </cfRule>
  </conditionalFormatting>
  <conditionalFormatting sqref="BC5:BD5">
    <cfRule type="cellIs" dxfId="1189" priority="3277" operator="equal">
      <formula>"PMS"</formula>
    </cfRule>
    <cfRule type="cellIs" dxfId="1188" priority="3278" operator="equal">
      <formula>"CMS"</formula>
    </cfRule>
  </conditionalFormatting>
  <conditionalFormatting sqref="BQ5:BR28">
    <cfRule type="cellIs" dxfId="1187" priority="3275" operator="equal">
      <formula>"PMS"</formula>
    </cfRule>
    <cfRule type="cellIs" dxfId="1186" priority="3276" operator="equal">
      <formula>"CMS"</formula>
    </cfRule>
  </conditionalFormatting>
  <conditionalFormatting sqref="BD6:BD27">
    <cfRule type="cellIs" dxfId="1185" priority="3273" operator="equal">
      <formula>"PMS"</formula>
    </cfRule>
    <cfRule type="cellIs" dxfId="1184" priority="3274" operator="equal">
      <formula>"CMS"</formula>
    </cfRule>
  </conditionalFormatting>
  <conditionalFormatting sqref="BD28">
    <cfRule type="cellIs" dxfId="1183" priority="3271" operator="equal">
      <formula>"PMS"</formula>
    </cfRule>
    <cfRule type="cellIs" dxfId="1182" priority="3272" operator="equal">
      <formula>"CMS"</formula>
    </cfRule>
  </conditionalFormatting>
  <conditionalFormatting sqref="BG6:BG28">
    <cfRule type="cellIs" dxfId="1181" priority="3269" operator="equal">
      <formula>"PMS"</formula>
    </cfRule>
    <cfRule type="cellIs" dxfId="1180" priority="3270" operator="equal">
      <formula>"CMS"</formula>
    </cfRule>
  </conditionalFormatting>
  <conditionalFormatting sqref="BG5">
    <cfRule type="cellIs" dxfId="1179" priority="3267" operator="equal">
      <formula>"PMS"</formula>
    </cfRule>
    <cfRule type="cellIs" dxfId="1178" priority="3268" operator="equal">
      <formula>"CMS"</formula>
    </cfRule>
  </conditionalFormatting>
  <conditionalFormatting sqref="BK12:BK28">
    <cfRule type="cellIs" dxfId="1177" priority="3265" operator="equal">
      <formula>"PMS"</formula>
    </cfRule>
    <cfRule type="cellIs" dxfId="1176" priority="3266" operator="equal">
      <formula>"CMS"</formula>
    </cfRule>
  </conditionalFormatting>
  <conditionalFormatting sqref="BO6:BO28">
    <cfRule type="cellIs" dxfId="1175" priority="3261" operator="equal">
      <formula>"PMS"</formula>
    </cfRule>
    <cfRule type="cellIs" dxfId="1174" priority="3262" operator="equal">
      <formula>"CMS"</formula>
    </cfRule>
  </conditionalFormatting>
  <conditionalFormatting sqref="BO5">
    <cfRule type="cellIs" dxfId="1173" priority="3259" operator="equal">
      <formula>"PMS"</formula>
    </cfRule>
    <cfRule type="cellIs" dxfId="1172" priority="3260" operator="equal">
      <formula>"CMS"</formula>
    </cfRule>
  </conditionalFormatting>
  <conditionalFormatting sqref="BK5">
    <cfRule type="cellIs" dxfId="1171" priority="1191" operator="equal">
      <formula>"PMS"</formula>
    </cfRule>
    <cfRule type="cellIs" dxfId="1170" priority="1192" operator="equal">
      <formula>"CMS"</formula>
    </cfRule>
  </conditionalFormatting>
  <conditionalFormatting sqref="BK6">
    <cfRule type="cellIs" dxfId="1169" priority="1189" operator="equal">
      <formula>"PMS"</formula>
    </cfRule>
    <cfRule type="cellIs" dxfId="1168" priority="1190" operator="equal">
      <formula>"CMS"</formula>
    </cfRule>
  </conditionalFormatting>
  <conditionalFormatting sqref="BK7">
    <cfRule type="cellIs" dxfId="1167" priority="1187" operator="equal">
      <formula>"PMS"</formula>
    </cfRule>
    <cfRule type="cellIs" dxfId="1166" priority="1188" operator="equal">
      <formula>"CMS"</formula>
    </cfRule>
  </conditionalFormatting>
  <conditionalFormatting sqref="BK8">
    <cfRule type="cellIs" dxfId="1165" priority="1183" operator="equal">
      <formula>"PMS"</formula>
    </cfRule>
    <cfRule type="cellIs" dxfId="1164" priority="1184" operator="equal">
      <formula>"CMS"</formula>
    </cfRule>
  </conditionalFormatting>
  <conditionalFormatting sqref="BK9">
    <cfRule type="cellIs" dxfId="1163" priority="1181" operator="equal">
      <formula>"PMS"</formula>
    </cfRule>
    <cfRule type="cellIs" dxfId="1162" priority="1182" operator="equal">
      <formula>"CMS"</formula>
    </cfRule>
  </conditionalFormatting>
  <conditionalFormatting sqref="BK10">
    <cfRule type="cellIs" dxfId="1161" priority="1179" operator="equal">
      <formula>"PMS"</formula>
    </cfRule>
    <cfRule type="cellIs" dxfId="1160" priority="1180" operator="equal">
      <formula>"CMS"</formula>
    </cfRule>
  </conditionalFormatting>
  <conditionalFormatting sqref="BK11">
    <cfRule type="cellIs" dxfId="1159" priority="1177" operator="equal">
      <formula>"PMS"</formula>
    </cfRule>
    <cfRule type="cellIs" dxfId="1158" priority="1178" operator="equal">
      <formula>"CMS"</formula>
    </cfRule>
  </conditionalFormatting>
  <conditionalFormatting sqref="BH30:BJ53 BL30:BN53 BP30:BP53 BA31:BC53 BA30:BB30 BE30:BF53 E30:AZ53">
    <cfRule type="cellIs" dxfId="1157" priority="1175" operator="equal">
      <formula>"PMS"</formula>
    </cfRule>
    <cfRule type="cellIs" dxfId="1156" priority="1176" operator="equal">
      <formula>"CMS"</formula>
    </cfRule>
  </conditionalFormatting>
  <conditionalFormatting sqref="BC30:BD30">
    <cfRule type="cellIs" dxfId="1155" priority="1173" operator="equal">
      <formula>"PMS"</formula>
    </cfRule>
    <cfRule type="cellIs" dxfId="1154" priority="1174" operator="equal">
      <formula>"CMS"</formula>
    </cfRule>
  </conditionalFormatting>
  <conditionalFormatting sqref="BQ30:BR53">
    <cfRule type="cellIs" dxfId="1153" priority="1171" operator="equal">
      <formula>"PMS"</formula>
    </cfRule>
    <cfRule type="cellIs" dxfId="1152" priority="1172" operator="equal">
      <formula>"CMS"</formula>
    </cfRule>
  </conditionalFormatting>
  <conditionalFormatting sqref="BD31:BD52">
    <cfRule type="cellIs" dxfId="1151" priority="1169" operator="equal">
      <formula>"PMS"</formula>
    </cfRule>
    <cfRule type="cellIs" dxfId="1150" priority="1170" operator="equal">
      <formula>"CMS"</formula>
    </cfRule>
  </conditionalFormatting>
  <conditionalFormatting sqref="BD53">
    <cfRule type="cellIs" dxfId="1149" priority="1167" operator="equal">
      <formula>"PMS"</formula>
    </cfRule>
    <cfRule type="cellIs" dxfId="1148" priority="1168" operator="equal">
      <formula>"CMS"</formula>
    </cfRule>
  </conditionalFormatting>
  <conditionalFormatting sqref="BG31:BG53">
    <cfRule type="cellIs" dxfId="1147" priority="1165" operator="equal">
      <formula>"PMS"</formula>
    </cfRule>
    <cfRule type="cellIs" dxfId="1146" priority="1166" operator="equal">
      <formula>"CMS"</formula>
    </cfRule>
  </conditionalFormatting>
  <conditionalFormatting sqref="BG30">
    <cfRule type="cellIs" dxfId="1145" priority="1163" operator="equal">
      <formula>"PMS"</formula>
    </cfRule>
    <cfRule type="cellIs" dxfId="1144" priority="1164" operator="equal">
      <formula>"CMS"</formula>
    </cfRule>
  </conditionalFormatting>
  <conditionalFormatting sqref="BK37:BK53">
    <cfRule type="cellIs" dxfId="1143" priority="1161" operator="equal">
      <formula>"PMS"</formula>
    </cfRule>
    <cfRule type="cellIs" dxfId="1142" priority="1162" operator="equal">
      <formula>"CMS"</formula>
    </cfRule>
  </conditionalFormatting>
  <conditionalFormatting sqref="BO31:BO53">
    <cfRule type="cellIs" dxfId="1141" priority="1159" operator="equal">
      <formula>"PMS"</formula>
    </cfRule>
    <cfRule type="cellIs" dxfId="1140" priority="1160" operator="equal">
      <formula>"CMS"</formula>
    </cfRule>
  </conditionalFormatting>
  <conditionalFormatting sqref="BO30">
    <cfRule type="cellIs" dxfId="1139" priority="1157" operator="equal">
      <formula>"PMS"</formula>
    </cfRule>
    <cfRule type="cellIs" dxfId="1138" priority="1158" operator="equal">
      <formula>"CMS"</formula>
    </cfRule>
  </conditionalFormatting>
  <conditionalFormatting sqref="BK30">
    <cfRule type="cellIs" dxfId="1137" priority="1155" operator="equal">
      <formula>"PMS"</formula>
    </cfRule>
    <cfRule type="cellIs" dxfId="1136" priority="1156" operator="equal">
      <formula>"CMS"</formula>
    </cfRule>
  </conditionalFormatting>
  <conditionalFormatting sqref="BK31">
    <cfRule type="cellIs" dxfId="1135" priority="1153" operator="equal">
      <formula>"PMS"</formula>
    </cfRule>
    <cfRule type="cellIs" dxfId="1134" priority="1154" operator="equal">
      <formula>"CMS"</formula>
    </cfRule>
  </conditionalFormatting>
  <conditionalFormatting sqref="BK32">
    <cfRule type="cellIs" dxfId="1133" priority="1151" operator="equal">
      <formula>"PMS"</formula>
    </cfRule>
    <cfRule type="cellIs" dxfId="1132" priority="1152" operator="equal">
      <formula>"CMS"</formula>
    </cfRule>
  </conditionalFormatting>
  <conditionalFormatting sqref="BK33">
    <cfRule type="cellIs" dxfId="1131" priority="1149" operator="equal">
      <formula>"PMS"</formula>
    </cfRule>
    <cfRule type="cellIs" dxfId="1130" priority="1150" operator="equal">
      <formula>"CMS"</formula>
    </cfRule>
  </conditionalFormatting>
  <conditionalFormatting sqref="BK34">
    <cfRule type="cellIs" dxfId="1129" priority="1147" operator="equal">
      <formula>"PMS"</formula>
    </cfRule>
    <cfRule type="cellIs" dxfId="1128" priority="1148" operator="equal">
      <formula>"CMS"</formula>
    </cfRule>
  </conditionalFormatting>
  <conditionalFormatting sqref="BK35">
    <cfRule type="cellIs" dxfId="1127" priority="1145" operator="equal">
      <formula>"PMS"</formula>
    </cfRule>
    <cfRule type="cellIs" dxfId="1126" priority="1146" operator="equal">
      <formula>"CMS"</formula>
    </cfRule>
  </conditionalFormatting>
  <conditionalFormatting sqref="BK36">
    <cfRule type="cellIs" dxfId="1125" priority="1143" operator="equal">
      <formula>"PMS"</formula>
    </cfRule>
    <cfRule type="cellIs" dxfId="1124" priority="1144" operator="equal">
      <formula>"CMS"</formula>
    </cfRule>
  </conditionalFormatting>
  <conditionalFormatting sqref="BH55:BJ78 BL55:BN78 BP55:BP78 BE55:BF78 E55:BC78">
    <cfRule type="cellIs" dxfId="1123" priority="1141" operator="equal">
      <formula>"PMS"</formula>
    </cfRule>
    <cfRule type="cellIs" dxfId="1122" priority="1142" operator="equal">
      <formula>"CMS"</formula>
    </cfRule>
  </conditionalFormatting>
  <conditionalFormatting sqref="BD55">
    <cfRule type="cellIs" dxfId="1121" priority="1139" operator="equal">
      <formula>"PMS"</formula>
    </cfRule>
    <cfRule type="cellIs" dxfId="1120" priority="1140" operator="equal">
      <formula>"CMS"</formula>
    </cfRule>
  </conditionalFormatting>
  <conditionalFormatting sqref="BQ55:BR78">
    <cfRule type="cellIs" dxfId="1119" priority="1137" operator="equal">
      <formula>"PMS"</formula>
    </cfRule>
    <cfRule type="cellIs" dxfId="1118" priority="1138" operator="equal">
      <formula>"CMS"</formula>
    </cfRule>
  </conditionalFormatting>
  <conditionalFormatting sqref="BD56:BD77">
    <cfRule type="cellIs" dxfId="1117" priority="1135" operator="equal">
      <formula>"PMS"</formula>
    </cfRule>
    <cfRule type="cellIs" dxfId="1116" priority="1136" operator="equal">
      <formula>"CMS"</formula>
    </cfRule>
  </conditionalFormatting>
  <conditionalFormatting sqref="BD78">
    <cfRule type="cellIs" dxfId="1115" priority="1133" operator="equal">
      <formula>"PMS"</formula>
    </cfRule>
    <cfRule type="cellIs" dxfId="1114" priority="1134" operator="equal">
      <formula>"CMS"</formula>
    </cfRule>
  </conditionalFormatting>
  <conditionalFormatting sqref="BG56:BG78">
    <cfRule type="cellIs" dxfId="1113" priority="1131" operator="equal">
      <formula>"PMS"</formula>
    </cfRule>
    <cfRule type="cellIs" dxfId="1112" priority="1132" operator="equal">
      <formula>"CMS"</formula>
    </cfRule>
  </conditionalFormatting>
  <conditionalFormatting sqref="BG55">
    <cfRule type="cellIs" dxfId="1111" priority="1129" operator="equal">
      <formula>"PMS"</formula>
    </cfRule>
    <cfRule type="cellIs" dxfId="1110" priority="1130" operator="equal">
      <formula>"CMS"</formula>
    </cfRule>
  </conditionalFormatting>
  <conditionalFormatting sqref="BK62:BK78">
    <cfRule type="cellIs" dxfId="1109" priority="1127" operator="equal">
      <formula>"PMS"</formula>
    </cfRule>
    <cfRule type="cellIs" dxfId="1108" priority="1128" operator="equal">
      <formula>"CMS"</formula>
    </cfRule>
  </conditionalFormatting>
  <conditionalFormatting sqref="BO56:BO78">
    <cfRule type="cellIs" dxfId="1107" priority="1125" operator="equal">
      <formula>"PMS"</formula>
    </cfRule>
    <cfRule type="cellIs" dxfId="1106" priority="1126" operator="equal">
      <formula>"CMS"</formula>
    </cfRule>
  </conditionalFormatting>
  <conditionalFormatting sqref="BO55">
    <cfRule type="cellIs" dxfId="1105" priority="1123" operator="equal">
      <formula>"PMS"</formula>
    </cfRule>
    <cfRule type="cellIs" dxfId="1104" priority="1124" operator="equal">
      <formula>"CMS"</formula>
    </cfRule>
  </conditionalFormatting>
  <conditionalFormatting sqref="BK55">
    <cfRule type="cellIs" dxfId="1103" priority="1121" operator="equal">
      <formula>"PMS"</formula>
    </cfRule>
    <cfRule type="cellIs" dxfId="1102" priority="1122" operator="equal">
      <formula>"CMS"</formula>
    </cfRule>
  </conditionalFormatting>
  <conditionalFormatting sqref="BK56">
    <cfRule type="cellIs" dxfId="1101" priority="1119" operator="equal">
      <formula>"PMS"</formula>
    </cfRule>
    <cfRule type="cellIs" dxfId="1100" priority="1120" operator="equal">
      <formula>"CMS"</formula>
    </cfRule>
  </conditionalFormatting>
  <conditionalFormatting sqref="BK57">
    <cfRule type="cellIs" dxfId="1099" priority="1117" operator="equal">
      <formula>"PMS"</formula>
    </cfRule>
    <cfRule type="cellIs" dxfId="1098" priority="1118" operator="equal">
      <formula>"CMS"</formula>
    </cfRule>
  </conditionalFormatting>
  <conditionalFormatting sqref="BK58">
    <cfRule type="cellIs" dxfId="1097" priority="1115" operator="equal">
      <formula>"PMS"</formula>
    </cfRule>
    <cfRule type="cellIs" dxfId="1096" priority="1116" operator="equal">
      <formula>"CMS"</formula>
    </cfRule>
  </conditionalFormatting>
  <conditionalFormatting sqref="BK59">
    <cfRule type="cellIs" dxfId="1095" priority="1113" operator="equal">
      <formula>"PMS"</formula>
    </cfRule>
    <cfRule type="cellIs" dxfId="1094" priority="1114" operator="equal">
      <formula>"CMS"</formula>
    </cfRule>
  </conditionalFormatting>
  <conditionalFormatting sqref="BK60">
    <cfRule type="cellIs" dxfId="1093" priority="1111" operator="equal">
      <formula>"PMS"</formula>
    </cfRule>
    <cfRule type="cellIs" dxfId="1092" priority="1112" operator="equal">
      <formula>"CMS"</formula>
    </cfRule>
  </conditionalFormatting>
  <conditionalFormatting sqref="BK61">
    <cfRule type="cellIs" dxfId="1091" priority="1109" operator="equal">
      <formula>"PMS"</formula>
    </cfRule>
    <cfRule type="cellIs" dxfId="1090" priority="1110" operator="equal">
      <formula>"CMS"</formula>
    </cfRule>
  </conditionalFormatting>
  <conditionalFormatting sqref="BH80:BJ103 BL80:BN103 BP80:BP103 BE80:BF103 E80:BC103">
    <cfRule type="cellIs" dxfId="1089" priority="1107" operator="equal">
      <formula>"PMS"</formula>
    </cfRule>
    <cfRule type="cellIs" dxfId="1088" priority="1108" operator="equal">
      <formula>"CMS"</formula>
    </cfRule>
  </conditionalFormatting>
  <conditionalFormatting sqref="BD80">
    <cfRule type="cellIs" dxfId="1087" priority="1105" operator="equal">
      <formula>"PMS"</formula>
    </cfRule>
    <cfRule type="cellIs" dxfId="1086" priority="1106" operator="equal">
      <formula>"CMS"</formula>
    </cfRule>
  </conditionalFormatting>
  <conditionalFormatting sqref="BQ80:BR103">
    <cfRule type="cellIs" dxfId="1085" priority="1103" operator="equal">
      <formula>"PMS"</formula>
    </cfRule>
    <cfRule type="cellIs" dxfId="1084" priority="1104" operator="equal">
      <formula>"CMS"</formula>
    </cfRule>
  </conditionalFormatting>
  <conditionalFormatting sqref="BD81:BD102">
    <cfRule type="cellIs" dxfId="1083" priority="1101" operator="equal">
      <formula>"PMS"</formula>
    </cfRule>
    <cfRule type="cellIs" dxfId="1082" priority="1102" operator="equal">
      <formula>"CMS"</formula>
    </cfRule>
  </conditionalFormatting>
  <conditionalFormatting sqref="BD103">
    <cfRule type="cellIs" dxfId="1081" priority="1099" operator="equal">
      <formula>"PMS"</formula>
    </cfRule>
    <cfRule type="cellIs" dxfId="1080" priority="1100" operator="equal">
      <formula>"CMS"</formula>
    </cfRule>
  </conditionalFormatting>
  <conditionalFormatting sqref="BG81:BG103">
    <cfRule type="cellIs" dxfId="1079" priority="1097" operator="equal">
      <formula>"PMS"</formula>
    </cfRule>
    <cfRule type="cellIs" dxfId="1078" priority="1098" operator="equal">
      <formula>"CMS"</formula>
    </cfRule>
  </conditionalFormatting>
  <conditionalFormatting sqref="BG80">
    <cfRule type="cellIs" dxfId="1077" priority="1095" operator="equal">
      <formula>"PMS"</formula>
    </cfRule>
    <cfRule type="cellIs" dxfId="1076" priority="1096" operator="equal">
      <formula>"CMS"</formula>
    </cfRule>
  </conditionalFormatting>
  <conditionalFormatting sqref="BK87:BK103">
    <cfRule type="cellIs" dxfId="1075" priority="1093" operator="equal">
      <formula>"PMS"</formula>
    </cfRule>
    <cfRule type="cellIs" dxfId="1074" priority="1094" operator="equal">
      <formula>"CMS"</formula>
    </cfRule>
  </conditionalFormatting>
  <conditionalFormatting sqref="BO81:BO103">
    <cfRule type="cellIs" dxfId="1073" priority="1091" operator="equal">
      <formula>"PMS"</formula>
    </cfRule>
    <cfRule type="cellIs" dxfId="1072" priority="1092" operator="equal">
      <formula>"CMS"</formula>
    </cfRule>
  </conditionalFormatting>
  <conditionalFormatting sqref="BO80">
    <cfRule type="cellIs" dxfId="1071" priority="1089" operator="equal">
      <formula>"PMS"</formula>
    </cfRule>
    <cfRule type="cellIs" dxfId="1070" priority="1090" operator="equal">
      <formula>"CMS"</formula>
    </cfRule>
  </conditionalFormatting>
  <conditionalFormatting sqref="BK80">
    <cfRule type="cellIs" dxfId="1069" priority="1087" operator="equal">
      <formula>"PMS"</formula>
    </cfRule>
    <cfRule type="cellIs" dxfId="1068" priority="1088" operator="equal">
      <formula>"CMS"</formula>
    </cfRule>
  </conditionalFormatting>
  <conditionalFormatting sqref="BK81">
    <cfRule type="cellIs" dxfId="1067" priority="1085" operator="equal">
      <formula>"PMS"</formula>
    </cfRule>
    <cfRule type="cellIs" dxfId="1066" priority="1086" operator="equal">
      <formula>"CMS"</formula>
    </cfRule>
  </conditionalFormatting>
  <conditionalFormatting sqref="BK82">
    <cfRule type="cellIs" dxfId="1065" priority="1083" operator="equal">
      <formula>"PMS"</formula>
    </cfRule>
    <cfRule type="cellIs" dxfId="1064" priority="1084" operator="equal">
      <formula>"CMS"</formula>
    </cfRule>
  </conditionalFormatting>
  <conditionalFormatting sqref="BK83">
    <cfRule type="cellIs" dxfId="1063" priority="1081" operator="equal">
      <formula>"PMS"</formula>
    </cfRule>
    <cfRule type="cellIs" dxfId="1062" priority="1082" operator="equal">
      <formula>"CMS"</formula>
    </cfRule>
  </conditionalFormatting>
  <conditionalFormatting sqref="BK84">
    <cfRule type="cellIs" dxfId="1061" priority="1079" operator="equal">
      <formula>"PMS"</formula>
    </cfRule>
    <cfRule type="cellIs" dxfId="1060" priority="1080" operator="equal">
      <formula>"CMS"</formula>
    </cfRule>
  </conditionalFormatting>
  <conditionalFormatting sqref="BK85">
    <cfRule type="cellIs" dxfId="1059" priority="1077" operator="equal">
      <formula>"PMS"</formula>
    </cfRule>
    <cfRule type="cellIs" dxfId="1058" priority="1078" operator="equal">
      <formula>"CMS"</formula>
    </cfRule>
  </conditionalFormatting>
  <conditionalFormatting sqref="BK86">
    <cfRule type="cellIs" dxfId="1057" priority="1075" operator="equal">
      <formula>"PMS"</formula>
    </cfRule>
    <cfRule type="cellIs" dxfId="1056" priority="1076" operator="equal">
      <formula>"CMS"</formula>
    </cfRule>
  </conditionalFormatting>
  <conditionalFormatting sqref="BH105:BJ128 BL105:BN128 BP105:BP128 BE105:BF128 E105:BC105 E123:BC128 AQ106:BC122 E106:AN122">
    <cfRule type="cellIs" dxfId="1055" priority="1073" operator="equal">
      <formula>"PMS"</formula>
    </cfRule>
    <cfRule type="cellIs" dxfId="1054" priority="1074" operator="equal">
      <formula>"CMS"</formula>
    </cfRule>
  </conditionalFormatting>
  <conditionalFormatting sqref="BD105">
    <cfRule type="cellIs" dxfId="1053" priority="1071" operator="equal">
      <formula>"PMS"</formula>
    </cfRule>
    <cfRule type="cellIs" dxfId="1052" priority="1072" operator="equal">
      <formula>"CMS"</formula>
    </cfRule>
  </conditionalFormatting>
  <conditionalFormatting sqref="BQ105:BR128">
    <cfRule type="cellIs" dxfId="1051" priority="1069" operator="equal">
      <formula>"PMS"</formula>
    </cfRule>
    <cfRule type="cellIs" dxfId="1050" priority="1070" operator="equal">
      <formula>"CMS"</formula>
    </cfRule>
  </conditionalFormatting>
  <conditionalFormatting sqref="BD106:BD127">
    <cfRule type="cellIs" dxfId="1049" priority="1067" operator="equal">
      <formula>"PMS"</formula>
    </cfRule>
    <cfRule type="cellIs" dxfId="1048" priority="1068" operator="equal">
      <formula>"CMS"</formula>
    </cfRule>
  </conditionalFormatting>
  <conditionalFormatting sqref="BD128">
    <cfRule type="cellIs" dxfId="1047" priority="1065" operator="equal">
      <formula>"PMS"</formula>
    </cfRule>
    <cfRule type="cellIs" dxfId="1046" priority="1066" operator="equal">
      <formula>"CMS"</formula>
    </cfRule>
  </conditionalFormatting>
  <conditionalFormatting sqref="BG106:BG128">
    <cfRule type="cellIs" dxfId="1045" priority="1063" operator="equal">
      <formula>"PMS"</formula>
    </cfRule>
    <cfRule type="cellIs" dxfId="1044" priority="1064" operator="equal">
      <formula>"CMS"</formula>
    </cfRule>
  </conditionalFormatting>
  <conditionalFormatting sqref="BG105">
    <cfRule type="cellIs" dxfId="1043" priority="1061" operator="equal">
      <formula>"PMS"</formula>
    </cfRule>
    <cfRule type="cellIs" dxfId="1042" priority="1062" operator="equal">
      <formula>"CMS"</formula>
    </cfRule>
  </conditionalFormatting>
  <conditionalFormatting sqref="BK112:BK128">
    <cfRule type="cellIs" dxfId="1041" priority="1059" operator="equal">
      <formula>"PMS"</formula>
    </cfRule>
    <cfRule type="cellIs" dxfId="1040" priority="1060" operator="equal">
      <formula>"CMS"</formula>
    </cfRule>
  </conditionalFormatting>
  <conditionalFormatting sqref="BO106:BO128">
    <cfRule type="cellIs" dxfId="1039" priority="1057" operator="equal">
      <formula>"PMS"</formula>
    </cfRule>
    <cfRule type="cellIs" dxfId="1038" priority="1058" operator="equal">
      <formula>"CMS"</formula>
    </cfRule>
  </conditionalFormatting>
  <conditionalFormatting sqref="BO105">
    <cfRule type="cellIs" dxfId="1037" priority="1055" operator="equal">
      <formula>"PMS"</formula>
    </cfRule>
    <cfRule type="cellIs" dxfId="1036" priority="1056" operator="equal">
      <formula>"CMS"</formula>
    </cfRule>
  </conditionalFormatting>
  <conditionalFormatting sqref="BK105">
    <cfRule type="cellIs" dxfId="1035" priority="1053" operator="equal">
      <formula>"PMS"</formula>
    </cfRule>
    <cfRule type="cellIs" dxfId="1034" priority="1054" operator="equal">
      <formula>"CMS"</formula>
    </cfRule>
  </conditionalFormatting>
  <conditionalFormatting sqref="BK106">
    <cfRule type="cellIs" dxfId="1033" priority="1051" operator="equal">
      <formula>"PMS"</formula>
    </cfRule>
    <cfRule type="cellIs" dxfId="1032" priority="1052" operator="equal">
      <formula>"CMS"</formula>
    </cfRule>
  </conditionalFormatting>
  <conditionalFormatting sqref="BK107">
    <cfRule type="cellIs" dxfId="1031" priority="1049" operator="equal">
      <formula>"PMS"</formula>
    </cfRule>
    <cfRule type="cellIs" dxfId="1030" priority="1050" operator="equal">
      <formula>"CMS"</formula>
    </cfRule>
  </conditionalFormatting>
  <conditionalFormatting sqref="BK108">
    <cfRule type="cellIs" dxfId="1029" priority="1047" operator="equal">
      <formula>"PMS"</formula>
    </cfRule>
    <cfRule type="cellIs" dxfId="1028" priority="1048" operator="equal">
      <formula>"CMS"</formula>
    </cfRule>
  </conditionalFormatting>
  <conditionalFormatting sqref="BK109">
    <cfRule type="cellIs" dxfId="1027" priority="1045" operator="equal">
      <formula>"PMS"</formula>
    </cfRule>
    <cfRule type="cellIs" dxfId="1026" priority="1046" operator="equal">
      <formula>"CMS"</formula>
    </cfRule>
  </conditionalFormatting>
  <conditionalFormatting sqref="BK110">
    <cfRule type="cellIs" dxfId="1025" priority="1043" operator="equal">
      <formula>"PMS"</formula>
    </cfRule>
    <cfRule type="cellIs" dxfId="1024" priority="1044" operator="equal">
      <formula>"CMS"</formula>
    </cfRule>
  </conditionalFormatting>
  <conditionalFormatting sqref="BK111">
    <cfRule type="cellIs" dxfId="1023" priority="1041" operator="equal">
      <formula>"PMS"</formula>
    </cfRule>
    <cfRule type="cellIs" dxfId="1022" priority="1042" operator="equal">
      <formula>"CMS"</formula>
    </cfRule>
  </conditionalFormatting>
  <conditionalFormatting sqref="BH130:BJ153 BL130:BN153 BP130:BP153 BE130:BF153 AQ130:BC153 E130:AN153">
    <cfRule type="cellIs" dxfId="1021" priority="1039" operator="equal">
      <formula>"PMS"</formula>
    </cfRule>
    <cfRule type="cellIs" dxfId="1020" priority="1040" operator="equal">
      <formula>"CMS"</formula>
    </cfRule>
  </conditionalFormatting>
  <conditionalFormatting sqref="BD130">
    <cfRule type="cellIs" dxfId="1019" priority="1037" operator="equal">
      <formula>"PMS"</formula>
    </cfRule>
    <cfRule type="cellIs" dxfId="1018" priority="1038" operator="equal">
      <formula>"CMS"</formula>
    </cfRule>
  </conditionalFormatting>
  <conditionalFormatting sqref="BQ130:BR153">
    <cfRule type="cellIs" dxfId="1017" priority="1035" operator="equal">
      <formula>"PMS"</formula>
    </cfRule>
    <cfRule type="cellIs" dxfId="1016" priority="1036" operator="equal">
      <formula>"CMS"</formula>
    </cfRule>
  </conditionalFormatting>
  <conditionalFormatting sqref="BD131:BD152">
    <cfRule type="cellIs" dxfId="1015" priority="1033" operator="equal">
      <formula>"PMS"</formula>
    </cfRule>
    <cfRule type="cellIs" dxfId="1014" priority="1034" operator="equal">
      <formula>"CMS"</formula>
    </cfRule>
  </conditionalFormatting>
  <conditionalFormatting sqref="BD153">
    <cfRule type="cellIs" dxfId="1013" priority="1031" operator="equal">
      <formula>"PMS"</formula>
    </cfRule>
    <cfRule type="cellIs" dxfId="1012" priority="1032" operator="equal">
      <formula>"CMS"</formula>
    </cfRule>
  </conditionalFormatting>
  <conditionalFormatting sqref="BG131:BG153">
    <cfRule type="cellIs" dxfId="1011" priority="1029" operator="equal">
      <formula>"PMS"</formula>
    </cfRule>
    <cfRule type="cellIs" dxfId="1010" priority="1030" operator="equal">
      <formula>"CMS"</formula>
    </cfRule>
  </conditionalFormatting>
  <conditionalFormatting sqref="BG130">
    <cfRule type="cellIs" dxfId="1009" priority="1027" operator="equal">
      <formula>"PMS"</formula>
    </cfRule>
    <cfRule type="cellIs" dxfId="1008" priority="1028" operator="equal">
      <formula>"CMS"</formula>
    </cfRule>
  </conditionalFormatting>
  <conditionalFormatting sqref="BK137:BK153">
    <cfRule type="cellIs" dxfId="1007" priority="1025" operator="equal">
      <formula>"PMS"</formula>
    </cfRule>
    <cfRule type="cellIs" dxfId="1006" priority="1026" operator="equal">
      <formula>"CMS"</formula>
    </cfRule>
  </conditionalFormatting>
  <conditionalFormatting sqref="BO131:BO153">
    <cfRule type="cellIs" dxfId="1005" priority="1023" operator="equal">
      <formula>"PMS"</formula>
    </cfRule>
    <cfRule type="cellIs" dxfId="1004" priority="1024" operator="equal">
      <formula>"CMS"</formula>
    </cfRule>
  </conditionalFormatting>
  <conditionalFormatting sqref="BO130">
    <cfRule type="cellIs" dxfId="1003" priority="1021" operator="equal">
      <formula>"PMS"</formula>
    </cfRule>
    <cfRule type="cellIs" dxfId="1002" priority="1022" operator="equal">
      <formula>"CMS"</formula>
    </cfRule>
  </conditionalFormatting>
  <conditionalFormatting sqref="BK130">
    <cfRule type="cellIs" dxfId="1001" priority="1019" operator="equal">
      <formula>"PMS"</formula>
    </cfRule>
    <cfRule type="cellIs" dxfId="1000" priority="1020" operator="equal">
      <formula>"CMS"</formula>
    </cfRule>
  </conditionalFormatting>
  <conditionalFormatting sqref="BK131">
    <cfRule type="cellIs" dxfId="999" priority="1017" operator="equal">
      <formula>"PMS"</formula>
    </cfRule>
    <cfRule type="cellIs" dxfId="998" priority="1018" operator="equal">
      <formula>"CMS"</formula>
    </cfRule>
  </conditionalFormatting>
  <conditionalFormatting sqref="BK132">
    <cfRule type="cellIs" dxfId="997" priority="1015" operator="equal">
      <formula>"PMS"</formula>
    </cfRule>
    <cfRule type="cellIs" dxfId="996" priority="1016" operator="equal">
      <formula>"CMS"</formula>
    </cfRule>
  </conditionalFormatting>
  <conditionalFormatting sqref="BK133">
    <cfRule type="cellIs" dxfId="995" priority="1013" operator="equal">
      <formula>"PMS"</formula>
    </cfRule>
    <cfRule type="cellIs" dxfId="994" priority="1014" operator="equal">
      <formula>"CMS"</formula>
    </cfRule>
  </conditionalFormatting>
  <conditionalFormatting sqref="BK134">
    <cfRule type="cellIs" dxfId="993" priority="1011" operator="equal">
      <formula>"PMS"</formula>
    </cfRule>
    <cfRule type="cellIs" dxfId="992" priority="1012" operator="equal">
      <formula>"CMS"</formula>
    </cfRule>
  </conditionalFormatting>
  <conditionalFormatting sqref="BK135">
    <cfRule type="cellIs" dxfId="991" priority="1009" operator="equal">
      <formula>"PMS"</formula>
    </cfRule>
    <cfRule type="cellIs" dxfId="990" priority="1010" operator="equal">
      <formula>"CMS"</formula>
    </cfRule>
  </conditionalFormatting>
  <conditionalFormatting sqref="BK136">
    <cfRule type="cellIs" dxfId="989" priority="1007" operator="equal">
      <formula>"PMS"</formula>
    </cfRule>
    <cfRule type="cellIs" dxfId="988" priority="1008" operator="equal">
      <formula>"CMS"</formula>
    </cfRule>
  </conditionalFormatting>
  <conditionalFormatting sqref="AO106:AP122">
    <cfRule type="cellIs" dxfId="987" priority="1005" operator="equal">
      <formula>"PMS"</formula>
    </cfRule>
    <cfRule type="cellIs" dxfId="986" priority="1006" operator="equal">
      <formula>"CMS"</formula>
    </cfRule>
  </conditionalFormatting>
  <conditionalFormatting sqref="AO130:AP130 AO148:AP153">
    <cfRule type="cellIs" dxfId="985" priority="1003" operator="equal">
      <formula>"PMS"</formula>
    </cfRule>
    <cfRule type="cellIs" dxfId="984" priority="1004" operator="equal">
      <formula>"CMS"</formula>
    </cfRule>
  </conditionalFormatting>
  <conditionalFormatting sqref="AO131:AP147">
    <cfRule type="cellIs" dxfId="983" priority="1001" operator="equal">
      <formula>"PMS"</formula>
    </cfRule>
    <cfRule type="cellIs" dxfId="982" priority="1002" operator="equal">
      <formula>"CMS"</formula>
    </cfRule>
  </conditionalFormatting>
  <conditionalFormatting sqref="BH155:BJ178 BL155:BN178 BP155:BP178 AQ155:BC178 BE155:BF178 E155:AN178">
    <cfRule type="cellIs" dxfId="981" priority="999" operator="equal">
      <formula>"PMS"</formula>
    </cfRule>
    <cfRule type="cellIs" dxfId="980" priority="1000" operator="equal">
      <formula>"CMS"</formula>
    </cfRule>
  </conditionalFormatting>
  <conditionalFormatting sqref="BD155">
    <cfRule type="cellIs" dxfId="979" priority="997" operator="equal">
      <formula>"PMS"</formula>
    </cfRule>
    <cfRule type="cellIs" dxfId="978" priority="998" operator="equal">
      <formula>"CMS"</formula>
    </cfRule>
  </conditionalFormatting>
  <conditionalFormatting sqref="BQ155:BR178">
    <cfRule type="cellIs" dxfId="977" priority="995" operator="equal">
      <formula>"PMS"</formula>
    </cfRule>
    <cfRule type="cellIs" dxfId="976" priority="996" operator="equal">
      <formula>"CMS"</formula>
    </cfRule>
  </conditionalFormatting>
  <conditionalFormatting sqref="BD156:BD177">
    <cfRule type="cellIs" dxfId="975" priority="993" operator="equal">
      <formula>"PMS"</formula>
    </cfRule>
    <cfRule type="cellIs" dxfId="974" priority="994" operator="equal">
      <formula>"CMS"</formula>
    </cfRule>
  </conditionalFormatting>
  <conditionalFormatting sqref="BD178">
    <cfRule type="cellIs" dxfId="973" priority="991" operator="equal">
      <formula>"PMS"</formula>
    </cfRule>
    <cfRule type="cellIs" dxfId="972" priority="992" operator="equal">
      <formula>"CMS"</formula>
    </cfRule>
  </conditionalFormatting>
  <conditionalFormatting sqref="BG156:BG178">
    <cfRule type="cellIs" dxfId="971" priority="989" operator="equal">
      <formula>"PMS"</formula>
    </cfRule>
    <cfRule type="cellIs" dxfId="970" priority="990" operator="equal">
      <formula>"CMS"</formula>
    </cfRule>
  </conditionalFormatting>
  <conditionalFormatting sqref="BG155">
    <cfRule type="cellIs" dxfId="969" priority="987" operator="equal">
      <formula>"PMS"</formula>
    </cfRule>
    <cfRule type="cellIs" dxfId="968" priority="988" operator="equal">
      <formula>"CMS"</formula>
    </cfRule>
  </conditionalFormatting>
  <conditionalFormatting sqref="BK162:BK178">
    <cfRule type="cellIs" dxfId="967" priority="985" operator="equal">
      <formula>"PMS"</formula>
    </cfRule>
    <cfRule type="cellIs" dxfId="966" priority="986" operator="equal">
      <formula>"CMS"</formula>
    </cfRule>
  </conditionalFormatting>
  <conditionalFormatting sqref="BO156:BO178">
    <cfRule type="cellIs" dxfId="965" priority="983" operator="equal">
      <formula>"PMS"</formula>
    </cfRule>
    <cfRule type="cellIs" dxfId="964" priority="984" operator="equal">
      <formula>"CMS"</formula>
    </cfRule>
  </conditionalFormatting>
  <conditionalFormatting sqref="BO155">
    <cfRule type="cellIs" dxfId="963" priority="981" operator="equal">
      <formula>"PMS"</formula>
    </cfRule>
    <cfRule type="cellIs" dxfId="962" priority="982" operator="equal">
      <formula>"CMS"</formula>
    </cfRule>
  </conditionalFormatting>
  <conditionalFormatting sqref="BK155">
    <cfRule type="cellIs" dxfId="961" priority="979" operator="equal">
      <formula>"PMS"</formula>
    </cfRule>
    <cfRule type="cellIs" dxfId="960" priority="980" operator="equal">
      <formula>"CMS"</formula>
    </cfRule>
  </conditionalFormatting>
  <conditionalFormatting sqref="BK156">
    <cfRule type="cellIs" dxfId="959" priority="977" operator="equal">
      <formula>"PMS"</formula>
    </cfRule>
    <cfRule type="cellIs" dxfId="958" priority="978" operator="equal">
      <formula>"CMS"</formula>
    </cfRule>
  </conditionalFormatting>
  <conditionalFormatting sqref="BK157">
    <cfRule type="cellIs" dxfId="957" priority="975" operator="equal">
      <formula>"PMS"</formula>
    </cfRule>
    <cfRule type="cellIs" dxfId="956" priority="976" operator="equal">
      <formula>"CMS"</formula>
    </cfRule>
  </conditionalFormatting>
  <conditionalFormatting sqref="BK158">
    <cfRule type="cellIs" dxfId="955" priority="973" operator="equal">
      <formula>"PMS"</formula>
    </cfRule>
    <cfRule type="cellIs" dxfId="954" priority="974" operator="equal">
      <formula>"CMS"</formula>
    </cfRule>
  </conditionalFormatting>
  <conditionalFormatting sqref="BK159">
    <cfRule type="cellIs" dxfId="953" priority="971" operator="equal">
      <formula>"PMS"</formula>
    </cfRule>
    <cfRule type="cellIs" dxfId="952" priority="972" operator="equal">
      <formula>"CMS"</formula>
    </cfRule>
  </conditionalFormatting>
  <conditionalFormatting sqref="BK160">
    <cfRule type="cellIs" dxfId="951" priority="969" operator="equal">
      <formula>"PMS"</formula>
    </cfRule>
    <cfRule type="cellIs" dxfId="950" priority="970" operator="equal">
      <formula>"CMS"</formula>
    </cfRule>
  </conditionalFormatting>
  <conditionalFormatting sqref="BK161">
    <cfRule type="cellIs" dxfId="949" priority="967" operator="equal">
      <formula>"PMS"</formula>
    </cfRule>
    <cfRule type="cellIs" dxfId="948" priority="968" operator="equal">
      <formula>"CMS"</formula>
    </cfRule>
  </conditionalFormatting>
  <conditionalFormatting sqref="AO155:AP155 AO173:AP178">
    <cfRule type="cellIs" dxfId="947" priority="965" operator="equal">
      <formula>"PMS"</formula>
    </cfRule>
    <cfRule type="cellIs" dxfId="946" priority="966" operator="equal">
      <formula>"CMS"</formula>
    </cfRule>
  </conditionalFormatting>
  <conditionalFormatting sqref="AO156:AP172">
    <cfRule type="cellIs" dxfId="945" priority="963" operator="equal">
      <formula>"PMS"</formula>
    </cfRule>
    <cfRule type="cellIs" dxfId="944" priority="964" operator="equal">
      <formula>"CMS"</formula>
    </cfRule>
  </conditionalFormatting>
  <conditionalFormatting sqref="BH180:BJ203 BL180:BN203 BP180:BP203 AQ180:BC203 BE180:BF203 E180:AN203">
    <cfRule type="cellIs" dxfId="943" priority="961" operator="equal">
      <formula>"PMS"</formula>
    </cfRule>
    <cfRule type="cellIs" dxfId="942" priority="962" operator="equal">
      <formula>"CMS"</formula>
    </cfRule>
  </conditionalFormatting>
  <conditionalFormatting sqref="BD180">
    <cfRule type="cellIs" dxfId="941" priority="959" operator="equal">
      <formula>"PMS"</formula>
    </cfRule>
    <cfRule type="cellIs" dxfId="940" priority="960" operator="equal">
      <formula>"CMS"</formula>
    </cfRule>
  </conditionalFormatting>
  <conditionalFormatting sqref="BQ180:BR203">
    <cfRule type="cellIs" dxfId="939" priority="957" operator="equal">
      <formula>"PMS"</formula>
    </cfRule>
    <cfRule type="cellIs" dxfId="938" priority="958" operator="equal">
      <formula>"CMS"</formula>
    </cfRule>
  </conditionalFormatting>
  <conditionalFormatting sqref="BD181:BD202">
    <cfRule type="cellIs" dxfId="937" priority="955" operator="equal">
      <formula>"PMS"</formula>
    </cfRule>
    <cfRule type="cellIs" dxfId="936" priority="956" operator="equal">
      <formula>"CMS"</formula>
    </cfRule>
  </conditionalFormatting>
  <conditionalFormatting sqref="BD203">
    <cfRule type="cellIs" dxfId="935" priority="953" operator="equal">
      <formula>"PMS"</formula>
    </cfRule>
    <cfRule type="cellIs" dxfId="934" priority="954" operator="equal">
      <formula>"CMS"</formula>
    </cfRule>
  </conditionalFormatting>
  <conditionalFormatting sqref="BG181:BG203">
    <cfRule type="cellIs" dxfId="933" priority="951" operator="equal">
      <formula>"PMS"</formula>
    </cfRule>
    <cfRule type="cellIs" dxfId="932" priority="952" operator="equal">
      <formula>"CMS"</formula>
    </cfRule>
  </conditionalFormatting>
  <conditionalFormatting sqref="BG180">
    <cfRule type="cellIs" dxfId="931" priority="949" operator="equal">
      <formula>"PMS"</formula>
    </cfRule>
    <cfRule type="cellIs" dxfId="930" priority="950" operator="equal">
      <formula>"CMS"</formula>
    </cfRule>
  </conditionalFormatting>
  <conditionalFormatting sqref="BK187:BK203">
    <cfRule type="cellIs" dxfId="929" priority="947" operator="equal">
      <formula>"PMS"</formula>
    </cfRule>
    <cfRule type="cellIs" dxfId="928" priority="948" operator="equal">
      <formula>"CMS"</formula>
    </cfRule>
  </conditionalFormatting>
  <conditionalFormatting sqref="BO181:BO203">
    <cfRule type="cellIs" dxfId="927" priority="945" operator="equal">
      <formula>"PMS"</formula>
    </cfRule>
    <cfRule type="cellIs" dxfId="926" priority="946" operator="equal">
      <formula>"CMS"</formula>
    </cfRule>
  </conditionalFormatting>
  <conditionalFormatting sqref="BO180">
    <cfRule type="cellIs" dxfId="925" priority="943" operator="equal">
      <formula>"PMS"</formula>
    </cfRule>
    <cfRule type="cellIs" dxfId="924" priority="944" operator="equal">
      <formula>"CMS"</formula>
    </cfRule>
  </conditionalFormatting>
  <conditionalFormatting sqref="BK180">
    <cfRule type="cellIs" dxfId="923" priority="941" operator="equal">
      <formula>"PMS"</formula>
    </cfRule>
    <cfRule type="cellIs" dxfId="922" priority="942" operator="equal">
      <formula>"CMS"</formula>
    </cfRule>
  </conditionalFormatting>
  <conditionalFormatting sqref="BK181">
    <cfRule type="cellIs" dxfId="921" priority="939" operator="equal">
      <formula>"PMS"</formula>
    </cfRule>
    <cfRule type="cellIs" dxfId="920" priority="940" operator="equal">
      <formula>"CMS"</formula>
    </cfRule>
  </conditionalFormatting>
  <conditionalFormatting sqref="BK182">
    <cfRule type="cellIs" dxfId="919" priority="937" operator="equal">
      <formula>"PMS"</formula>
    </cfRule>
    <cfRule type="cellIs" dxfId="918" priority="938" operator="equal">
      <formula>"CMS"</formula>
    </cfRule>
  </conditionalFormatting>
  <conditionalFormatting sqref="BK183">
    <cfRule type="cellIs" dxfId="917" priority="935" operator="equal">
      <formula>"PMS"</formula>
    </cfRule>
    <cfRule type="cellIs" dxfId="916" priority="936" operator="equal">
      <formula>"CMS"</formula>
    </cfRule>
  </conditionalFormatting>
  <conditionalFormatting sqref="BK184">
    <cfRule type="cellIs" dxfId="915" priority="933" operator="equal">
      <formula>"PMS"</formula>
    </cfRule>
    <cfRule type="cellIs" dxfId="914" priority="934" operator="equal">
      <formula>"CMS"</formula>
    </cfRule>
  </conditionalFormatting>
  <conditionalFormatting sqref="BK185">
    <cfRule type="cellIs" dxfId="913" priority="931" operator="equal">
      <formula>"PMS"</formula>
    </cfRule>
    <cfRule type="cellIs" dxfId="912" priority="932" operator="equal">
      <formula>"CMS"</formula>
    </cfRule>
  </conditionalFormatting>
  <conditionalFormatting sqref="BK186">
    <cfRule type="cellIs" dxfId="911" priority="929" operator="equal">
      <formula>"PMS"</formula>
    </cfRule>
    <cfRule type="cellIs" dxfId="910" priority="930" operator="equal">
      <formula>"CMS"</formula>
    </cfRule>
  </conditionalFormatting>
  <conditionalFormatting sqref="AO180:AP180 AO198:AP203">
    <cfRule type="cellIs" dxfId="909" priority="927" operator="equal">
      <formula>"PMS"</formula>
    </cfRule>
    <cfRule type="cellIs" dxfId="908" priority="928" operator="equal">
      <formula>"CMS"</formula>
    </cfRule>
  </conditionalFormatting>
  <conditionalFormatting sqref="AO181:AP197">
    <cfRule type="cellIs" dxfId="907" priority="925" operator="equal">
      <formula>"PMS"</formula>
    </cfRule>
    <cfRule type="cellIs" dxfId="906" priority="926" operator="equal">
      <formula>"CMS"</formula>
    </cfRule>
  </conditionalFormatting>
  <conditionalFormatting sqref="BH205:BJ228 BL205:BN228 BP205:BP228 AQ205:BC228 BE205:BF228 E205:AN228 BH230:BJ253 BL230:BN253 BP230:BP253 AQ230:BC253 BE230:BF253 E230:AN253">
    <cfRule type="cellIs" dxfId="905" priority="923" operator="equal">
      <formula>"PMS"</formula>
    </cfRule>
    <cfRule type="cellIs" dxfId="904" priority="924" operator="equal">
      <formula>"CMS"</formula>
    </cfRule>
  </conditionalFormatting>
  <conditionalFormatting sqref="BD205">
    <cfRule type="cellIs" dxfId="903" priority="921" operator="equal">
      <formula>"PMS"</formula>
    </cfRule>
    <cfRule type="cellIs" dxfId="902" priority="922" operator="equal">
      <formula>"CMS"</formula>
    </cfRule>
  </conditionalFormatting>
  <conditionalFormatting sqref="BQ205:BR228 BQ230:BR253">
    <cfRule type="cellIs" dxfId="901" priority="919" operator="equal">
      <formula>"PMS"</formula>
    </cfRule>
    <cfRule type="cellIs" dxfId="900" priority="920" operator="equal">
      <formula>"CMS"</formula>
    </cfRule>
  </conditionalFormatting>
  <conditionalFormatting sqref="BD206:BD227">
    <cfRule type="cellIs" dxfId="899" priority="917" operator="equal">
      <formula>"PMS"</formula>
    </cfRule>
    <cfRule type="cellIs" dxfId="898" priority="918" operator="equal">
      <formula>"CMS"</formula>
    </cfRule>
  </conditionalFormatting>
  <conditionalFormatting sqref="BD228 BD253">
    <cfRule type="cellIs" dxfId="897" priority="915" operator="equal">
      <formula>"PMS"</formula>
    </cfRule>
    <cfRule type="cellIs" dxfId="896" priority="916" operator="equal">
      <formula>"CMS"</formula>
    </cfRule>
  </conditionalFormatting>
  <conditionalFormatting sqref="BG206:BG228 BG231:BG253">
    <cfRule type="cellIs" dxfId="895" priority="913" operator="equal">
      <formula>"PMS"</formula>
    </cfRule>
    <cfRule type="cellIs" dxfId="894" priority="914" operator="equal">
      <formula>"CMS"</formula>
    </cfRule>
  </conditionalFormatting>
  <conditionalFormatting sqref="BG205">
    <cfRule type="cellIs" dxfId="893" priority="911" operator="equal">
      <formula>"PMS"</formula>
    </cfRule>
    <cfRule type="cellIs" dxfId="892" priority="912" operator="equal">
      <formula>"CMS"</formula>
    </cfRule>
  </conditionalFormatting>
  <conditionalFormatting sqref="BK212:BK228 BK237:BK253">
    <cfRule type="cellIs" dxfId="891" priority="909" operator="equal">
      <formula>"PMS"</formula>
    </cfRule>
    <cfRule type="cellIs" dxfId="890" priority="910" operator="equal">
      <formula>"CMS"</formula>
    </cfRule>
  </conditionalFormatting>
  <conditionalFormatting sqref="BO206:BO228 BO231:BO253">
    <cfRule type="cellIs" dxfId="889" priority="907" operator="equal">
      <formula>"PMS"</formula>
    </cfRule>
    <cfRule type="cellIs" dxfId="888" priority="908" operator="equal">
      <formula>"CMS"</formula>
    </cfRule>
  </conditionalFormatting>
  <conditionalFormatting sqref="BO205">
    <cfRule type="cellIs" dxfId="887" priority="905" operator="equal">
      <formula>"PMS"</formula>
    </cfRule>
    <cfRule type="cellIs" dxfId="886" priority="906" operator="equal">
      <formula>"CMS"</formula>
    </cfRule>
  </conditionalFormatting>
  <conditionalFormatting sqref="BK205">
    <cfRule type="cellIs" dxfId="885" priority="903" operator="equal">
      <formula>"PMS"</formula>
    </cfRule>
    <cfRule type="cellIs" dxfId="884" priority="904" operator="equal">
      <formula>"CMS"</formula>
    </cfRule>
  </conditionalFormatting>
  <conditionalFormatting sqref="BK206">
    <cfRule type="cellIs" dxfId="883" priority="901" operator="equal">
      <formula>"PMS"</formula>
    </cfRule>
    <cfRule type="cellIs" dxfId="882" priority="902" operator="equal">
      <formula>"CMS"</formula>
    </cfRule>
  </conditionalFormatting>
  <conditionalFormatting sqref="BK207">
    <cfRule type="cellIs" dxfId="881" priority="899" operator="equal">
      <formula>"PMS"</formula>
    </cfRule>
    <cfRule type="cellIs" dxfId="880" priority="900" operator="equal">
      <formula>"CMS"</formula>
    </cfRule>
  </conditionalFormatting>
  <conditionalFormatting sqref="BK208">
    <cfRule type="cellIs" dxfId="879" priority="897" operator="equal">
      <formula>"PMS"</formula>
    </cfRule>
    <cfRule type="cellIs" dxfId="878" priority="898" operator="equal">
      <formula>"CMS"</formula>
    </cfRule>
  </conditionalFormatting>
  <conditionalFormatting sqref="BK209">
    <cfRule type="cellIs" dxfId="877" priority="895" operator="equal">
      <formula>"PMS"</formula>
    </cfRule>
    <cfRule type="cellIs" dxfId="876" priority="896" operator="equal">
      <formula>"CMS"</formula>
    </cfRule>
  </conditionalFormatting>
  <conditionalFormatting sqref="BK210">
    <cfRule type="cellIs" dxfId="875" priority="893" operator="equal">
      <formula>"PMS"</formula>
    </cfRule>
    <cfRule type="cellIs" dxfId="874" priority="894" operator="equal">
      <formula>"CMS"</formula>
    </cfRule>
  </conditionalFormatting>
  <conditionalFormatting sqref="BK211">
    <cfRule type="cellIs" dxfId="873" priority="891" operator="equal">
      <formula>"PMS"</formula>
    </cfRule>
    <cfRule type="cellIs" dxfId="872" priority="892" operator="equal">
      <formula>"CMS"</formula>
    </cfRule>
  </conditionalFormatting>
  <conditionalFormatting sqref="AO205:AP205 AO223:AP228 AO230:AP230 AO248:AP253">
    <cfRule type="cellIs" dxfId="871" priority="889" operator="equal">
      <formula>"PMS"</formula>
    </cfRule>
    <cfRule type="cellIs" dxfId="870" priority="890" operator="equal">
      <formula>"CMS"</formula>
    </cfRule>
  </conditionalFormatting>
  <conditionalFormatting sqref="AO206:AP222">
    <cfRule type="cellIs" dxfId="869" priority="887" operator="equal">
      <formula>"PMS"</formula>
    </cfRule>
    <cfRule type="cellIs" dxfId="868" priority="888" operator="equal">
      <formula>"CMS"</formula>
    </cfRule>
  </conditionalFormatting>
  <conditionalFormatting sqref="BD230">
    <cfRule type="cellIs" dxfId="867" priority="885" operator="equal">
      <formula>"PMS"</formula>
    </cfRule>
    <cfRule type="cellIs" dxfId="866" priority="886" operator="equal">
      <formula>"CMS"</formula>
    </cfRule>
  </conditionalFormatting>
  <conditionalFormatting sqref="BD231:BD252">
    <cfRule type="cellIs" dxfId="865" priority="883" operator="equal">
      <formula>"PMS"</formula>
    </cfRule>
    <cfRule type="cellIs" dxfId="864" priority="884" operator="equal">
      <formula>"CMS"</formula>
    </cfRule>
  </conditionalFormatting>
  <conditionalFormatting sqref="BG230">
    <cfRule type="cellIs" dxfId="863" priority="881" operator="equal">
      <formula>"PMS"</formula>
    </cfRule>
    <cfRule type="cellIs" dxfId="862" priority="882" operator="equal">
      <formula>"CMS"</formula>
    </cfRule>
  </conditionalFormatting>
  <conditionalFormatting sqref="BO230">
    <cfRule type="cellIs" dxfId="861" priority="879" operator="equal">
      <formula>"PMS"</formula>
    </cfRule>
    <cfRule type="cellIs" dxfId="860" priority="880" operator="equal">
      <formula>"CMS"</formula>
    </cfRule>
  </conditionalFormatting>
  <conditionalFormatting sqref="BK230">
    <cfRule type="cellIs" dxfId="859" priority="877" operator="equal">
      <formula>"PMS"</formula>
    </cfRule>
    <cfRule type="cellIs" dxfId="858" priority="878" operator="equal">
      <formula>"CMS"</formula>
    </cfRule>
  </conditionalFormatting>
  <conditionalFormatting sqref="BK231">
    <cfRule type="cellIs" dxfId="857" priority="875" operator="equal">
      <formula>"PMS"</formula>
    </cfRule>
    <cfRule type="cellIs" dxfId="856" priority="876" operator="equal">
      <formula>"CMS"</formula>
    </cfRule>
  </conditionalFormatting>
  <conditionalFormatting sqref="BK232">
    <cfRule type="cellIs" dxfId="855" priority="873" operator="equal">
      <formula>"PMS"</formula>
    </cfRule>
    <cfRule type="cellIs" dxfId="854" priority="874" operator="equal">
      <formula>"CMS"</formula>
    </cfRule>
  </conditionalFormatting>
  <conditionalFormatting sqref="BK233">
    <cfRule type="cellIs" dxfId="853" priority="871" operator="equal">
      <formula>"PMS"</formula>
    </cfRule>
    <cfRule type="cellIs" dxfId="852" priority="872" operator="equal">
      <formula>"CMS"</formula>
    </cfRule>
  </conditionalFormatting>
  <conditionalFormatting sqref="BK234">
    <cfRule type="cellIs" dxfId="851" priority="869" operator="equal">
      <formula>"PMS"</formula>
    </cfRule>
    <cfRule type="cellIs" dxfId="850" priority="870" operator="equal">
      <formula>"CMS"</formula>
    </cfRule>
  </conditionalFormatting>
  <conditionalFormatting sqref="BK235">
    <cfRule type="cellIs" dxfId="849" priority="867" operator="equal">
      <formula>"PMS"</formula>
    </cfRule>
    <cfRule type="cellIs" dxfId="848" priority="868" operator="equal">
      <formula>"CMS"</formula>
    </cfRule>
  </conditionalFormatting>
  <conditionalFormatting sqref="BK236">
    <cfRule type="cellIs" dxfId="847" priority="865" operator="equal">
      <formula>"PMS"</formula>
    </cfRule>
    <cfRule type="cellIs" dxfId="846" priority="866" operator="equal">
      <formula>"CMS"</formula>
    </cfRule>
  </conditionalFormatting>
  <conditionalFormatting sqref="AO231:AP247">
    <cfRule type="cellIs" dxfId="845" priority="863" operator="equal">
      <formula>"PMS"</formula>
    </cfRule>
    <cfRule type="cellIs" dxfId="844" priority="864" operator="equal">
      <formula>"CMS"</formula>
    </cfRule>
  </conditionalFormatting>
  <conditionalFormatting sqref="BH255:BJ278 BL255:BN278 BP255:BP278 AQ255:BC278 BE255:BF278 E255:AN278">
    <cfRule type="cellIs" dxfId="843" priority="861" operator="equal">
      <formula>"PMS"</formula>
    </cfRule>
    <cfRule type="cellIs" dxfId="842" priority="862" operator="equal">
      <formula>"CMS"</formula>
    </cfRule>
  </conditionalFormatting>
  <conditionalFormatting sqref="BQ255:BR278">
    <cfRule type="cellIs" dxfId="841" priority="859" operator="equal">
      <formula>"PMS"</formula>
    </cfRule>
    <cfRule type="cellIs" dxfId="840" priority="860" operator="equal">
      <formula>"CMS"</formula>
    </cfRule>
  </conditionalFormatting>
  <conditionalFormatting sqref="BD278">
    <cfRule type="cellIs" dxfId="839" priority="857" operator="equal">
      <formula>"PMS"</formula>
    </cfRule>
    <cfRule type="cellIs" dxfId="838" priority="858" operator="equal">
      <formula>"CMS"</formula>
    </cfRule>
  </conditionalFormatting>
  <conditionalFormatting sqref="BG256:BG278">
    <cfRule type="cellIs" dxfId="837" priority="855" operator="equal">
      <formula>"PMS"</formula>
    </cfRule>
    <cfRule type="cellIs" dxfId="836" priority="856" operator="equal">
      <formula>"CMS"</formula>
    </cfRule>
  </conditionalFormatting>
  <conditionalFormatting sqref="BK262:BK278">
    <cfRule type="cellIs" dxfId="835" priority="853" operator="equal">
      <formula>"PMS"</formula>
    </cfRule>
    <cfRule type="cellIs" dxfId="834" priority="854" operator="equal">
      <formula>"CMS"</formula>
    </cfRule>
  </conditionalFormatting>
  <conditionalFormatting sqref="BO256:BO278">
    <cfRule type="cellIs" dxfId="833" priority="851" operator="equal">
      <formula>"PMS"</formula>
    </cfRule>
    <cfRule type="cellIs" dxfId="832" priority="852" operator="equal">
      <formula>"CMS"</formula>
    </cfRule>
  </conditionalFormatting>
  <conditionalFormatting sqref="AO255:AP255 AO273:AP278">
    <cfRule type="cellIs" dxfId="831" priority="849" operator="equal">
      <formula>"PMS"</formula>
    </cfRule>
    <cfRule type="cellIs" dxfId="830" priority="850" operator="equal">
      <formula>"CMS"</formula>
    </cfRule>
  </conditionalFormatting>
  <conditionalFormatting sqref="BD255">
    <cfRule type="cellIs" dxfId="829" priority="847" operator="equal">
      <formula>"PMS"</formula>
    </cfRule>
    <cfRule type="cellIs" dxfId="828" priority="848" operator="equal">
      <formula>"CMS"</formula>
    </cfRule>
  </conditionalFormatting>
  <conditionalFormatting sqref="BD256:BD277">
    <cfRule type="cellIs" dxfId="827" priority="845" operator="equal">
      <formula>"PMS"</formula>
    </cfRule>
    <cfRule type="cellIs" dxfId="826" priority="846" operator="equal">
      <formula>"CMS"</formula>
    </cfRule>
  </conditionalFormatting>
  <conditionalFormatting sqref="BG255">
    <cfRule type="cellIs" dxfId="825" priority="843" operator="equal">
      <formula>"PMS"</formula>
    </cfRule>
    <cfRule type="cellIs" dxfId="824" priority="844" operator="equal">
      <formula>"CMS"</formula>
    </cfRule>
  </conditionalFormatting>
  <conditionalFormatting sqref="BO255">
    <cfRule type="cellIs" dxfId="823" priority="841" operator="equal">
      <formula>"PMS"</formula>
    </cfRule>
    <cfRule type="cellIs" dxfId="822" priority="842" operator="equal">
      <formula>"CMS"</formula>
    </cfRule>
  </conditionalFormatting>
  <conditionalFormatting sqref="BK255">
    <cfRule type="cellIs" dxfId="821" priority="839" operator="equal">
      <formula>"PMS"</formula>
    </cfRule>
    <cfRule type="cellIs" dxfId="820" priority="840" operator="equal">
      <formula>"CMS"</formula>
    </cfRule>
  </conditionalFormatting>
  <conditionalFormatting sqref="BK256">
    <cfRule type="cellIs" dxfId="819" priority="837" operator="equal">
      <formula>"PMS"</formula>
    </cfRule>
    <cfRule type="cellIs" dxfId="818" priority="838" operator="equal">
      <formula>"CMS"</formula>
    </cfRule>
  </conditionalFormatting>
  <conditionalFormatting sqref="BK257">
    <cfRule type="cellIs" dxfId="817" priority="835" operator="equal">
      <formula>"PMS"</formula>
    </cfRule>
    <cfRule type="cellIs" dxfId="816" priority="836" operator="equal">
      <formula>"CMS"</formula>
    </cfRule>
  </conditionalFormatting>
  <conditionalFormatting sqref="BK258">
    <cfRule type="cellIs" dxfId="815" priority="833" operator="equal">
      <formula>"PMS"</formula>
    </cfRule>
    <cfRule type="cellIs" dxfId="814" priority="834" operator="equal">
      <formula>"CMS"</formula>
    </cfRule>
  </conditionalFormatting>
  <conditionalFormatting sqref="BK259">
    <cfRule type="cellIs" dxfId="813" priority="831" operator="equal">
      <formula>"PMS"</formula>
    </cfRule>
    <cfRule type="cellIs" dxfId="812" priority="832" operator="equal">
      <formula>"CMS"</formula>
    </cfRule>
  </conditionalFormatting>
  <conditionalFormatting sqref="BK260">
    <cfRule type="cellIs" dxfId="811" priority="829" operator="equal">
      <formula>"PMS"</formula>
    </cfRule>
    <cfRule type="cellIs" dxfId="810" priority="830" operator="equal">
      <formula>"CMS"</formula>
    </cfRule>
  </conditionalFormatting>
  <conditionalFormatting sqref="BK261">
    <cfRule type="cellIs" dxfId="809" priority="827" operator="equal">
      <formula>"PMS"</formula>
    </cfRule>
    <cfRule type="cellIs" dxfId="808" priority="828" operator="equal">
      <formula>"CMS"</formula>
    </cfRule>
  </conditionalFormatting>
  <conditionalFormatting sqref="AO256:AP272">
    <cfRule type="cellIs" dxfId="807" priority="825" operator="equal">
      <formula>"PMS"</formula>
    </cfRule>
    <cfRule type="cellIs" dxfId="806" priority="826" operator="equal">
      <formula>"CMS"</formula>
    </cfRule>
  </conditionalFormatting>
  <conditionalFormatting sqref="BH280:BJ303 BL280:BN303 BP280:BP303 BE280:BF303 AQ280:BC303 E280:AN303">
    <cfRule type="cellIs" dxfId="805" priority="823" operator="equal">
      <formula>"PMS"</formula>
    </cfRule>
    <cfRule type="cellIs" dxfId="804" priority="824" operator="equal">
      <formula>"CMS"</formula>
    </cfRule>
  </conditionalFormatting>
  <conditionalFormatting sqref="BQ280:BR303">
    <cfRule type="cellIs" dxfId="803" priority="821" operator="equal">
      <formula>"PMS"</formula>
    </cfRule>
    <cfRule type="cellIs" dxfId="802" priority="822" operator="equal">
      <formula>"CMS"</formula>
    </cfRule>
  </conditionalFormatting>
  <conditionalFormatting sqref="BD303">
    <cfRule type="cellIs" dxfId="801" priority="819" operator="equal">
      <formula>"PMS"</formula>
    </cfRule>
    <cfRule type="cellIs" dxfId="800" priority="820" operator="equal">
      <formula>"CMS"</formula>
    </cfRule>
  </conditionalFormatting>
  <conditionalFormatting sqref="BG281:BG303">
    <cfRule type="cellIs" dxfId="799" priority="817" operator="equal">
      <formula>"PMS"</formula>
    </cfRule>
    <cfRule type="cellIs" dxfId="798" priority="818" operator="equal">
      <formula>"CMS"</formula>
    </cfRule>
  </conditionalFormatting>
  <conditionalFormatting sqref="BK287:BK303">
    <cfRule type="cellIs" dxfId="797" priority="815" operator="equal">
      <formula>"PMS"</formula>
    </cfRule>
    <cfRule type="cellIs" dxfId="796" priority="816" operator="equal">
      <formula>"CMS"</formula>
    </cfRule>
  </conditionalFormatting>
  <conditionalFormatting sqref="BO281:BO303">
    <cfRule type="cellIs" dxfId="795" priority="813" operator="equal">
      <formula>"PMS"</formula>
    </cfRule>
    <cfRule type="cellIs" dxfId="794" priority="814" operator="equal">
      <formula>"CMS"</formula>
    </cfRule>
  </conditionalFormatting>
  <conditionalFormatting sqref="AO280:AP280 AO298:AP303">
    <cfRule type="cellIs" dxfId="793" priority="811" operator="equal">
      <formula>"PMS"</formula>
    </cfRule>
    <cfRule type="cellIs" dxfId="792" priority="812" operator="equal">
      <formula>"CMS"</formula>
    </cfRule>
  </conditionalFormatting>
  <conditionalFormatting sqref="BD280">
    <cfRule type="cellIs" dxfId="791" priority="809" operator="equal">
      <formula>"PMS"</formula>
    </cfRule>
    <cfRule type="cellIs" dxfId="790" priority="810" operator="equal">
      <formula>"CMS"</formula>
    </cfRule>
  </conditionalFormatting>
  <conditionalFormatting sqref="BD281:BD302">
    <cfRule type="cellIs" dxfId="789" priority="807" operator="equal">
      <formula>"PMS"</formula>
    </cfRule>
    <cfRule type="cellIs" dxfId="788" priority="808" operator="equal">
      <formula>"CMS"</formula>
    </cfRule>
  </conditionalFormatting>
  <conditionalFormatting sqref="BG280">
    <cfRule type="cellIs" dxfId="787" priority="805" operator="equal">
      <formula>"PMS"</formula>
    </cfRule>
    <cfRule type="cellIs" dxfId="786" priority="806" operator="equal">
      <formula>"CMS"</formula>
    </cfRule>
  </conditionalFormatting>
  <conditionalFormatting sqref="BO280">
    <cfRule type="cellIs" dxfId="785" priority="803" operator="equal">
      <formula>"PMS"</formula>
    </cfRule>
    <cfRule type="cellIs" dxfId="784" priority="804" operator="equal">
      <formula>"CMS"</formula>
    </cfRule>
  </conditionalFormatting>
  <conditionalFormatting sqref="BK280">
    <cfRule type="cellIs" dxfId="783" priority="801" operator="equal">
      <formula>"PMS"</formula>
    </cfRule>
    <cfRule type="cellIs" dxfId="782" priority="802" operator="equal">
      <formula>"CMS"</formula>
    </cfRule>
  </conditionalFormatting>
  <conditionalFormatting sqref="BK281">
    <cfRule type="cellIs" dxfId="781" priority="799" operator="equal">
      <formula>"PMS"</formula>
    </cfRule>
    <cfRule type="cellIs" dxfId="780" priority="800" operator="equal">
      <formula>"CMS"</formula>
    </cfRule>
  </conditionalFormatting>
  <conditionalFormatting sqref="BK282">
    <cfRule type="cellIs" dxfId="779" priority="797" operator="equal">
      <formula>"PMS"</formula>
    </cfRule>
    <cfRule type="cellIs" dxfId="778" priority="798" operator="equal">
      <formula>"CMS"</formula>
    </cfRule>
  </conditionalFormatting>
  <conditionalFormatting sqref="BK283">
    <cfRule type="cellIs" dxfId="777" priority="795" operator="equal">
      <formula>"PMS"</formula>
    </cfRule>
    <cfRule type="cellIs" dxfId="776" priority="796" operator="equal">
      <formula>"CMS"</formula>
    </cfRule>
  </conditionalFormatting>
  <conditionalFormatting sqref="BK284">
    <cfRule type="cellIs" dxfId="775" priority="793" operator="equal">
      <formula>"PMS"</formula>
    </cfRule>
    <cfRule type="cellIs" dxfId="774" priority="794" operator="equal">
      <formula>"CMS"</formula>
    </cfRule>
  </conditionalFormatting>
  <conditionalFormatting sqref="BK285">
    <cfRule type="cellIs" dxfId="773" priority="791" operator="equal">
      <formula>"PMS"</formula>
    </cfRule>
    <cfRule type="cellIs" dxfId="772" priority="792" operator="equal">
      <formula>"CMS"</formula>
    </cfRule>
  </conditionalFormatting>
  <conditionalFormatting sqref="BK286">
    <cfRule type="cellIs" dxfId="771" priority="789" operator="equal">
      <formula>"PMS"</formula>
    </cfRule>
    <cfRule type="cellIs" dxfId="770" priority="790" operator="equal">
      <formula>"CMS"</formula>
    </cfRule>
  </conditionalFormatting>
  <conditionalFormatting sqref="AO281:AP297">
    <cfRule type="cellIs" dxfId="769" priority="787" operator="equal">
      <formula>"PMS"</formula>
    </cfRule>
    <cfRule type="cellIs" dxfId="768" priority="788" operator="equal">
      <formula>"CMS"</formula>
    </cfRule>
  </conditionalFormatting>
  <conditionalFormatting sqref="BH305:BJ328 BL305:BN328 BP305:BP328 BE305:BF328 AQ305:BC328 E305:AN328">
    <cfRule type="cellIs" dxfId="767" priority="785" operator="equal">
      <formula>"PMS"</formula>
    </cfRule>
    <cfRule type="cellIs" dxfId="766" priority="786" operator="equal">
      <formula>"CMS"</formula>
    </cfRule>
  </conditionalFormatting>
  <conditionalFormatting sqref="BQ305:BR328">
    <cfRule type="cellIs" dxfId="765" priority="783" operator="equal">
      <formula>"PMS"</formula>
    </cfRule>
    <cfRule type="cellIs" dxfId="764" priority="784" operator="equal">
      <formula>"CMS"</formula>
    </cfRule>
  </conditionalFormatting>
  <conditionalFormatting sqref="BD328">
    <cfRule type="cellIs" dxfId="763" priority="781" operator="equal">
      <formula>"PMS"</formula>
    </cfRule>
    <cfRule type="cellIs" dxfId="762" priority="782" operator="equal">
      <formula>"CMS"</formula>
    </cfRule>
  </conditionalFormatting>
  <conditionalFormatting sqref="BG306:BG328">
    <cfRule type="cellIs" dxfId="761" priority="779" operator="equal">
      <formula>"PMS"</formula>
    </cfRule>
    <cfRule type="cellIs" dxfId="760" priority="780" operator="equal">
      <formula>"CMS"</formula>
    </cfRule>
  </conditionalFormatting>
  <conditionalFormatting sqref="BK312:BK328">
    <cfRule type="cellIs" dxfId="759" priority="777" operator="equal">
      <formula>"PMS"</formula>
    </cfRule>
    <cfRule type="cellIs" dxfId="758" priority="778" operator="equal">
      <formula>"CMS"</formula>
    </cfRule>
  </conditionalFormatting>
  <conditionalFormatting sqref="BO306:BO328">
    <cfRule type="cellIs" dxfId="757" priority="775" operator="equal">
      <formula>"PMS"</formula>
    </cfRule>
    <cfRule type="cellIs" dxfId="756" priority="776" operator="equal">
      <formula>"CMS"</formula>
    </cfRule>
  </conditionalFormatting>
  <conditionalFormatting sqref="AO305:AP305 AO323:AP328">
    <cfRule type="cellIs" dxfId="755" priority="773" operator="equal">
      <formula>"PMS"</formula>
    </cfRule>
    <cfRule type="cellIs" dxfId="754" priority="774" operator="equal">
      <formula>"CMS"</formula>
    </cfRule>
  </conditionalFormatting>
  <conditionalFormatting sqref="BD305">
    <cfRule type="cellIs" dxfId="753" priority="771" operator="equal">
      <formula>"PMS"</formula>
    </cfRule>
    <cfRule type="cellIs" dxfId="752" priority="772" operator="equal">
      <formula>"CMS"</formula>
    </cfRule>
  </conditionalFormatting>
  <conditionalFormatting sqref="BD306:BD327">
    <cfRule type="cellIs" dxfId="751" priority="769" operator="equal">
      <formula>"PMS"</formula>
    </cfRule>
    <cfRule type="cellIs" dxfId="750" priority="770" operator="equal">
      <formula>"CMS"</formula>
    </cfRule>
  </conditionalFormatting>
  <conditionalFormatting sqref="BG305">
    <cfRule type="cellIs" dxfId="749" priority="767" operator="equal">
      <formula>"PMS"</formula>
    </cfRule>
    <cfRule type="cellIs" dxfId="748" priority="768" operator="equal">
      <formula>"CMS"</formula>
    </cfRule>
  </conditionalFormatting>
  <conditionalFormatting sqref="BO305">
    <cfRule type="cellIs" dxfId="747" priority="765" operator="equal">
      <formula>"PMS"</formula>
    </cfRule>
    <cfRule type="cellIs" dxfId="746" priority="766" operator="equal">
      <formula>"CMS"</formula>
    </cfRule>
  </conditionalFormatting>
  <conditionalFormatting sqref="BK305">
    <cfRule type="cellIs" dxfId="745" priority="763" operator="equal">
      <formula>"PMS"</formula>
    </cfRule>
    <cfRule type="cellIs" dxfId="744" priority="764" operator="equal">
      <formula>"CMS"</formula>
    </cfRule>
  </conditionalFormatting>
  <conditionalFormatting sqref="BK306">
    <cfRule type="cellIs" dxfId="743" priority="761" operator="equal">
      <formula>"PMS"</formula>
    </cfRule>
    <cfRule type="cellIs" dxfId="742" priority="762" operator="equal">
      <formula>"CMS"</formula>
    </cfRule>
  </conditionalFormatting>
  <conditionalFormatting sqref="BK307">
    <cfRule type="cellIs" dxfId="741" priority="759" operator="equal">
      <formula>"PMS"</formula>
    </cfRule>
    <cfRule type="cellIs" dxfId="740" priority="760" operator="equal">
      <formula>"CMS"</formula>
    </cfRule>
  </conditionalFormatting>
  <conditionalFormatting sqref="BK308">
    <cfRule type="cellIs" dxfId="739" priority="757" operator="equal">
      <formula>"PMS"</formula>
    </cfRule>
    <cfRule type="cellIs" dxfId="738" priority="758" operator="equal">
      <formula>"CMS"</formula>
    </cfRule>
  </conditionalFormatting>
  <conditionalFormatting sqref="BK309">
    <cfRule type="cellIs" dxfId="737" priority="755" operator="equal">
      <formula>"PMS"</formula>
    </cfRule>
    <cfRule type="cellIs" dxfId="736" priority="756" operator="equal">
      <formula>"CMS"</formula>
    </cfRule>
  </conditionalFormatting>
  <conditionalFormatting sqref="BK310">
    <cfRule type="cellIs" dxfId="735" priority="753" operator="equal">
      <formula>"PMS"</formula>
    </cfRule>
    <cfRule type="cellIs" dxfId="734" priority="754" operator="equal">
      <formula>"CMS"</formula>
    </cfRule>
  </conditionalFormatting>
  <conditionalFormatting sqref="BK311">
    <cfRule type="cellIs" dxfId="733" priority="751" operator="equal">
      <formula>"PMS"</formula>
    </cfRule>
    <cfRule type="cellIs" dxfId="732" priority="752" operator="equal">
      <formula>"CMS"</formula>
    </cfRule>
  </conditionalFormatting>
  <conditionalFormatting sqref="AO306:AP322">
    <cfRule type="cellIs" dxfId="731" priority="749" operator="equal">
      <formula>"PMS"</formula>
    </cfRule>
    <cfRule type="cellIs" dxfId="730" priority="750" operator="equal">
      <formula>"CMS"</formula>
    </cfRule>
  </conditionalFormatting>
  <conditionalFormatting sqref="BH330:BJ353 BL330:BN353 BP330:BP353 BE330:BF353 AQ330:BC353 E330:AN353">
    <cfRule type="cellIs" dxfId="729" priority="747" operator="equal">
      <formula>"PMS"</formula>
    </cfRule>
    <cfRule type="cellIs" dxfId="728" priority="748" operator="equal">
      <formula>"CMS"</formula>
    </cfRule>
  </conditionalFormatting>
  <conditionalFormatting sqref="BQ330:BR353">
    <cfRule type="cellIs" dxfId="727" priority="745" operator="equal">
      <formula>"PMS"</formula>
    </cfRule>
    <cfRule type="cellIs" dxfId="726" priority="746" operator="equal">
      <formula>"CMS"</formula>
    </cfRule>
  </conditionalFormatting>
  <conditionalFormatting sqref="BD353">
    <cfRule type="cellIs" dxfId="725" priority="743" operator="equal">
      <formula>"PMS"</formula>
    </cfRule>
    <cfRule type="cellIs" dxfId="724" priority="744" operator="equal">
      <formula>"CMS"</formula>
    </cfRule>
  </conditionalFormatting>
  <conditionalFormatting sqref="BG331:BG353">
    <cfRule type="cellIs" dxfId="723" priority="741" operator="equal">
      <formula>"PMS"</formula>
    </cfRule>
    <cfRule type="cellIs" dxfId="722" priority="742" operator="equal">
      <formula>"CMS"</formula>
    </cfRule>
  </conditionalFormatting>
  <conditionalFormatting sqref="BK337:BK353">
    <cfRule type="cellIs" dxfId="721" priority="739" operator="equal">
      <formula>"PMS"</formula>
    </cfRule>
    <cfRule type="cellIs" dxfId="720" priority="740" operator="equal">
      <formula>"CMS"</formula>
    </cfRule>
  </conditionalFormatting>
  <conditionalFormatting sqref="BO331:BO353">
    <cfRule type="cellIs" dxfId="719" priority="737" operator="equal">
      <formula>"PMS"</formula>
    </cfRule>
    <cfRule type="cellIs" dxfId="718" priority="738" operator="equal">
      <formula>"CMS"</formula>
    </cfRule>
  </conditionalFormatting>
  <conditionalFormatting sqref="AO330:AP330 AO348:AP353">
    <cfRule type="cellIs" dxfId="717" priority="735" operator="equal">
      <formula>"PMS"</formula>
    </cfRule>
    <cfRule type="cellIs" dxfId="716" priority="736" operator="equal">
      <formula>"CMS"</formula>
    </cfRule>
  </conditionalFormatting>
  <conditionalFormatting sqref="BD330">
    <cfRule type="cellIs" dxfId="715" priority="733" operator="equal">
      <formula>"PMS"</formula>
    </cfRule>
    <cfRule type="cellIs" dxfId="714" priority="734" operator="equal">
      <formula>"CMS"</formula>
    </cfRule>
  </conditionalFormatting>
  <conditionalFormatting sqref="BD331:BD352">
    <cfRule type="cellIs" dxfId="713" priority="731" operator="equal">
      <formula>"PMS"</formula>
    </cfRule>
    <cfRule type="cellIs" dxfId="712" priority="732" operator="equal">
      <formula>"CMS"</formula>
    </cfRule>
  </conditionalFormatting>
  <conditionalFormatting sqref="BG330">
    <cfRule type="cellIs" dxfId="711" priority="729" operator="equal">
      <formula>"PMS"</formula>
    </cfRule>
    <cfRule type="cellIs" dxfId="710" priority="730" operator="equal">
      <formula>"CMS"</formula>
    </cfRule>
  </conditionalFormatting>
  <conditionalFormatting sqref="BO330">
    <cfRule type="cellIs" dxfId="709" priority="727" operator="equal">
      <formula>"PMS"</formula>
    </cfRule>
    <cfRule type="cellIs" dxfId="708" priority="728" operator="equal">
      <formula>"CMS"</formula>
    </cfRule>
  </conditionalFormatting>
  <conditionalFormatting sqref="BK330">
    <cfRule type="cellIs" dxfId="707" priority="725" operator="equal">
      <formula>"PMS"</formula>
    </cfRule>
    <cfRule type="cellIs" dxfId="706" priority="726" operator="equal">
      <formula>"CMS"</formula>
    </cfRule>
  </conditionalFormatting>
  <conditionalFormatting sqref="BK331">
    <cfRule type="cellIs" dxfId="705" priority="723" operator="equal">
      <formula>"PMS"</formula>
    </cfRule>
    <cfRule type="cellIs" dxfId="704" priority="724" operator="equal">
      <formula>"CMS"</formula>
    </cfRule>
  </conditionalFormatting>
  <conditionalFormatting sqref="BK332">
    <cfRule type="cellIs" dxfId="703" priority="721" operator="equal">
      <formula>"PMS"</formula>
    </cfRule>
    <cfRule type="cellIs" dxfId="702" priority="722" operator="equal">
      <formula>"CMS"</formula>
    </cfRule>
  </conditionalFormatting>
  <conditionalFormatting sqref="BK333">
    <cfRule type="cellIs" dxfId="701" priority="719" operator="equal">
      <formula>"PMS"</formula>
    </cfRule>
    <cfRule type="cellIs" dxfId="700" priority="720" operator="equal">
      <formula>"CMS"</formula>
    </cfRule>
  </conditionalFormatting>
  <conditionalFormatting sqref="BK334">
    <cfRule type="cellIs" dxfId="699" priority="717" operator="equal">
      <formula>"PMS"</formula>
    </cfRule>
    <cfRule type="cellIs" dxfId="698" priority="718" operator="equal">
      <formula>"CMS"</formula>
    </cfRule>
  </conditionalFormatting>
  <conditionalFormatting sqref="BK335">
    <cfRule type="cellIs" dxfId="697" priority="715" operator="equal">
      <formula>"PMS"</formula>
    </cfRule>
    <cfRule type="cellIs" dxfId="696" priority="716" operator="equal">
      <formula>"CMS"</formula>
    </cfRule>
  </conditionalFormatting>
  <conditionalFormatting sqref="BK336">
    <cfRule type="cellIs" dxfId="695" priority="713" operator="equal">
      <formula>"PMS"</formula>
    </cfRule>
    <cfRule type="cellIs" dxfId="694" priority="714" operator="equal">
      <formula>"CMS"</formula>
    </cfRule>
  </conditionalFormatting>
  <conditionalFormatting sqref="AO331:AP347">
    <cfRule type="cellIs" dxfId="693" priority="711" operator="equal">
      <formula>"PMS"</formula>
    </cfRule>
    <cfRule type="cellIs" dxfId="692" priority="712" operator="equal">
      <formula>"CMS"</formula>
    </cfRule>
  </conditionalFormatting>
  <conditionalFormatting sqref="BL355:BN378 BP355:BP378 BE355:BF378 AQ355:BC378 E355:AN356 E357:K357 N357:AN357 E358:AN358 E359:K360 N359:S360 L360:M360 V359:AN359 T360:V360 E361:V361 W360:AN361 BH355:BJ378 E362:AN378">
    <cfRule type="cellIs" dxfId="691" priority="709" operator="equal">
      <formula>"PMS"</formula>
    </cfRule>
    <cfRule type="cellIs" dxfId="690" priority="710" operator="equal">
      <formula>"CMS"</formula>
    </cfRule>
  </conditionalFormatting>
  <conditionalFormatting sqref="BQ355:BR378">
    <cfRule type="cellIs" dxfId="689" priority="707" operator="equal">
      <formula>"PMS"</formula>
    </cfRule>
    <cfRule type="cellIs" dxfId="688" priority="708" operator="equal">
      <formula>"CMS"</formula>
    </cfRule>
  </conditionalFormatting>
  <conditionalFormatting sqref="BD378">
    <cfRule type="cellIs" dxfId="687" priority="705" operator="equal">
      <formula>"PMS"</formula>
    </cfRule>
    <cfRule type="cellIs" dxfId="686" priority="706" operator="equal">
      <formula>"CMS"</formula>
    </cfRule>
  </conditionalFormatting>
  <conditionalFormatting sqref="BG356:BG378">
    <cfRule type="cellIs" dxfId="685" priority="703" operator="equal">
      <formula>"PMS"</formula>
    </cfRule>
    <cfRule type="cellIs" dxfId="684" priority="704" operator="equal">
      <formula>"CMS"</formula>
    </cfRule>
  </conditionalFormatting>
  <conditionalFormatting sqref="BK362:BK378">
    <cfRule type="cellIs" dxfId="683" priority="701" operator="equal">
      <formula>"PMS"</formula>
    </cfRule>
    <cfRule type="cellIs" dxfId="682" priority="702" operator="equal">
      <formula>"CMS"</formula>
    </cfRule>
  </conditionalFormatting>
  <conditionalFormatting sqref="BO356:BO378">
    <cfRule type="cellIs" dxfId="681" priority="699" operator="equal">
      <formula>"PMS"</formula>
    </cfRule>
    <cfRule type="cellIs" dxfId="680" priority="700" operator="equal">
      <formula>"CMS"</formula>
    </cfRule>
  </conditionalFormatting>
  <conditionalFormatting sqref="AO355:AP355 AO373:AP378">
    <cfRule type="cellIs" dxfId="679" priority="697" operator="equal">
      <formula>"PMS"</formula>
    </cfRule>
    <cfRule type="cellIs" dxfId="678" priority="698" operator="equal">
      <formula>"CMS"</formula>
    </cfRule>
  </conditionalFormatting>
  <conditionalFormatting sqref="BD355">
    <cfRule type="cellIs" dxfId="677" priority="695" operator="equal">
      <formula>"PMS"</formula>
    </cfRule>
    <cfRule type="cellIs" dxfId="676" priority="696" operator="equal">
      <formula>"CMS"</formula>
    </cfRule>
  </conditionalFormatting>
  <conditionalFormatting sqref="BD356:BD377">
    <cfRule type="cellIs" dxfId="675" priority="693" operator="equal">
      <formula>"PMS"</formula>
    </cfRule>
    <cfRule type="cellIs" dxfId="674" priority="694" operator="equal">
      <formula>"CMS"</formula>
    </cfRule>
  </conditionalFormatting>
  <conditionalFormatting sqref="BG355">
    <cfRule type="cellIs" dxfId="673" priority="691" operator="equal">
      <formula>"PMS"</formula>
    </cfRule>
    <cfRule type="cellIs" dxfId="672" priority="692" operator="equal">
      <formula>"CMS"</formula>
    </cfRule>
  </conditionalFormatting>
  <conditionalFormatting sqref="BO355">
    <cfRule type="cellIs" dxfId="671" priority="689" operator="equal">
      <formula>"PMS"</formula>
    </cfRule>
    <cfRule type="cellIs" dxfId="670" priority="690" operator="equal">
      <formula>"CMS"</formula>
    </cfRule>
  </conditionalFormatting>
  <conditionalFormatting sqref="BK355">
    <cfRule type="cellIs" dxfId="669" priority="687" operator="equal">
      <formula>"PMS"</formula>
    </cfRule>
    <cfRule type="cellIs" dxfId="668" priority="688" operator="equal">
      <formula>"CMS"</formula>
    </cfRule>
  </conditionalFormatting>
  <conditionalFormatting sqref="BK356">
    <cfRule type="cellIs" dxfId="667" priority="685" operator="equal">
      <formula>"PMS"</formula>
    </cfRule>
    <cfRule type="cellIs" dxfId="666" priority="686" operator="equal">
      <formula>"CMS"</formula>
    </cfRule>
  </conditionalFormatting>
  <conditionalFormatting sqref="BK357">
    <cfRule type="cellIs" dxfId="665" priority="683" operator="equal">
      <formula>"PMS"</formula>
    </cfRule>
    <cfRule type="cellIs" dxfId="664" priority="684" operator="equal">
      <formula>"CMS"</formula>
    </cfRule>
  </conditionalFormatting>
  <conditionalFormatting sqref="BK358">
    <cfRule type="cellIs" dxfId="663" priority="681" operator="equal">
      <formula>"PMS"</formula>
    </cfRule>
    <cfRule type="cellIs" dxfId="662" priority="682" operator="equal">
      <formula>"CMS"</formula>
    </cfRule>
  </conditionalFormatting>
  <conditionalFormatting sqref="BK359">
    <cfRule type="cellIs" dxfId="661" priority="679" operator="equal">
      <formula>"PMS"</formula>
    </cfRule>
    <cfRule type="cellIs" dxfId="660" priority="680" operator="equal">
      <formula>"CMS"</formula>
    </cfRule>
  </conditionalFormatting>
  <conditionalFormatting sqref="BK360">
    <cfRule type="cellIs" dxfId="659" priority="677" operator="equal">
      <formula>"PMS"</formula>
    </cfRule>
    <cfRule type="cellIs" dxfId="658" priority="678" operator="equal">
      <formula>"CMS"</formula>
    </cfRule>
  </conditionalFormatting>
  <conditionalFormatting sqref="BK361">
    <cfRule type="cellIs" dxfId="657" priority="675" operator="equal">
      <formula>"PMS"</formula>
    </cfRule>
    <cfRule type="cellIs" dxfId="656" priority="676" operator="equal">
      <formula>"CMS"</formula>
    </cfRule>
  </conditionalFormatting>
  <conditionalFormatting sqref="AO356:AP372">
    <cfRule type="cellIs" dxfId="655" priority="673" operator="equal">
      <formula>"PMS"</formula>
    </cfRule>
    <cfRule type="cellIs" dxfId="654" priority="674" operator="equal">
      <formula>"CMS"</formula>
    </cfRule>
  </conditionalFormatting>
  <conditionalFormatting sqref="L357:M357">
    <cfRule type="cellIs" dxfId="653" priority="671" operator="equal">
      <formula>"PMS"</formula>
    </cfRule>
    <cfRule type="cellIs" dxfId="652" priority="672" operator="equal">
      <formula>"CMS"</formula>
    </cfRule>
  </conditionalFormatting>
  <conditionalFormatting sqref="L359:M359">
    <cfRule type="cellIs" dxfId="651" priority="669" operator="equal">
      <formula>"PMS"</formula>
    </cfRule>
    <cfRule type="cellIs" dxfId="650" priority="670" operator="equal">
      <formula>"CMS"</formula>
    </cfRule>
  </conditionalFormatting>
  <conditionalFormatting sqref="T359:U359">
    <cfRule type="cellIs" dxfId="649" priority="667" operator="equal">
      <formula>"PMS"</formula>
    </cfRule>
    <cfRule type="cellIs" dxfId="648" priority="668" operator="equal">
      <formula>"CMS"</formula>
    </cfRule>
  </conditionalFormatting>
  <conditionalFormatting sqref="BL380:BN403 BE380:BF403 AQ380:BC403 E382:K382 N382:AN382 E383:AN383 E384:K385 N384:S385 L385:M385 V384:AN384 T385:V385 E386:V386 W385:AN386 BH380:BJ403 E380:AN381 E387:AN403">
    <cfRule type="cellIs" dxfId="647" priority="665" operator="equal">
      <formula>"PMS"</formula>
    </cfRule>
    <cfRule type="cellIs" dxfId="646" priority="666" operator="equal">
      <formula>"CMS"</formula>
    </cfRule>
  </conditionalFormatting>
  <conditionalFormatting sqref="BD403">
    <cfRule type="cellIs" dxfId="645" priority="663" operator="equal">
      <formula>"PMS"</formula>
    </cfRule>
    <cfRule type="cellIs" dxfId="644" priority="664" operator="equal">
      <formula>"CMS"</formula>
    </cfRule>
  </conditionalFormatting>
  <conditionalFormatting sqref="BG381:BG403">
    <cfRule type="cellIs" dxfId="643" priority="661" operator="equal">
      <formula>"PMS"</formula>
    </cfRule>
    <cfRule type="cellIs" dxfId="642" priority="662" operator="equal">
      <formula>"CMS"</formula>
    </cfRule>
  </conditionalFormatting>
  <conditionalFormatting sqref="BK387:BK403">
    <cfRule type="cellIs" dxfId="641" priority="659" operator="equal">
      <formula>"PMS"</formula>
    </cfRule>
    <cfRule type="cellIs" dxfId="640" priority="660" operator="equal">
      <formula>"CMS"</formula>
    </cfRule>
  </conditionalFormatting>
  <conditionalFormatting sqref="AO380:AP380 AO398:AP403">
    <cfRule type="cellIs" dxfId="639" priority="657" operator="equal">
      <formula>"PMS"</formula>
    </cfRule>
    <cfRule type="cellIs" dxfId="638" priority="658" operator="equal">
      <formula>"CMS"</formula>
    </cfRule>
  </conditionalFormatting>
  <conditionalFormatting sqref="BD380">
    <cfRule type="cellIs" dxfId="637" priority="655" operator="equal">
      <formula>"PMS"</formula>
    </cfRule>
    <cfRule type="cellIs" dxfId="636" priority="656" operator="equal">
      <formula>"CMS"</formula>
    </cfRule>
  </conditionalFormatting>
  <conditionalFormatting sqref="BD381:BD402">
    <cfRule type="cellIs" dxfId="635" priority="653" operator="equal">
      <formula>"PMS"</formula>
    </cfRule>
    <cfRule type="cellIs" dxfId="634" priority="654" operator="equal">
      <formula>"CMS"</formula>
    </cfRule>
  </conditionalFormatting>
  <conditionalFormatting sqref="BG380">
    <cfRule type="cellIs" dxfId="633" priority="651" operator="equal">
      <formula>"PMS"</formula>
    </cfRule>
    <cfRule type="cellIs" dxfId="632" priority="652" operator="equal">
      <formula>"CMS"</formula>
    </cfRule>
  </conditionalFormatting>
  <conditionalFormatting sqref="BK380">
    <cfRule type="cellIs" dxfId="631" priority="649" operator="equal">
      <formula>"PMS"</formula>
    </cfRule>
    <cfRule type="cellIs" dxfId="630" priority="650" operator="equal">
      <formula>"CMS"</formula>
    </cfRule>
  </conditionalFormatting>
  <conditionalFormatting sqref="BK381">
    <cfRule type="cellIs" dxfId="629" priority="647" operator="equal">
      <formula>"PMS"</formula>
    </cfRule>
    <cfRule type="cellIs" dxfId="628" priority="648" operator="equal">
      <formula>"CMS"</formula>
    </cfRule>
  </conditionalFormatting>
  <conditionalFormatting sqref="BK382">
    <cfRule type="cellIs" dxfId="627" priority="645" operator="equal">
      <formula>"PMS"</formula>
    </cfRule>
    <cfRule type="cellIs" dxfId="626" priority="646" operator="equal">
      <formula>"CMS"</formula>
    </cfRule>
  </conditionalFormatting>
  <conditionalFormatting sqref="BK383">
    <cfRule type="cellIs" dxfId="625" priority="643" operator="equal">
      <formula>"PMS"</formula>
    </cfRule>
    <cfRule type="cellIs" dxfId="624" priority="644" operator="equal">
      <formula>"CMS"</formula>
    </cfRule>
  </conditionalFormatting>
  <conditionalFormatting sqref="BK384">
    <cfRule type="cellIs" dxfId="623" priority="641" operator="equal">
      <formula>"PMS"</formula>
    </cfRule>
    <cfRule type="cellIs" dxfId="622" priority="642" operator="equal">
      <formula>"CMS"</formula>
    </cfRule>
  </conditionalFormatting>
  <conditionalFormatting sqref="BK385">
    <cfRule type="cellIs" dxfId="621" priority="639" operator="equal">
      <formula>"PMS"</formula>
    </cfRule>
    <cfRule type="cellIs" dxfId="620" priority="640" operator="equal">
      <formula>"CMS"</formula>
    </cfRule>
  </conditionalFormatting>
  <conditionalFormatting sqref="BK386">
    <cfRule type="cellIs" dxfId="619" priority="637" operator="equal">
      <formula>"PMS"</formula>
    </cfRule>
    <cfRule type="cellIs" dxfId="618" priority="638" operator="equal">
      <formula>"CMS"</formula>
    </cfRule>
  </conditionalFormatting>
  <conditionalFormatting sqref="AO381:AP397">
    <cfRule type="cellIs" dxfId="617" priority="635" operator="equal">
      <formula>"PMS"</formula>
    </cfRule>
    <cfRule type="cellIs" dxfId="616" priority="636" operator="equal">
      <formula>"CMS"</formula>
    </cfRule>
  </conditionalFormatting>
  <conditionalFormatting sqref="L382:M382">
    <cfRule type="cellIs" dxfId="615" priority="633" operator="equal">
      <formula>"PMS"</formula>
    </cfRule>
    <cfRule type="cellIs" dxfId="614" priority="634" operator="equal">
      <formula>"CMS"</formula>
    </cfRule>
  </conditionalFormatting>
  <conditionalFormatting sqref="L384:M384">
    <cfRule type="cellIs" dxfId="613" priority="631" operator="equal">
      <formula>"PMS"</formula>
    </cfRule>
    <cfRule type="cellIs" dxfId="612" priority="632" operator="equal">
      <formula>"CMS"</formula>
    </cfRule>
  </conditionalFormatting>
  <conditionalFormatting sqref="T384:U384">
    <cfRule type="cellIs" dxfId="611" priority="629" operator="equal">
      <formula>"PMS"</formula>
    </cfRule>
    <cfRule type="cellIs" dxfId="610" priority="630" operator="equal">
      <formula>"CMS"</formula>
    </cfRule>
  </conditionalFormatting>
  <conditionalFormatting sqref="BL405:BN428 BE405:BF428 E405:AN406 E407:K407 N407:AN407 E408:AN408 E409:K410 N409:S410 L410:M410 V409:AN409 T410:V410 W410:AN411 BH405:BJ428 E411:Q419 AQ405:BC428 R416:AN419 V411 T412:AH412 R411:S413 V413:AH413 AI412:AN415 R414:AH415 E420:AN428">
    <cfRule type="cellIs" dxfId="609" priority="627" operator="equal">
      <formula>"PMS"</formula>
    </cfRule>
    <cfRule type="cellIs" dxfId="608" priority="628" operator="equal">
      <formula>"CMS"</formula>
    </cfRule>
  </conditionalFormatting>
  <conditionalFormatting sqref="BD428">
    <cfRule type="cellIs" dxfId="607" priority="625" operator="equal">
      <formula>"PMS"</formula>
    </cfRule>
    <cfRule type="cellIs" dxfId="606" priority="626" operator="equal">
      <formula>"CMS"</formula>
    </cfRule>
  </conditionalFormatting>
  <conditionalFormatting sqref="BG406:BG428">
    <cfRule type="cellIs" dxfId="605" priority="623" operator="equal">
      <formula>"PMS"</formula>
    </cfRule>
    <cfRule type="cellIs" dxfId="604" priority="624" operator="equal">
      <formula>"CMS"</formula>
    </cfRule>
  </conditionalFormatting>
  <conditionalFormatting sqref="BK412:BK428">
    <cfRule type="cellIs" dxfId="603" priority="621" operator="equal">
      <formula>"PMS"</formula>
    </cfRule>
    <cfRule type="cellIs" dxfId="602" priority="622" operator="equal">
      <formula>"CMS"</formula>
    </cfRule>
  </conditionalFormatting>
  <conditionalFormatting sqref="AO405:AP405 AO423:AP428">
    <cfRule type="cellIs" dxfId="601" priority="619" operator="equal">
      <formula>"PMS"</formula>
    </cfRule>
    <cfRule type="cellIs" dxfId="600" priority="620" operator="equal">
      <formula>"CMS"</formula>
    </cfRule>
  </conditionalFormatting>
  <conditionalFormatting sqref="BD405">
    <cfRule type="cellIs" dxfId="599" priority="617" operator="equal">
      <formula>"PMS"</formula>
    </cfRule>
    <cfRule type="cellIs" dxfId="598" priority="618" operator="equal">
      <formula>"CMS"</formula>
    </cfRule>
  </conditionalFormatting>
  <conditionalFormatting sqref="BD406:BD427">
    <cfRule type="cellIs" dxfId="597" priority="615" operator="equal">
      <formula>"PMS"</formula>
    </cfRule>
    <cfRule type="cellIs" dxfId="596" priority="616" operator="equal">
      <formula>"CMS"</formula>
    </cfRule>
  </conditionalFormatting>
  <conditionalFormatting sqref="BG405">
    <cfRule type="cellIs" dxfId="595" priority="613" operator="equal">
      <formula>"PMS"</formula>
    </cfRule>
    <cfRule type="cellIs" dxfId="594" priority="614" operator="equal">
      <formula>"CMS"</formula>
    </cfRule>
  </conditionalFormatting>
  <conditionalFormatting sqref="BK405">
    <cfRule type="cellIs" dxfId="593" priority="611" operator="equal">
      <formula>"PMS"</formula>
    </cfRule>
    <cfRule type="cellIs" dxfId="592" priority="612" operator="equal">
      <formula>"CMS"</formula>
    </cfRule>
  </conditionalFormatting>
  <conditionalFormatting sqref="BK406">
    <cfRule type="cellIs" dxfId="591" priority="609" operator="equal">
      <formula>"PMS"</formula>
    </cfRule>
    <cfRule type="cellIs" dxfId="590" priority="610" operator="equal">
      <formula>"CMS"</formula>
    </cfRule>
  </conditionalFormatting>
  <conditionalFormatting sqref="BK407">
    <cfRule type="cellIs" dxfId="589" priority="607" operator="equal">
      <formula>"PMS"</formula>
    </cfRule>
    <cfRule type="cellIs" dxfId="588" priority="608" operator="equal">
      <formula>"CMS"</formula>
    </cfRule>
  </conditionalFormatting>
  <conditionalFormatting sqref="BK408">
    <cfRule type="cellIs" dxfId="587" priority="605" operator="equal">
      <formula>"PMS"</formula>
    </cfRule>
    <cfRule type="cellIs" dxfId="586" priority="606" operator="equal">
      <formula>"CMS"</formula>
    </cfRule>
  </conditionalFormatting>
  <conditionalFormatting sqref="BK409">
    <cfRule type="cellIs" dxfId="585" priority="603" operator="equal">
      <formula>"PMS"</formula>
    </cfRule>
    <cfRule type="cellIs" dxfId="584" priority="604" operator="equal">
      <formula>"CMS"</formula>
    </cfRule>
  </conditionalFormatting>
  <conditionalFormatting sqref="BK410">
    <cfRule type="cellIs" dxfId="583" priority="601" operator="equal">
      <formula>"PMS"</formula>
    </cfRule>
    <cfRule type="cellIs" dxfId="582" priority="602" operator="equal">
      <formula>"CMS"</formula>
    </cfRule>
  </conditionalFormatting>
  <conditionalFormatting sqref="BK411">
    <cfRule type="cellIs" dxfId="581" priority="599" operator="equal">
      <formula>"PMS"</formula>
    </cfRule>
    <cfRule type="cellIs" dxfId="580" priority="600" operator="equal">
      <formula>"CMS"</formula>
    </cfRule>
  </conditionalFormatting>
  <conditionalFormatting sqref="AO406:AP422">
    <cfRule type="cellIs" dxfId="579" priority="597" operator="equal">
      <formula>"PMS"</formula>
    </cfRule>
    <cfRule type="cellIs" dxfId="578" priority="598" operator="equal">
      <formula>"CMS"</formula>
    </cfRule>
  </conditionalFormatting>
  <conditionalFormatting sqref="L407:M407">
    <cfRule type="cellIs" dxfId="577" priority="595" operator="equal">
      <formula>"PMS"</formula>
    </cfRule>
    <cfRule type="cellIs" dxfId="576" priority="596" operator="equal">
      <formula>"CMS"</formula>
    </cfRule>
  </conditionalFormatting>
  <conditionalFormatting sqref="L409:M409">
    <cfRule type="cellIs" dxfId="575" priority="593" operator="equal">
      <formula>"PMS"</formula>
    </cfRule>
    <cfRule type="cellIs" dxfId="574" priority="594" operator="equal">
      <formula>"CMS"</formula>
    </cfRule>
  </conditionalFormatting>
  <conditionalFormatting sqref="T409:U409 T411:U411 T413:U413">
    <cfRule type="cellIs" dxfId="573" priority="591" operator="equal">
      <formula>"PMS"</formula>
    </cfRule>
    <cfRule type="cellIs" dxfId="572" priority="592" operator="equal">
      <formula>"CMS"</formula>
    </cfRule>
  </conditionalFormatting>
  <conditionalFormatting sqref="BL430:BN453 BE430:BF453 E430:AN431 E432:K432 N432:AN432 E433:AN433 E434:K435 N434:S435 L435:M435 V434:AN434 T435:V435 E436:V436 W435:AN436 BH430:BJ453 AQ430:BC437 AQ439:BC447 AQ438 AT438:BC438 E437:AN453 AQ450:BC453 AQ448:AQ449 AT448:BC449">
    <cfRule type="cellIs" dxfId="571" priority="589" operator="equal">
      <formula>"PMS"</formula>
    </cfRule>
    <cfRule type="cellIs" dxfId="570" priority="590" operator="equal">
      <formula>"CMS"</formula>
    </cfRule>
  </conditionalFormatting>
  <conditionalFormatting sqref="BD453">
    <cfRule type="cellIs" dxfId="569" priority="587" operator="equal">
      <formula>"PMS"</formula>
    </cfRule>
    <cfRule type="cellIs" dxfId="568" priority="588" operator="equal">
      <formula>"CMS"</formula>
    </cfRule>
  </conditionalFormatting>
  <conditionalFormatting sqref="BG431:BG453">
    <cfRule type="cellIs" dxfId="567" priority="585" operator="equal">
      <formula>"PMS"</formula>
    </cfRule>
    <cfRule type="cellIs" dxfId="566" priority="586" operator="equal">
      <formula>"CMS"</formula>
    </cfRule>
  </conditionalFormatting>
  <conditionalFormatting sqref="BK437:BK453">
    <cfRule type="cellIs" dxfId="565" priority="583" operator="equal">
      <formula>"PMS"</formula>
    </cfRule>
    <cfRule type="cellIs" dxfId="564" priority="584" operator="equal">
      <formula>"CMS"</formula>
    </cfRule>
  </conditionalFormatting>
  <conditionalFormatting sqref="AO430:AP430 AO448:AP453">
    <cfRule type="cellIs" dxfId="563" priority="581" operator="equal">
      <formula>"PMS"</formula>
    </cfRule>
    <cfRule type="cellIs" dxfId="562" priority="582" operator="equal">
      <formula>"CMS"</formula>
    </cfRule>
  </conditionalFormatting>
  <conditionalFormatting sqref="BD430">
    <cfRule type="cellIs" dxfId="561" priority="579" operator="equal">
      <formula>"PMS"</formula>
    </cfRule>
    <cfRule type="cellIs" dxfId="560" priority="580" operator="equal">
      <formula>"CMS"</formula>
    </cfRule>
  </conditionalFormatting>
  <conditionalFormatting sqref="BD431:BD452">
    <cfRule type="cellIs" dxfId="559" priority="577" operator="equal">
      <formula>"PMS"</formula>
    </cfRule>
    <cfRule type="cellIs" dxfId="558" priority="578" operator="equal">
      <formula>"CMS"</formula>
    </cfRule>
  </conditionalFormatting>
  <conditionalFormatting sqref="BG430">
    <cfRule type="cellIs" dxfId="557" priority="575" operator="equal">
      <formula>"PMS"</formula>
    </cfRule>
    <cfRule type="cellIs" dxfId="556" priority="576" operator="equal">
      <formula>"CMS"</formula>
    </cfRule>
  </conditionalFormatting>
  <conditionalFormatting sqref="BK430">
    <cfRule type="cellIs" dxfId="555" priority="573" operator="equal">
      <formula>"PMS"</formula>
    </cfRule>
    <cfRule type="cellIs" dxfId="554" priority="574" operator="equal">
      <formula>"CMS"</formula>
    </cfRule>
  </conditionalFormatting>
  <conditionalFormatting sqref="BK431">
    <cfRule type="cellIs" dxfId="553" priority="571" operator="equal">
      <formula>"PMS"</formula>
    </cfRule>
    <cfRule type="cellIs" dxfId="552" priority="572" operator="equal">
      <formula>"CMS"</formula>
    </cfRule>
  </conditionalFormatting>
  <conditionalFormatting sqref="BK432">
    <cfRule type="cellIs" dxfId="551" priority="569" operator="equal">
      <formula>"PMS"</formula>
    </cfRule>
    <cfRule type="cellIs" dxfId="550" priority="570" operator="equal">
      <formula>"CMS"</formula>
    </cfRule>
  </conditionalFormatting>
  <conditionalFormatting sqref="BK433">
    <cfRule type="cellIs" dxfId="549" priority="567" operator="equal">
      <formula>"PMS"</formula>
    </cfRule>
    <cfRule type="cellIs" dxfId="548" priority="568" operator="equal">
      <formula>"CMS"</formula>
    </cfRule>
  </conditionalFormatting>
  <conditionalFormatting sqref="BK434">
    <cfRule type="cellIs" dxfId="547" priority="565" operator="equal">
      <formula>"PMS"</formula>
    </cfRule>
    <cfRule type="cellIs" dxfId="546" priority="566" operator="equal">
      <formula>"CMS"</formula>
    </cfRule>
  </conditionalFormatting>
  <conditionalFormatting sqref="BK435">
    <cfRule type="cellIs" dxfId="545" priority="563" operator="equal">
      <formula>"PMS"</formula>
    </cfRule>
    <cfRule type="cellIs" dxfId="544" priority="564" operator="equal">
      <formula>"CMS"</formula>
    </cfRule>
  </conditionalFormatting>
  <conditionalFormatting sqref="BK436">
    <cfRule type="cellIs" dxfId="543" priority="561" operator="equal">
      <formula>"PMS"</formula>
    </cfRule>
    <cfRule type="cellIs" dxfId="542" priority="562" operator="equal">
      <formula>"CMS"</formula>
    </cfRule>
  </conditionalFormatting>
  <conditionalFormatting sqref="AO431:AP447">
    <cfRule type="cellIs" dxfId="541" priority="559" operator="equal">
      <formula>"PMS"</formula>
    </cfRule>
    <cfRule type="cellIs" dxfId="540" priority="560" operator="equal">
      <formula>"CMS"</formula>
    </cfRule>
  </conditionalFormatting>
  <conditionalFormatting sqref="L432:M432">
    <cfRule type="cellIs" dxfId="539" priority="557" operator="equal">
      <formula>"PMS"</formula>
    </cfRule>
    <cfRule type="cellIs" dxfId="538" priority="558" operator="equal">
      <formula>"CMS"</formula>
    </cfRule>
  </conditionalFormatting>
  <conditionalFormatting sqref="L434:M434">
    <cfRule type="cellIs" dxfId="537" priority="555" operator="equal">
      <formula>"PMS"</formula>
    </cfRule>
    <cfRule type="cellIs" dxfId="536" priority="556" operator="equal">
      <formula>"CMS"</formula>
    </cfRule>
  </conditionalFormatting>
  <conditionalFormatting sqref="T434:U434">
    <cfRule type="cellIs" dxfId="535" priority="553" operator="equal">
      <formula>"PMS"</formula>
    </cfRule>
    <cfRule type="cellIs" dxfId="534" priority="554" operator="equal">
      <formula>"CMS"</formula>
    </cfRule>
  </conditionalFormatting>
  <conditionalFormatting sqref="BL455:BN478 BE455:BF478 E455:AN456 E457:K457 N457:AN457 E458:AN458 E459:K460 N459:S460 L460:M460 V459:AN459 T460:V460 E461:V461 W460:AN461 BH455:BJ478 AQ455:BC478 E462:AN478">
    <cfRule type="cellIs" dxfId="533" priority="551" operator="equal">
      <formula>"PMS"</formula>
    </cfRule>
    <cfRule type="cellIs" dxfId="532" priority="552" operator="equal">
      <formula>"CMS"</formula>
    </cfRule>
  </conditionalFormatting>
  <conditionalFormatting sqref="BD478">
    <cfRule type="cellIs" dxfId="531" priority="549" operator="equal">
      <formula>"PMS"</formula>
    </cfRule>
    <cfRule type="cellIs" dxfId="530" priority="550" operator="equal">
      <formula>"CMS"</formula>
    </cfRule>
  </conditionalFormatting>
  <conditionalFormatting sqref="BG456:BG478">
    <cfRule type="cellIs" dxfId="529" priority="547" operator="equal">
      <formula>"PMS"</formula>
    </cfRule>
    <cfRule type="cellIs" dxfId="528" priority="548" operator="equal">
      <formula>"CMS"</formula>
    </cfRule>
  </conditionalFormatting>
  <conditionalFormatting sqref="BK462:BK478">
    <cfRule type="cellIs" dxfId="527" priority="545" operator="equal">
      <formula>"PMS"</formula>
    </cfRule>
    <cfRule type="cellIs" dxfId="526" priority="546" operator="equal">
      <formula>"CMS"</formula>
    </cfRule>
  </conditionalFormatting>
  <conditionalFormatting sqref="AO455:AP455 AO473:AP478">
    <cfRule type="cellIs" dxfId="525" priority="543" operator="equal">
      <formula>"PMS"</formula>
    </cfRule>
    <cfRule type="cellIs" dxfId="524" priority="544" operator="equal">
      <formula>"CMS"</formula>
    </cfRule>
  </conditionalFormatting>
  <conditionalFormatting sqref="BD455">
    <cfRule type="cellIs" dxfId="523" priority="541" operator="equal">
      <formula>"PMS"</formula>
    </cfRule>
    <cfRule type="cellIs" dxfId="522" priority="542" operator="equal">
      <formula>"CMS"</formula>
    </cfRule>
  </conditionalFormatting>
  <conditionalFormatting sqref="BD456:BD477">
    <cfRule type="cellIs" dxfId="521" priority="539" operator="equal">
      <formula>"PMS"</formula>
    </cfRule>
    <cfRule type="cellIs" dxfId="520" priority="540" operator="equal">
      <formula>"CMS"</formula>
    </cfRule>
  </conditionalFormatting>
  <conditionalFormatting sqref="BG455">
    <cfRule type="cellIs" dxfId="519" priority="537" operator="equal">
      <formula>"PMS"</formula>
    </cfRule>
    <cfRule type="cellIs" dxfId="518" priority="538" operator="equal">
      <formula>"CMS"</formula>
    </cfRule>
  </conditionalFormatting>
  <conditionalFormatting sqref="BK455">
    <cfRule type="cellIs" dxfId="517" priority="535" operator="equal">
      <formula>"PMS"</formula>
    </cfRule>
    <cfRule type="cellIs" dxfId="516" priority="536" operator="equal">
      <formula>"CMS"</formula>
    </cfRule>
  </conditionalFormatting>
  <conditionalFormatting sqref="BK456">
    <cfRule type="cellIs" dxfId="515" priority="533" operator="equal">
      <formula>"PMS"</formula>
    </cfRule>
    <cfRule type="cellIs" dxfId="514" priority="534" operator="equal">
      <formula>"CMS"</formula>
    </cfRule>
  </conditionalFormatting>
  <conditionalFormatting sqref="BK457">
    <cfRule type="cellIs" dxfId="513" priority="531" operator="equal">
      <formula>"PMS"</formula>
    </cfRule>
    <cfRule type="cellIs" dxfId="512" priority="532" operator="equal">
      <formula>"CMS"</formula>
    </cfRule>
  </conditionalFormatting>
  <conditionalFormatting sqref="BK458">
    <cfRule type="cellIs" dxfId="511" priority="529" operator="equal">
      <formula>"PMS"</formula>
    </cfRule>
    <cfRule type="cellIs" dxfId="510" priority="530" operator="equal">
      <formula>"CMS"</formula>
    </cfRule>
  </conditionalFormatting>
  <conditionalFormatting sqref="BK459">
    <cfRule type="cellIs" dxfId="509" priority="527" operator="equal">
      <formula>"PMS"</formula>
    </cfRule>
    <cfRule type="cellIs" dxfId="508" priority="528" operator="equal">
      <formula>"CMS"</formula>
    </cfRule>
  </conditionalFormatting>
  <conditionalFormatting sqref="BK460">
    <cfRule type="cellIs" dxfId="507" priority="525" operator="equal">
      <formula>"PMS"</formula>
    </cfRule>
    <cfRule type="cellIs" dxfId="506" priority="526" operator="equal">
      <formula>"CMS"</formula>
    </cfRule>
  </conditionalFormatting>
  <conditionalFormatting sqref="BK461">
    <cfRule type="cellIs" dxfId="505" priority="523" operator="equal">
      <formula>"PMS"</formula>
    </cfRule>
    <cfRule type="cellIs" dxfId="504" priority="524" operator="equal">
      <formula>"CMS"</formula>
    </cfRule>
  </conditionalFormatting>
  <conditionalFormatting sqref="AO456:AP472">
    <cfRule type="cellIs" dxfId="503" priority="521" operator="equal">
      <formula>"PMS"</formula>
    </cfRule>
    <cfRule type="cellIs" dxfId="502" priority="522" operator="equal">
      <formula>"CMS"</formula>
    </cfRule>
  </conditionalFormatting>
  <conditionalFormatting sqref="L457:M457">
    <cfRule type="cellIs" dxfId="501" priority="519" operator="equal">
      <formula>"PMS"</formula>
    </cfRule>
    <cfRule type="cellIs" dxfId="500" priority="520" operator="equal">
      <formula>"CMS"</formula>
    </cfRule>
  </conditionalFormatting>
  <conditionalFormatting sqref="L459:M459">
    <cfRule type="cellIs" dxfId="499" priority="517" operator="equal">
      <formula>"PMS"</formula>
    </cfRule>
    <cfRule type="cellIs" dxfId="498" priority="518" operator="equal">
      <formula>"CMS"</formula>
    </cfRule>
  </conditionalFormatting>
  <conditionalFormatting sqref="T459:U459">
    <cfRule type="cellIs" dxfId="497" priority="515" operator="equal">
      <formula>"PMS"</formula>
    </cfRule>
    <cfRule type="cellIs" dxfId="496" priority="516" operator="equal">
      <formula>"CMS"</formula>
    </cfRule>
  </conditionalFormatting>
  <conditionalFormatting sqref="BE480:BF481 AQ480:BC481 E480:AN481 E482:K485 N484:S485 V484 T485:V485 E486:V486 W485:AN486 BH480:BJ503 AQ482:AT484 AX482:BC484 AL482:AN484 AH482:AH484 Z482:AD484 N482:V483 BL480:BN503 BE485:BF503 AQ485:BC503 E487:AN503">
    <cfRule type="cellIs" dxfId="495" priority="513" operator="equal">
      <formula>"PMS"</formula>
    </cfRule>
    <cfRule type="cellIs" dxfId="494" priority="514" operator="equal">
      <formula>"CMS"</formula>
    </cfRule>
  </conditionalFormatting>
  <conditionalFormatting sqref="BD503">
    <cfRule type="cellIs" dxfId="493" priority="511" operator="equal">
      <formula>"PMS"</formula>
    </cfRule>
    <cfRule type="cellIs" dxfId="492" priority="512" operator="equal">
      <formula>"CMS"</formula>
    </cfRule>
  </conditionalFormatting>
  <conditionalFormatting sqref="BG481:BG503">
    <cfRule type="cellIs" dxfId="491" priority="509" operator="equal">
      <formula>"PMS"</formula>
    </cfRule>
    <cfRule type="cellIs" dxfId="490" priority="510" operator="equal">
      <formula>"CMS"</formula>
    </cfRule>
  </conditionalFormatting>
  <conditionalFormatting sqref="BK487:BK503">
    <cfRule type="cellIs" dxfId="489" priority="507" operator="equal">
      <formula>"PMS"</formula>
    </cfRule>
    <cfRule type="cellIs" dxfId="488" priority="508" operator="equal">
      <formula>"CMS"</formula>
    </cfRule>
  </conditionalFormatting>
  <conditionalFormatting sqref="AO480:AP480 AO498:AP503">
    <cfRule type="cellIs" dxfId="487" priority="505" operator="equal">
      <formula>"PMS"</formula>
    </cfRule>
    <cfRule type="cellIs" dxfId="486" priority="506" operator="equal">
      <formula>"CMS"</formula>
    </cfRule>
  </conditionalFormatting>
  <conditionalFormatting sqref="BD480">
    <cfRule type="cellIs" dxfId="485" priority="503" operator="equal">
      <formula>"PMS"</formula>
    </cfRule>
    <cfRule type="cellIs" dxfId="484" priority="504" operator="equal">
      <formula>"CMS"</formula>
    </cfRule>
  </conditionalFormatting>
  <conditionalFormatting sqref="BD481:BD502">
    <cfRule type="cellIs" dxfId="483" priority="501" operator="equal">
      <formula>"PMS"</formula>
    </cfRule>
    <cfRule type="cellIs" dxfId="482" priority="502" operator="equal">
      <formula>"CMS"</formula>
    </cfRule>
  </conditionalFormatting>
  <conditionalFormatting sqref="BG480">
    <cfRule type="cellIs" dxfId="481" priority="499" operator="equal">
      <formula>"PMS"</formula>
    </cfRule>
    <cfRule type="cellIs" dxfId="480" priority="500" operator="equal">
      <formula>"CMS"</formula>
    </cfRule>
  </conditionalFormatting>
  <conditionalFormatting sqref="BK480">
    <cfRule type="cellIs" dxfId="479" priority="497" operator="equal">
      <formula>"PMS"</formula>
    </cfRule>
    <cfRule type="cellIs" dxfId="478" priority="498" operator="equal">
      <formula>"CMS"</formula>
    </cfRule>
  </conditionalFormatting>
  <conditionalFormatting sqref="BK481">
    <cfRule type="cellIs" dxfId="477" priority="495" operator="equal">
      <formula>"PMS"</formula>
    </cfRule>
    <cfRule type="cellIs" dxfId="476" priority="496" operator="equal">
      <formula>"CMS"</formula>
    </cfRule>
  </conditionalFormatting>
  <conditionalFormatting sqref="BK482">
    <cfRule type="cellIs" dxfId="475" priority="493" operator="equal">
      <formula>"PMS"</formula>
    </cfRule>
    <cfRule type="cellIs" dxfId="474" priority="494" operator="equal">
      <formula>"CMS"</formula>
    </cfRule>
  </conditionalFormatting>
  <conditionalFormatting sqref="BK483">
    <cfRule type="cellIs" dxfId="473" priority="491" operator="equal">
      <formula>"PMS"</formula>
    </cfRule>
    <cfRule type="cellIs" dxfId="472" priority="492" operator="equal">
      <formula>"CMS"</formula>
    </cfRule>
  </conditionalFormatting>
  <conditionalFormatting sqref="BK484">
    <cfRule type="cellIs" dxfId="471" priority="489" operator="equal">
      <formula>"PMS"</formula>
    </cfRule>
    <cfRule type="cellIs" dxfId="470" priority="490" operator="equal">
      <formula>"CMS"</formula>
    </cfRule>
  </conditionalFormatting>
  <conditionalFormatting sqref="BK485">
    <cfRule type="cellIs" dxfId="469" priority="487" operator="equal">
      <formula>"PMS"</formula>
    </cfRule>
    <cfRule type="cellIs" dxfId="468" priority="488" operator="equal">
      <formula>"CMS"</formula>
    </cfRule>
  </conditionalFormatting>
  <conditionalFormatting sqref="BK486">
    <cfRule type="cellIs" dxfId="467" priority="485" operator="equal">
      <formula>"PMS"</formula>
    </cfRule>
    <cfRule type="cellIs" dxfId="466" priority="486" operator="equal">
      <formula>"CMS"</formula>
    </cfRule>
  </conditionalFormatting>
  <conditionalFormatting sqref="AO481:AP497">
    <cfRule type="cellIs" dxfId="465" priority="483" operator="equal">
      <formula>"PMS"</formula>
    </cfRule>
    <cfRule type="cellIs" dxfId="464" priority="484" operator="equal">
      <formula>"CMS"</formula>
    </cfRule>
  </conditionalFormatting>
  <conditionalFormatting sqref="T484:U484">
    <cfRule type="cellIs" dxfId="463" priority="477" operator="equal">
      <formula>"PMS"</formula>
    </cfRule>
    <cfRule type="cellIs" dxfId="462" priority="478" operator="equal">
      <formula>"CMS"</formula>
    </cfRule>
  </conditionalFormatting>
  <conditionalFormatting sqref="BL505:BN528 BE505:BF528 E505:AN506 E507:K507 N507:AN507 E508:AN508 N509:S510 L510:M510 V509:AN509 BH505:BJ528 T510:AN510 AQ505:BC510 AQ512:BC528 AQ511 AT511:BC511 L514:M514 E509:K512 L512:AN512 N511:AN511 J513:K515 J516:AN519 E513:I519 N513:AN515 E520:AN528">
    <cfRule type="cellIs" dxfId="461" priority="475" operator="equal">
      <formula>"PMS"</formula>
    </cfRule>
    <cfRule type="cellIs" dxfId="460" priority="476" operator="equal">
      <formula>"CMS"</formula>
    </cfRule>
  </conditionalFormatting>
  <conditionalFormatting sqref="BD528">
    <cfRule type="cellIs" dxfId="459" priority="473" operator="equal">
      <formula>"PMS"</formula>
    </cfRule>
    <cfRule type="cellIs" dxfId="458" priority="474" operator="equal">
      <formula>"CMS"</formula>
    </cfRule>
  </conditionalFormatting>
  <conditionalFormatting sqref="BG506:BG528">
    <cfRule type="cellIs" dxfId="457" priority="471" operator="equal">
      <formula>"PMS"</formula>
    </cfRule>
    <cfRule type="cellIs" dxfId="456" priority="472" operator="equal">
      <formula>"CMS"</formula>
    </cfRule>
  </conditionalFormatting>
  <conditionalFormatting sqref="BK512:BK528">
    <cfRule type="cellIs" dxfId="455" priority="469" operator="equal">
      <formula>"PMS"</formula>
    </cfRule>
    <cfRule type="cellIs" dxfId="454" priority="470" operator="equal">
      <formula>"CMS"</formula>
    </cfRule>
  </conditionalFormatting>
  <conditionalFormatting sqref="AO505:AP505 AO523:AP528">
    <cfRule type="cellIs" dxfId="453" priority="467" operator="equal">
      <formula>"PMS"</formula>
    </cfRule>
    <cfRule type="cellIs" dxfId="452" priority="468" operator="equal">
      <formula>"CMS"</formula>
    </cfRule>
  </conditionalFormatting>
  <conditionalFormatting sqref="BD505">
    <cfRule type="cellIs" dxfId="451" priority="465" operator="equal">
      <formula>"PMS"</formula>
    </cfRule>
    <cfRule type="cellIs" dxfId="450" priority="466" operator="equal">
      <formula>"CMS"</formula>
    </cfRule>
  </conditionalFormatting>
  <conditionalFormatting sqref="BD506:BD527">
    <cfRule type="cellIs" dxfId="449" priority="463" operator="equal">
      <formula>"PMS"</formula>
    </cfRule>
    <cfRule type="cellIs" dxfId="448" priority="464" operator="equal">
      <formula>"CMS"</formula>
    </cfRule>
  </conditionalFormatting>
  <conditionalFormatting sqref="BG505">
    <cfRule type="cellIs" dxfId="447" priority="461" operator="equal">
      <formula>"PMS"</formula>
    </cfRule>
    <cfRule type="cellIs" dxfId="446" priority="462" operator="equal">
      <formula>"CMS"</formula>
    </cfRule>
  </conditionalFormatting>
  <conditionalFormatting sqref="BK505">
    <cfRule type="cellIs" dxfId="445" priority="459" operator="equal">
      <formula>"PMS"</formula>
    </cfRule>
    <cfRule type="cellIs" dxfId="444" priority="460" operator="equal">
      <formula>"CMS"</formula>
    </cfRule>
  </conditionalFormatting>
  <conditionalFormatting sqref="BK506">
    <cfRule type="cellIs" dxfId="443" priority="457" operator="equal">
      <formula>"PMS"</formula>
    </cfRule>
    <cfRule type="cellIs" dxfId="442" priority="458" operator="equal">
      <formula>"CMS"</formula>
    </cfRule>
  </conditionalFormatting>
  <conditionalFormatting sqref="BK507">
    <cfRule type="cellIs" dxfId="441" priority="455" operator="equal">
      <formula>"PMS"</formula>
    </cfRule>
    <cfRule type="cellIs" dxfId="440" priority="456" operator="equal">
      <formula>"CMS"</formula>
    </cfRule>
  </conditionalFormatting>
  <conditionalFormatting sqref="BK508">
    <cfRule type="cellIs" dxfId="439" priority="453" operator="equal">
      <formula>"PMS"</formula>
    </cfRule>
    <cfRule type="cellIs" dxfId="438" priority="454" operator="equal">
      <formula>"CMS"</formula>
    </cfRule>
  </conditionalFormatting>
  <conditionalFormatting sqref="BK509">
    <cfRule type="cellIs" dxfId="437" priority="451" operator="equal">
      <formula>"PMS"</formula>
    </cfRule>
    <cfRule type="cellIs" dxfId="436" priority="452" operator="equal">
      <formula>"CMS"</formula>
    </cfRule>
  </conditionalFormatting>
  <conditionalFormatting sqref="BK510">
    <cfRule type="cellIs" dxfId="435" priority="449" operator="equal">
      <formula>"PMS"</formula>
    </cfRule>
    <cfRule type="cellIs" dxfId="434" priority="450" operator="equal">
      <formula>"CMS"</formula>
    </cfRule>
  </conditionalFormatting>
  <conditionalFormatting sqref="BK511">
    <cfRule type="cellIs" dxfId="433" priority="447" operator="equal">
      <formula>"PMS"</formula>
    </cfRule>
    <cfRule type="cellIs" dxfId="432" priority="448" operator="equal">
      <formula>"CMS"</formula>
    </cfRule>
  </conditionalFormatting>
  <conditionalFormatting sqref="AO506:AP522">
    <cfRule type="cellIs" dxfId="431" priority="445" operator="equal">
      <formula>"PMS"</formula>
    </cfRule>
    <cfRule type="cellIs" dxfId="430" priority="446" operator="equal">
      <formula>"CMS"</formula>
    </cfRule>
  </conditionalFormatting>
  <conditionalFormatting sqref="L507:M507">
    <cfRule type="cellIs" dxfId="429" priority="443" operator="equal">
      <formula>"PMS"</formula>
    </cfRule>
    <cfRule type="cellIs" dxfId="428" priority="444" operator="equal">
      <formula>"CMS"</formula>
    </cfRule>
  </conditionalFormatting>
  <conditionalFormatting sqref="L509:M509 L511:M511 L513:M513 L515:M515">
    <cfRule type="cellIs" dxfId="427" priority="441" operator="equal">
      <formula>"PMS"</formula>
    </cfRule>
    <cfRule type="cellIs" dxfId="426" priority="442" operator="equal">
      <formula>"CMS"</formula>
    </cfRule>
  </conditionalFormatting>
  <conditionalFormatting sqref="T509:U509">
    <cfRule type="cellIs" dxfId="425" priority="439" operator="equal">
      <formula>"PMS"</formula>
    </cfRule>
    <cfRule type="cellIs" dxfId="424" priority="440" operator="equal">
      <formula>"CMS"</formula>
    </cfRule>
  </conditionalFormatting>
  <conditionalFormatting sqref="BL530:BN553 BE530:BF553 AQ530:BC553 E530:AN531 E532:K532 N532:AN532 E533:AN533 E534:K535 N534:S535 L535:M535 V534 T535:V535 BH530:BJ553 W534:AN535 E536:AN553">
    <cfRule type="cellIs" dxfId="423" priority="437" operator="equal">
      <formula>"PMS"</formula>
    </cfRule>
    <cfRule type="cellIs" dxfId="422" priority="438" operator="equal">
      <formula>"CMS"</formula>
    </cfRule>
  </conditionalFormatting>
  <conditionalFormatting sqref="BD553">
    <cfRule type="cellIs" dxfId="421" priority="435" operator="equal">
      <formula>"PMS"</formula>
    </cfRule>
    <cfRule type="cellIs" dxfId="420" priority="436" operator="equal">
      <formula>"CMS"</formula>
    </cfRule>
  </conditionalFormatting>
  <conditionalFormatting sqref="BG531:BG553">
    <cfRule type="cellIs" dxfId="419" priority="433" operator="equal">
      <formula>"PMS"</formula>
    </cfRule>
    <cfRule type="cellIs" dxfId="418" priority="434" operator="equal">
      <formula>"CMS"</formula>
    </cfRule>
  </conditionalFormatting>
  <conditionalFormatting sqref="BK537:BK553">
    <cfRule type="cellIs" dxfId="417" priority="431" operator="equal">
      <formula>"PMS"</formula>
    </cfRule>
    <cfRule type="cellIs" dxfId="416" priority="432" operator="equal">
      <formula>"CMS"</formula>
    </cfRule>
  </conditionalFormatting>
  <conditionalFormatting sqref="AO530:AP530 AO548:AP553">
    <cfRule type="cellIs" dxfId="415" priority="429" operator="equal">
      <formula>"PMS"</formula>
    </cfRule>
    <cfRule type="cellIs" dxfId="414" priority="430" operator="equal">
      <formula>"CMS"</formula>
    </cfRule>
  </conditionalFormatting>
  <conditionalFormatting sqref="BD530">
    <cfRule type="cellIs" dxfId="413" priority="427" operator="equal">
      <formula>"PMS"</formula>
    </cfRule>
    <cfRule type="cellIs" dxfId="412" priority="428" operator="equal">
      <formula>"CMS"</formula>
    </cfRule>
  </conditionalFormatting>
  <conditionalFormatting sqref="BD531:BD552">
    <cfRule type="cellIs" dxfId="411" priority="425" operator="equal">
      <formula>"PMS"</formula>
    </cfRule>
    <cfRule type="cellIs" dxfId="410" priority="426" operator="equal">
      <formula>"CMS"</formula>
    </cfRule>
  </conditionalFormatting>
  <conditionalFormatting sqref="BG530">
    <cfRule type="cellIs" dxfId="409" priority="423" operator="equal">
      <formula>"PMS"</formula>
    </cfRule>
    <cfRule type="cellIs" dxfId="408" priority="424" operator="equal">
      <formula>"CMS"</formula>
    </cfRule>
  </conditionalFormatting>
  <conditionalFormatting sqref="BK530">
    <cfRule type="cellIs" dxfId="407" priority="421" operator="equal">
      <formula>"PMS"</formula>
    </cfRule>
    <cfRule type="cellIs" dxfId="406" priority="422" operator="equal">
      <formula>"CMS"</formula>
    </cfRule>
  </conditionalFormatting>
  <conditionalFormatting sqref="BK531">
    <cfRule type="cellIs" dxfId="405" priority="419" operator="equal">
      <formula>"PMS"</formula>
    </cfRule>
    <cfRule type="cellIs" dxfId="404" priority="420" operator="equal">
      <formula>"CMS"</formula>
    </cfRule>
  </conditionalFormatting>
  <conditionalFormatting sqref="BK532">
    <cfRule type="cellIs" dxfId="403" priority="417" operator="equal">
      <formula>"PMS"</formula>
    </cfRule>
    <cfRule type="cellIs" dxfId="402" priority="418" operator="equal">
      <formula>"CMS"</formula>
    </cfRule>
  </conditionalFormatting>
  <conditionalFormatting sqref="BK533">
    <cfRule type="cellIs" dxfId="401" priority="415" operator="equal">
      <formula>"PMS"</formula>
    </cfRule>
    <cfRule type="cellIs" dxfId="400" priority="416" operator="equal">
      <formula>"CMS"</formula>
    </cfRule>
  </conditionalFormatting>
  <conditionalFormatting sqref="BK534">
    <cfRule type="cellIs" dxfId="399" priority="413" operator="equal">
      <formula>"PMS"</formula>
    </cfRule>
    <cfRule type="cellIs" dxfId="398" priority="414" operator="equal">
      <formula>"CMS"</formula>
    </cfRule>
  </conditionalFormatting>
  <conditionalFormatting sqref="BK535">
    <cfRule type="cellIs" dxfId="397" priority="411" operator="equal">
      <formula>"PMS"</formula>
    </cfRule>
    <cfRule type="cellIs" dxfId="396" priority="412" operator="equal">
      <formula>"CMS"</formula>
    </cfRule>
  </conditionalFormatting>
  <conditionalFormatting sqref="BK536">
    <cfRule type="cellIs" dxfId="395" priority="409" operator="equal">
      <formula>"PMS"</formula>
    </cfRule>
    <cfRule type="cellIs" dxfId="394" priority="410" operator="equal">
      <formula>"CMS"</formula>
    </cfRule>
  </conditionalFormatting>
  <conditionalFormatting sqref="AO531:AP547">
    <cfRule type="cellIs" dxfId="393" priority="407" operator="equal">
      <formula>"PMS"</formula>
    </cfRule>
    <cfRule type="cellIs" dxfId="392" priority="408" operator="equal">
      <formula>"CMS"</formula>
    </cfRule>
  </conditionalFormatting>
  <conditionalFormatting sqref="L532:M532">
    <cfRule type="cellIs" dxfId="391" priority="405" operator="equal">
      <formula>"PMS"</formula>
    </cfRule>
    <cfRule type="cellIs" dxfId="390" priority="406" operator="equal">
      <formula>"CMS"</formula>
    </cfRule>
  </conditionalFormatting>
  <conditionalFormatting sqref="L534:M534">
    <cfRule type="cellIs" dxfId="389" priority="403" operator="equal">
      <formula>"PMS"</formula>
    </cfRule>
    <cfRule type="cellIs" dxfId="388" priority="404" operator="equal">
      <formula>"CMS"</formula>
    </cfRule>
  </conditionalFormatting>
  <conditionalFormatting sqref="T534:U534">
    <cfRule type="cellIs" dxfId="387" priority="401" operator="equal">
      <formula>"PMS"</formula>
    </cfRule>
    <cfRule type="cellIs" dxfId="386" priority="402" operator="equal">
      <formula>"CMS"</formula>
    </cfRule>
  </conditionalFormatting>
  <conditionalFormatting sqref="BL555:BN578 E555:AN556 E557:K557 N557:AN557 E559:K560 L560:M560 E561:V561 W560:AN561 BH555:BJ578 E558:AN558 T559:AN559 N559:S560 T560:V560 AQ555:BC578 BE555:BF578 E562:AN578">
    <cfRule type="cellIs" dxfId="385" priority="399" operator="equal">
      <formula>"PMS"</formula>
    </cfRule>
    <cfRule type="cellIs" dxfId="384" priority="400" operator="equal">
      <formula>"CMS"</formula>
    </cfRule>
  </conditionalFormatting>
  <conditionalFormatting sqref="BD578">
    <cfRule type="cellIs" dxfId="383" priority="397" operator="equal">
      <formula>"PMS"</formula>
    </cfRule>
    <cfRule type="cellIs" dxfId="382" priority="398" operator="equal">
      <formula>"CMS"</formula>
    </cfRule>
  </conditionalFormatting>
  <conditionalFormatting sqref="BG556:BG578">
    <cfRule type="cellIs" dxfId="381" priority="395" operator="equal">
      <formula>"PMS"</formula>
    </cfRule>
    <cfRule type="cellIs" dxfId="380" priority="396" operator="equal">
      <formula>"CMS"</formula>
    </cfRule>
  </conditionalFormatting>
  <conditionalFormatting sqref="BK562:BK578">
    <cfRule type="cellIs" dxfId="379" priority="393" operator="equal">
      <formula>"PMS"</formula>
    </cfRule>
    <cfRule type="cellIs" dxfId="378" priority="394" operator="equal">
      <formula>"CMS"</formula>
    </cfRule>
  </conditionalFormatting>
  <conditionalFormatting sqref="AO555:AP555 AO573:AP578">
    <cfRule type="cellIs" dxfId="377" priority="391" operator="equal">
      <formula>"PMS"</formula>
    </cfRule>
    <cfRule type="cellIs" dxfId="376" priority="392" operator="equal">
      <formula>"CMS"</formula>
    </cfRule>
  </conditionalFormatting>
  <conditionalFormatting sqref="BD555">
    <cfRule type="cellIs" dxfId="375" priority="389" operator="equal">
      <formula>"PMS"</formula>
    </cfRule>
    <cfRule type="cellIs" dxfId="374" priority="390" operator="equal">
      <formula>"CMS"</formula>
    </cfRule>
  </conditionalFormatting>
  <conditionalFormatting sqref="BD556:BD577">
    <cfRule type="cellIs" dxfId="373" priority="387" operator="equal">
      <formula>"PMS"</formula>
    </cfRule>
    <cfRule type="cellIs" dxfId="372" priority="388" operator="equal">
      <formula>"CMS"</formula>
    </cfRule>
  </conditionalFormatting>
  <conditionalFormatting sqref="BG555">
    <cfRule type="cellIs" dxfId="371" priority="385" operator="equal">
      <formula>"PMS"</formula>
    </cfRule>
    <cfRule type="cellIs" dxfId="370" priority="386" operator="equal">
      <formula>"CMS"</formula>
    </cfRule>
  </conditionalFormatting>
  <conditionalFormatting sqref="BK555">
    <cfRule type="cellIs" dxfId="369" priority="383" operator="equal">
      <formula>"PMS"</formula>
    </cfRule>
    <cfRule type="cellIs" dxfId="368" priority="384" operator="equal">
      <formula>"CMS"</formula>
    </cfRule>
  </conditionalFormatting>
  <conditionalFormatting sqref="BK556">
    <cfRule type="cellIs" dxfId="367" priority="381" operator="equal">
      <formula>"PMS"</formula>
    </cfRule>
    <cfRule type="cellIs" dxfId="366" priority="382" operator="equal">
      <formula>"CMS"</formula>
    </cfRule>
  </conditionalFormatting>
  <conditionalFormatting sqref="BK557">
    <cfRule type="cellIs" dxfId="365" priority="379" operator="equal">
      <formula>"PMS"</formula>
    </cfRule>
    <cfRule type="cellIs" dxfId="364" priority="380" operator="equal">
      <formula>"CMS"</formula>
    </cfRule>
  </conditionalFormatting>
  <conditionalFormatting sqref="BK558">
    <cfRule type="cellIs" dxfId="363" priority="377" operator="equal">
      <formula>"PMS"</formula>
    </cfRule>
    <cfRule type="cellIs" dxfId="362" priority="378" operator="equal">
      <formula>"CMS"</formula>
    </cfRule>
  </conditionalFormatting>
  <conditionalFormatting sqref="BK559">
    <cfRule type="cellIs" dxfId="361" priority="375" operator="equal">
      <formula>"PMS"</formula>
    </cfRule>
    <cfRule type="cellIs" dxfId="360" priority="376" operator="equal">
      <formula>"CMS"</formula>
    </cfRule>
  </conditionalFormatting>
  <conditionalFormatting sqref="BK560">
    <cfRule type="cellIs" dxfId="359" priority="373" operator="equal">
      <formula>"PMS"</formula>
    </cfRule>
    <cfRule type="cellIs" dxfId="358" priority="374" operator="equal">
      <formula>"CMS"</formula>
    </cfRule>
  </conditionalFormatting>
  <conditionalFormatting sqref="BK561">
    <cfRule type="cellIs" dxfId="357" priority="371" operator="equal">
      <formula>"PMS"</formula>
    </cfRule>
    <cfRule type="cellIs" dxfId="356" priority="372" operator="equal">
      <formula>"CMS"</formula>
    </cfRule>
  </conditionalFormatting>
  <conditionalFormatting sqref="AO556:AP572">
    <cfRule type="cellIs" dxfId="355" priority="369" operator="equal">
      <formula>"PMS"</formula>
    </cfRule>
    <cfRule type="cellIs" dxfId="354" priority="370" operator="equal">
      <formula>"CMS"</formula>
    </cfRule>
  </conditionalFormatting>
  <conditionalFormatting sqref="L557:M557">
    <cfRule type="cellIs" dxfId="353" priority="367" operator="equal">
      <formula>"PMS"</formula>
    </cfRule>
    <cfRule type="cellIs" dxfId="352" priority="368" operator="equal">
      <formula>"CMS"</formula>
    </cfRule>
  </conditionalFormatting>
  <conditionalFormatting sqref="L559:M559">
    <cfRule type="cellIs" dxfId="351" priority="365" operator="equal">
      <formula>"PMS"</formula>
    </cfRule>
    <cfRule type="cellIs" dxfId="350" priority="366" operator="equal">
      <formula>"CMS"</formula>
    </cfRule>
  </conditionalFormatting>
  <conditionalFormatting sqref="AR438:AS438">
    <cfRule type="cellIs" dxfId="349" priority="361" operator="equal">
      <formula>"PMS"</formula>
    </cfRule>
    <cfRule type="cellIs" dxfId="348" priority="362" operator="equal">
      <formula>"CMS"</formula>
    </cfRule>
  </conditionalFormatting>
  <conditionalFormatting sqref="AR448:AS449">
    <cfRule type="cellIs" dxfId="347" priority="359" operator="equal">
      <formula>"PMS"</formula>
    </cfRule>
    <cfRule type="cellIs" dxfId="346" priority="360" operator="equal">
      <formula>"CMS"</formula>
    </cfRule>
  </conditionalFormatting>
  <conditionalFormatting sqref="BE482:BF484">
    <cfRule type="cellIs" dxfId="345" priority="357" operator="equal">
      <formula>"PMS"</formula>
    </cfRule>
    <cfRule type="cellIs" dxfId="344" priority="358" operator="equal">
      <formula>"CMS"</formula>
    </cfRule>
  </conditionalFormatting>
  <conditionalFormatting sqref="AU482:AW484">
    <cfRule type="cellIs" dxfId="343" priority="355" operator="equal">
      <formula>"PMS"</formula>
    </cfRule>
    <cfRule type="cellIs" dxfId="342" priority="356" operator="equal">
      <formula>"CMS"</formula>
    </cfRule>
  </conditionalFormatting>
  <conditionalFormatting sqref="AI482:AK484">
    <cfRule type="cellIs" dxfId="341" priority="353" operator="equal">
      <formula>"PMS"</formula>
    </cfRule>
    <cfRule type="cellIs" dxfId="340" priority="354" operator="equal">
      <formula>"CMS"</formula>
    </cfRule>
  </conditionalFormatting>
  <conditionalFormatting sqref="AE482:AG484">
    <cfRule type="cellIs" dxfId="339" priority="351" operator="equal">
      <formula>"PMS"</formula>
    </cfRule>
    <cfRule type="cellIs" dxfId="338" priority="352" operator="equal">
      <formula>"CMS"</formula>
    </cfRule>
  </conditionalFormatting>
  <conditionalFormatting sqref="W482:Y484">
    <cfRule type="cellIs" dxfId="337" priority="349" operator="equal">
      <formula>"PMS"</formula>
    </cfRule>
    <cfRule type="cellIs" dxfId="336" priority="350" operator="equal">
      <formula>"CMS"</formula>
    </cfRule>
  </conditionalFormatting>
  <conditionalFormatting sqref="L482:M485">
    <cfRule type="cellIs" dxfId="335" priority="347" operator="equal">
      <formula>"PMS"</formula>
    </cfRule>
    <cfRule type="cellIs" dxfId="334" priority="348" operator="equal">
      <formula>"CMS"</formula>
    </cfRule>
  </conditionalFormatting>
  <conditionalFormatting sqref="AR511:AS511">
    <cfRule type="cellIs" dxfId="333" priority="345" operator="equal">
      <formula>"PMS"</formula>
    </cfRule>
    <cfRule type="cellIs" dxfId="332" priority="346" operator="equal">
      <formula>"CMS"</formula>
    </cfRule>
  </conditionalFormatting>
  <conditionalFormatting sqref="BL580:BN603 E582:K582 N582:O582 E584:K585 E586:V586 W585:AN586 BH580:BJ603 N584:S585 AQ580:BC594 BE580:BF603 E580:AN581 V582:AN583 R582:S582 E583:U583 T584:AN584 L585:M585 T585:V585 AQ599:BC603 AQ595:AQ598 AT595:BC598 E587:AN603">
    <cfRule type="cellIs" dxfId="331" priority="343" operator="equal">
      <formula>"PMS"</formula>
    </cfRule>
    <cfRule type="cellIs" dxfId="330" priority="344" operator="equal">
      <formula>"CMS"</formula>
    </cfRule>
  </conditionalFormatting>
  <conditionalFormatting sqref="BD603">
    <cfRule type="cellIs" dxfId="329" priority="341" operator="equal">
      <formula>"PMS"</formula>
    </cfRule>
    <cfRule type="cellIs" dxfId="328" priority="342" operator="equal">
      <formula>"CMS"</formula>
    </cfRule>
  </conditionalFormatting>
  <conditionalFormatting sqref="BG581:BG603">
    <cfRule type="cellIs" dxfId="327" priority="339" operator="equal">
      <formula>"PMS"</formula>
    </cfRule>
    <cfRule type="cellIs" dxfId="326" priority="340" operator="equal">
      <formula>"CMS"</formula>
    </cfRule>
  </conditionalFormatting>
  <conditionalFormatting sqref="BK587:BK603">
    <cfRule type="cellIs" dxfId="325" priority="337" operator="equal">
      <formula>"PMS"</formula>
    </cfRule>
    <cfRule type="cellIs" dxfId="324" priority="338" operator="equal">
      <formula>"CMS"</formula>
    </cfRule>
  </conditionalFormatting>
  <conditionalFormatting sqref="AO580:AP580 AO598:AP603">
    <cfRule type="cellIs" dxfId="323" priority="335" operator="equal">
      <formula>"PMS"</formula>
    </cfRule>
    <cfRule type="cellIs" dxfId="322" priority="336" operator="equal">
      <formula>"CMS"</formula>
    </cfRule>
  </conditionalFormatting>
  <conditionalFormatting sqref="BD580">
    <cfRule type="cellIs" dxfId="321" priority="333" operator="equal">
      <formula>"PMS"</formula>
    </cfRule>
    <cfRule type="cellIs" dxfId="320" priority="334" operator="equal">
      <formula>"CMS"</formula>
    </cfRule>
  </conditionalFormatting>
  <conditionalFormatting sqref="BD581:BD602">
    <cfRule type="cellIs" dxfId="319" priority="331" operator="equal">
      <formula>"PMS"</formula>
    </cfRule>
    <cfRule type="cellIs" dxfId="318" priority="332" operator="equal">
      <formula>"CMS"</formula>
    </cfRule>
  </conditionalFormatting>
  <conditionalFormatting sqref="BG580">
    <cfRule type="cellIs" dxfId="317" priority="329" operator="equal">
      <formula>"PMS"</formula>
    </cfRule>
    <cfRule type="cellIs" dxfId="316" priority="330" operator="equal">
      <formula>"CMS"</formula>
    </cfRule>
  </conditionalFormatting>
  <conditionalFormatting sqref="BK580">
    <cfRule type="cellIs" dxfId="315" priority="327" operator="equal">
      <formula>"PMS"</formula>
    </cfRule>
    <cfRule type="cellIs" dxfId="314" priority="328" operator="equal">
      <formula>"CMS"</formula>
    </cfRule>
  </conditionalFormatting>
  <conditionalFormatting sqref="BK581">
    <cfRule type="cellIs" dxfId="313" priority="325" operator="equal">
      <formula>"PMS"</formula>
    </cfRule>
    <cfRule type="cellIs" dxfId="312" priority="326" operator="equal">
      <formula>"CMS"</formula>
    </cfRule>
  </conditionalFormatting>
  <conditionalFormatting sqref="BK582">
    <cfRule type="cellIs" dxfId="311" priority="323" operator="equal">
      <formula>"PMS"</formula>
    </cfRule>
    <cfRule type="cellIs" dxfId="310" priority="324" operator="equal">
      <formula>"CMS"</formula>
    </cfRule>
  </conditionalFormatting>
  <conditionalFormatting sqref="BK583">
    <cfRule type="cellIs" dxfId="309" priority="321" operator="equal">
      <formula>"PMS"</formula>
    </cfRule>
    <cfRule type="cellIs" dxfId="308" priority="322" operator="equal">
      <formula>"CMS"</formula>
    </cfRule>
  </conditionalFormatting>
  <conditionalFormatting sqref="BK584">
    <cfRule type="cellIs" dxfId="307" priority="319" operator="equal">
      <formula>"PMS"</formula>
    </cfRule>
    <cfRule type="cellIs" dxfId="306" priority="320" operator="equal">
      <formula>"CMS"</formula>
    </cfRule>
  </conditionalFormatting>
  <conditionalFormatting sqref="BK585">
    <cfRule type="cellIs" dxfId="305" priority="317" operator="equal">
      <formula>"PMS"</formula>
    </cfRule>
    <cfRule type="cellIs" dxfId="304" priority="318" operator="equal">
      <formula>"CMS"</formula>
    </cfRule>
  </conditionalFormatting>
  <conditionalFormatting sqref="BK586">
    <cfRule type="cellIs" dxfId="303" priority="315" operator="equal">
      <formula>"PMS"</formula>
    </cfRule>
    <cfRule type="cellIs" dxfId="302" priority="316" operator="equal">
      <formula>"CMS"</formula>
    </cfRule>
  </conditionalFormatting>
  <conditionalFormatting sqref="AO581:AP597">
    <cfRule type="cellIs" dxfId="301" priority="313" operator="equal">
      <formula>"PMS"</formula>
    </cfRule>
    <cfRule type="cellIs" dxfId="300" priority="314" operator="equal">
      <formula>"CMS"</formula>
    </cfRule>
  </conditionalFormatting>
  <conditionalFormatting sqref="L582:M582">
    <cfRule type="cellIs" dxfId="299" priority="311" operator="equal">
      <formula>"PMS"</formula>
    </cfRule>
    <cfRule type="cellIs" dxfId="298" priority="312" operator="equal">
      <formula>"CMS"</formula>
    </cfRule>
  </conditionalFormatting>
  <conditionalFormatting sqref="T582:U582">
    <cfRule type="cellIs" dxfId="297" priority="307" operator="equal">
      <formula>"PMS"</formula>
    </cfRule>
    <cfRule type="cellIs" dxfId="296" priority="308" operator="equal">
      <formula>"CMS"</formula>
    </cfRule>
  </conditionalFormatting>
  <conditionalFormatting sqref="P582:Q582">
    <cfRule type="cellIs" dxfId="295" priority="305" operator="equal">
      <formula>"PMS"</formula>
    </cfRule>
    <cfRule type="cellIs" dxfId="294" priority="306" operator="equal">
      <formula>"CMS"</formula>
    </cfRule>
  </conditionalFormatting>
  <conditionalFormatting sqref="L584:M584">
    <cfRule type="cellIs" dxfId="293" priority="303" operator="equal">
      <formula>"PMS"</formula>
    </cfRule>
    <cfRule type="cellIs" dxfId="292" priority="304" operator="equal">
      <formula>"CMS"</formula>
    </cfRule>
  </conditionalFormatting>
  <conditionalFormatting sqref="AR595:AS596">
    <cfRule type="cellIs" dxfId="291" priority="301" operator="equal">
      <formula>"PMS"</formula>
    </cfRule>
    <cfRule type="cellIs" dxfId="290" priority="302" operator="equal">
      <formula>"CMS"</formula>
    </cfRule>
  </conditionalFormatting>
  <conditionalFormatting sqref="AR598:AS598">
    <cfRule type="cellIs" dxfId="289" priority="299" operator="equal">
      <formula>"PMS"</formula>
    </cfRule>
    <cfRule type="cellIs" dxfId="288" priority="300" operator="equal">
      <formula>"CMS"</formula>
    </cfRule>
  </conditionalFormatting>
  <conditionalFormatting sqref="AR597:AS597">
    <cfRule type="cellIs" dxfId="287" priority="297" operator="equal">
      <formula>"PMS"</formula>
    </cfRule>
    <cfRule type="cellIs" dxfId="286" priority="298" operator="equal">
      <formula>"CMS"</formula>
    </cfRule>
  </conditionalFormatting>
  <conditionalFormatting sqref="BL605:BN628 E607:K607 N607:O607 E609:K610 E611:V611 W610:Z611 BH605:BJ628 N609:S610 AQ605:BC619 BE605:BF628 E605:Z606 V607:Z608 R607:S607 E608:U608 T609:Z609 L610:M610 T610:V610 AQ624:BC628 AQ620:AQ623 AT620:BC623 E612:Z628 AD605:AN628">
    <cfRule type="cellIs" dxfId="285" priority="295" operator="equal">
      <formula>"PMS"</formula>
    </cfRule>
    <cfRule type="cellIs" dxfId="284" priority="296" operator="equal">
      <formula>"CMS"</formula>
    </cfRule>
  </conditionalFormatting>
  <conditionalFormatting sqref="BD628">
    <cfRule type="cellIs" dxfId="283" priority="293" operator="equal">
      <formula>"PMS"</formula>
    </cfRule>
    <cfRule type="cellIs" dxfId="282" priority="294" operator="equal">
      <formula>"CMS"</formula>
    </cfRule>
  </conditionalFormatting>
  <conditionalFormatting sqref="BG606:BG628">
    <cfRule type="cellIs" dxfId="281" priority="291" operator="equal">
      <formula>"PMS"</formula>
    </cfRule>
    <cfRule type="cellIs" dxfId="280" priority="292" operator="equal">
      <formula>"CMS"</formula>
    </cfRule>
  </conditionalFormatting>
  <conditionalFormatting sqref="BK612:BK628">
    <cfRule type="cellIs" dxfId="279" priority="289" operator="equal">
      <formula>"PMS"</formula>
    </cfRule>
    <cfRule type="cellIs" dxfId="278" priority="290" operator="equal">
      <formula>"CMS"</formula>
    </cfRule>
  </conditionalFormatting>
  <conditionalFormatting sqref="AO605:AP605 AO623:AP628">
    <cfRule type="cellIs" dxfId="277" priority="287" operator="equal">
      <formula>"PMS"</formula>
    </cfRule>
    <cfRule type="cellIs" dxfId="276" priority="288" operator="equal">
      <formula>"CMS"</formula>
    </cfRule>
  </conditionalFormatting>
  <conditionalFormatting sqref="BD605">
    <cfRule type="cellIs" dxfId="275" priority="285" operator="equal">
      <formula>"PMS"</formula>
    </cfRule>
    <cfRule type="cellIs" dxfId="274" priority="286" operator="equal">
      <formula>"CMS"</formula>
    </cfRule>
  </conditionalFormatting>
  <conditionalFormatting sqref="BD606:BD627">
    <cfRule type="cellIs" dxfId="273" priority="283" operator="equal">
      <formula>"PMS"</formula>
    </cfRule>
    <cfRule type="cellIs" dxfId="272" priority="284" operator="equal">
      <formula>"CMS"</formula>
    </cfRule>
  </conditionalFormatting>
  <conditionalFormatting sqref="BG605">
    <cfRule type="cellIs" dxfId="271" priority="281" operator="equal">
      <formula>"PMS"</formula>
    </cfRule>
    <cfRule type="cellIs" dxfId="270" priority="282" operator="equal">
      <formula>"CMS"</formula>
    </cfRule>
  </conditionalFormatting>
  <conditionalFormatting sqref="BK605">
    <cfRule type="cellIs" dxfId="269" priority="279" operator="equal">
      <formula>"PMS"</formula>
    </cfRule>
    <cfRule type="cellIs" dxfId="268" priority="280" operator="equal">
      <formula>"CMS"</formula>
    </cfRule>
  </conditionalFormatting>
  <conditionalFormatting sqref="BK606">
    <cfRule type="cellIs" dxfId="267" priority="277" operator="equal">
      <formula>"PMS"</formula>
    </cfRule>
    <cfRule type="cellIs" dxfId="266" priority="278" operator="equal">
      <formula>"CMS"</formula>
    </cfRule>
  </conditionalFormatting>
  <conditionalFormatting sqref="BK607">
    <cfRule type="cellIs" dxfId="265" priority="275" operator="equal">
      <formula>"PMS"</formula>
    </cfRule>
    <cfRule type="cellIs" dxfId="264" priority="276" operator="equal">
      <formula>"CMS"</formula>
    </cfRule>
  </conditionalFormatting>
  <conditionalFormatting sqref="BK608">
    <cfRule type="cellIs" dxfId="263" priority="273" operator="equal">
      <formula>"PMS"</formula>
    </cfRule>
    <cfRule type="cellIs" dxfId="262" priority="274" operator="equal">
      <formula>"CMS"</formula>
    </cfRule>
  </conditionalFormatting>
  <conditionalFormatting sqref="BK609">
    <cfRule type="cellIs" dxfId="261" priority="271" operator="equal">
      <formula>"PMS"</formula>
    </cfRule>
    <cfRule type="cellIs" dxfId="260" priority="272" operator="equal">
      <formula>"CMS"</formula>
    </cfRule>
  </conditionalFormatting>
  <conditionalFormatting sqref="BK610">
    <cfRule type="cellIs" dxfId="259" priority="269" operator="equal">
      <formula>"PMS"</formula>
    </cfRule>
    <cfRule type="cellIs" dxfId="258" priority="270" operator="equal">
      <formula>"CMS"</formula>
    </cfRule>
  </conditionalFormatting>
  <conditionalFormatting sqref="BK611">
    <cfRule type="cellIs" dxfId="257" priority="267" operator="equal">
      <formula>"PMS"</formula>
    </cfRule>
    <cfRule type="cellIs" dxfId="256" priority="268" operator="equal">
      <formula>"CMS"</formula>
    </cfRule>
  </conditionalFormatting>
  <conditionalFormatting sqref="AO606:AP622">
    <cfRule type="cellIs" dxfId="255" priority="265" operator="equal">
      <formula>"PMS"</formula>
    </cfRule>
    <cfRule type="cellIs" dxfId="254" priority="266" operator="equal">
      <formula>"CMS"</formula>
    </cfRule>
  </conditionalFormatting>
  <conditionalFormatting sqref="L607:M607">
    <cfRule type="cellIs" dxfId="253" priority="263" operator="equal">
      <formula>"PMS"</formula>
    </cfRule>
    <cfRule type="cellIs" dxfId="252" priority="264" operator="equal">
      <formula>"CMS"</formula>
    </cfRule>
  </conditionalFormatting>
  <conditionalFormatting sqref="T607:U607">
    <cfRule type="cellIs" dxfId="251" priority="261" operator="equal">
      <formula>"PMS"</formula>
    </cfRule>
    <cfRule type="cellIs" dxfId="250" priority="262" operator="equal">
      <formula>"CMS"</formula>
    </cfRule>
  </conditionalFormatting>
  <conditionalFormatting sqref="P607:Q607">
    <cfRule type="cellIs" dxfId="249" priority="259" operator="equal">
      <formula>"PMS"</formula>
    </cfRule>
    <cfRule type="cellIs" dxfId="248" priority="260" operator="equal">
      <formula>"CMS"</formula>
    </cfRule>
  </conditionalFormatting>
  <conditionalFormatting sqref="L609:M609">
    <cfRule type="cellIs" dxfId="247" priority="257" operator="equal">
      <formula>"PMS"</formula>
    </cfRule>
    <cfRule type="cellIs" dxfId="246" priority="258" operator="equal">
      <formula>"CMS"</formula>
    </cfRule>
  </conditionalFormatting>
  <conditionalFormatting sqref="AR620:AS621">
    <cfRule type="cellIs" dxfId="245" priority="255" operator="equal">
      <formula>"PMS"</formula>
    </cfRule>
    <cfRule type="cellIs" dxfId="244" priority="256" operator="equal">
      <formula>"CMS"</formula>
    </cfRule>
  </conditionalFormatting>
  <conditionalFormatting sqref="AR623:AS623">
    <cfRule type="cellIs" dxfId="243" priority="253" operator="equal">
      <formula>"PMS"</formula>
    </cfRule>
    <cfRule type="cellIs" dxfId="242" priority="254" operator="equal">
      <formula>"CMS"</formula>
    </cfRule>
  </conditionalFormatting>
  <conditionalFormatting sqref="AR622:AS622">
    <cfRule type="cellIs" dxfId="241" priority="251" operator="equal">
      <formula>"PMS"</formula>
    </cfRule>
    <cfRule type="cellIs" dxfId="240" priority="252" operator="equal">
      <formula>"CMS"</formula>
    </cfRule>
  </conditionalFormatting>
  <conditionalFormatting sqref="AA605:AC628">
    <cfRule type="cellIs" dxfId="239" priority="249" operator="equal">
      <formula>"PMS"</formula>
    </cfRule>
    <cfRule type="cellIs" dxfId="238" priority="250" operator="equal">
      <formula>"CMS"</formula>
    </cfRule>
  </conditionalFormatting>
  <conditionalFormatting sqref="BL630:BN653 E632:K632 N632:O632 E634:K635 E636:V636 W635:Z636 BH630:BJ653 N634:S635 AQ630:BC644 BE630:BF653 E630:Z631 V632:Z633 R632:S632 E633:U633 T634:Z634 L635:M635 T635:V635 AQ653:BC653 AQ645:AQ648 AT645:AT648 AQ649:AT652 AU645:BC652 AD630:AN653 E637:Z653">
    <cfRule type="cellIs" dxfId="237" priority="247" operator="equal">
      <formula>"PMS"</formula>
    </cfRule>
    <cfRule type="cellIs" dxfId="236" priority="248" operator="equal">
      <formula>"CMS"</formula>
    </cfRule>
  </conditionalFormatting>
  <conditionalFormatting sqref="BD653">
    <cfRule type="cellIs" dxfId="235" priority="245" operator="equal">
      <formula>"PMS"</formula>
    </cfRule>
    <cfRule type="cellIs" dxfId="234" priority="246" operator="equal">
      <formula>"CMS"</formula>
    </cfRule>
  </conditionalFormatting>
  <conditionalFormatting sqref="BG631:BG653">
    <cfRule type="cellIs" dxfId="233" priority="243" operator="equal">
      <formula>"PMS"</formula>
    </cfRule>
    <cfRule type="cellIs" dxfId="232" priority="244" operator="equal">
      <formula>"CMS"</formula>
    </cfRule>
  </conditionalFormatting>
  <conditionalFormatting sqref="BK637:BK653">
    <cfRule type="cellIs" dxfId="231" priority="241" operator="equal">
      <formula>"PMS"</formula>
    </cfRule>
    <cfRule type="cellIs" dxfId="230" priority="242" operator="equal">
      <formula>"CMS"</formula>
    </cfRule>
  </conditionalFormatting>
  <conditionalFormatting sqref="AO630:AP630 AO648:AP653">
    <cfRule type="cellIs" dxfId="229" priority="239" operator="equal">
      <formula>"PMS"</formula>
    </cfRule>
    <cfRule type="cellIs" dxfId="228" priority="240" operator="equal">
      <formula>"CMS"</formula>
    </cfRule>
  </conditionalFormatting>
  <conditionalFormatting sqref="BD630">
    <cfRule type="cellIs" dxfId="227" priority="237" operator="equal">
      <formula>"PMS"</formula>
    </cfRule>
    <cfRule type="cellIs" dxfId="226" priority="238" operator="equal">
      <formula>"CMS"</formula>
    </cfRule>
  </conditionalFormatting>
  <conditionalFormatting sqref="BD631:BD652">
    <cfRule type="cellIs" dxfId="225" priority="235" operator="equal">
      <formula>"PMS"</formula>
    </cfRule>
    <cfRule type="cellIs" dxfId="224" priority="236" operator="equal">
      <formula>"CMS"</formula>
    </cfRule>
  </conditionalFormatting>
  <conditionalFormatting sqref="BG630">
    <cfRule type="cellIs" dxfId="223" priority="233" operator="equal">
      <formula>"PMS"</formula>
    </cfRule>
    <cfRule type="cellIs" dxfId="222" priority="234" operator="equal">
      <formula>"CMS"</formula>
    </cfRule>
  </conditionalFormatting>
  <conditionalFormatting sqref="BK630">
    <cfRule type="cellIs" dxfId="221" priority="231" operator="equal">
      <formula>"PMS"</formula>
    </cfRule>
    <cfRule type="cellIs" dxfId="220" priority="232" operator="equal">
      <formula>"CMS"</formula>
    </cfRule>
  </conditionalFormatting>
  <conditionalFormatting sqref="BK631">
    <cfRule type="cellIs" dxfId="219" priority="229" operator="equal">
      <formula>"PMS"</formula>
    </cfRule>
    <cfRule type="cellIs" dxfId="218" priority="230" operator="equal">
      <formula>"CMS"</formula>
    </cfRule>
  </conditionalFormatting>
  <conditionalFormatting sqref="BK632">
    <cfRule type="cellIs" dxfId="217" priority="227" operator="equal">
      <formula>"PMS"</formula>
    </cfRule>
    <cfRule type="cellIs" dxfId="216" priority="228" operator="equal">
      <formula>"CMS"</formula>
    </cfRule>
  </conditionalFormatting>
  <conditionalFormatting sqref="BK633">
    <cfRule type="cellIs" dxfId="215" priority="225" operator="equal">
      <formula>"PMS"</formula>
    </cfRule>
    <cfRule type="cellIs" dxfId="214" priority="226" operator="equal">
      <formula>"CMS"</formula>
    </cfRule>
  </conditionalFormatting>
  <conditionalFormatting sqref="BK634">
    <cfRule type="cellIs" dxfId="213" priority="223" operator="equal">
      <formula>"PMS"</formula>
    </cfRule>
    <cfRule type="cellIs" dxfId="212" priority="224" operator="equal">
      <formula>"CMS"</formula>
    </cfRule>
  </conditionalFormatting>
  <conditionalFormatting sqref="BK635">
    <cfRule type="cellIs" dxfId="211" priority="221" operator="equal">
      <formula>"PMS"</formula>
    </cfRule>
    <cfRule type="cellIs" dxfId="210" priority="222" operator="equal">
      <formula>"CMS"</formula>
    </cfRule>
  </conditionalFormatting>
  <conditionalFormatting sqref="BK636">
    <cfRule type="cellIs" dxfId="209" priority="219" operator="equal">
      <formula>"PMS"</formula>
    </cfRule>
    <cfRule type="cellIs" dxfId="208" priority="220" operator="equal">
      <formula>"CMS"</formula>
    </cfRule>
  </conditionalFormatting>
  <conditionalFormatting sqref="AO631:AP647">
    <cfRule type="cellIs" dxfId="207" priority="217" operator="equal">
      <formula>"PMS"</formula>
    </cfRule>
    <cfRule type="cellIs" dxfId="206" priority="218" operator="equal">
      <formula>"CMS"</formula>
    </cfRule>
  </conditionalFormatting>
  <conditionalFormatting sqref="L632:M632">
    <cfRule type="cellIs" dxfId="205" priority="215" operator="equal">
      <formula>"PMS"</formula>
    </cfRule>
    <cfRule type="cellIs" dxfId="204" priority="216" operator="equal">
      <formula>"CMS"</formula>
    </cfRule>
  </conditionalFormatting>
  <conditionalFormatting sqref="T632:U632">
    <cfRule type="cellIs" dxfId="203" priority="213" operator="equal">
      <formula>"PMS"</formula>
    </cfRule>
    <cfRule type="cellIs" dxfId="202" priority="214" operator="equal">
      <formula>"CMS"</formula>
    </cfRule>
  </conditionalFormatting>
  <conditionalFormatting sqref="P632:Q632">
    <cfRule type="cellIs" dxfId="201" priority="211" operator="equal">
      <formula>"PMS"</formula>
    </cfRule>
    <cfRule type="cellIs" dxfId="200" priority="212" operator="equal">
      <formula>"CMS"</formula>
    </cfRule>
  </conditionalFormatting>
  <conditionalFormatting sqref="L634:M634">
    <cfRule type="cellIs" dxfId="199" priority="209" operator="equal">
      <formula>"PMS"</formula>
    </cfRule>
    <cfRule type="cellIs" dxfId="198" priority="210" operator="equal">
      <formula>"CMS"</formula>
    </cfRule>
  </conditionalFormatting>
  <conditionalFormatting sqref="AA630:AC653">
    <cfRule type="cellIs" dxfId="197" priority="201" operator="equal">
      <formula>"PMS"</formula>
    </cfRule>
    <cfRule type="cellIs" dxfId="196" priority="202" operator="equal">
      <formula>"CMS"</formula>
    </cfRule>
  </conditionalFormatting>
  <conditionalFormatting sqref="AR645:AS646">
    <cfRule type="cellIs" dxfId="195" priority="199" operator="equal">
      <formula>"PMS"</formula>
    </cfRule>
    <cfRule type="cellIs" dxfId="194" priority="200" operator="equal">
      <formula>"CMS"</formula>
    </cfRule>
  </conditionalFormatting>
  <conditionalFormatting sqref="AR648:AS648">
    <cfRule type="cellIs" dxfId="193" priority="197" operator="equal">
      <formula>"PMS"</formula>
    </cfRule>
    <cfRule type="cellIs" dxfId="192" priority="198" operator="equal">
      <formula>"CMS"</formula>
    </cfRule>
  </conditionalFormatting>
  <conditionalFormatting sqref="AR647:AS647">
    <cfRule type="cellIs" dxfId="191" priority="195" operator="equal">
      <formula>"PMS"</formula>
    </cfRule>
    <cfRule type="cellIs" dxfId="190" priority="196" operator="equal">
      <formula>"CMS"</formula>
    </cfRule>
  </conditionalFormatting>
  <conditionalFormatting sqref="BL655:BN678 E657:K657 N657:O657 E659:K660 E661:V661 W660:Z661 BH655:BJ678 N659:S660 AQ655:BC669 BE655:BF678 E655:Z656 V657:Z658 R657:S657 E658:U658 T659:Z659 L660:M660 T660:V660 AQ678:BC678 AQ670:AQ673 AT670:AT673 AQ674:AT677 AU670:BC677 E662:Z678 AD655:AN678">
    <cfRule type="cellIs" dxfId="189" priority="193" operator="equal">
      <formula>"PMS"</formula>
    </cfRule>
    <cfRule type="cellIs" dxfId="188" priority="194" operator="equal">
      <formula>"CMS"</formula>
    </cfRule>
  </conditionalFormatting>
  <conditionalFormatting sqref="BD678">
    <cfRule type="cellIs" dxfId="187" priority="191" operator="equal">
      <formula>"PMS"</formula>
    </cfRule>
    <cfRule type="cellIs" dxfId="186" priority="192" operator="equal">
      <formula>"CMS"</formula>
    </cfRule>
  </conditionalFormatting>
  <conditionalFormatting sqref="BG656:BG678">
    <cfRule type="cellIs" dxfId="185" priority="189" operator="equal">
      <formula>"PMS"</formula>
    </cfRule>
    <cfRule type="cellIs" dxfId="184" priority="190" operator="equal">
      <formula>"CMS"</formula>
    </cfRule>
  </conditionalFormatting>
  <conditionalFormatting sqref="BK662:BK678">
    <cfRule type="cellIs" dxfId="183" priority="187" operator="equal">
      <formula>"PMS"</formula>
    </cfRule>
    <cfRule type="cellIs" dxfId="182" priority="188" operator="equal">
      <formula>"CMS"</formula>
    </cfRule>
  </conditionalFormatting>
  <conditionalFormatting sqref="AO655:AP655 AO673:AP678">
    <cfRule type="cellIs" dxfId="181" priority="185" operator="equal">
      <formula>"PMS"</formula>
    </cfRule>
    <cfRule type="cellIs" dxfId="180" priority="186" operator="equal">
      <formula>"CMS"</formula>
    </cfRule>
  </conditionalFormatting>
  <conditionalFormatting sqref="BD655">
    <cfRule type="cellIs" dxfId="179" priority="183" operator="equal">
      <formula>"PMS"</formula>
    </cfRule>
    <cfRule type="cellIs" dxfId="178" priority="184" operator="equal">
      <formula>"CMS"</formula>
    </cfRule>
  </conditionalFormatting>
  <conditionalFormatting sqref="BD656:BD677">
    <cfRule type="cellIs" dxfId="177" priority="181" operator="equal">
      <formula>"PMS"</formula>
    </cfRule>
    <cfRule type="cellIs" dxfId="176" priority="182" operator="equal">
      <formula>"CMS"</formula>
    </cfRule>
  </conditionalFormatting>
  <conditionalFormatting sqref="BG655">
    <cfRule type="cellIs" dxfId="175" priority="179" operator="equal">
      <formula>"PMS"</formula>
    </cfRule>
    <cfRule type="cellIs" dxfId="174" priority="180" operator="equal">
      <formula>"CMS"</formula>
    </cfRule>
  </conditionalFormatting>
  <conditionalFormatting sqref="BK655">
    <cfRule type="cellIs" dxfId="173" priority="177" operator="equal">
      <formula>"PMS"</formula>
    </cfRule>
    <cfRule type="cellIs" dxfId="172" priority="178" operator="equal">
      <formula>"CMS"</formula>
    </cfRule>
  </conditionalFormatting>
  <conditionalFormatting sqref="BK656">
    <cfRule type="cellIs" dxfId="171" priority="175" operator="equal">
      <formula>"PMS"</formula>
    </cfRule>
    <cfRule type="cellIs" dxfId="170" priority="176" operator="equal">
      <formula>"CMS"</formula>
    </cfRule>
  </conditionalFormatting>
  <conditionalFormatting sqref="BK657">
    <cfRule type="cellIs" dxfId="169" priority="173" operator="equal">
      <formula>"PMS"</formula>
    </cfRule>
    <cfRule type="cellIs" dxfId="168" priority="174" operator="equal">
      <formula>"CMS"</formula>
    </cfRule>
  </conditionalFormatting>
  <conditionalFormatting sqref="BK658">
    <cfRule type="cellIs" dxfId="167" priority="171" operator="equal">
      <formula>"PMS"</formula>
    </cfRule>
    <cfRule type="cellIs" dxfId="166" priority="172" operator="equal">
      <formula>"CMS"</formula>
    </cfRule>
  </conditionalFormatting>
  <conditionalFormatting sqref="BK659">
    <cfRule type="cellIs" dxfId="165" priority="169" operator="equal">
      <formula>"PMS"</formula>
    </cfRule>
    <cfRule type="cellIs" dxfId="164" priority="170" operator="equal">
      <formula>"CMS"</formula>
    </cfRule>
  </conditionalFormatting>
  <conditionalFormatting sqref="BK660">
    <cfRule type="cellIs" dxfId="163" priority="167" operator="equal">
      <formula>"PMS"</formula>
    </cfRule>
    <cfRule type="cellIs" dxfId="162" priority="168" operator="equal">
      <formula>"CMS"</formula>
    </cfRule>
  </conditionalFormatting>
  <conditionalFormatting sqref="BK661">
    <cfRule type="cellIs" dxfId="161" priority="165" operator="equal">
      <formula>"PMS"</formula>
    </cfRule>
    <cfRule type="cellIs" dxfId="160" priority="166" operator="equal">
      <formula>"CMS"</formula>
    </cfRule>
  </conditionalFormatting>
  <conditionalFormatting sqref="AO656:AP672">
    <cfRule type="cellIs" dxfId="159" priority="163" operator="equal">
      <formula>"PMS"</formula>
    </cfRule>
    <cfRule type="cellIs" dxfId="158" priority="164" operator="equal">
      <formula>"CMS"</formula>
    </cfRule>
  </conditionalFormatting>
  <conditionalFormatting sqref="L657:M657">
    <cfRule type="cellIs" dxfId="157" priority="161" operator="equal">
      <formula>"PMS"</formula>
    </cfRule>
    <cfRule type="cellIs" dxfId="156" priority="162" operator="equal">
      <formula>"CMS"</formula>
    </cfRule>
  </conditionalFormatting>
  <conditionalFormatting sqref="T657:U657">
    <cfRule type="cellIs" dxfId="155" priority="159" operator="equal">
      <formula>"PMS"</formula>
    </cfRule>
    <cfRule type="cellIs" dxfId="154" priority="160" operator="equal">
      <formula>"CMS"</formula>
    </cfRule>
  </conditionalFormatting>
  <conditionalFormatting sqref="P657:Q657">
    <cfRule type="cellIs" dxfId="153" priority="157" operator="equal">
      <formula>"PMS"</formula>
    </cfRule>
    <cfRule type="cellIs" dxfId="152" priority="158" operator="equal">
      <formula>"CMS"</formula>
    </cfRule>
  </conditionalFormatting>
  <conditionalFormatting sqref="L659:M659">
    <cfRule type="cellIs" dxfId="151" priority="155" operator="equal">
      <formula>"PMS"</formula>
    </cfRule>
    <cfRule type="cellIs" dxfId="150" priority="156" operator="equal">
      <formula>"CMS"</formula>
    </cfRule>
  </conditionalFormatting>
  <conditionalFormatting sqref="AA655:AC678">
    <cfRule type="cellIs" dxfId="149" priority="153" operator="equal">
      <formula>"PMS"</formula>
    </cfRule>
    <cfRule type="cellIs" dxfId="148" priority="154" operator="equal">
      <formula>"CMS"</formula>
    </cfRule>
  </conditionalFormatting>
  <conditionalFormatting sqref="AR673:AS673">
    <cfRule type="cellIs" dxfId="147" priority="149" operator="equal">
      <formula>"PMS"</formula>
    </cfRule>
    <cfRule type="cellIs" dxfId="146" priority="150" operator="equal">
      <formula>"CMS"</formula>
    </cfRule>
  </conditionalFormatting>
  <conditionalFormatting sqref="AR670:AS672">
    <cfRule type="cellIs" dxfId="145" priority="145" operator="equal">
      <formula>"PMS"</formula>
    </cfRule>
    <cfRule type="cellIs" dxfId="144" priority="146" operator="equal">
      <formula>"CMS"</formula>
    </cfRule>
  </conditionalFormatting>
  <conditionalFormatting sqref="BL680:BN703 E682:K682 N682:O682 E684:K685 E686:V686 W685:Z686 BH680:BJ703 N684:S685 AQ680:BC694 E680:Z681 V682:Z683 R682:S682 E683:U683 T684:Z684 L685:M685 T685:V685 AQ703:BC703 AQ695:AQ698 AT695:AT698 AQ699:AT702 AU695:BC702 E687:Z703 AD680:AN703 BE680:BF703">
    <cfRule type="cellIs" dxfId="143" priority="143" operator="equal">
      <formula>"PMS"</formula>
    </cfRule>
    <cfRule type="cellIs" dxfId="142" priority="144" operator="equal">
      <formula>"CMS"</formula>
    </cfRule>
  </conditionalFormatting>
  <conditionalFormatting sqref="BD703">
    <cfRule type="cellIs" dxfId="141" priority="141" operator="equal">
      <formula>"PMS"</formula>
    </cfRule>
    <cfRule type="cellIs" dxfId="140" priority="142" operator="equal">
      <formula>"CMS"</formula>
    </cfRule>
  </conditionalFormatting>
  <conditionalFormatting sqref="BG681:BG703">
    <cfRule type="cellIs" dxfId="139" priority="139" operator="equal">
      <formula>"PMS"</formula>
    </cfRule>
    <cfRule type="cellIs" dxfId="138" priority="140" operator="equal">
      <formula>"CMS"</formula>
    </cfRule>
  </conditionalFormatting>
  <conditionalFormatting sqref="BK687:BK703">
    <cfRule type="cellIs" dxfId="137" priority="137" operator="equal">
      <formula>"PMS"</formula>
    </cfRule>
    <cfRule type="cellIs" dxfId="136" priority="138" operator="equal">
      <formula>"CMS"</formula>
    </cfRule>
  </conditionalFormatting>
  <conditionalFormatting sqref="AO680:AP680 AO698:AP703">
    <cfRule type="cellIs" dxfId="135" priority="135" operator="equal">
      <formula>"PMS"</formula>
    </cfRule>
    <cfRule type="cellIs" dxfId="134" priority="136" operator="equal">
      <formula>"CMS"</formula>
    </cfRule>
  </conditionalFormatting>
  <conditionalFormatting sqref="BD680">
    <cfRule type="cellIs" dxfId="133" priority="133" operator="equal">
      <formula>"PMS"</formula>
    </cfRule>
    <cfRule type="cellIs" dxfId="132" priority="134" operator="equal">
      <formula>"CMS"</formula>
    </cfRule>
  </conditionalFormatting>
  <conditionalFormatting sqref="BD681:BD702">
    <cfRule type="cellIs" dxfId="131" priority="131" operator="equal">
      <formula>"PMS"</formula>
    </cfRule>
    <cfRule type="cellIs" dxfId="130" priority="132" operator="equal">
      <formula>"CMS"</formula>
    </cfRule>
  </conditionalFormatting>
  <conditionalFormatting sqref="BG680">
    <cfRule type="cellIs" dxfId="129" priority="129" operator="equal">
      <formula>"PMS"</formula>
    </cfRule>
    <cfRule type="cellIs" dxfId="128" priority="130" operator="equal">
      <formula>"CMS"</formula>
    </cfRule>
  </conditionalFormatting>
  <conditionalFormatting sqref="BK680">
    <cfRule type="cellIs" dxfId="127" priority="127" operator="equal">
      <formula>"PMS"</formula>
    </cfRule>
    <cfRule type="cellIs" dxfId="126" priority="128" operator="equal">
      <formula>"CMS"</formula>
    </cfRule>
  </conditionalFormatting>
  <conditionalFormatting sqref="BK681">
    <cfRule type="cellIs" dxfId="125" priority="125" operator="equal">
      <formula>"PMS"</formula>
    </cfRule>
    <cfRule type="cellIs" dxfId="124" priority="126" operator="equal">
      <formula>"CMS"</formula>
    </cfRule>
  </conditionalFormatting>
  <conditionalFormatting sqref="BK682">
    <cfRule type="cellIs" dxfId="123" priority="123" operator="equal">
      <formula>"PMS"</formula>
    </cfRule>
    <cfRule type="cellIs" dxfId="122" priority="124" operator="equal">
      <formula>"CMS"</formula>
    </cfRule>
  </conditionalFormatting>
  <conditionalFormatting sqref="BK683">
    <cfRule type="cellIs" dxfId="121" priority="121" operator="equal">
      <formula>"PMS"</formula>
    </cfRule>
    <cfRule type="cellIs" dxfId="120" priority="122" operator="equal">
      <formula>"CMS"</formula>
    </cfRule>
  </conditionalFormatting>
  <conditionalFormatting sqref="BK684">
    <cfRule type="cellIs" dxfId="119" priority="119" operator="equal">
      <formula>"PMS"</formula>
    </cfRule>
    <cfRule type="cellIs" dxfId="118" priority="120" operator="equal">
      <formula>"CMS"</formula>
    </cfRule>
  </conditionalFormatting>
  <conditionalFormatting sqref="BK685">
    <cfRule type="cellIs" dxfId="117" priority="117" operator="equal">
      <formula>"PMS"</formula>
    </cfRule>
    <cfRule type="cellIs" dxfId="116" priority="118" operator="equal">
      <formula>"CMS"</formula>
    </cfRule>
  </conditionalFormatting>
  <conditionalFormatting sqref="BK686">
    <cfRule type="cellIs" dxfId="115" priority="115" operator="equal">
      <formula>"PMS"</formula>
    </cfRule>
    <cfRule type="cellIs" dxfId="114" priority="116" operator="equal">
      <formula>"CMS"</formula>
    </cfRule>
  </conditionalFormatting>
  <conditionalFormatting sqref="AO681:AP697">
    <cfRule type="cellIs" dxfId="113" priority="113" operator="equal">
      <formula>"PMS"</formula>
    </cfRule>
    <cfRule type="cellIs" dxfId="112" priority="114" operator="equal">
      <formula>"CMS"</formula>
    </cfRule>
  </conditionalFormatting>
  <conditionalFormatting sqref="L682:M682">
    <cfRule type="cellIs" dxfId="111" priority="111" operator="equal">
      <formula>"PMS"</formula>
    </cfRule>
    <cfRule type="cellIs" dxfId="110" priority="112" operator="equal">
      <formula>"CMS"</formula>
    </cfRule>
  </conditionalFormatting>
  <conditionalFormatting sqref="T682:U682">
    <cfRule type="cellIs" dxfId="109" priority="109" operator="equal">
      <formula>"PMS"</formula>
    </cfRule>
    <cfRule type="cellIs" dxfId="108" priority="110" operator="equal">
      <formula>"CMS"</formula>
    </cfRule>
  </conditionalFormatting>
  <conditionalFormatting sqref="P682:Q682">
    <cfRule type="cellIs" dxfId="107" priority="107" operator="equal">
      <formula>"PMS"</formula>
    </cfRule>
    <cfRule type="cellIs" dxfId="106" priority="108" operator="equal">
      <formula>"CMS"</formula>
    </cfRule>
  </conditionalFormatting>
  <conditionalFormatting sqref="L684:M684">
    <cfRule type="cellIs" dxfId="105" priority="105" operator="equal">
      <formula>"PMS"</formula>
    </cfRule>
    <cfRule type="cellIs" dxfId="104" priority="106" operator="equal">
      <formula>"CMS"</formula>
    </cfRule>
  </conditionalFormatting>
  <conditionalFormatting sqref="AA680:AC703">
    <cfRule type="cellIs" dxfId="103" priority="103" operator="equal">
      <formula>"PMS"</formula>
    </cfRule>
    <cfRule type="cellIs" dxfId="102" priority="104" operator="equal">
      <formula>"CMS"</formula>
    </cfRule>
  </conditionalFormatting>
  <conditionalFormatting sqref="AR698:AS698">
    <cfRule type="cellIs" dxfId="101" priority="101" operator="equal">
      <formula>"PMS"</formula>
    </cfRule>
    <cfRule type="cellIs" dxfId="100" priority="102" operator="equal">
      <formula>"CMS"</formula>
    </cfRule>
  </conditionalFormatting>
  <conditionalFormatting sqref="AR695:AS697">
    <cfRule type="cellIs" dxfId="99" priority="99" operator="equal">
      <formula>"PMS"</formula>
    </cfRule>
    <cfRule type="cellIs" dxfId="98" priority="100" operator="equal">
      <formula>"CMS"</formula>
    </cfRule>
  </conditionalFormatting>
  <conditionalFormatting sqref="BL705:BN728 E707:K707 N707:O707 E709:K710 E711:V711 W710:Z711 BH705:BJ728 N709:S710 AQ705:BC719 E705:Z706 V707:Z708 R707:S707 E708:U708 T709:Z709 L710:M710 T710:V710 AQ728:BC728 AQ720:AQ723 AT720:AT723 AQ724:AT727 BE705:BF728 E712:Z728 AD705:AN728 AU720:BC727">
    <cfRule type="cellIs" dxfId="97" priority="97" operator="equal">
      <formula>"PMS"</formula>
    </cfRule>
    <cfRule type="cellIs" dxfId="96" priority="98" operator="equal">
      <formula>"CMS"</formula>
    </cfRule>
  </conditionalFormatting>
  <conditionalFormatting sqref="BD728">
    <cfRule type="cellIs" dxfId="95" priority="95" operator="equal">
      <formula>"PMS"</formula>
    </cfRule>
    <cfRule type="cellIs" dxfId="94" priority="96" operator="equal">
      <formula>"CMS"</formula>
    </cfRule>
  </conditionalFormatting>
  <conditionalFormatting sqref="BG706:BG728">
    <cfRule type="cellIs" dxfId="93" priority="93" operator="equal">
      <formula>"PMS"</formula>
    </cfRule>
    <cfRule type="cellIs" dxfId="92" priority="94" operator="equal">
      <formula>"CMS"</formula>
    </cfRule>
  </conditionalFormatting>
  <conditionalFormatting sqref="BK712:BK728">
    <cfRule type="cellIs" dxfId="91" priority="91" operator="equal">
      <formula>"PMS"</formula>
    </cfRule>
    <cfRule type="cellIs" dxfId="90" priority="92" operator="equal">
      <formula>"CMS"</formula>
    </cfRule>
  </conditionalFormatting>
  <conditionalFormatting sqref="AO705:AP705 AO723:AP728">
    <cfRule type="cellIs" dxfId="89" priority="89" operator="equal">
      <formula>"PMS"</formula>
    </cfRule>
    <cfRule type="cellIs" dxfId="88" priority="90" operator="equal">
      <formula>"CMS"</formula>
    </cfRule>
  </conditionalFormatting>
  <conditionalFormatting sqref="BD705">
    <cfRule type="cellIs" dxfId="87" priority="87" operator="equal">
      <formula>"PMS"</formula>
    </cfRule>
    <cfRule type="cellIs" dxfId="86" priority="88" operator="equal">
      <formula>"CMS"</formula>
    </cfRule>
  </conditionalFormatting>
  <conditionalFormatting sqref="BD706:BD727">
    <cfRule type="cellIs" dxfId="85" priority="85" operator="equal">
      <formula>"PMS"</formula>
    </cfRule>
    <cfRule type="cellIs" dxfId="84" priority="86" operator="equal">
      <formula>"CMS"</formula>
    </cfRule>
  </conditionalFormatting>
  <conditionalFormatting sqref="BG705">
    <cfRule type="cellIs" dxfId="83" priority="83" operator="equal">
      <formula>"PMS"</formula>
    </cfRule>
    <cfRule type="cellIs" dxfId="82" priority="84" operator="equal">
      <formula>"CMS"</formula>
    </cfRule>
  </conditionalFormatting>
  <conditionalFormatting sqref="BK705">
    <cfRule type="cellIs" dxfId="81" priority="81" operator="equal">
      <formula>"PMS"</formula>
    </cfRule>
    <cfRule type="cellIs" dxfId="80" priority="82" operator="equal">
      <formula>"CMS"</formula>
    </cfRule>
  </conditionalFormatting>
  <conditionalFormatting sqref="BK706">
    <cfRule type="cellIs" dxfId="79" priority="79" operator="equal">
      <formula>"PMS"</formula>
    </cfRule>
    <cfRule type="cellIs" dxfId="78" priority="80" operator="equal">
      <formula>"CMS"</formula>
    </cfRule>
  </conditionalFormatting>
  <conditionalFormatting sqref="BK707">
    <cfRule type="cellIs" dxfId="77" priority="77" operator="equal">
      <formula>"PMS"</formula>
    </cfRule>
    <cfRule type="cellIs" dxfId="76" priority="78" operator="equal">
      <formula>"CMS"</formula>
    </cfRule>
  </conditionalFormatting>
  <conditionalFormatting sqref="BK708">
    <cfRule type="cellIs" dxfId="75" priority="75" operator="equal">
      <formula>"PMS"</formula>
    </cfRule>
    <cfRule type="cellIs" dxfId="74" priority="76" operator="equal">
      <formula>"CMS"</formula>
    </cfRule>
  </conditionalFormatting>
  <conditionalFormatting sqref="BK709">
    <cfRule type="cellIs" dxfId="73" priority="73" operator="equal">
      <formula>"PMS"</formula>
    </cfRule>
    <cfRule type="cellIs" dxfId="72" priority="74" operator="equal">
      <formula>"CMS"</formula>
    </cfRule>
  </conditionalFormatting>
  <conditionalFormatting sqref="BK710">
    <cfRule type="cellIs" dxfId="71" priority="71" operator="equal">
      <formula>"PMS"</formula>
    </cfRule>
    <cfRule type="cellIs" dxfId="70" priority="72" operator="equal">
      <formula>"CMS"</formula>
    </cfRule>
  </conditionalFormatting>
  <conditionalFormatting sqref="BK711">
    <cfRule type="cellIs" dxfId="69" priority="69" operator="equal">
      <formula>"PMS"</formula>
    </cfRule>
    <cfRule type="cellIs" dxfId="68" priority="70" operator="equal">
      <formula>"CMS"</formula>
    </cfRule>
  </conditionalFormatting>
  <conditionalFormatting sqref="AO706:AP722">
    <cfRule type="cellIs" dxfId="67" priority="67" operator="equal">
      <formula>"PMS"</formula>
    </cfRule>
    <cfRule type="cellIs" dxfId="66" priority="68" operator="equal">
      <formula>"CMS"</formula>
    </cfRule>
  </conditionalFormatting>
  <conditionalFormatting sqref="L707:M707">
    <cfRule type="cellIs" dxfId="65" priority="65" operator="equal">
      <formula>"PMS"</formula>
    </cfRule>
    <cfRule type="cellIs" dxfId="64" priority="66" operator="equal">
      <formula>"CMS"</formula>
    </cfRule>
  </conditionalFormatting>
  <conditionalFormatting sqref="T707:U707">
    <cfRule type="cellIs" dxfId="63" priority="63" operator="equal">
      <formula>"PMS"</formula>
    </cfRule>
    <cfRule type="cellIs" dxfId="62" priority="64" operator="equal">
      <formula>"CMS"</formula>
    </cfRule>
  </conditionalFormatting>
  <conditionalFormatting sqref="P707:Q707">
    <cfRule type="cellIs" dxfId="61" priority="61" operator="equal">
      <formula>"PMS"</formula>
    </cfRule>
    <cfRule type="cellIs" dxfId="60" priority="62" operator="equal">
      <formula>"CMS"</formula>
    </cfRule>
  </conditionalFormatting>
  <conditionalFormatting sqref="L709:M709">
    <cfRule type="cellIs" dxfId="59" priority="59" operator="equal">
      <formula>"PMS"</formula>
    </cfRule>
    <cfRule type="cellIs" dxfId="58" priority="60" operator="equal">
      <formula>"CMS"</formula>
    </cfRule>
  </conditionalFormatting>
  <conditionalFormatting sqref="AA705:AC728">
    <cfRule type="cellIs" dxfId="57" priority="57" operator="equal">
      <formula>"PMS"</formula>
    </cfRule>
    <cfRule type="cellIs" dxfId="56" priority="58" operator="equal">
      <formula>"CMS"</formula>
    </cfRule>
  </conditionalFormatting>
  <conditionalFormatting sqref="AR723:AS723">
    <cfRule type="cellIs" dxfId="55" priority="55" operator="equal">
      <formula>"PMS"</formula>
    </cfRule>
    <cfRule type="cellIs" dxfId="54" priority="56" operator="equal">
      <formula>"CMS"</formula>
    </cfRule>
  </conditionalFormatting>
  <conditionalFormatting sqref="AR722:AS722">
    <cfRule type="cellIs" dxfId="53" priority="53" operator="equal">
      <formula>"PMS"</formula>
    </cfRule>
    <cfRule type="cellIs" dxfId="52" priority="54" operator="equal">
      <formula>"CMS"</formula>
    </cfRule>
  </conditionalFormatting>
  <conditionalFormatting sqref="AR720:AS721">
    <cfRule type="cellIs" dxfId="51" priority="51" operator="equal">
      <formula>"PMS"</formula>
    </cfRule>
    <cfRule type="cellIs" dxfId="50" priority="52" operator="equal">
      <formula>"CMS"</formula>
    </cfRule>
  </conditionalFormatting>
  <conditionalFormatting sqref="BL730:BN753 E732:K732 N732:O732 E734:K735 E736:V736 W735:Z736 BH730:BJ753 N734:S735 AQ730:BC744 E730:Z731 V732:Z733 R732:S732 E733:U733 T734:Z734 L735:M735 T735:V735 AQ753:BC753 AQ745:AQ748 AT745:AT748 AQ749:AT749 AD730:AN753 AU745:BC752 E737:Z753 AQ752:AT752 AQ750:AQ751 AT750:AT751 BE730:BF753">
    <cfRule type="cellIs" dxfId="49" priority="49" operator="equal">
      <formula>"PMS"</formula>
    </cfRule>
    <cfRule type="cellIs" dxfId="48" priority="50" operator="equal">
      <formula>"CMS"</formula>
    </cfRule>
  </conditionalFormatting>
  <conditionalFormatting sqref="BD753">
    <cfRule type="cellIs" dxfId="47" priority="47" operator="equal">
      <formula>"PMS"</formula>
    </cfRule>
    <cfRule type="cellIs" dxfId="46" priority="48" operator="equal">
      <formula>"CMS"</formula>
    </cfRule>
  </conditionalFormatting>
  <conditionalFormatting sqref="BG731:BG753">
    <cfRule type="cellIs" dxfId="45" priority="45" operator="equal">
      <formula>"PMS"</formula>
    </cfRule>
    <cfRule type="cellIs" dxfId="44" priority="46" operator="equal">
      <formula>"CMS"</formula>
    </cfRule>
  </conditionalFormatting>
  <conditionalFormatting sqref="BK737:BK753">
    <cfRule type="cellIs" dxfId="43" priority="43" operator="equal">
      <formula>"PMS"</formula>
    </cfRule>
    <cfRule type="cellIs" dxfId="42" priority="44" operator="equal">
      <formula>"CMS"</formula>
    </cfRule>
  </conditionalFormatting>
  <conditionalFormatting sqref="AO730:AP730 AO748:AP753">
    <cfRule type="cellIs" dxfId="41" priority="41" operator="equal">
      <formula>"PMS"</formula>
    </cfRule>
    <cfRule type="cellIs" dxfId="40" priority="42" operator="equal">
      <formula>"CMS"</formula>
    </cfRule>
  </conditionalFormatting>
  <conditionalFormatting sqref="BD730">
    <cfRule type="cellIs" dxfId="39" priority="39" operator="equal">
      <formula>"PMS"</formula>
    </cfRule>
    <cfRule type="cellIs" dxfId="38" priority="40" operator="equal">
      <formula>"CMS"</formula>
    </cfRule>
  </conditionalFormatting>
  <conditionalFormatting sqref="BD731:BD752">
    <cfRule type="cellIs" dxfId="37" priority="37" operator="equal">
      <formula>"PMS"</formula>
    </cfRule>
    <cfRule type="cellIs" dxfId="36" priority="38" operator="equal">
      <formula>"CMS"</formula>
    </cfRule>
  </conditionalFormatting>
  <conditionalFormatting sqref="BG730">
    <cfRule type="cellIs" dxfId="35" priority="35" operator="equal">
      <formula>"PMS"</formula>
    </cfRule>
    <cfRule type="cellIs" dxfId="34" priority="36" operator="equal">
      <formula>"CMS"</formula>
    </cfRule>
  </conditionalFormatting>
  <conditionalFormatting sqref="BK730">
    <cfRule type="cellIs" dxfId="33" priority="33" operator="equal">
      <formula>"PMS"</formula>
    </cfRule>
    <cfRule type="cellIs" dxfId="32" priority="34" operator="equal">
      <formula>"CMS"</formula>
    </cfRule>
  </conditionalFormatting>
  <conditionalFormatting sqref="BK731">
    <cfRule type="cellIs" dxfId="31" priority="31" operator="equal">
      <formula>"PMS"</formula>
    </cfRule>
    <cfRule type="cellIs" dxfId="30" priority="32" operator="equal">
      <formula>"CMS"</formula>
    </cfRule>
  </conditionalFormatting>
  <conditionalFormatting sqref="BK732">
    <cfRule type="cellIs" dxfId="29" priority="29" operator="equal">
      <formula>"PMS"</formula>
    </cfRule>
    <cfRule type="cellIs" dxfId="28" priority="30" operator="equal">
      <formula>"CMS"</formula>
    </cfRule>
  </conditionalFormatting>
  <conditionalFormatting sqref="BK733">
    <cfRule type="cellIs" dxfId="27" priority="27" operator="equal">
      <formula>"PMS"</formula>
    </cfRule>
    <cfRule type="cellIs" dxfId="26" priority="28" operator="equal">
      <formula>"CMS"</formula>
    </cfRule>
  </conditionalFormatting>
  <conditionalFormatting sqref="BK734">
    <cfRule type="cellIs" dxfId="25" priority="25" operator="equal">
      <formula>"PMS"</formula>
    </cfRule>
    <cfRule type="cellIs" dxfId="24" priority="26" operator="equal">
      <formula>"CMS"</formula>
    </cfRule>
  </conditionalFormatting>
  <conditionalFormatting sqref="BK735">
    <cfRule type="cellIs" dxfId="23" priority="23" operator="equal">
      <formula>"PMS"</formula>
    </cfRule>
    <cfRule type="cellIs" dxfId="22" priority="24" operator="equal">
      <formula>"CMS"</formula>
    </cfRule>
  </conditionalFormatting>
  <conditionalFormatting sqref="BK736">
    <cfRule type="cellIs" dxfId="21" priority="21" operator="equal">
      <formula>"PMS"</formula>
    </cfRule>
    <cfRule type="cellIs" dxfId="20" priority="22" operator="equal">
      <formula>"CMS"</formula>
    </cfRule>
  </conditionalFormatting>
  <conditionalFormatting sqref="AO731:AP747">
    <cfRule type="cellIs" dxfId="19" priority="19" operator="equal">
      <formula>"PMS"</formula>
    </cfRule>
    <cfRule type="cellIs" dxfId="18" priority="20" operator="equal">
      <formula>"CMS"</formula>
    </cfRule>
  </conditionalFormatting>
  <conditionalFormatting sqref="L732:M732">
    <cfRule type="cellIs" dxfId="17" priority="17" operator="equal">
      <formula>"PMS"</formula>
    </cfRule>
    <cfRule type="cellIs" dxfId="16" priority="18" operator="equal">
      <formula>"CMS"</formula>
    </cfRule>
  </conditionalFormatting>
  <conditionalFormatting sqref="T732:U732">
    <cfRule type="cellIs" dxfId="15" priority="15" operator="equal">
      <formula>"PMS"</formula>
    </cfRule>
    <cfRule type="cellIs" dxfId="14" priority="16" operator="equal">
      <formula>"CMS"</formula>
    </cfRule>
  </conditionalFormatting>
  <conditionalFormatting sqref="P732:Q732">
    <cfRule type="cellIs" dxfId="13" priority="13" operator="equal">
      <formula>"PMS"</formula>
    </cfRule>
    <cfRule type="cellIs" dxfId="12" priority="14" operator="equal">
      <formula>"CMS"</formula>
    </cfRule>
  </conditionalFormatting>
  <conditionalFormatting sqref="L734:M734">
    <cfRule type="cellIs" dxfId="11" priority="11" operator="equal">
      <formula>"PMS"</formula>
    </cfRule>
    <cfRule type="cellIs" dxfId="10" priority="12" operator="equal">
      <formula>"CMS"</formula>
    </cfRule>
  </conditionalFormatting>
  <conditionalFormatting sqref="AA730:AC753">
    <cfRule type="cellIs" dxfId="9" priority="9" operator="equal">
      <formula>"PMS"</formula>
    </cfRule>
    <cfRule type="cellIs" dxfId="8" priority="10" operator="equal">
      <formula>"CMS"</formula>
    </cfRule>
  </conditionalFormatting>
  <conditionalFormatting sqref="AR748:AS748">
    <cfRule type="cellIs" dxfId="7" priority="7" operator="equal">
      <formula>"PMS"</formula>
    </cfRule>
    <cfRule type="cellIs" dxfId="6" priority="8" operator="equal">
      <formula>"CMS"</formula>
    </cfRule>
  </conditionalFormatting>
  <conditionalFormatting sqref="AR747:AS747">
    <cfRule type="cellIs" dxfId="5" priority="5" operator="equal">
      <formula>"PMS"</formula>
    </cfRule>
    <cfRule type="cellIs" dxfId="4" priority="6" operator="equal">
      <formula>"CMS"</formula>
    </cfRule>
  </conditionalFormatting>
  <conditionalFormatting sqref="AR745:AS746">
    <cfRule type="cellIs" dxfId="3" priority="3" operator="equal">
      <formula>"PMS"</formula>
    </cfRule>
    <cfRule type="cellIs" dxfId="2" priority="4" operator="equal">
      <formula>"CMS"</formula>
    </cfRule>
  </conditionalFormatting>
  <conditionalFormatting sqref="AR750:AS751">
    <cfRule type="cellIs" dxfId="1" priority="1" operator="equal">
      <formula>"PMS"</formula>
    </cfRule>
    <cfRule type="cellIs" dxfId="0" priority="2" operator="equal">
      <formula>"CMS"</formula>
    </cfRule>
  </conditionalFormatting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549C9-6AFA-4E0C-A0E9-604C869022AB}">
  <sheetPr codeName="Sheet7"/>
  <dimension ref="A1:L1280"/>
  <sheetViews>
    <sheetView zoomScale="90" zoomScaleNormal="90" workbookViewId="0">
      <pane ySplit="1" topLeftCell="A1263" activePane="bottomLeft" state="frozen"/>
      <selection pane="bottomLeft" activeCell="A23" sqref="A23"/>
      <selection activeCell="F35" sqref="F35"/>
    </sheetView>
  </sheetViews>
  <sheetFormatPr defaultColWidth="8.85546875" defaultRowHeight="13.9"/>
  <cols>
    <col min="1" max="1" width="23.42578125" style="37" bestFit="1" customWidth="1"/>
    <col min="2" max="2" width="15.42578125" style="93" bestFit="1" customWidth="1"/>
    <col min="3" max="3" width="15.42578125" style="37" bestFit="1" customWidth="1"/>
    <col min="4" max="4" width="15.42578125" style="93" bestFit="1" customWidth="1"/>
    <col min="5" max="5" width="15.5703125" style="37" bestFit="1" customWidth="1"/>
    <col min="6" max="6" width="27.7109375" style="100" customWidth="1"/>
    <col min="7" max="7" width="13.85546875" style="37" bestFit="1" customWidth="1"/>
    <col min="8" max="8" width="59.85546875" style="94" customWidth="1"/>
    <col min="9" max="9" width="13.42578125" style="37" customWidth="1"/>
    <col min="10" max="10" width="16.28515625" style="37" bestFit="1" customWidth="1"/>
    <col min="11" max="12" width="16.7109375" style="100" bestFit="1" customWidth="1"/>
    <col min="13" max="16384" width="8.85546875" style="5"/>
  </cols>
  <sheetData>
    <row r="1" spans="1:12">
      <c r="A1" s="90" t="s">
        <v>154</v>
      </c>
      <c r="B1" s="234" t="s">
        <v>155</v>
      </c>
      <c r="C1" s="95" t="s">
        <v>156</v>
      </c>
      <c r="D1" s="95" t="s">
        <v>157</v>
      </c>
      <c r="E1" s="90" t="s">
        <v>158</v>
      </c>
      <c r="F1" s="99" t="s">
        <v>159</v>
      </c>
      <c r="G1" s="91" t="s">
        <v>160</v>
      </c>
      <c r="H1" s="92" t="s">
        <v>161</v>
      </c>
      <c r="J1" s="90"/>
      <c r="K1" s="169"/>
      <c r="L1" s="169"/>
    </row>
    <row r="2" spans="1:12">
      <c r="A2" s="37" t="s">
        <v>162</v>
      </c>
      <c r="B2" s="93">
        <v>45633</v>
      </c>
      <c r="C2" s="37" t="s">
        <v>163</v>
      </c>
      <c r="G2" s="37" t="s">
        <v>9</v>
      </c>
    </row>
    <row r="3" spans="1:12">
      <c r="A3" s="37" t="s">
        <v>164</v>
      </c>
      <c r="B3" s="93">
        <v>45693</v>
      </c>
      <c r="C3" s="37" t="s">
        <v>165</v>
      </c>
      <c r="D3" s="93">
        <v>45750</v>
      </c>
      <c r="E3" s="37" t="s">
        <v>166</v>
      </c>
      <c r="F3" s="100">
        <f>(D3 + TIME(LEFT(E3, 2), MID(E3, 3, 2), 0)) - (B3 + TIME(LEFT(C3, 2), MID(C3, 3, 2), 0))</f>
        <v>57.392361111109494</v>
      </c>
      <c r="G3" s="37" t="s">
        <v>9</v>
      </c>
    </row>
    <row r="4" spans="1:12">
      <c r="A4" s="37" t="s">
        <v>167</v>
      </c>
      <c r="B4" s="93">
        <v>45693</v>
      </c>
      <c r="C4" s="37" t="s">
        <v>165</v>
      </c>
      <c r="G4" s="37" t="s">
        <v>9</v>
      </c>
      <c r="H4" s="94" t="s">
        <v>168</v>
      </c>
    </row>
    <row r="5" spans="1:12">
      <c r="A5" s="37" t="s">
        <v>169</v>
      </c>
      <c r="B5" s="93">
        <v>45693</v>
      </c>
      <c r="C5" s="37" t="s">
        <v>170</v>
      </c>
      <c r="G5" s="37" t="s">
        <v>9</v>
      </c>
    </row>
    <row r="6" spans="1:12">
      <c r="A6" s="37" t="s">
        <v>171</v>
      </c>
      <c r="B6" s="93">
        <v>45693</v>
      </c>
      <c r="C6" s="37" t="s">
        <v>172</v>
      </c>
      <c r="G6" s="37" t="s">
        <v>9</v>
      </c>
      <c r="H6" s="94" t="s">
        <v>173</v>
      </c>
    </row>
    <row r="7" spans="1:12">
      <c r="A7" s="37" t="s">
        <v>174</v>
      </c>
      <c r="B7" s="93">
        <v>45746</v>
      </c>
      <c r="C7" s="37" t="s">
        <v>175</v>
      </c>
      <c r="D7" s="93">
        <v>45751</v>
      </c>
      <c r="E7" s="37" t="s">
        <v>176</v>
      </c>
      <c r="F7" s="100">
        <f>(D7 + TIME(LEFT(E7, 2), MID(E7, 3, 2), 0)) - (B7 + TIME(LEFT(C7, 2), MID(C7, 3, 2), 0))</f>
        <v>4.921527777776646</v>
      </c>
    </row>
    <row r="8" spans="1:12">
      <c r="A8" s="37" t="s">
        <v>177</v>
      </c>
      <c r="B8" s="93">
        <v>45747</v>
      </c>
      <c r="C8" s="37" t="s">
        <v>178</v>
      </c>
      <c r="D8" s="93">
        <v>45748</v>
      </c>
      <c r="E8" s="37" t="s">
        <v>179</v>
      </c>
      <c r="F8" s="100">
        <f>(D8 + TIME(LEFT(E8, 2), MID(E8, 3, 2), 0)) - (B8 + TIME(LEFT(C8, 2), MID(C8, 3, 2), 0))</f>
        <v>0.78263888888614019</v>
      </c>
    </row>
    <row r="9" spans="1:12">
      <c r="A9" s="37" t="s">
        <v>180</v>
      </c>
      <c r="B9" s="93">
        <v>45747</v>
      </c>
      <c r="C9" s="37" t="s">
        <v>181</v>
      </c>
      <c r="D9" s="93">
        <v>45752</v>
      </c>
      <c r="E9" s="37" t="s">
        <v>182</v>
      </c>
      <c r="F9" s="100">
        <f>(D9 + TIME(LEFT(E9, 2), MID(E9, 3, 2), 0)) - (B9 + TIME(LEFT(C9, 2), MID(C9, 3, 2), 0))</f>
        <v>4.984722222223354</v>
      </c>
    </row>
    <row r="10" spans="1:12">
      <c r="A10" s="37" t="s">
        <v>183</v>
      </c>
      <c r="B10" s="93">
        <v>45747</v>
      </c>
      <c r="C10" s="37" t="s">
        <v>184</v>
      </c>
      <c r="D10" s="93">
        <v>45748</v>
      </c>
      <c r="E10" s="37" t="s">
        <v>165</v>
      </c>
      <c r="F10" s="100">
        <f t="shared" ref="F10:F16" si="0">(D10 + TIME(LEFT(E10, 2), MID(E10, 3, 2), 0)) - (B10 + TIME(LEFT(C10, 2), MID(C10, 3, 2), 0))</f>
        <v>0.55833333333430346</v>
      </c>
      <c r="G10" s="37" t="s">
        <v>9</v>
      </c>
      <c r="H10" s="23" t="s">
        <v>185</v>
      </c>
      <c r="I10" s="100"/>
    </row>
    <row r="11" spans="1:12">
      <c r="A11" s="37" t="s">
        <v>186</v>
      </c>
      <c r="B11" s="93">
        <v>45747</v>
      </c>
      <c r="C11" s="37" t="s">
        <v>187</v>
      </c>
      <c r="D11" s="93">
        <v>45747</v>
      </c>
      <c r="E11" s="37" t="s">
        <v>188</v>
      </c>
      <c r="F11" s="100">
        <f t="shared" si="0"/>
        <v>0.60486111111094942</v>
      </c>
    </row>
    <row r="12" spans="1:12">
      <c r="A12" s="37" t="s">
        <v>189</v>
      </c>
      <c r="B12" s="93">
        <v>45738</v>
      </c>
      <c r="C12" s="37" t="s">
        <v>190</v>
      </c>
      <c r="D12" s="93">
        <v>45751</v>
      </c>
      <c r="E12" s="37" t="s">
        <v>191</v>
      </c>
      <c r="F12" s="100">
        <f t="shared" si="0"/>
        <v>12.897222222221899</v>
      </c>
    </row>
    <row r="13" spans="1:12">
      <c r="A13" s="37" t="s">
        <v>192</v>
      </c>
      <c r="B13" s="93">
        <v>45745</v>
      </c>
      <c r="C13" s="37" t="s">
        <v>193</v>
      </c>
      <c r="D13" s="93">
        <v>45750</v>
      </c>
      <c r="E13" s="37" t="s">
        <v>194</v>
      </c>
      <c r="F13" s="100">
        <f t="shared" si="0"/>
        <v>5.8055555555547471</v>
      </c>
      <c r="G13" s="37" t="s">
        <v>9</v>
      </c>
      <c r="H13" s="23" t="s">
        <v>195</v>
      </c>
    </row>
    <row r="14" spans="1:12">
      <c r="A14" s="37" t="s">
        <v>196</v>
      </c>
      <c r="B14" s="93">
        <v>45747</v>
      </c>
      <c r="C14" s="37" t="s">
        <v>197</v>
      </c>
      <c r="D14" s="93">
        <v>45748</v>
      </c>
      <c r="E14" s="37" t="s">
        <v>198</v>
      </c>
      <c r="F14" s="100">
        <f t="shared" si="0"/>
        <v>0.21597222222771961</v>
      </c>
    </row>
    <row r="15" spans="1:12">
      <c r="A15" s="37" t="s">
        <v>199</v>
      </c>
      <c r="B15" s="93">
        <v>45747</v>
      </c>
      <c r="C15" s="37" t="s">
        <v>200</v>
      </c>
      <c r="D15" s="93">
        <v>45748</v>
      </c>
      <c r="E15" s="37" t="s">
        <v>201</v>
      </c>
      <c r="F15" s="100">
        <f t="shared" si="0"/>
        <v>0.29513888889050577</v>
      </c>
    </row>
    <row r="16" spans="1:12">
      <c r="A16" s="37" t="s">
        <v>202</v>
      </c>
      <c r="B16" s="93">
        <v>45747</v>
      </c>
      <c r="C16" s="37" t="s">
        <v>203</v>
      </c>
      <c r="D16" s="93">
        <v>45748</v>
      </c>
      <c r="E16" s="37" t="s">
        <v>204</v>
      </c>
      <c r="F16" s="100">
        <f t="shared" si="0"/>
        <v>0.31736111111240461</v>
      </c>
    </row>
    <row r="17" spans="1:8">
      <c r="A17" s="37" t="s">
        <v>205</v>
      </c>
      <c r="B17" s="93">
        <v>45747</v>
      </c>
      <c r="C17" s="37" t="s">
        <v>206</v>
      </c>
      <c r="D17" s="93">
        <v>45751</v>
      </c>
      <c r="E17" s="37" t="s">
        <v>207</v>
      </c>
      <c r="F17" s="100">
        <f>(D17 + TIME(LEFT(E17, 2), MID(E17, 3, 2), 0)) - (B17 + TIME(LEFT(C17, 2), MID(C17, 3, 2), 0))</f>
        <v>3.6534722222204437</v>
      </c>
      <c r="G17" s="37" t="s">
        <v>9</v>
      </c>
      <c r="H17" s="94" t="s">
        <v>208</v>
      </c>
    </row>
    <row r="18" spans="1:8">
      <c r="A18" s="37" t="s">
        <v>209</v>
      </c>
      <c r="B18" s="93">
        <v>45728</v>
      </c>
      <c r="C18" s="37" t="s">
        <v>210</v>
      </c>
    </row>
    <row r="19" spans="1:8">
      <c r="A19" s="37" t="s">
        <v>211</v>
      </c>
      <c r="B19" s="93">
        <v>45747</v>
      </c>
      <c r="C19" s="37" t="s">
        <v>212</v>
      </c>
      <c r="D19" s="437">
        <v>45748</v>
      </c>
      <c r="E19" s="436" t="s">
        <v>213</v>
      </c>
      <c r="F19" s="100">
        <f>(D19 + TIME(LEFT(E19, 2), MID(E19, 3, 2), 0)) - (B19 + TIME(LEFT(C19, 2), MID(C19, 3, 2), 0))</f>
        <v>0.50069444443943212</v>
      </c>
    </row>
    <row r="20" spans="1:8">
      <c r="A20" s="37" t="s">
        <v>214</v>
      </c>
      <c r="B20" s="93">
        <v>45747</v>
      </c>
      <c r="C20" s="37" t="s">
        <v>215</v>
      </c>
      <c r="D20" s="93">
        <v>45748</v>
      </c>
      <c r="E20" s="37" t="s">
        <v>216</v>
      </c>
      <c r="F20" s="100">
        <f>(D20 + TIME(LEFT(E20, 2), MID(E20, 3, 2), 0)) - (B20 + TIME(LEFT(C20, 2), MID(C20, 3, 2), 0))</f>
        <v>0.4881944444423425</v>
      </c>
    </row>
    <row r="21" spans="1:8">
      <c r="A21" s="37" t="s">
        <v>217</v>
      </c>
      <c r="B21" s="93">
        <v>45747</v>
      </c>
      <c r="C21" s="37" t="s">
        <v>218</v>
      </c>
      <c r="D21" s="93">
        <v>45748</v>
      </c>
      <c r="E21" s="37" t="s">
        <v>219</v>
      </c>
      <c r="F21" s="100">
        <f>(D21 + TIME(LEFT(E21, 2), MID(E21, 3, 2), 0)) - (B21 + TIME(LEFT(C21, 2), MID(C21, 3, 2), 0))</f>
        <v>0.79236111111094942</v>
      </c>
    </row>
    <row r="22" spans="1:8">
      <c r="A22" s="37" t="s">
        <v>220</v>
      </c>
      <c r="B22" s="93">
        <v>45747</v>
      </c>
      <c r="C22" s="37" t="s">
        <v>221</v>
      </c>
      <c r="D22" s="93">
        <v>45747</v>
      </c>
      <c r="E22" s="37" t="s">
        <v>222</v>
      </c>
      <c r="F22" s="100">
        <f t="shared" ref="F22" si="1">(D22 + TIME(LEFT(E22, 2), MID(E22, 3, 2), 0)) - (B22 + TIME(LEFT(C22, 2), MID(C22, 3, 2), 0))</f>
        <v>0.62569444443943212</v>
      </c>
    </row>
    <row r="23" spans="1:8">
      <c r="A23" s="37" t="s">
        <v>220</v>
      </c>
      <c r="B23" s="93">
        <v>45748</v>
      </c>
      <c r="C23" s="37" t="s">
        <v>223</v>
      </c>
      <c r="D23" s="93">
        <v>45748</v>
      </c>
      <c r="E23" s="37" t="s">
        <v>224</v>
      </c>
      <c r="F23" s="100">
        <f>(D23 + TIME(LEFT(E23, 2), MID(E23, 3, 2), 0)) - (B23 + TIME(LEFT(C23, 2), MID(C23, 3, 2), 0))</f>
        <v>0.50069444443943212</v>
      </c>
    </row>
    <row r="24" spans="1:8">
      <c r="A24" s="37" t="s">
        <v>225</v>
      </c>
      <c r="B24" s="93">
        <v>45746</v>
      </c>
      <c r="C24" s="37" t="s">
        <v>212</v>
      </c>
      <c r="D24" s="93">
        <v>45747</v>
      </c>
      <c r="E24" s="37" t="s">
        <v>213</v>
      </c>
      <c r="F24" s="100">
        <f>(D24 + TIME(LEFT(E24, 2), MID(E24, 3, 2), 0)) - (B24 + TIME(LEFT(C24, 2), MID(C24, 3, 2), 0))</f>
        <v>0.50069444443943212</v>
      </c>
    </row>
    <row r="25" spans="1:8">
      <c r="A25" s="37" t="s">
        <v>196</v>
      </c>
      <c r="B25" s="93">
        <v>45748</v>
      </c>
      <c r="C25" s="37" t="s">
        <v>198</v>
      </c>
      <c r="D25" s="93">
        <v>45751</v>
      </c>
      <c r="E25" s="37" t="s">
        <v>207</v>
      </c>
      <c r="F25" s="100">
        <f>(D25 + TIME(LEFT(E25, 2), MID(E25, 3, 2), 0)) - (B25 + TIME(LEFT(C25, 2), MID(C25, 3, 2), 0))</f>
        <v>3.4381944444394321</v>
      </c>
      <c r="G25" s="37" t="s">
        <v>9</v>
      </c>
    </row>
    <row r="26" spans="1:8">
      <c r="A26" s="37" t="s">
        <v>226</v>
      </c>
      <c r="B26" s="93">
        <v>45748</v>
      </c>
      <c r="C26" s="37" t="s">
        <v>227</v>
      </c>
      <c r="D26" s="93">
        <v>45748</v>
      </c>
      <c r="E26" s="37" t="s">
        <v>228</v>
      </c>
      <c r="F26" s="100">
        <f t="shared" ref="F26:F57" si="2">(D26 + TIME(LEFT(E26, 2), MID(E26, 3, 2), 0)) - (B26 + TIME(LEFT(C26, 2), MID(C26, 3, 2), 0))</f>
        <v>6.4583333332848269E-2</v>
      </c>
    </row>
    <row r="27" spans="1:8">
      <c r="A27" s="37" t="s">
        <v>229</v>
      </c>
      <c r="B27" s="93">
        <v>45748</v>
      </c>
      <c r="C27" s="37" t="s">
        <v>230</v>
      </c>
      <c r="D27" s="93">
        <v>45748</v>
      </c>
      <c r="E27" s="37" t="s">
        <v>231</v>
      </c>
      <c r="F27" s="100">
        <f t="shared" si="2"/>
        <v>7.6388888890505768E-2</v>
      </c>
    </row>
    <row r="28" spans="1:8">
      <c r="A28" s="37" t="s">
        <v>232</v>
      </c>
      <c r="B28" s="93">
        <v>45748</v>
      </c>
      <c r="C28" s="37" t="s">
        <v>230</v>
      </c>
      <c r="D28" s="93">
        <v>45748</v>
      </c>
      <c r="E28" s="37" t="s">
        <v>233</v>
      </c>
      <c r="F28" s="100">
        <f t="shared" si="2"/>
        <v>0.117361111115315</v>
      </c>
    </row>
    <row r="29" spans="1:8">
      <c r="A29" s="37" t="s">
        <v>234</v>
      </c>
      <c r="B29" s="93">
        <v>45748</v>
      </c>
      <c r="C29" s="37" t="s">
        <v>230</v>
      </c>
      <c r="D29" s="437">
        <v>45748</v>
      </c>
      <c r="E29" s="436" t="s">
        <v>235</v>
      </c>
      <c r="F29" s="100">
        <f t="shared" si="2"/>
        <v>0.20277777777664596</v>
      </c>
    </row>
    <row r="30" spans="1:8">
      <c r="A30" s="436" t="s">
        <v>236</v>
      </c>
      <c r="B30" s="437">
        <v>45748</v>
      </c>
      <c r="C30" s="436" t="s">
        <v>237</v>
      </c>
      <c r="D30" s="93">
        <v>45748</v>
      </c>
      <c r="E30" s="37" t="s">
        <v>238</v>
      </c>
      <c r="F30" s="100">
        <f t="shared" si="2"/>
        <v>5.486111110803904E-2</v>
      </c>
    </row>
    <row r="31" spans="1:8">
      <c r="A31" s="436" t="s">
        <v>239</v>
      </c>
      <c r="B31" s="437">
        <v>45748</v>
      </c>
      <c r="C31" s="436" t="s">
        <v>240</v>
      </c>
      <c r="D31" s="437">
        <v>45748</v>
      </c>
      <c r="E31" s="436" t="s">
        <v>241</v>
      </c>
      <c r="F31" s="100">
        <f t="shared" si="2"/>
        <v>2.9861111113859806E-2</v>
      </c>
    </row>
    <row r="32" spans="1:8">
      <c r="A32" s="436" t="s">
        <v>242</v>
      </c>
      <c r="B32" s="437">
        <v>45748</v>
      </c>
      <c r="C32" s="436" t="s">
        <v>235</v>
      </c>
      <c r="D32" s="93">
        <v>45748</v>
      </c>
      <c r="E32" s="37" t="s">
        <v>243</v>
      </c>
      <c r="F32" s="100">
        <f t="shared" si="2"/>
        <v>9.0972222227719612E-2</v>
      </c>
    </row>
    <row r="33" spans="1:9">
      <c r="A33" s="436" t="s">
        <v>214</v>
      </c>
      <c r="B33" s="437">
        <v>45748</v>
      </c>
      <c r="C33" s="436" t="s">
        <v>241</v>
      </c>
      <c r="D33" s="93">
        <v>45748</v>
      </c>
      <c r="E33" s="37" t="s">
        <v>244</v>
      </c>
      <c r="F33" s="100">
        <f t="shared" si="2"/>
        <v>0.49305555555474712</v>
      </c>
    </row>
    <row r="34" spans="1:9">
      <c r="A34" s="436" t="s">
        <v>245</v>
      </c>
      <c r="B34" s="437">
        <v>45748</v>
      </c>
      <c r="C34" s="436" t="s">
        <v>246</v>
      </c>
      <c r="D34" s="93">
        <v>45748</v>
      </c>
      <c r="E34" s="37" t="s">
        <v>247</v>
      </c>
      <c r="F34" s="100">
        <f t="shared" si="2"/>
        <v>2.5000000001455192E-2</v>
      </c>
    </row>
    <row r="35" spans="1:9">
      <c r="A35" s="37" t="s">
        <v>248</v>
      </c>
      <c r="B35" s="93">
        <v>45748</v>
      </c>
      <c r="C35" s="37" t="s">
        <v>249</v>
      </c>
      <c r="D35" s="93">
        <v>45748</v>
      </c>
      <c r="E35" s="37" t="s">
        <v>250</v>
      </c>
      <c r="F35" s="100">
        <f t="shared" si="2"/>
        <v>0.6368055555576575</v>
      </c>
    </row>
    <row r="36" spans="1:9">
      <c r="A36" s="37" t="s">
        <v>242</v>
      </c>
      <c r="B36" s="93">
        <v>45748</v>
      </c>
      <c r="C36" s="37" t="s">
        <v>243</v>
      </c>
      <c r="D36" s="93">
        <v>45748</v>
      </c>
      <c r="E36" s="37" t="s">
        <v>251</v>
      </c>
      <c r="F36" s="100">
        <f t="shared" si="2"/>
        <v>3.5416666665696539E-2</v>
      </c>
      <c r="G36" s="37" t="s">
        <v>9</v>
      </c>
      <c r="H36" s="94" t="s">
        <v>252</v>
      </c>
      <c r="I36" s="100"/>
    </row>
    <row r="37" spans="1:9">
      <c r="A37" s="37" t="s">
        <v>239</v>
      </c>
      <c r="B37" s="93">
        <v>45748</v>
      </c>
      <c r="C37" s="37" t="s">
        <v>253</v>
      </c>
      <c r="D37" s="93">
        <v>45748</v>
      </c>
      <c r="E37" s="37" t="s">
        <v>254</v>
      </c>
      <c r="F37" s="100">
        <f t="shared" si="2"/>
        <v>5.6249999994179234E-2</v>
      </c>
    </row>
    <row r="38" spans="1:9">
      <c r="A38" s="37" t="s">
        <v>236</v>
      </c>
      <c r="B38" s="93">
        <v>45748</v>
      </c>
      <c r="C38" s="37" t="s">
        <v>255</v>
      </c>
      <c r="D38" s="93">
        <v>45748</v>
      </c>
      <c r="E38" s="37" t="s">
        <v>256</v>
      </c>
      <c r="F38" s="100">
        <f t="shared" si="2"/>
        <v>5.9027777773735579E-2</v>
      </c>
    </row>
    <row r="39" spans="1:9">
      <c r="A39" s="37" t="s">
        <v>232</v>
      </c>
      <c r="B39" s="93">
        <v>45748</v>
      </c>
      <c r="C39" s="37" t="s">
        <v>257</v>
      </c>
      <c r="D39" s="93">
        <v>45748</v>
      </c>
      <c r="E39" s="37" t="s">
        <v>258</v>
      </c>
      <c r="F39" s="100">
        <f t="shared" si="2"/>
        <v>5.4166666668606922E-2</v>
      </c>
    </row>
    <row r="40" spans="1:9">
      <c r="A40" s="37" t="s">
        <v>234</v>
      </c>
      <c r="B40" s="93">
        <v>45748</v>
      </c>
      <c r="C40" s="37" t="s">
        <v>259</v>
      </c>
      <c r="D40" s="93">
        <v>45748</v>
      </c>
      <c r="E40" s="37" t="s">
        <v>258</v>
      </c>
      <c r="F40" s="100">
        <f t="shared" si="2"/>
        <v>4.5833333329937886E-2</v>
      </c>
    </row>
    <row r="41" spans="1:9">
      <c r="A41" s="37" t="s">
        <v>229</v>
      </c>
      <c r="B41" s="93">
        <v>45748</v>
      </c>
      <c r="C41" s="37" t="s">
        <v>259</v>
      </c>
      <c r="D41" s="93">
        <v>45748</v>
      </c>
      <c r="E41" s="37" t="s">
        <v>254</v>
      </c>
      <c r="F41" s="100">
        <f t="shared" si="2"/>
        <v>4.3055555550381541E-2</v>
      </c>
    </row>
    <row r="42" spans="1:9">
      <c r="A42" s="37" t="s">
        <v>186</v>
      </c>
      <c r="B42" s="93">
        <v>45748</v>
      </c>
      <c r="C42" s="37" t="s">
        <v>260</v>
      </c>
      <c r="D42" s="93">
        <v>45748</v>
      </c>
      <c r="E42" s="37" t="s">
        <v>261</v>
      </c>
      <c r="F42" s="100">
        <f t="shared" si="2"/>
        <v>0.63749999999708962</v>
      </c>
    </row>
    <row r="43" spans="1:9" ht="27.6">
      <c r="A43" s="37" t="s">
        <v>242</v>
      </c>
      <c r="B43" s="93">
        <v>45748</v>
      </c>
      <c r="C43" s="37" t="s">
        <v>251</v>
      </c>
      <c r="D43" s="93">
        <v>45748</v>
      </c>
      <c r="E43" s="37" t="s">
        <v>262</v>
      </c>
      <c r="F43" s="100">
        <f t="shared" si="2"/>
        <v>1.2499999997089617E-2</v>
      </c>
      <c r="H43" s="94" t="s">
        <v>263</v>
      </c>
    </row>
    <row r="44" spans="1:9">
      <c r="A44" s="37" t="s">
        <v>242</v>
      </c>
      <c r="B44" s="93">
        <v>45748</v>
      </c>
      <c r="C44" s="37" t="s">
        <v>262</v>
      </c>
      <c r="D44" s="93">
        <v>45748</v>
      </c>
      <c r="E44" s="37" t="s">
        <v>264</v>
      </c>
      <c r="F44" s="100">
        <f t="shared" si="2"/>
        <v>0.46736111111385981</v>
      </c>
    </row>
    <row r="45" spans="1:9">
      <c r="A45" s="37" t="s">
        <v>183</v>
      </c>
      <c r="B45" s="93">
        <v>45748</v>
      </c>
      <c r="C45" s="37" t="s">
        <v>265</v>
      </c>
      <c r="D45" s="93">
        <v>45749</v>
      </c>
      <c r="E45" s="37" t="s">
        <v>266</v>
      </c>
      <c r="F45" s="100">
        <f t="shared" si="2"/>
        <v>0.63888888888322981</v>
      </c>
    </row>
    <row r="46" spans="1:9">
      <c r="A46" s="37" t="s">
        <v>229</v>
      </c>
      <c r="B46" s="93">
        <v>45748</v>
      </c>
      <c r="C46" s="37" t="s">
        <v>267</v>
      </c>
      <c r="D46" s="93">
        <v>45748</v>
      </c>
      <c r="E46" s="37" t="s">
        <v>268</v>
      </c>
      <c r="F46" s="100">
        <f t="shared" si="2"/>
        <v>7.1527777778101154E-2</v>
      </c>
    </row>
    <row r="47" spans="1:9">
      <c r="A47" s="37" t="s">
        <v>245</v>
      </c>
      <c r="B47" s="93">
        <v>45748</v>
      </c>
      <c r="C47" s="37" t="s">
        <v>269</v>
      </c>
      <c r="D47" s="93">
        <v>45748</v>
      </c>
      <c r="E47" s="37" t="s">
        <v>270</v>
      </c>
      <c r="F47" s="100">
        <f t="shared" si="2"/>
        <v>2.0138888889050577E-2</v>
      </c>
    </row>
    <row r="48" spans="1:9">
      <c r="A48" s="37" t="s">
        <v>232</v>
      </c>
      <c r="B48" s="93">
        <v>45748</v>
      </c>
      <c r="C48" s="37" t="s">
        <v>271</v>
      </c>
      <c r="D48" s="93">
        <v>45748</v>
      </c>
      <c r="E48" s="37" t="s">
        <v>272</v>
      </c>
      <c r="F48" s="100">
        <f t="shared" si="2"/>
        <v>6.7361111105128657E-2</v>
      </c>
    </row>
    <row r="49" spans="1:8">
      <c r="A49" s="37" t="s">
        <v>234</v>
      </c>
      <c r="B49" s="93">
        <v>45748</v>
      </c>
      <c r="C49" s="37" t="s">
        <v>273</v>
      </c>
      <c r="D49" s="93">
        <v>45748</v>
      </c>
      <c r="E49" s="37" t="s">
        <v>272</v>
      </c>
      <c r="F49" s="100">
        <f t="shared" si="2"/>
        <v>3.4027777772280388E-2</v>
      </c>
    </row>
    <row r="50" spans="1:8">
      <c r="A50" s="37" t="s">
        <v>211</v>
      </c>
      <c r="B50" s="93">
        <v>45748</v>
      </c>
      <c r="C50" s="37" t="s">
        <v>274</v>
      </c>
      <c r="D50" s="93">
        <v>45749</v>
      </c>
      <c r="E50" s="37" t="s">
        <v>216</v>
      </c>
      <c r="F50" s="100">
        <f t="shared" si="2"/>
        <v>0.50069444443943212</v>
      </c>
    </row>
    <row r="51" spans="1:8">
      <c r="A51" s="37" t="s">
        <v>177</v>
      </c>
      <c r="B51" s="93">
        <v>45748</v>
      </c>
      <c r="C51" s="37" t="s">
        <v>275</v>
      </c>
      <c r="D51" s="93">
        <v>45749</v>
      </c>
      <c r="E51" s="37" t="s">
        <v>276</v>
      </c>
      <c r="F51" s="100">
        <f t="shared" si="2"/>
        <v>0.58055555555620231</v>
      </c>
    </row>
    <row r="52" spans="1:8">
      <c r="A52" s="37" t="s">
        <v>236</v>
      </c>
      <c r="B52" s="93">
        <v>45748</v>
      </c>
      <c r="C52" s="37" t="s">
        <v>277</v>
      </c>
      <c r="D52" s="93">
        <v>45748</v>
      </c>
      <c r="E52" s="37" t="s">
        <v>278</v>
      </c>
      <c r="F52" s="100">
        <f t="shared" si="2"/>
        <v>2.1527777775190771E-2</v>
      </c>
    </row>
    <row r="53" spans="1:8">
      <c r="A53" s="37" t="s">
        <v>279</v>
      </c>
      <c r="B53" s="93">
        <v>45748</v>
      </c>
      <c r="C53" s="37" t="s">
        <v>280</v>
      </c>
      <c r="D53" s="93">
        <v>45748</v>
      </c>
      <c r="E53" s="37" t="s">
        <v>281</v>
      </c>
      <c r="F53" s="100">
        <f t="shared" si="2"/>
        <v>1.3194444443797693E-2</v>
      </c>
    </row>
    <row r="54" spans="1:8">
      <c r="A54" s="37" t="s">
        <v>279</v>
      </c>
      <c r="B54" s="93">
        <v>45748</v>
      </c>
      <c r="C54" s="37" t="s">
        <v>282</v>
      </c>
      <c r="D54" s="93">
        <v>45748</v>
      </c>
      <c r="E54" s="37" t="s">
        <v>283</v>
      </c>
      <c r="F54" s="100">
        <f t="shared" si="2"/>
        <v>5.5555555591126904E-3</v>
      </c>
    </row>
    <row r="55" spans="1:8">
      <c r="A55" s="37" t="s">
        <v>225</v>
      </c>
      <c r="B55" s="93">
        <v>45748</v>
      </c>
      <c r="C55" s="37" t="s">
        <v>284</v>
      </c>
      <c r="D55" s="93">
        <v>45748</v>
      </c>
      <c r="E55" s="37" t="s">
        <v>222</v>
      </c>
      <c r="F55" s="100">
        <f t="shared" si="2"/>
        <v>0.70902777777519077</v>
      </c>
    </row>
    <row r="56" spans="1:8">
      <c r="A56" s="37" t="s">
        <v>217</v>
      </c>
      <c r="B56" s="93">
        <v>45748</v>
      </c>
      <c r="C56" s="37" t="s">
        <v>212</v>
      </c>
      <c r="D56" s="93">
        <v>45749</v>
      </c>
      <c r="E56" s="37" t="s">
        <v>213</v>
      </c>
      <c r="F56" s="100">
        <f t="shared" si="2"/>
        <v>0.50069444443943212</v>
      </c>
    </row>
    <row r="57" spans="1:8">
      <c r="A57" s="37" t="s">
        <v>220</v>
      </c>
      <c r="B57" s="93">
        <v>45748</v>
      </c>
      <c r="C57" s="37" t="s">
        <v>212</v>
      </c>
      <c r="D57" s="93">
        <v>45749</v>
      </c>
      <c r="E57" s="37" t="s">
        <v>213</v>
      </c>
      <c r="F57" s="100">
        <f t="shared" si="2"/>
        <v>0.50069444443943212</v>
      </c>
    </row>
    <row r="58" spans="1:8">
      <c r="A58" s="37" t="s">
        <v>214</v>
      </c>
      <c r="B58" s="93">
        <v>45748</v>
      </c>
      <c r="C58" s="37" t="s">
        <v>285</v>
      </c>
      <c r="D58" s="93">
        <v>45748</v>
      </c>
      <c r="E58" s="37" t="s">
        <v>286</v>
      </c>
      <c r="F58" s="100">
        <f t="shared" ref="F58:F89" si="3">(D58 + TIME(LEFT(E58, 2), MID(E58, 3, 2), 0)) - (B58 + TIME(LEFT(C58, 2), MID(C58, 3, 2), 0))</f>
        <v>3.6805555551836733E-2</v>
      </c>
    </row>
    <row r="59" spans="1:8">
      <c r="A59" s="37" t="s">
        <v>279</v>
      </c>
      <c r="B59" s="93">
        <v>45748</v>
      </c>
      <c r="C59" s="37" t="s">
        <v>287</v>
      </c>
      <c r="D59" s="93">
        <v>45748</v>
      </c>
      <c r="E59" s="37" t="s">
        <v>288</v>
      </c>
      <c r="F59" s="100">
        <f t="shared" si="3"/>
        <v>7.6388888846850023E-3</v>
      </c>
    </row>
    <row r="60" spans="1:8">
      <c r="A60" s="37" t="s">
        <v>239</v>
      </c>
      <c r="B60" s="93">
        <v>45748</v>
      </c>
      <c r="C60" s="37" t="s">
        <v>289</v>
      </c>
      <c r="D60" s="93">
        <v>45748</v>
      </c>
      <c r="E60" s="37" t="s">
        <v>290</v>
      </c>
      <c r="F60" s="100">
        <f t="shared" si="3"/>
        <v>1.4583333329937886E-2</v>
      </c>
    </row>
    <row r="61" spans="1:8">
      <c r="A61" s="37" t="s">
        <v>226</v>
      </c>
      <c r="B61" s="93">
        <v>45748</v>
      </c>
      <c r="C61" s="37" t="s">
        <v>289</v>
      </c>
      <c r="D61" s="93">
        <v>45748</v>
      </c>
      <c r="E61" s="37" t="s">
        <v>291</v>
      </c>
      <c r="F61" s="100">
        <f t="shared" si="3"/>
        <v>2.8472222220443655E-2</v>
      </c>
    </row>
    <row r="62" spans="1:8">
      <c r="A62" s="37" t="s">
        <v>245</v>
      </c>
      <c r="B62" s="93">
        <v>45748</v>
      </c>
      <c r="C62" s="37" t="s">
        <v>289</v>
      </c>
      <c r="D62" s="93">
        <v>45748</v>
      </c>
      <c r="E62" s="37" t="s">
        <v>292</v>
      </c>
      <c r="F62" s="100">
        <f t="shared" si="3"/>
        <v>1.9444444442342501E-2</v>
      </c>
    </row>
    <row r="63" spans="1:8">
      <c r="A63" s="37" t="s">
        <v>242</v>
      </c>
      <c r="B63" s="93">
        <v>45748</v>
      </c>
      <c r="C63" s="37" t="s">
        <v>264</v>
      </c>
      <c r="D63" s="93">
        <v>45749</v>
      </c>
      <c r="E63" s="37" t="s">
        <v>293</v>
      </c>
      <c r="F63" s="100">
        <f t="shared" si="3"/>
        <v>0.37638888888614019</v>
      </c>
      <c r="G63" s="37" t="s">
        <v>294</v>
      </c>
      <c r="H63" s="94" t="s">
        <v>295</v>
      </c>
    </row>
    <row r="64" spans="1:8">
      <c r="A64" s="37" t="s">
        <v>229</v>
      </c>
      <c r="B64" s="93">
        <v>45748</v>
      </c>
      <c r="C64" s="37" t="s">
        <v>296</v>
      </c>
      <c r="D64" s="93">
        <v>45748</v>
      </c>
      <c r="E64" s="37" t="s">
        <v>297</v>
      </c>
      <c r="F64" s="100">
        <f t="shared" si="3"/>
        <v>2.8472222220443655E-2</v>
      </c>
    </row>
    <row r="65" spans="1:6">
      <c r="A65" s="37" t="s">
        <v>232</v>
      </c>
      <c r="B65" s="93">
        <v>45748</v>
      </c>
      <c r="C65" s="37" t="s">
        <v>296</v>
      </c>
      <c r="D65" s="93">
        <v>45748</v>
      </c>
      <c r="E65" s="37" t="s">
        <v>298</v>
      </c>
      <c r="F65" s="100">
        <f t="shared" si="3"/>
        <v>3.2638888886140194E-2</v>
      </c>
    </row>
    <row r="66" spans="1:6">
      <c r="A66" s="37" t="s">
        <v>232</v>
      </c>
      <c r="B66" s="93">
        <v>45748</v>
      </c>
      <c r="C66" s="37" t="s">
        <v>299</v>
      </c>
      <c r="D66" s="93">
        <v>45748</v>
      </c>
      <c r="E66" s="37" t="s">
        <v>300</v>
      </c>
      <c r="F66" s="100">
        <f t="shared" si="3"/>
        <v>9.0277777781011537E-3</v>
      </c>
    </row>
    <row r="67" spans="1:6">
      <c r="A67" s="37" t="s">
        <v>239</v>
      </c>
      <c r="B67" s="93">
        <v>45748</v>
      </c>
      <c r="C67" s="37" t="s">
        <v>299</v>
      </c>
      <c r="D67" s="93">
        <v>45748</v>
      </c>
      <c r="E67" s="37" t="s">
        <v>301</v>
      </c>
      <c r="F67" s="100">
        <f t="shared" si="3"/>
        <v>5.5555555591126904E-3</v>
      </c>
    </row>
    <row r="68" spans="1:6">
      <c r="A68" s="37" t="s">
        <v>234</v>
      </c>
      <c r="B68" s="93">
        <v>45748</v>
      </c>
      <c r="C68" s="37" t="s">
        <v>299</v>
      </c>
      <c r="D68" s="93">
        <v>45748</v>
      </c>
      <c r="E68" s="37" t="s">
        <v>302</v>
      </c>
      <c r="F68" s="100">
        <f t="shared" si="3"/>
        <v>1.8750000002910383E-2</v>
      </c>
    </row>
    <row r="69" spans="1:6">
      <c r="A69" s="37" t="s">
        <v>236</v>
      </c>
      <c r="B69" s="93">
        <v>45748</v>
      </c>
      <c r="C69" s="37" t="s">
        <v>299</v>
      </c>
      <c r="D69" s="93">
        <v>45748</v>
      </c>
      <c r="E69" s="37" t="s">
        <v>303</v>
      </c>
      <c r="F69" s="100">
        <f t="shared" si="3"/>
        <v>2.5694444448163267E-2</v>
      </c>
    </row>
    <row r="70" spans="1:6">
      <c r="A70" s="37" t="s">
        <v>236</v>
      </c>
      <c r="B70" s="93">
        <v>45748</v>
      </c>
      <c r="C70" s="37" t="s">
        <v>304</v>
      </c>
      <c r="D70" s="93">
        <v>45749</v>
      </c>
      <c r="E70" s="37" t="s">
        <v>305</v>
      </c>
      <c r="F70" s="100">
        <f t="shared" si="3"/>
        <v>6.2499999985448085E-3</v>
      </c>
    </row>
    <row r="71" spans="1:6">
      <c r="A71" s="37" t="s">
        <v>214</v>
      </c>
      <c r="B71" s="93">
        <v>45749</v>
      </c>
      <c r="C71" s="37" t="s">
        <v>223</v>
      </c>
      <c r="D71" s="93">
        <v>45749</v>
      </c>
      <c r="E71" s="37" t="s">
        <v>306</v>
      </c>
      <c r="F71" s="100">
        <f t="shared" si="3"/>
        <v>0.50138888888614019</v>
      </c>
    </row>
    <row r="72" spans="1:6">
      <c r="A72" s="37" t="s">
        <v>234</v>
      </c>
      <c r="B72" s="93">
        <v>45749</v>
      </c>
      <c r="C72" s="37" t="s">
        <v>276</v>
      </c>
      <c r="D72" s="93">
        <v>45749</v>
      </c>
      <c r="E72" s="37" t="s">
        <v>307</v>
      </c>
      <c r="F72" s="100">
        <f t="shared" si="3"/>
        <v>2.7777777795563452E-3</v>
      </c>
    </row>
    <row r="73" spans="1:6">
      <c r="A73" s="37" t="s">
        <v>236</v>
      </c>
      <c r="B73" s="93">
        <v>45749</v>
      </c>
      <c r="C73" s="37" t="s">
        <v>276</v>
      </c>
      <c r="D73" s="93">
        <v>45749</v>
      </c>
      <c r="E73" s="37" t="s">
        <v>308</v>
      </c>
      <c r="F73" s="100">
        <f t="shared" si="3"/>
        <v>6.2500000058207661E-3</v>
      </c>
    </row>
    <row r="74" spans="1:6">
      <c r="A74" s="37" t="s">
        <v>186</v>
      </c>
      <c r="B74" s="93">
        <v>45749</v>
      </c>
      <c r="C74" s="37" t="s">
        <v>309</v>
      </c>
      <c r="D74" s="93">
        <v>45750</v>
      </c>
      <c r="E74" s="37" t="s">
        <v>310</v>
      </c>
      <c r="F74" s="100">
        <f t="shared" si="3"/>
        <v>0.86180555554892635</v>
      </c>
    </row>
    <row r="75" spans="1:6">
      <c r="A75" s="37" t="s">
        <v>236</v>
      </c>
      <c r="B75" s="93">
        <v>45749</v>
      </c>
      <c r="C75" s="37" t="s">
        <v>311</v>
      </c>
      <c r="D75" s="93">
        <v>45749</v>
      </c>
      <c r="E75" s="37" t="s">
        <v>312</v>
      </c>
      <c r="F75" s="100">
        <f t="shared" si="3"/>
        <v>6.2499999985448085E-3</v>
      </c>
    </row>
    <row r="76" spans="1:6">
      <c r="A76" s="37" t="s">
        <v>239</v>
      </c>
      <c r="B76" s="93">
        <v>45749</v>
      </c>
      <c r="C76" s="37" t="s">
        <v>313</v>
      </c>
      <c r="D76" s="93">
        <v>45749</v>
      </c>
      <c r="E76" s="37" t="s">
        <v>314</v>
      </c>
      <c r="F76" s="100">
        <f t="shared" si="3"/>
        <v>2.2916666661330964E-2</v>
      </c>
    </row>
    <row r="77" spans="1:6">
      <c r="A77" s="37" t="s">
        <v>248</v>
      </c>
      <c r="B77" s="93">
        <v>45749</v>
      </c>
      <c r="C77" s="37" t="s">
        <v>312</v>
      </c>
      <c r="D77" s="93">
        <v>45749</v>
      </c>
      <c r="E77" s="37" t="s">
        <v>315</v>
      </c>
      <c r="F77" s="100">
        <f t="shared" si="3"/>
        <v>0.68680555555329192</v>
      </c>
    </row>
    <row r="78" spans="1:6">
      <c r="A78" s="37" t="s">
        <v>225</v>
      </c>
      <c r="B78" s="93">
        <v>45749</v>
      </c>
      <c r="C78" s="37" t="s">
        <v>218</v>
      </c>
      <c r="D78" s="93">
        <v>45749</v>
      </c>
      <c r="E78" s="37" t="s">
        <v>222</v>
      </c>
      <c r="F78" s="100">
        <f t="shared" si="3"/>
        <v>0.50069444443943212</v>
      </c>
    </row>
    <row r="79" spans="1:6">
      <c r="A79" s="37" t="s">
        <v>242</v>
      </c>
      <c r="B79" s="93">
        <v>45749</v>
      </c>
      <c r="C79" s="37" t="s">
        <v>316</v>
      </c>
      <c r="D79" s="93">
        <v>45750</v>
      </c>
      <c r="E79" s="37" t="s">
        <v>201</v>
      </c>
      <c r="F79" s="100">
        <f t="shared" si="3"/>
        <v>0.71805555556056788</v>
      </c>
    </row>
    <row r="80" spans="1:6">
      <c r="A80" s="37" t="s">
        <v>183</v>
      </c>
      <c r="B80" s="93">
        <v>45749</v>
      </c>
      <c r="C80" s="37" t="s">
        <v>260</v>
      </c>
      <c r="D80" s="93">
        <v>45749</v>
      </c>
      <c r="E80" s="37" t="s">
        <v>317</v>
      </c>
      <c r="F80" s="100">
        <f t="shared" si="3"/>
        <v>0.51597222222335404</v>
      </c>
    </row>
    <row r="81" spans="1:6">
      <c r="A81" s="37" t="s">
        <v>245</v>
      </c>
      <c r="B81" s="93">
        <v>45749</v>
      </c>
      <c r="C81" s="37" t="s">
        <v>187</v>
      </c>
      <c r="D81" s="93">
        <v>45749</v>
      </c>
      <c r="E81" s="37" t="s">
        <v>318</v>
      </c>
      <c r="F81" s="100">
        <f t="shared" si="3"/>
        <v>4.0972222217533272E-2</v>
      </c>
    </row>
    <row r="82" spans="1:6">
      <c r="A82" s="37" t="s">
        <v>226</v>
      </c>
      <c r="B82" s="93">
        <v>45749</v>
      </c>
      <c r="C82" s="37" t="s">
        <v>319</v>
      </c>
      <c r="D82" s="93">
        <v>45749</v>
      </c>
      <c r="E82" s="37" t="s">
        <v>320</v>
      </c>
      <c r="F82" s="100">
        <f t="shared" si="3"/>
        <v>2.1527777782466728E-2</v>
      </c>
    </row>
    <row r="83" spans="1:6">
      <c r="A83" s="37" t="s">
        <v>232</v>
      </c>
      <c r="B83" s="93">
        <v>45749</v>
      </c>
      <c r="C83" s="37" t="s">
        <v>321</v>
      </c>
      <c r="D83" s="93">
        <v>45749</v>
      </c>
      <c r="E83" s="37" t="s">
        <v>258</v>
      </c>
      <c r="F83" s="100">
        <f t="shared" si="3"/>
        <v>1.9444444442342501E-2</v>
      </c>
    </row>
    <row r="84" spans="1:6">
      <c r="A84" s="37" t="s">
        <v>234</v>
      </c>
      <c r="B84" s="93">
        <v>45749</v>
      </c>
      <c r="C84" s="37" t="s">
        <v>262</v>
      </c>
      <c r="D84" s="93">
        <v>45749</v>
      </c>
      <c r="E84" s="37" t="s">
        <v>322</v>
      </c>
      <c r="F84" s="100">
        <f t="shared" si="3"/>
        <v>1.4583333337213844E-2</v>
      </c>
    </row>
    <row r="85" spans="1:6">
      <c r="A85" s="37" t="s">
        <v>236</v>
      </c>
      <c r="B85" s="93">
        <v>45749</v>
      </c>
      <c r="C85" s="37" t="s">
        <v>323</v>
      </c>
      <c r="D85" s="93">
        <v>45749</v>
      </c>
      <c r="E85" s="37" t="s">
        <v>320</v>
      </c>
      <c r="F85" s="100">
        <f t="shared" si="3"/>
        <v>1.0416666671517305E-2</v>
      </c>
    </row>
    <row r="86" spans="1:6">
      <c r="A86" s="37" t="s">
        <v>177</v>
      </c>
      <c r="B86" s="93">
        <v>45749</v>
      </c>
      <c r="C86" s="37" t="s">
        <v>324</v>
      </c>
      <c r="D86" s="93">
        <v>45750</v>
      </c>
      <c r="E86" s="37" t="s">
        <v>325</v>
      </c>
      <c r="F86" s="100">
        <f t="shared" si="3"/>
        <v>1.4111111111124046</v>
      </c>
    </row>
    <row r="87" spans="1:6">
      <c r="A87" s="37" t="s">
        <v>239</v>
      </c>
      <c r="B87" s="93">
        <v>45749</v>
      </c>
      <c r="C87" s="37" t="s">
        <v>326</v>
      </c>
      <c r="D87" s="93">
        <v>45749</v>
      </c>
      <c r="E87" s="37" t="s">
        <v>327</v>
      </c>
      <c r="F87" s="100">
        <f t="shared" si="3"/>
        <v>6.4583333332848269E-2</v>
      </c>
    </row>
    <row r="88" spans="1:6">
      <c r="A88" s="37" t="s">
        <v>245</v>
      </c>
      <c r="B88" s="93">
        <v>45749</v>
      </c>
      <c r="C88" s="37" t="s">
        <v>328</v>
      </c>
      <c r="D88" s="93">
        <v>45749</v>
      </c>
      <c r="E88" s="37" t="s">
        <v>329</v>
      </c>
      <c r="F88" s="100">
        <f t="shared" si="3"/>
        <v>0.10624999999708962</v>
      </c>
    </row>
    <row r="89" spans="1:6">
      <c r="A89" s="37" t="s">
        <v>226</v>
      </c>
      <c r="B89" s="93">
        <v>45749</v>
      </c>
      <c r="C89" s="37" t="s">
        <v>330</v>
      </c>
      <c r="D89" s="93">
        <v>45749</v>
      </c>
      <c r="E89" s="37" t="s">
        <v>329</v>
      </c>
      <c r="F89" s="100">
        <f t="shared" si="3"/>
        <v>4.8611111109494232E-2</v>
      </c>
    </row>
    <row r="90" spans="1:6">
      <c r="A90" s="37" t="s">
        <v>211</v>
      </c>
      <c r="B90" s="93">
        <v>45749</v>
      </c>
      <c r="C90" s="37" t="s">
        <v>218</v>
      </c>
      <c r="D90" s="93">
        <v>45749</v>
      </c>
      <c r="E90" s="37" t="s">
        <v>222</v>
      </c>
      <c r="F90" s="100">
        <f t="shared" ref="F90:F119" si="4">(D90 + TIME(LEFT(E90, 2), MID(E90, 3, 2), 0)) - (B90 + TIME(LEFT(C90, 2), MID(C90, 3, 2), 0))</f>
        <v>0.50069444443943212</v>
      </c>
    </row>
    <row r="91" spans="1:6">
      <c r="A91" s="37" t="s">
        <v>220</v>
      </c>
      <c r="B91" s="93">
        <v>45749</v>
      </c>
      <c r="C91" s="37" t="s">
        <v>274</v>
      </c>
      <c r="D91" s="93">
        <v>45750</v>
      </c>
      <c r="E91" s="37" t="s">
        <v>216</v>
      </c>
      <c r="F91" s="100">
        <f t="shared" si="4"/>
        <v>0.50069444443943212</v>
      </c>
    </row>
    <row r="92" spans="1:6">
      <c r="A92" s="37" t="s">
        <v>232</v>
      </c>
      <c r="B92" s="93">
        <v>45749</v>
      </c>
      <c r="C92" s="37" t="s">
        <v>331</v>
      </c>
      <c r="D92" s="93">
        <v>45749</v>
      </c>
      <c r="E92" s="37" t="s">
        <v>332</v>
      </c>
      <c r="F92" s="100">
        <f t="shared" si="4"/>
        <v>4.0972222224809229E-2</v>
      </c>
    </row>
    <row r="93" spans="1:6">
      <c r="A93" s="37" t="s">
        <v>234</v>
      </c>
      <c r="B93" s="93">
        <v>45749</v>
      </c>
      <c r="C93" s="37" t="s">
        <v>333</v>
      </c>
      <c r="D93" s="93">
        <v>45749</v>
      </c>
      <c r="E93" s="37" t="s">
        <v>334</v>
      </c>
      <c r="F93" s="100">
        <f t="shared" si="4"/>
        <v>2.9166666667151731E-2</v>
      </c>
    </row>
    <row r="94" spans="1:6">
      <c r="A94" s="37" t="s">
        <v>335</v>
      </c>
      <c r="B94" s="93">
        <v>45749</v>
      </c>
      <c r="C94" s="37" t="s">
        <v>336</v>
      </c>
      <c r="D94" s="93">
        <v>45749</v>
      </c>
      <c r="E94" s="37" t="s">
        <v>337</v>
      </c>
      <c r="F94" s="100">
        <f t="shared" si="4"/>
        <v>0.34999999999854481</v>
      </c>
    </row>
    <row r="95" spans="1:6">
      <c r="A95" s="37" t="s">
        <v>279</v>
      </c>
      <c r="B95" s="93">
        <v>45749</v>
      </c>
      <c r="C95" s="37" t="s">
        <v>338</v>
      </c>
      <c r="D95" s="93">
        <v>45749</v>
      </c>
      <c r="E95" s="37" t="s">
        <v>339</v>
      </c>
      <c r="F95" s="100">
        <f t="shared" si="4"/>
        <v>6.9444443943211809E-4</v>
      </c>
    </row>
    <row r="96" spans="1:6">
      <c r="A96" s="37" t="s">
        <v>279</v>
      </c>
      <c r="B96" s="93">
        <v>45749</v>
      </c>
      <c r="C96" s="37" t="s">
        <v>340</v>
      </c>
      <c r="D96" s="93">
        <v>45749</v>
      </c>
      <c r="E96" s="37" t="s">
        <v>341</v>
      </c>
      <c r="F96" s="100">
        <f t="shared" si="4"/>
        <v>2.8472222227719612E-2</v>
      </c>
    </row>
    <row r="97" spans="1:8">
      <c r="A97" s="37" t="s">
        <v>214</v>
      </c>
      <c r="B97" s="93">
        <v>45749</v>
      </c>
      <c r="C97" s="37" t="s">
        <v>212</v>
      </c>
      <c r="D97" s="93">
        <v>45750</v>
      </c>
      <c r="E97" s="37" t="s">
        <v>213</v>
      </c>
      <c r="F97" s="100">
        <f t="shared" si="4"/>
        <v>0.50069444443943212</v>
      </c>
    </row>
    <row r="98" spans="1:8">
      <c r="A98" s="37" t="s">
        <v>217</v>
      </c>
      <c r="B98" s="93">
        <v>45749</v>
      </c>
      <c r="C98" s="37" t="s">
        <v>212</v>
      </c>
      <c r="D98" s="93">
        <v>45749</v>
      </c>
      <c r="E98" s="37" t="s">
        <v>342</v>
      </c>
      <c r="F98" s="100">
        <f t="shared" si="4"/>
        <v>6.4583333332848269E-2</v>
      </c>
    </row>
    <row r="99" spans="1:8">
      <c r="A99" s="37" t="s">
        <v>211</v>
      </c>
      <c r="B99" s="93">
        <v>45749</v>
      </c>
      <c r="C99" s="37" t="s">
        <v>343</v>
      </c>
      <c r="D99" s="93">
        <v>45749</v>
      </c>
      <c r="E99" s="37" t="s">
        <v>344</v>
      </c>
      <c r="F99" s="100">
        <f t="shared" si="4"/>
        <v>6.805555555911269E-2</v>
      </c>
    </row>
    <row r="100" spans="1:8">
      <c r="A100" s="37" t="s">
        <v>217</v>
      </c>
      <c r="B100" s="93">
        <v>45749</v>
      </c>
      <c r="C100" s="37" t="s">
        <v>345</v>
      </c>
      <c r="D100" s="93">
        <v>45750</v>
      </c>
      <c r="E100" s="37" t="s">
        <v>346</v>
      </c>
      <c r="F100" s="100">
        <f t="shared" si="4"/>
        <v>0.40069444444088731</v>
      </c>
    </row>
    <row r="101" spans="1:8">
      <c r="A101" s="37" t="s">
        <v>248</v>
      </c>
      <c r="B101" s="93">
        <v>45749</v>
      </c>
      <c r="C101" s="37" t="s">
        <v>315</v>
      </c>
      <c r="D101" s="93">
        <v>45750</v>
      </c>
      <c r="E101" s="37" t="s">
        <v>347</v>
      </c>
      <c r="F101" s="100">
        <f t="shared" si="4"/>
        <v>0.23472222222335404</v>
      </c>
      <c r="G101" s="37" t="s">
        <v>9</v>
      </c>
    </row>
    <row r="102" spans="1:8">
      <c r="A102" s="37" t="s">
        <v>239</v>
      </c>
      <c r="B102" s="93">
        <v>45749</v>
      </c>
      <c r="C102" s="37" t="s">
        <v>348</v>
      </c>
      <c r="D102" s="93">
        <v>45749</v>
      </c>
      <c r="E102" s="37" t="s">
        <v>349</v>
      </c>
      <c r="F102" s="100">
        <f t="shared" si="4"/>
        <v>1.6666666662786156E-2</v>
      </c>
    </row>
    <row r="103" spans="1:8">
      <c r="A103" s="37" t="s">
        <v>226</v>
      </c>
      <c r="B103" s="93">
        <v>45749</v>
      </c>
      <c r="C103" s="37" t="s">
        <v>348</v>
      </c>
      <c r="D103" s="93">
        <v>45749</v>
      </c>
      <c r="E103" s="37" t="s">
        <v>350</v>
      </c>
      <c r="F103" s="100">
        <f t="shared" si="4"/>
        <v>3.8888888884685002E-2</v>
      </c>
    </row>
    <row r="104" spans="1:8">
      <c r="A104" s="37" t="s">
        <v>236</v>
      </c>
      <c r="B104" s="93">
        <v>45749</v>
      </c>
      <c r="C104" s="37" t="s">
        <v>348</v>
      </c>
      <c r="D104" s="93">
        <v>45749</v>
      </c>
      <c r="E104" s="37" t="s">
        <v>351</v>
      </c>
      <c r="F104" s="100">
        <f t="shared" si="4"/>
        <v>7.6388888846850023E-3</v>
      </c>
    </row>
    <row r="105" spans="1:8">
      <c r="A105" s="37" t="s">
        <v>245</v>
      </c>
      <c r="B105" s="93">
        <v>45749</v>
      </c>
      <c r="C105" s="37" t="s">
        <v>348</v>
      </c>
      <c r="D105" s="93">
        <v>45749</v>
      </c>
      <c r="E105" s="37" t="s">
        <v>352</v>
      </c>
      <c r="F105" s="100">
        <f t="shared" si="4"/>
        <v>2.9861111106583849E-2</v>
      </c>
    </row>
    <row r="106" spans="1:8">
      <c r="A106" s="37" t="s">
        <v>211</v>
      </c>
      <c r="B106" s="93">
        <v>45750</v>
      </c>
      <c r="C106" s="37" t="s">
        <v>223</v>
      </c>
      <c r="D106" s="93">
        <v>45750</v>
      </c>
      <c r="E106" s="37" t="s">
        <v>306</v>
      </c>
      <c r="F106" s="100">
        <f t="shared" si="4"/>
        <v>0.50138888888614019</v>
      </c>
    </row>
    <row r="107" spans="1:8">
      <c r="A107" s="37" t="s">
        <v>248</v>
      </c>
      <c r="B107" s="93">
        <v>45750</v>
      </c>
      <c r="C107" s="37" t="s">
        <v>347</v>
      </c>
      <c r="D107" s="93">
        <v>45750</v>
      </c>
      <c r="E107" s="37" t="s">
        <v>353</v>
      </c>
      <c r="F107" s="100">
        <f t="shared" si="4"/>
        <v>2.6388888887595385E-2</v>
      </c>
      <c r="H107" s="94" t="s">
        <v>354</v>
      </c>
    </row>
    <row r="108" spans="1:8">
      <c r="A108" s="37" t="s">
        <v>245</v>
      </c>
      <c r="B108" s="93">
        <v>45750</v>
      </c>
      <c r="C108" s="37" t="s">
        <v>355</v>
      </c>
      <c r="D108" s="93">
        <v>45750</v>
      </c>
      <c r="E108" s="37" t="s">
        <v>246</v>
      </c>
      <c r="F108" s="100">
        <f t="shared" si="4"/>
        <v>2.7777777795563452E-3</v>
      </c>
    </row>
    <row r="109" spans="1:8">
      <c r="A109" s="37" t="s">
        <v>186</v>
      </c>
      <c r="B109" s="93">
        <v>45750</v>
      </c>
      <c r="C109" s="37" t="s">
        <v>356</v>
      </c>
      <c r="D109" s="93">
        <v>45750</v>
      </c>
      <c r="E109" s="37" t="s">
        <v>357</v>
      </c>
      <c r="F109" s="100">
        <f t="shared" si="4"/>
        <v>0.71597222222044365</v>
      </c>
    </row>
    <row r="110" spans="1:8">
      <c r="A110" s="37" t="s">
        <v>220</v>
      </c>
      <c r="B110" s="93">
        <v>45750</v>
      </c>
      <c r="C110" s="37" t="s">
        <v>218</v>
      </c>
      <c r="D110" s="93">
        <v>45750</v>
      </c>
      <c r="E110" s="37" t="s">
        <v>222</v>
      </c>
      <c r="F110" s="100">
        <f t="shared" si="4"/>
        <v>0.50069444443943212</v>
      </c>
    </row>
    <row r="111" spans="1:8">
      <c r="A111" s="37" t="s">
        <v>225</v>
      </c>
      <c r="B111" s="93">
        <v>45750</v>
      </c>
      <c r="C111" s="37" t="s">
        <v>358</v>
      </c>
      <c r="D111" s="93">
        <v>45750</v>
      </c>
      <c r="E111" s="37" t="s">
        <v>359</v>
      </c>
      <c r="F111" s="100">
        <f t="shared" si="4"/>
        <v>0.45625000000291038</v>
      </c>
    </row>
    <row r="112" spans="1:8">
      <c r="A112" s="37" t="s">
        <v>242</v>
      </c>
      <c r="B112" s="93">
        <v>45750</v>
      </c>
      <c r="C112" s="37" t="s">
        <v>360</v>
      </c>
      <c r="D112" s="93">
        <v>45751</v>
      </c>
      <c r="E112" s="37" t="s">
        <v>361</v>
      </c>
      <c r="F112" s="100">
        <f t="shared" si="4"/>
        <v>0.70625000000291038</v>
      </c>
    </row>
    <row r="113" spans="1:6">
      <c r="A113" s="37" t="s">
        <v>239</v>
      </c>
      <c r="B113" s="93">
        <v>45750</v>
      </c>
      <c r="C113" s="37" t="s">
        <v>362</v>
      </c>
      <c r="D113" s="93">
        <v>45750</v>
      </c>
      <c r="E113" s="37" t="s">
        <v>363</v>
      </c>
      <c r="F113" s="100">
        <f t="shared" si="4"/>
        <v>0.36319444444961846</v>
      </c>
    </row>
    <row r="114" spans="1:6">
      <c r="A114" s="37" t="s">
        <v>245</v>
      </c>
      <c r="B114" s="93">
        <v>45750</v>
      </c>
      <c r="C114" s="37" t="s">
        <v>364</v>
      </c>
      <c r="D114" s="93">
        <v>45750</v>
      </c>
      <c r="E114" s="37" t="s">
        <v>365</v>
      </c>
      <c r="F114" s="100">
        <f t="shared" si="4"/>
        <v>3.0555555553291924E-2</v>
      </c>
    </row>
    <row r="115" spans="1:6">
      <c r="A115" s="37" t="s">
        <v>232</v>
      </c>
      <c r="B115" s="93">
        <v>45750</v>
      </c>
      <c r="C115" s="37" t="s">
        <v>366</v>
      </c>
      <c r="D115" s="93">
        <v>45750</v>
      </c>
      <c r="E115" s="37" t="s">
        <v>367</v>
      </c>
      <c r="F115" s="100">
        <f t="shared" si="4"/>
        <v>4.5833333329937886E-2</v>
      </c>
    </row>
    <row r="116" spans="1:6">
      <c r="A116" s="37" t="s">
        <v>234</v>
      </c>
      <c r="B116" s="93">
        <v>45750</v>
      </c>
      <c r="C116" s="37" t="s">
        <v>368</v>
      </c>
      <c r="D116" s="93">
        <v>45750</v>
      </c>
      <c r="E116" s="37" t="s">
        <v>369</v>
      </c>
      <c r="F116" s="100">
        <f t="shared" si="4"/>
        <v>4.5833333329937886E-2</v>
      </c>
    </row>
    <row r="117" spans="1:6">
      <c r="A117" s="37" t="s">
        <v>183</v>
      </c>
      <c r="B117" s="93">
        <v>45750</v>
      </c>
      <c r="C117" s="37" t="s">
        <v>370</v>
      </c>
      <c r="D117" s="93">
        <v>45750</v>
      </c>
      <c r="E117" s="37" t="s">
        <v>371</v>
      </c>
      <c r="F117" s="100">
        <f t="shared" si="4"/>
        <v>0.22777777777810115</v>
      </c>
    </row>
    <row r="118" spans="1:6">
      <c r="A118" s="37" t="s">
        <v>226</v>
      </c>
      <c r="B118" s="93">
        <v>45750</v>
      </c>
      <c r="C118" s="37" t="s">
        <v>372</v>
      </c>
      <c r="D118" s="93">
        <v>45750</v>
      </c>
      <c r="E118" s="37" t="s">
        <v>365</v>
      </c>
      <c r="F118" s="100">
        <f t="shared" si="4"/>
        <v>1.1111111110949423E-2</v>
      </c>
    </row>
    <row r="119" spans="1:6">
      <c r="A119" s="37" t="s">
        <v>236</v>
      </c>
      <c r="B119" s="93">
        <v>45750</v>
      </c>
      <c r="C119" s="37" t="s">
        <v>251</v>
      </c>
      <c r="D119" s="93">
        <v>45750</v>
      </c>
      <c r="E119" s="37" t="s">
        <v>373</v>
      </c>
      <c r="F119" s="100">
        <f t="shared" si="4"/>
        <v>0.48124999999708962</v>
      </c>
    </row>
    <row r="120" spans="1:6">
      <c r="A120" s="37" t="s">
        <v>248</v>
      </c>
      <c r="B120" s="93">
        <v>45750</v>
      </c>
      <c r="C120" s="37" t="s">
        <v>374</v>
      </c>
      <c r="D120" s="93">
        <v>45751</v>
      </c>
      <c r="E120" s="37" t="s">
        <v>375</v>
      </c>
      <c r="F120" s="100">
        <f>(D120 + TIME(LEFT(E120, 2), MID(E120, 3, 2), 0)) - (B120 + TIME(LEFT(C120, 2), MID(C120, 3, 2), 0))</f>
        <v>1.5611111111065838</v>
      </c>
    </row>
    <row r="121" spans="1:6">
      <c r="A121" s="37" t="s">
        <v>245</v>
      </c>
      <c r="B121" s="93">
        <v>45750</v>
      </c>
      <c r="C121" s="37" t="s">
        <v>376</v>
      </c>
      <c r="D121" s="93">
        <v>45750</v>
      </c>
      <c r="E121" s="37" t="s">
        <v>377</v>
      </c>
      <c r="F121" s="100">
        <f t="shared" ref="F121:F139" si="5">(D121 + TIME(LEFT(E121, 2), MID(E121, 3, 2), 0)) - (B121 + TIME(LEFT(C121, 2), MID(C121, 3, 2), 0))</f>
        <v>6.5972222226264421E-2</v>
      </c>
    </row>
    <row r="122" spans="1:6">
      <c r="A122" s="37" t="s">
        <v>232</v>
      </c>
      <c r="B122" s="93">
        <v>45750</v>
      </c>
      <c r="C122" s="37" t="s">
        <v>378</v>
      </c>
      <c r="D122" s="93">
        <v>45750</v>
      </c>
      <c r="E122" s="37" t="s">
        <v>379</v>
      </c>
      <c r="F122" s="100">
        <f t="shared" si="5"/>
        <v>0.30347222222189885</v>
      </c>
    </row>
    <row r="123" spans="1:6">
      <c r="A123" s="37" t="s">
        <v>226</v>
      </c>
      <c r="B123" s="93">
        <v>45750</v>
      </c>
      <c r="C123" s="37" t="s">
        <v>380</v>
      </c>
      <c r="D123" s="93">
        <v>45750</v>
      </c>
      <c r="E123" s="37" t="s">
        <v>381</v>
      </c>
      <c r="F123" s="100">
        <f t="shared" si="5"/>
        <v>7.7777777776645962E-2</v>
      </c>
    </row>
    <row r="124" spans="1:6">
      <c r="A124" s="37" t="s">
        <v>234</v>
      </c>
      <c r="B124" s="93">
        <v>45750</v>
      </c>
      <c r="C124" s="37" t="s">
        <v>382</v>
      </c>
      <c r="D124" s="93">
        <v>45750</v>
      </c>
      <c r="E124" s="37" t="s">
        <v>383</v>
      </c>
      <c r="F124" s="100">
        <f t="shared" si="5"/>
        <v>0.26875000000291038</v>
      </c>
    </row>
    <row r="125" spans="1:6">
      <c r="A125" s="37" t="s">
        <v>214</v>
      </c>
      <c r="B125" s="93">
        <v>45750</v>
      </c>
      <c r="C125" s="37" t="s">
        <v>381</v>
      </c>
      <c r="D125" s="93">
        <v>45751</v>
      </c>
      <c r="E125" s="37" t="s">
        <v>384</v>
      </c>
      <c r="F125" s="100">
        <f t="shared" si="5"/>
        <v>0.52638888888759539</v>
      </c>
    </row>
    <row r="126" spans="1:6">
      <c r="A126" s="37" t="s">
        <v>245</v>
      </c>
      <c r="B126" s="93">
        <v>45750</v>
      </c>
      <c r="C126" s="37" t="s">
        <v>385</v>
      </c>
      <c r="D126" s="93">
        <v>45750</v>
      </c>
      <c r="E126" s="37" t="s">
        <v>386</v>
      </c>
      <c r="F126" s="100">
        <f t="shared" si="5"/>
        <v>0.18194444444088731</v>
      </c>
    </row>
    <row r="127" spans="1:6">
      <c r="A127" s="37" t="s">
        <v>226</v>
      </c>
      <c r="B127" s="93">
        <v>45750</v>
      </c>
      <c r="C127" s="37" t="s">
        <v>387</v>
      </c>
      <c r="D127" s="93">
        <v>45750</v>
      </c>
      <c r="E127" s="37" t="s">
        <v>386</v>
      </c>
      <c r="F127" s="100">
        <f t="shared" si="5"/>
        <v>0.17638888888905058</v>
      </c>
    </row>
    <row r="128" spans="1:6">
      <c r="A128" s="37" t="s">
        <v>229</v>
      </c>
      <c r="B128" s="93">
        <v>45750</v>
      </c>
      <c r="C128" s="37" t="s">
        <v>172</v>
      </c>
      <c r="D128" s="93">
        <v>45750</v>
      </c>
      <c r="E128" s="37" t="s">
        <v>379</v>
      </c>
      <c r="F128" s="100">
        <f t="shared" si="5"/>
        <v>0.17083333333721384</v>
      </c>
    </row>
    <row r="129" spans="1:8">
      <c r="A129" s="37" t="s">
        <v>388</v>
      </c>
      <c r="B129" s="93">
        <v>45750</v>
      </c>
      <c r="C129" s="37" t="s">
        <v>389</v>
      </c>
      <c r="D129" s="93">
        <v>45750</v>
      </c>
      <c r="E129" s="37" t="s">
        <v>390</v>
      </c>
      <c r="F129" s="100">
        <f t="shared" si="5"/>
        <v>0.18472222222771961</v>
      </c>
    </row>
    <row r="130" spans="1:8">
      <c r="A130" s="37" t="s">
        <v>391</v>
      </c>
      <c r="B130" s="93">
        <v>45750</v>
      </c>
      <c r="C130" s="37" t="s">
        <v>332</v>
      </c>
      <c r="D130" s="93">
        <v>45750</v>
      </c>
      <c r="E130" s="37" t="s">
        <v>392</v>
      </c>
      <c r="F130" s="100">
        <f t="shared" si="5"/>
        <v>0.17916666666860692</v>
      </c>
    </row>
    <row r="131" spans="1:8" ht="41.45">
      <c r="A131" s="37" t="s">
        <v>335</v>
      </c>
      <c r="B131" s="93">
        <v>45750</v>
      </c>
      <c r="C131" s="37" t="s">
        <v>393</v>
      </c>
      <c r="D131" s="93">
        <v>45750</v>
      </c>
      <c r="E131" s="37" t="s">
        <v>339</v>
      </c>
      <c r="F131" s="100">
        <f t="shared" si="5"/>
        <v>0.27638888888759539</v>
      </c>
      <c r="G131" s="37" t="s">
        <v>9</v>
      </c>
      <c r="H131" s="94" t="s">
        <v>394</v>
      </c>
    </row>
    <row r="132" spans="1:8">
      <c r="A132" s="37" t="s">
        <v>395</v>
      </c>
      <c r="B132" s="93">
        <v>45750</v>
      </c>
      <c r="C132" s="37" t="s">
        <v>396</v>
      </c>
      <c r="D132" s="93">
        <v>45750</v>
      </c>
      <c r="E132" s="37" t="s">
        <v>397</v>
      </c>
      <c r="F132" s="100">
        <f t="shared" si="5"/>
        <v>0.25486111111240461</v>
      </c>
    </row>
    <row r="133" spans="1:8">
      <c r="A133" s="37" t="s">
        <v>398</v>
      </c>
      <c r="B133" s="93">
        <v>45750</v>
      </c>
      <c r="C133" s="37" t="s">
        <v>399</v>
      </c>
      <c r="D133" s="93">
        <v>45750</v>
      </c>
      <c r="E133" s="37" t="s">
        <v>400</v>
      </c>
      <c r="F133" s="100">
        <f t="shared" si="5"/>
        <v>2.7777777781011537E-2</v>
      </c>
    </row>
    <row r="134" spans="1:8">
      <c r="A134" s="37" t="s">
        <v>401</v>
      </c>
      <c r="B134" s="93">
        <v>45750</v>
      </c>
      <c r="C134" s="37" t="s">
        <v>399</v>
      </c>
      <c r="D134" s="93">
        <v>45750</v>
      </c>
      <c r="E134" s="37" t="s">
        <v>402</v>
      </c>
      <c r="F134" s="100">
        <f t="shared" si="5"/>
        <v>0.12569444444670808</v>
      </c>
    </row>
    <row r="135" spans="1:8">
      <c r="A135" s="37" t="s">
        <v>403</v>
      </c>
      <c r="B135" s="93">
        <v>45750</v>
      </c>
      <c r="C135" s="37" t="s">
        <v>399</v>
      </c>
      <c r="D135" s="93">
        <v>45750</v>
      </c>
      <c r="E135" s="37" t="s">
        <v>296</v>
      </c>
      <c r="F135" s="100">
        <f t="shared" si="5"/>
        <v>0.27777777778101154</v>
      </c>
    </row>
    <row r="136" spans="1:8">
      <c r="A136" s="37" t="s">
        <v>404</v>
      </c>
      <c r="B136" s="93">
        <v>45750</v>
      </c>
      <c r="C136" s="37" t="s">
        <v>399</v>
      </c>
      <c r="D136" s="93">
        <v>45750</v>
      </c>
      <c r="E136" s="37" t="s">
        <v>405</v>
      </c>
      <c r="F136" s="100">
        <f t="shared" si="5"/>
        <v>0.26250000000436557</v>
      </c>
    </row>
    <row r="137" spans="1:8">
      <c r="A137" s="37" t="s">
        <v>183</v>
      </c>
      <c r="B137" s="93">
        <v>45750</v>
      </c>
      <c r="C137" s="37" t="s">
        <v>371</v>
      </c>
      <c r="D137" s="93">
        <v>45750</v>
      </c>
      <c r="E137" s="37" t="s">
        <v>406</v>
      </c>
      <c r="F137" s="100">
        <f t="shared" si="5"/>
        <v>0.18958333333284827</v>
      </c>
      <c r="G137" s="37" t="s">
        <v>9</v>
      </c>
    </row>
    <row r="138" spans="1:8">
      <c r="A138" s="37" t="s">
        <v>398</v>
      </c>
      <c r="B138" s="93">
        <v>45750</v>
      </c>
      <c r="C138" s="37" t="s">
        <v>407</v>
      </c>
      <c r="D138" s="93">
        <v>45750</v>
      </c>
      <c r="E138" s="37" t="s">
        <v>408</v>
      </c>
      <c r="F138" s="100">
        <f t="shared" si="5"/>
        <v>6.1111111106583849E-2</v>
      </c>
    </row>
    <row r="139" spans="1:8">
      <c r="A139" s="37" t="s">
        <v>164</v>
      </c>
      <c r="B139" s="93">
        <v>45750</v>
      </c>
      <c r="C139" s="37" t="s">
        <v>166</v>
      </c>
      <c r="D139" s="93">
        <v>45750</v>
      </c>
      <c r="E139" s="37" t="s">
        <v>166</v>
      </c>
      <c r="F139" s="100">
        <f t="shared" si="5"/>
        <v>0</v>
      </c>
    </row>
    <row r="140" spans="1:8">
      <c r="A140" s="37" t="s">
        <v>164</v>
      </c>
      <c r="B140" s="93">
        <v>45750</v>
      </c>
      <c r="C140" s="37" t="s">
        <v>166</v>
      </c>
      <c r="D140" s="93">
        <v>45753</v>
      </c>
      <c r="E140" s="37" t="s">
        <v>409</v>
      </c>
      <c r="F140" s="100">
        <f>(D140 + TIME(LEFT(E140, 2), MID(E140, 3, 2), 0)) - (B140 + TIME(LEFT(C140, 2), MID(C140, 3, 2), 0))</f>
        <v>2.7375000000029104</v>
      </c>
      <c r="G140" s="37" t="s">
        <v>9</v>
      </c>
    </row>
    <row r="141" spans="1:8">
      <c r="A141" s="37" t="s">
        <v>217</v>
      </c>
      <c r="B141" s="93">
        <v>45750</v>
      </c>
      <c r="C141" s="37" t="s">
        <v>410</v>
      </c>
      <c r="D141" s="93">
        <v>45751</v>
      </c>
      <c r="E141" s="37" t="s">
        <v>411</v>
      </c>
      <c r="F141" s="100">
        <f>(D141 + TIME(LEFT(E141, 2), MID(E141, 3, 2), 0)) - (B141 + TIME(LEFT(C141, 2), MID(C141, 3, 2), 0))</f>
        <v>0.62638888889341615</v>
      </c>
    </row>
    <row r="142" spans="1:8">
      <c r="A142" s="37" t="s">
        <v>335</v>
      </c>
      <c r="B142" s="93">
        <v>45750</v>
      </c>
      <c r="C142" s="37" t="s">
        <v>339</v>
      </c>
      <c r="D142" s="93">
        <v>45750</v>
      </c>
      <c r="E142" s="37" t="s">
        <v>412</v>
      </c>
      <c r="F142" s="100">
        <f t="shared" ref="F142:F154" si="6">(D142 + TIME(LEFT(E142, 2), MID(E142, 3, 2), 0)) - (B142 + TIME(LEFT(C142, 2), MID(C142, 3, 2), 0))</f>
        <v>3.3333333332848269E-2</v>
      </c>
      <c r="H142" s="94" t="s">
        <v>354</v>
      </c>
    </row>
    <row r="143" spans="1:8">
      <c r="A143" s="37" t="s">
        <v>239</v>
      </c>
      <c r="B143" s="93">
        <v>45750</v>
      </c>
      <c r="C143" s="37" t="s">
        <v>212</v>
      </c>
      <c r="D143" s="93">
        <v>45750</v>
      </c>
      <c r="E143" s="37" t="s">
        <v>413</v>
      </c>
      <c r="F143" s="100">
        <f t="shared" si="6"/>
        <v>0.10902777777664596</v>
      </c>
    </row>
    <row r="144" spans="1:8">
      <c r="A144" s="37" t="s">
        <v>401</v>
      </c>
      <c r="B144" s="93">
        <v>45750</v>
      </c>
      <c r="C144" s="37" t="s">
        <v>212</v>
      </c>
      <c r="D144" s="93">
        <v>45750</v>
      </c>
      <c r="E144" s="37" t="s">
        <v>414</v>
      </c>
      <c r="F144" s="100">
        <f t="shared" si="6"/>
        <v>7.3611111110949423E-2</v>
      </c>
    </row>
    <row r="145" spans="1:8">
      <c r="A145" s="37" t="s">
        <v>211</v>
      </c>
      <c r="B145" s="93">
        <v>45750</v>
      </c>
      <c r="C145" s="37" t="s">
        <v>212</v>
      </c>
      <c r="D145" s="93">
        <v>45751</v>
      </c>
      <c r="E145" s="37" t="s">
        <v>213</v>
      </c>
      <c r="F145" s="100">
        <f t="shared" si="6"/>
        <v>0.50069444443943212</v>
      </c>
    </row>
    <row r="146" spans="1:8">
      <c r="A146" s="37" t="s">
        <v>245</v>
      </c>
      <c r="B146" s="93">
        <v>45750</v>
      </c>
      <c r="C146" s="37" t="s">
        <v>415</v>
      </c>
      <c r="D146" s="93">
        <v>45750</v>
      </c>
      <c r="E146" s="37" t="s">
        <v>416</v>
      </c>
      <c r="F146" s="100">
        <f t="shared" si="6"/>
        <v>0.11111111110949423</v>
      </c>
    </row>
    <row r="147" spans="1:8">
      <c r="A147" s="37" t="s">
        <v>226</v>
      </c>
      <c r="B147" s="93">
        <v>45750</v>
      </c>
      <c r="C147" s="37" t="s">
        <v>417</v>
      </c>
      <c r="D147" s="93">
        <v>45750</v>
      </c>
      <c r="E147" s="37" t="s">
        <v>418</v>
      </c>
      <c r="F147" s="100">
        <f t="shared" si="6"/>
        <v>0.11805555555474712</v>
      </c>
    </row>
    <row r="148" spans="1:8">
      <c r="A148" s="37" t="s">
        <v>335</v>
      </c>
      <c r="B148" s="93">
        <v>45750</v>
      </c>
      <c r="C148" s="37" t="s">
        <v>412</v>
      </c>
      <c r="D148" s="93">
        <v>45750</v>
      </c>
      <c r="E148" s="37" t="s">
        <v>419</v>
      </c>
      <c r="F148" s="100">
        <f t="shared" si="6"/>
        <v>8.0555555556202307E-2</v>
      </c>
      <c r="G148" s="37" t="s">
        <v>9</v>
      </c>
    </row>
    <row r="149" spans="1:8">
      <c r="A149" s="37" t="s">
        <v>229</v>
      </c>
      <c r="B149" s="93">
        <v>45750</v>
      </c>
      <c r="C149" s="37" t="s">
        <v>420</v>
      </c>
      <c r="D149" s="93">
        <v>45750</v>
      </c>
      <c r="E149" s="37" t="s">
        <v>421</v>
      </c>
      <c r="F149" s="100">
        <f t="shared" si="6"/>
        <v>0.11666666666860692</v>
      </c>
    </row>
    <row r="150" spans="1:8">
      <c r="A150" s="37" t="s">
        <v>232</v>
      </c>
      <c r="B150" s="93">
        <v>45750</v>
      </c>
      <c r="C150" s="37" t="s">
        <v>422</v>
      </c>
      <c r="D150" s="93">
        <v>45750</v>
      </c>
      <c r="E150" s="37" t="s">
        <v>423</v>
      </c>
      <c r="F150" s="100">
        <f t="shared" si="6"/>
        <v>0.11250000000291038</v>
      </c>
    </row>
    <row r="151" spans="1:8">
      <c r="A151" s="37" t="s">
        <v>234</v>
      </c>
      <c r="B151" s="93">
        <v>45750</v>
      </c>
      <c r="C151" s="37" t="s">
        <v>422</v>
      </c>
      <c r="D151" s="93">
        <v>45750</v>
      </c>
      <c r="E151" s="37" t="s">
        <v>182</v>
      </c>
      <c r="F151" s="100">
        <f t="shared" si="6"/>
        <v>0.1368055555576575</v>
      </c>
    </row>
    <row r="152" spans="1:8">
      <c r="A152" s="37" t="s">
        <v>183</v>
      </c>
      <c r="B152" s="93">
        <v>45750</v>
      </c>
      <c r="C152" s="37" t="s">
        <v>406</v>
      </c>
      <c r="D152" s="93">
        <v>45750</v>
      </c>
      <c r="E152" s="37" t="s">
        <v>424</v>
      </c>
      <c r="F152" s="100">
        <f t="shared" si="6"/>
        <v>0.20486111110949423</v>
      </c>
    </row>
    <row r="153" spans="1:8">
      <c r="A153" s="37" t="s">
        <v>388</v>
      </c>
      <c r="B153" s="93">
        <v>45750</v>
      </c>
      <c r="C153" s="37" t="s">
        <v>425</v>
      </c>
      <c r="D153" s="93">
        <v>45750</v>
      </c>
      <c r="E153" s="37" t="s">
        <v>290</v>
      </c>
      <c r="F153" s="100">
        <f t="shared" si="6"/>
        <v>8.819444444088731E-2</v>
      </c>
    </row>
    <row r="154" spans="1:8">
      <c r="A154" s="37" t="s">
        <v>220</v>
      </c>
      <c r="B154" s="93">
        <v>45750</v>
      </c>
      <c r="C154" s="37" t="s">
        <v>426</v>
      </c>
      <c r="D154" s="93">
        <v>45750</v>
      </c>
      <c r="E154" s="37" t="s">
        <v>427</v>
      </c>
      <c r="F154" s="100">
        <f t="shared" si="6"/>
        <v>5.9722222220443655E-2</v>
      </c>
    </row>
    <row r="155" spans="1:8">
      <c r="A155" s="37" t="s">
        <v>177</v>
      </c>
      <c r="B155" s="93">
        <v>45750</v>
      </c>
      <c r="C155" s="37" t="s">
        <v>325</v>
      </c>
      <c r="D155" s="93">
        <v>45751</v>
      </c>
      <c r="E155" s="37" t="s">
        <v>428</v>
      </c>
      <c r="F155" s="100">
        <f>(D155 + TIME(LEFT(E155, 2), MID(E155, 3, 2), 0)) - (B155 + TIME(LEFT(C155, 2), MID(C155, 3, 2), 0))</f>
        <v>0.625</v>
      </c>
      <c r="G155" s="37" t="s">
        <v>9</v>
      </c>
      <c r="H155" s="94" t="s">
        <v>429</v>
      </c>
    </row>
    <row r="156" spans="1:8">
      <c r="A156" s="37" t="s">
        <v>391</v>
      </c>
      <c r="B156" s="93">
        <v>45750</v>
      </c>
      <c r="C156" s="37" t="s">
        <v>430</v>
      </c>
      <c r="D156" s="93">
        <v>45750</v>
      </c>
      <c r="E156" s="37" t="s">
        <v>342</v>
      </c>
      <c r="F156" s="100">
        <f t="shared" ref="F156:F163" si="7">(D156 + TIME(LEFT(E156, 2), MID(E156, 3, 2), 0)) - (B156 + TIME(LEFT(C156, 2), MID(C156, 3, 2), 0))</f>
        <v>6.2499999985448085E-3</v>
      </c>
    </row>
    <row r="157" spans="1:8">
      <c r="A157" s="37" t="s">
        <v>401</v>
      </c>
      <c r="B157" s="93">
        <v>45750</v>
      </c>
      <c r="C157" s="37" t="s">
        <v>414</v>
      </c>
      <c r="D157" s="93">
        <v>45751</v>
      </c>
      <c r="E157" s="37" t="s">
        <v>191</v>
      </c>
      <c r="F157" s="100">
        <f t="shared" si="7"/>
        <v>0.35624999999708962</v>
      </c>
      <c r="G157" s="37" t="s">
        <v>9</v>
      </c>
    </row>
    <row r="158" spans="1:8">
      <c r="A158" s="37" t="s">
        <v>220</v>
      </c>
      <c r="B158" s="93">
        <v>45751</v>
      </c>
      <c r="C158" s="37" t="s">
        <v>284</v>
      </c>
      <c r="D158" s="84">
        <v>45751</v>
      </c>
      <c r="E158" s="23" t="s">
        <v>224</v>
      </c>
      <c r="F158" s="100">
        <f t="shared" si="7"/>
        <v>0.45902777777519077</v>
      </c>
    </row>
    <row r="159" spans="1:8">
      <c r="A159" s="37" t="s">
        <v>395</v>
      </c>
      <c r="B159" s="93">
        <v>45750</v>
      </c>
      <c r="C159" s="37" t="s">
        <v>419</v>
      </c>
      <c r="D159" s="93">
        <v>45750</v>
      </c>
      <c r="E159" s="37" t="s">
        <v>181</v>
      </c>
      <c r="F159" s="100">
        <f t="shared" si="7"/>
        <v>7.8472222223354038E-2</v>
      </c>
    </row>
    <row r="160" spans="1:8">
      <c r="A160" s="37" t="s">
        <v>391</v>
      </c>
      <c r="B160" s="93">
        <v>45750</v>
      </c>
      <c r="C160" s="37" t="s">
        <v>419</v>
      </c>
      <c r="D160" s="93">
        <v>45750</v>
      </c>
      <c r="E160" s="37" t="s">
        <v>431</v>
      </c>
      <c r="F160" s="100">
        <f t="shared" si="7"/>
        <v>7.013888889196096E-2</v>
      </c>
    </row>
    <row r="161" spans="1:8">
      <c r="A161" s="37" t="s">
        <v>404</v>
      </c>
      <c r="B161" s="93">
        <v>45750</v>
      </c>
      <c r="C161" s="37" t="s">
        <v>432</v>
      </c>
      <c r="D161" s="93">
        <v>45750</v>
      </c>
      <c r="E161" s="37" t="s">
        <v>433</v>
      </c>
      <c r="F161" s="100">
        <f t="shared" si="7"/>
        <v>8.0555555556202307E-2</v>
      </c>
    </row>
    <row r="162" spans="1:8">
      <c r="A162" s="37" t="s">
        <v>403</v>
      </c>
      <c r="B162" s="93">
        <v>45750</v>
      </c>
      <c r="C162" s="37" t="s">
        <v>434</v>
      </c>
      <c r="D162" s="93">
        <v>45750</v>
      </c>
      <c r="E162" s="37" t="s">
        <v>435</v>
      </c>
      <c r="F162" s="100">
        <f t="shared" si="7"/>
        <v>6.4583333332848269E-2</v>
      </c>
    </row>
    <row r="163" spans="1:8">
      <c r="A163" s="37" t="s">
        <v>192</v>
      </c>
      <c r="B163" s="93">
        <v>45750</v>
      </c>
      <c r="C163" s="37" t="s">
        <v>194</v>
      </c>
      <c r="D163" s="93">
        <v>45750</v>
      </c>
      <c r="E163" s="37" t="s">
        <v>349</v>
      </c>
      <c r="F163" s="100">
        <f t="shared" si="7"/>
        <v>3.2638888886140194E-2</v>
      </c>
      <c r="H163" s="94" t="s">
        <v>436</v>
      </c>
    </row>
    <row r="164" spans="1:8">
      <c r="A164" s="37" t="s">
        <v>192</v>
      </c>
      <c r="B164" s="93">
        <v>45750</v>
      </c>
      <c r="C164" s="37" t="s">
        <v>349</v>
      </c>
      <c r="D164" s="93">
        <v>45751</v>
      </c>
      <c r="E164" s="37" t="s">
        <v>428</v>
      </c>
      <c r="F164" s="100">
        <f>(D164 + TIME(LEFT(E164, 2), MID(E164, 3, 2), 0)) - (B164 + TIME(LEFT(C164, 2), MID(C164, 3, 2), 0))</f>
        <v>0.50069444444670808</v>
      </c>
    </row>
    <row r="165" spans="1:8">
      <c r="A165" s="37" t="s">
        <v>229</v>
      </c>
      <c r="B165" s="93">
        <v>45751</v>
      </c>
      <c r="C165" s="37" t="s">
        <v>437</v>
      </c>
      <c r="D165" s="93">
        <v>45751</v>
      </c>
      <c r="E165" s="37" t="s">
        <v>438</v>
      </c>
      <c r="F165" s="100">
        <f t="shared" ref="F165:F170" si="8">(D165 + TIME(LEFT(E165, 2), MID(E165, 3, 2), 0)) - (B165 + TIME(LEFT(C165, 2), MID(C165, 3, 2), 0))</f>
        <v>4.1666666671517305E-2</v>
      </c>
    </row>
    <row r="166" spans="1:8">
      <c r="A166" s="37" t="s">
        <v>226</v>
      </c>
      <c r="B166" s="93">
        <v>45751</v>
      </c>
      <c r="C166" s="37" t="s">
        <v>439</v>
      </c>
      <c r="D166" s="93">
        <v>45751</v>
      </c>
      <c r="E166" s="37" t="s">
        <v>440</v>
      </c>
      <c r="F166" s="100">
        <f t="shared" si="8"/>
        <v>0.13263888889196096</v>
      </c>
    </row>
    <row r="167" spans="1:8">
      <c r="A167" s="37" t="s">
        <v>236</v>
      </c>
      <c r="B167" s="93">
        <v>45751</v>
      </c>
      <c r="C167" s="37" t="s">
        <v>439</v>
      </c>
      <c r="D167" s="93">
        <v>45751</v>
      </c>
      <c r="E167" s="37" t="s">
        <v>441</v>
      </c>
      <c r="F167" s="100">
        <f t="shared" si="8"/>
        <v>0.13888888889050577</v>
      </c>
    </row>
    <row r="168" spans="1:8">
      <c r="A168" s="37" t="s">
        <v>232</v>
      </c>
      <c r="B168" s="93">
        <v>45751</v>
      </c>
      <c r="C168" s="37" t="s">
        <v>442</v>
      </c>
      <c r="D168" s="93">
        <v>45751</v>
      </c>
      <c r="E168" s="37" t="s">
        <v>293</v>
      </c>
      <c r="F168" s="100">
        <f t="shared" si="8"/>
        <v>5.4166666668606922E-2</v>
      </c>
    </row>
    <row r="169" spans="1:8">
      <c r="A169" s="37" t="s">
        <v>239</v>
      </c>
      <c r="B169" s="93">
        <v>45751</v>
      </c>
      <c r="C169" s="37" t="s">
        <v>442</v>
      </c>
      <c r="D169" s="93">
        <v>45751</v>
      </c>
      <c r="E169" s="37" t="s">
        <v>443</v>
      </c>
      <c r="F169" s="100">
        <f t="shared" si="8"/>
        <v>2.5000000001455192E-2</v>
      </c>
    </row>
    <row r="170" spans="1:8">
      <c r="A170" s="37" t="s">
        <v>234</v>
      </c>
      <c r="B170" s="93">
        <v>45751</v>
      </c>
      <c r="C170" s="37" t="s">
        <v>442</v>
      </c>
      <c r="D170" s="93">
        <v>45751</v>
      </c>
      <c r="E170" s="37" t="s">
        <v>441</v>
      </c>
      <c r="F170" s="100">
        <f t="shared" si="8"/>
        <v>5.6944444448163267E-2</v>
      </c>
    </row>
    <row r="171" spans="1:8">
      <c r="A171" s="37" t="s">
        <v>189</v>
      </c>
      <c r="B171" s="93">
        <v>45751</v>
      </c>
      <c r="C171" s="37" t="s">
        <v>191</v>
      </c>
      <c r="D171" s="93">
        <v>45758</v>
      </c>
      <c r="E171" s="37" t="s">
        <v>444</v>
      </c>
      <c r="F171" s="100">
        <f>(D171 + TIME(LEFT(E171, 2), MID(E171, 3, 2), 0)) - (B171 + TIME(LEFT(C171, 2), MID(C171, 3, 2), 0))</f>
        <v>7.4965277777810115</v>
      </c>
      <c r="G171" s="37" t="s">
        <v>9</v>
      </c>
      <c r="H171" s="94" t="s">
        <v>445</v>
      </c>
    </row>
    <row r="172" spans="1:8">
      <c r="A172" s="37" t="s">
        <v>401</v>
      </c>
      <c r="B172" s="93">
        <v>45751</v>
      </c>
      <c r="C172" s="37" t="s">
        <v>191</v>
      </c>
      <c r="D172" s="93">
        <v>45751</v>
      </c>
      <c r="E172" s="37" t="s">
        <v>440</v>
      </c>
      <c r="F172" s="100">
        <f t="shared" ref="F172:F182" si="9">(D172 + TIME(LEFT(E172, 2), MID(E172, 3, 2), 0)) - (B172 + TIME(LEFT(C172, 2), MID(C172, 3, 2), 0))</f>
        <v>4.7916666670062114E-2</v>
      </c>
    </row>
    <row r="173" spans="1:8">
      <c r="A173" s="37" t="s">
        <v>391</v>
      </c>
      <c r="B173" s="93">
        <v>45751</v>
      </c>
      <c r="C173" s="37" t="s">
        <v>446</v>
      </c>
      <c r="D173" s="93">
        <v>45751</v>
      </c>
      <c r="E173" s="37" t="s">
        <v>447</v>
      </c>
      <c r="F173" s="100">
        <f t="shared" si="9"/>
        <v>4.444444445107365E-2</v>
      </c>
    </row>
    <row r="174" spans="1:8">
      <c r="A174" s="37" t="s">
        <v>245</v>
      </c>
      <c r="B174" s="93">
        <v>45751</v>
      </c>
      <c r="C174" s="37" t="s">
        <v>439</v>
      </c>
      <c r="D174" s="93">
        <v>45751</v>
      </c>
      <c r="E174" s="37" t="s">
        <v>443</v>
      </c>
      <c r="F174" s="100">
        <f t="shared" si="9"/>
        <v>0.10694444444379769</v>
      </c>
    </row>
    <row r="175" spans="1:8">
      <c r="A175" s="37" t="s">
        <v>174</v>
      </c>
      <c r="B175" s="93">
        <v>45751</v>
      </c>
      <c r="C175" s="37" t="s">
        <v>448</v>
      </c>
      <c r="D175" s="93">
        <v>45752</v>
      </c>
      <c r="E175" s="37" t="s">
        <v>449</v>
      </c>
      <c r="F175" s="100">
        <f t="shared" si="9"/>
        <v>1.7770833333343035</v>
      </c>
    </row>
    <row r="176" spans="1:8">
      <c r="A176" s="37" t="s">
        <v>245</v>
      </c>
      <c r="B176" s="93">
        <v>45751</v>
      </c>
      <c r="C176" s="37" t="s">
        <v>450</v>
      </c>
      <c r="D176" s="93">
        <v>45751</v>
      </c>
      <c r="E176" s="37" t="s">
        <v>451</v>
      </c>
      <c r="F176" s="100">
        <f t="shared" si="9"/>
        <v>3.7499999998544808E-2</v>
      </c>
    </row>
    <row r="177" spans="1:6">
      <c r="A177" s="37" t="s">
        <v>226</v>
      </c>
      <c r="B177" s="93">
        <v>45751</v>
      </c>
      <c r="C177" s="37" t="s">
        <v>356</v>
      </c>
      <c r="D177" s="93">
        <v>45751</v>
      </c>
      <c r="E177" s="37" t="s">
        <v>452</v>
      </c>
      <c r="F177" s="100">
        <f t="shared" si="9"/>
        <v>2.2222222221898846E-2</v>
      </c>
    </row>
    <row r="178" spans="1:6">
      <c r="A178" s="37" t="s">
        <v>229</v>
      </c>
      <c r="B178" s="93">
        <v>45751</v>
      </c>
      <c r="C178" s="37" t="s">
        <v>453</v>
      </c>
      <c r="D178" s="93">
        <v>45751</v>
      </c>
      <c r="E178" s="37" t="s">
        <v>454</v>
      </c>
      <c r="F178" s="100">
        <f t="shared" si="9"/>
        <v>2.0138888889050577E-2</v>
      </c>
    </row>
    <row r="179" spans="1:6">
      <c r="A179" s="37" t="s">
        <v>232</v>
      </c>
      <c r="B179" s="93">
        <v>45751</v>
      </c>
      <c r="C179" s="37" t="s">
        <v>358</v>
      </c>
      <c r="D179" s="93">
        <v>45751</v>
      </c>
      <c r="E179" s="37" t="s">
        <v>455</v>
      </c>
      <c r="F179" s="100">
        <f t="shared" si="9"/>
        <v>1.3888888890505768E-2</v>
      </c>
    </row>
    <row r="180" spans="1:6">
      <c r="A180" s="37" t="s">
        <v>186</v>
      </c>
      <c r="B180" s="93">
        <v>45751</v>
      </c>
      <c r="C180" s="37" t="s">
        <v>456</v>
      </c>
      <c r="D180" s="93">
        <v>45752</v>
      </c>
      <c r="E180" s="37" t="s">
        <v>457</v>
      </c>
      <c r="F180" s="100">
        <f t="shared" si="9"/>
        <v>0.77083333332848269</v>
      </c>
    </row>
    <row r="181" spans="1:6">
      <c r="A181" s="37" t="s">
        <v>214</v>
      </c>
      <c r="B181" s="93">
        <v>45751</v>
      </c>
      <c r="C181" s="37" t="s">
        <v>218</v>
      </c>
      <c r="D181" s="93">
        <v>45751</v>
      </c>
      <c r="E181" s="37" t="s">
        <v>222</v>
      </c>
      <c r="F181" s="100">
        <f t="shared" si="9"/>
        <v>0.50069444443943212</v>
      </c>
    </row>
    <row r="182" spans="1:6">
      <c r="A182" s="37" t="s">
        <v>242</v>
      </c>
      <c r="B182" s="93">
        <v>45751</v>
      </c>
      <c r="C182" s="37" t="s">
        <v>458</v>
      </c>
      <c r="D182" s="93">
        <v>45752</v>
      </c>
      <c r="E182" s="37" t="s">
        <v>459</v>
      </c>
      <c r="F182" s="100">
        <f t="shared" si="9"/>
        <v>0.75069444444670808</v>
      </c>
    </row>
    <row r="183" spans="1:6">
      <c r="A183" s="37" t="s">
        <v>234</v>
      </c>
      <c r="B183" s="93">
        <v>45751</v>
      </c>
      <c r="C183" s="37" t="s">
        <v>458</v>
      </c>
      <c r="D183" s="93">
        <v>45751</v>
      </c>
      <c r="E183" s="37" t="s">
        <v>460</v>
      </c>
      <c r="F183" s="100">
        <f t="shared" ref="F183:F196" si="10">(D183 + TIME(LEFT(E183, 2), MID(E183, 3, 2), 0)) - (B183 + TIME(LEFT(C183, 2), MID(C183, 3, 2), 0))</f>
        <v>0.15347222222044365</v>
      </c>
    </row>
    <row r="184" spans="1:6">
      <c r="A184" s="37" t="s">
        <v>183</v>
      </c>
      <c r="B184" s="93">
        <v>45751</v>
      </c>
      <c r="C184" s="37" t="s">
        <v>461</v>
      </c>
      <c r="D184" s="93">
        <v>45751</v>
      </c>
      <c r="E184" s="37" t="s">
        <v>462</v>
      </c>
      <c r="F184" s="100">
        <f t="shared" si="10"/>
        <v>0.55833333333430346</v>
      </c>
    </row>
    <row r="185" spans="1:6">
      <c r="A185" s="37" t="s">
        <v>236</v>
      </c>
      <c r="B185" s="93">
        <v>45751</v>
      </c>
      <c r="C185" s="37" t="s">
        <v>255</v>
      </c>
      <c r="D185" s="93">
        <v>45751</v>
      </c>
      <c r="E185" s="37" t="s">
        <v>463</v>
      </c>
      <c r="F185" s="100">
        <f t="shared" si="10"/>
        <v>0.16736111111094942</v>
      </c>
    </row>
    <row r="186" spans="1:6">
      <c r="A186" s="37" t="s">
        <v>239</v>
      </c>
      <c r="B186" s="93">
        <v>45751</v>
      </c>
      <c r="C186" s="37" t="s">
        <v>464</v>
      </c>
      <c r="D186" s="93">
        <v>45751</v>
      </c>
      <c r="E186" s="37" t="s">
        <v>465</v>
      </c>
      <c r="F186" s="100">
        <f t="shared" si="10"/>
        <v>0.16875000000436557</v>
      </c>
    </row>
    <row r="187" spans="1:6">
      <c r="A187" s="37" t="s">
        <v>245</v>
      </c>
      <c r="B187" s="93">
        <v>45751</v>
      </c>
      <c r="C187" s="37" t="s">
        <v>466</v>
      </c>
      <c r="D187" s="93">
        <v>45751</v>
      </c>
      <c r="E187" s="37" t="s">
        <v>467</v>
      </c>
      <c r="F187" s="100">
        <f t="shared" si="10"/>
        <v>0.17361111110949423</v>
      </c>
    </row>
    <row r="188" spans="1:6">
      <c r="A188" s="37" t="s">
        <v>226</v>
      </c>
      <c r="B188" s="93">
        <v>45751</v>
      </c>
      <c r="C188" s="37" t="s">
        <v>468</v>
      </c>
      <c r="D188" s="93">
        <v>45751</v>
      </c>
      <c r="E188" s="37" t="s">
        <v>469</v>
      </c>
      <c r="F188" s="100">
        <f t="shared" si="10"/>
        <v>0.34791666666569654</v>
      </c>
    </row>
    <row r="189" spans="1:6">
      <c r="A189" s="37" t="s">
        <v>229</v>
      </c>
      <c r="B189" s="93">
        <v>45751</v>
      </c>
      <c r="C189" s="37" t="s">
        <v>470</v>
      </c>
      <c r="D189" s="93">
        <v>45751</v>
      </c>
      <c r="E189" s="37" t="s">
        <v>471</v>
      </c>
      <c r="F189" s="100">
        <f t="shared" si="10"/>
        <v>0.34583333333284827</v>
      </c>
    </row>
    <row r="190" spans="1:6">
      <c r="A190" s="37" t="s">
        <v>232</v>
      </c>
      <c r="B190" s="93">
        <v>45751</v>
      </c>
      <c r="C190" s="37" t="s">
        <v>472</v>
      </c>
      <c r="D190" s="93">
        <v>45751</v>
      </c>
      <c r="E190" s="37" t="s">
        <v>473</v>
      </c>
      <c r="F190" s="100">
        <f t="shared" si="10"/>
        <v>0.34722222221898846</v>
      </c>
    </row>
    <row r="191" spans="1:6">
      <c r="A191" s="37" t="s">
        <v>388</v>
      </c>
      <c r="B191" s="93">
        <v>45751</v>
      </c>
      <c r="C191" s="37" t="s">
        <v>251</v>
      </c>
      <c r="D191" s="93">
        <v>45751</v>
      </c>
      <c r="E191" s="37" t="s">
        <v>474</v>
      </c>
      <c r="F191" s="100">
        <f t="shared" si="10"/>
        <v>1.6666666662786156E-2</v>
      </c>
    </row>
    <row r="192" spans="1:6">
      <c r="A192" s="37" t="s">
        <v>391</v>
      </c>
      <c r="B192" s="93">
        <v>45751</v>
      </c>
      <c r="C192" s="37" t="s">
        <v>319</v>
      </c>
      <c r="D192" s="93">
        <v>45751</v>
      </c>
      <c r="E192" s="37" t="s">
        <v>475</v>
      </c>
      <c r="F192" s="100">
        <f t="shared" si="10"/>
        <v>0.15833333334012423</v>
      </c>
    </row>
    <row r="193" spans="1:8">
      <c r="A193" s="37" t="s">
        <v>395</v>
      </c>
      <c r="B193" s="93">
        <v>45751</v>
      </c>
      <c r="C193" s="37" t="s">
        <v>365</v>
      </c>
      <c r="D193" s="93">
        <v>45751</v>
      </c>
      <c r="E193" s="37" t="s">
        <v>444</v>
      </c>
      <c r="F193" s="100">
        <f t="shared" si="10"/>
        <v>0.29375000000436557</v>
      </c>
    </row>
    <row r="194" spans="1:8" ht="55.15">
      <c r="A194" s="37" t="s">
        <v>335</v>
      </c>
      <c r="B194" s="93">
        <v>45751</v>
      </c>
      <c r="C194" s="37" t="s">
        <v>476</v>
      </c>
      <c r="D194" s="93">
        <v>45751</v>
      </c>
      <c r="E194" s="37" t="s">
        <v>477</v>
      </c>
      <c r="F194" s="100">
        <f t="shared" si="10"/>
        <v>0.10208333333139308</v>
      </c>
      <c r="G194" s="37" t="s">
        <v>9</v>
      </c>
      <c r="H194" s="94" t="s">
        <v>478</v>
      </c>
    </row>
    <row r="195" spans="1:8">
      <c r="A195" s="37" t="s">
        <v>404</v>
      </c>
      <c r="B195" s="93">
        <v>45751</v>
      </c>
      <c r="C195" s="37" t="s">
        <v>262</v>
      </c>
      <c r="D195" s="93">
        <v>45751</v>
      </c>
      <c r="E195" s="37" t="s">
        <v>479</v>
      </c>
      <c r="F195" s="100">
        <f t="shared" si="10"/>
        <v>0.30208333333575865</v>
      </c>
    </row>
    <row r="196" spans="1:8">
      <c r="A196" s="37" t="s">
        <v>403</v>
      </c>
      <c r="B196" s="93">
        <v>45751</v>
      </c>
      <c r="C196" s="37" t="s">
        <v>474</v>
      </c>
      <c r="D196" s="93">
        <v>45751</v>
      </c>
      <c r="E196" s="37" t="s">
        <v>480</v>
      </c>
      <c r="F196" s="100">
        <f t="shared" si="10"/>
        <v>0.30000000000291038</v>
      </c>
    </row>
    <row r="197" spans="1:8">
      <c r="A197" s="37" t="s">
        <v>388</v>
      </c>
      <c r="B197" s="93">
        <v>45751</v>
      </c>
      <c r="C197" s="37" t="s">
        <v>474</v>
      </c>
      <c r="D197" s="93">
        <v>45751</v>
      </c>
      <c r="E197" s="37" t="s">
        <v>320</v>
      </c>
      <c r="F197" s="100">
        <f t="shared" ref="F197:F207" si="11">(D197 + TIME(LEFT(E197, 2), MID(E197, 3, 2), 0)) - (B197 + TIME(LEFT(C197, 2), MID(C197, 3, 2), 0))</f>
        <v>7.6388888919609599E-3</v>
      </c>
      <c r="G197" s="37" t="s">
        <v>9</v>
      </c>
      <c r="H197" s="94" t="s">
        <v>481</v>
      </c>
    </row>
    <row r="198" spans="1:8">
      <c r="A198" s="37" t="s">
        <v>388</v>
      </c>
      <c r="B198" s="93">
        <v>45751</v>
      </c>
      <c r="C198" s="37" t="s">
        <v>322</v>
      </c>
      <c r="D198" s="93">
        <v>45751</v>
      </c>
      <c r="E198" s="37" t="s">
        <v>482</v>
      </c>
      <c r="F198" s="100">
        <f t="shared" si="11"/>
        <v>0.13194444443797693</v>
      </c>
    </row>
    <row r="199" spans="1:8">
      <c r="A199" s="37" t="s">
        <v>401</v>
      </c>
      <c r="B199" s="93">
        <v>45751</v>
      </c>
      <c r="C199" s="37" t="s">
        <v>483</v>
      </c>
      <c r="D199" s="93">
        <v>45751</v>
      </c>
      <c r="E199" s="37" t="s">
        <v>484</v>
      </c>
      <c r="F199" s="100">
        <f t="shared" si="11"/>
        <v>7.1527777778101154E-2</v>
      </c>
    </row>
    <row r="200" spans="1:8">
      <c r="A200" s="37" t="s">
        <v>398</v>
      </c>
      <c r="B200" s="93">
        <v>45751</v>
      </c>
      <c r="C200" s="37" t="s">
        <v>485</v>
      </c>
      <c r="D200" s="93">
        <v>45751</v>
      </c>
      <c r="E200" s="37" t="s">
        <v>486</v>
      </c>
      <c r="F200" s="100">
        <f t="shared" si="11"/>
        <v>4.7916666662786156E-2</v>
      </c>
    </row>
    <row r="201" spans="1:8" ht="27.6">
      <c r="A201" s="37" t="s">
        <v>192</v>
      </c>
      <c r="B201" s="93">
        <v>45751</v>
      </c>
      <c r="C201" s="37" t="s">
        <v>428</v>
      </c>
      <c r="D201" s="93">
        <v>45751</v>
      </c>
      <c r="E201" s="37" t="s">
        <v>487</v>
      </c>
      <c r="F201" s="100">
        <f t="shared" si="11"/>
        <v>2.5000000001455192E-2</v>
      </c>
      <c r="G201" s="37" t="s">
        <v>9</v>
      </c>
      <c r="H201" s="94" t="s">
        <v>488</v>
      </c>
    </row>
    <row r="202" spans="1:8">
      <c r="A202" s="37" t="s">
        <v>177</v>
      </c>
      <c r="B202" s="93">
        <v>45751</v>
      </c>
      <c r="C202" s="37" t="s">
        <v>428</v>
      </c>
      <c r="D202" s="93">
        <v>45751</v>
      </c>
      <c r="E202" s="37" t="s">
        <v>270</v>
      </c>
      <c r="F202" s="100">
        <f t="shared" si="11"/>
        <v>1.7361111109494232E-2</v>
      </c>
    </row>
    <row r="203" spans="1:8">
      <c r="A203" s="37" t="s">
        <v>199</v>
      </c>
      <c r="B203" s="93">
        <v>45751</v>
      </c>
      <c r="C203" s="37" t="s">
        <v>270</v>
      </c>
      <c r="D203" s="93">
        <v>45751</v>
      </c>
      <c r="E203" s="37" t="s">
        <v>489</v>
      </c>
      <c r="F203" s="100">
        <f t="shared" si="11"/>
        <v>9.0277777781011537E-3</v>
      </c>
    </row>
    <row r="204" spans="1:8" ht="27.6">
      <c r="A204" s="37" t="s">
        <v>177</v>
      </c>
      <c r="B204" s="93">
        <v>45751</v>
      </c>
      <c r="C204" s="37" t="s">
        <v>270</v>
      </c>
      <c r="D204" s="93">
        <v>45751</v>
      </c>
      <c r="E204" s="37" t="s">
        <v>490</v>
      </c>
      <c r="F204" s="100">
        <f t="shared" si="11"/>
        <v>0.1055555555576575</v>
      </c>
      <c r="G204" s="37" t="s">
        <v>9</v>
      </c>
      <c r="H204" s="94" t="s">
        <v>491</v>
      </c>
    </row>
    <row r="205" spans="1:8">
      <c r="A205" s="37" t="s">
        <v>202</v>
      </c>
      <c r="B205" s="93">
        <v>45751</v>
      </c>
      <c r="C205" s="37" t="s">
        <v>207</v>
      </c>
      <c r="D205" s="93">
        <v>45751</v>
      </c>
      <c r="E205" s="37" t="s">
        <v>492</v>
      </c>
      <c r="F205" s="100">
        <f t="shared" si="11"/>
        <v>1.1805555557657499E-2</v>
      </c>
    </row>
    <row r="206" spans="1:8">
      <c r="A206" s="37" t="s">
        <v>205</v>
      </c>
      <c r="B206" s="93">
        <v>45751</v>
      </c>
      <c r="C206" s="37" t="s">
        <v>207</v>
      </c>
      <c r="D206" s="93">
        <v>45751</v>
      </c>
      <c r="E206" s="37" t="s">
        <v>492</v>
      </c>
      <c r="F206" s="100">
        <f t="shared" si="11"/>
        <v>1.1805555557657499E-2</v>
      </c>
    </row>
    <row r="207" spans="1:8">
      <c r="A207" s="37" t="s">
        <v>196</v>
      </c>
      <c r="B207" s="93">
        <v>45751</v>
      </c>
      <c r="C207" s="37" t="s">
        <v>207</v>
      </c>
      <c r="D207" s="84">
        <v>45751</v>
      </c>
      <c r="E207" s="23" t="s">
        <v>493</v>
      </c>
      <c r="F207" s="100">
        <f t="shared" si="11"/>
        <v>8.3333333386690356E-3</v>
      </c>
    </row>
    <row r="208" spans="1:8">
      <c r="A208" s="37" t="s">
        <v>335</v>
      </c>
      <c r="B208" s="93">
        <v>45751</v>
      </c>
      <c r="C208" s="37" t="s">
        <v>477</v>
      </c>
      <c r="D208" s="93">
        <v>45751</v>
      </c>
      <c r="E208" s="37" t="s">
        <v>494</v>
      </c>
      <c r="F208" s="100">
        <f t="shared" ref="F208:F216" si="12">(D208 + TIME(LEFT(E208, 2), MID(E208, 3, 2), 0)) - (B208 + TIME(LEFT(C208, 2), MID(C208, 3, 2), 0))</f>
        <v>0.17986111110803904</v>
      </c>
    </row>
    <row r="209" spans="1:8">
      <c r="A209" s="37" t="s">
        <v>234</v>
      </c>
      <c r="B209" s="93">
        <v>45751</v>
      </c>
      <c r="C209" s="37" t="s">
        <v>495</v>
      </c>
      <c r="D209" s="93">
        <v>45751</v>
      </c>
      <c r="E209" s="37" t="s">
        <v>496</v>
      </c>
      <c r="F209" s="100">
        <f t="shared" si="12"/>
        <v>1.7361111109494232E-2</v>
      </c>
    </row>
    <row r="210" spans="1:8">
      <c r="A210" s="37" t="s">
        <v>401</v>
      </c>
      <c r="B210" s="93">
        <v>45751</v>
      </c>
      <c r="C210" s="37" t="s">
        <v>495</v>
      </c>
      <c r="D210" s="93">
        <v>45751</v>
      </c>
      <c r="E210" s="37" t="s">
        <v>497</v>
      </c>
      <c r="F210" s="100">
        <f t="shared" si="12"/>
        <v>0.17847222222189885</v>
      </c>
    </row>
    <row r="211" spans="1:8">
      <c r="A211" s="37" t="s">
        <v>211</v>
      </c>
      <c r="B211" s="93">
        <v>45751</v>
      </c>
      <c r="C211" s="37" t="s">
        <v>274</v>
      </c>
      <c r="D211" s="93">
        <v>45752</v>
      </c>
      <c r="E211" s="37" t="s">
        <v>219</v>
      </c>
      <c r="F211" s="100">
        <f t="shared" si="12"/>
        <v>0.54236111111094942</v>
      </c>
    </row>
    <row r="212" spans="1:8">
      <c r="A212" s="37" t="s">
        <v>220</v>
      </c>
      <c r="B212" s="84">
        <v>45751</v>
      </c>
      <c r="C212" s="23" t="s">
        <v>212</v>
      </c>
      <c r="D212" s="84">
        <v>45752</v>
      </c>
      <c r="E212" s="23" t="s">
        <v>213</v>
      </c>
      <c r="F212" s="100">
        <f t="shared" si="12"/>
        <v>0.50069444443943212</v>
      </c>
    </row>
    <row r="213" spans="1:8">
      <c r="A213" s="37" t="s">
        <v>236</v>
      </c>
      <c r="B213" s="93">
        <v>45751</v>
      </c>
      <c r="C213" s="37" t="s">
        <v>498</v>
      </c>
      <c r="D213" s="93">
        <v>45751</v>
      </c>
      <c r="E213" s="37" t="s">
        <v>499</v>
      </c>
      <c r="F213" s="100">
        <f t="shared" si="12"/>
        <v>0.25486111111240461</v>
      </c>
    </row>
    <row r="214" spans="1:8">
      <c r="A214" s="37" t="s">
        <v>239</v>
      </c>
      <c r="B214" s="93">
        <v>45751</v>
      </c>
      <c r="C214" s="37" t="s">
        <v>500</v>
      </c>
      <c r="D214" s="93">
        <v>45751</v>
      </c>
      <c r="E214" s="37" t="s">
        <v>501</v>
      </c>
      <c r="F214" s="100">
        <f t="shared" si="12"/>
        <v>0.29097222222480923</v>
      </c>
    </row>
    <row r="215" spans="1:8">
      <c r="A215" s="37" t="s">
        <v>234</v>
      </c>
      <c r="B215" s="93">
        <v>45751</v>
      </c>
      <c r="C215" s="37" t="s">
        <v>500</v>
      </c>
      <c r="D215" s="93">
        <v>45751</v>
      </c>
      <c r="E215" s="37" t="s">
        <v>502</v>
      </c>
      <c r="F215" s="100">
        <f t="shared" si="12"/>
        <v>0.19861111111094942</v>
      </c>
    </row>
    <row r="216" spans="1:8">
      <c r="A216" s="37" t="s">
        <v>177</v>
      </c>
      <c r="B216" s="93">
        <v>45751</v>
      </c>
      <c r="C216" s="37" t="s">
        <v>490</v>
      </c>
      <c r="D216" s="93">
        <v>45752</v>
      </c>
      <c r="E216" s="37" t="s">
        <v>503</v>
      </c>
      <c r="F216" s="100">
        <f t="shared" si="12"/>
        <v>0.66111111110512866</v>
      </c>
      <c r="H216" s="94" t="s">
        <v>504</v>
      </c>
    </row>
    <row r="217" spans="1:8">
      <c r="A217" s="37" t="s">
        <v>388</v>
      </c>
      <c r="B217" s="93">
        <v>45751</v>
      </c>
      <c r="C217" s="37" t="s">
        <v>505</v>
      </c>
      <c r="D217" s="93">
        <v>45751</v>
      </c>
      <c r="E217" s="37" t="s">
        <v>506</v>
      </c>
      <c r="F217" s="100">
        <f t="shared" ref="F217:F224" si="13">(D217 + TIME(LEFT(E217, 2), MID(E217, 3, 2), 0)) - (B217 + TIME(LEFT(C217, 2), MID(C217, 3, 2), 0))</f>
        <v>0.10486111111094942</v>
      </c>
    </row>
    <row r="218" spans="1:8">
      <c r="A218" s="37" t="s">
        <v>245</v>
      </c>
      <c r="B218" s="93">
        <v>45751</v>
      </c>
      <c r="C218" s="37" t="s">
        <v>505</v>
      </c>
      <c r="D218" s="93">
        <v>45751</v>
      </c>
      <c r="E218" s="37" t="s">
        <v>410</v>
      </c>
      <c r="F218" s="100">
        <f t="shared" si="13"/>
        <v>0.15555555555329192</v>
      </c>
    </row>
    <row r="219" spans="1:8">
      <c r="A219" s="37" t="s">
        <v>391</v>
      </c>
      <c r="B219" s="93">
        <v>45751</v>
      </c>
      <c r="C219" s="37" t="s">
        <v>507</v>
      </c>
      <c r="D219" s="93">
        <v>45751</v>
      </c>
      <c r="E219" s="37" t="s">
        <v>508</v>
      </c>
      <c r="F219" s="100">
        <f t="shared" si="13"/>
        <v>9.6527777779556345E-2</v>
      </c>
    </row>
    <row r="220" spans="1:8">
      <c r="A220" s="37" t="s">
        <v>398</v>
      </c>
      <c r="B220" s="93">
        <v>45751</v>
      </c>
      <c r="C220" s="37" t="s">
        <v>509</v>
      </c>
      <c r="D220" s="93">
        <v>45751</v>
      </c>
      <c r="E220" s="37" t="s">
        <v>510</v>
      </c>
      <c r="F220" s="100">
        <f t="shared" si="13"/>
        <v>9.2361111106583849E-2</v>
      </c>
    </row>
    <row r="221" spans="1:8">
      <c r="A221" s="37" t="s">
        <v>199</v>
      </c>
      <c r="B221" s="93">
        <v>45751</v>
      </c>
      <c r="C221" s="37" t="s">
        <v>511</v>
      </c>
      <c r="D221" s="93">
        <v>45751</v>
      </c>
      <c r="E221" s="37" t="s">
        <v>512</v>
      </c>
      <c r="F221" s="100">
        <f t="shared" si="13"/>
        <v>3.8888888884685002E-2</v>
      </c>
    </row>
    <row r="222" spans="1:8">
      <c r="A222" s="37" t="s">
        <v>205</v>
      </c>
      <c r="B222" s="93">
        <v>45751</v>
      </c>
      <c r="C222" s="37" t="s">
        <v>513</v>
      </c>
      <c r="D222" s="93">
        <v>45751</v>
      </c>
      <c r="E222" s="37" t="s">
        <v>514</v>
      </c>
      <c r="F222" s="100">
        <f t="shared" si="13"/>
        <v>4.0277777778101154E-2</v>
      </c>
    </row>
    <row r="223" spans="1:8">
      <c r="A223" s="37" t="s">
        <v>196</v>
      </c>
      <c r="B223" s="93">
        <v>45751</v>
      </c>
      <c r="C223" s="37" t="s">
        <v>334</v>
      </c>
      <c r="D223" s="93">
        <v>45751</v>
      </c>
      <c r="E223" s="37" t="s">
        <v>515</v>
      </c>
      <c r="F223" s="100">
        <f t="shared" si="13"/>
        <v>2.569444444088731E-2</v>
      </c>
    </row>
    <row r="224" spans="1:8">
      <c r="A224" s="37" t="s">
        <v>202</v>
      </c>
      <c r="B224" s="93">
        <v>45751</v>
      </c>
      <c r="C224" s="37" t="s">
        <v>516</v>
      </c>
      <c r="D224" s="93">
        <v>45751</v>
      </c>
      <c r="E224" s="37" t="s">
        <v>510</v>
      </c>
      <c r="F224" s="100">
        <f t="shared" si="13"/>
        <v>7.7777777776645962E-2</v>
      </c>
    </row>
    <row r="225" spans="1:8">
      <c r="A225" s="37" t="s">
        <v>192</v>
      </c>
      <c r="B225" s="93">
        <v>45751</v>
      </c>
      <c r="C225" s="23" t="s">
        <v>487</v>
      </c>
      <c r="D225" s="93">
        <v>45756</v>
      </c>
      <c r="E225" s="37" t="s">
        <v>517</v>
      </c>
      <c r="F225" s="100">
        <f>(D225 + TIME(LEFT(E225, 2), MID(E225, 3, 2), 0)) - (B225 + TIME(LEFT(C225, 2), MID(C225, 3, 2), 0))</f>
        <v>4.8479166666656965</v>
      </c>
    </row>
    <row r="226" spans="1:8">
      <c r="A226" s="37" t="s">
        <v>186</v>
      </c>
      <c r="B226" s="93">
        <v>45754</v>
      </c>
      <c r="C226" s="37" t="s">
        <v>518</v>
      </c>
      <c r="D226" s="93">
        <v>45753</v>
      </c>
      <c r="E226" s="37" t="s">
        <v>519</v>
      </c>
      <c r="F226" s="100">
        <f>(D226 + TIME(LEFT(E226, 2), MID(E226, 3, 2), 0)) - (B226 + TIME(LEFT(C226, 2), MID(C226, 3, 2), 0))</f>
        <v>-1.5479166666700621</v>
      </c>
      <c r="G226" s="37" t="s">
        <v>9</v>
      </c>
      <c r="H226" s="94" t="s">
        <v>520</v>
      </c>
    </row>
    <row r="227" spans="1:8">
      <c r="A227" s="37" t="s">
        <v>279</v>
      </c>
      <c r="B227" s="93">
        <v>45751</v>
      </c>
      <c r="C227" s="37" t="s">
        <v>521</v>
      </c>
      <c r="D227" s="93">
        <v>45751</v>
      </c>
      <c r="E227" s="37" t="s">
        <v>522</v>
      </c>
      <c r="F227" s="100">
        <f t="shared" ref="F227:F232" si="14">(D227 + TIME(LEFT(E227, 2), MID(E227, 3, 2), 0)) - (B227 + TIME(LEFT(C227, 2), MID(C227, 3, 2), 0))</f>
        <v>1.5277777776645962E-2</v>
      </c>
    </row>
    <row r="228" spans="1:8">
      <c r="A228" s="37" t="s">
        <v>401</v>
      </c>
      <c r="B228" s="93">
        <v>45751</v>
      </c>
      <c r="C228" s="37" t="s">
        <v>523</v>
      </c>
      <c r="D228" s="93">
        <v>45751</v>
      </c>
      <c r="E228" s="37" t="s">
        <v>524</v>
      </c>
      <c r="F228" s="100">
        <f t="shared" si="14"/>
        <v>3.1944444446708076E-2</v>
      </c>
    </row>
    <row r="229" spans="1:8">
      <c r="A229" s="37" t="s">
        <v>388</v>
      </c>
      <c r="B229" s="93">
        <v>45751</v>
      </c>
      <c r="C229" s="37" t="s">
        <v>390</v>
      </c>
      <c r="D229" s="93">
        <v>45751</v>
      </c>
      <c r="E229" s="37" t="s">
        <v>525</v>
      </c>
      <c r="F229" s="100">
        <f t="shared" si="14"/>
        <v>5.5555555554747116E-2</v>
      </c>
    </row>
    <row r="230" spans="1:8">
      <c r="A230" s="37" t="s">
        <v>391</v>
      </c>
      <c r="B230" s="93">
        <v>45751</v>
      </c>
      <c r="C230" s="37" t="s">
        <v>526</v>
      </c>
      <c r="D230" s="93">
        <v>45751</v>
      </c>
      <c r="E230" s="37" t="s">
        <v>527</v>
      </c>
      <c r="F230" s="100">
        <f t="shared" si="14"/>
        <v>8.4722222221898846E-2</v>
      </c>
    </row>
    <row r="231" spans="1:8">
      <c r="A231" s="37" t="s">
        <v>395</v>
      </c>
      <c r="B231" s="93">
        <v>45751</v>
      </c>
      <c r="C231" s="37" t="s">
        <v>528</v>
      </c>
      <c r="D231" s="93">
        <v>45751</v>
      </c>
      <c r="E231" s="37" t="s">
        <v>529</v>
      </c>
      <c r="F231" s="100">
        <f t="shared" si="14"/>
        <v>7.4305555557657499E-2</v>
      </c>
    </row>
    <row r="232" spans="1:8">
      <c r="A232" s="37" t="s">
        <v>225</v>
      </c>
      <c r="B232" s="93">
        <v>45751</v>
      </c>
      <c r="C232" s="37" t="s">
        <v>530</v>
      </c>
      <c r="D232" s="93">
        <v>45751</v>
      </c>
      <c r="E232" s="37" t="s">
        <v>222</v>
      </c>
      <c r="F232" s="100">
        <f t="shared" si="14"/>
        <v>0.41666666666424135</v>
      </c>
    </row>
    <row r="233" spans="1:8">
      <c r="A233" s="37" t="s">
        <v>217</v>
      </c>
      <c r="B233" s="93">
        <v>45751</v>
      </c>
      <c r="C233" s="37" t="s">
        <v>212</v>
      </c>
      <c r="D233" s="93">
        <v>45752</v>
      </c>
      <c r="E233" s="37" t="s">
        <v>241</v>
      </c>
      <c r="F233" s="100">
        <f t="shared" ref="F233:F247" si="15">(D233 + TIME(LEFT(E233, 2), MID(E233, 3, 2), 0)) - (B233 + TIME(LEFT(C233, 2), MID(C233, 3, 2), 0))</f>
        <v>0.50833333333139308</v>
      </c>
    </row>
    <row r="234" spans="1:8">
      <c r="A234" s="37" t="s">
        <v>279</v>
      </c>
      <c r="B234" s="93">
        <v>45751</v>
      </c>
      <c r="C234" s="37" t="s">
        <v>531</v>
      </c>
      <c r="D234" s="93">
        <v>45751</v>
      </c>
      <c r="E234" s="37" t="s">
        <v>532</v>
      </c>
      <c r="F234" s="100">
        <f t="shared" si="15"/>
        <v>4.9305555556202307E-2</v>
      </c>
    </row>
    <row r="235" spans="1:8">
      <c r="A235" s="37" t="s">
        <v>403</v>
      </c>
      <c r="B235" s="93">
        <v>45751</v>
      </c>
      <c r="C235" s="37" t="s">
        <v>532</v>
      </c>
      <c r="D235" s="93">
        <v>45751</v>
      </c>
      <c r="E235" s="37" t="s">
        <v>533</v>
      </c>
      <c r="F235" s="100">
        <f t="shared" si="15"/>
        <v>5.4166666661330964E-2</v>
      </c>
    </row>
    <row r="236" spans="1:8">
      <c r="A236" s="37" t="s">
        <v>404</v>
      </c>
      <c r="B236" s="93">
        <v>45751</v>
      </c>
      <c r="C236" s="37" t="s">
        <v>534</v>
      </c>
      <c r="D236" s="93">
        <v>45751</v>
      </c>
      <c r="E236" s="37" t="s">
        <v>419</v>
      </c>
      <c r="F236" s="100">
        <f t="shared" si="15"/>
        <v>3.5416666665696539E-2</v>
      </c>
    </row>
    <row r="237" spans="1:8">
      <c r="A237" s="37" t="s">
        <v>214</v>
      </c>
      <c r="B237" s="93">
        <v>45751</v>
      </c>
      <c r="C237" s="37" t="s">
        <v>535</v>
      </c>
      <c r="D237" s="93">
        <v>45751</v>
      </c>
      <c r="E237" s="37" t="s">
        <v>288</v>
      </c>
      <c r="F237" s="100">
        <f t="shared" si="15"/>
        <v>7.2222222224809229E-2</v>
      </c>
    </row>
    <row r="238" spans="1:8">
      <c r="A238" s="37" t="s">
        <v>401</v>
      </c>
      <c r="B238" s="93">
        <v>45751</v>
      </c>
      <c r="C238" s="37" t="s">
        <v>536</v>
      </c>
      <c r="D238" s="93">
        <v>45751</v>
      </c>
      <c r="E238" s="37" t="s">
        <v>537</v>
      </c>
      <c r="F238" s="100">
        <f t="shared" si="15"/>
        <v>4.8611111124046147E-3</v>
      </c>
    </row>
    <row r="239" spans="1:8">
      <c r="A239" s="37" t="s">
        <v>226</v>
      </c>
      <c r="B239" s="93">
        <v>45751</v>
      </c>
      <c r="C239" s="37" t="s">
        <v>536</v>
      </c>
      <c r="D239" s="93">
        <v>45751</v>
      </c>
      <c r="E239" s="37" t="s">
        <v>538</v>
      </c>
      <c r="F239" s="100">
        <f t="shared" si="15"/>
        <v>2.361111110803904E-2</v>
      </c>
    </row>
    <row r="240" spans="1:8">
      <c r="A240" s="37" t="s">
        <v>245</v>
      </c>
      <c r="B240" s="93">
        <v>45751</v>
      </c>
      <c r="C240" s="37" t="s">
        <v>536</v>
      </c>
      <c r="D240" s="93">
        <v>45751</v>
      </c>
      <c r="E240" s="37" t="s">
        <v>539</v>
      </c>
      <c r="F240" s="100">
        <f t="shared" si="15"/>
        <v>1.2499999997089617E-2</v>
      </c>
    </row>
    <row r="241" spans="1:6">
      <c r="A241" s="37" t="s">
        <v>214</v>
      </c>
      <c r="B241" s="93">
        <v>45752</v>
      </c>
      <c r="C241" s="37" t="s">
        <v>284</v>
      </c>
      <c r="D241" s="93">
        <v>45752</v>
      </c>
      <c r="E241" s="37" t="s">
        <v>540</v>
      </c>
      <c r="F241" s="100">
        <f t="shared" si="15"/>
        <v>0.25763888889196096</v>
      </c>
    </row>
    <row r="242" spans="1:6">
      <c r="A242" s="37" t="s">
        <v>248</v>
      </c>
      <c r="B242" s="93">
        <v>45752</v>
      </c>
      <c r="C242" s="37" t="s">
        <v>541</v>
      </c>
      <c r="D242" s="93">
        <v>45752</v>
      </c>
      <c r="E242" s="37" t="s">
        <v>542</v>
      </c>
      <c r="F242" s="100">
        <f t="shared" si="15"/>
        <v>0.77152777777519077</v>
      </c>
    </row>
    <row r="243" spans="1:6">
      <c r="A243" s="37" t="s">
        <v>211</v>
      </c>
      <c r="B243" s="93">
        <v>45752</v>
      </c>
      <c r="C243" s="37" t="s">
        <v>218</v>
      </c>
      <c r="D243" s="93">
        <v>45752</v>
      </c>
      <c r="E243" s="37" t="s">
        <v>540</v>
      </c>
      <c r="F243" s="100">
        <f t="shared" si="15"/>
        <v>4.9305555556202307E-2</v>
      </c>
    </row>
    <row r="244" spans="1:6">
      <c r="A244" s="37" t="s">
        <v>225</v>
      </c>
      <c r="B244" s="93">
        <v>45752</v>
      </c>
      <c r="C244" s="37" t="s">
        <v>543</v>
      </c>
      <c r="D244" s="93">
        <v>45752</v>
      </c>
      <c r="E244" s="37" t="s">
        <v>544</v>
      </c>
      <c r="F244" s="100">
        <f t="shared" si="15"/>
        <v>0.36944444444088731</v>
      </c>
    </row>
    <row r="245" spans="1:6">
      <c r="A245" s="37" t="s">
        <v>229</v>
      </c>
      <c r="B245" s="93">
        <v>45752</v>
      </c>
      <c r="C245" s="37" t="s">
        <v>545</v>
      </c>
      <c r="D245" s="93">
        <v>45752</v>
      </c>
      <c r="E245" s="37" t="s">
        <v>321</v>
      </c>
      <c r="F245" s="100">
        <f t="shared" si="15"/>
        <v>6.4583333332848269E-2</v>
      </c>
    </row>
    <row r="246" spans="1:6">
      <c r="A246" s="37" t="s">
        <v>211</v>
      </c>
      <c r="B246" s="93">
        <v>45752</v>
      </c>
      <c r="C246" s="37" t="s">
        <v>546</v>
      </c>
      <c r="D246" s="93">
        <v>45752</v>
      </c>
      <c r="E246" s="37" t="s">
        <v>222</v>
      </c>
      <c r="F246" s="100">
        <f t="shared" si="15"/>
        <v>0.4333333333270275</v>
      </c>
    </row>
    <row r="247" spans="1:6">
      <c r="A247" s="37" t="s">
        <v>214</v>
      </c>
      <c r="B247" s="93">
        <v>45752</v>
      </c>
      <c r="C247" s="37" t="s">
        <v>546</v>
      </c>
      <c r="D247" s="93">
        <v>45752</v>
      </c>
      <c r="E247" s="37" t="s">
        <v>306</v>
      </c>
      <c r="F247" s="100">
        <f t="shared" si="15"/>
        <v>0.18402777777373558</v>
      </c>
    </row>
    <row r="248" spans="1:6">
      <c r="A248" s="37" t="s">
        <v>232</v>
      </c>
      <c r="B248" s="93">
        <v>45752</v>
      </c>
      <c r="C248" s="37" t="s">
        <v>547</v>
      </c>
      <c r="D248" s="93">
        <v>45752</v>
      </c>
      <c r="E248" s="37" t="s">
        <v>548</v>
      </c>
      <c r="F248" s="100">
        <f t="shared" ref="F248" si="16">(D248 + TIME(LEFT(E248, 2), MID(E248, 3, 2), 0)) - (B248 + TIME(LEFT(C248, 2), MID(C248, 3, 2), 0))</f>
        <v>7.2222222217533272E-2</v>
      </c>
    </row>
    <row r="249" spans="1:6">
      <c r="A249" s="37" t="s">
        <v>242</v>
      </c>
      <c r="B249" s="93">
        <v>45752</v>
      </c>
      <c r="C249" s="37" t="s">
        <v>360</v>
      </c>
      <c r="D249" s="93">
        <v>45753</v>
      </c>
      <c r="E249" s="37" t="s">
        <v>313</v>
      </c>
      <c r="F249" s="100">
        <f t="shared" ref="F249:F256" si="17">(D249 + TIME(LEFT(E249, 2), MID(E249, 3, 2), 0)) - (B249 + TIME(LEFT(C249, 2), MID(C249, 3, 2), 0))</f>
        <v>0.89444444444961846</v>
      </c>
    </row>
    <row r="250" spans="1:6">
      <c r="A250" s="37" t="s">
        <v>234</v>
      </c>
      <c r="B250" s="93">
        <v>45752</v>
      </c>
      <c r="C250" s="37" t="s">
        <v>549</v>
      </c>
      <c r="D250" s="93">
        <v>45752</v>
      </c>
      <c r="E250" s="37" t="s">
        <v>320</v>
      </c>
      <c r="F250" s="100">
        <f t="shared" si="17"/>
        <v>4.3055555557657499E-2</v>
      </c>
    </row>
    <row r="251" spans="1:6">
      <c r="A251" s="37" t="s">
        <v>236</v>
      </c>
      <c r="B251" s="93">
        <v>45752</v>
      </c>
      <c r="C251" s="37" t="s">
        <v>550</v>
      </c>
      <c r="D251" s="93">
        <v>45752</v>
      </c>
      <c r="E251" s="37" t="s">
        <v>551</v>
      </c>
      <c r="F251" s="100">
        <f t="shared" si="17"/>
        <v>5.4861111115314998E-2</v>
      </c>
    </row>
    <row r="252" spans="1:6">
      <c r="A252" s="37" t="s">
        <v>239</v>
      </c>
      <c r="B252" s="93">
        <v>45752</v>
      </c>
      <c r="C252" s="37" t="s">
        <v>552</v>
      </c>
      <c r="D252" s="93">
        <v>45752</v>
      </c>
      <c r="E252" s="37" t="s">
        <v>409</v>
      </c>
      <c r="F252" s="100">
        <f t="shared" si="17"/>
        <v>1.4583333337213844E-2</v>
      </c>
    </row>
    <row r="253" spans="1:6">
      <c r="A253" s="37" t="s">
        <v>183</v>
      </c>
      <c r="B253" s="93">
        <v>45752</v>
      </c>
      <c r="C253" s="37" t="s">
        <v>470</v>
      </c>
      <c r="D253" s="93">
        <v>45753</v>
      </c>
      <c r="E253" s="37" t="s">
        <v>553</v>
      </c>
      <c r="F253" s="100">
        <f t="shared" si="17"/>
        <v>0.8319444444423425</v>
      </c>
    </row>
    <row r="254" spans="1:6">
      <c r="A254" s="37" t="s">
        <v>245</v>
      </c>
      <c r="B254" s="93">
        <v>45752</v>
      </c>
      <c r="C254" s="37" t="s">
        <v>554</v>
      </c>
      <c r="D254" s="93">
        <v>45752</v>
      </c>
      <c r="E254" s="37" t="s">
        <v>555</v>
      </c>
      <c r="F254" s="100">
        <f t="shared" si="17"/>
        <v>5.8333333334303461E-2</v>
      </c>
    </row>
    <row r="255" spans="1:6">
      <c r="A255" s="37" t="s">
        <v>226</v>
      </c>
      <c r="B255" s="93">
        <v>45752</v>
      </c>
      <c r="C255" s="37" t="s">
        <v>556</v>
      </c>
      <c r="D255" s="93">
        <v>45752</v>
      </c>
      <c r="E255" s="37" t="s">
        <v>557</v>
      </c>
      <c r="F255" s="100">
        <f t="shared" si="17"/>
        <v>4.2361111110949423E-2</v>
      </c>
    </row>
    <row r="256" spans="1:6">
      <c r="A256" s="37" t="s">
        <v>229</v>
      </c>
      <c r="B256" s="93">
        <v>45752</v>
      </c>
      <c r="C256" s="37" t="s">
        <v>558</v>
      </c>
      <c r="D256" s="93">
        <v>45752</v>
      </c>
      <c r="E256" s="37" t="s">
        <v>519</v>
      </c>
      <c r="F256" s="100">
        <f t="shared" si="17"/>
        <v>4.7222222223354038E-2</v>
      </c>
    </row>
    <row r="257" spans="1:6">
      <c r="A257" s="37" t="s">
        <v>177</v>
      </c>
      <c r="B257" s="93">
        <v>45752</v>
      </c>
      <c r="C257" s="37" t="s">
        <v>559</v>
      </c>
      <c r="D257" s="93">
        <v>45753</v>
      </c>
      <c r="E257" s="37" t="s">
        <v>560</v>
      </c>
      <c r="F257" s="100">
        <f>(D257 + TIME(LEFT(E257, 2), MID(E257, 3, 2), 0)) - (B257 + TIME(LEFT(C257, 2), MID(C257, 3, 2), 0))</f>
        <v>1.1784722222218988</v>
      </c>
    </row>
    <row r="258" spans="1:6">
      <c r="A258" s="37" t="s">
        <v>186</v>
      </c>
      <c r="B258" s="93">
        <v>45752</v>
      </c>
      <c r="C258" s="37" t="s">
        <v>561</v>
      </c>
      <c r="D258" s="93">
        <v>45753</v>
      </c>
      <c r="E258" s="37" t="s">
        <v>562</v>
      </c>
      <c r="F258" s="100">
        <f>(D258 + TIME(LEFT(E258, 2), MID(E258, 3, 2), 0)) - (B258 + TIME(LEFT(C258, 2), MID(C258, 3, 2), 0))</f>
        <v>0.69513888889196096</v>
      </c>
    </row>
    <row r="259" spans="1:6">
      <c r="A259" s="37" t="s">
        <v>232</v>
      </c>
      <c r="B259" s="93">
        <v>45752</v>
      </c>
      <c r="C259" s="37" t="s">
        <v>563</v>
      </c>
      <c r="D259" s="93">
        <v>45752</v>
      </c>
      <c r="E259" s="37" t="s">
        <v>341</v>
      </c>
      <c r="F259" s="100">
        <f t="shared" ref="F259:F265" si="18">(D259 + TIME(LEFT(E259, 2), MID(E259, 3, 2), 0)) - (B259 + TIME(LEFT(C259, 2), MID(C259, 3, 2), 0))</f>
        <v>0.32986111111677019</v>
      </c>
    </row>
    <row r="260" spans="1:6">
      <c r="A260" s="23" t="s">
        <v>220</v>
      </c>
      <c r="B260" s="84">
        <v>45752</v>
      </c>
      <c r="C260" s="23" t="s">
        <v>274</v>
      </c>
      <c r="D260" s="93">
        <v>45752</v>
      </c>
      <c r="E260" s="37" t="s">
        <v>564</v>
      </c>
      <c r="F260" s="100">
        <f t="shared" si="18"/>
        <v>0.45902777777519077</v>
      </c>
    </row>
    <row r="261" spans="1:6">
      <c r="A261" s="37" t="s">
        <v>239</v>
      </c>
      <c r="B261" s="93">
        <v>45752</v>
      </c>
      <c r="C261" s="37" t="s">
        <v>565</v>
      </c>
      <c r="D261" s="93">
        <v>45752</v>
      </c>
      <c r="E261" s="37" t="s">
        <v>566</v>
      </c>
      <c r="F261" s="100">
        <f t="shared" si="18"/>
        <v>6.9444444437976927E-2</v>
      </c>
    </row>
    <row r="262" spans="1:6">
      <c r="A262" s="37" t="s">
        <v>234</v>
      </c>
      <c r="B262" s="93">
        <v>45752</v>
      </c>
      <c r="C262" s="37" t="s">
        <v>560</v>
      </c>
      <c r="D262" s="93">
        <v>45752</v>
      </c>
      <c r="E262" s="37" t="s">
        <v>567</v>
      </c>
      <c r="F262" s="100">
        <f t="shared" si="18"/>
        <v>6.1111111106583849E-2</v>
      </c>
    </row>
    <row r="263" spans="1:6">
      <c r="A263" s="37" t="s">
        <v>236</v>
      </c>
      <c r="B263" s="93">
        <v>45752</v>
      </c>
      <c r="C263" s="37" t="s">
        <v>568</v>
      </c>
      <c r="D263" s="93">
        <v>45752</v>
      </c>
      <c r="E263" s="37" t="s">
        <v>569</v>
      </c>
      <c r="F263" s="100">
        <f t="shared" si="18"/>
        <v>5.2083333335758653E-2</v>
      </c>
    </row>
    <row r="264" spans="1:6">
      <c r="A264" s="37" t="s">
        <v>245</v>
      </c>
      <c r="B264" s="93">
        <v>45752</v>
      </c>
      <c r="C264" s="37" t="s">
        <v>570</v>
      </c>
      <c r="D264" s="93">
        <v>45752</v>
      </c>
      <c r="E264" s="37" t="s">
        <v>571</v>
      </c>
      <c r="F264" s="100">
        <f t="shared" si="18"/>
        <v>6.8055555551836733E-2</v>
      </c>
    </row>
    <row r="265" spans="1:6">
      <c r="A265" s="37" t="s">
        <v>226</v>
      </c>
      <c r="B265" s="93">
        <v>45752</v>
      </c>
      <c r="C265" s="37" t="s">
        <v>572</v>
      </c>
      <c r="D265" s="93">
        <v>45752</v>
      </c>
      <c r="E265" s="37" t="s">
        <v>573</v>
      </c>
      <c r="F265" s="100">
        <f t="shared" si="18"/>
        <v>6.0416666659875773E-2</v>
      </c>
    </row>
    <row r="266" spans="1:6">
      <c r="A266" s="37" t="s">
        <v>217</v>
      </c>
      <c r="B266" s="93">
        <v>45752</v>
      </c>
      <c r="C266" s="37" t="s">
        <v>574</v>
      </c>
      <c r="D266" s="93">
        <v>45753</v>
      </c>
      <c r="E266" s="37" t="s">
        <v>213</v>
      </c>
      <c r="F266" s="100">
        <f>(D266 + TIME(LEFT(E266, 2), MID(E266, 3, 2), 0)) - (B266 + TIME(LEFT(C266, 2), MID(C266, 3, 2), 0))</f>
        <v>0.62569444443943212</v>
      </c>
    </row>
    <row r="267" spans="1:6">
      <c r="A267" s="37" t="s">
        <v>229</v>
      </c>
      <c r="B267" s="93">
        <v>45752</v>
      </c>
      <c r="C267" s="37" t="s">
        <v>203</v>
      </c>
      <c r="D267" s="93">
        <v>45752</v>
      </c>
      <c r="E267" s="37" t="s">
        <v>575</v>
      </c>
      <c r="F267" s="100">
        <f t="shared" ref="F267:F273" si="19">(D267 + TIME(LEFT(E267, 2), MID(E267, 3, 2), 0)) - (B267 + TIME(LEFT(C267, 2), MID(C267, 3, 2), 0))</f>
        <v>4.6527777776645962E-2</v>
      </c>
    </row>
    <row r="268" spans="1:6">
      <c r="A268" s="37" t="s">
        <v>234</v>
      </c>
      <c r="B268" s="93">
        <v>45752</v>
      </c>
      <c r="C268" s="37" t="s">
        <v>576</v>
      </c>
      <c r="D268" s="93">
        <v>45752</v>
      </c>
      <c r="E268" s="37" t="s">
        <v>414</v>
      </c>
      <c r="F268" s="100">
        <f t="shared" si="19"/>
        <v>3.8194444445252884E-2</v>
      </c>
    </row>
    <row r="269" spans="1:6">
      <c r="A269" s="37" t="s">
        <v>236</v>
      </c>
      <c r="B269" s="93">
        <v>45752</v>
      </c>
      <c r="C269" s="37" t="s">
        <v>197</v>
      </c>
      <c r="D269" s="93">
        <v>45752</v>
      </c>
      <c r="E269" s="37" t="s">
        <v>577</v>
      </c>
      <c r="F269" s="100">
        <f t="shared" si="19"/>
        <v>4.2361111110949423E-2</v>
      </c>
    </row>
    <row r="270" spans="1:6">
      <c r="A270" s="37" t="s">
        <v>232</v>
      </c>
      <c r="B270" s="93">
        <v>45752</v>
      </c>
      <c r="C270" s="37" t="s">
        <v>578</v>
      </c>
      <c r="D270" s="93">
        <v>45752</v>
      </c>
      <c r="E270" s="37" t="s">
        <v>579</v>
      </c>
      <c r="F270" s="100">
        <f t="shared" si="19"/>
        <v>0.16111111111240461</v>
      </c>
    </row>
    <row r="271" spans="1:6">
      <c r="A271" s="37" t="s">
        <v>279</v>
      </c>
      <c r="B271" s="93">
        <v>45752</v>
      </c>
      <c r="C271" s="37" t="s">
        <v>580</v>
      </c>
      <c r="D271" s="93">
        <v>45752</v>
      </c>
      <c r="E271" s="37" t="s">
        <v>581</v>
      </c>
      <c r="F271" s="100">
        <f t="shared" si="19"/>
        <v>4.722222221607808E-2</v>
      </c>
    </row>
    <row r="272" spans="1:6">
      <c r="A272" s="37" t="s">
        <v>239</v>
      </c>
      <c r="B272" s="93">
        <v>45752</v>
      </c>
      <c r="C272" s="37" t="s">
        <v>182</v>
      </c>
      <c r="D272" s="93">
        <v>45752</v>
      </c>
      <c r="E272" s="37" t="s">
        <v>349</v>
      </c>
      <c r="F272" s="100">
        <f t="shared" si="19"/>
        <v>2.0138888889050577E-2</v>
      </c>
    </row>
    <row r="273" spans="1:6">
      <c r="A273" s="37" t="s">
        <v>245</v>
      </c>
      <c r="B273" s="93">
        <v>45752</v>
      </c>
      <c r="C273" s="37" t="s">
        <v>182</v>
      </c>
      <c r="D273" s="93">
        <v>45752</v>
      </c>
      <c r="E273" s="37" t="s">
        <v>582</v>
      </c>
      <c r="F273" s="100">
        <f t="shared" si="19"/>
        <v>2.2916666668606922E-2</v>
      </c>
    </row>
    <row r="274" spans="1:6">
      <c r="A274" s="37" t="s">
        <v>180</v>
      </c>
      <c r="B274" s="93">
        <v>45752</v>
      </c>
      <c r="C274" s="37" t="s">
        <v>583</v>
      </c>
      <c r="D274" s="93">
        <v>45755</v>
      </c>
      <c r="E274" s="37" t="s">
        <v>584</v>
      </c>
      <c r="F274" s="100">
        <f>(D274 + TIME(LEFT(E274, 2), MID(E274, 3, 2), 0)) - (B274 + TIME(LEFT(C274, 2), MID(C274, 3, 2), 0))</f>
        <v>3.0256944444408873</v>
      </c>
    </row>
    <row r="275" spans="1:6">
      <c r="A275" s="37" t="s">
        <v>229</v>
      </c>
      <c r="B275" s="93">
        <v>45752</v>
      </c>
      <c r="C275" s="37" t="s">
        <v>579</v>
      </c>
      <c r="D275" s="93">
        <v>45752</v>
      </c>
      <c r="E275" s="37" t="s">
        <v>585</v>
      </c>
      <c r="F275" s="100">
        <f t="shared" ref="F275:F284" si="20">(D275 + TIME(LEFT(E275, 2), MID(E275, 3, 2), 0)) - (B275 + TIME(LEFT(C275, 2), MID(C275, 3, 2), 0))</f>
        <v>1.1111111110949423E-2</v>
      </c>
    </row>
    <row r="276" spans="1:6">
      <c r="A276" s="37" t="s">
        <v>226</v>
      </c>
      <c r="B276" s="93">
        <v>45752</v>
      </c>
      <c r="C276" s="37" t="s">
        <v>579</v>
      </c>
      <c r="D276" s="93">
        <v>45752</v>
      </c>
      <c r="E276" s="37" t="s">
        <v>586</v>
      </c>
      <c r="F276" s="100">
        <f t="shared" si="20"/>
        <v>5.5555555591126904E-3</v>
      </c>
    </row>
    <row r="277" spans="1:6">
      <c r="A277" s="37" t="s">
        <v>234</v>
      </c>
      <c r="B277" s="93">
        <v>45752</v>
      </c>
      <c r="C277" s="37" t="s">
        <v>579</v>
      </c>
      <c r="D277" s="93">
        <v>45753</v>
      </c>
      <c r="E277" s="37" t="s">
        <v>587</v>
      </c>
      <c r="F277" s="100">
        <f t="shared" si="20"/>
        <v>3.2638888893416151E-2</v>
      </c>
    </row>
    <row r="278" spans="1:6">
      <c r="A278" s="37" t="s">
        <v>236</v>
      </c>
      <c r="B278" s="93">
        <v>45752</v>
      </c>
      <c r="C278" s="37" t="s">
        <v>449</v>
      </c>
      <c r="D278" s="93">
        <v>45753</v>
      </c>
      <c r="E278" s="37" t="s">
        <v>588</v>
      </c>
      <c r="F278" s="100">
        <f t="shared" si="20"/>
        <v>4.3055555557657499E-2</v>
      </c>
    </row>
    <row r="279" spans="1:6">
      <c r="A279" s="37" t="s">
        <v>214</v>
      </c>
      <c r="B279" s="93">
        <v>45752</v>
      </c>
      <c r="C279" s="37" t="s">
        <v>212</v>
      </c>
      <c r="D279" s="93">
        <v>45753</v>
      </c>
      <c r="E279" s="37" t="s">
        <v>306</v>
      </c>
      <c r="F279" s="100">
        <f t="shared" si="20"/>
        <v>0.75138888888614019</v>
      </c>
    </row>
    <row r="280" spans="1:6">
      <c r="A280" s="37" t="s">
        <v>211</v>
      </c>
      <c r="B280" s="93">
        <v>45752</v>
      </c>
      <c r="C280" s="37" t="s">
        <v>589</v>
      </c>
      <c r="D280" s="93">
        <v>45753</v>
      </c>
      <c r="E280" s="37" t="s">
        <v>590</v>
      </c>
      <c r="F280" s="100">
        <f t="shared" si="20"/>
        <v>0.25069444444670808</v>
      </c>
    </row>
    <row r="281" spans="1:6">
      <c r="A281" s="37" t="s">
        <v>232</v>
      </c>
      <c r="B281" s="84">
        <v>45752</v>
      </c>
      <c r="C281" s="23" t="s">
        <v>579</v>
      </c>
      <c r="D281" s="93">
        <v>45752</v>
      </c>
      <c r="E281" s="37" t="s">
        <v>261</v>
      </c>
      <c r="F281" s="100">
        <f t="shared" si="20"/>
        <v>2.0138888889050577E-2</v>
      </c>
    </row>
    <row r="282" spans="1:6">
      <c r="A282" s="37" t="s">
        <v>226</v>
      </c>
      <c r="B282" s="93">
        <v>45753</v>
      </c>
      <c r="C282" s="37" t="s">
        <v>591</v>
      </c>
      <c r="D282" s="93">
        <v>45753</v>
      </c>
      <c r="E282" s="37" t="s">
        <v>592</v>
      </c>
      <c r="F282" s="100">
        <f t="shared" si="20"/>
        <v>2.3611111115314998E-2</v>
      </c>
    </row>
    <row r="283" spans="1:6">
      <c r="A283" s="37" t="s">
        <v>245</v>
      </c>
      <c r="B283" s="93">
        <v>45753</v>
      </c>
      <c r="C283" s="37" t="s">
        <v>591</v>
      </c>
      <c r="D283" s="93">
        <v>45753</v>
      </c>
      <c r="E283" s="37" t="s">
        <v>593</v>
      </c>
      <c r="F283" s="100">
        <f t="shared" si="20"/>
        <v>3.4722222262644209E-3</v>
      </c>
    </row>
    <row r="284" spans="1:6">
      <c r="A284" s="37" t="s">
        <v>248</v>
      </c>
      <c r="B284" s="93">
        <v>45753</v>
      </c>
      <c r="C284" s="37" t="s">
        <v>594</v>
      </c>
      <c r="D284" s="93">
        <v>45753</v>
      </c>
      <c r="E284" s="37" t="s">
        <v>348</v>
      </c>
      <c r="F284" s="100">
        <f t="shared" si="20"/>
        <v>0.71597222222771961</v>
      </c>
    </row>
    <row r="285" spans="1:6">
      <c r="A285" s="23" t="s">
        <v>220</v>
      </c>
      <c r="B285" s="84">
        <v>45753</v>
      </c>
      <c r="C285" s="37" t="s">
        <v>595</v>
      </c>
      <c r="D285" s="93">
        <v>45754</v>
      </c>
      <c r="E285" s="37" t="s">
        <v>216</v>
      </c>
      <c r="F285" s="100">
        <f t="shared" ref="F285:F290" si="21">(D285 + TIME(LEFT(E285, 2), MID(E285, 3, 2), 0)) - (B285 + TIME(LEFT(C285, 2), MID(C285, 3, 2), 0))</f>
        <v>0.79236111111094942</v>
      </c>
    </row>
    <row r="286" spans="1:6">
      <c r="A286" s="37" t="s">
        <v>225</v>
      </c>
      <c r="B286" s="93">
        <v>45753</v>
      </c>
      <c r="C286" s="37" t="s">
        <v>218</v>
      </c>
      <c r="D286" s="93">
        <v>45753</v>
      </c>
      <c r="E286" s="37" t="s">
        <v>359</v>
      </c>
      <c r="F286" s="100">
        <f t="shared" si="21"/>
        <v>0.45902777777519077</v>
      </c>
    </row>
    <row r="287" spans="1:6">
      <c r="A287" s="37" t="s">
        <v>229</v>
      </c>
      <c r="B287" s="93">
        <v>45753</v>
      </c>
      <c r="C287" s="37" t="s">
        <v>596</v>
      </c>
      <c r="D287" s="93">
        <v>45753</v>
      </c>
      <c r="E287" s="37" t="s">
        <v>597</v>
      </c>
      <c r="F287" s="100">
        <f t="shared" si="21"/>
        <v>9.7222222175332718E-3</v>
      </c>
    </row>
    <row r="288" spans="1:6">
      <c r="A288" s="37" t="s">
        <v>232</v>
      </c>
      <c r="B288" s="93">
        <v>45753</v>
      </c>
      <c r="C288" s="37" t="s">
        <v>598</v>
      </c>
      <c r="D288" s="93">
        <v>45753</v>
      </c>
      <c r="E288" s="37" t="s">
        <v>599</v>
      </c>
      <c r="F288" s="100">
        <f t="shared" si="21"/>
        <v>1.5972222223354038E-2</v>
      </c>
    </row>
    <row r="289" spans="1:8">
      <c r="A289" s="37" t="s">
        <v>242</v>
      </c>
      <c r="B289" s="93">
        <v>45753</v>
      </c>
      <c r="C289" s="37" t="s">
        <v>600</v>
      </c>
      <c r="D289" s="93">
        <v>45754</v>
      </c>
      <c r="E289" s="37" t="s">
        <v>459</v>
      </c>
      <c r="F289" s="100">
        <f t="shared" si="21"/>
        <v>0.75972222222480923</v>
      </c>
    </row>
    <row r="290" spans="1:8">
      <c r="A290" s="37" t="s">
        <v>401</v>
      </c>
      <c r="B290" s="93">
        <v>45753</v>
      </c>
      <c r="C290" s="37" t="s">
        <v>253</v>
      </c>
      <c r="D290" s="93">
        <v>45756</v>
      </c>
      <c r="E290" s="37" t="s">
        <v>601</v>
      </c>
      <c r="F290" s="100">
        <f t="shared" si="21"/>
        <v>2.6881944444394321</v>
      </c>
      <c r="G290" s="37" t="s">
        <v>9</v>
      </c>
    </row>
    <row r="291" spans="1:8">
      <c r="A291" s="37" t="s">
        <v>234</v>
      </c>
      <c r="B291" s="93">
        <v>45753</v>
      </c>
      <c r="C291" s="37" t="s">
        <v>602</v>
      </c>
      <c r="D291" s="93">
        <v>45753</v>
      </c>
      <c r="E291" s="37" t="s">
        <v>603</v>
      </c>
      <c r="F291" s="100">
        <f t="shared" ref="F291:F301" si="22">(D291 + TIME(LEFT(E291, 2), MID(E291, 3, 2), 0)) - (B291 + TIME(LEFT(C291, 2), MID(C291, 3, 2), 0))</f>
        <v>2.6388888887595385E-2</v>
      </c>
    </row>
    <row r="292" spans="1:8">
      <c r="A292" s="37" t="s">
        <v>236</v>
      </c>
      <c r="B292" s="93">
        <v>45753</v>
      </c>
      <c r="C292" s="37" t="s">
        <v>604</v>
      </c>
      <c r="D292" s="93">
        <v>45753</v>
      </c>
      <c r="E292" s="37" t="s">
        <v>605</v>
      </c>
      <c r="F292" s="100">
        <f t="shared" si="22"/>
        <v>5.6944444448163267E-2</v>
      </c>
    </row>
    <row r="293" spans="1:8">
      <c r="A293" s="37" t="s">
        <v>239</v>
      </c>
      <c r="B293" s="93">
        <v>45753</v>
      </c>
      <c r="C293" s="37" t="s">
        <v>550</v>
      </c>
      <c r="D293" s="93">
        <v>45753</v>
      </c>
      <c r="E293" s="37" t="s">
        <v>519</v>
      </c>
      <c r="F293" s="100">
        <f t="shared" si="22"/>
        <v>7.3611111110949423E-2</v>
      </c>
    </row>
    <row r="294" spans="1:8">
      <c r="A294" s="37" t="s">
        <v>245</v>
      </c>
      <c r="B294" s="93">
        <v>45753</v>
      </c>
      <c r="C294" s="37" t="s">
        <v>606</v>
      </c>
      <c r="D294" s="93">
        <v>45753</v>
      </c>
      <c r="E294" s="37" t="s">
        <v>607</v>
      </c>
      <c r="F294" s="100">
        <f t="shared" si="22"/>
        <v>5.5555555562023073E-2</v>
      </c>
    </row>
    <row r="295" spans="1:8">
      <c r="A295" s="37" t="s">
        <v>183</v>
      </c>
      <c r="B295" s="93">
        <v>45753</v>
      </c>
      <c r="C295" s="37" t="s">
        <v>187</v>
      </c>
      <c r="D295" s="93">
        <v>45753</v>
      </c>
      <c r="E295" s="37" t="s">
        <v>608</v>
      </c>
      <c r="F295" s="100">
        <f t="shared" si="22"/>
        <v>0.61249999999563443</v>
      </c>
    </row>
    <row r="296" spans="1:8" ht="27.6">
      <c r="A296" s="37" t="s">
        <v>164</v>
      </c>
      <c r="B296" s="93">
        <v>45753</v>
      </c>
      <c r="C296" s="37" t="s">
        <v>409</v>
      </c>
      <c r="D296" s="93">
        <v>45753</v>
      </c>
      <c r="E296" s="37" t="s">
        <v>326</v>
      </c>
      <c r="F296" s="100">
        <f t="shared" si="22"/>
        <v>5.4166666668606922E-2</v>
      </c>
      <c r="H296" s="94" t="s">
        <v>609</v>
      </c>
    </row>
    <row r="297" spans="1:8">
      <c r="A297" s="37" t="s">
        <v>186</v>
      </c>
      <c r="B297" s="93">
        <v>45753</v>
      </c>
      <c r="C297" s="37" t="s">
        <v>610</v>
      </c>
      <c r="D297" s="93">
        <v>45754</v>
      </c>
      <c r="E297" s="37" t="s">
        <v>611</v>
      </c>
      <c r="F297" s="100">
        <f t="shared" si="22"/>
        <v>0.60416666666424135</v>
      </c>
    </row>
    <row r="298" spans="1:8">
      <c r="A298" s="37" t="s">
        <v>226</v>
      </c>
      <c r="B298" s="93">
        <v>45753</v>
      </c>
      <c r="C298" s="37" t="s">
        <v>258</v>
      </c>
      <c r="D298" s="93">
        <v>45753</v>
      </c>
      <c r="E298" s="37" t="s">
        <v>612</v>
      </c>
      <c r="F298" s="100">
        <f t="shared" si="22"/>
        <v>4.5833333337213844E-2</v>
      </c>
    </row>
    <row r="299" spans="1:8">
      <c r="A299" s="37" t="s">
        <v>164</v>
      </c>
      <c r="B299" s="93">
        <v>45753</v>
      </c>
      <c r="C299" s="37" t="s">
        <v>326</v>
      </c>
      <c r="D299" s="93">
        <v>45753</v>
      </c>
      <c r="E299" s="37" t="s">
        <v>613</v>
      </c>
      <c r="F299" s="100">
        <f t="shared" si="22"/>
        <v>5.5555555554747116E-2</v>
      </c>
    </row>
    <row r="300" spans="1:8">
      <c r="A300" s="37" t="s">
        <v>229</v>
      </c>
      <c r="B300" s="93">
        <v>45753</v>
      </c>
      <c r="C300" s="37" t="s">
        <v>614</v>
      </c>
      <c r="D300" s="93">
        <v>45753</v>
      </c>
      <c r="E300" s="37" t="s">
        <v>615</v>
      </c>
      <c r="F300" s="100">
        <f t="shared" si="22"/>
        <v>7.5000000004365575E-2</v>
      </c>
    </row>
    <row r="301" spans="1:8">
      <c r="A301" s="37" t="s">
        <v>232</v>
      </c>
      <c r="B301" s="93">
        <v>45753</v>
      </c>
      <c r="C301" s="37" t="s">
        <v>377</v>
      </c>
      <c r="D301" s="93">
        <v>45753</v>
      </c>
      <c r="E301" s="37" t="s">
        <v>615</v>
      </c>
      <c r="F301" s="100">
        <f t="shared" si="22"/>
        <v>6.8749999998544808E-2</v>
      </c>
    </row>
    <row r="302" spans="1:8">
      <c r="A302" s="37" t="s">
        <v>211</v>
      </c>
      <c r="B302" s="93">
        <v>45753</v>
      </c>
      <c r="C302" s="37" t="s">
        <v>274</v>
      </c>
      <c r="D302" s="93">
        <v>45754</v>
      </c>
      <c r="E302" s="37" t="s">
        <v>306</v>
      </c>
      <c r="F302" s="100">
        <f t="shared" ref="F302:F307" si="23">(D302 + TIME(LEFT(E302, 2), MID(E302, 3, 2), 0)) - (B302 + TIME(LEFT(C302, 2), MID(C302, 3, 2), 0))</f>
        <v>1.0013888888861402</v>
      </c>
    </row>
    <row r="303" spans="1:8">
      <c r="A303" s="37" t="s">
        <v>234</v>
      </c>
      <c r="B303" s="93">
        <v>45753</v>
      </c>
      <c r="C303" s="37" t="s">
        <v>215</v>
      </c>
      <c r="D303" s="93">
        <v>45753</v>
      </c>
      <c r="E303" s="37" t="s">
        <v>616</v>
      </c>
      <c r="F303" s="100">
        <f t="shared" si="23"/>
        <v>3.4722222226264421E-2</v>
      </c>
    </row>
    <row r="304" spans="1:8">
      <c r="A304" s="37" t="s">
        <v>236</v>
      </c>
      <c r="B304" s="93">
        <v>45753</v>
      </c>
      <c r="C304" s="37" t="s">
        <v>617</v>
      </c>
      <c r="D304" s="93">
        <v>45753</v>
      </c>
      <c r="E304" s="37" t="s">
        <v>616</v>
      </c>
      <c r="F304" s="100">
        <f t="shared" si="23"/>
        <v>2.5000000001455192E-2</v>
      </c>
    </row>
    <row r="305" spans="1:6">
      <c r="A305" s="37" t="s">
        <v>239</v>
      </c>
      <c r="B305" s="93">
        <v>45753</v>
      </c>
      <c r="C305" s="37" t="s">
        <v>618</v>
      </c>
      <c r="D305" s="93">
        <v>45753</v>
      </c>
      <c r="E305" s="37" t="s">
        <v>619</v>
      </c>
      <c r="F305" s="100">
        <f t="shared" si="23"/>
        <v>1.1805555557657499E-2</v>
      </c>
    </row>
    <row r="306" spans="1:6">
      <c r="A306" s="37" t="s">
        <v>335</v>
      </c>
      <c r="B306" s="93">
        <v>45753</v>
      </c>
      <c r="C306" s="37" t="s">
        <v>620</v>
      </c>
      <c r="D306" s="93">
        <v>45753</v>
      </c>
      <c r="E306" s="37" t="s">
        <v>621</v>
      </c>
      <c r="F306" s="100">
        <f t="shared" si="23"/>
        <v>9.8611111112404615E-2</v>
      </c>
    </row>
    <row r="307" spans="1:6">
      <c r="A307" s="37" t="s">
        <v>174</v>
      </c>
      <c r="B307" s="93">
        <v>45753</v>
      </c>
      <c r="C307" s="37" t="s">
        <v>622</v>
      </c>
      <c r="D307" s="93">
        <v>45754</v>
      </c>
      <c r="E307" s="37" t="s">
        <v>623</v>
      </c>
      <c r="F307" s="100">
        <f t="shared" si="23"/>
        <v>0.6875</v>
      </c>
    </row>
    <row r="308" spans="1:6">
      <c r="A308" s="37" t="s">
        <v>245</v>
      </c>
      <c r="B308" s="93">
        <v>45753</v>
      </c>
      <c r="C308" s="37" t="s">
        <v>624</v>
      </c>
      <c r="D308" s="93">
        <v>45753</v>
      </c>
      <c r="E308" s="37" t="s">
        <v>625</v>
      </c>
      <c r="F308" s="100">
        <f t="shared" ref="F308:F313" si="24">(D308 + TIME(LEFT(E308, 2), MID(E308, 3, 2), 0)) - (B308 + TIME(LEFT(C308, 2), MID(C308, 3, 2), 0))</f>
        <v>1.1111111110949423E-2</v>
      </c>
    </row>
    <row r="309" spans="1:6">
      <c r="A309" s="37" t="s">
        <v>226</v>
      </c>
      <c r="B309" s="93">
        <v>45753</v>
      </c>
      <c r="C309" s="37" t="s">
        <v>624</v>
      </c>
      <c r="D309" s="93">
        <v>45753</v>
      </c>
      <c r="E309" s="37" t="s">
        <v>626</v>
      </c>
      <c r="F309" s="100">
        <f t="shared" si="24"/>
        <v>3.125E-2</v>
      </c>
    </row>
    <row r="310" spans="1:6">
      <c r="A310" s="37" t="s">
        <v>164</v>
      </c>
      <c r="B310" s="93">
        <v>45753</v>
      </c>
      <c r="C310" s="37" t="s">
        <v>624</v>
      </c>
      <c r="D310" s="93">
        <v>45753</v>
      </c>
      <c r="E310" s="37" t="s">
        <v>163</v>
      </c>
      <c r="F310" s="100">
        <f t="shared" si="24"/>
        <v>4.8611111051286571E-3</v>
      </c>
    </row>
    <row r="311" spans="1:6">
      <c r="A311" s="37" t="s">
        <v>335</v>
      </c>
      <c r="B311" s="93">
        <v>45752</v>
      </c>
      <c r="C311" s="37" t="s">
        <v>621</v>
      </c>
      <c r="D311" s="93">
        <v>45752</v>
      </c>
      <c r="E311" s="37" t="s">
        <v>627</v>
      </c>
      <c r="F311" s="100">
        <f t="shared" si="24"/>
        <v>2.2916666668606922E-2</v>
      </c>
    </row>
    <row r="312" spans="1:6">
      <c r="A312" s="37" t="s">
        <v>335</v>
      </c>
      <c r="B312" s="93">
        <v>45752</v>
      </c>
      <c r="C312" s="37" t="s">
        <v>628</v>
      </c>
      <c r="D312" s="93">
        <v>45752</v>
      </c>
      <c r="E312" s="37" t="s">
        <v>479</v>
      </c>
      <c r="F312" s="100">
        <f t="shared" si="24"/>
        <v>2.1527777782466728E-2</v>
      </c>
    </row>
    <row r="313" spans="1:6">
      <c r="A313" s="37" t="s">
        <v>335</v>
      </c>
      <c r="B313" s="93">
        <v>45753</v>
      </c>
      <c r="C313" s="37" t="s">
        <v>629</v>
      </c>
      <c r="D313" s="93">
        <v>45753</v>
      </c>
      <c r="E313" s="37" t="s">
        <v>537</v>
      </c>
      <c r="F313" s="100">
        <f t="shared" si="24"/>
        <v>0.27291666666860692</v>
      </c>
    </row>
    <row r="314" spans="1:6">
      <c r="A314" s="37" t="s">
        <v>217</v>
      </c>
      <c r="B314" s="93">
        <v>45753</v>
      </c>
      <c r="C314" s="37" t="s">
        <v>410</v>
      </c>
      <c r="D314" s="93">
        <v>45754</v>
      </c>
      <c r="E314" s="37" t="s">
        <v>630</v>
      </c>
      <c r="F314" s="100">
        <f>(D314 + TIME(LEFT(E314, 2), MID(E314, 3, 2), 0)) - (B314 + TIME(LEFT(C314, 2), MID(C314, 3, 2), 0))</f>
        <v>0.58888888889487134</v>
      </c>
    </row>
    <row r="315" spans="1:6">
      <c r="A315" s="37" t="s">
        <v>229</v>
      </c>
      <c r="B315" s="93">
        <v>45753</v>
      </c>
      <c r="C315" s="37" t="s">
        <v>631</v>
      </c>
      <c r="D315" s="93">
        <v>45753</v>
      </c>
      <c r="E315" s="37" t="s">
        <v>632</v>
      </c>
      <c r="F315" s="100">
        <f t="shared" ref="F315:F320" si="25">(D315 + TIME(LEFT(E315, 2), MID(E315, 3, 2), 0)) - (B315 + TIME(LEFT(C315, 2), MID(C315, 3, 2), 0))</f>
        <v>2.8472222220443655E-2</v>
      </c>
    </row>
    <row r="316" spans="1:6">
      <c r="A316" s="37" t="s">
        <v>232</v>
      </c>
      <c r="B316" s="93">
        <v>45753</v>
      </c>
      <c r="C316" s="37" t="s">
        <v>406</v>
      </c>
      <c r="D316" s="93">
        <v>45753</v>
      </c>
      <c r="E316" s="37" t="s">
        <v>633</v>
      </c>
      <c r="F316" s="100">
        <f t="shared" si="25"/>
        <v>2.7777777781011537E-2</v>
      </c>
    </row>
    <row r="317" spans="1:6">
      <c r="A317" s="37" t="s">
        <v>234</v>
      </c>
      <c r="B317" s="93">
        <v>45753</v>
      </c>
      <c r="C317" s="37" t="s">
        <v>634</v>
      </c>
      <c r="D317" s="93">
        <v>45753</v>
      </c>
      <c r="E317" s="37" t="s">
        <v>635</v>
      </c>
      <c r="F317" s="100">
        <f t="shared" si="25"/>
        <v>2.3611111115314998E-2</v>
      </c>
    </row>
    <row r="318" spans="1:6">
      <c r="A318" s="37" t="s">
        <v>236</v>
      </c>
      <c r="B318" s="93">
        <v>45753</v>
      </c>
      <c r="C318" s="37" t="s">
        <v>636</v>
      </c>
      <c r="D318" s="93">
        <v>45753</v>
      </c>
      <c r="E318" s="37" t="s">
        <v>633</v>
      </c>
      <c r="F318" s="100">
        <f t="shared" si="25"/>
        <v>1.6666666670062114E-2</v>
      </c>
    </row>
    <row r="319" spans="1:6">
      <c r="A319" s="37" t="s">
        <v>239</v>
      </c>
      <c r="B319" s="93">
        <v>45753</v>
      </c>
      <c r="C319" s="37" t="s">
        <v>637</v>
      </c>
      <c r="D319" s="93">
        <v>45753</v>
      </c>
      <c r="E319" s="37" t="s">
        <v>638</v>
      </c>
      <c r="F319" s="100">
        <f t="shared" si="25"/>
        <v>3.2638888893416151E-2</v>
      </c>
    </row>
    <row r="320" spans="1:6">
      <c r="A320" s="37" t="s">
        <v>245</v>
      </c>
      <c r="B320" s="93">
        <v>45753</v>
      </c>
      <c r="C320" s="37" t="s">
        <v>639</v>
      </c>
      <c r="D320" s="93">
        <v>45753</v>
      </c>
      <c r="E320" s="37" t="s">
        <v>640</v>
      </c>
      <c r="F320" s="100">
        <f t="shared" si="25"/>
        <v>3.6111111105128657E-2</v>
      </c>
    </row>
    <row r="321" spans="1:8">
      <c r="A321" s="37" t="s">
        <v>214</v>
      </c>
      <c r="B321" s="93">
        <v>45753</v>
      </c>
      <c r="C321" s="37" t="s">
        <v>632</v>
      </c>
      <c r="D321" s="93">
        <v>45753</v>
      </c>
      <c r="E321" s="37" t="s">
        <v>641</v>
      </c>
      <c r="F321" s="100">
        <f t="shared" ref="F321:F326" si="26">(D321 + TIME(LEFT(E321, 2), MID(E321, 3, 2), 0)) - (B321 + TIME(LEFT(C321, 2), MID(C321, 3, 2), 0))</f>
        <v>5.3472222221898846E-2</v>
      </c>
    </row>
    <row r="322" spans="1:8">
      <c r="A322" s="37" t="s">
        <v>177</v>
      </c>
      <c r="B322" s="93">
        <v>45753</v>
      </c>
      <c r="C322" s="37" t="s">
        <v>580</v>
      </c>
      <c r="D322" s="93">
        <v>45755</v>
      </c>
      <c r="E322" s="37" t="s">
        <v>642</v>
      </c>
      <c r="F322" s="100">
        <f t="shared" si="26"/>
        <v>1.3659722222218988</v>
      </c>
    </row>
    <row r="323" spans="1:8">
      <c r="A323" s="37" t="s">
        <v>214</v>
      </c>
      <c r="B323" s="93">
        <v>45754</v>
      </c>
      <c r="C323" s="37" t="s">
        <v>223</v>
      </c>
      <c r="D323" s="93">
        <v>45754</v>
      </c>
      <c r="E323" s="37" t="s">
        <v>222</v>
      </c>
      <c r="F323" s="100">
        <f t="shared" si="26"/>
        <v>0.75069444443943212</v>
      </c>
    </row>
    <row r="324" spans="1:8">
      <c r="A324" s="37" t="s">
        <v>248</v>
      </c>
      <c r="B324" s="93">
        <v>45754</v>
      </c>
      <c r="C324" s="37" t="s">
        <v>643</v>
      </c>
      <c r="D324" s="93">
        <v>45754</v>
      </c>
      <c r="E324" s="37" t="s">
        <v>643</v>
      </c>
      <c r="F324" s="100">
        <f t="shared" si="26"/>
        <v>0</v>
      </c>
    </row>
    <row r="325" spans="1:8">
      <c r="A325" s="37" t="s">
        <v>248</v>
      </c>
      <c r="B325" s="93">
        <v>45754</v>
      </c>
      <c r="C325" s="37" t="s">
        <v>643</v>
      </c>
      <c r="D325" s="93">
        <v>45754</v>
      </c>
      <c r="E325" s="37" t="s">
        <v>644</v>
      </c>
      <c r="F325" s="100">
        <f t="shared" si="26"/>
        <v>8.611111110803904E-2</v>
      </c>
      <c r="G325" s="37" t="s">
        <v>9</v>
      </c>
      <c r="H325" s="23" t="s">
        <v>645</v>
      </c>
    </row>
    <row r="326" spans="1:8">
      <c r="A326" s="37" t="s">
        <v>248</v>
      </c>
      <c r="B326" s="93">
        <v>45754</v>
      </c>
      <c r="C326" s="37" t="s">
        <v>644</v>
      </c>
      <c r="D326" s="93">
        <v>45756</v>
      </c>
      <c r="E326" s="37" t="s">
        <v>646</v>
      </c>
      <c r="F326" s="100">
        <f t="shared" si="26"/>
        <v>1.8250000000043656</v>
      </c>
      <c r="H326" s="94" t="s">
        <v>647</v>
      </c>
    </row>
    <row r="327" spans="1:8">
      <c r="A327" s="37" t="s">
        <v>226</v>
      </c>
      <c r="B327" s="93">
        <v>45754</v>
      </c>
      <c r="C327" s="37" t="s">
        <v>440</v>
      </c>
      <c r="D327" s="93">
        <v>45754</v>
      </c>
      <c r="E327" s="37" t="s">
        <v>648</v>
      </c>
      <c r="F327" s="100">
        <f t="shared" ref="F327:F335" si="27">(D327 + TIME(LEFT(E327, 2), MID(E327, 3, 2), 0)) - (B327 + TIME(LEFT(C327, 2), MID(C327, 3, 2), 0))</f>
        <v>1.3888888883229811E-2</v>
      </c>
    </row>
    <row r="328" spans="1:8">
      <c r="A328" s="37" t="s">
        <v>229</v>
      </c>
      <c r="B328" s="93">
        <v>45754</v>
      </c>
      <c r="C328" s="37" t="s">
        <v>649</v>
      </c>
      <c r="D328" s="93">
        <v>45754</v>
      </c>
      <c r="E328" s="37" t="s">
        <v>314</v>
      </c>
      <c r="F328" s="100">
        <f t="shared" si="27"/>
        <v>9.0277777708251961E-3</v>
      </c>
    </row>
    <row r="329" spans="1:8">
      <c r="A329" s="37" t="s">
        <v>232</v>
      </c>
      <c r="B329" s="93">
        <v>45754</v>
      </c>
      <c r="C329" s="37" t="s">
        <v>623</v>
      </c>
      <c r="D329" s="93">
        <v>45754</v>
      </c>
      <c r="E329" s="37" t="s">
        <v>650</v>
      </c>
      <c r="F329" s="100">
        <f t="shared" si="27"/>
        <v>9.7222222175332718E-3</v>
      </c>
    </row>
    <row r="330" spans="1:8">
      <c r="A330" s="37" t="s">
        <v>242</v>
      </c>
      <c r="B330" s="93">
        <v>45754</v>
      </c>
      <c r="C330" s="37" t="s">
        <v>623</v>
      </c>
      <c r="D330" s="93">
        <v>45755</v>
      </c>
      <c r="E330" s="37" t="s">
        <v>651</v>
      </c>
      <c r="F330" s="100">
        <f t="shared" si="27"/>
        <v>0.8006944444423425</v>
      </c>
    </row>
    <row r="331" spans="1:8">
      <c r="A331" s="37" t="s">
        <v>234</v>
      </c>
      <c r="B331" s="93">
        <v>45754</v>
      </c>
      <c r="C331" s="37" t="s">
        <v>346</v>
      </c>
      <c r="D331" s="93">
        <v>45754</v>
      </c>
      <c r="E331" s="37" t="s">
        <v>652</v>
      </c>
      <c r="F331" s="100">
        <f t="shared" si="27"/>
        <v>1.7361111109494232E-2</v>
      </c>
    </row>
    <row r="332" spans="1:8">
      <c r="A332" s="37" t="s">
        <v>225</v>
      </c>
      <c r="B332" s="93">
        <v>45754</v>
      </c>
      <c r="C332" s="37" t="s">
        <v>653</v>
      </c>
      <c r="D332" s="93">
        <v>45754</v>
      </c>
      <c r="E332" s="37" t="s">
        <v>224</v>
      </c>
      <c r="F332" s="100">
        <f t="shared" si="27"/>
        <v>0.20416666666278616</v>
      </c>
    </row>
    <row r="333" spans="1:8">
      <c r="A333" s="37" t="s">
        <v>236</v>
      </c>
      <c r="B333" s="93">
        <v>45754</v>
      </c>
      <c r="C333" s="37" t="s">
        <v>547</v>
      </c>
      <c r="D333" s="93">
        <v>45754</v>
      </c>
      <c r="E333" s="37" t="s">
        <v>654</v>
      </c>
      <c r="F333" s="100">
        <f t="shared" si="27"/>
        <v>6.9444444452528842E-3</v>
      </c>
    </row>
    <row r="334" spans="1:8">
      <c r="A334" s="37" t="s">
        <v>186</v>
      </c>
      <c r="B334" s="93">
        <v>45754</v>
      </c>
      <c r="C334" s="37" t="s">
        <v>360</v>
      </c>
      <c r="D334" s="84">
        <v>45754</v>
      </c>
      <c r="E334" s="23" t="s">
        <v>518</v>
      </c>
      <c r="F334" s="100">
        <f t="shared" si="27"/>
        <v>0.65555555556056788</v>
      </c>
    </row>
    <row r="335" spans="1:8">
      <c r="A335" s="37" t="s">
        <v>183</v>
      </c>
      <c r="B335" s="93">
        <v>45754</v>
      </c>
      <c r="C335" s="37" t="s">
        <v>599</v>
      </c>
      <c r="D335" s="93">
        <v>45754</v>
      </c>
      <c r="E335" s="37" t="s">
        <v>373</v>
      </c>
      <c r="F335" s="100">
        <f t="shared" si="27"/>
        <v>0.52777777777373558</v>
      </c>
    </row>
    <row r="336" spans="1:8">
      <c r="A336" s="37" t="s">
        <v>239</v>
      </c>
      <c r="B336" s="93">
        <v>45754</v>
      </c>
      <c r="C336" s="37" t="s">
        <v>655</v>
      </c>
      <c r="D336" s="93">
        <v>45754</v>
      </c>
      <c r="E336" s="37" t="s">
        <v>656</v>
      </c>
      <c r="F336" s="100">
        <f t="shared" ref="F336:F341" si="28">(D336 + TIME(LEFT(E336, 2), MID(E336, 3, 2), 0)) - (B336 + TIME(LEFT(C336, 2), MID(C336, 3, 2), 0))</f>
        <v>2.2222222221898846E-2</v>
      </c>
    </row>
    <row r="337" spans="1:6">
      <c r="A337" s="37" t="s">
        <v>245</v>
      </c>
      <c r="B337" s="93">
        <v>45754</v>
      </c>
      <c r="C337" s="37" t="s">
        <v>260</v>
      </c>
      <c r="D337" s="93">
        <v>45754</v>
      </c>
      <c r="E337" s="37" t="s">
        <v>657</v>
      </c>
      <c r="F337" s="100">
        <f t="shared" si="28"/>
        <v>1.2499999997089617E-2</v>
      </c>
    </row>
    <row r="338" spans="1:6">
      <c r="A338" s="37" t="s">
        <v>226</v>
      </c>
      <c r="B338" s="93">
        <v>45754</v>
      </c>
      <c r="C338" s="37" t="s">
        <v>658</v>
      </c>
      <c r="D338" s="93">
        <v>45754</v>
      </c>
      <c r="E338" s="37" t="s">
        <v>659</v>
      </c>
      <c r="F338" s="100">
        <f t="shared" si="28"/>
        <v>1.527777778392192E-2</v>
      </c>
    </row>
    <row r="339" spans="1:6">
      <c r="A339" s="37" t="s">
        <v>229</v>
      </c>
      <c r="B339" s="93">
        <v>45754</v>
      </c>
      <c r="C339" s="37" t="s">
        <v>550</v>
      </c>
      <c r="D339" s="93">
        <v>45754</v>
      </c>
      <c r="E339" s="37" t="s">
        <v>561</v>
      </c>
      <c r="F339" s="100">
        <f t="shared" si="28"/>
        <v>1.5277777776645962E-2</v>
      </c>
    </row>
    <row r="340" spans="1:6">
      <c r="A340" s="37" t="s">
        <v>232</v>
      </c>
      <c r="B340" s="93">
        <v>45754</v>
      </c>
      <c r="C340" s="37" t="s">
        <v>468</v>
      </c>
      <c r="D340" s="93">
        <v>45754</v>
      </c>
      <c r="E340" s="37" t="s">
        <v>660</v>
      </c>
      <c r="F340" s="100">
        <f t="shared" si="28"/>
        <v>5.9027777781011537E-2</v>
      </c>
    </row>
    <row r="341" spans="1:6">
      <c r="A341" s="37" t="s">
        <v>236</v>
      </c>
      <c r="B341" s="93">
        <v>45754</v>
      </c>
      <c r="C341" s="37" t="s">
        <v>661</v>
      </c>
      <c r="D341" s="93">
        <v>45754</v>
      </c>
      <c r="E341" s="37" t="s">
        <v>485</v>
      </c>
      <c r="F341" s="100">
        <f t="shared" si="28"/>
        <v>5.8333333334303461E-2</v>
      </c>
    </row>
    <row r="342" spans="1:6">
      <c r="A342" s="37" t="s">
        <v>335</v>
      </c>
      <c r="B342" s="93">
        <v>45754</v>
      </c>
      <c r="C342" s="37" t="s">
        <v>662</v>
      </c>
      <c r="D342" s="93">
        <v>45754</v>
      </c>
      <c r="E342" s="37" t="s">
        <v>663</v>
      </c>
      <c r="F342" s="100">
        <f t="shared" ref="F342:F347" si="29">(D342 + TIME(LEFT(E342, 2), MID(E342, 3, 2), 0)) - (B342 + TIME(LEFT(C342, 2), MID(C342, 3, 2), 0))</f>
        <v>0.37847222221898846</v>
      </c>
    </row>
    <row r="343" spans="1:6">
      <c r="A343" s="37" t="s">
        <v>234</v>
      </c>
      <c r="B343" s="93">
        <v>45754</v>
      </c>
      <c r="C343" s="37" t="s">
        <v>324</v>
      </c>
      <c r="D343" s="93">
        <v>45754</v>
      </c>
      <c r="E343" s="37" t="s">
        <v>660</v>
      </c>
      <c r="F343" s="100">
        <f t="shared" si="29"/>
        <v>2.9166666667151731E-2</v>
      </c>
    </row>
    <row r="344" spans="1:6">
      <c r="A344" s="37" t="s">
        <v>174</v>
      </c>
      <c r="B344" s="93">
        <v>45754</v>
      </c>
      <c r="C344" s="37" t="s">
        <v>265</v>
      </c>
      <c r="D344" s="93">
        <v>45754</v>
      </c>
      <c r="E344" s="37" t="s">
        <v>664</v>
      </c>
      <c r="F344" s="100">
        <f t="shared" si="29"/>
        <v>0.50555555555183673</v>
      </c>
    </row>
    <row r="345" spans="1:6">
      <c r="A345" s="37" t="s">
        <v>164</v>
      </c>
      <c r="B345" s="93">
        <v>45754</v>
      </c>
      <c r="C345" s="37" t="s">
        <v>376</v>
      </c>
      <c r="D345" s="93">
        <v>45754</v>
      </c>
      <c r="E345" s="37" t="s">
        <v>665</v>
      </c>
      <c r="F345" s="100">
        <f t="shared" si="29"/>
        <v>4.8611111124046147E-3</v>
      </c>
    </row>
    <row r="346" spans="1:6">
      <c r="A346" s="37" t="s">
        <v>239</v>
      </c>
      <c r="B346" s="93">
        <v>45754</v>
      </c>
      <c r="C346" s="37" t="s">
        <v>666</v>
      </c>
      <c r="D346" s="93">
        <v>45754</v>
      </c>
      <c r="E346" s="37" t="s">
        <v>485</v>
      </c>
      <c r="F346" s="100">
        <f t="shared" si="29"/>
        <v>9.7222222248092294E-3</v>
      </c>
    </row>
    <row r="347" spans="1:6">
      <c r="A347" s="37" t="s">
        <v>245</v>
      </c>
      <c r="B347" s="93">
        <v>45754</v>
      </c>
      <c r="C347" s="37" t="s">
        <v>667</v>
      </c>
      <c r="D347" s="93">
        <v>45754</v>
      </c>
      <c r="E347" s="37" t="s">
        <v>496</v>
      </c>
      <c r="F347" s="100">
        <f t="shared" si="29"/>
        <v>3.6805555551836733E-2</v>
      </c>
    </row>
    <row r="348" spans="1:6">
      <c r="A348" s="37" t="s">
        <v>220</v>
      </c>
      <c r="B348" s="93">
        <v>45754</v>
      </c>
      <c r="C348" s="37" t="s">
        <v>224</v>
      </c>
      <c r="D348" s="93">
        <v>45755</v>
      </c>
      <c r="E348" s="37" t="s">
        <v>216</v>
      </c>
      <c r="F348" s="100">
        <f>(D348 + TIME(LEFT(E348, 2), MID(E348, 3, 2), 0)) - (B348 + TIME(LEFT(C348, 2), MID(C348, 3, 2), 0))</f>
        <v>0.5</v>
      </c>
    </row>
    <row r="349" spans="1:6">
      <c r="A349" s="37" t="s">
        <v>229</v>
      </c>
      <c r="B349" s="93">
        <v>45754</v>
      </c>
      <c r="C349" s="37" t="s">
        <v>406</v>
      </c>
      <c r="D349" s="93">
        <v>45754</v>
      </c>
      <c r="E349" s="37" t="s">
        <v>430</v>
      </c>
      <c r="F349" s="100">
        <f t="shared" ref="F349:F355" si="30">(D349 + TIME(LEFT(E349, 2), MID(E349, 3, 2), 0)) - (B349 + TIME(LEFT(C349, 2), MID(C349, 3, 2), 0))</f>
        <v>3.680555555911269E-2</v>
      </c>
    </row>
    <row r="350" spans="1:6">
      <c r="A350" s="37" t="s">
        <v>226</v>
      </c>
      <c r="B350" s="93">
        <v>45754</v>
      </c>
      <c r="C350" s="37" t="s">
        <v>406</v>
      </c>
      <c r="D350" s="93">
        <v>45754</v>
      </c>
      <c r="E350" s="37" t="s">
        <v>668</v>
      </c>
      <c r="F350" s="100">
        <f t="shared" si="30"/>
        <v>3.5416666665696539E-2</v>
      </c>
    </row>
    <row r="351" spans="1:6">
      <c r="A351" s="37" t="s">
        <v>279</v>
      </c>
      <c r="B351" s="93">
        <v>45754</v>
      </c>
      <c r="C351" s="37" t="s">
        <v>669</v>
      </c>
      <c r="D351" s="93">
        <v>45754</v>
      </c>
      <c r="E351" s="37" t="s">
        <v>575</v>
      </c>
      <c r="F351" s="100">
        <f t="shared" si="30"/>
        <v>2.7777777773735579E-2</v>
      </c>
    </row>
    <row r="352" spans="1:6">
      <c r="A352" s="37" t="s">
        <v>335</v>
      </c>
      <c r="B352" s="93">
        <v>45754</v>
      </c>
      <c r="C352" s="37" t="s">
        <v>632</v>
      </c>
      <c r="D352" s="93">
        <v>45754</v>
      </c>
      <c r="E352" s="37" t="s">
        <v>670</v>
      </c>
      <c r="F352" s="100">
        <f t="shared" si="30"/>
        <v>6.9444444452528842E-3</v>
      </c>
    </row>
    <row r="353" spans="1:6">
      <c r="A353" s="37" t="s">
        <v>232</v>
      </c>
      <c r="B353" s="93">
        <v>45754</v>
      </c>
      <c r="C353" s="37" t="s">
        <v>671</v>
      </c>
      <c r="D353" s="93">
        <v>45754</v>
      </c>
      <c r="E353" s="37" t="s">
        <v>672</v>
      </c>
      <c r="F353" s="100">
        <f t="shared" si="30"/>
        <v>9.7222222248092294E-3</v>
      </c>
    </row>
    <row r="354" spans="1:6">
      <c r="A354" s="37" t="s">
        <v>236</v>
      </c>
      <c r="B354" s="93">
        <v>45754</v>
      </c>
      <c r="C354" s="37" t="s">
        <v>671</v>
      </c>
      <c r="D354" s="93">
        <v>45754</v>
      </c>
      <c r="E354" s="37" t="s">
        <v>673</v>
      </c>
      <c r="F354" s="100">
        <f t="shared" si="30"/>
        <v>1.3888888890505768E-2</v>
      </c>
    </row>
    <row r="355" spans="1:6">
      <c r="A355" s="37" t="s">
        <v>239</v>
      </c>
      <c r="B355" s="93">
        <v>45754</v>
      </c>
      <c r="C355" s="37" t="s">
        <v>671</v>
      </c>
      <c r="D355" s="93">
        <v>45754</v>
      </c>
      <c r="E355" s="37" t="s">
        <v>674</v>
      </c>
      <c r="F355" s="100">
        <f t="shared" si="30"/>
        <v>4.5138888890505768E-2</v>
      </c>
    </row>
    <row r="356" spans="1:6">
      <c r="A356" s="37" t="s">
        <v>211</v>
      </c>
      <c r="B356" s="93">
        <v>45754</v>
      </c>
      <c r="C356" s="37" t="s">
        <v>212</v>
      </c>
      <c r="D356" s="93">
        <v>45755</v>
      </c>
      <c r="E356" s="37" t="s">
        <v>238</v>
      </c>
      <c r="F356" s="100">
        <f t="shared" ref="F356:F365" si="31">(D356 + TIME(LEFT(E356, 2), MID(E356, 3, 2), 0)) - (B356 + TIME(LEFT(C356, 2), MID(C356, 3, 2), 0))</f>
        <v>0.50138888888614019</v>
      </c>
    </row>
    <row r="357" spans="1:6">
      <c r="A357" s="37" t="s">
        <v>214</v>
      </c>
      <c r="B357" s="93">
        <v>45755</v>
      </c>
      <c r="C357" s="37" t="s">
        <v>223</v>
      </c>
      <c r="D357" s="93">
        <v>45755</v>
      </c>
      <c r="E357" s="37" t="s">
        <v>675</v>
      </c>
      <c r="F357" s="100">
        <f t="shared" si="31"/>
        <v>0.54236111111094942</v>
      </c>
    </row>
    <row r="358" spans="1:6">
      <c r="A358" s="37" t="s">
        <v>234</v>
      </c>
      <c r="B358" s="93">
        <v>45755</v>
      </c>
      <c r="C358" s="37" t="s">
        <v>355</v>
      </c>
      <c r="D358" s="93">
        <v>45755</v>
      </c>
      <c r="E358" s="37" t="s">
        <v>676</v>
      </c>
      <c r="F358" s="100">
        <f t="shared" si="31"/>
        <v>4.5833333337213844E-2</v>
      </c>
    </row>
    <row r="359" spans="1:6">
      <c r="A359" s="37" t="s">
        <v>174</v>
      </c>
      <c r="B359" s="93">
        <v>45755</v>
      </c>
      <c r="C359" s="37" t="s">
        <v>355</v>
      </c>
      <c r="D359" s="93">
        <v>45755</v>
      </c>
      <c r="E359" s="37" t="s">
        <v>427</v>
      </c>
      <c r="F359" s="100">
        <f t="shared" si="31"/>
        <v>0.59166666666715173</v>
      </c>
    </row>
    <row r="360" spans="1:6">
      <c r="A360" s="37" t="s">
        <v>245</v>
      </c>
      <c r="B360" s="93">
        <v>45755</v>
      </c>
      <c r="C360" s="37" t="s">
        <v>677</v>
      </c>
      <c r="D360" s="93">
        <v>45755</v>
      </c>
      <c r="E360" s="37" t="s">
        <v>210</v>
      </c>
      <c r="F360" s="100">
        <f t="shared" si="31"/>
        <v>3.4722222218988463E-2</v>
      </c>
    </row>
    <row r="361" spans="1:6">
      <c r="A361" s="37" t="s">
        <v>226</v>
      </c>
      <c r="B361" s="93">
        <v>45755</v>
      </c>
      <c r="C361" s="37" t="s">
        <v>650</v>
      </c>
      <c r="D361" s="93">
        <v>45755</v>
      </c>
      <c r="E361" s="37" t="s">
        <v>678</v>
      </c>
      <c r="F361" s="100">
        <f t="shared" si="31"/>
        <v>2.2916666668606922E-2</v>
      </c>
    </row>
    <row r="362" spans="1:6">
      <c r="A362" s="37" t="s">
        <v>229</v>
      </c>
      <c r="B362" s="93">
        <v>45755</v>
      </c>
      <c r="C362" s="37" t="s">
        <v>543</v>
      </c>
      <c r="D362" s="93">
        <v>45755</v>
      </c>
      <c r="E362" s="37" t="s">
        <v>679</v>
      </c>
      <c r="F362" s="100">
        <f t="shared" si="31"/>
        <v>1.1805555557657499E-2</v>
      </c>
    </row>
    <row r="363" spans="1:6">
      <c r="A363" s="37" t="s">
        <v>220</v>
      </c>
      <c r="B363" s="93">
        <v>45755</v>
      </c>
      <c r="C363" s="37" t="s">
        <v>218</v>
      </c>
      <c r="D363" s="93">
        <v>45755</v>
      </c>
      <c r="E363" s="37" t="s">
        <v>222</v>
      </c>
      <c r="F363" s="100">
        <f t="shared" si="31"/>
        <v>0.50069444443943212</v>
      </c>
    </row>
    <row r="364" spans="1:6">
      <c r="A364" s="37" t="s">
        <v>217</v>
      </c>
      <c r="B364" s="93">
        <v>45754</v>
      </c>
      <c r="C364" s="37" t="s">
        <v>274</v>
      </c>
      <c r="D364" s="93">
        <v>45755</v>
      </c>
      <c r="E364" s="37" t="s">
        <v>213</v>
      </c>
      <c r="F364" s="100">
        <f t="shared" si="31"/>
        <v>0.75069444443943212</v>
      </c>
    </row>
    <row r="365" spans="1:6">
      <c r="A365" s="37" t="s">
        <v>225</v>
      </c>
      <c r="B365" s="93">
        <v>45755</v>
      </c>
      <c r="C365" s="37" t="s">
        <v>218</v>
      </c>
      <c r="D365" s="93">
        <v>45755</v>
      </c>
      <c r="E365" s="37" t="s">
        <v>222</v>
      </c>
      <c r="F365" s="100">
        <f t="shared" si="31"/>
        <v>0.50069444443943212</v>
      </c>
    </row>
    <row r="366" spans="1:6">
      <c r="A366" s="37" t="s">
        <v>242</v>
      </c>
      <c r="B366" s="93">
        <v>45755</v>
      </c>
      <c r="C366" s="37" t="s">
        <v>680</v>
      </c>
      <c r="D366" s="93">
        <v>45757</v>
      </c>
      <c r="E366" s="37" t="s">
        <v>681</v>
      </c>
      <c r="F366" s="100">
        <f>(D366 + TIME(LEFT(E366, 2), MID(E366, 3, 2), 0)) - (B366 + TIME(LEFT(C366, 2), MID(C366, 3, 2), 0))</f>
        <v>1.7923611111109494</v>
      </c>
    </row>
    <row r="367" spans="1:6">
      <c r="A367" s="37" t="s">
        <v>232</v>
      </c>
      <c r="B367" s="93">
        <v>45755</v>
      </c>
      <c r="C367" s="37" t="s">
        <v>451</v>
      </c>
      <c r="D367" s="93">
        <v>45755</v>
      </c>
      <c r="E367" s="37" t="s">
        <v>682</v>
      </c>
      <c r="F367" s="100">
        <f t="shared" ref="F367:F373" si="32">(D367 + TIME(LEFT(E367, 2), MID(E367, 3, 2), 0)) - (B367 + TIME(LEFT(C367, 2), MID(C367, 3, 2), 0))</f>
        <v>2.2916666668606922E-2</v>
      </c>
    </row>
    <row r="368" spans="1:6">
      <c r="A368" s="37" t="s">
        <v>236</v>
      </c>
      <c r="B368" s="93">
        <v>45755</v>
      </c>
      <c r="C368" s="37" t="s">
        <v>597</v>
      </c>
      <c r="D368" s="93">
        <v>45755</v>
      </c>
      <c r="E368" s="37" t="s">
        <v>683</v>
      </c>
      <c r="F368" s="100">
        <f t="shared" si="32"/>
        <v>2.2222222221898846E-2</v>
      </c>
    </row>
    <row r="369" spans="1:8">
      <c r="A369" s="37" t="s">
        <v>245</v>
      </c>
      <c r="B369" s="93">
        <v>45755</v>
      </c>
      <c r="C369" s="37" t="s">
        <v>684</v>
      </c>
      <c r="D369" s="93">
        <v>45755</v>
      </c>
      <c r="E369" s="37" t="s">
        <v>662</v>
      </c>
      <c r="F369" s="100">
        <f t="shared" si="32"/>
        <v>3.8194444445252884E-2</v>
      </c>
    </row>
    <row r="370" spans="1:8">
      <c r="A370" s="37" t="s">
        <v>164</v>
      </c>
      <c r="B370" s="93">
        <v>45755</v>
      </c>
      <c r="C370" s="37" t="s">
        <v>685</v>
      </c>
      <c r="D370" s="93">
        <v>45755</v>
      </c>
      <c r="E370" s="37" t="s">
        <v>686</v>
      </c>
      <c r="F370" s="100">
        <f t="shared" si="32"/>
        <v>6.9444444452528842E-3</v>
      </c>
    </row>
    <row r="371" spans="1:8">
      <c r="A371" s="37" t="s">
        <v>183</v>
      </c>
      <c r="B371" s="93">
        <v>45755</v>
      </c>
      <c r="C371" s="37" t="s">
        <v>687</v>
      </c>
      <c r="D371" s="93">
        <v>45755</v>
      </c>
      <c r="E371" s="37" t="s">
        <v>371</v>
      </c>
      <c r="F371" s="100">
        <f t="shared" si="32"/>
        <v>0.25486111111240461</v>
      </c>
    </row>
    <row r="372" spans="1:8">
      <c r="A372" s="37" t="s">
        <v>239</v>
      </c>
      <c r="B372" s="93">
        <v>45755</v>
      </c>
      <c r="C372" s="37" t="s">
        <v>654</v>
      </c>
      <c r="D372" s="93">
        <v>45755</v>
      </c>
      <c r="E372" s="37" t="s">
        <v>468</v>
      </c>
      <c r="F372" s="100">
        <f t="shared" si="32"/>
        <v>3.1944444439432118E-2</v>
      </c>
    </row>
    <row r="373" spans="1:8">
      <c r="A373" s="37" t="s">
        <v>226</v>
      </c>
      <c r="B373" s="93">
        <v>45755</v>
      </c>
      <c r="C373" s="37" t="s">
        <v>686</v>
      </c>
      <c r="D373" s="93">
        <v>45755</v>
      </c>
      <c r="E373" s="37" t="s">
        <v>688</v>
      </c>
      <c r="F373" s="100">
        <f t="shared" si="32"/>
        <v>5.3472222221898846E-2</v>
      </c>
    </row>
    <row r="374" spans="1:8">
      <c r="A374" s="37" t="s">
        <v>186</v>
      </c>
      <c r="B374" s="93">
        <v>45755</v>
      </c>
      <c r="C374" s="37" t="s">
        <v>689</v>
      </c>
      <c r="D374" s="93">
        <v>45756</v>
      </c>
      <c r="E374" s="37" t="s">
        <v>233</v>
      </c>
      <c r="F374" s="100">
        <f t="shared" ref="F374:F381" si="33">(D374 + TIME(LEFT(E374, 2), MID(E374, 3, 2), 0)) - (B374 + TIME(LEFT(C374, 2), MID(C374, 3, 2), 0))</f>
        <v>0.82708333333721384</v>
      </c>
    </row>
    <row r="375" spans="1:8">
      <c r="A375" s="37" t="s">
        <v>229</v>
      </c>
      <c r="B375" s="93">
        <v>45755</v>
      </c>
      <c r="C375" s="37" t="s">
        <v>260</v>
      </c>
      <c r="D375" s="93">
        <v>45755</v>
      </c>
      <c r="E375" s="37" t="s">
        <v>551</v>
      </c>
      <c r="F375" s="100">
        <f t="shared" si="33"/>
        <v>5.8333333334303461E-2</v>
      </c>
    </row>
    <row r="376" spans="1:8">
      <c r="A376" s="37" t="s">
        <v>335</v>
      </c>
      <c r="B376" s="93">
        <v>45755</v>
      </c>
      <c r="C376" s="37" t="s">
        <v>690</v>
      </c>
      <c r="D376" s="93">
        <v>45756</v>
      </c>
      <c r="E376" s="37" t="s">
        <v>691</v>
      </c>
      <c r="F376" s="100">
        <f t="shared" si="33"/>
        <v>0.72430555555911269</v>
      </c>
    </row>
    <row r="377" spans="1:8">
      <c r="A377" s="37" t="s">
        <v>177</v>
      </c>
      <c r="B377" s="93">
        <v>45755</v>
      </c>
      <c r="C377" s="37" t="s">
        <v>692</v>
      </c>
      <c r="D377" s="93">
        <v>45756</v>
      </c>
      <c r="E377" s="37" t="s">
        <v>361</v>
      </c>
      <c r="F377" s="100">
        <f t="shared" si="33"/>
        <v>0.63888888889050577</v>
      </c>
    </row>
    <row r="378" spans="1:8">
      <c r="A378" s="37" t="s">
        <v>211</v>
      </c>
      <c r="B378" s="93">
        <v>45755</v>
      </c>
      <c r="C378" s="37" t="s">
        <v>620</v>
      </c>
      <c r="D378" s="93">
        <v>45755</v>
      </c>
      <c r="E378" s="37" t="s">
        <v>564</v>
      </c>
      <c r="F378" s="100">
        <f t="shared" si="33"/>
        <v>0.41736111111094942</v>
      </c>
    </row>
    <row r="379" spans="1:8">
      <c r="A379" s="37" t="s">
        <v>232</v>
      </c>
      <c r="B379" s="93">
        <v>45755</v>
      </c>
      <c r="C379" s="37" t="s">
        <v>693</v>
      </c>
      <c r="D379" s="93">
        <v>45755</v>
      </c>
      <c r="E379" s="37" t="s">
        <v>694</v>
      </c>
      <c r="F379" s="100">
        <f t="shared" si="33"/>
        <v>2.6388888887595385E-2</v>
      </c>
    </row>
    <row r="380" spans="1:8">
      <c r="A380" s="37" t="s">
        <v>234</v>
      </c>
      <c r="B380" s="93">
        <v>45755</v>
      </c>
      <c r="C380" s="37" t="s">
        <v>509</v>
      </c>
      <c r="D380" s="93">
        <v>45755</v>
      </c>
      <c r="E380" s="37" t="s">
        <v>695</v>
      </c>
      <c r="F380" s="100">
        <f t="shared" si="33"/>
        <v>8.9583333334303461E-2</v>
      </c>
    </row>
    <row r="381" spans="1:8">
      <c r="A381" s="37" t="s">
        <v>236</v>
      </c>
      <c r="B381" s="93">
        <v>45755</v>
      </c>
      <c r="C381" s="37" t="s">
        <v>696</v>
      </c>
      <c r="D381" s="93">
        <v>45755</v>
      </c>
      <c r="E381" s="37" t="s">
        <v>697</v>
      </c>
      <c r="F381" s="100">
        <f t="shared" si="33"/>
        <v>9.2361111113859806E-2</v>
      </c>
    </row>
    <row r="382" spans="1:8" ht="27.6">
      <c r="A382" s="37" t="s">
        <v>183</v>
      </c>
      <c r="B382" s="93">
        <v>45755</v>
      </c>
      <c r="C382" s="37" t="s">
        <v>371</v>
      </c>
      <c r="D382" s="93">
        <v>45756</v>
      </c>
      <c r="E382" s="37" t="s">
        <v>698</v>
      </c>
      <c r="F382" s="100">
        <f>(D382 + TIME(LEFT(E382, 2), MID(E382, 3, 2), 0)) - (B382 + TIME(LEFT(C382, 2), MID(C382, 3, 2), 0))</f>
        <v>0.93611111111385981</v>
      </c>
      <c r="G382" s="37" t="s">
        <v>9</v>
      </c>
      <c r="H382" s="94" t="s">
        <v>699</v>
      </c>
    </row>
    <row r="383" spans="1:8">
      <c r="A383" s="37" t="s">
        <v>226</v>
      </c>
      <c r="B383" s="93">
        <v>45755</v>
      </c>
      <c r="C383" s="37" t="s">
        <v>700</v>
      </c>
      <c r="D383" s="93">
        <v>45755</v>
      </c>
      <c r="E383" s="37" t="s">
        <v>522</v>
      </c>
      <c r="F383" s="100">
        <f t="shared" ref="F383:F389" si="34">(D383 + TIME(LEFT(E383, 2), MID(E383, 3, 2), 0)) - (B383 + TIME(LEFT(C383, 2), MID(C383, 3, 2), 0))</f>
        <v>0.11527777777519077</v>
      </c>
    </row>
    <row r="384" spans="1:8">
      <c r="A384" s="37" t="s">
        <v>232</v>
      </c>
      <c r="B384" s="93">
        <v>45755</v>
      </c>
      <c r="C384" s="37" t="s">
        <v>700</v>
      </c>
      <c r="D384" s="93">
        <v>45755</v>
      </c>
      <c r="E384" s="37" t="s">
        <v>701</v>
      </c>
      <c r="F384" s="100">
        <f t="shared" si="34"/>
        <v>0.12083333333430346</v>
      </c>
    </row>
    <row r="385" spans="1:6">
      <c r="A385" s="37" t="s">
        <v>229</v>
      </c>
      <c r="B385" s="93">
        <v>45755</v>
      </c>
      <c r="C385" s="37" t="s">
        <v>700</v>
      </c>
      <c r="D385" s="93">
        <v>45755</v>
      </c>
      <c r="E385" s="37" t="s">
        <v>363</v>
      </c>
      <c r="F385" s="100">
        <f t="shared" si="34"/>
        <v>0.11944444444816327</v>
      </c>
    </row>
    <row r="386" spans="1:6">
      <c r="A386" s="37" t="s">
        <v>245</v>
      </c>
      <c r="B386" s="93">
        <v>45755</v>
      </c>
      <c r="C386" s="37" t="s">
        <v>700</v>
      </c>
      <c r="D386" s="93">
        <v>45755</v>
      </c>
      <c r="E386" s="37" t="s">
        <v>702</v>
      </c>
      <c r="F386" s="100">
        <f t="shared" si="34"/>
        <v>0.10208333333139308</v>
      </c>
    </row>
    <row r="387" spans="1:6">
      <c r="A387" s="37" t="s">
        <v>239</v>
      </c>
      <c r="B387" s="93">
        <v>45755</v>
      </c>
      <c r="C387" s="37" t="s">
        <v>703</v>
      </c>
      <c r="D387" s="93">
        <v>45755</v>
      </c>
      <c r="E387" s="37" t="s">
        <v>704</v>
      </c>
      <c r="F387" s="100">
        <f t="shared" si="34"/>
        <v>6.8055555551836733E-2</v>
      </c>
    </row>
    <row r="388" spans="1:6">
      <c r="A388" s="37" t="s">
        <v>214</v>
      </c>
      <c r="B388" s="93">
        <v>45755</v>
      </c>
      <c r="C388" s="37" t="s">
        <v>212</v>
      </c>
      <c r="D388" s="93">
        <v>45756</v>
      </c>
      <c r="E388" s="37" t="s">
        <v>213</v>
      </c>
      <c r="F388" s="100">
        <f t="shared" si="34"/>
        <v>0.50069444443943212</v>
      </c>
    </row>
    <row r="389" spans="1:6">
      <c r="A389" s="37" t="s">
        <v>217</v>
      </c>
      <c r="B389" s="93">
        <v>45755</v>
      </c>
      <c r="C389" s="37" t="s">
        <v>212</v>
      </c>
      <c r="D389" s="93">
        <v>45756</v>
      </c>
      <c r="E389" s="37" t="s">
        <v>216</v>
      </c>
      <c r="F389" s="100">
        <f t="shared" si="34"/>
        <v>0.25069444443943212</v>
      </c>
    </row>
    <row r="390" spans="1:6">
      <c r="A390" s="37" t="s">
        <v>232</v>
      </c>
      <c r="B390" s="93">
        <v>45755</v>
      </c>
      <c r="C390" s="37" t="s">
        <v>631</v>
      </c>
      <c r="D390" s="93">
        <v>45755</v>
      </c>
      <c r="E390" s="37" t="s">
        <v>705</v>
      </c>
      <c r="F390" s="100">
        <f t="shared" ref="F390:F400" si="35">(D390 + TIME(LEFT(E390, 2), MID(E390, 3, 2), 0)) - (B390 + TIME(LEFT(C390, 2), MID(C390, 3, 2), 0))</f>
        <v>2.2222222221898846E-2</v>
      </c>
    </row>
    <row r="391" spans="1:6">
      <c r="A391" s="37" t="s">
        <v>234</v>
      </c>
      <c r="B391" s="93">
        <v>45755</v>
      </c>
      <c r="C391" s="37" t="s">
        <v>343</v>
      </c>
      <c r="D391" s="93">
        <v>45755</v>
      </c>
      <c r="E391" s="37" t="s">
        <v>706</v>
      </c>
      <c r="F391" s="100">
        <f t="shared" si="35"/>
        <v>1.5972222223354038E-2</v>
      </c>
    </row>
    <row r="392" spans="1:6">
      <c r="A392" s="37" t="s">
        <v>239</v>
      </c>
      <c r="B392" s="93">
        <v>45755</v>
      </c>
      <c r="C392" s="37" t="s">
        <v>707</v>
      </c>
      <c r="D392" s="93">
        <v>45755</v>
      </c>
      <c r="E392" s="37" t="s">
        <v>633</v>
      </c>
      <c r="F392" s="100">
        <f t="shared" si="35"/>
        <v>1.9444444449618459E-2</v>
      </c>
    </row>
    <row r="393" spans="1:6">
      <c r="A393" s="37" t="s">
        <v>229</v>
      </c>
      <c r="B393" s="93">
        <v>45755</v>
      </c>
      <c r="C393" s="37" t="s">
        <v>527</v>
      </c>
      <c r="D393" s="93">
        <v>45755</v>
      </c>
      <c r="E393" s="37" t="s">
        <v>287</v>
      </c>
      <c r="F393" s="100">
        <f t="shared" si="35"/>
        <v>9.7222222248092294E-3</v>
      </c>
    </row>
    <row r="394" spans="1:6">
      <c r="A394" s="37" t="s">
        <v>232</v>
      </c>
      <c r="B394" s="93">
        <v>45755</v>
      </c>
      <c r="C394" s="37" t="s">
        <v>527</v>
      </c>
      <c r="D394" s="93">
        <v>45755</v>
      </c>
      <c r="E394" s="37" t="s">
        <v>413</v>
      </c>
      <c r="F394" s="100">
        <f t="shared" si="35"/>
        <v>2.9166666667151731E-2</v>
      </c>
    </row>
    <row r="395" spans="1:6">
      <c r="A395" s="37" t="s">
        <v>226</v>
      </c>
      <c r="B395" s="93">
        <v>45755</v>
      </c>
      <c r="C395" s="37" t="s">
        <v>527</v>
      </c>
      <c r="D395" s="93">
        <v>45755</v>
      </c>
      <c r="E395" s="37" t="s">
        <v>286</v>
      </c>
      <c r="F395" s="100">
        <f t="shared" si="35"/>
        <v>3.4722222189884633E-3</v>
      </c>
    </row>
    <row r="396" spans="1:6">
      <c r="A396" s="37" t="s">
        <v>239</v>
      </c>
      <c r="B396" s="93">
        <v>45755</v>
      </c>
      <c r="C396" s="37" t="s">
        <v>527</v>
      </c>
      <c r="D396" s="93">
        <v>45755</v>
      </c>
      <c r="E396" s="37" t="s">
        <v>708</v>
      </c>
      <c r="F396" s="100">
        <f t="shared" si="35"/>
        <v>3.6111111112404615E-2</v>
      </c>
    </row>
    <row r="397" spans="1:6">
      <c r="A397" s="37" t="s">
        <v>234</v>
      </c>
      <c r="B397" s="93">
        <v>45755</v>
      </c>
      <c r="C397" s="37" t="s">
        <v>527</v>
      </c>
      <c r="D397" s="93">
        <v>45755</v>
      </c>
      <c r="E397" s="37" t="s">
        <v>709</v>
      </c>
      <c r="F397" s="100">
        <f t="shared" si="35"/>
        <v>3.3333333332848269E-2</v>
      </c>
    </row>
    <row r="398" spans="1:6">
      <c r="A398" s="37" t="s">
        <v>245</v>
      </c>
      <c r="B398" s="93">
        <v>45755</v>
      </c>
      <c r="C398" s="37" t="s">
        <v>527</v>
      </c>
      <c r="D398" s="93">
        <v>45755</v>
      </c>
      <c r="E398" s="37" t="s">
        <v>286</v>
      </c>
      <c r="F398" s="100">
        <f t="shared" si="35"/>
        <v>3.4722222189884633E-3</v>
      </c>
    </row>
    <row r="399" spans="1:6">
      <c r="A399" s="37" t="s">
        <v>391</v>
      </c>
      <c r="B399" s="93">
        <v>45755</v>
      </c>
      <c r="C399" s="37" t="s">
        <v>527</v>
      </c>
      <c r="D399" s="93">
        <v>45755</v>
      </c>
      <c r="E399" s="37" t="s">
        <v>710</v>
      </c>
      <c r="F399" s="100">
        <f t="shared" si="35"/>
        <v>4.3749999997089617E-2</v>
      </c>
    </row>
    <row r="400" spans="1:6">
      <c r="A400" s="37" t="s">
        <v>395</v>
      </c>
      <c r="B400" s="93">
        <v>45755</v>
      </c>
      <c r="C400" s="37" t="s">
        <v>527</v>
      </c>
      <c r="D400" s="93">
        <v>45755</v>
      </c>
      <c r="E400" s="37" t="s">
        <v>711</v>
      </c>
      <c r="F400" s="100">
        <f t="shared" si="35"/>
        <v>5.0694444442342501E-2</v>
      </c>
    </row>
    <row r="401" spans="1:7">
      <c r="A401" s="37" t="s">
        <v>174</v>
      </c>
      <c r="B401" s="93">
        <v>45755</v>
      </c>
      <c r="C401" s="37" t="s">
        <v>427</v>
      </c>
      <c r="D401" s="93">
        <v>45756</v>
      </c>
      <c r="E401" s="37" t="s">
        <v>591</v>
      </c>
      <c r="F401" s="100">
        <f>(D401 + TIME(LEFT(E401, 2), MID(E401, 3, 2), 0)) - (B401 + TIME(LEFT(C401, 2), MID(C401, 3, 2), 0))</f>
        <v>0.24097222222189885</v>
      </c>
      <c r="G401" s="37" t="s">
        <v>9</v>
      </c>
    </row>
    <row r="402" spans="1:7">
      <c r="A402" s="37" t="s">
        <v>404</v>
      </c>
      <c r="B402" s="93">
        <v>45755</v>
      </c>
      <c r="C402" s="37" t="s">
        <v>423</v>
      </c>
      <c r="D402" s="93">
        <v>45755</v>
      </c>
      <c r="E402" s="37" t="s">
        <v>712</v>
      </c>
      <c r="F402" s="100">
        <f>(D402 + TIME(LEFT(E402, 2), MID(E402, 3, 2), 0)) - (B402 + TIME(LEFT(C402, 2), MID(C402, 3, 2), 0))</f>
        <v>1.1111111110949423E-2</v>
      </c>
    </row>
    <row r="403" spans="1:7">
      <c r="A403" s="37" t="s">
        <v>220</v>
      </c>
      <c r="B403" s="93">
        <v>45755</v>
      </c>
      <c r="C403" s="37" t="s">
        <v>589</v>
      </c>
      <c r="D403" s="93">
        <v>45756</v>
      </c>
      <c r="E403" s="37" t="s">
        <v>306</v>
      </c>
      <c r="F403" s="100">
        <f>(D403 + TIME(LEFT(E403, 2), MID(E403, 3, 2), 0)) - (B403 + TIME(LEFT(C403, 2), MID(C403, 3, 2), 0))</f>
        <v>0.5430555555576575</v>
      </c>
    </row>
    <row r="404" spans="1:7">
      <c r="A404" s="37" t="s">
        <v>225</v>
      </c>
      <c r="B404" s="93">
        <v>45756</v>
      </c>
      <c r="C404" s="37" t="s">
        <v>223</v>
      </c>
      <c r="D404" s="93">
        <v>45756</v>
      </c>
      <c r="E404" s="37" t="s">
        <v>222</v>
      </c>
      <c r="F404" s="100">
        <f>(D404 + TIME(LEFT(E404, 2), MID(E404, 3, 2), 0)) - (B404 + TIME(LEFT(C404, 2), MID(C404, 3, 2), 0))</f>
        <v>0.75069444443943212</v>
      </c>
    </row>
    <row r="405" spans="1:7">
      <c r="A405" s="37" t="s">
        <v>226</v>
      </c>
      <c r="B405" s="93">
        <v>45756</v>
      </c>
      <c r="C405" s="37" t="s">
        <v>646</v>
      </c>
      <c r="D405" s="93">
        <v>45756</v>
      </c>
      <c r="E405" s="37" t="s">
        <v>713</v>
      </c>
      <c r="F405" s="100">
        <f t="shared" ref="F405:F417" si="36">(D405 + TIME(LEFT(E405, 2), MID(E405, 3, 2), 0)) - (B405 + TIME(LEFT(C405, 2), MID(C405, 3, 2), 0))</f>
        <v>3.5416666665696539E-2</v>
      </c>
    </row>
    <row r="406" spans="1:7">
      <c r="A406" s="37" t="s">
        <v>245</v>
      </c>
      <c r="B406" s="93">
        <v>45756</v>
      </c>
      <c r="C406" s="37" t="s">
        <v>646</v>
      </c>
      <c r="D406" s="93">
        <v>45756</v>
      </c>
      <c r="E406" s="37" t="s">
        <v>714</v>
      </c>
      <c r="F406" s="100">
        <f t="shared" si="36"/>
        <v>3.3333333332848269E-2</v>
      </c>
    </row>
    <row r="407" spans="1:7">
      <c r="A407" s="37" t="s">
        <v>403</v>
      </c>
      <c r="B407" s="93">
        <v>45756</v>
      </c>
      <c r="C407" s="37" t="s">
        <v>646</v>
      </c>
      <c r="D407" s="93">
        <v>45756</v>
      </c>
      <c r="E407" s="37" t="s">
        <v>715</v>
      </c>
      <c r="F407" s="100">
        <f t="shared" si="36"/>
        <v>2.8472222220443655E-2</v>
      </c>
    </row>
    <row r="408" spans="1:7">
      <c r="A408" s="37" t="s">
        <v>229</v>
      </c>
      <c r="B408" s="93">
        <v>45756</v>
      </c>
      <c r="C408" s="37" t="s">
        <v>716</v>
      </c>
      <c r="D408" s="93">
        <v>45756</v>
      </c>
      <c r="E408" s="37" t="s">
        <v>713</v>
      </c>
      <c r="F408" s="100">
        <f t="shared" si="36"/>
        <v>2.4305555554747116E-2</v>
      </c>
    </row>
    <row r="409" spans="1:7">
      <c r="A409" s="37" t="s">
        <v>232</v>
      </c>
      <c r="B409" s="93">
        <v>45756</v>
      </c>
      <c r="C409" s="37" t="s">
        <v>716</v>
      </c>
      <c r="D409" s="93">
        <v>45756</v>
      </c>
      <c r="E409" s="37" t="s">
        <v>717</v>
      </c>
      <c r="F409" s="100">
        <f t="shared" si="36"/>
        <v>3.0555555553291924E-2</v>
      </c>
    </row>
    <row r="410" spans="1:7">
      <c r="A410" s="37" t="s">
        <v>234</v>
      </c>
      <c r="B410" s="93">
        <v>45756</v>
      </c>
      <c r="C410" s="37" t="s">
        <v>716</v>
      </c>
      <c r="D410" s="93">
        <v>45756</v>
      </c>
      <c r="E410" s="37" t="s">
        <v>717</v>
      </c>
      <c r="F410" s="100">
        <f t="shared" si="36"/>
        <v>3.0555555553291924E-2</v>
      </c>
    </row>
    <row r="411" spans="1:7">
      <c r="A411" s="37" t="s">
        <v>401</v>
      </c>
      <c r="B411" s="93">
        <v>45756</v>
      </c>
      <c r="C411" s="37" t="s">
        <v>601</v>
      </c>
      <c r="D411" s="93">
        <v>45756</v>
      </c>
      <c r="E411" s="37" t="s">
        <v>714</v>
      </c>
      <c r="F411" s="100">
        <f t="shared" si="36"/>
        <v>1.8750000002910383E-2</v>
      </c>
    </row>
    <row r="412" spans="1:7">
      <c r="A412" s="37" t="s">
        <v>391</v>
      </c>
      <c r="B412" s="93">
        <v>45756</v>
      </c>
      <c r="C412" s="37" t="s">
        <v>601</v>
      </c>
      <c r="D412" s="93">
        <v>45756</v>
      </c>
      <c r="E412" s="37" t="s">
        <v>718</v>
      </c>
      <c r="F412" s="100">
        <f t="shared" si="36"/>
        <v>2.9166666667151731E-2</v>
      </c>
    </row>
    <row r="413" spans="1:7">
      <c r="A413" s="37" t="s">
        <v>388</v>
      </c>
      <c r="B413" s="93">
        <v>45756</v>
      </c>
      <c r="C413" s="37" t="s">
        <v>601</v>
      </c>
      <c r="D413" s="93">
        <v>45756</v>
      </c>
      <c r="E413" s="37" t="s">
        <v>718</v>
      </c>
      <c r="F413" s="100">
        <f t="shared" si="36"/>
        <v>2.9166666667151731E-2</v>
      </c>
    </row>
    <row r="414" spans="1:7">
      <c r="A414" s="37" t="s">
        <v>395</v>
      </c>
      <c r="B414" s="93">
        <v>45756</v>
      </c>
      <c r="C414" s="37" t="s">
        <v>601</v>
      </c>
      <c r="D414" s="93">
        <v>45756</v>
      </c>
      <c r="E414" s="37" t="s">
        <v>719</v>
      </c>
      <c r="F414" s="100">
        <f t="shared" si="36"/>
        <v>3.1944444446708076E-2</v>
      </c>
    </row>
    <row r="415" spans="1:7">
      <c r="A415" s="37" t="s">
        <v>404</v>
      </c>
      <c r="B415" s="93">
        <v>45756</v>
      </c>
      <c r="C415" s="37" t="s">
        <v>601</v>
      </c>
      <c r="D415" s="93">
        <v>45756</v>
      </c>
      <c r="E415" s="37" t="s">
        <v>719</v>
      </c>
      <c r="F415" s="100">
        <f t="shared" si="36"/>
        <v>3.1944444446708076E-2</v>
      </c>
    </row>
    <row r="416" spans="1:7">
      <c r="A416" s="37" t="s">
        <v>239</v>
      </c>
      <c r="B416" s="93">
        <v>45756</v>
      </c>
      <c r="C416" s="37" t="s">
        <v>361</v>
      </c>
      <c r="D416" s="93">
        <v>45756</v>
      </c>
      <c r="E416" s="37" t="s">
        <v>715</v>
      </c>
      <c r="F416" s="100">
        <f t="shared" si="36"/>
        <v>1.1111111110949423E-2</v>
      </c>
    </row>
    <row r="417" spans="1:8">
      <c r="A417" s="37" t="s">
        <v>177</v>
      </c>
      <c r="B417" s="93">
        <v>45756</v>
      </c>
      <c r="C417" s="37" t="s">
        <v>651</v>
      </c>
      <c r="D417" s="93">
        <v>45756</v>
      </c>
      <c r="E417" s="37" t="s">
        <v>720</v>
      </c>
      <c r="F417" s="100">
        <f t="shared" si="36"/>
        <v>4.3055555557657499E-2</v>
      </c>
    </row>
    <row r="418" spans="1:8">
      <c r="A418" s="37" t="s">
        <v>180</v>
      </c>
      <c r="B418" s="93">
        <v>45756</v>
      </c>
      <c r="C418" s="37" t="s">
        <v>721</v>
      </c>
      <c r="D418" s="93">
        <v>45757</v>
      </c>
      <c r="E418" s="37" t="s">
        <v>230</v>
      </c>
      <c r="F418" s="100">
        <f t="shared" ref="F418:F445" si="37">(D418 + TIME(LEFT(E418, 2), MID(E418, 3, 2), 0)) - (B418 + TIME(LEFT(C418, 2), MID(C418, 3, 2), 0))</f>
        <v>1.0013888888861402</v>
      </c>
    </row>
    <row r="419" spans="1:8" ht="27.6">
      <c r="A419" s="37" t="s">
        <v>174</v>
      </c>
      <c r="B419" s="93">
        <v>45756</v>
      </c>
      <c r="C419" s="37" t="s">
        <v>591</v>
      </c>
      <c r="D419" s="93">
        <v>45756</v>
      </c>
      <c r="E419" s="37" t="s">
        <v>534</v>
      </c>
      <c r="F419" s="100">
        <f t="shared" si="37"/>
        <v>0.73888888888905058</v>
      </c>
      <c r="H419" s="94" t="s">
        <v>722</v>
      </c>
    </row>
    <row r="420" spans="1:8">
      <c r="A420" s="37" t="s">
        <v>403</v>
      </c>
      <c r="B420" s="93">
        <v>45756</v>
      </c>
      <c r="C420" s="37" t="s">
        <v>723</v>
      </c>
      <c r="D420" s="93">
        <v>45756</v>
      </c>
      <c r="E420" s="37" t="s">
        <v>724</v>
      </c>
      <c r="F420" s="100">
        <f t="shared" si="37"/>
        <v>6.5972222218988463E-2</v>
      </c>
    </row>
    <row r="421" spans="1:8">
      <c r="A421" s="37" t="s">
        <v>245</v>
      </c>
      <c r="B421" s="93">
        <v>45756</v>
      </c>
      <c r="C421" s="37" t="s">
        <v>725</v>
      </c>
      <c r="D421" s="93">
        <v>45756</v>
      </c>
      <c r="E421" s="37" t="s">
        <v>451</v>
      </c>
      <c r="F421" s="100">
        <f t="shared" si="37"/>
        <v>7.2916666664241347E-2</v>
      </c>
    </row>
    <row r="422" spans="1:8">
      <c r="A422" s="37" t="s">
        <v>226</v>
      </c>
      <c r="B422" s="93">
        <v>45756</v>
      </c>
      <c r="C422" s="37" t="s">
        <v>726</v>
      </c>
      <c r="D422" s="93">
        <v>45756</v>
      </c>
      <c r="E422" s="37" t="s">
        <v>727</v>
      </c>
      <c r="F422" s="100">
        <f t="shared" si="37"/>
        <v>3.680555555911269E-2</v>
      </c>
    </row>
    <row r="423" spans="1:8">
      <c r="A423" s="37" t="s">
        <v>229</v>
      </c>
      <c r="B423" s="93">
        <v>45756</v>
      </c>
      <c r="C423" s="37" t="s">
        <v>728</v>
      </c>
      <c r="D423" s="93">
        <v>45756</v>
      </c>
      <c r="E423" s="37" t="s">
        <v>729</v>
      </c>
      <c r="F423" s="100">
        <f t="shared" si="37"/>
        <v>3.8194444445252884E-2</v>
      </c>
    </row>
    <row r="424" spans="1:8">
      <c r="A424" s="37" t="s">
        <v>232</v>
      </c>
      <c r="B424" s="93">
        <v>45756</v>
      </c>
      <c r="C424" s="37" t="s">
        <v>246</v>
      </c>
      <c r="D424" s="93">
        <v>45756</v>
      </c>
      <c r="E424" s="37" t="s">
        <v>730</v>
      </c>
      <c r="F424" s="100">
        <f t="shared" si="37"/>
        <v>3.125E-2</v>
      </c>
    </row>
    <row r="425" spans="1:8">
      <c r="A425" s="37" t="s">
        <v>248</v>
      </c>
      <c r="B425" s="93">
        <v>45756</v>
      </c>
      <c r="C425" s="37" t="s">
        <v>235</v>
      </c>
      <c r="D425" s="93">
        <v>45756</v>
      </c>
      <c r="E425" s="37" t="s">
        <v>731</v>
      </c>
      <c r="F425" s="100">
        <f t="shared" si="37"/>
        <v>0.40972222222626442</v>
      </c>
    </row>
    <row r="426" spans="1:8">
      <c r="A426" s="37" t="s">
        <v>234</v>
      </c>
      <c r="B426" s="93">
        <v>45756</v>
      </c>
      <c r="C426" s="37" t="s">
        <v>732</v>
      </c>
      <c r="D426" s="93">
        <v>45756</v>
      </c>
      <c r="E426" s="37" t="s">
        <v>733</v>
      </c>
      <c r="F426" s="100">
        <f t="shared" si="37"/>
        <v>2.7777777773735579E-2</v>
      </c>
    </row>
    <row r="427" spans="1:8">
      <c r="A427" s="37" t="s">
        <v>211</v>
      </c>
      <c r="B427" s="93">
        <v>45756</v>
      </c>
      <c r="C427" s="37" t="s">
        <v>218</v>
      </c>
      <c r="D427" s="93">
        <v>45756</v>
      </c>
      <c r="E427" s="37" t="s">
        <v>222</v>
      </c>
      <c r="F427" s="100">
        <f t="shared" si="37"/>
        <v>0.50069444443943212</v>
      </c>
    </row>
    <row r="428" spans="1:8">
      <c r="A428" s="37" t="s">
        <v>192</v>
      </c>
      <c r="B428" s="93">
        <v>45756</v>
      </c>
      <c r="C428" s="37" t="s">
        <v>517</v>
      </c>
      <c r="D428" s="93">
        <v>45756</v>
      </c>
      <c r="E428" s="37" t="s">
        <v>734</v>
      </c>
      <c r="F428" s="100">
        <f t="shared" si="37"/>
        <v>0.2069444444423425</v>
      </c>
      <c r="G428" s="37" t="s">
        <v>9</v>
      </c>
    </row>
    <row r="429" spans="1:8">
      <c r="A429" s="37" t="s">
        <v>226</v>
      </c>
      <c r="B429" s="93">
        <v>45756</v>
      </c>
      <c r="C429" s="37" t="s">
        <v>517</v>
      </c>
      <c r="D429" s="93">
        <v>45756</v>
      </c>
      <c r="E429" s="37" t="s">
        <v>735</v>
      </c>
      <c r="F429" s="100">
        <f t="shared" si="37"/>
        <v>1.6666666662786156E-2</v>
      </c>
    </row>
    <row r="430" spans="1:8">
      <c r="A430" s="37" t="s">
        <v>245</v>
      </c>
      <c r="B430" s="93">
        <v>45756</v>
      </c>
      <c r="C430" s="37" t="s">
        <v>517</v>
      </c>
      <c r="D430" s="93">
        <v>45756</v>
      </c>
      <c r="E430" s="37" t="s">
        <v>736</v>
      </c>
      <c r="F430" s="100">
        <f t="shared" si="37"/>
        <v>1.0416666664241347E-2</v>
      </c>
    </row>
    <row r="431" spans="1:8">
      <c r="A431" s="37" t="s">
        <v>186</v>
      </c>
      <c r="B431" s="93">
        <v>45756</v>
      </c>
      <c r="C431" s="37" t="s">
        <v>737</v>
      </c>
      <c r="D431" s="93">
        <v>45757</v>
      </c>
      <c r="E431" s="37" t="s">
        <v>738</v>
      </c>
      <c r="F431" s="100">
        <f t="shared" si="37"/>
        <v>0.70763888888905058</v>
      </c>
    </row>
    <row r="432" spans="1:8">
      <c r="A432" s="37" t="s">
        <v>232</v>
      </c>
      <c r="B432" s="93">
        <v>45756</v>
      </c>
      <c r="C432" s="37" t="s">
        <v>739</v>
      </c>
      <c r="D432" s="93">
        <v>45756</v>
      </c>
      <c r="E432" s="37" t="s">
        <v>603</v>
      </c>
      <c r="F432" s="100">
        <f t="shared" si="37"/>
        <v>3.8194444445252884E-2</v>
      </c>
    </row>
    <row r="433" spans="1:8">
      <c r="A433" s="37" t="s">
        <v>234</v>
      </c>
      <c r="B433" s="93">
        <v>45756</v>
      </c>
      <c r="C433" s="37" t="s">
        <v>740</v>
      </c>
      <c r="D433" s="93">
        <v>45756</v>
      </c>
      <c r="E433" s="37" t="s">
        <v>254</v>
      </c>
      <c r="F433" s="100">
        <f t="shared" si="37"/>
        <v>5.9027777773735579E-2</v>
      </c>
    </row>
    <row r="434" spans="1:8">
      <c r="A434" s="37" t="s">
        <v>236</v>
      </c>
      <c r="B434" s="93">
        <v>45756</v>
      </c>
      <c r="C434" s="37" t="s">
        <v>741</v>
      </c>
      <c r="D434" s="93">
        <v>45756</v>
      </c>
      <c r="E434" s="37" t="s">
        <v>742</v>
      </c>
      <c r="F434" s="100">
        <f t="shared" si="37"/>
        <v>7.7777777776645962E-2</v>
      </c>
    </row>
    <row r="435" spans="1:8">
      <c r="A435" s="37" t="s">
        <v>245</v>
      </c>
      <c r="B435" s="93">
        <v>45756</v>
      </c>
      <c r="C435" s="37" t="s">
        <v>461</v>
      </c>
      <c r="D435" s="93">
        <v>45756</v>
      </c>
      <c r="E435" s="37" t="s">
        <v>743</v>
      </c>
      <c r="F435" s="100">
        <f t="shared" si="37"/>
        <v>1.3194444443797693E-2</v>
      </c>
    </row>
    <row r="436" spans="1:8">
      <c r="A436" s="37" t="s">
        <v>226</v>
      </c>
      <c r="B436" s="93">
        <v>45756</v>
      </c>
      <c r="C436" s="37" t="s">
        <v>604</v>
      </c>
      <c r="D436" s="93">
        <v>45756</v>
      </c>
      <c r="E436" s="37" t="s">
        <v>743</v>
      </c>
      <c r="F436" s="100">
        <f t="shared" si="37"/>
        <v>7.6388888919609599E-3</v>
      </c>
    </row>
    <row r="437" spans="1:8">
      <c r="A437" s="37" t="s">
        <v>229</v>
      </c>
      <c r="B437" s="93">
        <v>45756</v>
      </c>
      <c r="C437" s="37" t="s">
        <v>744</v>
      </c>
      <c r="D437" s="93">
        <v>45756</v>
      </c>
      <c r="E437" s="37" t="s">
        <v>662</v>
      </c>
      <c r="F437" s="100">
        <f t="shared" si="37"/>
        <v>4.166666665696539E-3</v>
      </c>
    </row>
    <row r="438" spans="1:8">
      <c r="A438" s="37" t="s">
        <v>335</v>
      </c>
      <c r="B438" s="93">
        <v>45756</v>
      </c>
      <c r="C438" s="37" t="s">
        <v>550</v>
      </c>
      <c r="D438" s="93">
        <v>45756</v>
      </c>
      <c r="E438" s="37" t="s">
        <v>674</v>
      </c>
      <c r="F438" s="100">
        <f t="shared" si="37"/>
        <v>0.58472222222189885</v>
      </c>
    </row>
    <row r="439" spans="1:8">
      <c r="A439" s="37" t="s">
        <v>229</v>
      </c>
      <c r="B439" s="93">
        <v>45756</v>
      </c>
      <c r="C439" s="37" t="s">
        <v>745</v>
      </c>
      <c r="D439" s="93">
        <v>45756</v>
      </c>
      <c r="E439" s="37" t="s">
        <v>557</v>
      </c>
      <c r="F439" s="100">
        <f t="shared" si="37"/>
        <v>5.7638888887595385E-2</v>
      </c>
    </row>
    <row r="440" spans="1:8">
      <c r="A440" s="37" t="s">
        <v>226</v>
      </c>
      <c r="B440" s="93">
        <v>45756</v>
      </c>
      <c r="C440" s="37" t="s">
        <v>474</v>
      </c>
      <c r="D440" s="93">
        <v>45756</v>
      </c>
      <c r="E440" s="37" t="s">
        <v>746</v>
      </c>
      <c r="F440" s="100">
        <f t="shared" si="37"/>
        <v>3.3333333332848269E-2</v>
      </c>
    </row>
    <row r="441" spans="1:8">
      <c r="A441" s="37" t="s">
        <v>245</v>
      </c>
      <c r="B441" s="93">
        <v>45756</v>
      </c>
      <c r="C441" s="37" t="s">
        <v>692</v>
      </c>
      <c r="D441" s="93">
        <v>45756</v>
      </c>
      <c r="E441" s="37" t="s">
        <v>607</v>
      </c>
      <c r="F441" s="100">
        <f t="shared" si="37"/>
        <v>2.8472222227719612E-2</v>
      </c>
    </row>
    <row r="442" spans="1:8">
      <c r="A442" s="37" t="s">
        <v>177</v>
      </c>
      <c r="B442" s="93">
        <v>45756</v>
      </c>
      <c r="C442" s="37" t="s">
        <v>747</v>
      </c>
      <c r="D442" s="93">
        <v>45757</v>
      </c>
      <c r="E442" s="37" t="s">
        <v>748</v>
      </c>
      <c r="F442" s="100">
        <f t="shared" si="37"/>
        <v>0.74861111111385981</v>
      </c>
    </row>
    <row r="443" spans="1:8">
      <c r="A443" s="37" t="s">
        <v>232</v>
      </c>
      <c r="B443" s="93">
        <v>45756</v>
      </c>
      <c r="C443" s="37" t="s">
        <v>489</v>
      </c>
      <c r="D443" s="93">
        <v>45756</v>
      </c>
      <c r="E443" s="37" t="s">
        <v>749</v>
      </c>
      <c r="F443" s="100">
        <f t="shared" si="37"/>
        <v>2.7083333334303461E-2</v>
      </c>
    </row>
    <row r="444" spans="1:8">
      <c r="A444" s="37" t="s">
        <v>234</v>
      </c>
      <c r="B444" s="93">
        <v>45756</v>
      </c>
      <c r="C444" s="37" t="s">
        <v>750</v>
      </c>
      <c r="D444" s="93">
        <v>45756</v>
      </c>
      <c r="E444" s="37" t="s">
        <v>698</v>
      </c>
      <c r="F444" s="100">
        <f t="shared" si="37"/>
        <v>5.0694444449618459E-2</v>
      </c>
    </row>
    <row r="445" spans="1:8">
      <c r="A445" s="37" t="s">
        <v>214</v>
      </c>
      <c r="B445" s="93">
        <v>45756</v>
      </c>
      <c r="C445" s="37" t="s">
        <v>274</v>
      </c>
      <c r="D445" s="93">
        <v>45757</v>
      </c>
      <c r="E445" s="37" t="s">
        <v>216</v>
      </c>
      <c r="F445" s="100">
        <f t="shared" si="37"/>
        <v>0.50069444443943212</v>
      </c>
    </row>
    <row r="446" spans="1:8">
      <c r="A446" s="37" t="s">
        <v>192</v>
      </c>
      <c r="B446" s="93">
        <v>45756</v>
      </c>
      <c r="C446" s="37" t="s">
        <v>465</v>
      </c>
      <c r="D446" s="93">
        <v>45759</v>
      </c>
      <c r="E446" s="37" t="s">
        <v>367</v>
      </c>
      <c r="F446" s="100">
        <f>(D446 + TIME(LEFT(E446, 2), MID(E446, 3, 2), 0)) - (B446 + TIME(LEFT(C446, 2), MID(C446, 3, 2), 0))</f>
        <v>2.8833333333313931</v>
      </c>
    </row>
    <row r="447" spans="1:8">
      <c r="A447" s="37" t="s">
        <v>183</v>
      </c>
      <c r="B447" s="93">
        <v>45756</v>
      </c>
      <c r="C447" s="37" t="s">
        <v>751</v>
      </c>
      <c r="D447" s="93">
        <v>45756</v>
      </c>
      <c r="E447" s="37" t="s">
        <v>332</v>
      </c>
      <c r="F447" s="100">
        <f t="shared" ref="F447:F457" si="38">(D447 + TIME(LEFT(E447, 2), MID(E447, 3, 2), 0)) - (B447 + TIME(LEFT(C447, 2), MID(C447, 3, 2), 0))</f>
        <v>3.7499999998544808E-2</v>
      </c>
      <c r="H447" s="94" t="s">
        <v>354</v>
      </c>
    </row>
    <row r="448" spans="1:8">
      <c r="A448" s="37" t="s">
        <v>183</v>
      </c>
      <c r="B448" s="93">
        <v>45756</v>
      </c>
      <c r="C448" s="37" t="s">
        <v>752</v>
      </c>
      <c r="D448" s="93">
        <v>45756</v>
      </c>
      <c r="E448" s="37" t="s">
        <v>608</v>
      </c>
      <c r="F448" s="100">
        <f t="shared" si="38"/>
        <v>0.30416666666133096</v>
      </c>
    </row>
    <row r="449" spans="1:8">
      <c r="A449" s="37" t="s">
        <v>236</v>
      </c>
      <c r="B449" s="93">
        <v>45756</v>
      </c>
      <c r="C449" s="37" t="s">
        <v>753</v>
      </c>
      <c r="D449" s="93">
        <v>45756</v>
      </c>
      <c r="E449" s="37" t="s">
        <v>206</v>
      </c>
      <c r="F449" s="100">
        <f t="shared" si="38"/>
        <v>7.2222222224809229E-2</v>
      </c>
    </row>
    <row r="450" spans="1:8">
      <c r="A450" s="37" t="s">
        <v>239</v>
      </c>
      <c r="B450" s="93">
        <v>45756</v>
      </c>
      <c r="C450" s="37" t="s">
        <v>754</v>
      </c>
      <c r="D450" s="93">
        <v>45756</v>
      </c>
      <c r="E450" s="37" t="s">
        <v>635</v>
      </c>
      <c r="F450" s="100">
        <f t="shared" si="38"/>
        <v>4.5138888890505768E-2</v>
      </c>
    </row>
    <row r="451" spans="1:8">
      <c r="A451" s="37" t="s">
        <v>220</v>
      </c>
      <c r="B451" s="93">
        <v>45756</v>
      </c>
      <c r="C451" s="37" t="s">
        <v>212</v>
      </c>
      <c r="D451" s="93">
        <v>45757</v>
      </c>
      <c r="E451" s="37" t="s">
        <v>213</v>
      </c>
      <c r="F451" s="100">
        <f t="shared" si="38"/>
        <v>0.50069444443943212</v>
      </c>
    </row>
    <row r="452" spans="1:8">
      <c r="A452" s="37" t="s">
        <v>217</v>
      </c>
      <c r="B452" s="93">
        <v>45756</v>
      </c>
      <c r="C452" s="37" t="s">
        <v>212</v>
      </c>
      <c r="D452" s="93">
        <v>45757</v>
      </c>
      <c r="E452" s="37" t="s">
        <v>755</v>
      </c>
      <c r="F452" s="100">
        <f t="shared" si="38"/>
        <v>0.50208333333284827</v>
      </c>
    </row>
    <row r="453" spans="1:8" ht="27.6">
      <c r="A453" s="37" t="s">
        <v>248</v>
      </c>
      <c r="B453" s="93">
        <v>45756</v>
      </c>
      <c r="C453" s="37" t="s">
        <v>756</v>
      </c>
      <c r="D453" s="93">
        <v>45756</v>
      </c>
      <c r="E453" s="37" t="s">
        <v>757</v>
      </c>
      <c r="F453" s="100">
        <f t="shared" si="38"/>
        <v>4.0972222217533272E-2</v>
      </c>
      <c r="H453" s="94" t="s">
        <v>758</v>
      </c>
    </row>
    <row r="454" spans="1:8">
      <c r="A454" s="37" t="s">
        <v>245</v>
      </c>
      <c r="B454" s="93">
        <v>45756</v>
      </c>
      <c r="C454" s="37" t="s">
        <v>759</v>
      </c>
      <c r="D454" s="93">
        <v>45756</v>
      </c>
      <c r="E454" s="37" t="s">
        <v>760</v>
      </c>
      <c r="F454" s="100">
        <f t="shared" si="38"/>
        <v>4.7916666662786156E-2</v>
      </c>
    </row>
    <row r="455" spans="1:8">
      <c r="A455" s="37" t="s">
        <v>226</v>
      </c>
      <c r="B455" s="93">
        <v>45756</v>
      </c>
      <c r="C455" s="37" t="s">
        <v>341</v>
      </c>
      <c r="D455" s="93">
        <v>45756</v>
      </c>
      <c r="E455" s="37" t="s">
        <v>761</v>
      </c>
      <c r="F455" s="100">
        <f t="shared" si="38"/>
        <v>5.486111110803904E-2</v>
      </c>
    </row>
    <row r="456" spans="1:8">
      <c r="A456" s="37" t="s">
        <v>229</v>
      </c>
      <c r="B456" s="93">
        <v>45756</v>
      </c>
      <c r="C456" s="37" t="s">
        <v>762</v>
      </c>
      <c r="D456" s="93">
        <v>45756</v>
      </c>
      <c r="E456" s="37" t="s">
        <v>763</v>
      </c>
      <c r="F456" s="100">
        <f t="shared" si="38"/>
        <v>6.5972222218988463E-2</v>
      </c>
    </row>
    <row r="457" spans="1:8">
      <c r="A457" s="37" t="s">
        <v>232</v>
      </c>
      <c r="B457" s="93">
        <v>45756</v>
      </c>
      <c r="C457" s="37" t="s">
        <v>535</v>
      </c>
      <c r="D457" s="93">
        <v>45756</v>
      </c>
      <c r="E457" s="37" t="s">
        <v>419</v>
      </c>
      <c r="F457" s="100">
        <f t="shared" si="38"/>
        <v>6.9444444445252884E-2</v>
      </c>
    </row>
    <row r="458" spans="1:8">
      <c r="A458" s="37" t="s">
        <v>248</v>
      </c>
      <c r="B458" s="93">
        <v>45756</v>
      </c>
      <c r="C458" s="37" t="s">
        <v>757</v>
      </c>
      <c r="D458" s="93">
        <v>45757</v>
      </c>
      <c r="E458" s="37" t="s">
        <v>421</v>
      </c>
      <c r="F458" s="100">
        <f t="shared" ref="F458:F464" si="39">(D458 + TIME(LEFT(E458, 2), MID(E458, 3, 2), 0)) - (B458 + TIME(LEFT(C458, 2), MID(C458, 3, 2), 0))</f>
        <v>1.0833333333357587</v>
      </c>
      <c r="H458" s="94" t="s">
        <v>764</v>
      </c>
    </row>
    <row r="459" spans="1:8">
      <c r="A459" s="37" t="s">
        <v>234</v>
      </c>
      <c r="B459" s="93">
        <v>45756</v>
      </c>
      <c r="C459" s="37" t="s">
        <v>430</v>
      </c>
      <c r="D459" s="93">
        <v>45756</v>
      </c>
      <c r="E459" s="37" t="s">
        <v>765</v>
      </c>
      <c r="F459" s="100">
        <f t="shared" si="39"/>
        <v>6.0416666659875773E-2</v>
      </c>
    </row>
    <row r="460" spans="1:8">
      <c r="A460" s="37" t="s">
        <v>236</v>
      </c>
      <c r="B460" s="93">
        <v>45756</v>
      </c>
      <c r="C460" s="37" t="s">
        <v>430</v>
      </c>
      <c r="D460" s="93">
        <v>45756</v>
      </c>
      <c r="E460" s="37" t="s">
        <v>766</v>
      </c>
      <c r="F460" s="100">
        <f t="shared" si="39"/>
        <v>7.1527777778101154E-2</v>
      </c>
    </row>
    <row r="461" spans="1:8">
      <c r="A461" s="37" t="s">
        <v>239</v>
      </c>
      <c r="B461" s="93">
        <v>45756</v>
      </c>
      <c r="C461" s="37" t="s">
        <v>537</v>
      </c>
      <c r="D461" s="93">
        <v>45756</v>
      </c>
      <c r="E461" s="37" t="s">
        <v>767</v>
      </c>
      <c r="F461" s="100">
        <f t="shared" si="39"/>
        <v>2.0138888889050577E-2</v>
      </c>
    </row>
    <row r="462" spans="1:8">
      <c r="A462" s="37" t="s">
        <v>211</v>
      </c>
      <c r="B462" s="93">
        <v>45757</v>
      </c>
      <c r="C462" s="37" t="s">
        <v>223</v>
      </c>
      <c r="D462" s="93">
        <v>45757</v>
      </c>
      <c r="E462" s="37" t="s">
        <v>224</v>
      </c>
      <c r="F462" s="100">
        <f t="shared" si="39"/>
        <v>0.50069444443943212</v>
      </c>
    </row>
    <row r="463" spans="1:8">
      <c r="A463" s="37" t="s">
        <v>174</v>
      </c>
      <c r="B463" s="93">
        <v>45757</v>
      </c>
      <c r="C463" s="37" t="s">
        <v>768</v>
      </c>
      <c r="D463" s="93">
        <v>45758</v>
      </c>
      <c r="E463" s="37" t="s">
        <v>717</v>
      </c>
      <c r="F463" s="100">
        <f t="shared" si="39"/>
        <v>1.0222222222218988</v>
      </c>
    </row>
    <row r="464" spans="1:8">
      <c r="A464" s="37" t="s">
        <v>245</v>
      </c>
      <c r="B464" s="93">
        <v>45757</v>
      </c>
      <c r="C464" s="37" t="s">
        <v>593</v>
      </c>
      <c r="D464" s="93">
        <v>45757</v>
      </c>
      <c r="E464" s="37" t="s">
        <v>769</v>
      </c>
      <c r="F464" s="100">
        <f t="shared" si="39"/>
        <v>2.0833333328482695E-2</v>
      </c>
    </row>
    <row r="465" spans="1:7">
      <c r="A465" s="37" t="s">
        <v>180</v>
      </c>
      <c r="B465" s="93">
        <v>45757</v>
      </c>
      <c r="C465" s="37" t="s">
        <v>770</v>
      </c>
      <c r="D465" s="93">
        <v>45759</v>
      </c>
      <c r="E465" s="37" t="s">
        <v>771</v>
      </c>
      <c r="F465" s="100">
        <f>(D465 + TIME(LEFT(E465, 2), MID(E465, 3, 2), 0)) - (B465 + TIME(LEFT(C465, 2), MID(C465, 3, 2), 0))</f>
        <v>2.7798611111065838</v>
      </c>
    </row>
    <row r="466" spans="1:7">
      <c r="A466" s="37" t="s">
        <v>226</v>
      </c>
      <c r="B466" s="93">
        <v>45757</v>
      </c>
      <c r="C466" s="37" t="s">
        <v>772</v>
      </c>
      <c r="D466" s="93">
        <v>45757</v>
      </c>
      <c r="E466" s="37" t="s">
        <v>642</v>
      </c>
      <c r="F466" s="100">
        <f t="shared" ref="F466:F471" si="40">(D466 + TIME(LEFT(E466, 2), MID(E466, 3, 2), 0)) - (B466 + TIME(LEFT(C466, 2), MID(C466, 3, 2), 0))</f>
        <v>4.2361111110949423E-2</v>
      </c>
    </row>
    <row r="467" spans="1:7">
      <c r="A467" s="37" t="s">
        <v>229</v>
      </c>
      <c r="B467" s="93">
        <v>45757</v>
      </c>
      <c r="C467" s="37" t="s">
        <v>773</v>
      </c>
      <c r="D467" s="93">
        <v>45757</v>
      </c>
      <c r="E467" s="37" t="s">
        <v>454</v>
      </c>
      <c r="F467" s="100">
        <f t="shared" si="40"/>
        <v>3.4027777779556345E-2</v>
      </c>
    </row>
    <row r="468" spans="1:7">
      <c r="A468" s="37" t="s">
        <v>232</v>
      </c>
      <c r="B468" s="93">
        <v>45757</v>
      </c>
      <c r="C468" s="37" t="s">
        <v>649</v>
      </c>
      <c r="D468" s="93">
        <v>45757</v>
      </c>
      <c r="E468" s="37" t="s">
        <v>652</v>
      </c>
      <c r="F468" s="100">
        <f t="shared" si="40"/>
        <v>3.6111111105128657E-2</v>
      </c>
    </row>
    <row r="469" spans="1:7">
      <c r="A469" s="37" t="s">
        <v>234</v>
      </c>
      <c r="B469" s="93">
        <v>45757</v>
      </c>
      <c r="C469" s="37" t="s">
        <v>453</v>
      </c>
      <c r="D469" s="93">
        <v>45757</v>
      </c>
      <c r="E469" s="37" t="s">
        <v>774</v>
      </c>
      <c r="F469" s="100">
        <f t="shared" si="40"/>
        <v>3.4722222218988463E-2</v>
      </c>
    </row>
    <row r="470" spans="1:7">
      <c r="A470" s="37" t="s">
        <v>242</v>
      </c>
      <c r="B470" s="93">
        <v>45757</v>
      </c>
      <c r="C470" s="37" t="s">
        <v>218</v>
      </c>
      <c r="D470" s="93">
        <v>45757</v>
      </c>
      <c r="E470" s="37" t="s">
        <v>775</v>
      </c>
      <c r="F470" s="100">
        <f t="shared" si="40"/>
        <v>0.2694444444423425</v>
      </c>
    </row>
    <row r="471" spans="1:7">
      <c r="A471" s="37" t="s">
        <v>214</v>
      </c>
      <c r="B471" s="93">
        <v>45757</v>
      </c>
      <c r="C471" s="37" t="s">
        <v>218</v>
      </c>
      <c r="D471" s="93">
        <v>45757</v>
      </c>
      <c r="E471" s="37" t="s">
        <v>390</v>
      </c>
      <c r="F471" s="100">
        <f t="shared" si="40"/>
        <v>0.48888888888905058</v>
      </c>
      <c r="G471" s="37" t="s">
        <v>9</v>
      </c>
    </row>
    <row r="472" spans="1:7">
      <c r="A472" s="37" t="s">
        <v>214</v>
      </c>
      <c r="B472" s="93">
        <v>45757</v>
      </c>
      <c r="C472" s="37" t="s">
        <v>390</v>
      </c>
      <c r="D472" s="93">
        <v>45763</v>
      </c>
      <c r="E472" s="37" t="s">
        <v>776</v>
      </c>
      <c r="F472" s="100">
        <f>(D472 + TIME(LEFT(E472, 2), MID(E472, 3, 2), 0)) - (B472 + TIME(LEFT(C472, 2), MID(C472, 3, 2), 0))</f>
        <v>5.8236111111109494</v>
      </c>
      <c r="G472" s="37" t="s">
        <v>9</v>
      </c>
    </row>
    <row r="473" spans="1:7">
      <c r="A473" s="37" t="s">
        <v>225</v>
      </c>
      <c r="B473" s="93">
        <v>45757</v>
      </c>
      <c r="C473" s="37" t="s">
        <v>238</v>
      </c>
      <c r="D473" s="93">
        <v>45757</v>
      </c>
      <c r="E473" s="37" t="s">
        <v>222</v>
      </c>
      <c r="F473" s="100">
        <f t="shared" ref="F473:F484" si="41">(D473 + TIME(LEFT(E473, 2), MID(E473, 3, 2), 0)) - (B473 + TIME(LEFT(C473, 2), MID(C473, 3, 2), 0))</f>
        <v>0.49930555555329192</v>
      </c>
    </row>
    <row r="474" spans="1:7">
      <c r="A474" s="37" t="s">
        <v>186</v>
      </c>
      <c r="B474" s="93">
        <v>45757</v>
      </c>
      <c r="C474" s="37" t="s">
        <v>777</v>
      </c>
      <c r="D474" s="93">
        <v>45758</v>
      </c>
      <c r="E474" s="37" t="s">
        <v>778</v>
      </c>
      <c r="F474" s="100">
        <f t="shared" si="41"/>
        <v>0.7305555555576575</v>
      </c>
    </row>
    <row r="475" spans="1:7">
      <c r="A475" s="37" t="s">
        <v>236</v>
      </c>
      <c r="B475" s="93">
        <v>45757</v>
      </c>
      <c r="C475" s="37" t="s">
        <v>654</v>
      </c>
      <c r="D475" s="93">
        <v>45757</v>
      </c>
      <c r="E475" s="37" t="s">
        <v>370</v>
      </c>
      <c r="F475" s="100">
        <f t="shared" si="41"/>
        <v>2.361111110803904E-2</v>
      </c>
    </row>
    <row r="476" spans="1:7">
      <c r="A476" s="37" t="s">
        <v>239</v>
      </c>
      <c r="B476" s="93">
        <v>45757</v>
      </c>
      <c r="C476" s="37" t="s">
        <v>779</v>
      </c>
      <c r="D476" s="93">
        <v>45757</v>
      </c>
      <c r="E476" s="37" t="s">
        <v>260</v>
      </c>
      <c r="F476" s="100">
        <f t="shared" si="41"/>
        <v>2.3611111115314998E-2</v>
      </c>
    </row>
    <row r="477" spans="1:7">
      <c r="A477" s="37" t="s">
        <v>245</v>
      </c>
      <c r="B477" s="93">
        <v>45757</v>
      </c>
      <c r="C477" s="37" t="s">
        <v>779</v>
      </c>
      <c r="D477" s="93">
        <v>45757</v>
      </c>
      <c r="E477" s="37" t="s">
        <v>780</v>
      </c>
      <c r="F477" s="100">
        <f t="shared" si="41"/>
        <v>7.0833333338669036E-2</v>
      </c>
    </row>
    <row r="478" spans="1:7">
      <c r="A478" s="37" t="s">
        <v>183</v>
      </c>
      <c r="B478" s="93">
        <v>45757</v>
      </c>
      <c r="C478" s="37" t="s">
        <v>739</v>
      </c>
      <c r="D478" s="93">
        <v>45757</v>
      </c>
      <c r="E478" s="37" t="s">
        <v>781</v>
      </c>
      <c r="F478" s="100">
        <f t="shared" si="41"/>
        <v>0.65069444444816327</v>
      </c>
    </row>
    <row r="479" spans="1:7">
      <c r="A479" s="37" t="s">
        <v>335</v>
      </c>
      <c r="B479" s="93">
        <v>45757</v>
      </c>
      <c r="C479" s="37" t="s">
        <v>366</v>
      </c>
      <c r="D479" s="93">
        <v>45757</v>
      </c>
      <c r="E479" s="37" t="s">
        <v>357</v>
      </c>
      <c r="F479" s="100">
        <f t="shared" si="41"/>
        <v>0.60347222221753327</v>
      </c>
    </row>
    <row r="480" spans="1:7">
      <c r="A480" s="37" t="s">
        <v>226</v>
      </c>
      <c r="B480" s="93">
        <v>45757</v>
      </c>
      <c r="C480" s="37" t="s">
        <v>657</v>
      </c>
      <c r="D480" s="93">
        <v>45757</v>
      </c>
      <c r="E480" s="37" t="s">
        <v>782</v>
      </c>
      <c r="F480" s="100">
        <f t="shared" si="41"/>
        <v>3.680555555911269E-2</v>
      </c>
    </row>
    <row r="481" spans="1:8">
      <c r="A481" s="37" t="s">
        <v>229</v>
      </c>
      <c r="B481" s="93">
        <v>45757</v>
      </c>
      <c r="C481" s="37" t="s">
        <v>783</v>
      </c>
      <c r="D481" s="93">
        <v>45757</v>
      </c>
      <c r="E481" s="37" t="s">
        <v>784</v>
      </c>
      <c r="F481" s="100">
        <f t="shared" si="41"/>
        <v>2.9166666667151731E-2</v>
      </c>
    </row>
    <row r="482" spans="1:8">
      <c r="A482" s="37" t="s">
        <v>232</v>
      </c>
      <c r="B482" s="93">
        <v>45757</v>
      </c>
      <c r="C482" s="37" t="s">
        <v>785</v>
      </c>
      <c r="D482" s="93">
        <v>45757</v>
      </c>
      <c r="E482" s="37" t="s">
        <v>786</v>
      </c>
      <c r="F482" s="100">
        <f t="shared" si="41"/>
        <v>2.2916666661330964E-2</v>
      </c>
    </row>
    <row r="483" spans="1:8">
      <c r="A483" s="37" t="s">
        <v>234</v>
      </c>
      <c r="B483" s="93">
        <v>45757</v>
      </c>
      <c r="C483" s="37" t="s">
        <v>559</v>
      </c>
      <c r="D483" s="93">
        <v>45757</v>
      </c>
      <c r="E483" s="37" t="s">
        <v>378</v>
      </c>
      <c r="F483" s="100">
        <f t="shared" si="41"/>
        <v>1.8055555556202307E-2</v>
      </c>
    </row>
    <row r="484" spans="1:8">
      <c r="A484" s="37" t="s">
        <v>236</v>
      </c>
      <c r="B484" s="93">
        <v>45757</v>
      </c>
      <c r="C484" s="37" t="s">
        <v>254</v>
      </c>
      <c r="D484" s="93">
        <v>45757</v>
      </c>
      <c r="E484" s="37" t="s">
        <v>605</v>
      </c>
      <c r="F484" s="100">
        <f t="shared" si="41"/>
        <v>1.4583333337213844E-2</v>
      </c>
    </row>
    <row r="485" spans="1:8">
      <c r="A485" s="37" t="s">
        <v>177</v>
      </c>
      <c r="B485" s="93">
        <v>45757</v>
      </c>
      <c r="C485" s="37" t="s">
        <v>787</v>
      </c>
      <c r="D485" s="93">
        <v>45758</v>
      </c>
      <c r="E485" s="37" t="s">
        <v>788</v>
      </c>
      <c r="F485" s="100">
        <f>(D485 + TIME(LEFT(E485, 2), MID(E485, 3, 2), 0)) - (B485 + TIME(LEFT(C485, 2), MID(C485, 3, 2), 0))</f>
        <v>1.3444444444467081</v>
      </c>
    </row>
    <row r="486" spans="1:8" ht="27.6">
      <c r="A486" s="37" t="s">
        <v>242</v>
      </c>
      <c r="B486" s="93">
        <v>45757</v>
      </c>
      <c r="C486" s="37" t="s">
        <v>775</v>
      </c>
      <c r="D486" s="93">
        <v>45757</v>
      </c>
      <c r="E486" s="37" t="s">
        <v>789</v>
      </c>
      <c r="F486" s="100">
        <f t="shared" ref="F486:F514" si="42">(D486 + TIME(LEFT(E486, 2), MID(E486, 3, 2), 0)) - (B486 + TIME(LEFT(C486, 2), MID(C486, 3, 2), 0))</f>
        <v>0.37013888888759539</v>
      </c>
      <c r="G486" s="37" t="s">
        <v>9</v>
      </c>
      <c r="H486" s="94" t="s">
        <v>790</v>
      </c>
    </row>
    <row r="487" spans="1:8">
      <c r="A487" s="37" t="s">
        <v>229</v>
      </c>
      <c r="B487" s="93">
        <v>45757</v>
      </c>
      <c r="C487" s="37" t="s">
        <v>331</v>
      </c>
      <c r="D487" s="93">
        <v>45757</v>
      </c>
      <c r="E487" s="37" t="s">
        <v>695</v>
      </c>
      <c r="F487" s="100">
        <f t="shared" si="42"/>
        <v>0.12638888889341615</v>
      </c>
    </row>
    <row r="488" spans="1:8">
      <c r="A488" s="37" t="s">
        <v>232</v>
      </c>
      <c r="B488" s="93">
        <v>45757</v>
      </c>
      <c r="C488" s="37" t="s">
        <v>775</v>
      </c>
      <c r="D488" s="93">
        <v>45757</v>
      </c>
      <c r="E488" s="37" t="s">
        <v>791</v>
      </c>
      <c r="F488" s="100">
        <f t="shared" si="42"/>
        <v>0.16249999999854481</v>
      </c>
    </row>
    <row r="489" spans="1:8">
      <c r="A489" s="37" t="s">
        <v>226</v>
      </c>
      <c r="B489" s="93">
        <v>45757</v>
      </c>
      <c r="C489" s="37" t="s">
        <v>331</v>
      </c>
      <c r="D489" s="93">
        <v>45757</v>
      </c>
      <c r="E489" s="37" t="s">
        <v>792</v>
      </c>
      <c r="F489" s="100">
        <f t="shared" si="42"/>
        <v>4.2361111110949423E-2</v>
      </c>
    </row>
    <row r="490" spans="1:8">
      <c r="A490" s="37" t="s">
        <v>234</v>
      </c>
      <c r="B490" s="93">
        <v>45757</v>
      </c>
      <c r="C490" s="37" t="s">
        <v>331</v>
      </c>
      <c r="D490" s="93">
        <v>45757</v>
      </c>
      <c r="E490" s="37" t="s">
        <v>793</v>
      </c>
      <c r="F490" s="100">
        <f t="shared" si="42"/>
        <v>0.17708333333575865</v>
      </c>
    </row>
    <row r="491" spans="1:8">
      <c r="A491" s="37" t="s">
        <v>236</v>
      </c>
      <c r="B491" s="93">
        <v>45757</v>
      </c>
      <c r="C491" s="37" t="s">
        <v>331</v>
      </c>
      <c r="D491" s="93">
        <v>45757</v>
      </c>
      <c r="E491" s="37" t="s">
        <v>794</v>
      </c>
      <c r="F491" s="100">
        <f t="shared" si="42"/>
        <v>0.179861111115315</v>
      </c>
    </row>
    <row r="492" spans="1:8">
      <c r="A492" s="37" t="s">
        <v>239</v>
      </c>
      <c r="B492" s="93">
        <v>45757</v>
      </c>
      <c r="C492" s="37" t="s">
        <v>498</v>
      </c>
      <c r="D492" s="93">
        <v>45757</v>
      </c>
      <c r="E492" s="37" t="s">
        <v>524</v>
      </c>
      <c r="F492" s="100">
        <f t="shared" si="42"/>
        <v>0.18263888889487134</v>
      </c>
    </row>
    <row r="493" spans="1:8">
      <c r="A493" s="37" t="s">
        <v>220</v>
      </c>
      <c r="B493" s="93">
        <v>45757</v>
      </c>
      <c r="C493" s="37" t="s">
        <v>274</v>
      </c>
      <c r="D493" s="93">
        <v>45757</v>
      </c>
      <c r="E493" s="37" t="s">
        <v>390</v>
      </c>
      <c r="F493" s="100">
        <f t="shared" si="42"/>
        <v>0.23888888888905058</v>
      </c>
    </row>
    <row r="494" spans="1:8">
      <c r="A494" s="37" t="s">
        <v>391</v>
      </c>
      <c r="B494" s="93">
        <v>45757</v>
      </c>
      <c r="C494" s="37" t="s">
        <v>336</v>
      </c>
      <c r="D494" s="93">
        <v>45757</v>
      </c>
      <c r="E494" s="37" t="s">
        <v>795</v>
      </c>
      <c r="F494" s="100">
        <f t="shared" si="42"/>
        <v>7.6388888919609599E-3</v>
      </c>
    </row>
    <row r="495" spans="1:8">
      <c r="A495" s="37" t="s">
        <v>196</v>
      </c>
      <c r="B495" s="93">
        <v>45757</v>
      </c>
      <c r="C495" s="37" t="s">
        <v>389</v>
      </c>
      <c r="D495" s="93">
        <v>45758</v>
      </c>
      <c r="E495" s="37" t="s">
        <v>769</v>
      </c>
      <c r="F495" s="100">
        <f t="shared" si="42"/>
        <v>0.54027777777810115</v>
      </c>
    </row>
    <row r="496" spans="1:8">
      <c r="A496" s="37" t="s">
        <v>199</v>
      </c>
      <c r="B496" s="93">
        <v>45757</v>
      </c>
      <c r="C496" s="37" t="s">
        <v>796</v>
      </c>
      <c r="D496" s="93">
        <v>45758</v>
      </c>
      <c r="E496" s="37" t="s">
        <v>797</v>
      </c>
      <c r="F496" s="100">
        <f t="shared" si="42"/>
        <v>0.54097222222480923</v>
      </c>
    </row>
    <row r="497" spans="1:6">
      <c r="A497" s="37" t="s">
        <v>245</v>
      </c>
      <c r="B497" s="93">
        <v>45757</v>
      </c>
      <c r="C497" s="37" t="s">
        <v>486</v>
      </c>
      <c r="D497" s="93">
        <v>45757</v>
      </c>
      <c r="E497" s="37" t="s">
        <v>507</v>
      </c>
      <c r="F497" s="100">
        <f t="shared" si="42"/>
        <v>8.5416666668606922E-2</v>
      </c>
    </row>
    <row r="498" spans="1:6">
      <c r="A498" s="37" t="s">
        <v>205</v>
      </c>
      <c r="B498" s="93">
        <v>45757</v>
      </c>
      <c r="C498" s="37" t="s">
        <v>332</v>
      </c>
      <c r="D498" s="93">
        <v>45758</v>
      </c>
      <c r="E498" s="37" t="s">
        <v>798</v>
      </c>
      <c r="F498" s="100">
        <f t="shared" si="42"/>
        <v>0.55208333333575865</v>
      </c>
    </row>
    <row r="499" spans="1:6">
      <c r="A499" s="37" t="s">
        <v>226</v>
      </c>
      <c r="B499" s="93">
        <v>45757</v>
      </c>
      <c r="C499" s="37" t="s">
        <v>799</v>
      </c>
      <c r="D499" s="93">
        <v>45757</v>
      </c>
      <c r="E499" s="37" t="s">
        <v>567</v>
      </c>
      <c r="F499" s="100">
        <f t="shared" si="42"/>
        <v>6.3888888886140194E-2</v>
      </c>
    </row>
    <row r="500" spans="1:6">
      <c r="A500" s="37" t="s">
        <v>391</v>
      </c>
      <c r="B500" s="93">
        <v>45757</v>
      </c>
      <c r="C500" s="37" t="s">
        <v>800</v>
      </c>
      <c r="D500" s="93">
        <v>45757</v>
      </c>
      <c r="E500" s="37" t="s">
        <v>801</v>
      </c>
      <c r="F500" s="100">
        <f t="shared" si="42"/>
        <v>6.9444444452528842E-3</v>
      </c>
    </row>
    <row r="501" spans="1:6">
      <c r="A501" s="37" t="s">
        <v>202</v>
      </c>
      <c r="B501" s="93">
        <v>45757</v>
      </c>
      <c r="C501" s="37" t="s">
        <v>802</v>
      </c>
      <c r="D501" s="93">
        <v>45758</v>
      </c>
      <c r="E501" s="37" t="s">
        <v>666</v>
      </c>
      <c r="F501" s="100">
        <f t="shared" si="42"/>
        <v>0.83055555555620231</v>
      </c>
    </row>
    <row r="502" spans="1:6">
      <c r="A502" s="37" t="s">
        <v>245</v>
      </c>
      <c r="B502" s="93">
        <v>45757</v>
      </c>
      <c r="C502" s="37" t="s">
        <v>275</v>
      </c>
      <c r="D502" s="93">
        <v>45757</v>
      </c>
      <c r="E502" s="37" t="s">
        <v>568</v>
      </c>
      <c r="F502" s="100">
        <f t="shared" si="42"/>
        <v>2.0138888889050577E-2</v>
      </c>
    </row>
    <row r="503" spans="1:6">
      <c r="A503" s="37" t="s">
        <v>391</v>
      </c>
      <c r="B503" s="93">
        <v>45757</v>
      </c>
      <c r="C503" s="37" t="s">
        <v>803</v>
      </c>
      <c r="D503" s="93">
        <v>45757</v>
      </c>
      <c r="E503" s="37" t="s">
        <v>804</v>
      </c>
      <c r="F503" s="100">
        <f t="shared" si="42"/>
        <v>2.361111110803904E-2</v>
      </c>
    </row>
    <row r="504" spans="1:6">
      <c r="A504" s="37" t="s">
        <v>217</v>
      </c>
      <c r="B504" s="93">
        <v>45757</v>
      </c>
      <c r="C504" s="37" t="s">
        <v>212</v>
      </c>
      <c r="D504" s="93">
        <v>45758</v>
      </c>
      <c r="E504" s="37" t="s">
        <v>805</v>
      </c>
      <c r="F504" s="100">
        <f t="shared" si="42"/>
        <v>0.54236111111094942</v>
      </c>
    </row>
    <row r="505" spans="1:6">
      <c r="A505" s="37" t="s">
        <v>220</v>
      </c>
      <c r="B505" s="93">
        <v>45757</v>
      </c>
      <c r="C505" s="37" t="s">
        <v>754</v>
      </c>
      <c r="D505" s="93">
        <v>45758</v>
      </c>
      <c r="E505" s="37" t="s">
        <v>806</v>
      </c>
      <c r="F505" s="100">
        <f t="shared" si="42"/>
        <v>0.52500000000145519</v>
      </c>
    </row>
    <row r="506" spans="1:6">
      <c r="A506" s="37" t="s">
        <v>211</v>
      </c>
      <c r="B506" s="93">
        <v>45757</v>
      </c>
      <c r="C506" s="37" t="s">
        <v>754</v>
      </c>
      <c r="D506" s="93">
        <v>45758</v>
      </c>
      <c r="E506" s="37" t="s">
        <v>806</v>
      </c>
      <c r="F506" s="100">
        <f t="shared" si="42"/>
        <v>0.52500000000145519</v>
      </c>
    </row>
    <row r="507" spans="1:6">
      <c r="A507" s="37" t="s">
        <v>229</v>
      </c>
      <c r="B507" s="93">
        <v>45757</v>
      </c>
      <c r="C507" s="37" t="s">
        <v>711</v>
      </c>
      <c r="D507" s="93">
        <v>45757</v>
      </c>
      <c r="E507" s="37" t="s">
        <v>194</v>
      </c>
      <c r="F507" s="100">
        <f t="shared" si="42"/>
        <v>1.4583333337213844E-2</v>
      </c>
    </row>
    <row r="508" spans="1:6">
      <c r="A508" s="37" t="s">
        <v>226</v>
      </c>
      <c r="B508" s="93">
        <v>45757</v>
      </c>
      <c r="C508" s="37" t="s">
        <v>711</v>
      </c>
      <c r="D508" s="93">
        <v>45757</v>
      </c>
      <c r="E508" s="37" t="s">
        <v>807</v>
      </c>
      <c r="F508" s="100">
        <f t="shared" si="42"/>
        <v>1.1805555557657499E-2</v>
      </c>
    </row>
    <row r="509" spans="1:6">
      <c r="A509" s="37" t="s">
        <v>242</v>
      </c>
      <c r="B509" s="93">
        <v>45757</v>
      </c>
      <c r="C509" s="37" t="s">
        <v>789</v>
      </c>
      <c r="D509" s="93">
        <v>45757</v>
      </c>
      <c r="E509" s="37" t="s">
        <v>182</v>
      </c>
      <c r="F509" s="100">
        <f t="shared" si="42"/>
        <v>1.8055555556202307E-2</v>
      </c>
    </row>
    <row r="510" spans="1:6">
      <c r="A510" s="37" t="s">
        <v>245</v>
      </c>
      <c r="B510" s="93">
        <v>45757</v>
      </c>
      <c r="C510" s="37" t="s">
        <v>711</v>
      </c>
      <c r="D510" s="93">
        <v>45757</v>
      </c>
      <c r="E510" s="37" t="s">
        <v>808</v>
      </c>
      <c r="F510" s="100">
        <f t="shared" si="42"/>
        <v>1.0416666671517305E-2</v>
      </c>
    </row>
    <row r="511" spans="1:6">
      <c r="A511" s="37" t="s">
        <v>232</v>
      </c>
      <c r="B511" s="93">
        <v>45757</v>
      </c>
      <c r="C511" s="37" t="s">
        <v>809</v>
      </c>
      <c r="D511" s="93">
        <v>45757</v>
      </c>
      <c r="E511" s="37" t="s">
        <v>564</v>
      </c>
      <c r="F511" s="100">
        <f t="shared" si="42"/>
        <v>5.5555555518367328E-3</v>
      </c>
    </row>
    <row r="512" spans="1:6">
      <c r="A512" s="37" t="s">
        <v>234</v>
      </c>
      <c r="B512" s="93">
        <v>45757</v>
      </c>
      <c r="C512" s="37" t="s">
        <v>809</v>
      </c>
      <c r="D512" s="93">
        <v>45757</v>
      </c>
      <c r="E512" s="37" t="s">
        <v>584</v>
      </c>
      <c r="F512" s="100">
        <f t="shared" si="42"/>
        <v>1.3888888883229811E-2</v>
      </c>
    </row>
    <row r="513" spans="1:6">
      <c r="A513" s="37" t="s">
        <v>239</v>
      </c>
      <c r="B513" s="93">
        <v>45758</v>
      </c>
      <c r="C513" s="37" t="s">
        <v>778</v>
      </c>
      <c r="D513" s="93">
        <v>45758</v>
      </c>
      <c r="E513" s="37" t="s">
        <v>810</v>
      </c>
      <c r="F513" s="100">
        <f t="shared" si="42"/>
        <v>1.6666666670062114E-2</v>
      </c>
    </row>
    <row r="514" spans="1:6">
      <c r="A514" s="37" t="s">
        <v>236</v>
      </c>
      <c r="B514" s="93">
        <v>45758</v>
      </c>
      <c r="C514" s="37" t="s">
        <v>778</v>
      </c>
      <c r="D514" s="93">
        <v>45758</v>
      </c>
      <c r="E514" s="37" t="s">
        <v>811</v>
      </c>
      <c r="F514" s="100">
        <f t="shared" si="42"/>
        <v>6.2499999985448085E-3</v>
      </c>
    </row>
    <row r="515" spans="1:6">
      <c r="A515" s="37" t="s">
        <v>248</v>
      </c>
      <c r="B515" s="93">
        <v>45758</v>
      </c>
      <c r="C515" s="37" t="s">
        <v>812</v>
      </c>
      <c r="D515" s="93">
        <v>45759</v>
      </c>
      <c r="E515" s="37" t="s">
        <v>813</v>
      </c>
      <c r="F515" s="100">
        <f>(D515 + TIME(LEFT(E515, 2), MID(E515, 3, 2), 0)) - (B515 + TIME(LEFT(C515, 2), MID(C515, 3, 2), 0))</f>
        <v>1.1041666666642413</v>
      </c>
    </row>
    <row r="516" spans="1:6">
      <c r="A516" s="37" t="s">
        <v>226</v>
      </c>
      <c r="B516" s="93">
        <v>45758</v>
      </c>
      <c r="C516" s="37" t="s">
        <v>814</v>
      </c>
      <c r="D516" s="93">
        <v>45758</v>
      </c>
      <c r="E516" s="37" t="s">
        <v>815</v>
      </c>
      <c r="F516" s="100">
        <f>(D516 + TIME(LEFT(E516, 2), MID(E516, 3, 2), 0)) - (B516 + TIME(LEFT(C516, 2), MID(C516, 3, 2), 0))</f>
        <v>3.680555555911269E-2</v>
      </c>
    </row>
    <row r="517" spans="1:6">
      <c r="A517" s="37" t="s">
        <v>229</v>
      </c>
      <c r="B517" s="93">
        <v>45758</v>
      </c>
      <c r="C517" s="37" t="s">
        <v>314</v>
      </c>
      <c r="D517" s="93">
        <v>45758</v>
      </c>
      <c r="E517" s="37" t="s">
        <v>816</v>
      </c>
      <c r="F517" s="100">
        <f>(D517 + TIME(LEFT(E517, 2), MID(E517, 3, 2), 0)) - (B517 + TIME(LEFT(C517, 2), MID(C517, 3, 2), 0))</f>
        <v>3.125E-2</v>
      </c>
    </row>
    <row r="518" spans="1:6">
      <c r="A518" s="37" t="s">
        <v>232</v>
      </c>
      <c r="B518" s="93">
        <v>45758</v>
      </c>
      <c r="C518" s="37" t="s">
        <v>238</v>
      </c>
      <c r="D518" s="93">
        <v>45758</v>
      </c>
      <c r="E518" s="37" t="s">
        <v>680</v>
      </c>
      <c r="F518" s="100">
        <f>(D518 + TIME(LEFT(E518, 2), MID(E518, 3, 2), 0)) - (B518 + TIME(LEFT(C518, 2), MID(C518, 3, 2), 0))</f>
        <v>2.7777777781011537E-2</v>
      </c>
    </row>
    <row r="519" spans="1:6">
      <c r="A519" s="37" t="s">
        <v>245</v>
      </c>
      <c r="B519" s="93">
        <v>45758</v>
      </c>
      <c r="C519" s="37" t="s">
        <v>450</v>
      </c>
      <c r="D519" s="93">
        <v>45758</v>
      </c>
      <c r="E519" s="37" t="s">
        <v>817</v>
      </c>
      <c r="F519" s="100">
        <f t="shared" ref="F519" si="43">(D519 + TIME(LEFT(E519, 2), MID(E519, 3, 2), 0)) - (B519 + TIME(LEFT(C519, 2), MID(C519, 3, 2), 0))</f>
        <v>4.3749999997089617E-2</v>
      </c>
    </row>
    <row r="520" spans="1:6">
      <c r="A520" s="37" t="s">
        <v>242</v>
      </c>
      <c r="B520" s="93">
        <v>45758</v>
      </c>
      <c r="C520" s="37" t="s">
        <v>678</v>
      </c>
      <c r="D520" s="93">
        <v>45759</v>
      </c>
      <c r="E520" s="37">
        <v>0</v>
      </c>
      <c r="F520" s="100" t="e">
        <f t="shared" ref="F520:F531" si="44">(D520 + TIME(LEFT(E520, 2), MID(E520, 3, 2), 0)) - (B520 + TIME(LEFT(C520, 2), MID(C520, 3, 2), 0))</f>
        <v>#VALUE!</v>
      </c>
    </row>
    <row r="521" spans="1:6">
      <c r="A521" s="37" t="s">
        <v>225</v>
      </c>
      <c r="B521" s="93">
        <v>45758</v>
      </c>
      <c r="C521" s="37" t="s">
        <v>818</v>
      </c>
      <c r="D521" s="93">
        <v>45758</v>
      </c>
      <c r="E521" s="37" t="s">
        <v>222</v>
      </c>
      <c r="F521" s="100">
        <f t="shared" si="44"/>
        <v>0.45902777777519077</v>
      </c>
    </row>
    <row r="522" spans="1:6">
      <c r="A522" s="37" t="s">
        <v>220</v>
      </c>
      <c r="B522" s="93">
        <v>45758</v>
      </c>
      <c r="C522" s="37" t="s">
        <v>819</v>
      </c>
      <c r="D522" s="93">
        <v>45758</v>
      </c>
      <c r="E522" s="37" t="s">
        <v>820</v>
      </c>
      <c r="F522" s="100">
        <f t="shared" si="44"/>
        <v>0.21388888889487134</v>
      </c>
    </row>
    <row r="523" spans="1:6">
      <c r="A523" s="37" t="s">
        <v>211</v>
      </c>
      <c r="B523" s="93">
        <v>45758</v>
      </c>
      <c r="C523" s="37" t="s">
        <v>819</v>
      </c>
      <c r="D523" s="93">
        <v>45758</v>
      </c>
      <c r="E523" s="37" t="s">
        <v>820</v>
      </c>
      <c r="F523" s="100">
        <f t="shared" si="44"/>
        <v>0.21388888889487134</v>
      </c>
    </row>
    <row r="524" spans="1:6">
      <c r="A524" s="37" t="s">
        <v>186</v>
      </c>
      <c r="B524" s="93">
        <v>45758</v>
      </c>
      <c r="C524" s="37" t="s">
        <v>821</v>
      </c>
      <c r="D524" s="93">
        <v>45758</v>
      </c>
      <c r="E524" s="37" t="s">
        <v>449</v>
      </c>
      <c r="F524" s="100">
        <f t="shared" si="44"/>
        <v>0.65416666666715173</v>
      </c>
    </row>
    <row r="525" spans="1:6">
      <c r="A525" s="37" t="s">
        <v>205</v>
      </c>
      <c r="B525" s="93">
        <v>45758</v>
      </c>
      <c r="C525" s="37" t="s">
        <v>821</v>
      </c>
      <c r="D525" s="93">
        <v>45758</v>
      </c>
      <c r="E525" s="37" t="s">
        <v>753</v>
      </c>
      <c r="F525" s="100">
        <f t="shared" si="44"/>
        <v>0.40069444444088731</v>
      </c>
    </row>
    <row r="526" spans="1:6">
      <c r="A526" s="37" t="s">
        <v>196</v>
      </c>
      <c r="B526" s="93">
        <v>45758</v>
      </c>
      <c r="C526" s="37" t="s">
        <v>599</v>
      </c>
      <c r="D526" s="93">
        <v>45758</v>
      </c>
      <c r="E526" s="37" t="s">
        <v>372</v>
      </c>
      <c r="F526" s="100">
        <f t="shared" si="44"/>
        <v>4.3055555550381541E-2</v>
      </c>
    </row>
    <row r="527" spans="1:6">
      <c r="A527" s="37" t="s">
        <v>199</v>
      </c>
      <c r="B527" s="93">
        <v>45758</v>
      </c>
      <c r="C527" s="37" t="s">
        <v>822</v>
      </c>
      <c r="D527" s="93">
        <v>45758</v>
      </c>
      <c r="E527" s="37" t="s">
        <v>502</v>
      </c>
      <c r="F527" s="100">
        <f t="shared" si="44"/>
        <v>0.39166666666278616</v>
      </c>
    </row>
    <row r="528" spans="1:6">
      <c r="A528" s="37" t="s">
        <v>183</v>
      </c>
      <c r="B528" s="93">
        <v>45758</v>
      </c>
      <c r="C528" s="37" t="s">
        <v>253</v>
      </c>
      <c r="D528" s="93">
        <v>45758</v>
      </c>
      <c r="E528" s="37" t="s">
        <v>823</v>
      </c>
      <c r="F528" s="100">
        <f t="shared" si="44"/>
        <v>0.60694444444379769</v>
      </c>
    </row>
    <row r="529" spans="1:8">
      <c r="A529" s="37" t="s">
        <v>234</v>
      </c>
      <c r="B529" s="93">
        <v>45758</v>
      </c>
      <c r="C529" s="37" t="s">
        <v>550</v>
      </c>
      <c r="D529" s="93">
        <v>45758</v>
      </c>
      <c r="E529" s="37" t="s">
        <v>824</v>
      </c>
      <c r="F529" s="100">
        <f t="shared" si="44"/>
        <v>2.2916666668606922E-2</v>
      </c>
    </row>
    <row r="530" spans="1:8">
      <c r="A530" s="37" t="s">
        <v>236</v>
      </c>
      <c r="B530" s="93">
        <v>45758</v>
      </c>
      <c r="C530" s="37" t="s">
        <v>470</v>
      </c>
      <c r="D530" s="93">
        <v>45758</v>
      </c>
      <c r="E530" s="37" t="s">
        <v>262</v>
      </c>
      <c r="F530" s="100">
        <f t="shared" si="44"/>
        <v>2.0138888889050577E-2</v>
      </c>
    </row>
    <row r="531" spans="1:8">
      <c r="A531" s="37" t="s">
        <v>239</v>
      </c>
      <c r="B531" s="93">
        <v>45758</v>
      </c>
      <c r="C531" s="37" t="s">
        <v>470</v>
      </c>
      <c r="D531" s="93">
        <v>45758</v>
      </c>
      <c r="E531" s="37" t="s">
        <v>825</v>
      </c>
      <c r="F531" s="100">
        <f t="shared" si="44"/>
        <v>2.2916666668606922E-2</v>
      </c>
    </row>
    <row r="532" spans="1:8">
      <c r="A532" s="37" t="s">
        <v>196</v>
      </c>
      <c r="B532" s="93">
        <v>45758</v>
      </c>
      <c r="C532" s="37" t="s">
        <v>372</v>
      </c>
      <c r="D532" s="93">
        <v>45771</v>
      </c>
      <c r="E532" s="37" t="s">
        <v>484</v>
      </c>
      <c r="F532" s="100">
        <f>(D532 + TIME(LEFT(E532, 2), MID(E532, 3, 2), 0)) - (B532 + TIME(LEFT(C532, 2), MID(C532, 3, 2), 0))</f>
        <v>13.104861111110949</v>
      </c>
      <c r="G532" s="37" t="s">
        <v>9</v>
      </c>
    </row>
    <row r="533" spans="1:8">
      <c r="A533" s="37" t="s">
        <v>226</v>
      </c>
      <c r="B533" s="93">
        <v>45758</v>
      </c>
      <c r="C533" s="37" t="s">
        <v>659</v>
      </c>
      <c r="D533" s="93">
        <v>45758</v>
      </c>
      <c r="E533" s="37" t="s">
        <v>826</v>
      </c>
      <c r="F533" s="100">
        <f t="shared" ref="F533:F538" si="45">(D533 + TIME(LEFT(E533, 2), MID(E533, 3, 2), 0)) - (B533 + TIME(LEFT(C533, 2), MID(C533, 3, 2), 0))</f>
        <v>7.2222222217533272E-2</v>
      </c>
    </row>
    <row r="534" spans="1:8">
      <c r="A534" s="37" t="s">
        <v>335</v>
      </c>
      <c r="B534" s="93">
        <v>45758</v>
      </c>
      <c r="C534" s="37" t="s">
        <v>319</v>
      </c>
      <c r="D534" s="93">
        <v>45758</v>
      </c>
      <c r="E534" s="23" t="s">
        <v>639</v>
      </c>
      <c r="F534" s="100">
        <f t="shared" si="45"/>
        <v>0.4104166666729725</v>
      </c>
    </row>
    <row r="535" spans="1:8">
      <c r="A535" s="37" t="s">
        <v>202</v>
      </c>
      <c r="B535" s="93">
        <v>45758</v>
      </c>
      <c r="C535" s="37" t="s">
        <v>666</v>
      </c>
      <c r="D535" s="93">
        <v>45758</v>
      </c>
      <c r="E535" s="37" t="s">
        <v>329</v>
      </c>
      <c r="F535" s="100">
        <f t="shared" si="45"/>
        <v>0.14097222222335404</v>
      </c>
      <c r="G535" s="37" t="s">
        <v>9</v>
      </c>
    </row>
    <row r="536" spans="1:8">
      <c r="A536" s="37" t="s">
        <v>229</v>
      </c>
      <c r="B536" s="93">
        <v>45758</v>
      </c>
      <c r="C536" s="37" t="s">
        <v>267</v>
      </c>
      <c r="D536" s="93">
        <v>45758</v>
      </c>
      <c r="E536" s="37" t="s">
        <v>826</v>
      </c>
      <c r="F536" s="100">
        <f t="shared" si="45"/>
        <v>2.8472222220443655E-2</v>
      </c>
    </row>
    <row r="537" spans="1:8">
      <c r="A537" s="37" t="s">
        <v>232</v>
      </c>
      <c r="B537" s="93">
        <v>45758</v>
      </c>
      <c r="C537" s="37" t="s">
        <v>827</v>
      </c>
      <c r="D537" s="93">
        <v>45758</v>
      </c>
      <c r="E537" s="37" t="s">
        <v>382</v>
      </c>
      <c r="F537" s="100">
        <f t="shared" si="45"/>
        <v>2.9861111113859806E-2</v>
      </c>
    </row>
    <row r="538" spans="1:8">
      <c r="A538" s="37" t="s">
        <v>174</v>
      </c>
      <c r="B538" s="93">
        <v>45758</v>
      </c>
      <c r="C538" s="37" t="s">
        <v>742</v>
      </c>
      <c r="D538" s="93">
        <v>45761</v>
      </c>
      <c r="E538" s="37" t="s">
        <v>828</v>
      </c>
      <c r="F538" s="100">
        <f t="shared" si="45"/>
        <v>3.578472222223354</v>
      </c>
    </row>
    <row r="539" spans="1:8">
      <c r="A539" s="37" t="s">
        <v>245</v>
      </c>
      <c r="B539" s="93">
        <v>45758</v>
      </c>
      <c r="C539" s="37" t="s">
        <v>659</v>
      </c>
      <c r="D539" s="93">
        <v>45758</v>
      </c>
      <c r="E539" s="37" t="s">
        <v>829</v>
      </c>
      <c r="F539" s="100">
        <f t="shared" ref="F539" si="46">(D539 + TIME(LEFT(E539, 2), MID(E539, 3, 2), 0)) - (B539 + TIME(LEFT(C539, 2), MID(C539, 3, 2), 0))</f>
        <v>5.1388888889050577E-2</v>
      </c>
    </row>
    <row r="540" spans="1:8">
      <c r="A540" s="37" t="s">
        <v>220</v>
      </c>
      <c r="B540" s="93">
        <v>45758</v>
      </c>
      <c r="C540" s="37" t="s">
        <v>820</v>
      </c>
      <c r="D540" s="93">
        <v>45758</v>
      </c>
      <c r="E540" s="37" t="s">
        <v>348</v>
      </c>
      <c r="F540" s="100">
        <f t="shared" ref="F540:F545" si="47">(D540 + TIME(LEFT(E540, 2), MID(E540, 3, 2), 0)) - (B540 + TIME(LEFT(C540, 2), MID(C540, 3, 2), 0))</f>
        <v>0.39513888888905058</v>
      </c>
      <c r="G540" s="37" t="s">
        <v>9</v>
      </c>
      <c r="H540" s="94" t="s">
        <v>830</v>
      </c>
    </row>
    <row r="541" spans="1:8">
      <c r="A541" s="37" t="s">
        <v>211</v>
      </c>
      <c r="B541" s="93">
        <v>45758</v>
      </c>
      <c r="C541" s="37" t="s">
        <v>820</v>
      </c>
      <c r="D541" s="93">
        <v>45758</v>
      </c>
      <c r="E541" s="37" t="s">
        <v>389</v>
      </c>
      <c r="F541" s="100">
        <f t="shared" si="47"/>
        <v>3.8194444437976927E-2</v>
      </c>
      <c r="G541" s="37" t="s">
        <v>9</v>
      </c>
      <c r="H541" s="94" t="s">
        <v>831</v>
      </c>
    </row>
    <row r="542" spans="1:8">
      <c r="A542" s="37" t="s">
        <v>202</v>
      </c>
      <c r="B542" s="93">
        <v>45758</v>
      </c>
      <c r="C542" s="37" t="s">
        <v>329</v>
      </c>
      <c r="D542" s="93">
        <v>45758</v>
      </c>
      <c r="E542" s="37" t="s">
        <v>832</v>
      </c>
      <c r="F542" s="100">
        <f t="shared" si="47"/>
        <v>0.1680555555576575</v>
      </c>
    </row>
    <row r="543" spans="1:8">
      <c r="A543" s="37" t="s">
        <v>211</v>
      </c>
      <c r="B543" s="93">
        <v>45758</v>
      </c>
      <c r="C543" s="37" t="s">
        <v>509</v>
      </c>
      <c r="D543" s="93">
        <v>45758</v>
      </c>
      <c r="E543" s="37" t="s">
        <v>509</v>
      </c>
      <c r="F543" s="100">
        <f t="shared" si="47"/>
        <v>0</v>
      </c>
    </row>
    <row r="544" spans="1:8">
      <c r="A544" s="37" t="s">
        <v>211</v>
      </c>
      <c r="B544" s="93">
        <v>45758</v>
      </c>
      <c r="C544" s="37" t="s">
        <v>509</v>
      </c>
      <c r="D544" s="93">
        <v>45758</v>
      </c>
      <c r="E544" s="37" t="s">
        <v>833</v>
      </c>
      <c r="F544" s="100">
        <f t="shared" si="47"/>
        <v>6.2499999985448085E-3</v>
      </c>
      <c r="G544" s="37" t="s">
        <v>9</v>
      </c>
      <c r="H544" s="94" t="s">
        <v>834</v>
      </c>
    </row>
    <row r="545" spans="1:8">
      <c r="A545" s="37" t="s">
        <v>211</v>
      </c>
      <c r="B545" s="93">
        <v>45758</v>
      </c>
      <c r="C545" s="37" t="s">
        <v>833</v>
      </c>
      <c r="D545" s="93">
        <v>45762</v>
      </c>
      <c r="E545" s="37" t="s">
        <v>347</v>
      </c>
      <c r="F545" s="100">
        <f t="shared" si="47"/>
        <v>3.5826388888890506</v>
      </c>
    </row>
    <row r="546" spans="1:8">
      <c r="A546" s="37" t="s">
        <v>234</v>
      </c>
      <c r="B546" s="93">
        <v>45758</v>
      </c>
      <c r="C546" s="37" t="s">
        <v>835</v>
      </c>
      <c r="D546" s="93">
        <v>45758</v>
      </c>
      <c r="E546" s="37" t="s">
        <v>571</v>
      </c>
      <c r="F546" s="100">
        <f t="shared" ref="F546:F555" si="48">(D546 + TIME(LEFT(E546, 2), MID(E546, 3, 2), 0)) - (B546 + TIME(LEFT(C546, 2), MID(C546, 3, 2), 0))</f>
        <v>5.694444444088731E-2</v>
      </c>
    </row>
    <row r="547" spans="1:8">
      <c r="A547" s="37" t="s">
        <v>189</v>
      </c>
      <c r="B547" s="93">
        <v>45758</v>
      </c>
      <c r="C547" s="37" t="s">
        <v>444</v>
      </c>
      <c r="D547" s="93">
        <v>45758</v>
      </c>
      <c r="E547" s="37" t="s">
        <v>836</v>
      </c>
      <c r="F547" s="100">
        <f t="shared" si="48"/>
        <v>0.19444444444525288</v>
      </c>
      <c r="H547" s="94" t="s">
        <v>837</v>
      </c>
    </row>
    <row r="548" spans="1:8">
      <c r="A548" s="37" t="s">
        <v>199</v>
      </c>
      <c r="B548" s="93">
        <v>45758</v>
      </c>
      <c r="C548" s="37" t="s">
        <v>838</v>
      </c>
      <c r="D548" s="93">
        <v>45758</v>
      </c>
      <c r="E548" s="37" t="s">
        <v>297</v>
      </c>
      <c r="F548" s="100">
        <f t="shared" si="48"/>
        <v>0.13611111111094942</v>
      </c>
    </row>
    <row r="549" spans="1:8">
      <c r="A549" s="37" t="s">
        <v>202</v>
      </c>
      <c r="B549" s="93">
        <v>45758</v>
      </c>
      <c r="C549" s="37" t="s">
        <v>838</v>
      </c>
      <c r="D549" s="93">
        <v>45758</v>
      </c>
      <c r="E549" s="37" t="s">
        <v>297</v>
      </c>
      <c r="F549" s="100">
        <f t="shared" si="48"/>
        <v>0.13611111111094942</v>
      </c>
    </row>
    <row r="550" spans="1:8">
      <c r="A550" s="37" t="s">
        <v>217</v>
      </c>
      <c r="B550" s="93">
        <v>45758</v>
      </c>
      <c r="C550" s="37" t="s">
        <v>212</v>
      </c>
      <c r="D550" s="93">
        <v>45759</v>
      </c>
      <c r="E550" s="37" t="s">
        <v>213</v>
      </c>
      <c r="F550" s="100">
        <f t="shared" si="48"/>
        <v>0.50069444443943212</v>
      </c>
    </row>
    <row r="551" spans="1:8">
      <c r="A551" s="37" t="s">
        <v>236</v>
      </c>
      <c r="B551" s="93">
        <v>45758</v>
      </c>
      <c r="C551" s="37" t="s">
        <v>839</v>
      </c>
      <c r="D551" s="93">
        <v>45758</v>
      </c>
      <c r="E551" s="37" t="s">
        <v>197</v>
      </c>
      <c r="F551" s="100">
        <f t="shared" si="48"/>
        <v>3.8194444437976927E-2</v>
      </c>
    </row>
    <row r="552" spans="1:8">
      <c r="A552" s="37" t="s">
        <v>239</v>
      </c>
      <c r="B552" s="93">
        <v>45758</v>
      </c>
      <c r="C552" s="37" t="s">
        <v>756</v>
      </c>
      <c r="D552" s="93">
        <v>45758</v>
      </c>
      <c r="E552" s="23" t="s">
        <v>285</v>
      </c>
      <c r="F552" s="100">
        <f t="shared" si="48"/>
        <v>3.9583333331393078E-2</v>
      </c>
    </row>
    <row r="553" spans="1:8">
      <c r="A553" s="37" t="s">
        <v>226</v>
      </c>
      <c r="B553" s="93">
        <v>45758</v>
      </c>
      <c r="C553" s="37" t="s">
        <v>420</v>
      </c>
      <c r="D553" s="93">
        <v>45758</v>
      </c>
      <c r="E553" s="37" t="s">
        <v>397</v>
      </c>
      <c r="F553" s="100">
        <f t="shared" si="48"/>
        <v>5.6944444448163267E-2</v>
      </c>
    </row>
    <row r="554" spans="1:8">
      <c r="A554" s="37" t="s">
        <v>245</v>
      </c>
      <c r="B554" s="93">
        <v>45758</v>
      </c>
      <c r="C554" s="37" t="s">
        <v>420</v>
      </c>
      <c r="D554" s="93">
        <v>45758</v>
      </c>
      <c r="E554" s="23" t="s">
        <v>278</v>
      </c>
      <c r="F554" s="100">
        <f t="shared" si="48"/>
        <v>4.0277777778101154E-2</v>
      </c>
    </row>
    <row r="555" spans="1:8">
      <c r="A555" s="37" t="s">
        <v>229</v>
      </c>
      <c r="B555" s="93">
        <v>45758</v>
      </c>
      <c r="C555" s="37" t="s">
        <v>535</v>
      </c>
      <c r="D555" s="93">
        <v>45758</v>
      </c>
      <c r="E555" s="23" t="s">
        <v>840</v>
      </c>
      <c r="F555" s="100">
        <f t="shared" si="48"/>
        <v>5.9722222227719612E-2</v>
      </c>
    </row>
    <row r="556" spans="1:8">
      <c r="A556" s="37" t="s">
        <v>205</v>
      </c>
      <c r="B556" s="93">
        <v>45758</v>
      </c>
      <c r="C556" s="37" t="s">
        <v>841</v>
      </c>
      <c r="D556" s="93">
        <v>45768</v>
      </c>
      <c r="E556" s="37" t="s">
        <v>509</v>
      </c>
      <c r="F556" s="100">
        <f>(D556 + TIME(LEFT(E556, 2), MID(E556, 3, 2), 0)) - (B556 + TIME(LEFT(C556, 2), MID(C556, 3, 2), 0))</f>
        <v>9.8041666666686069</v>
      </c>
      <c r="G556" s="37" t="s">
        <v>9</v>
      </c>
    </row>
    <row r="557" spans="1:8">
      <c r="A557" s="37" t="s">
        <v>232</v>
      </c>
      <c r="B557" s="93">
        <v>45758</v>
      </c>
      <c r="C557" s="37" t="s">
        <v>425</v>
      </c>
      <c r="D557" s="93">
        <v>45758</v>
      </c>
      <c r="E557" s="37" t="s">
        <v>842</v>
      </c>
      <c r="F557" s="100">
        <f t="shared" ref="F557:F565" si="49">(D557 + TIME(LEFT(E557, 2), MID(E557, 3, 2), 0)) - (B557 + TIME(LEFT(C557, 2), MID(C557, 3, 2), 0))</f>
        <v>9.9999999998544808E-2</v>
      </c>
    </row>
    <row r="558" spans="1:8">
      <c r="A558" s="37" t="s">
        <v>335</v>
      </c>
      <c r="B558" s="93">
        <v>45758</v>
      </c>
      <c r="C558" s="23" t="s">
        <v>639</v>
      </c>
      <c r="D558" s="93">
        <v>45758</v>
      </c>
      <c r="E558" s="23" t="s">
        <v>843</v>
      </c>
      <c r="F558" s="100">
        <f t="shared" si="49"/>
        <v>5.3472222221898846E-2</v>
      </c>
      <c r="G558" s="37" t="s">
        <v>9</v>
      </c>
      <c r="H558" s="94" t="s">
        <v>844</v>
      </c>
    </row>
    <row r="559" spans="1:8">
      <c r="A559" s="37" t="s">
        <v>234</v>
      </c>
      <c r="B559" s="93">
        <v>45758</v>
      </c>
      <c r="C559" s="37" t="s">
        <v>845</v>
      </c>
      <c r="D559" s="93">
        <v>45758</v>
      </c>
      <c r="E559" s="23" t="s">
        <v>413</v>
      </c>
      <c r="F559" s="100">
        <f t="shared" si="49"/>
        <v>3.125E-2</v>
      </c>
    </row>
    <row r="560" spans="1:8">
      <c r="A560" s="37" t="s">
        <v>245</v>
      </c>
      <c r="B560" s="93">
        <v>45758</v>
      </c>
      <c r="C560" s="37" t="s">
        <v>846</v>
      </c>
      <c r="D560" s="93">
        <v>45758</v>
      </c>
      <c r="E560" s="37" t="s">
        <v>847</v>
      </c>
      <c r="F560" s="100">
        <f t="shared" si="49"/>
        <v>7.0833333331393078E-2</v>
      </c>
    </row>
    <row r="561" spans="1:8">
      <c r="A561" s="37" t="s">
        <v>226</v>
      </c>
      <c r="B561" s="93">
        <v>45758</v>
      </c>
      <c r="C561" s="37" t="s">
        <v>846</v>
      </c>
      <c r="D561" s="93">
        <v>45758</v>
      </c>
      <c r="E561" s="37" t="s">
        <v>847</v>
      </c>
      <c r="F561" s="100">
        <f t="shared" si="49"/>
        <v>7.0833333331393078E-2</v>
      </c>
    </row>
    <row r="562" spans="1:8">
      <c r="A562" s="37" t="s">
        <v>239</v>
      </c>
      <c r="B562" s="93">
        <v>45758</v>
      </c>
      <c r="C562" s="37" t="s">
        <v>846</v>
      </c>
      <c r="D562" s="93">
        <v>45758</v>
      </c>
      <c r="E562" s="37" t="s">
        <v>337</v>
      </c>
      <c r="F562" s="100">
        <f t="shared" si="49"/>
        <v>6.7361111105128657E-2</v>
      </c>
    </row>
    <row r="563" spans="1:8">
      <c r="A563" s="37" t="s">
        <v>229</v>
      </c>
      <c r="B563" s="93">
        <v>45758</v>
      </c>
      <c r="C563" s="37" t="s">
        <v>287</v>
      </c>
      <c r="D563" s="93">
        <v>45758</v>
      </c>
      <c r="E563" s="37" t="s">
        <v>672</v>
      </c>
      <c r="F563" s="100">
        <f t="shared" si="49"/>
        <v>7.0138888884685002E-2</v>
      </c>
    </row>
    <row r="564" spans="1:8">
      <c r="A564" s="37" t="s">
        <v>236</v>
      </c>
      <c r="B564" s="93">
        <v>45758</v>
      </c>
      <c r="C564" s="23" t="s">
        <v>848</v>
      </c>
      <c r="D564" s="93">
        <v>45758</v>
      </c>
      <c r="E564" s="37" t="s">
        <v>842</v>
      </c>
      <c r="F564" s="100">
        <f t="shared" si="49"/>
        <v>7.6388888919609599E-3</v>
      </c>
    </row>
    <row r="565" spans="1:8" ht="27.6">
      <c r="A565" s="37" t="s">
        <v>335</v>
      </c>
      <c r="B565" s="93">
        <v>45758</v>
      </c>
      <c r="C565" s="23" t="s">
        <v>843</v>
      </c>
      <c r="D565" s="93">
        <v>45758</v>
      </c>
      <c r="E565" s="37" t="s">
        <v>848</v>
      </c>
      <c r="F565" s="100">
        <f t="shared" si="49"/>
        <v>2.7777777773735579E-2</v>
      </c>
      <c r="H565" s="457" t="s">
        <v>849</v>
      </c>
    </row>
    <row r="566" spans="1:8">
      <c r="A566" s="37" t="s">
        <v>189</v>
      </c>
      <c r="B566" s="93">
        <v>45758</v>
      </c>
      <c r="C566" s="37" t="s">
        <v>836</v>
      </c>
      <c r="D566" s="93">
        <v>45760</v>
      </c>
      <c r="E566" s="37" t="s">
        <v>850</v>
      </c>
      <c r="F566" s="100">
        <f>(D566 + TIME(LEFT(E566, 2), MID(E566, 3, 2), 0)) - (B566 + TIME(LEFT(C566, 2), MID(C566, 3, 2), 0))</f>
        <v>2.0111111111109494</v>
      </c>
      <c r="H566" s="23" t="s">
        <v>851</v>
      </c>
    </row>
    <row r="567" spans="1:8">
      <c r="A567" s="37" t="s">
        <v>391</v>
      </c>
      <c r="B567" s="93">
        <v>45758</v>
      </c>
      <c r="C567" s="37" t="s">
        <v>852</v>
      </c>
      <c r="D567" s="93">
        <v>45758</v>
      </c>
      <c r="E567" s="37" t="s">
        <v>337</v>
      </c>
      <c r="F567" s="100">
        <f>(D567 + TIME(LEFT(E567, 2), MID(E567, 3, 2), 0)) - (B567 + TIME(LEFT(C567, 2), MID(C567, 3, 2), 0))</f>
        <v>5.5555555554747116E-2</v>
      </c>
    </row>
    <row r="568" spans="1:8">
      <c r="A568" s="37" t="s">
        <v>220</v>
      </c>
      <c r="B568" s="93">
        <v>45758</v>
      </c>
      <c r="C568" s="37" t="s">
        <v>348</v>
      </c>
      <c r="D568" s="93">
        <v>45762</v>
      </c>
      <c r="E568" s="37" t="s">
        <v>347</v>
      </c>
      <c r="F568" s="100">
        <f>(D568 + TIME(LEFT(E568, 2), MID(E568, 3, 2), 0)) - (B568 + TIME(LEFT(C568, 2), MID(C568, 3, 2), 0))</f>
        <v>3.2354166666627862</v>
      </c>
    </row>
    <row r="569" spans="1:8">
      <c r="A569" s="37" t="s">
        <v>232</v>
      </c>
      <c r="B569" s="93">
        <v>45759</v>
      </c>
      <c r="C569" s="37" t="s">
        <v>813</v>
      </c>
      <c r="D569" s="93">
        <v>45759</v>
      </c>
      <c r="E569" s="37" t="s">
        <v>853</v>
      </c>
      <c r="F569" s="100">
        <f t="shared" ref="F569:F593" si="50">(D569 + TIME(LEFT(E569, 2), MID(E569, 3, 2), 0)) - (B569 + TIME(LEFT(C569, 2), MID(C569, 3, 2), 0))</f>
        <v>4.8611111124046147E-3</v>
      </c>
    </row>
    <row r="570" spans="1:8">
      <c r="A570" s="37" t="s">
        <v>239</v>
      </c>
      <c r="B570" s="93">
        <v>45759</v>
      </c>
      <c r="C570" s="37" t="s">
        <v>813</v>
      </c>
      <c r="D570" s="93">
        <v>45759</v>
      </c>
      <c r="E570" s="37" t="s">
        <v>443</v>
      </c>
      <c r="F570" s="100">
        <f t="shared" si="50"/>
        <v>6.6666666665696539E-2</v>
      </c>
    </row>
    <row r="571" spans="1:8">
      <c r="A571" s="37" t="s">
        <v>234</v>
      </c>
      <c r="B571" s="93">
        <v>45759</v>
      </c>
      <c r="C571" s="37" t="s">
        <v>813</v>
      </c>
      <c r="D571" s="93">
        <v>45759</v>
      </c>
      <c r="E571" s="37" t="s">
        <v>308</v>
      </c>
      <c r="F571" s="100">
        <f t="shared" si="50"/>
        <v>1.6666666670062114E-2</v>
      </c>
    </row>
    <row r="572" spans="1:8">
      <c r="A572" s="37" t="s">
        <v>236</v>
      </c>
      <c r="B572" s="93">
        <v>45759</v>
      </c>
      <c r="C572" s="37" t="s">
        <v>813</v>
      </c>
      <c r="D572" s="93">
        <v>45759</v>
      </c>
      <c r="E572" s="37" t="s">
        <v>594</v>
      </c>
      <c r="F572" s="100">
        <f t="shared" si="50"/>
        <v>5.9722222220443655E-2</v>
      </c>
    </row>
    <row r="573" spans="1:8">
      <c r="A573" s="37" t="s">
        <v>234</v>
      </c>
      <c r="B573" s="93">
        <v>45759</v>
      </c>
      <c r="C573" s="37" t="s">
        <v>854</v>
      </c>
      <c r="D573" s="93">
        <v>45759</v>
      </c>
      <c r="E573" s="37" t="s">
        <v>855</v>
      </c>
      <c r="F573" s="100">
        <f t="shared" si="50"/>
        <v>3.4722222226264421E-2</v>
      </c>
    </row>
    <row r="574" spans="1:8">
      <c r="A574" s="37" t="s">
        <v>183</v>
      </c>
      <c r="B574" s="93">
        <v>45759</v>
      </c>
      <c r="C574" s="37" t="s">
        <v>437</v>
      </c>
      <c r="D574" s="93">
        <v>45760</v>
      </c>
      <c r="E574" s="37" t="s">
        <v>856</v>
      </c>
      <c r="F574" s="100">
        <f t="shared" si="50"/>
        <v>0.8243055555576575</v>
      </c>
    </row>
    <row r="575" spans="1:8">
      <c r="A575" s="37" t="s">
        <v>245</v>
      </c>
      <c r="B575" s="93">
        <v>45759</v>
      </c>
      <c r="C575" s="37" t="s">
        <v>857</v>
      </c>
      <c r="D575" s="93">
        <v>45759</v>
      </c>
      <c r="E575" s="37" t="s">
        <v>858</v>
      </c>
      <c r="F575" s="100">
        <f t="shared" si="50"/>
        <v>7.0138888884685002E-2</v>
      </c>
    </row>
    <row r="576" spans="1:8">
      <c r="A576" s="37" t="s">
        <v>177</v>
      </c>
      <c r="B576" s="93">
        <v>45759</v>
      </c>
      <c r="C576" s="37" t="s">
        <v>293</v>
      </c>
      <c r="D576" s="93">
        <v>45759</v>
      </c>
      <c r="E576" s="37" t="s">
        <v>678</v>
      </c>
      <c r="F576" s="100">
        <f t="shared" si="50"/>
        <v>3.8194444445252884E-2</v>
      </c>
    </row>
    <row r="577" spans="1:8">
      <c r="A577" s="37" t="s">
        <v>226</v>
      </c>
      <c r="B577" s="93">
        <v>45759</v>
      </c>
      <c r="C577" s="37" t="s">
        <v>355</v>
      </c>
      <c r="D577" s="93">
        <v>45759</v>
      </c>
      <c r="E577" s="37" t="s">
        <v>859</v>
      </c>
      <c r="F577" s="100">
        <f t="shared" si="50"/>
        <v>6.5277777779556345E-2</v>
      </c>
    </row>
    <row r="578" spans="1:8">
      <c r="A578" s="37" t="s">
        <v>229</v>
      </c>
      <c r="B578" s="93">
        <v>45759</v>
      </c>
      <c r="C578" s="37" t="s">
        <v>732</v>
      </c>
      <c r="D578" s="93">
        <v>45759</v>
      </c>
      <c r="E578" s="37" t="s">
        <v>860</v>
      </c>
      <c r="F578" s="100">
        <f t="shared" si="50"/>
        <v>5.9027777773735579E-2</v>
      </c>
    </row>
    <row r="579" spans="1:8">
      <c r="A579" s="37" t="s">
        <v>225</v>
      </c>
      <c r="B579" s="93">
        <v>45759</v>
      </c>
      <c r="C579" s="37" t="s">
        <v>218</v>
      </c>
      <c r="D579" s="93">
        <v>45759</v>
      </c>
      <c r="E579" s="37" t="s">
        <v>222</v>
      </c>
      <c r="F579" s="100">
        <f t="shared" si="50"/>
        <v>0.50069444443943212</v>
      </c>
    </row>
    <row r="580" spans="1:8">
      <c r="A580" s="37" t="s">
        <v>177</v>
      </c>
      <c r="B580" s="93">
        <v>45759</v>
      </c>
      <c r="C580" s="37" t="s">
        <v>678</v>
      </c>
      <c r="D580" s="93">
        <v>45759</v>
      </c>
      <c r="E580" s="37" t="s">
        <v>470</v>
      </c>
      <c r="F580" s="100">
        <f t="shared" si="50"/>
        <v>9.7916666665696539E-2</v>
      </c>
      <c r="G580" s="37" t="s">
        <v>9</v>
      </c>
    </row>
    <row r="581" spans="1:8">
      <c r="A581" s="37" t="s">
        <v>232</v>
      </c>
      <c r="B581" s="93">
        <v>45759</v>
      </c>
      <c r="C581" s="37" t="s">
        <v>540</v>
      </c>
      <c r="D581" s="93">
        <v>45759</v>
      </c>
      <c r="E581" s="37" t="s">
        <v>596</v>
      </c>
      <c r="F581" s="100">
        <f t="shared" si="50"/>
        <v>1.1111111110949423E-2</v>
      </c>
    </row>
    <row r="582" spans="1:8">
      <c r="A582" s="37" t="s">
        <v>186</v>
      </c>
      <c r="B582" s="93">
        <v>45759</v>
      </c>
      <c r="C582" s="37" t="s">
        <v>517</v>
      </c>
      <c r="D582" s="93">
        <v>45760</v>
      </c>
      <c r="E582" s="37" t="s">
        <v>861</v>
      </c>
      <c r="F582" s="100">
        <f t="shared" si="50"/>
        <v>0.76388888888322981</v>
      </c>
    </row>
    <row r="583" spans="1:8">
      <c r="A583" s="37" t="s">
        <v>242</v>
      </c>
      <c r="B583" s="93">
        <v>45759</v>
      </c>
      <c r="C583" s="37" t="s">
        <v>862</v>
      </c>
      <c r="D583" s="93">
        <v>45759</v>
      </c>
      <c r="E583" s="37" t="s">
        <v>470</v>
      </c>
      <c r="F583" s="100">
        <f t="shared" si="50"/>
        <v>5.2083333335758653E-2</v>
      </c>
    </row>
    <row r="584" spans="1:8">
      <c r="A584" s="37" t="s">
        <v>234</v>
      </c>
      <c r="B584" s="93">
        <v>45759</v>
      </c>
      <c r="C584" s="37" t="s">
        <v>255</v>
      </c>
      <c r="D584" s="93">
        <v>45759</v>
      </c>
      <c r="E584" s="37" t="s">
        <v>825</v>
      </c>
      <c r="F584" s="100">
        <f t="shared" si="50"/>
        <v>4.6527777776645962E-2</v>
      </c>
    </row>
    <row r="585" spans="1:8">
      <c r="A585" s="37" t="s">
        <v>236</v>
      </c>
      <c r="B585" s="93">
        <v>45759</v>
      </c>
      <c r="C585" s="37" t="s">
        <v>863</v>
      </c>
      <c r="D585" s="93">
        <v>45759</v>
      </c>
      <c r="E585" s="37" t="s">
        <v>267</v>
      </c>
      <c r="F585" s="100">
        <f t="shared" si="50"/>
        <v>6.8749999998544808E-2</v>
      </c>
    </row>
    <row r="586" spans="1:8">
      <c r="A586" s="37" t="s">
        <v>239</v>
      </c>
      <c r="B586" s="93">
        <v>45759</v>
      </c>
      <c r="C586" s="37" t="s">
        <v>461</v>
      </c>
      <c r="D586" s="93">
        <v>45759</v>
      </c>
      <c r="E586" s="37" t="s">
        <v>864</v>
      </c>
      <c r="F586" s="100">
        <f t="shared" si="50"/>
        <v>7.2916666664241347E-2</v>
      </c>
    </row>
    <row r="587" spans="1:8">
      <c r="A587" s="37" t="s">
        <v>248</v>
      </c>
      <c r="B587" s="93">
        <v>45759</v>
      </c>
      <c r="C587" s="37" t="s">
        <v>865</v>
      </c>
      <c r="D587" s="93">
        <v>45760</v>
      </c>
      <c r="E587" s="37" t="s">
        <v>866</v>
      </c>
      <c r="F587" s="100">
        <f t="shared" si="50"/>
        <v>0.84236111111385981</v>
      </c>
    </row>
    <row r="588" spans="1:8">
      <c r="A588" s="37" t="s">
        <v>245</v>
      </c>
      <c r="B588" s="93">
        <v>45759</v>
      </c>
      <c r="C588" s="37" t="s">
        <v>656</v>
      </c>
      <c r="D588" s="93">
        <v>45759</v>
      </c>
      <c r="E588" s="37" t="s">
        <v>867</v>
      </c>
      <c r="F588" s="100">
        <f t="shared" si="50"/>
        <v>6.1111111106583849E-2</v>
      </c>
    </row>
    <row r="589" spans="1:8">
      <c r="A589" s="37" t="s">
        <v>226</v>
      </c>
      <c r="B589" s="93">
        <v>45759</v>
      </c>
      <c r="C589" s="37" t="s">
        <v>472</v>
      </c>
      <c r="D589" s="93">
        <v>45759</v>
      </c>
      <c r="E589" s="37" t="s">
        <v>868</v>
      </c>
      <c r="F589" s="100">
        <f t="shared" si="50"/>
        <v>0.13472222222480923</v>
      </c>
    </row>
    <row r="590" spans="1:8" ht="27.6">
      <c r="A590" s="37" t="s">
        <v>242</v>
      </c>
      <c r="B590" s="93">
        <v>45759</v>
      </c>
      <c r="C590" s="37" t="s">
        <v>470</v>
      </c>
      <c r="D590" s="93">
        <v>45759</v>
      </c>
      <c r="E590" s="37" t="s">
        <v>869</v>
      </c>
      <c r="F590" s="100">
        <f t="shared" si="50"/>
        <v>2.3611111115314998E-2</v>
      </c>
      <c r="G590" s="37" t="s">
        <v>9</v>
      </c>
      <c r="H590" s="457" t="s">
        <v>870</v>
      </c>
    </row>
    <row r="591" spans="1:8">
      <c r="A591" s="37" t="s">
        <v>177</v>
      </c>
      <c r="B591" s="93">
        <v>45759</v>
      </c>
      <c r="C591" s="37" t="s">
        <v>470</v>
      </c>
      <c r="D591" s="93">
        <v>45759</v>
      </c>
      <c r="E591" s="37" t="s">
        <v>477</v>
      </c>
      <c r="F591" s="100">
        <f t="shared" si="50"/>
        <v>9.6527777779556345E-2</v>
      </c>
      <c r="H591" s="94" t="s">
        <v>871</v>
      </c>
    </row>
    <row r="592" spans="1:8">
      <c r="A592" s="37" t="s">
        <v>335</v>
      </c>
      <c r="B592" s="93">
        <v>45759</v>
      </c>
      <c r="C592" s="37" t="s">
        <v>872</v>
      </c>
      <c r="D592" s="93">
        <v>45759</v>
      </c>
      <c r="E592" s="37" t="s">
        <v>583</v>
      </c>
      <c r="F592" s="100">
        <f t="shared" si="50"/>
        <v>0.55972222222044365</v>
      </c>
    </row>
    <row r="593" spans="1:8">
      <c r="A593" s="37" t="s">
        <v>242</v>
      </c>
      <c r="B593" s="93">
        <v>45759</v>
      </c>
      <c r="C593" s="37" t="s">
        <v>747</v>
      </c>
      <c r="D593" s="93">
        <v>45759</v>
      </c>
      <c r="E593" s="37" t="s">
        <v>873</v>
      </c>
      <c r="F593" s="100">
        <f t="shared" si="50"/>
        <v>0.58263888888905058</v>
      </c>
    </row>
    <row r="594" spans="1:8" ht="27.6">
      <c r="A594" s="37" t="s">
        <v>192</v>
      </c>
      <c r="B594" s="93">
        <v>45759</v>
      </c>
      <c r="C594" s="37" t="s">
        <v>367</v>
      </c>
      <c r="D594" s="93">
        <v>45761</v>
      </c>
      <c r="E594" s="37" t="s">
        <v>771</v>
      </c>
      <c r="F594" s="100">
        <f>(D594 + TIME(LEFT(E594, 2), MID(E594, 3, 2), 0)) - (B594 + TIME(LEFT(C594, 2), MID(C594, 3, 2), 0))</f>
        <v>2.5124999999970896</v>
      </c>
      <c r="G594" s="37" t="s">
        <v>9</v>
      </c>
      <c r="H594" s="457" t="s">
        <v>874</v>
      </c>
    </row>
    <row r="595" spans="1:8">
      <c r="A595" s="37" t="s">
        <v>199</v>
      </c>
      <c r="B595" s="93">
        <v>45759</v>
      </c>
      <c r="C595" s="37" t="s">
        <v>875</v>
      </c>
      <c r="D595" s="93">
        <v>45760</v>
      </c>
      <c r="E595" s="37" t="s">
        <v>299</v>
      </c>
      <c r="F595" s="100">
        <f t="shared" ref="F595:F620" si="51">(D595 + TIME(LEFT(E595, 2), MID(E595, 3, 2), 0)) - (B595 + TIME(LEFT(C595, 2), MID(C595, 3, 2), 0))</f>
        <v>1.5041666666656965</v>
      </c>
    </row>
    <row r="596" spans="1:8">
      <c r="A596" s="37" t="s">
        <v>202</v>
      </c>
      <c r="B596" s="93">
        <v>45759</v>
      </c>
      <c r="C596" s="37" t="s">
        <v>876</v>
      </c>
      <c r="D596" s="93">
        <v>45760</v>
      </c>
      <c r="E596" s="37" t="s">
        <v>636</v>
      </c>
      <c r="F596" s="100">
        <f t="shared" si="51"/>
        <v>1.3520833333313931</v>
      </c>
    </row>
    <row r="597" spans="1:8">
      <c r="A597" s="37" t="s">
        <v>229</v>
      </c>
      <c r="B597" s="93">
        <v>45759</v>
      </c>
      <c r="C597" s="37" t="s">
        <v>877</v>
      </c>
      <c r="D597" s="93">
        <v>45759</v>
      </c>
      <c r="E597" s="37" t="s">
        <v>734</v>
      </c>
      <c r="F597" s="100">
        <f t="shared" si="51"/>
        <v>4.3749999997089617E-2</v>
      </c>
    </row>
    <row r="598" spans="1:8">
      <c r="A598" s="37" t="s">
        <v>232</v>
      </c>
      <c r="B598" s="93">
        <v>45759</v>
      </c>
      <c r="C598" s="37" t="s">
        <v>613</v>
      </c>
      <c r="D598" s="93">
        <v>45759</v>
      </c>
      <c r="E598" s="37" t="s">
        <v>833</v>
      </c>
      <c r="F598" s="100">
        <f t="shared" si="51"/>
        <v>7.4999999997089617E-2</v>
      </c>
    </row>
    <row r="599" spans="1:8">
      <c r="A599" s="37" t="s">
        <v>234</v>
      </c>
      <c r="B599" s="93">
        <v>45759</v>
      </c>
      <c r="C599" s="37" t="s">
        <v>878</v>
      </c>
      <c r="D599" s="93">
        <v>45759</v>
      </c>
      <c r="E599" s="37" t="s">
        <v>879</v>
      </c>
      <c r="F599" s="100">
        <f t="shared" si="51"/>
        <v>6.6666666665696539E-2</v>
      </c>
    </row>
    <row r="600" spans="1:8">
      <c r="A600" s="37" t="s">
        <v>236</v>
      </c>
      <c r="B600" s="93">
        <v>45759</v>
      </c>
      <c r="C600" s="37" t="s">
        <v>620</v>
      </c>
      <c r="D600" s="93">
        <v>45759</v>
      </c>
      <c r="E600" s="37" t="s">
        <v>512</v>
      </c>
      <c r="F600" s="100">
        <f t="shared" si="51"/>
        <v>5.7638888887595385E-2</v>
      </c>
    </row>
    <row r="601" spans="1:8">
      <c r="A601" s="37" t="s">
        <v>239</v>
      </c>
      <c r="B601" s="93">
        <v>45759</v>
      </c>
      <c r="C601" s="37" t="s">
        <v>619</v>
      </c>
      <c r="D601" s="93">
        <v>45759</v>
      </c>
      <c r="E601" s="37" t="s">
        <v>514</v>
      </c>
      <c r="F601" s="100">
        <f t="shared" si="51"/>
        <v>5.2777777775190771E-2</v>
      </c>
    </row>
    <row r="602" spans="1:8">
      <c r="A602" s="37" t="s">
        <v>245</v>
      </c>
      <c r="B602" s="93">
        <v>45759</v>
      </c>
      <c r="C602" s="37" t="s">
        <v>880</v>
      </c>
      <c r="D602" s="93">
        <v>45759</v>
      </c>
      <c r="E602" s="37" t="s">
        <v>881</v>
      </c>
      <c r="F602" s="100">
        <f t="shared" si="51"/>
        <v>0.12430555555329192</v>
      </c>
    </row>
    <row r="603" spans="1:8">
      <c r="A603" s="37" t="s">
        <v>226</v>
      </c>
      <c r="B603" s="93">
        <v>45759</v>
      </c>
      <c r="C603" s="37" t="s">
        <v>505</v>
      </c>
      <c r="D603" s="93">
        <v>45759</v>
      </c>
      <c r="E603" s="37" t="s">
        <v>571</v>
      </c>
      <c r="F603" s="100">
        <f t="shared" si="51"/>
        <v>0.12430555555329192</v>
      </c>
    </row>
    <row r="604" spans="1:8">
      <c r="A604" s="37" t="s">
        <v>164</v>
      </c>
      <c r="B604" s="93">
        <v>45759</v>
      </c>
      <c r="C604" s="37" t="s">
        <v>696</v>
      </c>
      <c r="D604" s="93">
        <v>45759</v>
      </c>
      <c r="E604" s="37" t="s">
        <v>516</v>
      </c>
      <c r="F604" s="100">
        <f t="shared" si="51"/>
        <v>1.2499999997089617E-2</v>
      </c>
    </row>
    <row r="605" spans="1:8">
      <c r="A605" s="37" t="s">
        <v>229</v>
      </c>
      <c r="B605" s="93">
        <v>45759</v>
      </c>
      <c r="C605" s="37" t="s">
        <v>882</v>
      </c>
      <c r="D605" s="93">
        <v>45759</v>
      </c>
      <c r="E605" s="37" t="s">
        <v>793</v>
      </c>
      <c r="F605" s="100">
        <f t="shared" si="51"/>
        <v>0.12986111111240461</v>
      </c>
    </row>
    <row r="606" spans="1:8">
      <c r="A606" s="37" t="s">
        <v>232</v>
      </c>
      <c r="B606" s="93">
        <v>45759</v>
      </c>
      <c r="C606" s="37" t="s">
        <v>694</v>
      </c>
      <c r="D606" s="93">
        <v>45759</v>
      </c>
      <c r="E606" s="37" t="s">
        <v>802</v>
      </c>
      <c r="F606" s="100">
        <f t="shared" si="51"/>
        <v>1.0416666664241347E-2</v>
      </c>
    </row>
    <row r="607" spans="1:8">
      <c r="A607" s="37" t="s">
        <v>232</v>
      </c>
      <c r="B607" s="93">
        <v>45759</v>
      </c>
      <c r="C607" s="37" t="s">
        <v>883</v>
      </c>
      <c r="D607" s="93">
        <v>45759</v>
      </c>
      <c r="E607" s="37" t="s">
        <v>884</v>
      </c>
      <c r="F607" s="100">
        <f t="shared" si="51"/>
        <v>4.7916666662786156E-2</v>
      </c>
    </row>
    <row r="608" spans="1:8">
      <c r="A608" s="37" t="s">
        <v>177</v>
      </c>
      <c r="B608" s="93">
        <v>45759</v>
      </c>
      <c r="C608" s="37" t="s">
        <v>885</v>
      </c>
      <c r="D608" s="93">
        <v>45759</v>
      </c>
      <c r="E608" s="37" t="s">
        <v>343</v>
      </c>
      <c r="F608" s="100">
        <f t="shared" si="51"/>
        <v>1.4583333329937886E-2</v>
      </c>
      <c r="H608" s="94" t="s">
        <v>354</v>
      </c>
    </row>
    <row r="609" spans="1:6">
      <c r="A609" s="37" t="s">
        <v>234</v>
      </c>
      <c r="B609" s="93">
        <v>45759</v>
      </c>
      <c r="C609" s="37" t="s">
        <v>886</v>
      </c>
      <c r="D609" s="93">
        <v>45759</v>
      </c>
      <c r="E609" s="37" t="s">
        <v>887</v>
      </c>
      <c r="F609" s="100">
        <f t="shared" si="51"/>
        <v>5.5555555554747116E-2</v>
      </c>
    </row>
    <row r="610" spans="1:6">
      <c r="A610" s="37" t="s">
        <v>236</v>
      </c>
      <c r="B610" s="93">
        <v>45759</v>
      </c>
      <c r="C610" s="37" t="s">
        <v>888</v>
      </c>
      <c r="D610" s="93">
        <v>45759</v>
      </c>
      <c r="E610" s="37" t="s">
        <v>889</v>
      </c>
      <c r="F610" s="100">
        <f t="shared" si="51"/>
        <v>6.1111111106583849E-2</v>
      </c>
    </row>
    <row r="611" spans="1:6">
      <c r="A611" s="37" t="s">
        <v>164</v>
      </c>
      <c r="B611" s="93">
        <v>45759</v>
      </c>
      <c r="C611" s="37" t="s">
        <v>341</v>
      </c>
      <c r="D611" s="93">
        <v>45759</v>
      </c>
      <c r="E611" s="37" t="s">
        <v>852</v>
      </c>
      <c r="F611" s="100">
        <f t="shared" si="51"/>
        <v>7.4305555550381541E-2</v>
      </c>
    </row>
    <row r="612" spans="1:6">
      <c r="A612" s="37" t="s">
        <v>245</v>
      </c>
      <c r="B612" s="93">
        <v>45759</v>
      </c>
      <c r="C612" s="37" t="s">
        <v>636</v>
      </c>
      <c r="D612" s="93">
        <v>45759</v>
      </c>
      <c r="E612" s="37" t="s">
        <v>836</v>
      </c>
      <c r="F612" s="100">
        <f t="shared" si="51"/>
        <v>8.8194444448163267E-2</v>
      </c>
    </row>
    <row r="613" spans="1:6">
      <c r="A613" s="37" t="s">
        <v>217</v>
      </c>
      <c r="B613" s="93">
        <v>45759</v>
      </c>
      <c r="C613" s="37" t="s">
        <v>212</v>
      </c>
      <c r="D613" s="93">
        <v>45760</v>
      </c>
      <c r="E613" s="37" t="s">
        <v>213</v>
      </c>
      <c r="F613" s="100">
        <f t="shared" si="51"/>
        <v>0.50069444443943212</v>
      </c>
    </row>
    <row r="614" spans="1:6">
      <c r="A614" s="37" t="s">
        <v>177</v>
      </c>
      <c r="B614" s="93">
        <v>45759</v>
      </c>
      <c r="C614" s="37" t="s">
        <v>890</v>
      </c>
      <c r="D614" s="93">
        <v>45760</v>
      </c>
      <c r="E614" s="37" t="s">
        <v>891</v>
      </c>
      <c r="F614" s="100">
        <f t="shared" si="51"/>
        <v>0.57777777777664596</v>
      </c>
    </row>
    <row r="615" spans="1:6">
      <c r="A615" s="37" t="s">
        <v>229</v>
      </c>
      <c r="B615" s="93">
        <v>45760</v>
      </c>
      <c r="C615" s="37" t="s">
        <v>892</v>
      </c>
      <c r="D615" s="93">
        <v>45760</v>
      </c>
      <c r="E615" s="37" t="s">
        <v>893</v>
      </c>
      <c r="F615" s="100">
        <f t="shared" si="51"/>
        <v>2.9166666667151731E-2</v>
      </c>
    </row>
    <row r="616" spans="1:6">
      <c r="A616" s="37" t="s">
        <v>226</v>
      </c>
      <c r="B616" s="93">
        <v>45760</v>
      </c>
      <c r="C616" s="37" t="s">
        <v>892</v>
      </c>
      <c r="D616" s="93">
        <v>45760</v>
      </c>
      <c r="E616" s="37" t="s">
        <v>894</v>
      </c>
      <c r="F616" s="100">
        <f t="shared" si="51"/>
        <v>2.1527777775190771E-2</v>
      </c>
    </row>
    <row r="617" spans="1:6">
      <c r="A617" s="37" t="s">
        <v>232</v>
      </c>
      <c r="B617" s="93">
        <v>45760</v>
      </c>
      <c r="C617" s="37" t="s">
        <v>861</v>
      </c>
      <c r="D617" s="93">
        <v>45760</v>
      </c>
      <c r="E617" s="37" t="s">
        <v>592</v>
      </c>
      <c r="F617" s="100">
        <f t="shared" si="51"/>
        <v>2.8472222227719612E-2</v>
      </c>
    </row>
    <row r="618" spans="1:6">
      <c r="A618" s="37" t="s">
        <v>180</v>
      </c>
      <c r="B618" s="93">
        <v>45760</v>
      </c>
      <c r="C618" s="37" t="s">
        <v>723</v>
      </c>
      <c r="D618" s="93">
        <v>45760</v>
      </c>
      <c r="E618" s="37" t="s">
        <v>431</v>
      </c>
      <c r="F618" s="100">
        <f t="shared" si="51"/>
        <v>0.74791666666715173</v>
      </c>
    </row>
    <row r="619" spans="1:6">
      <c r="A619" s="37" t="s">
        <v>234</v>
      </c>
      <c r="B619" s="93">
        <v>45760</v>
      </c>
      <c r="C619" s="37" t="s">
        <v>895</v>
      </c>
      <c r="D619" s="93">
        <v>45760</v>
      </c>
      <c r="E619" s="37" t="s">
        <v>735</v>
      </c>
      <c r="F619" s="100">
        <f t="shared" si="51"/>
        <v>7.3611111110949423E-2</v>
      </c>
    </row>
    <row r="620" spans="1:6">
      <c r="A620" s="37" t="s">
        <v>225</v>
      </c>
      <c r="B620" s="93">
        <v>45760</v>
      </c>
      <c r="C620" s="37" t="s">
        <v>218</v>
      </c>
      <c r="D620" s="93">
        <v>45760</v>
      </c>
      <c r="E620" s="37" t="s">
        <v>244</v>
      </c>
      <c r="F620" s="100">
        <f t="shared" si="51"/>
        <v>0.50138888888614019</v>
      </c>
    </row>
    <row r="621" spans="1:6">
      <c r="A621" s="37" t="s">
        <v>183</v>
      </c>
      <c r="B621" s="93">
        <v>45760</v>
      </c>
      <c r="C621" s="37" t="s">
        <v>737</v>
      </c>
      <c r="D621" s="93">
        <v>45761</v>
      </c>
      <c r="E621" s="37" t="s">
        <v>648</v>
      </c>
      <c r="F621" s="100">
        <f>(D621 + TIME(LEFT(E621, 2), MID(E621, 3, 2), 0)) - (B621 + TIME(LEFT(C621, 2), MID(C621, 3, 2), 0))</f>
        <v>0.93263888888759539</v>
      </c>
    </row>
    <row r="622" spans="1:6">
      <c r="A622" s="37" t="s">
        <v>186</v>
      </c>
      <c r="B622" s="93">
        <v>45760</v>
      </c>
      <c r="C622" s="37" t="s">
        <v>686</v>
      </c>
      <c r="D622" s="93">
        <v>45761</v>
      </c>
      <c r="E622" s="37" t="s">
        <v>608</v>
      </c>
      <c r="F622" s="100">
        <f>(D622 + TIME(LEFT(E622, 2), MID(E622, 3, 2), 0)) - (B622 + TIME(LEFT(C622, 2), MID(C622, 3, 2), 0))</f>
        <v>1.6472222222218988</v>
      </c>
    </row>
    <row r="623" spans="1:6">
      <c r="A623" s="37" t="s">
        <v>236</v>
      </c>
      <c r="B623" s="93">
        <v>45760</v>
      </c>
      <c r="C623" s="37" t="s">
        <v>743</v>
      </c>
      <c r="D623" s="93">
        <v>45760</v>
      </c>
      <c r="E623" s="37" t="s">
        <v>782</v>
      </c>
      <c r="F623" s="100">
        <f t="shared" ref="F623:F630" si="52">(D623 + TIME(LEFT(E623, 2), MID(E623, 3, 2), 0)) - (B623 + TIME(LEFT(C623, 2), MID(C623, 3, 2), 0))</f>
        <v>4.3055555557657499E-2</v>
      </c>
    </row>
    <row r="624" spans="1:6">
      <c r="A624" s="37" t="s">
        <v>164</v>
      </c>
      <c r="B624" s="93">
        <v>45760</v>
      </c>
      <c r="C624" s="37" t="s">
        <v>603</v>
      </c>
      <c r="D624" s="93">
        <v>45760</v>
      </c>
      <c r="E624" s="37" t="s">
        <v>269</v>
      </c>
      <c r="F624" s="100">
        <f t="shared" si="52"/>
        <v>5.2083333335758653E-2</v>
      </c>
    </row>
    <row r="625" spans="1:8">
      <c r="A625" s="37" t="s">
        <v>239</v>
      </c>
      <c r="B625" s="93">
        <v>45760</v>
      </c>
      <c r="C625" s="37" t="s">
        <v>783</v>
      </c>
      <c r="D625" s="93">
        <v>45760</v>
      </c>
      <c r="E625" s="37" t="s">
        <v>896</v>
      </c>
      <c r="F625" s="100">
        <f t="shared" si="52"/>
        <v>3.888888889196096E-2</v>
      </c>
    </row>
    <row r="626" spans="1:8">
      <c r="A626" s="37" t="s">
        <v>232</v>
      </c>
      <c r="B626" s="93">
        <v>45760</v>
      </c>
      <c r="C626" s="37" t="s">
        <v>321</v>
      </c>
      <c r="D626" s="93">
        <v>45760</v>
      </c>
      <c r="E626" s="37" t="s">
        <v>559</v>
      </c>
      <c r="F626" s="100">
        <f t="shared" si="52"/>
        <v>1.1805555557657499E-2</v>
      </c>
    </row>
    <row r="627" spans="1:8">
      <c r="A627" s="37" t="s">
        <v>242</v>
      </c>
      <c r="B627" s="93">
        <v>45760</v>
      </c>
      <c r="C627" s="37" t="s">
        <v>688</v>
      </c>
      <c r="D627" s="93">
        <v>45760</v>
      </c>
      <c r="E627" s="37" t="s">
        <v>891</v>
      </c>
      <c r="F627" s="100">
        <f t="shared" si="52"/>
        <v>8.3333333335758653E-2</v>
      </c>
      <c r="G627" s="37" t="s">
        <v>9</v>
      </c>
    </row>
    <row r="628" spans="1:8">
      <c r="A628" s="37" t="s">
        <v>391</v>
      </c>
      <c r="B628" s="93">
        <v>45760</v>
      </c>
      <c r="C628" s="37" t="s">
        <v>323</v>
      </c>
      <c r="D628" s="93">
        <v>45760</v>
      </c>
      <c r="E628" s="37" t="s">
        <v>271</v>
      </c>
      <c r="F628" s="100">
        <f t="shared" si="52"/>
        <v>4.652777778392192E-2</v>
      </c>
    </row>
    <row r="629" spans="1:8">
      <c r="A629" s="37" t="s">
        <v>229</v>
      </c>
      <c r="B629" s="93">
        <v>45760</v>
      </c>
      <c r="C629" s="37" t="s">
        <v>324</v>
      </c>
      <c r="D629" s="93">
        <v>45760</v>
      </c>
      <c r="E629" s="37" t="s">
        <v>428</v>
      </c>
      <c r="F629" s="100">
        <f t="shared" si="52"/>
        <v>3.6111111112404615E-2</v>
      </c>
    </row>
    <row r="630" spans="1:8">
      <c r="A630" s="37" t="s">
        <v>232</v>
      </c>
      <c r="B630" s="93">
        <v>45760</v>
      </c>
      <c r="C630" s="37" t="s">
        <v>559</v>
      </c>
      <c r="D630" s="93">
        <v>45760</v>
      </c>
      <c r="E630" s="37" t="s">
        <v>669</v>
      </c>
      <c r="F630" s="100">
        <f t="shared" si="52"/>
        <v>0.38541666666424135</v>
      </c>
      <c r="G630" s="37" t="s">
        <v>9</v>
      </c>
      <c r="H630" s="23" t="s">
        <v>897</v>
      </c>
    </row>
    <row r="631" spans="1:8">
      <c r="A631" s="37" t="s">
        <v>335</v>
      </c>
      <c r="B631" s="93">
        <v>45760</v>
      </c>
      <c r="C631" s="37" t="s">
        <v>258</v>
      </c>
      <c r="D631" s="93">
        <v>45761</v>
      </c>
      <c r="E631" s="37" t="s">
        <v>898</v>
      </c>
      <c r="F631" s="100">
        <f t="shared" ref="F631:F638" si="53">(D631 + TIME(LEFT(E631, 2), MID(E631, 3, 2), 0)) - (B631 + TIME(LEFT(C631, 2), MID(C631, 3, 2), 0))</f>
        <v>0.8006944444423425</v>
      </c>
    </row>
    <row r="632" spans="1:8">
      <c r="A632" s="37" t="s">
        <v>248</v>
      </c>
      <c r="B632" s="93">
        <v>45760</v>
      </c>
      <c r="C632" s="37" t="s">
        <v>493</v>
      </c>
      <c r="D632" s="93">
        <v>45760</v>
      </c>
      <c r="E632" s="37" t="s">
        <v>899</v>
      </c>
      <c r="F632" s="100">
        <f t="shared" si="53"/>
        <v>0.13749999999708962</v>
      </c>
      <c r="H632" s="94" t="s">
        <v>900</v>
      </c>
    </row>
    <row r="633" spans="1:8">
      <c r="A633" s="37" t="s">
        <v>242</v>
      </c>
      <c r="B633" s="93">
        <v>45760</v>
      </c>
      <c r="C633" s="37" t="s">
        <v>891</v>
      </c>
      <c r="D633" s="93">
        <v>45761</v>
      </c>
      <c r="E633" s="37" t="s">
        <v>901</v>
      </c>
      <c r="F633" s="100">
        <f t="shared" si="53"/>
        <v>0.71250000000145519</v>
      </c>
    </row>
    <row r="634" spans="1:8">
      <c r="A634" s="37" t="s">
        <v>177</v>
      </c>
      <c r="B634" s="93">
        <v>45760</v>
      </c>
      <c r="C634" s="37" t="s">
        <v>891</v>
      </c>
      <c r="D634" s="93">
        <v>45760</v>
      </c>
      <c r="E634" s="37" t="s">
        <v>902</v>
      </c>
      <c r="F634" s="100">
        <f t="shared" si="53"/>
        <v>0.10624999999708962</v>
      </c>
      <c r="G634" s="37" t="s">
        <v>9</v>
      </c>
      <c r="H634" s="23" t="s">
        <v>903</v>
      </c>
    </row>
    <row r="635" spans="1:8">
      <c r="A635" s="37" t="s">
        <v>279</v>
      </c>
      <c r="B635" s="93">
        <v>45760</v>
      </c>
      <c r="C635" s="37" t="s">
        <v>904</v>
      </c>
      <c r="D635" s="93">
        <v>45760</v>
      </c>
      <c r="E635" s="37" t="s">
        <v>330</v>
      </c>
      <c r="F635" s="100">
        <f t="shared" si="53"/>
        <v>1.3888888890505768E-2</v>
      </c>
    </row>
    <row r="636" spans="1:8">
      <c r="A636" s="37" t="s">
        <v>177</v>
      </c>
      <c r="B636" s="93">
        <v>45760</v>
      </c>
      <c r="C636" s="37" t="s">
        <v>902</v>
      </c>
      <c r="D636" s="93">
        <v>45760</v>
      </c>
      <c r="E636" s="37" t="s">
        <v>899</v>
      </c>
      <c r="F636" s="100">
        <f t="shared" si="53"/>
        <v>1.8750000002910383E-2</v>
      </c>
      <c r="H636" s="23" t="s">
        <v>851</v>
      </c>
    </row>
    <row r="637" spans="1:8">
      <c r="A637" s="37" t="s">
        <v>177</v>
      </c>
      <c r="B637" s="93">
        <v>45760</v>
      </c>
      <c r="C637" s="37" t="s">
        <v>899</v>
      </c>
      <c r="D637" s="93">
        <v>45761</v>
      </c>
      <c r="E637" s="37" t="s">
        <v>798</v>
      </c>
      <c r="F637" s="100">
        <f t="shared" si="53"/>
        <v>0.52083333333575865</v>
      </c>
      <c r="H637" s="23" t="s">
        <v>905</v>
      </c>
    </row>
    <row r="638" spans="1:8">
      <c r="A638" s="37" t="s">
        <v>229</v>
      </c>
      <c r="B638" s="93">
        <v>45760</v>
      </c>
      <c r="C638" s="37" t="s">
        <v>406</v>
      </c>
      <c r="D638" s="93">
        <v>45760</v>
      </c>
      <c r="E638" s="37" t="s">
        <v>342</v>
      </c>
      <c r="F638" s="100">
        <f t="shared" si="53"/>
        <v>4.3055555557657499E-2</v>
      </c>
    </row>
    <row r="639" spans="1:8">
      <c r="A639" s="37" t="s">
        <v>217</v>
      </c>
      <c r="B639" s="93">
        <v>45760</v>
      </c>
      <c r="C639" s="37" t="s">
        <v>222</v>
      </c>
      <c r="D639" s="93">
        <v>45761</v>
      </c>
      <c r="E639" s="37" t="s">
        <v>238</v>
      </c>
      <c r="F639" s="100">
        <f>(D639 + TIME(LEFT(E639, 2), MID(E639, 3, 2), 0)) - (B639 + TIME(LEFT(C639, 2), MID(C639, 3, 2), 0))</f>
        <v>0.50069444444670808</v>
      </c>
    </row>
    <row r="640" spans="1:8">
      <c r="A640" s="37" t="s">
        <v>279</v>
      </c>
      <c r="B640" s="93">
        <v>45760</v>
      </c>
      <c r="C640" s="37" t="s">
        <v>412</v>
      </c>
      <c r="D640" s="93">
        <v>45760</v>
      </c>
      <c r="E640" s="37" t="s">
        <v>906</v>
      </c>
      <c r="F640" s="100">
        <f>(D640 + TIME(LEFT(E640, 2), MID(E640, 3, 2), 0)) - (B640 + TIME(LEFT(C640, 2), MID(C640, 3, 2), 0))</f>
        <v>1.0416666671517305E-2</v>
      </c>
    </row>
    <row r="641" spans="1:8">
      <c r="A641" s="37" t="s">
        <v>232</v>
      </c>
      <c r="B641" s="93">
        <v>45760</v>
      </c>
      <c r="C641" s="37" t="s">
        <v>669</v>
      </c>
      <c r="D641" s="93">
        <v>45760</v>
      </c>
      <c r="E641" s="37" t="s">
        <v>760</v>
      </c>
      <c r="F641" s="100">
        <f>(D641 + TIME(LEFT(E641, 2), MID(E641, 3, 2), 0)) - (B641 + TIME(LEFT(C641, 2), MID(C641, 3, 2), 0))</f>
        <v>3.6805555551836733E-2</v>
      </c>
    </row>
    <row r="642" spans="1:8">
      <c r="A642" s="37" t="s">
        <v>234</v>
      </c>
      <c r="B642" s="93">
        <v>45760</v>
      </c>
      <c r="C642" s="37" t="s">
        <v>907</v>
      </c>
      <c r="D642" s="93">
        <v>45760</v>
      </c>
      <c r="E642" s="37" t="s">
        <v>527</v>
      </c>
      <c r="F642" s="100">
        <f>(D642 + TIME(LEFT(E642, 2), MID(E642, 3, 2), 0)) - (B642 + TIME(LEFT(C642, 2), MID(C642, 3, 2), 0))</f>
        <v>4.7916666670062114E-2</v>
      </c>
    </row>
    <row r="643" spans="1:8">
      <c r="A643" s="37" t="s">
        <v>202</v>
      </c>
      <c r="B643" s="93">
        <v>45760</v>
      </c>
      <c r="C643" s="37" t="s">
        <v>636</v>
      </c>
      <c r="D643" s="93">
        <v>45771</v>
      </c>
      <c r="E643" s="37" t="s">
        <v>867</v>
      </c>
      <c r="F643" s="100">
        <f>(D643 + TIME(LEFT(E643, 2), MID(E643, 3, 2), 0)) - (B643 + TIME(LEFT(C643, 2), MID(C643, 3, 2), 0))</f>
        <v>10.649305555554747</v>
      </c>
      <c r="G643" s="37" t="s">
        <v>9</v>
      </c>
      <c r="H643" s="94" t="s">
        <v>908</v>
      </c>
    </row>
    <row r="644" spans="1:8">
      <c r="A644" s="37" t="s">
        <v>236</v>
      </c>
      <c r="B644" s="93">
        <v>45760</v>
      </c>
      <c r="C644" s="37" t="s">
        <v>909</v>
      </c>
      <c r="D644" s="93">
        <v>45760</v>
      </c>
      <c r="E644" s="37" t="s">
        <v>910</v>
      </c>
      <c r="F644" s="100">
        <f t="shared" ref="F644:F652" si="54">(D644 + TIME(LEFT(E644, 2), MID(E644, 3, 2), 0)) - (B644 + TIME(LEFT(C644, 2), MID(C644, 3, 2), 0))</f>
        <v>5.9722222220443655E-2</v>
      </c>
    </row>
    <row r="645" spans="1:8">
      <c r="A645" s="37" t="s">
        <v>229</v>
      </c>
      <c r="B645" s="93">
        <v>45760</v>
      </c>
      <c r="C645" s="37" t="s">
        <v>291</v>
      </c>
      <c r="D645" s="93">
        <v>45760</v>
      </c>
      <c r="E645" s="37" t="s">
        <v>337</v>
      </c>
      <c r="F645" s="100">
        <f t="shared" si="54"/>
        <v>1.8749999995634425E-2</v>
      </c>
    </row>
    <row r="646" spans="1:8">
      <c r="A646" s="37" t="s">
        <v>234</v>
      </c>
      <c r="B646" s="93">
        <v>45760</v>
      </c>
      <c r="C646" s="37" t="s">
        <v>291</v>
      </c>
      <c r="D646" s="93">
        <v>45760</v>
      </c>
      <c r="E646" s="37" t="s">
        <v>847</v>
      </c>
      <c r="F646" s="100">
        <f t="shared" si="54"/>
        <v>2.2222222221898846E-2</v>
      </c>
    </row>
    <row r="647" spans="1:8">
      <c r="A647" s="37" t="s">
        <v>245</v>
      </c>
      <c r="B647" s="93">
        <v>45760</v>
      </c>
      <c r="C647" s="37" t="s">
        <v>291</v>
      </c>
      <c r="D647" s="93">
        <v>45760</v>
      </c>
      <c r="E647" s="37" t="s">
        <v>911</v>
      </c>
      <c r="F647" s="100">
        <f t="shared" si="54"/>
        <v>1.7361111109494232E-2</v>
      </c>
    </row>
    <row r="648" spans="1:8">
      <c r="A648" s="37" t="s">
        <v>232</v>
      </c>
      <c r="B648" s="93">
        <v>45760</v>
      </c>
      <c r="C648" s="37" t="s">
        <v>291</v>
      </c>
      <c r="D648" s="93">
        <v>45760</v>
      </c>
      <c r="E648" s="37" t="s">
        <v>912</v>
      </c>
      <c r="F648" s="100">
        <f t="shared" si="54"/>
        <v>2.0138888889050577E-2</v>
      </c>
    </row>
    <row r="649" spans="1:8">
      <c r="A649" s="37" t="s">
        <v>236</v>
      </c>
      <c r="B649" s="93">
        <v>45760</v>
      </c>
      <c r="C649" s="37" t="s">
        <v>711</v>
      </c>
      <c r="D649" s="93">
        <v>45760</v>
      </c>
      <c r="E649" s="37" t="s">
        <v>913</v>
      </c>
      <c r="F649" s="100">
        <f t="shared" si="54"/>
        <v>4.5833333337213844E-2</v>
      </c>
    </row>
    <row r="650" spans="1:8">
      <c r="A650" s="37" t="s">
        <v>189</v>
      </c>
      <c r="B650" s="93">
        <v>45760</v>
      </c>
      <c r="C650" s="37" t="s">
        <v>850</v>
      </c>
      <c r="D650" s="93">
        <v>45761</v>
      </c>
      <c r="E650" s="37" t="s">
        <v>914</v>
      </c>
      <c r="F650" s="100">
        <f t="shared" si="54"/>
        <v>0.21111111110803904</v>
      </c>
      <c r="G650" s="37" t="s">
        <v>9</v>
      </c>
      <c r="H650" s="94" t="s">
        <v>915</v>
      </c>
    </row>
    <row r="651" spans="1:8">
      <c r="A651" s="37" t="s">
        <v>248</v>
      </c>
      <c r="B651" s="93">
        <v>45760</v>
      </c>
      <c r="C651" s="37" t="s">
        <v>912</v>
      </c>
      <c r="D651" s="93">
        <v>45761</v>
      </c>
      <c r="E651" s="37" t="s">
        <v>916</v>
      </c>
      <c r="F651" s="100">
        <f t="shared" si="54"/>
        <v>0.22152777777955635</v>
      </c>
    </row>
    <row r="652" spans="1:8">
      <c r="A652" s="37" t="s">
        <v>245</v>
      </c>
      <c r="B652" s="93">
        <v>45760</v>
      </c>
      <c r="C652" s="37" t="s">
        <v>828</v>
      </c>
      <c r="D652" s="93">
        <v>45761</v>
      </c>
      <c r="E652" s="37" t="s">
        <v>917</v>
      </c>
      <c r="F652" s="100">
        <f t="shared" si="54"/>
        <v>1.4583333329937886E-2</v>
      </c>
    </row>
    <row r="653" spans="1:8">
      <c r="A653" s="37" t="s">
        <v>189</v>
      </c>
      <c r="B653" s="93">
        <v>45761</v>
      </c>
      <c r="C653" s="37" t="s">
        <v>914</v>
      </c>
      <c r="D653" s="93">
        <v>45769</v>
      </c>
      <c r="E653" s="37" t="s">
        <v>918</v>
      </c>
      <c r="F653" s="100">
        <f>(D653 + TIME(LEFT(E653, 2), MID(E653, 3, 2), 0)) - (B653 + TIME(LEFT(C653, 2), MID(C653, 3, 2), 0))</f>
        <v>8.4777777777781012</v>
      </c>
      <c r="H653" s="94" t="s">
        <v>354</v>
      </c>
    </row>
    <row r="654" spans="1:8" ht="41.45">
      <c r="A654" s="37" t="s">
        <v>177</v>
      </c>
      <c r="B654" s="93">
        <v>45761</v>
      </c>
      <c r="C654" s="37" t="s">
        <v>798</v>
      </c>
      <c r="D654" s="93">
        <v>45761</v>
      </c>
      <c r="E654" s="37" t="s">
        <v>919</v>
      </c>
      <c r="F654" s="100">
        <f t="shared" ref="F654:F660" si="55">(D654 + TIME(LEFT(E654, 2), MID(E654, 3, 2), 0)) - (B654 + TIME(LEFT(C654, 2), MID(C654, 3, 2), 0))</f>
        <v>2.0138888889050577E-2</v>
      </c>
      <c r="G654" s="37" t="s">
        <v>9</v>
      </c>
      <c r="H654" s="457" t="s">
        <v>920</v>
      </c>
    </row>
    <row r="655" spans="1:8" ht="41.45">
      <c r="A655" s="37" t="s">
        <v>248</v>
      </c>
      <c r="B655" s="93">
        <v>45761</v>
      </c>
      <c r="C655" s="37" t="s">
        <v>921</v>
      </c>
      <c r="D655" s="93">
        <v>45761</v>
      </c>
      <c r="E655" s="37" t="s">
        <v>922</v>
      </c>
      <c r="F655" s="100">
        <f t="shared" si="55"/>
        <v>2.5000000001455192E-2</v>
      </c>
      <c r="G655" s="37" t="s">
        <v>9</v>
      </c>
      <c r="H655" s="457" t="s">
        <v>920</v>
      </c>
    </row>
    <row r="656" spans="1:8">
      <c r="A656" s="37" t="s">
        <v>245</v>
      </c>
      <c r="B656" s="93">
        <v>45761</v>
      </c>
      <c r="C656" s="37" t="s">
        <v>923</v>
      </c>
      <c r="D656" s="93">
        <v>45761</v>
      </c>
      <c r="E656" s="37" t="s">
        <v>924</v>
      </c>
      <c r="F656" s="100">
        <f t="shared" si="55"/>
        <v>4.9305555556202307E-2</v>
      </c>
    </row>
    <row r="657" spans="1:8">
      <c r="A657" s="37" t="s">
        <v>236</v>
      </c>
      <c r="B657" s="93">
        <v>45761</v>
      </c>
      <c r="C657" s="37" t="s">
        <v>923</v>
      </c>
      <c r="D657" s="93">
        <v>45761</v>
      </c>
      <c r="E657" s="37" t="s">
        <v>353</v>
      </c>
      <c r="F657" s="100">
        <f t="shared" si="55"/>
        <v>5.3472222221898846E-2</v>
      </c>
    </row>
    <row r="658" spans="1:8">
      <c r="A658" s="37" t="s">
        <v>234</v>
      </c>
      <c r="B658" s="93">
        <v>45761</v>
      </c>
      <c r="C658" s="37" t="s">
        <v>921</v>
      </c>
      <c r="D658" s="93">
        <v>45761</v>
      </c>
      <c r="E658" s="37" t="s">
        <v>353</v>
      </c>
      <c r="F658" s="100">
        <f t="shared" si="55"/>
        <v>5.2777777775190771E-2</v>
      </c>
    </row>
    <row r="659" spans="1:8">
      <c r="A659" s="37" t="s">
        <v>232</v>
      </c>
      <c r="B659" s="93">
        <v>45761</v>
      </c>
      <c r="C659" s="37" t="s">
        <v>923</v>
      </c>
      <c r="D659" s="93">
        <v>45761</v>
      </c>
      <c r="E659" s="37" t="s">
        <v>353</v>
      </c>
      <c r="F659" s="100">
        <f t="shared" si="55"/>
        <v>5.3472222221898846E-2</v>
      </c>
    </row>
    <row r="660" spans="1:8">
      <c r="A660" s="37" t="s">
        <v>239</v>
      </c>
      <c r="B660" s="93">
        <v>45761</v>
      </c>
      <c r="C660" s="37" t="s">
        <v>923</v>
      </c>
      <c r="D660" s="93">
        <v>45761</v>
      </c>
      <c r="E660" s="37" t="s">
        <v>925</v>
      </c>
      <c r="F660" s="100">
        <f t="shared" si="55"/>
        <v>2.8472222220443655E-2</v>
      </c>
    </row>
    <row r="661" spans="1:8">
      <c r="A661" s="37" t="s">
        <v>248</v>
      </c>
      <c r="B661" s="93">
        <v>45761</v>
      </c>
      <c r="C661" s="37" t="s">
        <v>922</v>
      </c>
      <c r="D661" s="93">
        <v>45762</v>
      </c>
      <c r="E661" s="37" t="s">
        <v>926</v>
      </c>
      <c r="F661" s="100">
        <f t="shared" ref="F661:F666" si="56">(D661 + TIME(LEFT(E661, 2), MID(E661, 3, 2), 0)) - (B661 + TIME(LEFT(C661, 2), MID(C661, 3, 2), 0))</f>
        <v>1.3798611111051287</v>
      </c>
    </row>
    <row r="662" spans="1:8">
      <c r="A662" s="37" t="s">
        <v>229</v>
      </c>
      <c r="B662" s="93">
        <v>45761</v>
      </c>
      <c r="C662" s="37" t="s">
        <v>923</v>
      </c>
      <c r="D662" s="93">
        <v>45761</v>
      </c>
      <c r="E662" s="37" t="s">
        <v>924</v>
      </c>
      <c r="F662" s="100">
        <f t="shared" si="56"/>
        <v>4.9305555556202307E-2</v>
      </c>
    </row>
    <row r="663" spans="1:8">
      <c r="A663" s="37" t="s">
        <v>177</v>
      </c>
      <c r="B663" s="93">
        <v>45761</v>
      </c>
      <c r="C663" s="37" t="s">
        <v>924</v>
      </c>
      <c r="D663" s="93">
        <v>45761</v>
      </c>
      <c r="E663" s="37" t="s">
        <v>927</v>
      </c>
      <c r="F663" s="100">
        <f t="shared" si="56"/>
        <v>0.679861111115315</v>
      </c>
    </row>
    <row r="664" spans="1:8">
      <c r="A664" s="37" t="s">
        <v>242</v>
      </c>
      <c r="B664" s="93">
        <v>45761</v>
      </c>
      <c r="C664" s="37" t="s">
        <v>901</v>
      </c>
      <c r="D664" s="93">
        <v>45761</v>
      </c>
      <c r="E664" s="37" t="s">
        <v>165</v>
      </c>
      <c r="F664" s="100">
        <f t="shared" si="56"/>
        <v>6.8749999998544808E-2</v>
      </c>
      <c r="G664" s="37" t="s">
        <v>9</v>
      </c>
      <c r="H664" s="94" t="s">
        <v>928</v>
      </c>
    </row>
    <row r="665" spans="1:8">
      <c r="A665" s="37" t="s">
        <v>229</v>
      </c>
      <c r="B665" s="93">
        <v>45761</v>
      </c>
      <c r="C665" s="37" t="s">
        <v>595</v>
      </c>
      <c r="D665" s="93">
        <v>45761</v>
      </c>
      <c r="E665" s="37" t="s">
        <v>929</v>
      </c>
      <c r="F665" s="100">
        <f t="shared" si="56"/>
        <v>1.1111111110949423E-2</v>
      </c>
    </row>
    <row r="666" spans="1:8">
      <c r="A666" s="37" t="s">
        <v>199</v>
      </c>
      <c r="B666" s="93">
        <v>45761</v>
      </c>
      <c r="C666" s="37" t="s">
        <v>930</v>
      </c>
      <c r="D666" s="93">
        <v>45761</v>
      </c>
      <c r="E666" s="37" t="s">
        <v>250</v>
      </c>
      <c r="F666" s="100">
        <f t="shared" si="56"/>
        <v>0.72291666666569654</v>
      </c>
    </row>
    <row r="667" spans="1:8">
      <c r="A667" s="37" t="s">
        <v>174</v>
      </c>
      <c r="B667" s="93">
        <v>45761</v>
      </c>
      <c r="C667" s="37" t="s">
        <v>857</v>
      </c>
      <c r="D667" s="93">
        <v>45763</v>
      </c>
      <c r="E667" s="37" t="s">
        <v>931</v>
      </c>
      <c r="F667" s="100">
        <f>(D667 + TIME(LEFT(E667, 2), MID(E667, 3, 2), 0)) - (B667 + TIME(LEFT(C667, 2), MID(C667, 3, 2), 0))</f>
        <v>1.8194444444452529</v>
      </c>
    </row>
    <row r="668" spans="1:8">
      <c r="A668" s="37" t="s">
        <v>229</v>
      </c>
      <c r="B668" s="93">
        <v>45761</v>
      </c>
      <c r="C668" s="37" t="s">
        <v>546</v>
      </c>
      <c r="D668" s="93">
        <v>45761</v>
      </c>
      <c r="E668" s="37" t="s">
        <v>780</v>
      </c>
      <c r="F668" s="100">
        <f t="shared" ref="F668:F688" si="57">(D668 + TIME(LEFT(E668, 2), MID(E668, 3, 2), 0)) - (B668 + TIME(LEFT(C668, 2), MID(C668, 3, 2), 0))</f>
        <v>8.6805555554747116E-2</v>
      </c>
    </row>
    <row r="669" spans="1:8">
      <c r="A669" s="37" t="s">
        <v>242</v>
      </c>
      <c r="B669" s="93">
        <v>45761</v>
      </c>
      <c r="C669" s="37" t="s">
        <v>932</v>
      </c>
      <c r="D669" s="93">
        <v>45762</v>
      </c>
      <c r="E669" s="37" t="s">
        <v>933</v>
      </c>
      <c r="F669" s="100">
        <f t="shared" si="57"/>
        <v>0.7305555555576575</v>
      </c>
    </row>
    <row r="670" spans="1:8">
      <c r="A670" s="37" t="s">
        <v>183</v>
      </c>
      <c r="B670" s="93">
        <v>45761</v>
      </c>
      <c r="C670" s="37" t="s">
        <v>686</v>
      </c>
      <c r="D670" s="93">
        <v>45761</v>
      </c>
      <c r="E670" s="37" t="s">
        <v>301</v>
      </c>
      <c r="F670" s="100">
        <f t="shared" si="57"/>
        <v>0.60833333333721384</v>
      </c>
    </row>
    <row r="671" spans="1:8">
      <c r="A671" s="37" t="s">
        <v>232</v>
      </c>
      <c r="B671" s="93">
        <v>45761</v>
      </c>
      <c r="C671" s="37" t="s">
        <v>257</v>
      </c>
      <c r="D671" s="93">
        <v>45761</v>
      </c>
      <c r="E671" s="37" t="s">
        <v>780</v>
      </c>
      <c r="F671" s="100">
        <f t="shared" si="57"/>
        <v>5.7638888894871343E-2</v>
      </c>
    </row>
    <row r="672" spans="1:8">
      <c r="A672" s="37" t="s">
        <v>335</v>
      </c>
      <c r="B672" s="93">
        <v>45761</v>
      </c>
      <c r="C672" s="37" t="s">
        <v>863</v>
      </c>
      <c r="D672" s="93">
        <v>45761</v>
      </c>
      <c r="E672" s="37" t="s">
        <v>582</v>
      </c>
      <c r="F672" s="100">
        <f t="shared" si="57"/>
        <v>0.58263888888905058</v>
      </c>
    </row>
    <row r="673" spans="1:6">
      <c r="A673" s="37" t="s">
        <v>234</v>
      </c>
      <c r="B673" s="93">
        <v>45761</v>
      </c>
      <c r="C673" s="37" t="s">
        <v>374</v>
      </c>
      <c r="D673" s="93">
        <v>45761</v>
      </c>
      <c r="E673" s="37" t="s">
        <v>666</v>
      </c>
      <c r="F673" s="100">
        <f t="shared" si="57"/>
        <v>3.6805555551836733E-2</v>
      </c>
    </row>
    <row r="674" spans="1:6">
      <c r="A674" s="37" t="s">
        <v>236</v>
      </c>
      <c r="B674" s="93">
        <v>45761</v>
      </c>
      <c r="C674" s="37" t="s">
        <v>365</v>
      </c>
      <c r="D674" s="93">
        <v>45761</v>
      </c>
      <c r="E674" s="37" t="s">
        <v>666</v>
      </c>
      <c r="F674" s="100">
        <f t="shared" si="57"/>
        <v>3.125E-2</v>
      </c>
    </row>
    <row r="675" spans="1:6">
      <c r="A675" s="37" t="s">
        <v>245</v>
      </c>
      <c r="B675" s="93">
        <v>45761</v>
      </c>
      <c r="C675" s="37" t="s">
        <v>262</v>
      </c>
      <c r="D675" s="93">
        <v>45761</v>
      </c>
      <c r="E675" s="37" t="s">
        <v>934</v>
      </c>
      <c r="F675" s="100">
        <f t="shared" si="57"/>
        <v>4.1666666664241347E-2</v>
      </c>
    </row>
    <row r="676" spans="1:6">
      <c r="A676" s="37" t="s">
        <v>239</v>
      </c>
      <c r="B676" s="93">
        <v>45761</v>
      </c>
      <c r="C676" s="37" t="s">
        <v>254</v>
      </c>
      <c r="D676" s="93">
        <v>45761</v>
      </c>
      <c r="E676" s="37" t="s">
        <v>269</v>
      </c>
      <c r="F676" s="100">
        <f t="shared" si="57"/>
        <v>2.7777777781011537E-2</v>
      </c>
    </row>
    <row r="677" spans="1:6">
      <c r="A677" s="37" t="s">
        <v>180</v>
      </c>
      <c r="B677" s="93">
        <v>45761</v>
      </c>
      <c r="C677" s="37" t="s">
        <v>258</v>
      </c>
      <c r="D677" s="93">
        <v>45762</v>
      </c>
      <c r="E677" s="37" t="s">
        <v>921</v>
      </c>
      <c r="F677" s="100">
        <f t="shared" si="57"/>
        <v>0.71944444444670808</v>
      </c>
    </row>
    <row r="678" spans="1:6">
      <c r="A678" s="37" t="s">
        <v>245</v>
      </c>
      <c r="B678" s="93">
        <v>45761</v>
      </c>
      <c r="C678" s="37" t="s">
        <v>935</v>
      </c>
      <c r="D678" s="93">
        <v>45761</v>
      </c>
      <c r="E678" s="37" t="s">
        <v>572</v>
      </c>
      <c r="F678" s="100">
        <f t="shared" si="57"/>
        <v>0.14166666667006211</v>
      </c>
    </row>
    <row r="679" spans="1:6">
      <c r="A679" s="37" t="s">
        <v>229</v>
      </c>
      <c r="B679" s="93">
        <v>45761</v>
      </c>
      <c r="C679" s="37" t="s">
        <v>936</v>
      </c>
      <c r="D679" s="93">
        <v>45761</v>
      </c>
      <c r="E679" s="37" t="s">
        <v>937</v>
      </c>
      <c r="F679" s="100">
        <f t="shared" si="57"/>
        <v>0.14652777778246673</v>
      </c>
    </row>
    <row r="680" spans="1:6">
      <c r="A680" s="37" t="s">
        <v>232</v>
      </c>
      <c r="B680" s="93">
        <v>45761</v>
      </c>
      <c r="C680" s="37" t="s">
        <v>693</v>
      </c>
      <c r="D680" s="93">
        <v>45761</v>
      </c>
      <c r="E680" s="37" t="s">
        <v>938</v>
      </c>
      <c r="F680" s="100">
        <f t="shared" si="57"/>
        <v>0.12916666666569654</v>
      </c>
    </row>
    <row r="681" spans="1:6">
      <c r="A681" s="37" t="s">
        <v>234</v>
      </c>
      <c r="B681" s="93">
        <v>45761</v>
      </c>
      <c r="C681" s="37" t="s">
        <v>505</v>
      </c>
      <c r="D681" s="93">
        <v>45761</v>
      </c>
      <c r="E681" s="37" t="s">
        <v>939</v>
      </c>
      <c r="F681" s="100">
        <f t="shared" si="57"/>
        <v>0.13402777777810115</v>
      </c>
    </row>
    <row r="682" spans="1:6">
      <c r="A682" s="37" t="s">
        <v>236</v>
      </c>
      <c r="B682" s="93">
        <v>45761</v>
      </c>
      <c r="C682" s="37" t="s">
        <v>940</v>
      </c>
      <c r="D682" s="93">
        <v>45761</v>
      </c>
      <c r="E682" s="37" t="s">
        <v>941</v>
      </c>
      <c r="F682" s="100">
        <f t="shared" si="57"/>
        <v>0.10763888889050577</v>
      </c>
    </row>
    <row r="683" spans="1:6">
      <c r="A683" s="37" t="s">
        <v>225</v>
      </c>
      <c r="B683" s="93">
        <v>45761</v>
      </c>
      <c r="C683" s="37" t="s">
        <v>213</v>
      </c>
      <c r="D683" s="93">
        <v>45761</v>
      </c>
      <c r="E683" s="37" t="s">
        <v>222</v>
      </c>
      <c r="F683" s="100">
        <f t="shared" si="57"/>
        <v>0.5</v>
      </c>
    </row>
    <row r="684" spans="1:6">
      <c r="A684" s="37" t="s">
        <v>217</v>
      </c>
      <c r="B684" s="93">
        <v>45761</v>
      </c>
      <c r="C684" s="37" t="s">
        <v>212</v>
      </c>
      <c r="D684" s="93">
        <v>45762</v>
      </c>
      <c r="E684" s="37" t="s">
        <v>561</v>
      </c>
      <c r="F684" s="100">
        <f t="shared" si="57"/>
        <v>0.62569444443943212</v>
      </c>
    </row>
    <row r="685" spans="1:6">
      <c r="A685" s="37" t="s">
        <v>164</v>
      </c>
      <c r="B685" s="93">
        <v>45761</v>
      </c>
      <c r="C685" s="37" t="s">
        <v>432</v>
      </c>
      <c r="D685" s="93">
        <v>45761</v>
      </c>
      <c r="E685" s="37" t="s">
        <v>708</v>
      </c>
      <c r="F685" s="100">
        <f t="shared" si="57"/>
        <v>1.9444444449618459E-2</v>
      </c>
    </row>
    <row r="686" spans="1:6">
      <c r="A686" s="37" t="s">
        <v>245</v>
      </c>
      <c r="B686" s="93">
        <v>45761</v>
      </c>
      <c r="C686" s="37" t="s">
        <v>942</v>
      </c>
      <c r="D686" s="93">
        <v>45761</v>
      </c>
      <c r="E686" s="37" t="s">
        <v>943</v>
      </c>
      <c r="F686" s="100">
        <f t="shared" si="57"/>
        <v>2.5000000001455192E-2</v>
      </c>
    </row>
    <row r="687" spans="1:6">
      <c r="A687" s="37" t="s">
        <v>229</v>
      </c>
      <c r="B687" s="93">
        <v>45761</v>
      </c>
      <c r="C687" s="37" t="s">
        <v>944</v>
      </c>
      <c r="D687" s="93">
        <v>45761</v>
      </c>
      <c r="E687" s="37" t="s">
        <v>765</v>
      </c>
      <c r="F687" s="100">
        <f t="shared" si="57"/>
        <v>1.7361111109494232E-2</v>
      </c>
    </row>
    <row r="688" spans="1:6">
      <c r="A688" s="37" t="s">
        <v>279</v>
      </c>
      <c r="B688" s="93">
        <v>45761</v>
      </c>
      <c r="C688" s="37" t="s">
        <v>945</v>
      </c>
      <c r="D688" s="93">
        <v>45761</v>
      </c>
      <c r="E688" s="37" t="s">
        <v>946</v>
      </c>
      <c r="F688" s="100">
        <f t="shared" si="57"/>
        <v>3.4722222189884633E-3</v>
      </c>
    </row>
    <row r="689" spans="1:8">
      <c r="A689" s="37" t="s">
        <v>192</v>
      </c>
      <c r="B689" s="93">
        <v>45761</v>
      </c>
      <c r="C689" s="37" t="s">
        <v>771</v>
      </c>
      <c r="D689" s="93">
        <v>45771</v>
      </c>
      <c r="E689" s="37" t="s">
        <v>780</v>
      </c>
      <c r="F689" s="100">
        <f>(D689 + TIME(LEFT(E689, 2), MID(E689, 3, 2), 0)) - (B689 + TIME(LEFT(C689, 2), MID(C689, 3, 2), 0))</f>
        <v>9.4951388888948713</v>
      </c>
    </row>
    <row r="690" spans="1:8">
      <c r="A690" s="37" t="s">
        <v>232</v>
      </c>
      <c r="B690" s="93">
        <v>45761</v>
      </c>
      <c r="C690" s="37" t="s">
        <v>947</v>
      </c>
      <c r="D690" s="93">
        <v>45761</v>
      </c>
      <c r="E690" s="37" t="s">
        <v>948</v>
      </c>
      <c r="F690" s="100">
        <f t="shared" ref="F690:F702" si="58">(D690 + TIME(LEFT(E690, 2), MID(E690, 3, 2), 0)) - (B690 + TIME(LEFT(C690, 2), MID(C690, 3, 2), 0))</f>
        <v>7.6388888919609599E-3</v>
      </c>
    </row>
    <row r="691" spans="1:8">
      <c r="A691" s="37" t="s">
        <v>226</v>
      </c>
      <c r="B691" s="93">
        <v>45761</v>
      </c>
      <c r="C691" s="37" t="s">
        <v>947</v>
      </c>
      <c r="D691" s="93">
        <v>45761</v>
      </c>
      <c r="E691" s="37" t="s">
        <v>948</v>
      </c>
      <c r="F691" s="100">
        <f t="shared" si="58"/>
        <v>7.6388888919609599E-3</v>
      </c>
    </row>
    <row r="692" spans="1:8">
      <c r="A692" s="37" t="s">
        <v>234</v>
      </c>
      <c r="B692" s="93">
        <v>45761</v>
      </c>
      <c r="C692" s="37" t="s">
        <v>947</v>
      </c>
      <c r="D692" s="93">
        <v>45761</v>
      </c>
      <c r="E692" s="37" t="s">
        <v>949</v>
      </c>
      <c r="F692" s="100">
        <f t="shared" si="58"/>
        <v>1.5277777776645962E-2</v>
      </c>
    </row>
    <row r="693" spans="1:8">
      <c r="A693" s="37" t="s">
        <v>236</v>
      </c>
      <c r="B693" s="93">
        <v>45761</v>
      </c>
      <c r="C693" s="37" t="s">
        <v>947</v>
      </c>
      <c r="D693" s="93">
        <v>45761</v>
      </c>
      <c r="E693" s="37" t="s">
        <v>950</v>
      </c>
      <c r="F693" s="100">
        <f t="shared" si="58"/>
        <v>1.8055555556202307E-2</v>
      </c>
    </row>
    <row r="694" spans="1:8">
      <c r="A694" s="37" t="s">
        <v>245</v>
      </c>
      <c r="B694" s="93">
        <v>45761</v>
      </c>
      <c r="C694" s="37" t="s">
        <v>947</v>
      </c>
      <c r="D694" s="93">
        <v>45761</v>
      </c>
      <c r="E694" s="37" t="s">
        <v>949</v>
      </c>
      <c r="F694" s="100">
        <f t="shared" si="58"/>
        <v>1.5277777776645962E-2</v>
      </c>
    </row>
    <row r="695" spans="1:8">
      <c r="A695" s="37" t="s">
        <v>186</v>
      </c>
      <c r="B695" s="93">
        <v>45761</v>
      </c>
      <c r="C695" s="37" t="s">
        <v>608</v>
      </c>
      <c r="D695" s="93">
        <v>45762</v>
      </c>
      <c r="E695" s="37" t="s">
        <v>951</v>
      </c>
      <c r="F695" s="100">
        <f t="shared" si="58"/>
        <v>9.930555555911269E-2</v>
      </c>
      <c r="G695" s="37" t="s">
        <v>9</v>
      </c>
      <c r="H695" s="94" t="s">
        <v>952</v>
      </c>
    </row>
    <row r="696" spans="1:8">
      <c r="A696" s="37" t="s">
        <v>229</v>
      </c>
      <c r="B696" s="93">
        <v>45762</v>
      </c>
      <c r="C696" s="37" t="s">
        <v>953</v>
      </c>
      <c r="D696" s="93">
        <v>45762</v>
      </c>
      <c r="E696" s="37" t="s">
        <v>954</v>
      </c>
      <c r="F696" s="100">
        <f t="shared" si="58"/>
        <v>9.0277777781011537E-3</v>
      </c>
    </row>
    <row r="697" spans="1:8">
      <c r="A697" s="37" t="s">
        <v>232</v>
      </c>
      <c r="B697" s="93">
        <v>45762</v>
      </c>
      <c r="C697" s="37" t="s">
        <v>953</v>
      </c>
      <c r="D697" s="93">
        <v>45762</v>
      </c>
      <c r="E697" s="37" t="s">
        <v>240</v>
      </c>
      <c r="F697" s="100">
        <f t="shared" si="58"/>
        <v>0.10972222222335404</v>
      </c>
    </row>
    <row r="698" spans="1:8">
      <c r="A698" s="37" t="s">
        <v>234</v>
      </c>
      <c r="B698" s="93">
        <v>45762</v>
      </c>
      <c r="C698" s="37" t="s">
        <v>953</v>
      </c>
      <c r="D698" s="93">
        <v>45762</v>
      </c>
      <c r="E698" s="37" t="s">
        <v>441</v>
      </c>
      <c r="F698" s="100">
        <f t="shared" si="58"/>
        <v>0.11527777778246673</v>
      </c>
    </row>
    <row r="699" spans="1:8">
      <c r="A699" s="37" t="s">
        <v>236</v>
      </c>
      <c r="B699" s="93">
        <v>45762</v>
      </c>
      <c r="C699" s="37" t="s">
        <v>953</v>
      </c>
      <c r="D699" s="93">
        <v>45762</v>
      </c>
      <c r="E699" s="37" t="s">
        <v>356</v>
      </c>
      <c r="F699" s="100">
        <f t="shared" si="58"/>
        <v>0.11944444444816327</v>
      </c>
    </row>
    <row r="700" spans="1:8">
      <c r="A700" s="37" t="s">
        <v>164</v>
      </c>
      <c r="B700" s="93">
        <v>45762</v>
      </c>
      <c r="C700" s="37" t="s">
        <v>929</v>
      </c>
      <c r="D700" s="93">
        <v>45762</v>
      </c>
      <c r="E700" s="37" t="s">
        <v>732</v>
      </c>
      <c r="F700" s="100">
        <f t="shared" si="58"/>
        <v>2.6388888894871343E-2</v>
      </c>
    </row>
    <row r="701" spans="1:8">
      <c r="A701" s="37" t="s">
        <v>245</v>
      </c>
      <c r="B701" s="93">
        <v>45762</v>
      </c>
      <c r="C701" s="37" t="s">
        <v>955</v>
      </c>
      <c r="D701" s="93">
        <v>45762</v>
      </c>
      <c r="E701" s="37" t="s">
        <v>858</v>
      </c>
      <c r="F701" s="100">
        <f t="shared" si="58"/>
        <v>6.1805555553291924E-2</v>
      </c>
    </row>
    <row r="702" spans="1:8">
      <c r="A702" s="37" t="s">
        <v>211</v>
      </c>
      <c r="B702" s="93">
        <v>45762</v>
      </c>
      <c r="C702" s="37" t="s">
        <v>956</v>
      </c>
      <c r="D702" s="93">
        <v>45762</v>
      </c>
      <c r="E702" s="37" t="s">
        <v>544</v>
      </c>
      <c r="F702" s="100">
        <f t="shared" si="58"/>
        <v>0.40416666666715173</v>
      </c>
    </row>
    <row r="703" spans="1:8">
      <c r="A703" s="37" t="s">
        <v>242</v>
      </c>
      <c r="B703" s="93">
        <v>45762</v>
      </c>
      <c r="C703" s="37" t="s">
        <v>447</v>
      </c>
      <c r="D703" s="93">
        <v>45763</v>
      </c>
      <c r="E703" s="37" t="s">
        <v>957</v>
      </c>
      <c r="F703" s="100">
        <f>(D703 + TIME(LEFT(E703, 2), MID(E703, 3, 2), 0)) - (B703 + TIME(LEFT(C703, 2), MID(C703, 3, 2), 0))</f>
        <v>0.81041666666715173</v>
      </c>
    </row>
    <row r="704" spans="1:8">
      <c r="A704" s="37" t="s">
        <v>220</v>
      </c>
      <c r="B704" s="93">
        <v>45762</v>
      </c>
      <c r="C704" s="37" t="s">
        <v>958</v>
      </c>
      <c r="D704" s="93">
        <v>45762</v>
      </c>
      <c r="E704" s="37" t="s">
        <v>959</v>
      </c>
      <c r="F704" s="100">
        <f>(D704 + TIME(LEFT(E704, 2), MID(E704, 3, 2), 0)) - (B704 + TIME(LEFT(C704, 2), MID(C704, 3, 2), 0))</f>
        <v>0.40347222222044365</v>
      </c>
      <c r="G704" s="37" t="s">
        <v>9</v>
      </c>
    </row>
    <row r="705" spans="1:6">
      <c r="A705" s="37" t="s">
        <v>180</v>
      </c>
      <c r="B705" s="93">
        <v>45762</v>
      </c>
      <c r="C705" s="37" t="s">
        <v>737</v>
      </c>
      <c r="D705" s="93">
        <v>45764</v>
      </c>
      <c r="E705" s="37" t="s">
        <v>960</v>
      </c>
      <c r="F705" s="100">
        <f>(D705 + TIME(LEFT(E705, 2), MID(E705, 3, 2), 0)) - (B705 + TIME(LEFT(C705, 2), MID(C705, 3, 2), 0))</f>
        <v>1.8347222222218988</v>
      </c>
    </row>
    <row r="706" spans="1:6">
      <c r="A706" s="37" t="s">
        <v>186</v>
      </c>
      <c r="B706" s="93">
        <v>45762</v>
      </c>
      <c r="C706" s="37" t="s">
        <v>253</v>
      </c>
      <c r="D706" s="93">
        <v>45762</v>
      </c>
      <c r="E706" s="37" t="s">
        <v>961</v>
      </c>
      <c r="F706" s="100">
        <f t="shared" ref="F706:F713" si="59">(D706 + TIME(LEFT(E706, 2), MID(E706, 3, 2), 0)) - (B706 + TIME(LEFT(C706, 2), MID(C706, 3, 2), 0))</f>
        <v>0.60902777777664596</v>
      </c>
    </row>
    <row r="707" spans="1:6">
      <c r="A707" s="37" t="s">
        <v>183</v>
      </c>
      <c r="B707" s="93">
        <v>45762</v>
      </c>
      <c r="C707" s="37" t="s">
        <v>658</v>
      </c>
      <c r="D707" s="93">
        <v>45762</v>
      </c>
      <c r="E707" s="37" t="s">
        <v>948</v>
      </c>
      <c r="F707" s="100">
        <f t="shared" si="59"/>
        <v>0.61527777778246673</v>
      </c>
    </row>
    <row r="708" spans="1:6">
      <c r="A708" s="37" t="s">
        <v>229</v>
      </c>
      <c r="B708" s="93">
        <v>45762</v>
      </c>
      <c r="C708" s="37" t="s">
        <v>552</v>
      </c>
      <c r="D708" s="93">
        <v>45762</v>
      </c>
      <c r="E708" s="37" t="s">
        <v>382</v>
      </c>
      <c r="F708" s="100">
        <f t="shared" si="59"/>
        <v>8.3333333335758653E-2</v>
      </c>
    </row>
    <row r="709" spans="1:6">
      <c r="A709" s="37" t="s">
        <v>232</v>
      </c>
      <c r="B709" s="93">
        <v>45762</v>
      </c>
      <c r="C709" s="37" t="s">
        <v>962</v>
      </c>
      <c r="D709" s="93">
        <v>45762</v>
      </c>
      <c r="E709" s="37" t="s">
        <v>826</v>
      </c>
      <c r="F709" s="100">
        <f t="shared" si="59"/>
        <v>7.6388888890505768E-2</v>
      </c>
    </row>
    <row r="710" spans="1:6">
      <c r="A710" s="37" t="s">
        <v>225</v>
      </c>
      <c r="B710" s="93">
        <v>45762</v>
      </c>
      <c r="C710" s="37" t="s">
        <v>251</v>
      </c>
      <c r="D710" s="93">
        <v>45762</v>
      </c>
      <c r="E710" s="37" t="s">
        <v>963</v>
      </c>
      <c r="F710" s="100">
        <f t="shared" si="59"/>
        <v>0.45902777777519077</v>
      </c>
    </row>
    <row r="711" spans="1:6">
      <c r="A711" s="37" t="s">
        <v>245</v>
      </c>
      <c r="B711" s="93">
        <v>45762</v>
      </c>
      <c r="C711" s="37" t="s">
        <v>321</v>
      </c>
      <c r="D711" s="93">
        <v>45762</v>
      </c>
      <c r="E711" s="37" t="s">
        <v>270</v>
      </c>
      <c r="F711" s="100">
        <f t="shared" si="59"/>
        <v>6.4583333332848269E-2</v>
      </c>
    </row>
    <row r="712" spans="1:6">
      <c r="A712" s="37" t="s">
        <v>335</v>
      </c>
      <c r="B712" s="93">
        <v>45762</v>
      </c>
      <c r="C712" s="37" t="s">
        <v>785</v>
      </c>
      <c r="D712" s="93">
        <v>45762</v>
      </c>
      <c r="E712" s="37" t="s">
        <v>317</v>
      </c>
      <c r="F712" s="100">
        <f t="shared" si="59"/>
        <v>0.48680555555620231</v>
      </c>
    </row>
    <row r="713" spans="1:6">
      <c r="A713" s="37" t="s">
        <v>177</v>
      </c>
      <c r="B713" s="93">
        <v>45762</v>
      </c>
      <c r="C713" s="37" t="s">
        <v>829</v>
      </c>
      <c r="D713" s="93">
        <v>45763</v>
      </c>
      <c r="E713" s="37" t="s">
        <v>231</v>
      </c>
      <c r="F713" s="100">
        <f t="shared" si="59"/>
        <v>0.69791666666424135</v>
      </c>
    </row>
    <row r="714" spans="1:6">
      <c r="A714" s="37" t="s">
        <v>232</v>
      </c>
      <c r="B714" s="93">
        <v>45762</v>
      </c>
      <c r="C714" s="37" t="s">
        <v>926</v>
      </c>
      <c r="D714" s="93">
        <v>45762</v>
      </c>
      <c r="E714" s="37" t="s">
        <v>964</v>
      </c>
      <c r="F714" s="100">
        <f t="shared" ref="F714:F724" si="60">(D714 + TIME(LEFT(E714, 2), MID(E714, 3, 2), 0)) - (B714 + TIME(LEFT(C714, 2), MID(C714, 3, 2), 0))</f>
        <v>7.7083333337213844E-2</v>
      </c>
    </row>
    <row r="715" spans="1:6">
      <c r="A715" s="37" t="s">
        <v>236</v>
      </c>
      <c r="B715" s="93">
        <v>45762</v>
      </c>
      <c r="C715" s="37" t="s">
        <v>926</v>
      </c>
      <c r="D715" s="93">
        <v>45762</v>
      </c>
      <c r="E715" s="37" t="s">
        <v>386</v>
      </c>
      <c r="F715" s="100">
        <f t="shared" si="60"/>
        <v>0.18611111111385981</v>
      </c>
    </row>
    <row r="716" spans="1:6">
      <c r="A716" s="37" t="s">
        <v>164</v>
      </c>
      <c r="B716" s="93">
        <v>45762</v>
      </c>
      <c r="C716" s="37" t="s">
        <v>490</v>
      </c>
      <c r="D716" s="93">
        <v>45762</v>
      </c>
      <c r="E716" s="37" t="s">
        <v>965</v>
      </c>
      <c r="F716" s="100">
        <f t="shared" si="60"/>
        <v>0.16736111111094942</v>
      </c>
    </row>
    <row r="717" spans="1:6">
      <c r="A717" s="37" t="s">
        <v>229</v>
      </c>
      <c r="B717" s="93">
        <v>45762</v>
      </c>
      <c r="C717" s="37" t="s">
        <v>332</v>
      </c>
      <c r="D717" s="93">
        <v>45762</v>
      </c>
      <c r="E717" s="37" t="s">
        <v>471</v>
      </c>
      <c r="F717" s="100">
        <f t="shared" si="60"/>
        <v>0.15138888888759539</v>
      </c>
    </row>
    <row r="718" spans="1:6">
      <c r="A718" s="37" t="s">
        <v>245</v>
      </c>
      <c r="B718" s="93">
        <v>45762</v>
      </c>
      <c r="C718" s="37" t="s">
        <v>799</v>
      </c>
      <c r="D718" s="93">
        <v>45762</v>
      </c>
      <c r="E718" s="37" t="s">
        <v>410</v>
      </c>
      <c r="F718" s="100">
        <f t="shared" si="60"/>
        <v>0.13958333332993789</v>
      </c>
    </row>
    <row r="719" spans="1:6">
      <c r="A719" s="37" t="s">
        <v>232</v>
      </c>
      <c r="B719" s="93">
        <v>45762</v>
      </c>
      <c r="C719" s="37" t="s">
        <v>966</v>
      </c>
      <c r="D719" s="93">
        <v>45762</v>
      </c>
      <c r="E719" s="37" t="s">
        <v>938</v>
      </c>
      <c r="F719" s="100">
        <f t="shared" si="60"/>
        <v>6.8749999998544808E-2</v>
      </c>
    </row>
    <row r="720" spans="1:6">
      <c r="A720" s="37" t="s">
        <v>398</v>
      </c>
      <c r="B720" s="93">
        <v>45762</v>
      </c>
      <c r="C720" s="37" t="s">
        <v>967</v>
      </c>
      <c r="D720" s="93">
        <v>45762</v>
      </c>
      <c r="E720" s="37" t="s">
        <v>968</v>
      </c>
      <c r="F720" s="100">
        <f t="shared" si="60"/>
        <v>9.5833333332848269E-2</v>
      </c>
    </row>
    <row r="721" spans="1:8">
      <c r="A721" s="37" t="s">
        <v>220</v>
      </c>
      <c r="B721" s="93">
        <v>45762</v>
      </c>
      <c r="C721" s="37" t="s">
        <v>959</v>
      </c>
      <c r="D721" s="93">
        <v>45762</v>
      </c>
      <c r="E721" s="37" t="s">
        <v>544</v>
      </c>
      <c r="F721" s="100">
        <f t="shared" si="60"/>
        <v>7.6388888846850023E-3</v>
      </c>
    </row>
    <row r="722" spans="1:8">
      <c r="A722" s="37" t="s">
        <v>220</v>
      </c>
      <c r="B722" s="93">
        <v>45762</v>
      </c>
      <c r="C722" s="37" t="s">
        <v>969</v>
      </c>
      <c r="D722" s="93">
        <v>45762</v>
      </c>
      <c r="E722" s="37" t="s">
        <v>752</v>
      </c>
      <c r="F722" s="100">
        <f t="shared" si="60"/>
        <v>2.6388888894871343E-2</v>
      </c>
    </row>
    <row r="723" spans="1:8">
      <c r="A723" s="37" t="s">
        <v>211</v>
      </c>
      <c r="B723" s="93">
        <v>45762</v>
      </c>
      <c r="C723" s="37" t="s">
        <v>969</v>
      </c>
      <c r="D723" s="93">
        <v>45762</v>
      </c>
      <c r="E723" s="37" t="s">
        <v>752</v>
      </c>
      <c r="F723" s="100">
        <f t="shared" si="60"/>
        <v>2.6388888894871343E-2</v>
      </c>
    </row>
    <row r="724" spans="1:8">
      <c r="A724" s="37" t="s">
        <v>279</v>
      </c>
      <c r="B724" s="93">
        <v>45762</v>
      </c>
      <c r="C724" s="37" t="s">
        <v>970</v>
      </c>
      <c r="D724" s="93">
        <v>45762</v>
      </c>
      <c r="E724" s="37" t="s">
        <v>971</v>
      </c>
      <c r="F724" s="100">
        <f t="shared" si="60"/>
        <v>3.888888889196096E-2</v>
      </c>
      <c r="H724" s="94" t="s">
        <v>972</v>
      </c>
    </row>
    <row r="725" spans="1:8">
      <c r="A725" s="37" t="s">
        <v>220</v>
      </c>
      <c r="B725" s="93">
        <v>45762</v>
      </c>
      <c r="C725" s="37" t="s">
        <v>939</v>
      </c>
      <c r="D725" s="93">
        <v>45763</v>
      </c>
      <c r="E725" s="37" t="s">
        <v>564</v>
      </c>
      <c r="F725" s="100">
        <f t="shared" ref="F725:F730" si="61">(D725 + TIME(LEFT(E725, 2), MID(E725, 3, 2), 0)) - (B725 + TIME(LEFT(C725, 2), MID(C725, 3, 2), 0))</f>
        <v>1.2722222222218988</v>
      </c>
    </row>
    <row r="726" spans="1:8">
      <c r="A726" s="37" t="s">
        <v>211</v>
      </c>
      <c r="B726" s="93">
        <v>45762</v>
      </c>
      <c r="C726" s="37" t="s">
        <v>939</v>
      </c>
      <c r="D726" s="93">
        <v>45763</v>
      </c>
      <c r="E726" s="37" t="s">
        <v>574</v>
      </c>
      <c r="F726" s="100">
        <f t="shared" si="61"/>
        <v>0.93819444444670808</v>
      </c>
    </row>
    <row r="727" spans="1:8">
      <c r="A727" s="37" t="s">
        <v>279</v>
      </c>
      <c r="B727" s="93">
        <v>45762</v>
      </c>
      <c r="C727" s="37" t="s">
        <v>973</v>
      </c>
      <c r="D727" s="93">
        <v>45762</v>
      </c>
      <c r="E727" s="37" t="s">
        <v>839</v>
      </c>
      <c r="F727" s="100">
        <f t="shared" si="61"/>
        <v>2.3611111115314998E-2</v>
      </c>
      <c r="H727" s="94" t="s">
        <v>974</v>
      </c>
    </row>
    <row r="728" spans="1:8">
      <c r="A728" s="37" t="s">
        <v>232</v>
      </c>
      <c r="B728" s="93">
        <v>45762</v>
      </c>
      <c r="C728" s="37" t="s">
        <v>975</v>
      </c>
      <c r="D728" s="93">
        <v>45762</v>
      </c>
      <c r="E728" s="37" t="s">
        <v>668</v>
      </c>
      <c r="F728" s="100">
        <f t="shared" si="61"/>
        <v>3.0555555553291924E-2</v>
      </c>
    </row>
    <row r="729" spans="1:8">
      <c r="A729" s="37" t="s">
        <v>229</v>
      </c>
      <c r="B729" s="93">
        <v>45762</v>
      </c>
      <c r="C729" s="37" t="s">
        <v>976</v>
      </c>
      <c r="D729" s="93">
        <v>45762</v>
      </c>
      <c r="E729" s="37" t="s">
        <v>977</v>
      </c>
      <c r="F729" s="100">
        <f t="shared" si="61"/>
        <v>2.7083333334303461E-2</v>
      </c>
    </row>
    <row r="730" spans="1:8">
      <c r="A730" s="37" t="s">
        <v>217</v>
      </c>
      <c r="B730" s="93">
        <v>45762</v>
      </c>
      <c r="C730" s="37" t="s">
        <v>286</v>
      </c>
      <c r="D730" s="93">
        <v>45763</v>
      </c>
      <c r="E730" s="37" t="s">
        <v>238</v>
      </c>
      <c r="F730" s="100">
        <f t="shared" si="61"/>
        <v>0.4180555555576575</v>
      </c>
    </row>
    <row r="731" spans="1:8">
      <c r="A731" s="37" t="s">
        <v>236</v>
      </c>
      <c r="B731" s="93">
        <v>45762</v>
      </c>
      <c r="C731" s="37" t="s">
        <v>945</v>
      </c>
      <c r="D731" s="93">
        <v>45762</v>
      </c>
      <c r="E731" s="37" t="s">
        <v>297</v>
      </c>
      <c r="F731" s="100">
        <f t="shared" ref="F731:F739" si="62">(D731 + TIME(LEFT(E731, 2), MID(E731, 3, 2), 0)) - (B731 + TIME(LEFT(C731, 2), MID(C731, 3, 2), 0))</f>
        <v>2.569444444088731E-2</v>
      </c>
    </row>
    <row r="732" spans="1:8">
      <c r="A732" s="37" t="s">
        <v>164</v>
      </c>
      <c r="B732" s="93">
        <v>45762</v>
      </c>
      <c r="C732" s="37" t="s">
        <v>945</v>
      </c>
      <c r="D732" s="93">
        <v>45762</v>
      </c>
      <c r="E732" s="37" t="s">
        <v>978</v>
      </c>
      <c r="F732" s="100">
        <f t="shared" si="62"/>
        <v>2.7083333334303461E-2</v>
      </c>
    </row>
    <row r="733" spans="1:8">
      <c r="A733" s="37" t="s">
        <v>232</v>
      </c>
      <c r="B733" s="93">
        <v>45762</v>
      </c>
      <c r="C733" s="37" t="s">
        <v>413</v>
      </c>
      <c r="D733" s="93">
        <v>45762</v>
      </c>
      <c r="E733" s="37" t="s">
        <v>416</v>
      </c>
      <c r="F733" s="100">
        <f t="shared" si="62"/>
        <v>8.333333331393078E-3</v>
      </c>
    </row>
    <row r="734" spans="1:8">
      <c r="A734" s="37" t="s">
        <v>245</v>
      </c>
      <c r="B734" s="93">
        <v>45762</v>
      </c>
      <c r="C734" s="37" t="s">
        <v>413</v>
      </c>
      <c r="D734" s="93">
        <v>45762</v>
      </c>
      <c r="E734" s="37" t="s">
        <v>708</v>
      </c>
      <c r="F734" s="100">
        <f t="shared" si="62"/>
        <v>6.9444444452528842E-3</v>
      </c>
    </row>
    <row r="735" spans="1:8">
      <c r="A735" s="37" t="s">
        <v>245</v>
      </c>
      <c r="B735" s="93">
        <v>45762</v>
      </c>
      <c r="C735" s="37" t="s">
        <v>317</v>
      </c>
      <c r="D735" s="93">
        <v>45762</v>
      </c>
      <c r="E735" s="37" t="s">
        <v>421</v>
      </c>
      <c r="F735" s="100">
        <f t="shared" si="62"/>
        <v>8.333333331393078E-3</v>
      </c>
    </row>
    <row r="736" spans="1:8">
      <c r="A736" s="37" t="s">
        <v>391</v>
      </c>
      <c r="B736" s="93">
        <v>45762</v>
      </c>
      <c r="C736" s="37" t="s">
        <v>317</v>
      </c>
      <c r="D736" s="93">
        <v>45762</v>
      </c>
      <c r="E736" s="37" t="s">
        <v>807</v>
      </c>
      <c r="F736" s="100">
        <f t="shared" si="62"/>
        <v>1.9444444442342501E-2</v>
      </c>
    </row>
    <row r="737" spans="1:6">
      <c r="A737" s="37" t="s">
        <v>232</v>
      </c>
      <c r="B737" s="93">
        <v>45762</v>
      </c>
      <c r="C737" s="37" t="s">
        <v>943</v>
      </c>
      <c r="D737" s="93">
        <v>45762</v>
      </c>
      <c r="E737" s="37" t="s">
        <v>291</v>
      </c>
      <c r="F737" s="100">
        <f t="shared" si="62"/>
        <v>4.166666665696539E-3</v>
      </c>
    </row>
    <row r="738" spans="1:6">
      <c r="A738" s="37" t="s">
        <v>232</v>
      </c>
      <c r="B738" s="93">
        <v>45762</v>
      </c>
      <c r="C738" s="37" t="s">
        <v>890</v>
      </c>
      <c r="D738" s="93">
        <v>45762</v>
      </c>
      <c r="E738" s="37" t="s">
        <v>664</v>
      </c>
      <c r="F738" s="100">
        <f t="shared" si="62"/>
        <v>1.0416666664241347E-2</v>
      </c>
    </row>
    <row r="739" spans="1:6">
      <c r="A739" s="37" t="s">
        <v>245</v>
      </c>
      <c r="B739" s="93">
        <v>45762</v>
      </c>
      <c r="C739" s="37" t="s">
        <v>890</v>
      </c>
      <c r="D739" s="93">
        <v>45762</v>
      </c>
      <c r="E739" s="37" t="s">
        <v>979</v>
      </c>
      <c r="F739" s="100">
        <f t="shared" si="62"/>
        <v>1.3194444443797693E-2</v>
      </c>
    </row>
    <row r="740" spans="1:6">
      <c r="A740" s="37" t="s">
        <v>236</v>
      </c>
      <c r="B740" s="93">
        <v>45762</v>
      </c>
      <c r="C740" s="37" t="s">
        <v>948</v>
      </c>
      <c r="D740" s="93">
        <v>45762</v>
      </c>
      <c r="E740" s="37" t="s">
        <v>980</v>
      </c>
      <c r="F740" s="100">
        <f t="shared" ref="F740:F750" si="63">(D740 + TIME(LEFT(E740, 2), MID(E740, 3, 2), 0)) - (B740 + TIME(LEFT(C740, 2), MID(C740, 3, 2), 0))</f>
        <v>8.333333331393078E-3</v>
      </c>
    </row>
    <row r="741" spans="1:6">
      <c r="A741" s="37" t="s">
        <v>248</v>
      </c>
      <c r="B741" s="93">
        <v>45763</v>
      </c>
      <c r="C741" s="37" t="s">
        <v>981</v>
      </c>
      <c r="D741" s="93">
        <v>45766</v>
      </c>
      <c r="E741" s="37" t="s">
        <v>982</v>
      </c>
      <c r="F741" s="100">
        <f t="shared" si="63"/>
        <v>3.0805555555562023</v>
      </c>
    </row>
    <row r="742" spans="1:6">
      <c r="A742" s="37" t="s">
        <v>391</v>
      </c>
      <c r="B742" s="93">
        <v>45763</v>
      </c>
      <c r="C742" s="37" t="s">
        <v>983</v>
      </c>
      <c r="D742" s="93">
        <v>45763</v>
      </c>
      <c r="E742" s="37" t="s">
        <v>984</v>
      </c>
      <c r="F742" s="100">
        <f t="shared" si="63"/>
        <v>9.0277777781011537E-3</v>
      </c>
    </row>
    <row r="743" spans="1:6">
      <c r="A743" s="37" t="s">
        <v>164</v>
      </c>
      <c r="B743" s="93">
        <v>45763</v>
      </c>
      <c r="C743" s="37" t="s">
        <v>983</v>
      </c>
      <c r="D743" s="93">
        <v>45763</v>
      </c>
      <c r="E743" s="37" t="s">
        <v>895</v>
      </c>
      <c r="F743" s="100">
        <f t="shared" si="63"/>
        <v>0.12152777777373558</v>
      </c>
    </row>
    <row r="744" spans="1:6">
      <c r="A744" s="37" t="s">
        <v>232</v>
      </c>
      <c r="B744" s="93">
        <v>45763</v>
      </c>
      <c r="C744" s="37" t="s">
        <v>985</v>
      </c>
      <c r="D744" s="93">
        <v>45763</v>
      </c>
      <c r="E744" s="37" t="s">
        <v>986</v>
      </c>
      <c r="F744" s="100">
        <f t="shared" si="63"/>
        <v>5.6250000001455192E-2</v>
      </c>
    </row>
    <row r="745" spans="1:6">
      <c r="A745" s="37" t="s">
        <v>245</v>
      </c>
      <c r="B745" s="93">
        <v>45763</v>
      </c>
      <c r="C745" s="37" t="s">
        <v>987</v>
      </c>
      <c r="D745" s="93">
        <v>45763</v>
      </c>
      <c r="E745" s="37" t="s">
        <v>988</v>
      </c>
      <c r="F745" s="100">
        <f t="shared" si="63"/>
        <v>1.4583333337213844E-2</v>
      </c>
    </row>
    <row r="746" spans="1:6">
      <c r="A746" s="37" t="s">
        <v>236</v>
      </c>
      <c r="B746" s="93">
        <v>45763</v>
      </c>
      <c r="C746" s="37" t="s">
        <v>355</v>
      </c>
      <c r="D746" s="93">
        <v>45763</v>
      </c>
      <c r="E746" s="37" t="s">
        <v>543</v>
      </c>
      <c r="F746" s="100">
        <f t="shared" si="63"/>
        <v>1.8750000002910383E-2</v>
      </c>
    </row>
    <row r="747" spans="1:6">
      <c r="A747" s="37" t="s">
        <v>242</v>
      </c>
      <c r="B747" s="93">
        <v>45763</v>
      </c>
      <c r="C747" s="37" t="s">
        <v>989</v>
      </c>
      <c r="D747" s="93">
        <v>45764</v>
      </c>
      <c r="E747" s="37" t="s">
        <v>990</v>
      </c>
      <c r="F747" s="100">
        <f t="shared" si="63"/>
        <v>0.78055555555329192</v>
      </c>
    </row>
    <row r="748" spans="1:6">
      <c r="A748" s="37" t="s">
        <v>225</v>
      </c>
      <c r="B748" s="93">
        <v>45763</v>
      </c>
      <c r="C748" s="37" t="s">
        <v>213</v>
      </c>
      <c r="D748" s="93">
        <v>45763</v>
      </c>
      <c r="E748" s="37" t="s">
        <v>991</v>
      </c>
      <c r="F748" s="100">
        <f t="shared" si="63"/>
        <v>0.32847222222335404</v>
      </c>
    </row>
    <row r="749" spans="1:6">
      <c r="A749" s="37" t="s">
        <v>232</v>
      </c>
      <c r="B749" s="93">
        <v>45763</v>
      </c>
      <c r="C749" s="37" t="s">
        <v>992</v>
      </c>
      <c r="D749" s="93">
        <v>45763</v>
      </c>
      <c r="E749" s="37" t="s">
        <v>993</v>
      </c>
      <c r="F749" s="100">
        <f t="shared" si="63"/>
        <v>5.5555555591126904E-3</v>
      </c>
    </row>
    <row r="750" spans="1:6">
      <c r="A750" s="37" t="s">
        <v>186</v>
      </c>
      <c r="B750" s="93">
        <v>45763</v>
      </c>
      <c r="C750" s="37" t="s">
        <v>862</v>
      </c>
      <c r="D750" s="93">
        <v>45763</v>
      </c>
      <c r="E750" s="37" t="s">
        <v>537</v>
      </c>
      <c r="F750" s="100">
        <f t="shared" si="63"/>
        <v>0.62847222222626442</v>
      </c>
    </row>
    <row r="751" spans="1:6">
      <c r="A751" s="37" t="s">
        <v>164</v>
      </c>
      <c r="B751" s="93">
        <v>45763</v>
      </c>
      <c r="C751" s="37" t="s">
        <v>686</v>
      </c>
      <c r="D751" s="93">
        <v>45763</v>
      </c>
      <c r="E751" s="37" t="s">
        <v>260</v>
      </c>
      <c r="F751" s="100">
        <f t="shared" ref="F751:F759" si="64">(D751 + TIME(LEFT(E751, 2), MID(E751, 3, 2), 0)) - (B751 + TIME(LEFT(C751, 2), MID(C751, 3, 2), 0))</f>
        <v>2.5694444448163267E-2</v>
      </c>
    </row>
    <row r="752" spans="1:6">
      <c r="A752" s="37" t="s">
        <v>391</v>
      </c>
      <c r="B752" s="93">
        <v>45763</v>
      </c>
      <c r="C752" s="37" t="s">
        <v>530</v>
      </c>
      <c r="D752" s="93">
        <v>45763</v>
      </c>
      <c r="E752" s="37" t="s">
        <v>260</v>
      </c>
      <c r="F752" s="100">
        <f t="shared" si="64"/>
        <v>2.2916666668606922E-2</v>
      </c>
    </row>
    <row r="753" spans="1:8">
      <c r="A753" s="37" t="s">
        <v>232</v>
      </c>
      <c r="B753" s="93">
        <v>45763</v>
      </c>
      <c r="C753" s="37" t="s">
        <v>994</v>
      </c>
      <c r="D753" s="93">
        <v>45763</v>
      </c>
      <c r="E753" s="37" t="s">
        <v>468</v>
      </c>
      <c r="F753" s="100">
        <f t="shared" si="64"/>
        <v>2.4305555554747116E-2</v>
      </c>
    </row>
    <row r="754" spans="1:8">
      <c r="A754" s="37" t="s">
        <v>234</v>
      </c>
      <c r="B754" s="93">
        <v>45763</v>
      </c>
      <c r="C754" s="37" t="s">
        <v>255</v>
      </c>
      <c r="D754" s="93">
        <v>45763</v>
      </c>
      <c r="E754" s="37" t="s">
        <v>662</v>
      </c>
      <c r="F754" s="100">
        <f t="shared" si="64"/>
        <v>2.0138888889050577E-2</v>
      </c>
    </row>
    <row r="755" spans="1:8">
      <c r="A755" s="37" t="s">
        <v>236</v>
      </c>
      <c r="B755" s="93">
        <v>45763</v>
      </c>
      <c r="C755" s="37" t="s">
        <v>257</v>
      </c>
      <c r="D755" s="93">
        <v>45763</v>
      </c>
      <c r="E755" s="37" t="s">
        <v>784</v>
      </c>
      <c r="F755" s="100">
        <f t="shared" si="64"/>
        <v>6.1111111113859806E-2</v>
      </c>
    </row>
    <row r="756" spans="1:8">
      <c r="A756" s="37" t="s">
        <v>174</v>
      </c>
      <c r="B756" s="93">
        <v>45763</v>
      </c>
      <c r="C756" s="37" t="s">
        <v>366</v>
      </c>
      <c r="D756" s="93">
        <v>45763</v>
      </c>
      <c r="E756" s="37" t="s">
        <v>995</v>
      </c>
      <c r="F756" s="100">
        <f t="shared" si="64"/>
        <v>0.54791666666278616</v>
      </c>
    </row>
    <row r="757" spans="1:8">
      <c r="A757" s="37" t="s">
        <v>391</v>
      </c>
      <c r="B757" s="93">
        <v>45763</v>
      </c>
      <c r="C757" s="37" t="s">
        <v>659</v>
      </c>
      <c r="D757" s="93">
        <v>45763</v>
      </c>
      <c r="E757" s="37" t="s">
        <v>734</v>
      </c>
      <c r="F757" s="100">
        <f t="shared" si="64"/>
        <v>0.13541666666424135</v>
      </c>
    </row>
    <row r="758" spans="1:8">
      <c r="A758" s="37" t="s">
        <v>232</v>
      </c>
      <c r="B758" s="93">
        <v>45763</v>
      </c>
      <c r="C758" s="37" t="s">
        <v>321</v>
      </c>
      <c r="D758" s="93">
        <v>45763</v>
      </c>
      <c r="E758" s="37" t="s">
        <v>996</v>
      </c>
      <c r="F758" s="100">
        <f t="shared" si="64"/>
        <v>2.4305555554747116E-2</v>
      </c>
    </row>
    <row r="759" spans="1:8">
      <c r="A759" s="37" t="s">
        <v>164</v>
      </c>
      <c r="B759" s="93">
        <v>45763</v>
      </c>
      <c r="C759" s="37" t="s">
        <v>251</v>
      </c>
      <c r="D759" s="93">
        <v>45763</v>
      </c>
      <c r="E759" s="37" t="s">
        <v>376</v>
      </c>
      <c r="F759" s="100">
        <f t="shared" si="64"/>
        <v>3.4722222218988463E-2</v>
      </c>
    </row>
    <row r="760" spans="1:8">
      <c r="A760" s="37" t="s">
        <v>183</v>
      </c>
      <c r="B760" s="93">
        <v>45763</v>
      </c>
      <c r="C760" s="37" t="s">
        <v>824</v>
      </c>
      <c r="D760" s="93">
        <v>45763</v>
      </c>
      <c r="E760" s="37" t="s">
        <v>997</v>
      </c>
      <c r="F760" s="100">
        <f>(D760 + TIME(LEFT(E760, 2), MID(E760, 3, 2), 0)) - (B760 + TIME(LEFT(C760, 2), MID(C760, 3, 2), 0))</f>
        <v>0.59444444444670808</v>
      </c>
    </row>
    <row r="761" spans="1:8">
      <c r="A761" s="37" t="s">
        <v>335</v>
      </c>
      <c r="B761" s="93">
        <v>45763</v>
      </c>
      <c r="C761" s="37" t="s">
        <v>998</v>
      </c>
      <c r="D761" s="93">
        <v>45763</v>
      </c>
      <c r="E761" s="37" t="s">
        <v>999</v>
      </c>
      <c r="F761" s="100">
        <f t="shared" ref="F761:F767" si="65">(D761 + TIME(LEFT(E761, 2), MID(E761, 3, 2), 0)) - (B761 + TIME(LEFT(C761, 2), MID(C761, 3, 2), 0))</f>
        <v>0.48472222222335404</v>
      </c>
    </row>
    <row r="762" spans="1:8">
      <c r="A762" s="37" t="s">
        <v>232</v>
      </c>
      <c r="B762" s="93">
        <v>45763</v>
      </c>
      <c r="C762" s="37" t="s">
        <v>880</v>
      </c>
      <c r="D762" s="93">
        <v>45763</v>
      </c>
      <c r="E762" s="37" t="s">
        <v>1000</v>
      </c>
      <c r="F762" s="100">
        <f t="shared" si="65"/>
        <v>0.16319444444525288</v>
      </c>
    </row>
    <row r="763" spans="1:8">
      <c r="A763" s="37" t="s">
        <v>234</v>
      </c>
      <c r="B763" s="93">
        <v>45763</v>
      </c>
      <c r="C763" s="37" t="s">
        <v>505</v>
      </c>
      <c r="D763" s="93">
        <v>45763</v>
      </c>
      <c r="E763" s="37" t="s">
        <v>702</v>
      </c>
      <c r="F763" s="100">
        <f t="shared" si="65"/>
        <v>0.13333333333139308</v>
      </c>
    </row>
    <row r="764" spans="1:8">
      <c r="A764" s="37" t="s">
        <v>214</v>
      </c>
      <c r="B764" s="93">
        <v>45763</v>
      </c>
      <c r="C764" s="37" t="s">
        <v>776</v>
      </c>
      <c r="D764" s="93">
        <v>45763</v>
      </c>
      <c r="E764" s="37" t="s">
        <v>574</v>
      </c>
      <c r="F764" s="100">
        <f t="shared" si="65"/>
        <v>6.25E-2</v>
      </c>
      <c r="H764" s="23" t="s">
        <v>354</v>
      </c>
    </row>
    <row r="765" spans="1:8">
      <c r="A765" s="37" t="s">
        <v>236</v>
      </c>
      <c r="B765" s="93">
        <v>45763</v>
      </c>
      <c r="C765" s="37" t="s">
        <v>882</v>
      </c>
      <c r="D765" s="93">
        <v>45763</v>
      </c>
      <c r="E765" s="37" t="s">
        <v>473</v>
      </c>
      <c r="F765" s="100">
        <f t="shared" si="65"/>
        <v>0.15138888888759539</v>
      </c>
    </row>
    <row r="766" spans="1:8">
      <c r="A766" s="37" t="s">
        <v>225</v>
      </c>
      <c r="B766" s="93">
        <v>45763</v>
      </c>
      <c r="C766" s="37" t="s">
        <v>1001</v>
      </c>
      <c r="D766" s="93">
        <v>45763</v>
      </c>
      <c r="E766" s="37" t="s">
        <v>222</v>
      </c>
      <c r="F766" s="100">
        <f t="shared" si="65"/>
        <v>0.15694444443943212</v>
      </c>
    </row>
    <row r="767" spans="1:8">
      <c r="A767" s="37" t="s">
        <v>217</v>
      </c>
      <c r="B767" s="93">
        <v>45763</v>
      </c>
      <c r="C767" s="37" t="s">
        <v>1001</v>
      </c>
      <c r="D767" s="93">
        <v>45763</v>
      </c>
      <c r="E767" s="37" t="s">
        <v>940</v>
      </c>
      <c r="F767" s="100">
        <f t="shared" si="65"/>
        <v>1.3888888861401938E-3</v>
      </c>
    </row>
    <row r="768" spans="1:8">
      <c r="A768" s="37" t="s">
        <v>279</v>
      </c>
      <c r="B768" s="93">
        <v>45763</v>
      </c>
      <c r="C768" s="37" t="s">
        <v>497</v>
      </c>
      <c r="D768" s="93">
        <v>45763</v>
      </c>
      <c r="E768" s="37" t="s">
        <v>415</v>
      </c>
      <c r="F768" s="100">
        <f t="shared" ref="F768:F799" si="66">(D768 + TIME(LEFT(E768, 2), MID(E768, 3, 2), 0)) - (B768 + TIME(LEFT(C768, 2), MID(C768, 3, 2), 0))</f>
        <v>9.1666666667151731E-2</v>
      </c>
    </row>
    <row r="769" spans="1:6">
      <c r="A769" s="37" t="s">
        <v>217</v>
      </c>
      <c r="B769" s="93">
        <v>45763</v>
      </c>
      <c r="C769" s="37" t="s">
        <v>212</v>
      </c>
      <c r="D769" s="93">
        <v>45764</v>
      </c>
      <c r="E769" s="37" t="s">
        <v>213</v>
      </c>
      <c r="F769" s="100">
        <f t="shared" si="66"/>
        <v>0.50069444443943212</v>
      </c>
    </row>
    <row r="770" spans="1:6">
      <c r="A770" s="37" t="s">
        <v>211</v>
      </c>
      <c r="B770" s="93">
        <v>45763</v>
      </c>
      <c r="C770" s="37" t="s">
        <v>426</v>
      </c>
      <c r="D770" s="93">
        <v>45763</v>
      </c>
      <c r="E770" s="37" t="s">
        <v>1002</v>
      </c>
      <c r="F770" s="100">
        <f t="shared" si="66"/>
        <v>7.6388888890505768E-2</v>
      </c>
    </row>
    <row r="771" spans="1:6">
      <c r="A771" s="37" t="s">
        <v>232</v>
      </c>
      <c r="B771" s="93">
        <v>45763</v>
      </c>
      <c r="C771" s="37" t="s">
        <v>535</v>
      </c>
      <c r="D771" s="93">
        <v>45763</v>
      </c>
      <c r="E771" s="37" t="s">
        <v>1003</v>
      </c>
      <c r="F771" s="100">
        <f t="shared" si="66"/>
        <v>2.5694444448163267E-2</v>
      </c>
    </row>
    <row r="772" spans="1:6">
      <c r="A772" s="37" t="s">
        <v>234</v>
      </c>
      <c r="B772" s="93">
        <v>45763</v>
      </c>
      <c r="C772" s="37" t="s">
        <v>707</v>
      </c>
      <c r="D772" s="93">
        <v>45763</v>
      </c>
      <c r="E772" s="37" t="s">
        <v>533</v>
      </c>
      <c r="F772" s="100">
        <f t="shared" si="66"/>
        <v>8.6805555554747116E-2</v>
      </c>
    </row>
    <row r="773" spans="1:6">
      <c r="A773" s="37" t="s">
        <v>236</v>
      </c>
      <c r="B773" s="93">
        <v>45763</v>
      </c>
      <c r="C773" s="37" t="s">
        <v>527</v>
      </c>
      <c r="D773" s="93">
        <v>45763</v>
      </c>
      <c r="E773" s="37" t="s">
        <v>836</v>
      </c>
      <c r="F773" s="100">
        <f t="shared" si="66"/>
        <v>4.0972222224809229E-2</v>
      </c>
    </row>
    <row r="774" spans="1:6">
      <c r="A774" s="37" t="s">
        <v>177</v>
      </c>
      <c r="B774" s="93">
        <v>45763</v>
      </c>
      <c r="C774" s="37" t="s">
        <v>1004</v>
      </c>
      <c r="D774" s="93">
        <v>45766</v>
      </c>
      <c r="E774" s="37" t="s">
        <v>1005</v>
      </c>
      <c r="F774" s="100">
        <f t="shared" si="66"/>
        <v>2.7958333333372138</v>
      </c>
    </row>
    <row r="775" spans="1:6">
      <c r="A775" s="37" t="s">
        <v>164</v>
      </c>
      <c r="B775" s="93">
        <v>45763</v>
      </c>
      <c r="C775" s="37" t="s">
        <v>999</v>
      </c>
      <c r="D775" s="93">
        <v>45763</v>
      </c>
      <c r="E775" s="37" t="s">
        <v>664</v>
      </c>
      <c r="F775" s="100">
        <f t="shared" si="66"/>
        <v>1.4583333329937886E-2</v>
      </c>
    </row>
    <row r="776" spans="1:6">
      <c r="A776" s="37" t="s">
        <v>232</v>
      </c>
      <c r="B776" s="93">
        <v>45764</v>
      </c>
      <c r="C776" s="37" t="s">
        <v>1006</v>
      </c>
      <c r="D776" s="93">
        <v>45764</v>
      </c>
      <c r="E776" s="37" t="s">
        <v>1007</v>
      </c>
      <c r="F776" s="100">
        <f t="shared" si="66"/>
        <v>1.8055555556202307E-2</v>
      </c>
    </row>
    <row r="777" spans="1:6">
      <c r="A777" s="37" t="s">
        <v>234</v>
      </c>
      <c r="B777" s="93">
        <v>45764</v>
      </c>
      <c r="C777" s="37" t="s">
        <v>1006</v>
      </c>
      <c r="D777" s="93">
        <v>45764</v>
      </c>
      <c r="E777" s="37" t="s">
        <v>1008</v>
      </c>
      <c r="F777" s="100">
        <f t="shared" si="66"/>
        <v>6.5972222218988463E-2</v>
      </c>
    </row>
    <row r="778" spans="1:6">
      <c r="A778" s="37" t="s">
        <v>236</v>
      </c>
      <c r="B778" s="93">
        <v>45764</v>
      </c>
      <c r="C778" s="37" t="s">
        <v>1006</v>
      </c>
      <c r="D778" s="93">
        <v>45764</v>
      </c>
      <c r="E778" s="37" t="s">
        <v>1009</v>
      </c>
      <c r="F778" s="100">
        <f t="shared" si="66"/>
        <v>6.8055555551836733E-2</v>
      </c>
    </row>
    <row r="779" spans="1:6">
      <c r="A779" s="37" t="s">
        <v>164</v>
      </c>
      <c r="B779" s="93">
        <v>45764</v>
      </c>
      <c r="C779" s="37" t="s">
        <v>960</v>
      </c>
      <c r="D779" s="93">
        <v>45764</v>
      </c>
      <c r="E779" s="37" t="s">
        <v>1010</v>
      </c>
      <c r="F779" s="100">
        <f t="shared" si="66"/>
        <v>6.5972222226264421E-2</v>
      </c>
    </row>
    <row r="780" spans="1:6">
      <c r="A780" s="37" t="s">
        <v>242</v>
      </c>
      <c r="B780" s="93">
        <v>45764</v>
      </c>
      <c r="C780" s="37" t="s">
        <v>1011</v>
      </c>
      <c r="D780" s="93">
        <v>45765</v>
      </c>
      <c r="E780" s="37" t="s">
        <v>1012</v>
      </c>
      <c r="F780" s="100">
        <f t="shared" si="66"/>
        <v>0.82152777777810115</v>
      </c>
    </row>
    <row r="781" spans="1:6">
      <c r="A781" s="37" t="s">
        <v>232</v>
      </c>
      <c r="B781" s="93">
        <v>45764</v>
      </c>
      <c r="C781" s="37" t="s">
        <v>684</v>
      </c>
      <c r="D781" s="93">
        <v>45764</v>
      </c>
      <c r="E781" s="37" t="s">
        <v>372</v>
      </c>
      <c r="F781" s="100">
        <f t="shared" si="66"/>
        <v>4.5833333329937886E-2</v>
      </c>
    </row>
    <row r="782" spans="1:6">
      <c r="A782" s="37" t="s">
        <v>234</v>
      </c>
      <c r="B782" s="93">
        <v>45764</v>
      </c>
      <c r="C782" s="37" t="s">
        <v>654</v>
      </c>
      <c r="D782" s="93">
        <v>45764</v>
      </c>
      <c r="E782" s="37" t="s">
        <v>659</v>
      </c>
      <c r="F782" s="100">
        <f t="shared" si="66"/>
        <v>4.2361111110949423E-2</v>
      </c>
    </row>
    <row r="783" spans="1:6">
      <c r="A783" s="37" t="s">
        <v>174</v>
      </c>
      <c r="B783" s="93">
        <v>45764</v>
      </c>
      <c r="C783" s="37" t="s">
        <v>1013</v>
      </c>
      <c r="D783" s="93">
        <v>45764</v>
      </c>
      <c r="E783" s="37" t="s">
        <v>470</v>
      </c>
      <c r="F783" s="100">
        <f t="shared" si="66"/>
        <v>3.5416666665696539E-2</v>
      </c>
    </row>
    <row r="784" spans="1:6">
      <c r="A784" s="37" t="s">
        <v>236</v>
      </c>
      <c r="B784" s="93">
        <v>45764</v>
      </c>
      <c r="C784" s="37" t="s">
        <v>1014</v>
      </c>
      <c r="D784" s="93">
        <v>45764</v>
      </c>
      <c r="E784" s="37" t="s">
        <v>603</v>
      </c>
      <c r="F784" s="100">
        <f t="shared" si="66"/>
        <v>2.7777777773735579E-2</v>
      </c>
    </row>
    <row r="785" spans="1:8">
      <c r="A785" s="37" t="s">
        <v>180</v>
      </c>
      <c r="B785" s="93">
        <v>45764</v>
      </c>
      <c r="C785" s="37" t="s">
        <v>468</v>
      </c>
      <c r="D785" s="93">
        <v>45764</v>
      </c>
      <c r="E785" s="37" t="s">
        <v>273</v>
      </c>
      <c r="F785" s="100">
        <f t="shared" si="66"/>
        <v>0.10625000000436557</v>
      </c>
    </row>
    <row r="786" spans="1:8">
      <c r="A786" s="37" t="s">
        <v>174</v>
      </c>
      <c r="B786" s="93">
        <v>45764</v>
      </c>
      <c r="C786" s="37" t="s">
        <v>470</v>
      </c>
      <c r="D786" s="93">
        <v>45764</v>
      </c>
      <c r="E786" s="37" t="s">
        <v>612</v>
      </c>
      <c r="F786" s="100">
        <f t="shared" si="66"/>
        <v>7.9166666670062114E-2</v>
      </c>
      <c r="G786" s="37" t="s">
        <v>9</v>
      </c>
      <c r="H786" s="94" t="s">
        <v>1015</v>
      </c>
    </row>
    <row r="787" spans="1:8">
      <c r="A787" s="37" t="s">
        <v>391</v>
      </c>
      <c r="B787" s="93">
        <v>45764</v>
      </c>
      <c r="C787" s="37" t="s">
        <v>1016</v>
      </c>
      <c r="D787" s="93">
        <v>45764</v>
      </c>
      <c r="E787" s="37" t="s">
        <v>559</v>
      </c>
      <c r="F787" s="100">
        <f t="shared" si="66"/>
        <v>4.8611111124046147E-3</v>
      </c>
    </row>
    <row r="788" spans="1:8">
      <c r="A788" s="37" t="s">
        <v>183</v>
      </c>
      <c r="B788" s="93">
        <v>45764</v>
      </c>
      <c r="C788" s="37" t="s">
        <v>323</v>
      </c>
      <c r="D788" s="93">
        <v>45764</v>
      </c>
      <c r="E788" s="37" t="s">
        <v>578</v>
      </c>
      <c r="F788" s="100">
        <f t="shared" si="66"/>
        <v>0.42430555555620231</v>
      </c>
    </row>
    <row r="789" spans="1:8">
      <c r="A789" s="37" t="s">
        <v>391</v>
      </c>
      <c r="B789" s="93">
        <v>45764</v>
      </c>
      <c r="C789" s="37" t="s">
        <v>867</v>
      </c>
      <c r="D789" s="93">
        <v>45764</v>
      </c>
      <c r="E789" s="37" t="s">
        <v>1017</v>
      </c>
      <c r="F789" s="100">
        <f t="shared" si="66"/>
        <v>0.1055555555576575</v>
      </c>
    </row>
    <row r="790" spans="1:8">
      <c r="A790" s="37" t="s">
        <v>174</v>
      </c>
      <c r="B790" s="93">
        <v>45764</v>
      </c>
      <c r="C790" s="37" t="s">
        <v>612</v>
      </c>
      <c r="D790" s="93">
        <v>45765</v>
      </c>
      <c r="E790" s="37" t="s">
        <v>1018</v>
      </c>
      <c r="F790" s="100">
        <f t="shared" si="66"/>
        <v>0.63333333333139308</v>
      </c>
    </row>
    <row r="791" spans="1:8">
      <c r="A791" s="37" t="s">
        <v>164</v>
      </c>
      <c r="B791" s="93">
        <v>45764</v>
      </c>
      <c r="C791" s="37" t="s">
        <v>750</v>
      </c>
      <c r="D791" s="93">
        <v>45764</v>
      </c>
      <c r="E791" s="37" t="s">
        <v>1019</v>
      </c>
      <c r="F791" s="100">
        <f t="shared" si="66"/>
        <v>7.1527777778101154E-2</v>
      </c>
    </row>
    <row r="792" spans="1:8">
      <c r="A792" s="37" t="s">
        <v>232</v>
      </c>
      <c r="B792" s="93">
        <v>45764</v>
      </c>
      <c r="C792" s="37" t="s">
        <v>1020</v>
      </c>
      <c r="D792" s="93">
        <v>45764</v>
      </c>
      <c r="E792" s="37" t="s">
        <v>1021</v>
      </c>
      <c r="F792" s="100">
        <f t="shared" si="66"/>
        <v>0.11388888888905058</v>
      </c>
    </row>
    <row r="793" spans="1:8">
      <c r="A793" s="37" t="s">
        <v>211</v>
      </c>
      <c r="B793" s="93">
        <v>45763</v>
      </c>
      <c r="C793" s="37" t="s">
        <v>589</v>
      </c>
      <c r="D793" s="93">
        <v>45764</v>
      </c>
      <c r="E793" s="37" t="s">
        <v>224</v>
      </c>
      <c r="F793" s="100">
        <f t="shared" si="66"/>
        <v>0.54236111111094942</v>
      </c>
    </row>
    <row r="794" spans="1:8">
      <c r="A794" s="37" t="s">
        <v>220</v>
      </c>
      <c r="B794" s="93">
        <v>45764</v>
      </c>
      <c r="C794" s="37" t="s">
        <v>595</v>
      </c>
      <c r="D794" s="93">
        <v>45764</v>
      </c>
      <c r="E794" s="37" t="s">
        <v>222</v>
      </c>
      <c r="F794" s="100">
        <f t="shared" si="66"/>
        <v>0.54236111111094942</v>
      </c>
    </row>
    <row r="795" spans="1:8">
      <c r="A795" s="37" t="s">
        <v>214</v>
      </c>
      <c r="B795" s="93">
        <v>45763</v>
      </c>
      <c r="C795" s="37" t="s">
        <v>574</v>
      </c>
      <c r="D795" s="93">
        <v>45764</v>
      </c>
      <c r="E795" s="37" t="s">
        <v>590</v>
      </c>
      <c r="F795" s="100">
        <f t="shared" si="66"/>
        <v>0.58402777777519077</v>
      </c>
    </row>
    <row r="796" spans="1:8">
      <c r="A796" s="37" t="s">
        <v>234</v>
      </c>
      <c r="B796" s="93">
        <v>45764</v>
      </c>
      <c r="C796" s="37" t="s">
        <v>1022</v>
      </c>
      <c r="D796" s="93">
        <v>45764</v>
      </c>
      <c r="E796" s="37" t="s">
        <v>939</v>
      </c>
      <c r="F796" s="100">
        <f t="shared" si="66"/>
        <v>0.16111111111240461</v>
      </c>
    </row>
    <row r="797" spans="1:8">
      <c r="A797" s="37" t="s">
        <v>186</v>
      </c>
      <c r="B797" s="93">
        <v>45764</v>
      </c>
      <c r="C797" s="37" t="s">
        <v>1023</v>
      </c>
      <c r="D797" s="93">
        <v>45764</v>
      </c>
      <c r="E797" s="37" t="s">
        <v>579</v>
      </c>
      <c r="F797" s="100">
        <f t="shared" si="66"/>
        <v>0.44097222221898846</v>
      </c>
    </row>
    <row r="798" spans="1:8">
      <c r="A798" s="37" t="s">
        <v>236</v>
      </c>
      <c r="B798" s="93">
        <v>45764</v>
      </c>
      <c r="C798" s="37" t="s">
        <v>1024</v>
      </c>
      <c r="D798" s="93">
        <v>45764</v>
      </c>
      <c r="E798" s="37" t="s">
        <v>1025</v>
      </c>
      <c r="F798" s="100">
        <f t="shared" si="66"/>
        <v>8.6111111115314998E-2</v>
      </c>
    </row>
    <row r="799" spans="1:8">
      <c r="A799" s="37" t="s">
        <v>225</v>
      </c>
      <c r="B799" s="93">
        <v>45764</v>
      </c>
      <c r="C799" s="37" t="s">
        <v>218</v>
      </c>
      <c r="D799" s="93">
        <v>45764</v>
      </c>
      <c r="E799" s="37" t="s">
        <v>222</v>
      </c>
      <c r="F799" s="100">
        <f t="shared" si="66"/>
        <v>0.50069444443943212</v>
      </c>
    </row>
    <row r="800" spans="1:8">
      <c r="A800" s="37" t="s">
        <v>217</v>
      </c>
      <c r="B800" s="93">
        <v>45764</v>
      </c>
      <c r="C800" s="37" t="s">
        <v>212</v>
      </c>
      <c r="D800" s="93">
        <v>45765</v>
      </c>
      <c r="E800" s="37" t="s">
        <v>1026</v>
      </c>
      <c r="F800" s="100">
        <f t="shared" ref="F800:F831" si="67">(D800 + TIME(LEFT(E800, 2), MID(E800, 3, 2), 0)) - (B800 + TIME(LEFT(C800, 2), MID(C800, 3, 2), 0))</f>
        <v>0.62638888888614019</v>
      </c>
    </row>
    <row r="801" spans="1:6">
      <c r="A801" s="37" t="s">
        <v>211</v>
      </c>
      <c r="B801" s="93">
        <v>45764</v>
      </c>
      <c r="C801" s="37" t="s">
        <v>212</v>
      </c>
      <c r="D801" s="93">
        <v>45765</v>
      </c>
      <c r="E801" s="37" t="s">
        <v>213</v>
      </c>
      <c r="F801" s="100">
        <f t="shared" si="67"/>
        <v>0.50069444443943212</v>
      </c>
    </row>
    <row r="802" spans="1:6">
      <c r="A802" s="37" t="s">
        <v>391</v>
      </c>
      <c r="B802" s="93">
        <v>45764</v>
      </c>
      <c r="C802" s="37" t="s">
        <v>888</v>
      </c>
      <c r="D802" s="93">
        <v>45764</v>
      </c>
      <c r="E802" s="37" t="s">
        <v>1027</v>
      </c>
      <c r="F802" s="100">
        <f t="shared" si="67"/>
        <v>1.5277777776645962E-2</v>
      </c>
    </row>
    <row r="803" spans="1:6">
      <c r="A803" s="37" t="s">
        <v>164</v>
      </c>
      <c r="B803" s="93">
        <v>45764</v>
      </c>
      <c r="C803" s="37" t="s">
        <v>759</v>
      </c>
      <c r="D803" s="93">
        <v>45764</v>
      </c>
      <c r="E803" s="37" t="s">
        <v>1027</v>
      </c>
      <c r="F803" s="100">
        <f t="shared" si="67"/>
        <v>1.3888888890505768E-2</v>
      </c>
    </row>
    <row r="804" spans="1:6">
      <c r="A804" s="37" t="s">
        <v>236</v>
      </c>
      <c r="B804" s="93">
        <v>45764</v>
      </c>
      <c r="C804" s="37" t="s">
        <v>499</v>
      </c>
      <c r="D804" s="93">
        <v>45764</v>
      </c>
      <c r="E804" s="37" t="s">
        <v>1028</v>
      </c>
      <c r="F804" s="100">
        <f t="shared" si="67"/>
        <v>2.7777777795563452E-3</v>
      </c>
    </row>
    <row r="805" spans="1:6">
      <c r="A805" s="37" t="s">
        <v>220</v>
      </c>
      <c r="B805" s="93">
        <v>45765</v>
      </c>
      <c r="C805" s="37" t="s">
        <v>223</v>
      </c>
      <c r="D805" s="93">
        <v>45765</v>
      </c>
      <c r="E805" s="37" t="s">
        <v>224</v>
      </c>
      <c r="F805" s="100">
        <f t="shared" si="67"/>
        <v>0.50069444443943212</v>
      </c>
    </row>
    <row r="806" spans="1:6">
      <c r="A806" s="37" t="s">
        <v>214</v>
      </c>
      <c r="B806" s="93">
        <v>45764</v>
      </c>
      <c r="C806" s="37" t="s">
        <v>274</v>
      </c>
      <c r="D806" s="93">
        <v>45765</v>
      </c>
      <c r="E806" s="37" t="s">
        <v>216</v>
      </c>
      <c r="F806" s="100">
        <f t="shared" si="67"/>
        <v>0.50069444443943212</v>
      </c>
    </row>
    <row r="807" spans="1:6">
      <c r="A807" s="37" t="s">
        <v>232</v>
      </c>
      <c r="B807" s="93">
        <v>45765</v>
      </c>
      <c r="C807" s="37" t="s">
        <v>459</v>
      </c>
      <c r="D807" s="93">
        <v>45765</v>
      </c>
      <c r="E807" s="37" t="s">
        <v>1029</v>
      </c>
      <c r="F807" s="100">
        <f t="shared" si="67"/>
        <v>1.0416666664241347E-2</v>
      </c>
    </row>
    <row r="808" spans="1:6">
      <c r="A808" s="37" t="s">
        <v>234</v>
      </c>
      <c r="B808" s="93">
        <v>45765</v>
      </c>
      <c r="C808" s="37" t="s">
        <v>459</v>
      </c>
      <c r="D808" s="93">
        <v>45765</v>
      </c>
      <c r="E808" s="37" t="s">
        <v>1030</v>
      </c>
      <c r="F808" s="100">
        <f t="shared" si="67"/>
        <v>2.8472222220443655E-2</v>
      </c>
    </row>
    <row r="809" spans="1:6">
      <c r="A809" s="37" t="s">
        <v>164</v>
      </c>
      <c r="B809" s="93">
        <v>45765</v>
      </c>
      <c r="C809" s="37" t="s">
        <v>459</v>
      </c>
      <c r="D809" s="93">
        <v>45765</v>
      </c>
      <c r="E809" s="37" t="s">
        <v>1031</v>
      </c>
      <c r="F809" s="100">
        <f t="shared" si="67"/>
        <v>0.17708333332848269</v>
      </c>
    </row>
    <row r="810" spans="1:6">
      <c r="A810" s="37" t="s">
        <v>236</v>
      </c>
      <c r="B810" s="93">
        <v>45765</v>
      </c>
      <c r="C810" s="37" t="s">
        <v>459</v>
      </c>
      <c r="D810" s="93">
        <v>45765</v>
      </c>
      <c r="E810" s="37" t="s">
        <v>1032</v>
      </c>
      <c r="F810" s="100">
        <f t="shared" si="67"/>
        <v>5.1388888889050577E-2</v>
      </c>
    </row>
    <row r="811" spans="1:6">
      <c r="A811" s="37" t="s">
        <v>214</v>
      </c>
      <c r="B811" s="93">
        <v>45765</v>
      </c>
      <c r="C811" s="37" t="s">
        <v>218</v>
      </c>
      <c r="D811" s="93">
        <v>45765</v>
      </c>
      <c r="E811" s="37" t="s">
        <v>222</v>
      </c>
      <c r="F811" s="100">
        <f t="shared" si="67"/>
        <v>0.50069444443943212</v>
      </c>
    </row>
    <row r="812" spans="1:6">
      <c r="A812" s="37" t="s">
        <v>232</v>
      </c>
      <c r="B812" s="93">
        <v>45765</v>
      </c>
      <c r="C812" s="37" t="s">
        <v>360</v>
      </c>
      <c r="D812" s="93">
        <v>45765</v>
      </c>
      <c r="E812" s="37" t="s">
        <v>549</v>
      </c>
      <c r="F812" s="100">
        <f t="shared" si="67"/>
        <v>2.9861111113859806E-2</v>
      </c>
    </row>
    <row r="813" spans="1:6">
      <c r="A813" s="37" t="s">
        <v>234</v>
      </c>
      <c r="B813" s="93">
        <v>45765</v>
      </c>
      <c r="C813" s="37" t="s">
        <v>316</v>
      </c>
      <c r="D813" s="93">
        <v>45765</v>
      </c>
      <c r="E813" s="37" t="s">
        <v>476</v>
      </c>
      <c r="F813" s="100">
        <f t="shared" si="67"/>
        <v>2.4305555562023073E-2</v>
      </c>
    </row>
    <row r="814" spans="1:6">
      <c r="A814" s="37" t="s">
        <v>236</v>
      </c>
      <c r="B814" s="93">
        <v>45765</v>
      </c>
      <c r="C814" s="37" t="s">
        <v>364</v>
      </c>
      <c r="D814" s="93">
        <v>45765</v>
      </c>
      <c r="E814" s="37" t="s">
        <v>470</v>
      </c>
      <c r="F814" s="100">
        <f t="shared" si="67"/>
        <v>1.5277777776645962E-2</v>
      </c>
    </row>
    <row r="815" spans="1:6">
      <c r="A815" s="37" t="s">
        <v>242</v>
      </c>
      <c r="B815" s="93">
        <v>45765</v>
      </c>
      <c r="C815" s="37" t="s">
        <v>259</v>
      </c>
      <c r="D815" s="93">
        <v>45765</v>
      </c>
      <c r="E815" s="37" t="s">
        <v>1033</v>
      </c>
      <c r="F815" s="100">
        <f t="shared" si="67"/>
        <v>0.23611111110949423</v>
      </c>
    </row>
    <row r="816" spans="1:6">
      <c r="A816" s="37" t="s">
        <v>225</v>
      </c>
      <c r="B816" s="93">
        <v>45765</v>
      </c>
      <c r="C816" s="37" t="s">
        <v>561</v>
      </c>
      <c r="D816" s="93">
        <v>45765</v>
      </c>
      <c r="E816" s="37" t="s">
        <v>222</v>
      </c>
      <c r="F816" s="100">
        <f t="shared" si="67"/>
        <v>0.375</v>
      </c>
    </row>
    <row r="817" spans="1:7">
      <c r="A817" s="37" t="s">
        <v>391</v>
      </c>
      <c r="B817" s="93">
        <v>45765</v>
      </c>
      <c r="C817" s="37" t="s">
        <v>896</v>
      </c>
      <c r="D817" s="93">
        <v>45765</v>
      </c>
      <c r="E817" s="37" t="s">
        <v>1034</v>
      </c>
      <c r="F817" s="100">
        <f t="shared" si="67"/>
        <v>5.486111110803904E-2</v>
      </c>
    </row>
    <row r="818" spans="1:7">
      <c r="A818" s="37" t="s">
        <v>164</v>
      </c>
      <c r="B818" s="93">
        <v>45765</v>
      </c>
      <c r="C818" s="37" t="s">
        <v>1035</v>
      </c>
      <c r="D818" s="93">
        <v>45765</v>
      </c>
      <c r="E818" s="37" t="s">
        <v>484</v>
      </c>
      <c r="F818" s="100">
        <f t="shared" si="67"/>
        <v>4.9305555556202307E-2</v>
      </c>
    </row>
    <row r="819" spans="1:7">
      <c r="A819" s="37" t="s">
        <v>232</v>
      </c>
      <c r="B819" s="93">
        <v>45765</v>
      </c>
      <c r="C819" s="37" t="s">
        <v>1036</v>
      </c>
      <c r="D819" s="93">
        <v>45765</v>
      </c>
      <c r="E819" s="37" t="s">
        <v>1037</v>
      </c>
      <c r="F819" s="100">
        <f t="shared" si="67"/>
        <v>3.4027777779556345E-2</v>
      </c>
    </row>
    <row r="820" spans="1:7">
      <c r="A820" s="37" t="s">
        <v>183</v>
      </c>
      <c r="B820" s="93">
        <v>45765</v>
      </c>
      <c r="C820" s="37" t="s">
        <v>273</v>
      </c>
      <c r="D820" s="93">
        <v>45766</v>
      </c>
      <c r="E820" s="37" t="s">
        <v>588</v>
      </c>
      <c r="F820" s="100">
        <f t="shared" si="67"/>
        <v>0.54930555555620231</v>
      </c>
    </row>
    <row r="821" spans="1:7">
      <c r="A821" s="37" t="s">
        <v>234</v>
      </c>
      <c r="B821" s="93">
        <v>45765</v>
      </c>
      <c r="C821" s="37" t="s">
        <v>330</v>
      </c>
      <c r="D821" s="93">
        <v>45765</v>
      </c>
      <c r="E821" s="37" t="s">
        <v>1038</v>
      </c>
      <c r="F821" s="100">
        <f t="shared" si="67"/>
        <v>4.166666665696539E-3</v>
      </c>
    </row>
    <row r="822" spans="1:7">
      <c r="A822" s="37" t="s">
        <v>236</v>
      </c>
      <c r="B822" s="93">
        <v>45765</v>
      </c>
      <c r="C822" s="37" t="s">
        <v>868</v>
      </c>
      <c r="D822" s="93">
        <v>45765</v>
      </c>
      <c r="E822" s="37" t="s">
        <v>490</v>
      </c>
      <c r="F822" s="100">
        <f t="shared" si="67"/>
        <v>4.4444444443797693E-2</v>
      </c>
    </row>
    <row r="823" spans="1:7">
      <c r="A823" s="37" t="s">
        <v>211</v>
      </c>
      <c r="B823" s="93">
        <v>45765</v>
      </c>
      <c r="C823" s="37" t="s">
        <v>274</v>
      </c>
      <c r="D823" s="93">
        <v>45766</v>
      </c>
      <c r="E823" s="37" t="s">
        <v>216</v>
      </c>
      <c r="F823" s="100">
        <f t="shared" si="67"/>
        <v>0.50069444443943212</v>
      </c>
    </row>
    <row r="824" spans="1:7">
      <c r="A824" s="37" t="s">
        <v>391</v>
      </c>
      <c r="B824" s="93">
        <v>45765</v>
      </c>
      <c r="C824" s="37" t="s">
        <v>1022</v>
      </c>
      <c r="D824" s="93">
        <v>45765</v>
      </c>
      <c r="E824" s="37" t="s">
        <v>1039</v>
      </c>
      <c r="F824" s="100">
        <f t="shared" si="67"/>
        <v>2.7777777781011537E-2</v>
      </c>
    </row>
    <row r="825" spans="1:7">
      <c r="A825" s="37" t="s">
        <v>164</v>
      </c>
      <c r="B825" s="93">
        <v>45765</v>
      </c>
      <c r="C825" s="37" t="s">
        <v>1040</v>
      </c>
      <c r="D825" s="93">
        <v>45765</v>
      </c>
      <c r="E825" s="37" t="s">
        <v>389</v>
      </c>
      <c r="F825" s="100">
        <f t="shared" si="67"/>
        <v>1.597222221607808E-2</v>
      </c>
    </row>
    <row r="826" spans="1:7">
      <c r="A826" s="37" t="s">
        <v>232</v>
      </c>
      <c r="B826" s="93">
        <v>45765</v>
      </c>
      <c r="C826" s="37" t="s">
        <v>799</v>
      </c>
      <c r="D826" s="93">
        <v>45765</v>
      </c>
      <c r="E826" s="37" t="s">
        <v>163</v>
      </c>
      <c r="F826" s="100">
        <f t="shared" si="67"/>
        <v>3.4722222218988463E-2</v>
      </c>
    </row>
    <row r="827" spans="1:7">
      <c r="A827" s="37" t="s">
        <v>234</v>
      </c>
      <c r="B827" s="93">
        <v>45765</v>
      </c>
      <c r="C827" s="37" t="s">
        <v>799</v>
      </c>
      <c r="D827" s="93">
        <v>45765</v>
      </c>
      <c r="E827" s="37" t="s">
        <v>1041</v>
      </c>
      <c r="F827" s="100">
        <f t="shared" si="67"/>
        <v>9.6527777779556345E-2</v>
      </c>
    </row>
    <row r="828" spans="1:7">
      <c r="A828" s="37" t="s">
        <v>236</v>
      </c>
      <c r="B828" s="93">
        <v>45765</v>
      </c>
      <c r="C828" s="37" t="s">
        <v>516</v>
      </c>
      <c r="D828" s="93">
        <v>45765</v>
      </c>
      <c r="E828" s="37" t="s">
        <v>1042</v>
      </c>
      <c r="F828" s="100">
        <f t="shared" si="67"/>
        <v>0.10763888889050577</v>
      </c>
    </row>
    <row r="829" spans="1:7">
      <c r="A829" s="37" t="s">
        <v>391</v>
      </c>
      <c r="B829" s="93">
        <v>45765</v>
      </c>
      <c r="C829" s="37" t="s">
        <v>1043</v>
      </c>
      <c r="D829" s="93">
        <v>45765</v>
      </c>
      <c r="E829" s="37" t="s">
        <v>471</v>
      </c>
      <c r="F829" s="100">
        <f t="shared" si="67"/>
        <v>0.13819444444379769</v>
      </c>
    </row>
    <row r="830" spans="1:7">
      <c r="A830" s="37" t="s">
        <v>164</v>
      </c>
      <c r="B830" s="93">
        <v>45765</v>
      </c>
      <c r="C830" s="37" t="s">
        <v>1044</v>
      </c>
      <c r="D830" s="93">
        <v>45765</v>
      </c>
      <c r="E830" s="37" t="s">
        <v>886</v>
      </c>
      <c r="F830" s="100">
        <f t="shared" si="67"/>
        <v>0.18472222222044365</v>
      </c>
    </row>
    <row r="831" spans="1:7">
      <c r="A831" s="37" t="s">
        <v>186</v>
      </c>
      <c r="B831" s="93">
        <v>45765</v>
      </c>
      <c r="C831" s="37" t="s">
        <v>1045</v>
      </c>
      <c r="D831" s="93">
        <v>45765</v>
      </c>
      <c r="E831" s="37" t="s">
        <v>1046</v>
      </c>
      <c r="F831" s="100">
        <f t="shared" si="67"/>
        <v>0.38402777777810115</v>
      </c>
    </row>
    <row r="832" spans="1:7">
      <c r="A832" s="37" t="s">
        <v>242</v>
      </c>
      <c r="B832" s="93">
        <v>45765</v>
      </c>
      <c r="C832" s="37" t="s">
        <v>1033</v>
      </c>
      <c r="D832" s="93">
        <v>45766</v>
      </c>
      <c r="E832" s="37" t="s">
        <v>955</v>
      </c>
      <c r="F832" s="100">
        <f t="shared" ref="F832:F847" si="68">(D832 + TIME(LEFT(E832, 2), MID(E832, 3, 2), 0)) - (B832 + TIME(LEFT(C832, 2), MID(C832, 3, 2), 0))</f>
        <v>0.63124999999854481</v>
      </c>
      <c r="G832" s="37" t="s">
        <v>9</v>
      </c>
    </row>
    <row r="833" spans="1:8">
      <c r="A833" s="37" t="s">
        <v>232</v>
      </c>
      <c r="B833" s="93">
        <v>45765</v>
      </c>
      <c r="C833" s="37" t="s">
        <v>338</v>
      </c>
      <c r="D833" s="93">
        <v>45765</v>
      </c>
      <c r="E833" s="37" t="s">
        <v>420</v>
      </c>
      <c r="F833" s="100">
        <f t="shared" si="68"/>
        <v>3.4722222218988463E-2</v>
      </c>
    </row>
    <row r="834" spans="1:8">
      <c r="A834" s="37" t="s">
        <v>234</v>
      </c>
      <c r="B834" s="93">
        <v>45765</v>
      </c>
      <c r="C834" s="37" t="s">
        <v>212</v>
      </c>
      <c r="D834" s="93">
        <v>45765</v>
      </c>
      <c r="E834" s="37" t="s">
        <v>406</v>
      </c>
      <c r="F834" s="100">
        <f t="shared" si="68"/>
        <v>2.1527777775190771E-2</v>
      </c>
    </row>
    <row r="835" spans="1:8">
      <c r="A835" s="37" t="s">
        <v>236</v>
      </c>
      <c r="B835" s="93">
        <v>45765</v>
      </c>
      <c r="C835" s="37" t="s">
        <v>1047</v>
      </c>
      <c r="D835" s="93">
        <v>45765</v>
      </c>
      <c r="E835" s="37" t="s">
        <v>1048</v>
      </c>
      <c r="F835" s="100">
        <f t="shared" si="68"/>
        <v>0.16666666667151731</v>
      </c>
    </row>
    <row r="836" spans="1:8">
      <c r="A836" s="37" t="s">
        <v>174</v>
      </c>
      <c r="B836" s="93">
        <v>45765</v>
      </c>
      <c r="C836" s="37" t="s">
        <v>417</v>
      </c>
      <c r="D836" s="93">
        <v>45766</v>
      </c>
      <c r="E836" s="37" t="s">
        <v>1049</v>
      </c>
      <c r="F836" s="100">
        <f t="shared" si="68"/>
        <v>0.40347222222771961</v>
      </c>
    </row>
    <row r="837" spans="1:8">
      <c r="A837" s="37" t="s">
        <v>217</v>
      </c>
      <c r="B837" s="93">
        <v>45765</v>
      </c>
      <c r="C837" s="37" t="s">
        <v>212</v>
      </c>
      <c r="D837" s="93">
        <v>45766</v>
      </c>
      <c r="E837" s="37" t="s">
        <v>213</v>
      </c>
      <c r="F837" s="100">
        <f t="shared" si="68"/>
        <v>0.50069444443943212</v>
      </c>
    </row>
    <row r="838" spans="1:8">
      <c r="A838" s="37" t="s">
        <v>220</v>
      </c>
      <c r="B838" s="93">
        <v>45765</v>
      </c>
      <c r="C838" s="37" t="s">
        <v>212</v>
      </c>
      <c r="D838" s="93">
        <v>45766</v>
      </c>
      <c r="E838" s="37" t="s">
        <v>358</v>
      </c>
      <c r="F838" s="100">
        <f t="shared" si="68"/>
        <v>0.50277777777228039</v>
      </c>
    </row>
    <row r="839" spans="1:8">
      <c r="A839" s="37" t="s">
        <v>391</v>
      </c>
      <c r="B839" s="93">
        <v>45765</v>
      </c>
      <c r="C839" s="37" t="s">
        <v>528</v>
      </c>
      <c r="D839" s="93">
        <v>45765</v>
      </c>
      <c r="E839" s="37" t="s">
        <v>420</v>
      </c>
      <c r="F839" s="100">
        <f t="shared" si="68"/>
        <v>2.7777777795563452E-3</v>
      </c>
    </row>
    <row r="840" spans="1:8">
      <c r="A840" s="37" t="s">
        <v>164</v>
      </c>
      <c r="B840" s="93">
        <v>45765</v>
      </c>
      <c r="C840" s="37" t="s">
        <v>886</v>
      </c>
      <c r="D840" s="93">
        <v>45766</v>
      </c>
      <c r="E840" s="37" t="s">
        <v>821</v>
      </c>
      <c r="F840" s="100">
        <f t="shared" si="68"/>
        <v>0.55833333333430346</v>
      </c>
      <c r="G840" s="37" t="s">
        <v>9</v>
      </c>
      <c r="H840" s="23" t="s">
        <v>1050</v>
      </c>
    </row>
    <row r="841" spans="1:8">
      <c r="A841" s="37" t="s">
        <v>391</v>
      </c>
      <c r="B841" s="93">
        <v>45765</v>
      </c>
      <c r="C841" s="37" t="s">
        <v>637</v>
      </c>
      <c r="D841" s="93">
        <v>45765</v>
      </c>
      <c r="E841" s="37" t="s">
        <v>843</v>
      </c>
      <c r="F841" s="100">
        <f t="shared" si="68"/>
        <v>5.6944444448163267E-2</v>
      </c>
    </row>
    <row r="842" spans="1:8">
      <c r="A842" s="37" t="s">
        <v>234</v>
      </c>
      <c r="B842" s="93">
        <v>45765</v>
      </c>
      <c r="C842" s="37" t="s">
        <v>757</v>
      </c>
      <c r="D842" s="93">
        <v>45765</v>
      </c>
      <c r="E842" s="37" t="s">
        <v>1051</v>
      </c>
      <c r="F842" s="100">
        <f t="shared" si="68"/>
        <v>0.10486111111094942</v>
      </c>
    </row>
    <row r="843" spans="1:8">
      <c r="A843" s="37" t="s">
        <v>391</v>
      </c>
      <c r="B843" s="93">
        <v>45765</v>
      </c>
      <c r="C843" s="37" t="s">
        <v>1052</v>
      </c>
      <c r="D843" s="93">
        <v>45765</v>
      </c>
      <c r="E843" s="37" t="s">
        <v>1053</v>
      </c>
      <c r="F843" s="100">
        <f t="shared" si="68"/>
        <v>7.2222222224809229E-2</v>
      </c>
    </row>
    <row r="844" spans="1:8">
      <c r="A844" s="37" t="s">
        <v>214</v>
      </c>
      <c r="B844" s="93">
        <v>45766</v>
      </c>
      <c r="C844" s="37" t="s">
        <v>223</v>
      </c>
      <c r="D844" s="93">
        <v>45766</v>
      </c>
      <c r="E844" s="37" t="s">
        <v>306</v>
      </c>
      <c r="F844" s="100">
        <f t="shared" si="68"/>
        <v>0.50138888888614019</v>
      </c>
    </row>
    <row r="845" spans="1:8">
      <c r="A845" s="37" t="s">
        <v>232</v>
      </c>
      <c r="B845" s="93">
        <v>45766</v>
      </c>
      <c r="C845" s="37" t="s">
        <v>797</v>
      </c>
      <c r="D845" s="93">
        <v>45766</v>
      </c>
      <c r="E845" s="37" t="s">
        <v>1054</v>
      </c>
      <c r="F845" s="100">
        <f t="shared" si="68"/>
        <v>5.0000000002910383E-2</v>
      </c>
    </row>
    <row r="846" spans="1:8">
      <c r="A846" s="37" t="s">
        <v>234</v>
      </c>
      <c r="B846" s="93">
        <v>45766</v>
      </c>
      <c r="C846" s="37" t="s">
        <v>797</v>
      </c>
      <c r="D846" s="93">
        <v>45766</v>
      </c>
      <c r="E846" s="37" t="s">
        <v>240</v>
      </c>
      <c r="F846" s="100">
        <f t="shared" si="68"/>
        <v>0.13124999999854481</v>
      </c>
    </row>
    <row r="847" spans="1:8">
      <c r="A847" s="37" t="s">
        <v>236</v>
      </c>
      <c r="B847" s="93">
        <v>45766</v>
      </c>
      <c r="C847" s="37" t="s">
        <v>797</v>
      </c>
      <c r="D847" s="93">
        <v>45766</v>
      </c>
      <c r="E847" s="37" t="s">
        <v>441</v>
      </c>
      <c r="F847" s="100">
        <f t="shared" si="68"/>
        <v>0.1368055555576575</v>
      </c>
    </row>
    <row r="848" spans="1:8">
      <c r="A848" s="37" t="s">
        <v>248</v>
      </c>
      <c r="B848" s="93">
        <v>45766</v>
      </c>
      <c r="C848" s="37" t="s">
        <v>1055</v>
      </c>
      <c r="D848" s="93">
        <v>45767</v>
      </c>
      <c r="E848" s="37" t="s">
        <v>1056</v>
      </c>
      <c r="F848" s="100">
        <f>(D848 + TIME(LEFT(E848, 2), MID(E848, 3, 2), 0)) - (B848 + TIME(LEFT(C848, 2), MID(C848, 3, 2), 0))</f>
        <v>1.0284722222204437</v>
      </c>
    </row>
    <row r="849" spans="1:6">
      <c r="A849" s="37" t="s">
        <v>391</v>
      </c>
      <c r="B849" s="93">
        <v>45766</v>
      </c>
      <c r="C849" s="37" t="s">
        <v>1057</v>
      </c>
      <c r="D849" s="93">
        <v>45766</v>
      </c>
      <c r="E849" s="37" t="s">
        <v>314</v>
      </c>
      <c r="F849" s="100">
        <f t="shared" ref="F849:F858" si="69">(D849 + TIME(LEFT(E849, 2), MID(E849, 3, 2), 0)) - (B849 + TIME(LEFT(C849, 2), MID(C849, 3, 2), 0))</f>
        <v>0.11111111110949423</v>
      </c>
    </row>
    <row r="850" spans="1:6">
      <c r="A850" s="37" t="s">
        <v>242</v>
      </c>
      <c r="B850" s="93">
        <v>45766</v>
      </c>
      <c r="C850" s="37" t="s">
        <v>955</v>
      </c>
      <c r="D850" s="93">
        <v>45767</v>
      </c>
      <c r="E850" s="37" t="s">
        <v>1058</v>
      </c>
      <c r="F850" s="100">
        <f t="shared" si="69"/>
        <v>1.7763888888875954</v>
      </c>
    </row>
    <row r="851" spans="1:6">
      <c r="A851" s="37" t="s">
        <v>225</v>
      </c>
      <c r="B851" s="93">
        <v>45766</v>
      </c>
      <c r="C851" s="37" t="s">
        <v>218</v>
      </c>
      <c r="D851" s="93">
        <v>45766</v>
      </c>
      <c r="E851" s="37" t="s">
        <v>222</v>
      </c>
      <c r="F851" s="100">
        <f t="shared" si="69"/>
        <v>0.50069444443943212</v>
      </c>
    </row>
    <row r="852" spans="1:6">
      <c r="A852" s="37" t="s">
        <v>211</v>
      </c>
      <c r="B852" s="93">
        <v>45766</v>
      </c>
      <c r="C852" s="37" t="s">
        <v>755</v>
      </c>
      <c r="D852" s="93">
        <v>45766</v>
      </c>
      <c r="E852" s="37" t="s">
        <v>222</v>
      </c>
      <c r="F852" s="100">
        <f t="shared" si="69"/>
        <v>0.49861111110658385</v>
      </c>
    </row>
    <row r="853" spans="1:6">
      <c r="A853" s="37" t="s">
        <v>164</v>
      </c>
      <c r="B853" s="93">
        <v>45766</v>
      </c>
      <c r="C853" s="37" t="s">
        <v>821</v>
      </c>
      <c r="D853" s="93">
        <v>45766</v>
      </c>
      <c r="E853" s="37" t="s">
        <v>654</v>
      </c>
      <c r="F853" s="100">
        <f t="shared" si="69"/>
        <v>9.7222222248092294E-3</v>
      </c>
    </row>
    <row r="854" spans="1:6">
      <c r="A854" s="37" t="s">
        <v>232</v>
      </c>
      <c r="B854" s="93">
        <v>45766</v>
      </c>
      <c r="C854" s="37" t="s">
        <v>684</v>
      </c>
      <c r="D854" s="93">
        <v>45766</v>
      </c>
      <c r="E854" s="37" t="s">
        <v>365</v>
      </c>
      <c r="F854" s="100">
        <f t="shared" si="69"/>
        <v>5.694444444088731E-2</v>
      </c>
    </row>
    <row r="855" spans="1:6">
      <c r="A855" s="37" t="s">
        <v>164</v>
      </c>
      <c r="B855" s="93">
        <v>45766</v>
      </c>
      <c r="C855" s="37" t="s">
        <v>1013</v>
      </c>
      <c r="D855" s="93">
        <v>45766</v>
      </c>
      <c r="E855" s="37" t="s">
        <v>472</v>
      </c>
      <c r="F855" s="100">
        <f t="shared" si="69"/>
        <v>4.0277777778101154E-2</v>
      </c>
    </row>
    <row r="856" spans="1:6">
      <c r="A856" s="37" t="s">
        <v>234</v>
      </c>
      <c r="B856" s="93">
        <v>45766</v>
      </c>
      <c r="C856" s="37" t="s">
        <v>779</v>
      </c>
      <c r="D856" s="93">
        <v>45766</v>
      </c>
      <c r="E856" s="37" t="s">
        <v>780</v>
      </c>
      <c r="F856" s="100">
        <f t="shared" si="69"/>
        <v>7.0833333338669036E-2</v>
      </c>
    </row>
    <row r="857" spans="1:6">
      <c r="A857" s="37" t="s">
        <v>236</v>
      </c>
      <c r="B857" s="93">
        <v>45766</v>
      </c>
      <c r="C857" s="37" t="s">
        <v>1059</v>
      </c>
      <c r="D857" s="93">
        <v>45766</v>
      </c>
      <c r="E857" s="37" t="s">
        <v>483</v>
      </c>
      <c r="F857" s="100">
        <f t="shared" si="69"/>
        <v>6.1805555553291924E-2</v>
      </c>
    </row>
    <row r="858" spans="1:6">
      <c r="A858" s="37" t="s">
        <v>391</v>
      </c>
      <c r="B858" s="93">
        <v>45766</v>
      </c>
      <c r="C858" s="37" t="s">
        <v>1060</v>
      </c>
      <c r="D858" s="93">
        <v>45766</v>
      </c>
      <c r="E858" s="37" t="s">
        <v>472</v>
      </c>
      <c r="F858" s="100">
        <f t="shared" si="69"/>
        <v>2.2916666668606922E-2</v>
      </c>
    </row>
    <row r="859" spans="1:6">
      <c r="A859" s="37" t="s">
        <v>180</v>
      </c>
      <c r="B859" s="93">
        <v>45766</v>
      </c>
      <c r="C859" s="37" t="s">
        <v>744</v>
      </c>
      <c r="D859" s="93">
        <v>45767</v>
      </c>
      <c r="E859" s="37" t="s">
        <v>1061</v>
      </c>
      <c r="F859" s="100">
        <f>(D859 + TIME(LEFT(E859, 2), MID(E859, 3, 2), 0)) - (B859 + TIME(LEFT(C859, 2), MID(C859, 3, 2), 0))</f>
        <v>1.5534722222218988</v>
      </c>
    </row>
    <row r="860" spans="1:6">
      <c r="A860" s="37" t="s">
        <v>391</v>
      </c>
      <c r="B860" s="93">
        <v>45766</v>
      </c>
      <c r="C860" s="37" t="s">
        <v>320</v>
      </c>
      <c r="D860" s="93">
        <v>45766</v>
      </c>
      <c r="E860" s="37" t="s">
        <v>318</v>
      </c>
      <c r="F860" s="100">
        <f t="shared" ref="F860:F868" si="70">(D860 + TIME(LEFT(E860, 2), MID(E860, 3, 2), 0)) - (B860 + TIME(LEFT(C860, 2), MID(C860, 3, 2), 0))</f>
        <v>7.6388888846850023E-3</v>
      </c>
    </row>
    <row r="861" spans="1:6">
      <c r="A861" s="37" t="s">
        <v>186</v>
      </c>
      <c r="B861" s="93">
        <v>45766</v>
      </c>
      <c r="C861" s="37" t="s">
        <v>369</v>
      </c>
      <c r="D861" s="93">
        <v>45766</v>
      </c>
      <c r="E861" s="37" t="s">
        <v>538</v>
      </c>
      <c r="F861" s="100">
        <f t="shared" si="70"/>
        <v>0.56388888888614019</v>
      </c>
    </row>
    <row r="862" spans="1:6">
      <c r="A862" s="37" t="s">
        <v>164</v>
      </c>
      <c r="B862" s="93">
        <v>45766</v>
      </c>
      <c r="C862" s="37" t="s">
        <v>487</v>
      </c>
      <c r="D862" s="93">
        <v>45766</v>
      </c>
      <c r="E862" s="37" t="s">
        <v>1062</v>
      </c>
      <c r="F862" s="100">
        <f t="shared" si="70"/>
        <v>6.0416666659875773E-2</v>
      </c>
    </row>
    <row r="863" spans="1:6">
      <c r="A863" s="37" t="s">
        <v>232</v>
      </c>
      <c r="B863" s="93">
        <v>45766</v>
      </c>
      <c r="C863" s="37" t="s">
        <v>495</v>
      </c>
      <c r="D863" s="93">
        <v>45766</v>
      </c>
      <c r="E863" s="37" t="s">
        <v>1022</v>
      </c>
      <c r="F863" s="100">
        <f t="shared" si="70"/>
        <v>3.9583333331393078E-2</v>
      </c>
    </row>
    <row r="864" spans="1:6">
      <c r="A864" s="37" t="s">
        <v>234</v>
      </c>
      <c r="B864" s="93">
        <v>45766</v>
      </c>
      <c r="C864" s="37" t="s">
        <v>1063</v>
      </c>
      <c r="D864" s="93">
        <v>45766</v>
      </c>
      <c r="E864" s="37" t="s">
        <v>410</v>
      </c>
      <c r="F864" s="100">
        <f t="shared" si="70"/>
        <v>0.21666666666715173</v>
      </c>
    </row>
    <row r="865" spans="1:6">
      <c r="A865" s="37" t="s">
        <v>183</v>
      </c>
      <c r="B865" s="93">
        <v>45766</v>
      </c>
      <c r="C865" s="37" t="s">
        <v>463</v>
      </c>
      <c r="D865" s="93">
        <v>45766</v>
      </c>
      <c r="E865" s="37" t="s">
        <v>582</v>
      </c>
      <c r="F865" s="100">
        <f t="shared" si="70"/>
        <v>0.41944444444379769</v>
      </c>
    </row>
    <row r="866" spans="1:6">
      <c r="A866" s="37" t="s">
        <v>236</v>
      </c>
      <c r="B866" s="93">
        <v>45766</v>
      </c>
      <c r="C866" s="37" t="s">
        <v>795</v>
      </c>
      <c r="D866" s="93">
        <v>45766</v>
      </c>
      <c r="E866" s="37" t="s">
        <v>1064</v>
      </c>
      <c r="F866" s="100">
        <f t="shared" si="70"/>
        <v>0.23194444444379769</v>
      </c>
    </row>
    <row r="867" spans="1:6">
      <c r="A867" s="37" t="s">
        <v>391</v>
      </c>
      <c r="B867" s="93">
        <v>45766</v>
      </c>
      <c r="C867" s="37" t="s">
        <v>833</v>
      </c>
      <c r="D867" s="93">
        <v>45766</v>
      </c>
      <c r="E867" s="37" t="s">
        <v>793</v>
      </c>
      <c r="F867" s="100">
        <f t="shared" si="70"/>
        <v>0.13402777777810115</v>
      </c>
    </row>
    <row r="868" spans="1:6">
      <c r="A868" s="37" t="s">
        <v>164</v>
      </c>
      <c r="B868" s="93">
        <v>45766</v>
      </c>
      <c r="C868" s="37" t="s">
        <v>516</v>
      </c>
      <c r="D868" s="93">
        <v>45766</v>
      </c>
      <c r="E868" s="37" t="s">
        <v>407</v>
      </c>
      <c r="F868" s="100">
        <f t="shared" si="70"/>
        <v>3.9583333338669036E-2</v>
      </c>
    </row>
    <row r="869" spans="1:6">
      <c r="A869" s="37" t="s">
        <v>174</v>
      </c>
      <c r="B869" s="93">
        <v>45766</v>
      </c>
      <c r="C869" s="37" t="s">
        <v>1065</v>
      </c>
      <c r="D869" s="93">
        <v>45768</v>
      </c>
      <c r="E869" s="37" t="s">
        <v>861</v>
      </c>
      <c r="F869" s="100">
        <f>(D869 + TIME(LEFT(E869, 2), MID(E869, 3, 2), 0)) - (B869 + TIME(LEFT(C869, 2), MID(C869, 3, 2), 0))</f>
        <v>1.3951388888890506</v>
      </c>
    </row>
    <row r="870" spans="1:6">
      <c r="A870" s="37" t="s">
        <v>220</v>
      </c>
      <c r="B870" s="93">
        <v>45766</v>
      </c>
      <c r="C870" s="37" t="s">
        <v>274</v>
      </c>
      <c r="D870" s="93">
        <v>45767</v>
      </c>
      <c r="E870" s="37" t="s">
        <v>216</v>
      </c>
      <c r="F870" s="100">
        <f>(D870 + TIME(LEFT(E870, 2), MID(E870, 3, 2), 0)) - (B870 + TIME(LEFT(C870, 2), MID(C870, 3, 2), 0))</f>
        <v>0.50069444443943212</v>
      </c>
    </row>
    <row r="871" spans="1:6">
      <c r="A871" s="37" t="s">
        <v>232</v>
      </c>
      <c r="B871" s="93">
        <v>45766</v>
      </c>
      <c r="C871" s="37" t="s">
        <v>788</v>
      </c>
      <c r="D871" s="93">
        <v>45766</v>
      </c>
      <c r="E871" s="37" t="s">
        <v>669</v>
      </c>
      <c r="F871" s="100">
        <f>(D871 + TIME(LEFT(E871, 2), MID(E871, 3, 2), 0)) - (B871 + TIME(LEFT(C871, 2), MID(C871, 3, 2), 0))</f>
        <v>3.4027777779556345E-2</v>
      </c>
    </row>
    <row r="872" spans="1:6">
      <c r="A872" s="37" t="s">
        <v>217</v>
      </c>
      <c r="B872" s="93">
        <v>45766</v>
      </c>
      <c r="C872" s="37" t="s">
        <v>212</v>
      </c>
      <c r="D872" s="93">
        <v>45767</v>
      </c>
      <c r="E872" s="37" t="s">
        <v>898</v>
      </c>
      <c r="F872" s="100">
        <f>(D872 + TIME(LEFT(E872, 2), MID(E872, 3, 2), 0)) - (B872 + TIME(LEFT(C872, 2), MID(C872, 3, 2), 0))</f>
        <v>0.45138888888322981</v>
      </c>
    </row>
    <row r="873" spans="1:6">
      <c r="A873" s="37" t="s">
        <v>214</v>
      </c>
      <c r="B873" s="93">
        <v>45766</v>
      </c>
      <c r="C873" s="37" t="s">
        <v>212</v>
      </c>
      <c r="D873" s="93">
        <v>45767</v>
      </c>
      <c r="E873" s="37" t="s">
        <v>1066</v>
      </c>
      <c r="F873" s="100">
        <f>(D873 + TIME(LEFT(E873, 2), MID(E873, 3, 2), 0)) - (B873 + TIME(LEFT(C873, 2), MID(C873, 3, 2), 0))</f>
        <v>0.41736111111094942</v>
      </c>
    </row>
    <row r="874" spans="1:6">
      <c r="A874" s="37" t="s">
        <v>391</v>
      </c>
      <c r="B874" s="93">
        <v>45766</v>
      </c>
      <c r="C874" s="37" t="s">
        <v>886</v>
      </c>
      <c r="D874" s="93">
        <v>45766</v>
      </c>
      <c r="E874" s="37" t="s">
        <v>525</v>
      </c>
      <c r="F874" s="100">
        <f t="shared" ref="F874:F885" si="71">(D874 + TIME(LEFT(E874, 2), MID(E874, 3, 2), 0)) - (B874 + TIME(LEFT(C874, 2), MID(C874, 3, 2), 0))</f>
        <v>3.1944444446708076E-2</v>
      </c>
    </row>
    <row r="875" spans="1:6">
      <c r="A875" s="37" t="s">
        <v>164</v>
      </c>
      <c r="B875" s="93">
        <v>45766</v>
      </c>
      <c r="C875" s="37" t="s">
        <v>1067</v>
      </c>
      <c r="D875" s="93">
        <v>45766</v>
      </c>
      <c r="E875" s="37" t="s">
        <v>633</v>
      </c>
      <c r="F875" s="100">
        <f t="shared" si="71"/>
        <v>3.4027777779556345E-2</v>
      </c>
    </row>
    <row r="876" spans="1:6">
      <c r="A876" s="37" t="s">
        <v>234</v>
      </c>
      <c r="B876" s="93">
        <v>45766</v>
      </c>
      <c r="C876" s="37" t="s">
        <v>1067</v>
      </c>
      <c r="D876" s="93">
        <v>45766</v>
      </c>
      <c r="E876" s="37" t="s">
        <v>277</v>
      </c>
      <c r="F876" s="100">
        <f t="shared" si="71"/>
        <v>1.8055555556202307E-2</v>
      </c>
    </row>
    <row r="877" spans="1:6">
      <c r="A877" s="37" t="s">
        <v>335</v>
      </c>
      <c r="B877" s="93">
        <v>45766</v>
      </c>
      <c r="C877" s="37" t="s">
        <v>762</v>
      </c>
      <c r="D877" s="93">
        <v>45766</v>
      </c>
      <c r="E877" s="37" t="s">
        <v>1068</v>
      </c>
      <c r="F877" s="100">
        <f t="shared" si="71"/>
        <v>0.10624999999708962</v>
      </c>
    </row>
    <row r="878" spans="1:6">
      <c r="A878" s="37" t="s">
        <v>211</v>
      </c>
      <c r="B878" s="93">
        <v>45766</v>
      </c>
      <c r="C878" s="37" t="s">
        <v>1069</v>
      </c>
      <c r="D878" s="93">
        <v>45766</v>
      </c>
      <c r="E878" s="37" t="s">
        <v>419</v>
      </c>
      <c r="F878" s="100">
        <f t="shared" si="71"/>
        <v>5.2777777775190771E-2</v>
      </c>
    </row>
    <row r="879" spans="1:6">
      <c r="A879" s="37" t="s">
        <v>232</v>
      </c>
      <c r="B879" s="93">
        <v>45766</v>
      </c>
      <c r="C879" s="37" t="s">
        <v>842</v>
      </c>
      <c r="D879" s="93">
        <v>45766</v>
      </c>
      <c r="E879" s="37" t="s">
        <v>337</v>
      </c>
      <c r="F879" s="100">
        <f t="shared" si="71"/>
        <v>2.0833333328482695E-2</v>
      </c>
    </row>
    <row r="880" spans="1:6">
      <c r="A880" s="37" t="s">
        <v>234</v>
      </c>
      <c r="B880" s="93">
        <v>45766</v>
      </c>
      <c r="C880" s="37" t="s">
        <v>842</v>
      </c>
      <c r="D880" s="93">
        <v>45766</v>
      </c>
      <c r="E880" s="37" t="s">
        <v>1070</v>
      </c>
      <c r="F880" s="100">
        <f t="shared" si="71"/>
        <v>2.7777777773735579E-2</v>
      </c>
    </row>
    <row r="881" spans="1:6">
      <c r="A881" s="37" t="s">
        <v>236</v>
      </c>
      <c r="B881" s="93">
        <v>45766</v>
      </c>
      <c r="C881" s="37" t="s">
        <v>1071</v>
      </c>
      <c r="D881" s="93">
        <v>45766</v>
      </c>
      <c r="E881" s="37" t="s">
        <v>542</v>
      </c>
      <c r="F881" s="100">
        <f t="shared" si="71"/>
        <v>4.166666665696539E-3</v>
      </c>
    </row>
    <row r="882" spans="1:6">
      <c r="A882" s="37" t="s">
        <v>391</v>
      </c>
      <c r="B882" s="93">
        <v>45766</v>
      </c>
      <c r="C882" s="37" t="s">
        <v>538</v>
      </c>
      <c r="D882" s="93">
        <v>45766</v>
      </c>
      <c r="E882" s="37" t="s">
        <v>188</v>
      </c>
      <c r="F882" s="100">
        <f t="shared" si="71"/>
        <v>8.3333333386690356E-3</v>
      </c>
    </row>
    <row r="883" spans="1:6">
      <c r="A883" s="37" t="s">
        <v>164</v>
      </c>
      <c r="B883" s="93">
        <v>45766</v>
      </c>
      <c r="C883" s="37" t="s">
        <v>1071</v>
      </c>
      <c r="D883" s="93">
        <v>45766</v>
      </c>
      <c r="E883" s="37" t="s">
        <v>424</v>
      </c>
      <c r="F883" s="100">
        <f t="shared" si="71"/>
        <v>1.4583333329937886E-2</v>
      </c>
    </row>
    <row r="884" spans="1:6">
      <c r="A884" s="37" t="s">
        <v>232</v>
      </c>
      <c r="B884" s="93">
        <v>45766</v>
      </c>
      <c r="C884" s="37" t="s">
        <v>1072</v>
      </c>
      <c r="D884" s="93">
        <v>45767</v>
      </c>
      <c r="E884" s="37" t="s">
        <v>1073</v>
      </c>
      <c r="F884" s="100">
        <f t="shared" si="71"/>
        <v>1.3194444443797693E-2</v>
      </c>
    </row>
    <row r="885" spans="1:6">
      <c r="A885" s="37" t="s">
        <v>234</v>
      </c>
      <c r="B885" s="93">
        <v>45766</v>
      </c>
      <c r="C885" s="37" t="s">
        <v>1058</v>
      </c>
      <c r="D885" s="93">
        <v>45767</v>
      </c>
      <c r="E885" s="37" t="s">
        <v>1074</v>
      </c>
      <c r="F885" s="100">
        <f t="shared" si="71"/>
        <v>2.8472222227719612E-2</v>
      </c>
    </row>
    <row r="886" spans="1:6">
      <c r="A886" s="37" t="s">
        <v>211</v>
      </c>
      <c r="B886" s="93">
        <v>45767</v>
      </c>
      <c r="C886" s="37" t="s">
        <v>216</v>
      </c>
      <c r="D886" s="93">
        <v>45767</v>
      </c>
      <c r="E886" s="37" t="s">
        <v>896</v>
      </c>
      <c r="F886" s="100">
        <f>(D886 + TIME(LEFT(E886, 2), MID(E886, 3, 2), 0)) - (B886 + TIME(LEFT(C886, 2), MID(C886, 3, 2), 0))</f>
        <v>0.41666666667151731</v>
      </c>
    </row>
    <row r="887" spans="1:6">
      <c r="A887" s="37" t="s">
        <v>177</v>
      </c>
      <c r="B887" s="93">
        <v>45767</v>
      </c>
      <c r="C887" s="37" t="s">
        <v>853</v>
      </c>
      <c r="D887" s="93">
        <v>45768</v>
      </c>
      <c r="E887" s="37" t="s">
        <v>931</v>
      </c>
      <c r="F887" s="100">
        <f>(D887 + TIME(LEFT(E887, 2), MID(E887, 3, 2), 0)) - (B887 + TIME(LEFT(C887, 2), MID(C887, 3, 2), 0))</f>
        <v>0.89305555555620231</v>
      </c>
    </row>
    <row r="888" spans="1:6">
      <c r="A888" s="37" t="s">
        <v>220</v>
      </c>
      <c r="B888" s="93">
        <v>45767</v>
      </c>
      <c r="C888" s="37" t="s">
        <v>723</v>
      </c>
      <c r="D888" s="93">
        <v>45769</v>
      </c>
      <c r="E888" s="37" t="s">
        <v>1075</v>
      </c>
      <c r="F888" s="100">
        <f>(D888 + TIME(LEFT(E888, 2), MID(E888, 3, 2), 0)) - (B888 + TIME(LEFT(C888, 2), MID(C888, 3, 2), 0))</f>
        <v>2.5</v>
      </c>
    </row>
    <row r="889" spans="1:6">
      <c r="A889" s="37" t="s">
        <v>248</v>
      </c>
      <c r="B889" s="93">
        <v>45767</v>
      </c>
      <c r="C889" s="37" t="s">
        <v>1076</v>
      </c>
      <c r="D889" s="93">
        <v>45767</v>
      </c>
      <c r="E889" s="37" t="s">
        <v>653</v>
      </c>
      <c r="F889" s="100">
        <f t="shared" ref="F889:F895" si="72">(D889 + TIME(LEFT(E889, 2), MID(E889, 3, 2), 0)) - (B889 + TIME(LEFT(C889, 2), MID(C889, 3, 2), 0))</f>
        <v>2.0138888889050577E-2</v>
      </c>
    </row>
    <row r="890" spans="1:6">
      <c r="A890" s="37" t="s">
        <v>236</v>
      </c>
      <c r="B890" s="93">
        <v>45767</v>
      </c>
      <c r="C890" s="37" t="s">
        <v>683</v>
      </c>
      <c r="D890" s="93">
        <v>45767</v>
      </c>
      <c r="E890" s="37" t="s">
        <v>962</v>
      </c>
      <c r="F890" s="100">
        <f t="shared" si="72"/>
        <v>2.6388888887595385E-2</v>
      </c>
    </row>
    <row r="891" spans="1:6">
      <c r="A891" s="37" t="s">
        <v>225</v>
      </c>
      <c r="B891" s="93">
        <v>45767</v>
      </c>
      <c r="C891" s="37" t="s">
        <v>466</v>
      </c>
      <c r="D891" s="93">
        <v>45767</v>
      </c>
      <c r="E891" s="37" t="s">
        <v>222</v>
      </c>
      <c r="F891" s="100">
        <f t="shared" si="72"/>
        <v>0.40555555555329192</v>
      </c>
    </row>
    <row r="892" spans="1:6">
      <c r="A892" s="37" t="s">
        <v>217</v>
      </c>
      <c r="B892" s="93">
        <v>45767</v>
      </c>
      <c r="C892" s="37" t="s">
        <v>466</v>
      </c>
      <c r="D892" s="93">
        <v>45767</v>
      </c>
      <c r="E892" s="37" t="s">
        <v>257</v>
      </c>
      <c r="F892" s="100">
        <f t="shared" si="72"/>
        <v>1.3888888861401938E-3</v>
      </c>
    </row>
    <row r="893" spans="1:6">
      <c r="A893" s="37" t="s">
        <v>239</v>
      </c>
      <c r="B893" s="93">
        <v>45767</v>
      </c>
      <c r="C893" s="37" t="s">
        <v>604</v>
      </c>
      <c r="D893" s="93">
        <v>45767</v>
      </c>
      <c r="E893" s="37" t="s">
        <v>558</v>
      </c>
      <c r="F893" s="100">
        <f t="shared" si="72"/>
        <v>3.125E-2</v>
      </c>
    </row>
    <row r="894" spans="1:6">
      <c r="A894" s="37" t="s">
        <v>164</v>
      </c>
      <c r="B894" s="93">
        <v>45767</v>
      </c>
      <c r="C894" s="37" t="s">
        <v>1077</v>
      </c>
      <c r="D894" s="93">
        <v>45767</v>
      </c>
      <c r="E894" s="37" t="s">
        <v>323</v>
      </c>
      <c r="F894" s="100">
        <f t="shared" si="72"/>
        <v>2.9861111106583849E-2</v>
      </c>
    </row>
    <row r="895" spans="1:6">
      <c r="A895" s="37" t="s">
        <v>232</v>
      </c>
      <c r="B895" s="93">
        <v>45767</v>
      </c>
      <c r="C895" s="37" t="s">
        <v>662</v>
      </c>
      <c r="D895" s="93">
        <v>45767</v>
      </c>
      <c r="E895" s="37" t="s">
        <v>548</v>
      </c>
      <c r="F895" s="100">
        <f t="shared" si="72"/>
        <v>3.1944444439432118E-2</v>
      </c>
    </row>
    <row r="896" spans="1:6">
      <c r="A896" s="37" t="s">
        <v>242</v>
      </c>
      <c r="B896" s="93">
        <v>45767</v>
      </c>
      <c r="C896" s="37" t="s">
        <v>662</v>
      </c>
      <c r="D896" s="93">
        <v>45769</v>
      </c>
      <c r="E896" s="37" t="s">
        <v>1078</v>
      </c>
      <c r="F896" s="100">
        <f>(D896 + TIME(LEFT(E896, 2), MID(E896, 3, 2), 0)) - (B896 + TIME(LEFT(C896, 2), MID(C896, 3, 2), 0))</f>
        <v>1.6548611111065838</v>
      </c>
    </row>
    <row r="897" spans="1:6">
      <c r="A897" s="37" t="s">
        <v>186</v>
      </c>
      <c r="B897" s="93">
        <v>45767</v>
      </c>
      <c r="C897" s="37" t="s">
        <v>1079</v>
      </c>
      <c r="D897" s="93">
        <v>45768</v>
      </c>
      <c r="E897" s="37" t="s">
        <v>982</v>
      </c>
      <c r="F897" s="100">
        <f t="shared" ref="F897:F915" si="73">(D897 + TIME(LEFT(E897, 2), MID(E897, 3, 2), 0)) - (B897 + TIME(LEFT(C897, 2), MID(C897, 3, 2), 0))</f>
        <v>0.71388888888759539</v>
      </c>
    </row>
    <row r="898" spans="1:6">
      <c r="A898" s="37" t="s">
        <v>232</v>
      </c>
      <c r="B898" s="93">
        <v>45767</v>
      </c>
      <c r="C898" s="37" t="s">
        <v>1080</v>
      </c>
      <c r="D898" s="93">
        <v>45767</v>
      </c>
      <c r="E898" s="37" t="s">
        <v>1081</v>
      </c>
      <c r="F898" s="100">
        <f t="shared" si="73"/>
        <v>2.2916666668606922E-2</v>
      </c>
    </row>
    <row r="899" spans="1:6">
      <c r="A899" s="37" t="s">
        <v>234</v>
      </c>
      <c r="B899" s="93">
        <v>45767</v>
      </c>
      <c r="C899" s="37" t="s">
        <v>876</v>
      </c>
      <c r="D899" s="93">
        <v>45767</v>
      </c>
      <c r="E899" s="37" t="s">
        <v>612</v>
      </c>
      <c r="F899" s="100">
        <f t="shared" si="73"/>
        <v>1.5972222223354038E-2</v>
      </c>
    </row>
    <row r="900" spans="1:6">
      <c r="A900" s="37" t="s">
        <v>183</v>
      </c>
      <c r="B900" s="93">
        <v>45767</v>
      </c>
      <c r="C900" s="37" t="s">
        <v>1082</v>
      </c>
      <c r="D900" s="93">
        <v>45768</v>
      </c>
      <c r="E900" s="37" t="s">
        <v>1030</v>
      </c>
      <c r="F900" s="100">
        <f t="shared" si="73"/>
        <v>0.66666666667151731</v>
      </c>
    </row>
    <row r="901" spans="1:6">
      <c r="A901" s="37" t="s">
        <v>214</v>
      </c>
      <c r="B901" s="93">
        <v>45767</v>
      </c>
      <c r="C901" s="37" t="s">
        <v>267</v>
      </c>
      <c r="D901" s="93">
        <v>45768</v>
      </c>
      <c r="E901" s="37" t="s">
        <v>730</v>
      </c>
      <c r="F901" s="100">
        <f t="shared" si="73"/>
        <v>0.85486111111094942</v>
      </c>
    </row>
    <row r="902" spans="1:6">
      <c r="A902" s="37" t="s">
        <v>236</v>
      </c>
      <c r="B902" s="93">
        <v>45767</v>
      </c>
      <c r="C902" s="37" t="s">
        <v>1083</v>
      </c>
      <c r="D902" s="93">
        <v>45767</v>
      </c>
      <c r="E902" s="37" t="s">
        <v>1084</v>
      </c>
      <c r="F902" s="100">
        <f t="shared" si="73"/>
        <v>0.12569444444670808</v>
      </c>
    </row>
    <row r="903" spans="1:6">
      <c r="A903" s="37" t="s">
        <v>391</v>
      </c>
      <c r="B903" s="93">
        <v>45767</v>
      </c>
      <c r="C903" s="37" t="s">
        <v>1033</v>
      </c>
      <c r="D903" s="93">
        <v>45767</v>
      </c>
      <c r="E903" s="37" t="s">
        <v>469</v>
      </c>
      <c r="F903" s="100">
        <f t="shared" si="73"/>
        <v>0.11944444444088731</v>
      </c>
    </row>
    <row r="904" spans="1:6">
      <c r="A904" s="37" t="s">
        <v>164</v>
      </c>
      <c r="B904" s="93">
        <v>45767</v>
      </c>
      <c r="C904" s="37" t="s">
        <v>526</v>
      </c>
      <c r="D904" s="93">
        <v>45767</v>
      </c>
      <c r="E904" s="37" t="s">
        <v>206</v>
      </c>
      <c r="F904" s="100">
        <f t="shared" si="73"/>
        <v>4.8611111109494232E-2</v>
      </c>
    </row>
    <row r="905" spans="1:6">
      <c r="A905" s="37" t="s">
        <v>232</v>
      </c>
      <c r="B905" s="93">
        <v>45767</v>
      </c>
      <c r="C905" s="37" t="s">
        <v>222</v>
      </c>
      <c r="D905" s="93">
        <v>45767</v>
      </c>
      <c r="E905" s="37" t="s">
        <v>1003</v>
      </c>
      <c r="F905" s="100">
        <f t="shared" si="73"/>
        <v>5.0000000002910383E-2</v>
      </c>
    </row>
    <row r="906" spans="1:6">
      <c r="A906" s="37" t="s">
        <v>234</v>
      </c>
      <c r="B906" s="93">
        <v>45767</v>
      </c>
      <c r="C906" s="37" t="s">
        <v>1085</v>
      </c>
      <c r="D906" s="93">
        <v>45767</v>
      </c>
      <c r="E906" s="37" t="s">
        <v>278</v>
      </c>
      <c r="F906" s="100">
        <f t="shared" si="73"/>
        <v>4.9305555556202307E-2</v>
      </c>
    </row>
    <row r="907" spans="1:6">
      <c r="A907" s="37" t="s">
        <v>217</v>
      </c>
      <c r="B907" s="93">
        <v>45767</v>
      </c>
      <c r="C907" s="37" t="s">
        <v>212</v>
      </c>
      <c r="D907" s="93">
        <v>45768</v>
      </c>
      <c r="E907" s="37" t="s">
        <v>238</v>
      </c>
      <c r="F907" s="100">
        <f t="shared" si="73"/>
        <v>0.50138888888614019</v>
      </c>
    </row>
    <row r="908" spans="1:6">
      <c r="A908" s="37" t="s">
        <v>236</v>
      </c>
      <c r="B908" s="93">
        <v>45767</v>
      </c>
      <c r="C908" s="37" t="s">
        <v>1086</v>
      </c>
      <c r="D908" s="93">
        <v>45767</v>
      </c>
      <c r="E908" s="37" t="s">
        <v>977</v>
      </c>
      <c r="F908" s="100">
        <f t="shared" si="73"/>
        <v>5.486111110803904E-2</v>
      </c>
    </row>
    <row r="909" spans="1:6">
      <c r="A909" s="37" t="s">
        <v>391</v>
      </c>
      <c r="B909" s="93">
        <v>45767</v>
      </c>
      <c r="C909" s="37" t="s">
        <v>412</v>
      </c>
      <c r="D909" s="93">
        <v>45767</v>
      </c>
      <c r="E909" s="37" t="s">
        <v>1087</v>
      </c>
      <c r="F909" s="100">
        <f t="shared" si="73"/>
        <v>3.1944444446708076E-2</v>
      </c>
    </row>
    <row r="910" spans="1:6">
      <c r="A910" s="37" t="s">
        <v>335</v>
      </c>
      <c r="B910" s="93">
        <v>45767</v>
      </c>
      <c r="C910" s="37" t="s">
        <v>426</v>
      </c>
      <c r="D910" s="93">
        <v>45768</v>
      </c>
      <c r="E910" s="37" t="s">
        <v>1088</v>
      </c>
      <c r="F910" s="100">
        <f t="shared" si="73"/>
        <v>0.34513888888614019</v>
      </c>
    </row>
    <row r="911" spans="1:6">
      <c r="A911" s="37" t="s">
        <v>232</v>
      </c>
      <c r="B911" s="93">
        <v>45768</v>
      </c>
      <c r="C911" s="37" t="s">
        <v>1089</v>
      </c>
      <c r="D911" s="93">
        <v>45768</v>
      </c>
      <c r="E911" s="37" t="s">
        <v>894</v>
      </c>
      <c r="F911" s="100">
        <f t="shared" si="73"/>
        <v>2.0138888889050577E-2</v>
      </c>
    </row>
    <row r="912" spans="1:6">
      <c r="A912" s="37" t="s">
        <v>234</v>
      </c>
      <c r="B912" s="93">
        <v>45768</v>
      </c>
      <c r="C912" s="37" t="s">
        <v>1089</v>
      </c>
      <c r="D912" s="93">
        <v>45768</v>
      </c>
      <c r="E912" s="37" t="s">
        <v>894</v>
      </c>
      <c r="F912" s="100">
        <f t="shared" si="73"/>
        <v>2.0138888889050577E-2</v>
      </c>
    </row>
    <row r="913" spans="1:7">
      <c r="A913" s="37" t="s">
        <v>164</v>
      </c>
      <c r="B913" s="93">
        <v>45768</v>
      </c>
      <c r="C913" s="37" t="s">
        <v>1089</v>
      </c>
      <c r="D913" s="93">
        <v>45768</v>
      </c>
      <c r="E913" s="37" t="s">
        <v>1090</v>
      </c>
      <c r="F913" s="100">
        <f t="shared" si="73"/>
        <v>2.2916666668606922E-2</v>
      </c>
    </row>
    <row r="914" spans="1:7">
      <c r="A914" s="37" t="s">
        <v>391</v>
      </c>
      <c r="B914" s="93">
        <v>45768</v>
      </c>
      <c r="C914" s="37" t="s">
        <v>1089</v>
      </c>
      <c r="D914" s="93">
        <v>45768</v>
      </c>
      <c r="E914" s="37" t="s">
        <v>1090</v>
      </c>
      <c r="F914" s="100">
        <f t="shared" si="73"/>
        <v>2.2916666668606922E-2</v>
      </c>
    </row>
    <row r="915" spans="1:7">
      <c r="A915" s="37" t="s">
        <v>236</v>
      </c>
      <c r="B915" s="93">
        <v>45768</v>
      </c>
      <c r="C915" s="37" t="s">
        <v>1089</v>
      </c>
      <c r="D915" s="93">
        <v>45768</v>
      </c>
      <c r="E915" s="37" t="s">
        <v>193</v>
      </c>
      <c r="F915" s="100">
        <f t="shared" si="73"/>
        <v>2.5694444448163267E-2</v>
      </c>
    </row>
    <row r="916" spans="1:7">
      <c r="A916" s="37" t="s">
        <v>174</v>
      </c>
      <c r="B916" s="93">
        <v>45768</v>
      </c>
      <c r="C916" s="37" t="s">
        <v>459</v>
      </c>
      <c r="D916" s="93">
        <v>45768</v>
      </c>
      <c r="E916" s="37" t="s">
        <v>1091</v>
      </c>
      <c r="F916" s="100">
        <f t="shared" ref="F916:F949" si="74">(D916 + TIME(LEFT(E916, 2), MID(E916, 3, 2), 0)) - (B916 + TIME(LEFT(C916, 2), MID(C916, 3, 2), 0))</f>
        <v>0.85347222221753327</v>
      </c>
    </row>
    <row r="917" spans="1:7">
      <c r="A917" s="37" t="s">
        <v>180</v>
      </c>
      <c r="B917" s="93">
        <v>45768</v>
      </c>
      <c r="C917" s="37" t="s">
        <v>1092</v>
      </c>
      <c r="D917" s="93">
        <v>45770</v>
      </c>
      <c r="E917" s="37" t="s">
        <v>733</v>
      </c>
      <c r="F917" s="100">
        <f t="shared" si="74"/>
        <v>2.1923611111124046</v>
      </c>
    </row>
    <row r="918" spans="1:7">
      <c r="A918" s="37" t="s">
        <v>236</v>
      </c>
      <c r="B918" s="93">
        <v>45768</v>
      </c>
      <c r="C918" s="37" t="s">
        <v>798</v>
      </c>
      <c r="D918" s="93">
        <v>45768</v>
      </c>
      <c r="E918" s="37" t="s">
        <v>1093</v>
      </c>
      <c r="F918" s="100">
        <f t="shared" si="74"/>
        <v>1.6666666662786156E-2</v>
      </c>
    </row>
    <row r="919" spans="1:7">
      <c r="A919" s="37" t="s">
        <v>391</v>
      </c>
      <c r="B919" s="93">
        <v>45768</v>
      </c>
      <c r="C919" s="37" t="s">
        <v>955</v>
      </c>
      <c r="D919" s="93">
        <v>45768</v>
      </c>
      <c r="E919" s="37" t="s">
        <v>1094</v>
      </c>
      <c r="F919" s="100">
        <f t="shared" si="74"/>
        <v>3.7499999998544808E-2</v>
      </c>
    </row>
    <row r="920" spans="1:7">
      <c r="A920" s="37" t="s">
        <v>164</v>
      </c>
      <c r="B920" s="93">
        <v>45768</v>
      </c>
      <c r="C920" s="37" t="s">
        <v>623</v>
      </c>
      <c r="D920" s="93">
        <v>45768</v>
      </c>
      <c r="E920" s="37" t="s">
        <v>451</v>
      </c>
      <c r="F920" s="100">
        <f t="shared" si="74"/>
        <v>2.0833333328482695E-2</v>
      </c>
    </row>
    <row r="921" spans="1:7">
      <c r="A921" s="37" t="s">
        <v>232</v>
      </c>
      <c r="B921" s="93">
        <v>45768</v>
      </c>
      <c r="C921" s="37" t="s">
        <v>453</v>
      </c>
      <c r="D921" s="93">
        <v>45768</v>
      </c>
      <c r="E921" s="37" t="s">
        <v>454</v>
      </c>
      <c r="F921" s="100">
        <f t="shared" si="74"/>
        <v>2.0138888889050577E-2</v>
      </c>
    </row>
    <row r="922" spans="1:7">
      <c r="A922" s="37" t="s">
        <v>211</v>
      </c>
      <c r="B922" s="93">
        <v>45768</v>
      </c>
      <c r="C922" s="37" t="s">
        <v>218</v>
      </c>
      <c r="D922" s="93">
        <v>45769</v>
      </c>
      <c r="E922" s="37" t="s">
        <v>607</v>
      </c>
      <c r="F922" s="100">
        <f t="shared" si="74"/>
        <v>1.172222222223354</v>
      </c>
      <c r="G922" s="37" t="s">
        <v>9</v>
      </c>
    </row>
    <row r="923" spans="1:7">
      <c r="A923" s="37" t="s">
        <v>186</v>
      </c>
      <c r="B923" s="93">
        <v>45768</v>
      </c>
      <c r="C923" s="37" t="s">
        <v>1095</v>
      </c>
      <c r="D923" s="93">
        <v>45769</v>
      </c>
      <c r="E923" s="37" t="s">
        <v>1096</v>
      </c>
      <c r="F923" s="100">
        <f t="shared" si="74"/>
        <v>0.79374999999708962</v>
      </c>
    </row>
    <row r="924" spans="1:7">
      <c r="A924" s="37" t="s">
        <v>225</v>
      </c>
      <c r="B924" s="93">
        <v>45768</v>
      </c>
      <c r="C924" s="37" t="s">
        <v>213</v>
      </c>
      <c r="D924" s="93">
        <v>45768</v>
      </c>
      <c r="E924" s="37" t="s">
        <v>222</v>
      </c>
      <c r="F924" s="100">
        <f t="shared" si="74"/>
        <v>0.5</v>
      </c>
    </row>
    <row r="925" spans="1:7">
      <c r="A925" s="37" t="s">
        <v>234</v>
      </c>
      <c r="B925" s="93">
        <v>45768</v>
      </c>
      <c r="C925" s="37" t="s">
        <v>737</v>
      </c>
      <c r="D925" s="93">
        <v>45768</v>
      </c>
      <c r="E925" s="37" t="s">
        <v>654</v>
      </c>
      <c r="F925" s="100">
        <f t="shared" si="74"/>
        <v>2.1527777782466728E-2</v>
      </c>
    </row>
    <row r="926" spans="1:7">
      <c r="A926" s="37" t="s">
        <v>236</v>
      </c>
      <c r="B926" s="93">
        <v>45768</v>
      </c>
      <c r="C926" s="37" t="s">
        <v>1097</v>
      </c>
      <c r="D926" s="93">
        <v>45768</v>
      </c>
      <c r="E926" s="37" t="s">
        <v>1098</v>
      </c>
      <c r="F926" s="100">
        <f t="shared" si="74"/>
        <v>0.12013888889487134</v>
      </c>
    </row>
    <row r="927" spans="1:7">
      <c r="A927" s="37" t="s">
        <v>391</v>
      </c>
      <c r="B927" s="93">
        <v>45768</v>
      </c>
      <c r="C927" s="37" t="s">
        <v>600</v>
      </c>
      <c r="D927" s="93">
        <v>45768</v>
      </c>
      <c r="E927" s="37" t="s">
        <v>251</v>
      </c>
      <c r="F927" s="100">
        <f t="shared" si="74"/>
        <v>5.6250000001455192E-2</v>
      </c>
    </row>
    <row r="928" spans="1:7">
      <c r="A928" s="37" t="s">
        <v>164</v>
      </c>
      <c r="B928" s="93">
        <v>45768</v>
      </c>
      <c r="C928" s="37" t="s">
        <v>597</v>
      </c>
      <c r="D928" s="93">
        <v>45768</v>
      </c>
      <c r="E928" s="37" t="s">
        <v>393</v>
      </c>
      <c r="F928" s="100">
        <f t="shared" si="74"/>
        <v>0.13402777777810115</v>
      </c>
    </row>
    <row r="929" spans="1:8">
      <c r="A929" s="37" t="s">
        <v>232</v>
      </c>
      <c r="B929" s="93">
        <v>45768</v>
      </c>
      <c r="C929" s="37" t="s">
        <v>685</v>
      </c>
      <c r="D929" s="93">
        <v>45768</v>
      </c>
      <c r="E929" s="37" t="s">
        <v>493</v>
      </c>
      <c r="F929" s="100">
        <f t="shared" si="74"/>
        <v>0.13125000000582077</v>
      </c>
    </row>
    <row r="930" spans="1:8">
      <c r="A930" s="37" t="s">
        <v>177</v>
      </c>
      <c r="B930" s="93">
        <v>45768</v>
      </c>
      <c r="C930" s="37" t="s">
        <v>1099</v>
      </c>
      <c r="D930" s="93">
        <v>45769</v>
      </c>
      <c r="E930" s="37" t="s">
        <v>435</v>
      </c>
      <c r="F930" s="100">
        <f t="shared" si="74"/>
        <v>1.6041666666642413</v>
      </c>
    </row>
    <row r="931" spans="1:8">
      <c r="A931" s="37" t="s">
        <v>214</v>
      </c>
      <c r="B931" s="93">
        <v>45768</v>
      </c>
      <c r="C931" s="37" t="s">
        <v>458</v>
      </c>
      <c r="D931" s="93">
        <v>45769</v>
      </c>
      <c r="E931" s="37" t="s">
        <v>408</v>
      </c>
      <c r="F931" s="100">
        <f t="shared" si="74"/>
        <v>1.3451388888861402</v>
      </c>
    </row>
    <row r="932" spans="1:8">
      <c r="A932" s="37" t="s">
        <v>183</v>
      </c>
      <c r="B932" s="93">
        <v>45768</v>
      </c>
      <c r="C932" s="37" t="s">
        <v>259</v>
      </c>
      <c r="D932" s="93">
        <v>45768</v>
      </c>
      <c r="E932" s="37" t="s">
        <v>1100</v>
      </c>
      <c r="F932" s="100">
        <f t="shared" si="74"/>
        <v>0.62777777777228039</v>
      </c>
    </row>
    <row r="933" spans="1:8">
      <c r="A933" s="37" t="s">
        <v>234</v>
      </c>
      <c r="B933" s="93">
        <v>45768</v>
      </c>
      <c r="C933" s="37" t="s">
        <v>604</v>
      </c>
      <c r="D933" s="93">
        <v>45768</v>
      </c>
      <c r="E933" s="37" t="s">
        <v>410</v>
      </c>
      <c r="F933" s="100">
        <f t="shared" si="74"/>
        <v>0.35277777777810115</v>
      </c>
    </row>
    <row r="934" spans="1:8">
      <c r="A934" s="37" t="s">
        <v>335</v>
      </c>
      <c r="B934" s="93">
        <v>45768</v>
      </c>
      <c r="C934" s="37" t="s">
        <v>554</v>
      </c>
      <c r="D934" s="93">
        <v>45768</v>
      </c>
      <c r="E934" s="37" t="s">
        <v>1101</v>
      </c>
      <c r="F934" s="100">
        <f t="shared" si="74"/>
        <v>0.18194444444088731</v>
      </c>
    </row>
    <row r="935" spans="1:8">
      <c r="A935" s="37" t="s">
        <v>236</v>
      </c>
      <c r="B935" s="93">
        <v>45768</v>
      </c>
      <c r="C935" s="37" t="s">
        <v>376</v>
      </c>
      <c r="D935" s="93">
        <v>45768</v>
      </c>
      <c r="E935" s="37" t="s">
        <v>1102</v>
      </c>
      <c r="F935" s="100">
        <f t="shared" si="74"/>
        <v>0.30000000000291038</v>
      </c>
    </row>
    <row r="936" spans="1:8">
      <c r="A936" s="37" t="s">
        <v>391</v>
      </c>
      <c r="B936" s="93">
        <v>45768</v>
      </c>
      <c r="C936" s="37" t="s">
        <v>270</v>
      </c>
      <c r="D936" s="93">
        <v>45768</v>
      </c>
      <c r="E936" s="37" t="s">
        <v>1103</v>
      </c>
      <c r="F936" s="100">
        <f t="shared" si="74"/>
        <v>0.27013888888905058</v>
      </c>
    </row>
    <row r="937" spans="1:8">
      <c r="A937" s="37" t="s">
        <v>248</v>
      </c>
      <c r="B937" s="93">
        <v>45768</v>
      </c>
      <c r="C937" s="37" t="s">
        <v>612</v>
      </c>
      <c r="D937" s="93">
        <v>45769</v>
      </c>
      <c r="E937" s="37" t="s">
        <v>1104</v>
      </c>
      <c r="F937" s="100">
        <f t="shared" si="74"/>
        <v>0.69791666666424135</v>
      </c>
    </row>
    <row r="938" spans="1:8">
      <c r="A938" s="37" t="s">
        <v>232</v>
      </c>
      <c r="B938" s="93">
        <v>45768</v>
      </c>
      <c r="C938" s="37" t="s">
        <v>1105</v>
      </c>
      <c r="D938" s="93">
        <v>45768</v>
      </c>
      <c r="E938" s="37" t="s">
        <v>363</v>
      </c>
      <c r="F938" s="100">
        <f t="shared" si="74"/>
        <v>0.21875</v>
      </c>
    </row>
    <row r="939" spans="1:8" ht="27.6">
      <c r="A939" s="37" t="s">
        <v>335</v>
      </c>
      <c r="B939" s="93">
        <v>45768</v>
      </c>
      <c r="C939" s="37" t="s">
        <v>1101</v>
      </c>
      <c r="D939" s="93">
        <v>45768</v>
      </c>
      <c r="E939" s="37" t="s">
        <v>1106</v>
      </c>
      <c r="F939" s="100">
        <f t="shared" si="74"/>
        <v>0.10972222222335404</v>
      </c>
      <c r="G939" s="37" t="s">
        <v>9</v>
      </c>
      <c r="H939" s="94" t="s">
        <v>1107</v>
      </c>
    </row>
    <row r="940" spans="1:8">
      <c r="A940" s="37" t="s">
        <v>164</v>
      </c>
      <c r="B940" s="93">
        <v>45768</v>
      </c>
      <c r="C940" s="37" t="s">
        <v>336</v>
      </c>
      <c r="D940" s="93">
        <v>45768</v>
      </c>
      <c r="E940" s="37" t="s">
        <v>379</v>
      </c>
      <c r="F940" s="100">
        <f t="shared" si="74"/>
        <v>0.16666666667151731</v>
      </c>
    </row>
    <row r="941" spans="1:8">
      <c r="A941" s="37" t="s">
        <v>199</v>
      </c>
      <c r="B941" s="93">
        <v>45768</v>
      </c>
      <c r="C941" s="37" t="s">
        <v>329</v>
      </c>
      <c r="D941" s="93">
        <v>45768</v>
      </c>
      <c r="E941" s="37" t="s">
        <v>373</v>
      </c>
      <c r="F941" s="100">
        <f t="shared" si="74"/>
        <v>0.30138888888905058</v>
      </c>
    </row>
    <row r="942" spans="1:8">
      <c r="A942" s="37" t="s">
        <v>205</v>
      </c>
      <c r="B942" s="93">
        <v>45768</v>
      </c>
      <c r="C942" s="37" t="s">
        <v>509</v>
      </c>
      <c r="D942" s="93">
        <v>45768</v>
      </c>
      <c r="E942" s="37" t="s">
        <v>640</v>
      </c>
      <c r="F942" s="100">
        <f t="shared" si="74"/>
        <v>0.26666666666278616</v>
      </c>
    </row>
    <row r="943" spans="1:8">
      <c r="A943" s="37" t="s">
        <v>398</v>
      </c>
      <c r="B943" s="93">
        <v>45768</v>
      </c>
      <c r="C943" s="37" t="s">
        <v>560</v>
      </c>
      <c r="D943" s="93">
        <v>45768</v>
      </c>
      <c r="E943" s="37" t="s">
        <v>1108</v>
      </c>
      <c r="F943" s="100">
        <f t="shared" si="74"/>
        <v>0.12847222221898846</v>
      </c>
    </row>
    <row r="944" spans="1:8" ht="27.6">
      <c r="A944" s="37" t="s">
        <v>335</v>
      </c>
      <c r="B944" s="93">
        <v>45768</v>
      </c>
      <c r="C944" s="37" t="s">
        <v>1106</v>
      </c>
      <c r="D944" s="93">
        <v>45768</v>
      </c>
      <c r="E944" s="37" t="s">
        <v>1109</v>
      </c>
      <c r="F944" s="100">
        <f t="shared" si="74"/>
        <v>1.3888888934161514E-3</v>
      </c>
      <c r="H944" s="457" t="s">
        <v>1110</v>
      </c>
    </row>
    <row r="945" spans="1:8">
      <c r="A945" s="37" t="s">
        <v>335</v>
      </c>
      <c r="B945" s="93">
        <v>45768</v>
      </c>
      <c r="C945" s="37" t="s">
        <v>1109</v>
      </c>
      <c r="D945" s="93">
        <v>45768</v>
      </c>
      <c r="E945" s="37" t="s">
        <v>521</v>
      </c>
      <c r="F945" s="100">
        <f t="shared" si="74"/>
        <v>2.2916666661330964E-2</v>
      </c>
      <c r="G945" s="37" t="s">
        <v>9</v>
      </c>
    </row>
    <row r="946" spans="1:8" ht="27.6">
      <c r="A946" s="37" t="s">
        <v>335</v>
      </c>
      <c r="B946" s="93">
        <v>45768</v>
      </c>
      <c r="C946" s="37" t="s">
        <v>939</v>
      </c>
      <c r="D946" s="93">
        <v>45768</v>
      </c>
      <c r="E946" s="37" t="s">
        <v>843</v>
      </c>
      <c r="F946" s="100">
        <f t="shared" si="74"/>
        <v>0.15486111111385981</v>
      </c>
      <c r="H946" s="457" t="s">
        <v>1111</v>
      </c>
    </row>
    <row r="947" spans="1:8">
      <c r="A947" s="37" t="s">
        <v>217</v>
      </c>
      <c r="B947" s="93">
        <v>45768</v>
      </c>
      <c r="C947" s="37" t="s">
        <v>212</v>
      </c>
      <c r="D947" s="93">
        <v>45769</v>
      </c>
      <c r="E947" s="37" t="s">
        <v>238</v>
      </c>
      <c r="F947" s="100">
        <f t="shared" si="74"/>
        <v>0.50138888888614019</v>
      </c>
    </row>
    <row r="948" spans="1:8">
      <c r="A948" s="37" t="s">
        <v>205</v>
      </c>
      <c r="B948" s="93">
        <v>45768</v>
      </c>
      <c r="C948" s="37" t="s">
        <v>640</v>
      </c>
      <c r="D948" s="93">
        <v>45769</v>
      </c>
      <c r="E948" s="37" t="s">
        <v>802</v>
      </c>
      <c r="F948" s="100">
        <f t="shared" si="74"/>
        <v>0.75902777777810115</v>
      </c>
      <c r="G948" s="37" t="s">
        <v>9</v>
      </c>
      <c r="H948" s="94" t="s">
        <v>1112</v>
      </c>
    </row>
    <row r="949" spans="1:8">
      <c r="A949" s="37" t="s">
        <v>232</v>
      </c>
      <c r="B949" s="93">
        <v>45768</v>
      </c>
      <c r="C949" s="37" t="s">
        <v>264</v>
      </c>
      <c r="D949" s="93">
        <v>45768</v>
      </c>
      <c r="E949" s="37" t="s">
        <v>1113</v>
      </c>
      <c r="F949" s="100">
        <f t="shared" si="74"/>
        <v>2.1527777775190771E-2</v>
      </c>
    </row>
    <row r="950" spans="1:8" ht="27.6">
      <c r="A950" s="37" t="s">
        <v>199</v>
      </c>
      <c r="B950" s="93">
        <v>45768</v>
      </c>
      <c r="C950" s="37" t="s">
        <v>373</v>
      </c>
      <c r="G950" s="37" t="s">
        <v>9</v>
      </c>
      <c r="H950" s="94" t="s">
        <v>1114</v>
      </c>
    </row>
    <row r="951" spans="1:8">
      <c r="A951" s="37" t="s">
        <v>232</v>
      </c>
      <c r="B951" s="93">
        <v>45768</v>
      </c>
      <c r="C951" s="37" t="s">
        <v>913</v>
      </c>
      <c r="D951" s="93">
        <v>45768</v>
      </c>
      <c r="E951" s="37" t="s">
        <v>375</v>
      </c>
      <c r="F951" s="100">
        <f t="shared" ref="F951:F982" si="75">(D951 + TIME(LEFT(E951, 2), MID(E951, 3, 2), 0)) - (B951 + TIME(LEFT(C951, 2), MID(C951, 3, 2), 0))</f>
        <v>1.1805555550381541E-2</v>
      </c>
    </row>
    <row r="952" spans="1:8">
      <c r="A952" s="37" t="s">
        <v>236</v>
      </c>
      <c r="B952" s="93">
        <v>45768</v>
      </c>
      <c r="C952" s="37" t="s">
        <v>913</v>
      </c>
      <c r="D952" s="93">
        <v>45768</v>
      </c>
      <c r="E952" s="37" t="s">
        <v>1115</v>
      </c>
      <c r="F952" s="100">
        <f t="shared" si="75"/>
        <v>2.0138888889050577E-2</v>
      </c>
    </row>
    <row r="953" spans="1:8">
      <c r="A953" s="37" t="s">
        <v>391</v>
      </c>
      <c r="B953" s="93">
        <v>45768</v>
      </c>
      <c r="C953" s="37" t="s">
        <v>433</v>
      </c>
      <c r="D953" s="93">
        <v>45768</v>
      </c>
      <c r="E953" s="37" t="s">
        <v>1116</v>
      </c>
      <c r="F953" s="100">
        <f t="shared" si="75"/>
        <v>2.7777777781011537E-2</v>
      </c>
    </row>
    <row r="954" spans="1:8">
      <c r="A954" s="37" t="s">
        <v>164</v>
      </c>
      <c r="B954" s="93">
        <v>45769</v>
      </c>
      <c r="C954" s="37" t="s">
        <v>1096</v>
      </c>
      <c r="D954" s="93">
        <v>45769</v>
      </c>
      <c r="E954" s="37" t="s">
        <v>562</v>
      </c>
      <c r="F954" s="100">
        <f t="shared" si="75"/>
        <v>2.2916666668606922E-2</v>
      </c>
    </row>
    <row r="955" spans="1:8">
      <c r="A955" s="37" t="s">
        <v>391</v>
      </c>
      <c r="B955" s="93">
        <v>45769</v>
      </c>
      <c r="C955" s="37" t="s">
        <v>1096</v>
      </c>
      <c r="D955" s="93">
        <v>45769</v>
      </c>
      <c r="E955" s="37" t="s">
        <v>1117</v>
      </c>
      <c r="F955" s="100">
        <f t="shared" si="75"/>
        <v>1.5277777776645962E-2</v>
      </c>
    </row>
    <row r="956" spans="1:8">
      <c r="A956" s="37" t="s">
        <v>174</v>
      </c>
      <c r="B956" s="93">
        <v>45769</v>
      </c>
      <c r="C956" s="37" t="s">
        <v>1118</v>
      </c>
      <c r="D956" s="93">
        <v>45771</v>
      </c>
      <c r="E956" s="37" t="s">
        <v>1119</v>
      </c>
      <c r="F956" s="100">
        <f t="shared" si="75"/>
        <v>1.9909722222218988</v>
      </c>
    </row>
    <row r="957" spans="1:8">
      <c r="A957" s="37" t="s">
        <v>232</v>
      </c>
      <c r="B957" s="93">
        <v>45769</v>
      </c>
      <c r="C957" s="37" t="s">
        <v>732</v>
      </c>
      <c r="D957" s="93">
        <v>45769</v>
      </c>
      <c r="E957" s="37" t="s">
        <v>1120</v>
      </c>
      <c r="F957" s="100">
        <f t="shared" si="75"/>
        <v>4.3055555550381541E-2</v>
      </c>
    </row>
    <row r="958" spans="1:8">
      <c r="A958" s="37" t="s">
        <v>248</v>
      </c>
      <c r="B958" s="93">
        <v>45769</v>
      </c>
      <c r="C958" s="37" t="s">
        <v>895</v>
      </c>
      <c r="D958" s="93">
        <v>45769</v>
      </c>
      <c r="E958" s="37" t="s">
        <v>817</v>
      </c>
      <c r="F958" s="100">
        <f t="shared" si="75"/>
        <v>1.9444444442342501E-2</v>
      </c>
    </row>
    <row r="959" spans="1:8">
      <c r="A959" s="37" t="s">
        <v>225</v>
      </c>
      <c r="B959" s="93">
        <v>45769</v>
      </c>
      <c r="C959" s="37" t="s">
        <v>213</v>
      </c>
      <c r="D959" s="93">
        <v>45769</v>
      </c>
      <c r="E959" s="37" t="s">
        <v>222</v>
      </c>
      <c r="F959" s="100">
        <f t="shared" si="75"/>
        <v>0.5</v>
      </c>
    </row>
    <row r="960" spans="1:8">
      <c r="A960" s="37" t="s">
        <v>234</v>
      </c>
      <c r="B960" s="93">
        <v>45769</v>
      </c>
      <c r="C960" s="37" t="s">
        <v>630</v>
      </c>
      <c r="D960" s="93">
        <v>45769</v>
      </c>
      <c r="E960" s="37" t="s">
        <v>655</v>
      </c>
      <c r="F960" s="100">
        <f t="shared" si="75"/>
        <v>5.1388888889050577E-2</v>
      </c>
    </row>
    <row r="961" spans="1:6">
      <c r="A961" s="37" t="s">
        <v>236</v>
      </c>
      <c r="B961" s="93">
        <v>45769</v>
      </c>
      <c r="C961" s="37" t="s">
        <v>540</v>
      </c>
      <c r="D961" s="93">
        <v>45769</v>
      </c>
      <c r="E961" s="37" t="s">
        <v>780</v>
      </c>
      <c r="F961" s="100">
        <f t="shared" si="75"/>
        <v>0.10486111111094942</v>
      </c>
    </row>
    <row r="962" spans="1:6">
      <c r="A962" s="37" t="s">
        <v>242</v>
      </c>
      <c r="B962" s="93">
        <v>45769</v>
      </c>
      <c r="C962" s="37" t="s">
        <v>1121</v>
      </c>
      <c r="D962" s="93">
        <v>45770</v>
      </c>
      <c r="E962" s="37" t="s">
        <v>1122</v>
      </c>
      <c r="F962" s="100">
        <f t="shared" si="75"/>
        <v>0.77708333333430346</v>
      </c>
    </row>
    <row r="963" spans="1:6">
      <c r="A963" s="37" t="s">
        <v>164</v>
      </c>
      <c r="B963" s="93">
        <v>45769</v>
      </c>
      <c r="C963" s="37" t="s">
        <v>684</v>
      </c>
      <c r="D963" s="93">
        <v>45769</v>
      </c>
      <c r="E963" s="37" t="s">
        <v>1123</v>
      </c>
      <c r="F963" s="100">
        <f t="shared" si="75"/>
        <v>8.611111110803904E-2</v>
      </c>
    </row>
    <row r="964" spans="1:6">
      <c r="A964" s="37" t="s">
        <v>391</v>
      </c>
      <c r="B964" s="93">
        <v>45769</v>
      </c>
      <c r="C964" s="37" t="s">
        <v>1124</v>
      </c>
      <c r="D964" s="93">
        <v>45769</v>
      </c>
      <c r="E964" s="37" t="s">
        <v>782</v>
      </c>
      <c r="F964" s="100">
        <f t="shared" si="75"/>
        <v>7.7083333337213844E-2</v>
      </c>
    </row>
    <row r="965" spans="1:6">
      <c r="A965" s="37" t="s">
        <v>232</v>
      </c>
      <c r="B965" s="93">
        <v>45769</v>
      </c>
      <c r="C965" s="37" t="s">
        <v>654</v>
      </c>
      <c r="D965" s="93">
        <v>45769</v>
      </c>
      <c r="E965" s="37" t="s">
        <v>1123</v>
      </c>
      <c r="F965" s="100">
        <f t="shared" si="75"/>
        <v>8.1249999995634425E-2</v>
      </c>
    </row>
    <row r="966" spans="1:6">
      <c r="A966" s="37" t="s">
        <v>183</v>
      </c>
      <c r="B966" s="93">
        <v>45769</v>
      </c>
      <c r="C966" s="37" t="s">
        <v>822</v>
      </c>
      <c r="D966" s="93">
        <v>45769</v>
      </c>
      <c r="E966" s="37" t="s">
        <v>1125</v>
      </c>
      <c r="F966" s="100">
        <f t="shared" si="75"/>
        <v>0.14097222222335404</v>
      </c>
    </row>
    <row r="967" spans="1:6">
      <c r="A967" s="37" t="s">
        <v>186</v>
      </c>
      <c r="B967" s="93">
        <v>45769</v>
      </c>
      <c r="C967" s="37" t="s">
        <v>1014</v>
      </c>
      <c r="D967" s="93">
        <v>45770</v>
      </c>
      <c r="E967" s="37" t="s">
        <v>716</v>
      </c>
      <c r="F967" s="100">
        <f t="shared" si="75"/>
        <v>0.68055555555474712</v>
      </c>
    </row>
    <row r="968" spans="1:6">
      <c r="A968" s="37" t="s">
        <v>335</v>
      </c>
      <c r="B968" s="93">
        <v>45769</v>
      </c>
      <c r="C968" s="37" t="s">
        <v>257</v>
      </c>
      <c r="D968" s="93">
        <v>45769</v>
      </c>
      <c r="E968" s="37" t="s">
        <v>405</v>
      </c>
      <c r="F968" s="100">
        <f t="shared" si="75"/>
        <v>0.492361111115315</v>
      </c>
    </row>
    <row r="969" spans="1:6">
      <c r="A969" s="37" t="s">
        <v>248</v>
      </c>
      <c r="B969" s="93">
        <v>45769</v>
      </c>
      <c r="C969" s="37" t="s">
        <v>998</v>
      </c>
      <c r="D969" s="93">
        <v>45770</v>
      </c>
      <c r="E969" s="37" t="s">
        <v>357</v>
      </c>
      <c r="F969" s="100">
        <f t="shared" si="75"/>
        <v>1.5527777777751908</v>
      </c>
    </row>
    <row r="970" spans="1:6">
      <c r="A970" s="37" t="s">
        <v>234</v>
      </c>
      <c r="B970" s="93">
        <v>45769</v>
      </c>
      <c r="C970" s="37" t="s">
        <v>787</v>
      </c>
      <c r="D970" s="93">
        <v>45769</v>
      </c>
      <c r="E970" s="37" t="s">
        <v>485</v>
      </c>
      <c r="F970" s="100">
        <f t="shared" si="75"/>
        <v>2.3611111115314998E-2</v>
      </c>
    </row>
    <row r="971" spans="1:6">
      <c r="A971" s="37" t="s">
        <v>211</v>
      </c>
      <c r="B971" s="93">
        <v>45769</v>
      </c>
      <c r="C971" s="37" t="s">
        <v>607</v>
      </c>
      <c r="D971" s="93">
        <v>45769</v>
      </c>
      <c r="E971" s="37" t="s">
        <v>675</v>
      </c>
      <c r="F971" s="100">
        <f t="shared" si="75"/>
        <v>0.12013888888759539</v>
      </c>
    </row>
    <row r="972" spans="1:6">
      <c r="A972" s="37" t="s">
        <v>232</v>
      </c>
      <c r="B972" s="93">
        <v>45769</v>
      </c>
      <c r="C972" s="37" t="s">
        <v>891</v>
      </c>
      <c r="D972" s="93">
        <v>45769</v>
      </c>
      <c r="E972" s="37" t="s">
        <v>937</v>
      </c>
      <c r="F972" s="100">
        <f t="shared" si="75"/>
        <v>0.16388888889196096</v>
      </c>
    </row>
    <row r="973" spans="1:6">
      <c r="A973" s="37" t="s">
        <v>236</v>
      </c>
      <c r="B973" s="93">
        <v>45769</v>
      </c>
      <c r="C973" s="37" t="s">
        <v>891</v>
      </c>
      <c r="D973" s="93">
        <v>45769</v>
      </c>
      <c r="E973" s="37" t="s">
        <v>701</v>
      </c>
      <c r="F973" s="100">
        <f t="shared" si="75"/>
        <v>0.23680555555620231</v>
      </c>
    </row>
    <row r="974" spans="1:6">
      <c r="A974" s="37" t="s">
        <v>234</v>
      </c>
      <c r="B974" s="93">
        <v>45769</v>
      </c>
      <c r="C974" s="37" t="s">
        <v>891</v>
      </c>
      <c r="D974" s="93">
        <v>45769</v>
      </c>
      <c r="E974" s="37" t="s">
        <v>1126</v>
      </c>
      <c r="F974" s="100">
        <f t="shared" si="75"/>
        <v>0.16527777777810115</v>
      </c>
    </row>
    <row r="975" spans="1:6">
      <c r="A975" s="37" t="s">
        <v>164</v>
      </c>
      <c r="B975" s="93">
        <v>45769</v>
      </c>
      <c r="C975" s="37" t="s">
        <v>891</v>
      </c>
      <c r="D975" s="93">
        <v>45769</v>
      </c>
      <c r="E975" s="37" t="s">
        <v>1000</v>
      </c>
      <c r="F975" s="100">
        <f t="shared" si="75"/>
        <v>0.24583333333430346</v>
      </c>
    </row>
    <row r="976" spans="1:6">
      <c r="A976" s="37" t="s">
        <v>391</v>
      </c>
      <c r="B976" s="93">
        <v>45769</v>
      </c>
      <c r="C976" s="37" t="s">
        <v>1127</v>
      </c>
      <c r="D976" s="93">
        <v>45769</v>
      </c>
      <c r="E976" s="37" t="s">
        <v>1102</v>
      </c>
      <c r="F976" s="100">
        <f t="shared" si="75"/>
        <v>0.23680555555620231</v>
      </c>
    </row>
    <row r="977" spans="1:8">
      <c r="A977" s="37" t="s">
        <v>183</v>
      </c>
      <c r="B977" s="93">
        <v>45769</v>
      </c>
      <c r="C977" s="37" t="s">
        <v>1125</v>
      </c>
      <c r="D977" s="93">
        <v>45769</v>
      </c>
      <c r="E977" s="37" t="s">
        <v>1128</v>
      </c>
      <c r="F977" s="100">
        <f t="shared" si="75"/>
        <v>3.9583333331393078E-2</v>
      </c>
      <c r="G977" s="37" t="s">
        <v>9</v>
      </c>
      <c r="H977" s="94" t="s">
        <v>1129</v>
      </c>
    </row>
    <row r="978" spans="1:8" ht="27.6">
      <c r="A978" s="37" t="s">
        <v>183</v>
      </c>
      <c r="B978" s="93">
        <v>45769</v>
      </c>
      <c r="C978" s="37" t="s">
        <v>1128</v>
      </c>
      <c r="D978" s="93">
        <v>45769</v>
      </c>
      <c r="E978" s="37" t="s">
        <v>1130</v>
      </c>
      <c r="F978" s="100">
        <f t="shared" si="75"/>
        <v>0.47013888888614019</v>
      </c>
      <c r="H978" s="457" t="s">
        <v>1131</v>
      </c>
    </row>
    <row r="979" spans="1:8">
      <c r="A979" s="37" t="s">
        <v>189</v>
      </c>
      <c r="B979" s="93">
        <v>45769</v>
      </c>
      <c r="C979" s="37" t="s">
        <v>918</v>
      </c>
      <c r="D979" s="93">
        <v>45769</v>
      </c>
      <c r="E979" s="37" t="s">
        <v>1132</v>
      </c>
      <c r="F979" s="100">
        <f t="shared" si="75"/>
        <v>4.3055555557657499E-2</v>
      </c>
      <c r="G979" s="37" t="s">
        <v>9</v>
      </c>
      <c r="H979" s="94" t="s">
        <v>1133</v>
      </c>
    </row>
    <row r="980" spans="1:8">
      <c r="A980" s="37" t="s">
        <v>205</v>
      </c>
      <c r="B980" s="93">
        <v>45769</v>
      </c>
      <c r="C980" s="37" t="s">
        <v>802</v>
      </c>
      <c r="D980" s="93">
        <v>45769</v>
      </c>
      <c r="E980" s="37" t="s">
        <v>432</v>
      </c>
      <c r="F980" s="100">
        <f t="shared" si="75"/>
        <v>0.26319444444379769</v>
      </c>
    </row>
    <row r="981" spans="1:8">
      <c r="A981" s="37" t="s">
        <v>211</v>
      </c>
      <c r="B981" s="93">
        <v>45769</v>
      </c>
      <c r="C981" s="37" t="s">
        <v>802</v>
      </c>
      <c r="D981" s="93">
        <v>45769</v>
      </c>
      <c r="E981" s="37" t="s">
        <v>408</v>
      </c>
      <c r="F981" s="100">
        <f t="shared" si="75"/>
        <v>8.9583333334303461E-2</v>
      </c>
    </row>
    <row r="982" spans="1:8">
      <c r="A982" s="37" t="s">
        <v>189</v>
      </c>
      <c r="B982" s="93">
        <v>45769</v>
      </c>
      <c r="C982" s="37" t="s">
        <v>1132</v>
      </c>
      <c r="D982" s="93">
        <v>45770</v>
      </c>
      <c r="E982" s="37" t="s">
        <v>315</v>
      </c>
      <c r="F982" s="100">
        <f t="shared" si="75"/>
        <v>1.2979166666627862</v>
      </c>
    </row>
    <row r="983" spans="1:8">
      <c r="A983" s="37" t="s">
        <v>220</v>
      </c>
      <c r="B983" s="93">
        <v>45769</v>
      </c>
      <c r="C983" s="37" t="s">
        <v>444</v>
      </c>
      <c r="D983" s="93">
        <v>45769</v>
      </c>
      <c r="E983" s="37" t="s">
        <v>1134</v>
      </c>
      <c r="F983" s="100">
        <f t="shared" ref="F983:F1014" si="76">(D983 + TIME(LEFT(E983, 2), MID(E983, 3, 2), 0)) - (B983 + TIME(LEFT(C983, 2), MID(C983, 3, 2), 0))</f>
        <v>1.2499999997089617E-2</v>
      </c>
    </row>
    <row r="984" spans="1:8">
      <c r="A984" s="37" t="s">
        <v>214</v>
      </c>
      <c r="B984" s="93">
        <v>45769</v>
      </c>
      <c r="C984" s="37" t="s">
        <v>444</v>
      </c>
      <c r="D984" s="93">
        <v>45769</v>
      </c>
      <c r="E984" s="37" t="s">
        <v>359</v>
      </c>
      <c r="F984" s="100">
        <f t="shared" si="76"/>
        <v>3.2638888886140194E-2</v>
      </c>
    </row>
    <row r="985" spans="1:8">
      <c r="A985" s="37" t="s">
        <v>211</v>
      </c>
      <c r="B985" s="93">
        <v>45769</v>
      </c>
      <c r="C985" s="37" t="s">
        <v>1135</v>
      </c>
      <c r="D985" s="93">
        <v>45769</v>
      </c>
      <c r="E985" s="37" t="s">
        <v>359</v>
      </c>
      <c r="F985" s="100">
        <f t="shared" si="76"/>
        <v>2.0833333335758653E-2</v>
      </c>
    </row>
    <row r="986" spans="1:8">
      <c r="A986" s="37" t="s">
        <v>211</v>
      </c>
      <c r="B986" s="93">
        <v>45769</v>
      </c>
      <c r="C986" s="37" t="s">
        <v>359</v>
      </c>
      <c r="D986" s="93">
        <v>45769</v>
      </c>
      <c r="E986" s="37" t="s">
        <v>203</v>
      </c>
      <c r="F986" s="100">
        <f t="shared" si="76"/>
        <v>5.0694444442342501E-2</v>
      </c>
      <c r="G986" s="37" t="s">
        <v>9</v>
      </c>
      <c r="H986" s="94" t="s">
        <v>1136</v>
      </c>
    </row>
    <row r="987" spans="1:8">
      <c r="A987" s="37" t="s">
        <v>220</v>
      </c>
      <c r="B987" s="93">
        <v>45769</v>
      </c>
      <c r="C987" s="37" t="s">
        <v>1137</v>
      </c>
      <c r="D987" s="93">
        <v>45769</v>
      </c>
      <c r="E987" s="37" t="s">
        <v>887</v>
      </c>
      <c r="F987" s="100">
        <f t="shared" si="76"/>
        <v>0.1055555555576575</v>
      </c>
    </row>
    <row r="988" spans="1:8">
      <c r="A988" s="37" t="s">
        <v>214</v>
      </c>
      <c r="B988" s="93">
        <v>45769</v>
      </c>
      <c r="C988" s="37" t="s">
        <v>1137</v>
      </c>
      <c r="D988" s="93">
        <v>45770</v>
      </c>
      <c r="E988" s="37" t="s">
        <v>803</v>
      </c>
      <c r="F988" s="100">
        <f t="shared" si="76"/>
        <v>0.88333333333866904</v>
      </c>
    </row>
    <row r="989" spans="1:8">
      <c r="A989" s="37" t="s">
        <v>217</v>
      </c>
      <c r="B989" s="93">
        <v>45769</v>
      </c>
      <c r="C989" s="37" t="s">
        <v>212</v>
      </c>
      <c r="D989" s="93">
        <v>45770</v>
      </c>
      <c r="E989" s="37" t="s">
        <v>244</v>
      </c>
      <c r="F989" s="100">
        <f t="shared" si="76"/>
        <v>1.0013888888861402</v>
      </c>
    </row>
    <row r="990" spans="1:8">
      <c r="A990" s="37" t="s">
        <v>211</v>
      </c>
      <c r="B990" s="93">
        <v>45769</v>
      </c>
      <c r="C990" s="37" t="s">
        <v>203</v>
      </c>
      <c r="D990" s="93">
        <v>45769</v>
      </c>
      <c r="E990" s="37" t="s">
        <v>1138</v>
      </c>
      <c r="F990" s="100">
        <f t="shared" si="76"/>
        <v>1.5972222223354038E-2</v>
      </c>
      <c r="H990" s="94" t="s">
        <v>1139</v>
      </c>
    </row>
    <row r="991" spans="1:8">
      <c r="A991" s="37" t="s">
        <v>211</v>
      </c>
      <c r="B991" s="93">
        <v>45769</v>
      </c>
      <c r="C991" s="37" t="s">
        <v>1138</v>
      </c>
      <c r="D991" s="93">
        <v>45769</v>
      </c>
      <c r="E991" s="37" t="s">
        <v>430</v>
      </c>
      <c r="F991" s="100">
        <f t="shared" si="76"/>
        <v>3.2638888893416151E-2</v>
      </c>
      <c r="G991" s="37" t="s">
        <v>9</v>
      </c>
      <c r="H991" s="23" t="s">
        <v>1140</v>
      </c>
    </row>
    <row r="992" spans="1:8">
      <c r="A992" s="37" t="s">
        <v>211</v>
      </c>
      <c r="B992" s="93">
        <v>45769</v>
      </c>
      <c r="C992" s="37" t="s">
        <v>430</v>
      </c>
      <c r="D992" s="93">
        <v>45769</v>
      </c>
      <c r="E992" s="37" t="s">
        <v>711</v>
      </c>
      <c r="F992" s="100">
        <f t="shared" si="76"/>
        <v>7.2222222217533272E-2</v>
      </c>
    </row>
    <row r="993" spans="1:7">
      <c r="A993" s="37" t="s">
        <v>232</v>
      </c>
      <c r="B993" s="93">
        <v>45769</v>
      </c>
      <c r="C993" s="37" t="s">
        <v>1002</v>
      </c>
      <c r="D993" s="93">
        <v>45769</v>
      </c>
      <c r="E993" s="37" t="s">
        <v>292</v>
      </c>
      <c r="F993" s="100">
        <f t="shared" si="76"/>
        <v>2.4305555554747116E-2</v>
      </c>
    </row>
    <row r="994" spans="1:7">
      <c r="A994" s="37" t="s">
        <v>205</v>
      </c>
      <c r="B994" s="93">
        <v>45769</v>
      </c>
      <c r="C994" s="37" t="s">
        <v>432</v>
      </c>
      <c r="D994" s="93">
        <v>45770</v>
      </c>
      <c r="E994" s="37" t="s">
        <v>1141</v>
      </c>
      <c r="F994" s="100">
        <f t="shared" si="76"/>
        <v>0.85486111111094942</v>
      </c>
      <c r="G994" s="37" t="s">
        <v>9</v>
      </c>
    </row>
    <row r="995" spans="1:7">
      <c r="A995" s="37" t="s">
        <v>220</v>
      </c>
      <c r="B995" s="93">
        <v>45769</v>
      </c>
      <c r="C995" s="37" t="s">
        <v>373</v>
      </c>
      <c r="D995" s="93">
        <v>45770</v>
      </c>
      <c r="E995" s="37" t="s">
        <v>803</v>
      </c>
      <c r="F995" s="100">
        <f t="shared" si="76"/>
        <v>0.73958333333575865</v>
      </c>
    </row>
    <row r="996" spans="1:7">
      <c r="A996" s="37" t="s">
        <v>234</v>
      </c>
      <c r="B996" s="93">
        <v>45769</v>
      </c>
      <c r="C996" s="37" t="s">
        <v>1142</v>
      </c>
      <c r="D996" s="93">
        <v>45769</v>
      </c>
      <c r="E996" s="37" t="s">
        <v>537</v>
      </c>
      <c r="F996" s="100">
        <f t="shared" si="76"/>
        <v>1.5277777776645962E-2</v>
      </c>
    </row>
    <row r="997" spans="1:7">
      <c r="A997" s="37" t="s">
        <v>236</v>
      </c>
      <c r="B997" s="93">
        <v>45769</v>
      </c>
      <c r="C997" s="37" t="s">
        <v>1142</v>
      </c>
      <c r="D997" s="93">
        <v>45769</v>
      </c>
      <c r="E997" s="37" t="s">
        <v>539</v>
      </c>
      <c r="F997" s="100">
        <f t="shared" si="76"/>
        <v>2.2916666661330964E-2</v>
      </c>
    </row>
    <row r="998" spans="1:7">
      <c r="A998" s="37" t="s">
        <v>183</v>
      </c>
      <c r="B998" s="93">
        <v>45770</v>
      </c>
      <c r="C998" s="37" t="s">
        <v>755</v>
      </c>
      <c r="D998" s="93">
        <v>45771</v>
      </c>
      <c r="E998" s="37" t="s">
        <v>591</v>
      </c>
      <c r="F998" s="100">
        <f t="shared" si="76"/>
        <v>0.81805555555183673</v>
      </c>
    </row>
    <row r="999" spans="1:7">
      <c r="A999" s="37" t="s">
        <v>391</v>
      </c>
      <c r="B999" s="93">
        <v>45770</v>
      </c>
      <c r="C999" s="37" t="s">
        <v>895</v>
      </c>
      <c r="D999" s="93">
        <v>45770</v>
      </c>
      <c r="E999" s="37" t="s">
        <v>456</v>
      </c>
      <c r="F999" s="100">
        <f t="shared" si="76"/>
        <v>1.0416666671517305E-2</v>
      </c>
    </row>
    <row r="1000" spans="1:7">
      <c r="A1000" s="37" t="s">
        <v>177</v>
      </c>
      <c r="B1000" s="93">
        <v>45770</v>
      </c>
      <c r="C1000" s="37" t="s">
        <v>451</v>
      </c>
      <c r="D1000" s="93">
        <v>45772</v>
      </c>
      <c r="E1000" s="37" t="s">
        <v>309</v>
      </c>
      <c r="F1000" s="100">
        <f t="shared" si="76"/>
        <v>1.883333333338669</v>
      </c>
    </row>
    <row r="1001" spans="1:7">
      <c r="A1001" s="37" t="s">
        <v>242</v>
      </c>
      <c r="B1001" s="93">
        <v>45770</v>
      </c>
      <c r="C1001" s="37" t="s">
        <v>736</v>
      </c>
      <c r="D1001" s="93">
        <v>45771</v>
      </c>
      <c r="E1001" s="37" t="s">
        <v>1143</v>
      </c>
      <c r="F1001" s="100">
        <f t="shared" si="76"/>
        <v>0.69791666666424135</v>
      </c>
    </row>
    <row r="1002" spans="1:7">
      <c r="A1002" s="37" t="s">
        <v>186</v>
      </c>
      <c r="B1002" s="93">
        <v>45770</v>
      </c>
      <c r="C1002" s="37" t="s">
        <v>740</v>
      </c>
      <c r="D1002" s="93">
        <v>45771</v>
      </c>
      <c r="E1002" s="37" t="s">
        <v>664</v>
      </c>
      <c r="F1002" s="100">
        <f t="shared" si="76"/>
        <v>1.5618055555532919</v>
      </c>
    </row>
    <row r="1003" spans="1:7">
      <c r="A1003" s="37" t="s">
        <v>164</v>
      </c>
      <c r="B1003" s="93">
        <v>45770</v>
      </c>
      <c r="C1003" s="37" t="s">
        <v>458</v>
      </c>
      <c r="D1003" s="93">
        <v>45770</v>
      </c>
      <c r="E1003" s="37" t="s">
        <v>829</v>
      </c>
      <c r="F1003" s="100">
        <f t="shared" si="76"/>
        <v>9.6527777779556345E-2</v>
      </c>
    </row>
    <row r="1004" spans="1:7">
      <c r="A1004" s="37" t="s">
        <v>232</v>
      </c>
      <c r="B1004" s="93">
        <v>45770</v>
      </c>
      <c r="C1004" s="37" t="s">
        <v>779</v>
      </c>
      <c r="D1004" s="93">
        <v>45770</v>
      </c>
      <c r="E1004" s="37" t="s">
        <v>1144</v>
      </c>
      <c r="F1004" s="100">
        <f t="shared" si="76"/>
        <v>9.930555555911269E-2</v>
      </c>
    </row>
    <row r="1005" spans="1:7">
      <c r="A1005" s="37" t="s">
        <v>234</v>
      </c>
      <c r="B1005" s="93">
        <v>45770</v>
      </c>
      <c r="C1005" s="37" t="s">
        <v>316</v>
      </c>
      <c r="D1005" s="93">
        <v>45770</v>
      </c>
      <c r="E1005" s="37" t="s">
        <v>803</v>
      </c>
      <c r="F1005" s="100">
        <f t="shared" si="76"/>
        <v>0.25833333333866904</v>
      </c>
    </row>
    <row r="1006" spans="1:7">
      <c r="A1006" s="37" t="s">
        <v>236</v>
      </c>
      <c r="B1006" s="93">
        <v>45770</v>
      </c>
      <c r="C1006" s="37" t="s">
        <v>994</v>
      </c>
      <c r="D1006" s="93">
        <v>45770</v>
      </c>
      <c r="E1006" s="37" t="s">
        <v>359</v>
      </c>
      <c r="F1006" s="100">
        <f t="shared" si="76"/>
        <v>0.37083333333430346</v>
      </c>
    </row>
    <row r="1007" spans="1:7">
      <c r="A1007" s="37" t="s">
        <v>391</v>
      </c>
      <c r="B1007" s="93">
        <v>45770</v>
      </c>
      <c r="C1007" s="37" t="s">
        <v>550</v>
      </c>
      <c r="D1007" s="93">
        <v>45770</v>
      </c>
      <c r="E1007" s="37" t="s">
        <v>383</v>
      </c>
      <c r="F1007" s="100">
        <f t="shared" si="76"/>
        <v>0.35625000000436557</v>
      </c>
    </row>
    <row r="1008" spans="1:7">
      <c r="A1008" s="37" t="s">
        <v>335</v>
      </c>
      <c r="B1008" s="93">
        <v>45770</v>
      </c>
      <c r="C1008" s="37" t="s">
        <v>656</v>
      </c>
      <c r="D1008" s="93">
        <v>45770</v>
      </c>
      <c r="E1008" s="37" t="s">
        <v>1002</v>
      </c>
      <c r="F1008" s="100">
        <f t="shared" si="76"/>
        <v>0.47499999999854481</v>
      </c>
    </row>
    <row r="1009" spans="1:8">
      <c r="A1009" s="37" t="s">
        <v>180</v>
      </c>
      <c r="B1009" s="93">
        <v>45770</v>
      </c>
      <c r="C1009" s="37" t="s">
        <v>1145</v>
      </c>
      <c r="D1009" s="93">
        <v>45771</v>
      </c>
      <c r="E1009" s="37" t="s">
        <v>301</v>
      </c>
      <c r="F1009" s="100">
        <f t="shared" si="76"/>
        <v>1.53125</v>
      </c>
    </row>
    <row r="1010" spans="1:8">
      <c r="A1010" s="37" t="s">
        <v>164</v>
      </c>
      <c r="B1010" s="93">
        <v>45770</v>
      </c>
      <c r="C1010" s="37" t="s">
        <v>1146</v>
      </c>
      <c r="D1010" s="93">
        <v>45770</v>
      </c>
      <c r="E1010" s="37" t="s">
        <v>383</v>
      </c>
      <c r="F1010" s="100">
        <f t="shared" si="76"/>
        <v>0.18958333333284827</v>
      </c>
    </row>
    <row r="1011" spans="1:8">
      <c r="A1011" s="37" t="s">
        <v>232</v>
      </c>
      <c r="B1011" s="93">
        <v>45770</v>
      </c>
      <c r="C1011" s="37" t="s">
        <v>880</v>
      </c>
      <c r="D1011" s="93">
        <v>45770</v>
      </c>
      <c r="E1011" s="37" t="s">
        <v>971</v>
      </c>
      <c r="F1011" s="100">
        <f t="shared" si="76"/>
        <v>0.16736111111094942</v>
      </c>
    </row>
    <row r="1012" spans="1:8">
      <c r="A1012" s="37" t="s">
        <v>220</v>
      </c>
      <c r="B1012" s="93">
        <v>45770</v>
      </c>
      <c r="C1012" s="37" t="s">
        <v>803</v>
      </c>
      <c r="D1012" s="93">
        <v>45770</v>
      </c>
      <c r="E1012" s="37" t="s">
        <v>430</v>
      </c>
      <c r="F1012" s="100">
        <f t="shared" si="76"/>
        <v>0.21250000000145519</v>
      </c>
      <c r="G1012" s="37" t="s">
        <v>9</v>
      </c>
      <c r="H1012" s="94" t="s">
        <v>1147</v>
      </c>
    </row>
    <row r="1013" spans="1:8">
      <c r="A1013" s="37" t="s">
        <v>214</v>
      </c>
      <c r="B1013" s="93">
        <v>45770</v>
      </c>
      <c r="C1013" s="37" t="s">
        <v>803</v>
      </c>
      <c r="D1013" s="93">
        <v>45770</v>
      </c>
      <c r="E1013" s="37" t="s">
        <v>430</v>
      </c>
      <c r="F1013" s="100">
        <f t="shared" si="76"/>
        <v>0.21250000000145519</v>
      </c>
      <c r="G1013" s="37" t="s">
        <v>9</v>
      </c>
      <c r="H1013" s="94" t="s">
        <v>1147</v>
      </c>
    </row>
    <row r="1014" spans="1:8">
      <c r="A1014" s="37" t="s">
        <v>234</v>
      </c>
      <c r="B1014" s="93">
        <v>45770</v>
      </c>
      <c r="C1014" s="37" t="s">
        <v>1148</v>
      </c>
      <c r="D1014" s="93">
        <v>45770</v>
      </c>
      <c r="E1014" s="37" t="s">
        <v>1149</v>
      </c>
      <c r="F1014" s="100">
        <f t="shared" si="76"/>
        <v>3.6111111112404615E-2</v>
      </c>
    </row>
    <row r="1015" spans="1:8">
      <c r="A1015" s="37" t="s">
        <v>205</v>
      </c>
      <c r="B1015" s="93">
        <v>45770</v>
      </c>
      <c r="C1015" s="37" t="s">
        <v>1141</v>
      </c>
      <c r="D1015" s="93">
        <v>45771</v>
      </c>
      <c r="E1015" s="37" t="s">
        <v>1150</v>
      </c>
      <c r="F1015" s="100">
        <f t="shared" ref="F1015:F1029" si="77">(D1015 + TIME(LEFT(E1015, 2), MID(E1015, 3, 2), 0)) - (B1015 + TIME(LEFT(C1015, 2), MID(C1015, 3, 2), 0))</f>
        <v>0.47083333334012423</v>
      </c>
    </row>
    <row r="1016" spans="1:8">
      <c r="A1016" s="37" t="s">
        <v>225</v>
      </c>
      <c r="B1016" s="93">
        <v>45770</v>
      </c>
      <c r="C1016" s="37" t="s">
        <v>222</v>
      </c>
      <c r="D1016" s="93">
        <v>45772</v>
      </c>
      <c r="E1016" s="37" t="s">
        <v>222</v>
      </c>
      <c r="F1016" s="100">
        <f t="shared" si="77"/>
        <v>2</v>
      </c>
    </row>
    <row r="1017" spans="1:8">
      <c r="A1017" s="37" t="s">
        <v>232</v>
      </c>
      <c r="B1017" s="93">
        <v>45770</v>
      </c>
      <c r="C1017" s="37" t="s">
        <v>528</v>
      </c>
      <c r="D1017" s="93">
        <v>45770</v>
      </c>
      <c r="E1017" s="37" t="s">
        <v>206</v>
      </c>
      <c r="F1017" s="100">
        <f t="shared" si="77"/>
        <v>3.1944444446708076E-2</v>
      </c>
    </row>
    <row r="1018" spans="1:8">
      <c r="A1018" s="37" t="s">
        <v>279</v>
      </c>
      <c r="B1018" s="93">
        <v>45770</v>
      </c>
      <c r="C1018" s="37" t="s">
        <v>762</v>
      </c>
      <c r="D1018" s="93">
        <v>45770</v>
      </c>
      <c r="E1018" s="37" t="s">
        <v>634</v>
      </c>
      <c r="F1018" s="100">
        <f t="shared" si="77"/>
        <v>1.3888888861401938E-3</v>
      </c>
    </row>
    <row r="1019" spans="1:8">
      <c r="A1019" s="37" t="s">
        <v>234</v>
      </c>
      <c r="B1019" s="93">
        <v>45770</v>
      </c>
      <c r="C1019" s="37" t="s">
        <v>499</v>
      </c>
      <c r="D1019" s="93">
        <v>45770</v>
      </c>
      <c r="E1019" s="37" t="s">
        <v>325</v>
      </c>
      <c r="F1019" s="100">
        <f t="shared" si="77"/>
        <v>2.5694444448163267E-2</v>
      </c>
    </row>
    <row r="1020" spans="1:8">
      <c r="A1020" s="37" t="s">
        <v>220</v>
      </c>
      <c r="B1020" s="93">
        <v>45770</v>
      </c>
      <c r="C1020" s="37" t="s">
        <v>430</v>
      </c>
      <c r="D1020" s="93">
        <v>45771</v>
      </c>
      <c r="E1020" s="37" t="s">
        <v>590</v>
      </c>
      <c r="F1020" s="100">
        <f t="shared" si="77"/>
        <v>0.40069444444088731</v>
      </c>
    </row>
    <row r="1021" spans="1:8">
      <c r="A1021" s="37" t="s">
        <v>214</v>
      </c>
      <c r="B1021" s="93">
        <v>45770</v>
      </c>
      <c r="C1021" s="37" t="s">
        <v>430</v>
      </c>
      <c r="D1021" s="93">
        <v>45770</v>
      </c>
      <c r="E1021" s="37" t="s">
        <v>1151</v>
      </c>
      <c r="F1021" s="100">
        <f t="shared" si="77"/>
        <v>0.10902777777664596</v>
      </c>
    </row>
    <row r="1022" spans="1:8">
      <c r="A1022" s="37" t="s">
        <v>211</v>
      </c>
      <c r="B1022" s="93">
        <v>45770</v>
      </c>
      <c r="C1022" s="37" t="s">
        <v>1152</v>
      </c>
      <c r="D1022" s="93">
        <v>45771</v>
      </c>
      <c r="E1022" s="37" t="s">
        <v>359</v>
      </c>
      <c r="F1022" s="100">
        <f t="shared" si="77"/>
        <v>0.90763888888614019</v>
      </c>
    </row>
    <row r="1023" spans="1:8">
      <c r="A1023" s="37" t="s">
        <v>279</v>
      </c>
      <c r="B1023" s="93">
        <v>45770</v>
      </c>
      <c r="C1023" s="37" t="s">
        <v>845</v>
      </c>
      <c r="D1023" s="93">
        <v>45770</v>
      </c>
      <c r="E1023" s="37" t="s">
        <v>808</v>
      </c>
      <c r="F1023" s="100">
        <f t="shared" si="77"/>
        <v>6.3194444446708076E-2</v>
      </c>
    </row>
    <row r="1024" spans="1:8">
      <c r="A1024" s="37" t="s">
        <v>189</v>
      </c>
      <c r="B1024" s="93">
        <v>45770</v>
      </c>
      <c r="C1024" s="37" t="s">
        <v>315</v>
      </c>
      <c r="D1024" s="93">
        <v>45771</v>
      </c>
      <c r="E1024" s="37" t="s">
        <v>590</v>
      </c>
      <c r="F1024" s="100">
        <f t="shared" si="77"/>
        <v>0.29722222222335404</v>
      </c>
      <c r="G1024" s="37" t="s">
        <v>9</v>
      </c>
      <c r="H1024" s="94" t="s">
        <v>1153</v>
      </c>
    </row>
    <row r="1025" spans="1:8">
      <c r="A1025" s="37" t="s">
        <v>236</v>
      </c>
      <c r="B1025" s="93">
        <v>45770</v>
      </c>
      <c r="C1025" s="37" t="s">
        <v>809</v>
      </c>
      <c r="D1025" s="93">
        <v>45770</v>
      </c>
      <c r="E1025" s="37" t="s">
        <v>1154</v>
      </c>
      <c r="F1025" s="100">
        <f t="shared" si="77"/>
        <v>2.0138888889050577E-2</v>
      </c>
    </row>
    <row r="1026" spans="1:8" ht="27.6">
      <c r="A1026" s="37" t="s">
        <v>242</v>
      </c>
      <c r="B1026" s="93">
        <v>45771</v>
      </c>
      <c r="C1026" s="37" t="s">
        <v>1143</v>
      </c>
      <c r="D1026" s="93">
        <v>45771</v>
      </c>
      <c r="E1026" s="37" t="s">
        <v>929</v>
      </c>
      <c r="F1026" s="100">
        <f t="shared" si="77"/>
        <v>0.20972222222189885</v>
      </c>
      <c r="G1026" s="37" t="s">
        <v>9</v>
      </c>
      <c r="H1026" s="94" t="s">
        <v>1155</v>
      </c>
    </row>
    <row r="1027" spans="1:8">
      <c r="A1027" s="37" t="s">
        <v>183</v>
      </c>
      <c r="B1027" s="93">
        <v>45771</v>
      </c>
      <c r="C1027" s="37" t="s">
        <v>591</v>
      </c>
      <c r="D1027" s="93">
        <v>45771</v>
      </c>
      <c r="E1027" s="37" t="s">
        <v>743</v>
      </c>
      <c r="F1027" s="100">
        <f t="shared" si="77"/>
        <v>0.2930555555576575</v>
      </c>
      <c r="G1027" s="37" t="s">
        <v>9</v>
      </c>
      <c r="H1027" s="94" t="s">
        <v>1156</v>
      </c>
    </row>
    <row r="1028" spans="1:8">
      <c r="A1028" s="37" t="s">
        <v>248</v>
      </c>
      <c r="B1028" s="93">
        <v>45771</v>
      </c>
      <c r="C1028" s="37" t="s">
        <v>228</v>
      </c>
      <c r="D1028" s="93">
        <v>45772</v>
      </c>
      <c r="E1028" s="37" t="s">
        <v>771</v>
      </c>
      <c r="F1028" s="100">
        <f t="shared" si="77"/>
        <v>1.8062499999941792</v>
      </c>
    </row>
    <row r="1029" spans="1:8">
      <c r="A1029" s="37" t="s">
        <v>186</v>
      </c>
      <c r="B1029" s="93">
        <v>45771</v>
      </c>
      <c r="C1029" s="37" t="s">
        <v>1157</v>
      </c>
      <c r="D1029" s="93">
        <v>45772</v>
      </c>
      <c r="E1029" s="37" t="s">
        <v>1158</v>
      </c>
      <c r="F1029" s="100">
        <f t="shared" si="77"/>
        <v>1.2083333333357587</v>
      </c>
      <c r="H1029" s="94" t="s">
        <v>1159</v>
      </c>
    </row>
    <row r="1030" spans="1:8">
      <c r="A1030" s="37" t="s">
        <v>189</v>
      </c>
      <c r="B1030" s="93">
        <v>45771</v>
      </c>
      <c r="C1030" s="37" t="s">
        <v>1158</v>
      </c>
      <c r="F1030" s="100" t="e">
        <f>(D1030 + TIME(LEFT(E1030, 2), MID(E1030, 3, 2), 0)) - (B1030 + TIME(LEFT(C1030, 2), MID(C1030, 3, 2), 0))</f>
        <v>#VALUE!</v>
      </c>
      <c r="H1030" s="94" t="s">
        <v>1159</v>
      </c>
    </row>
    <row r="1031" spans="1:8">
      <c r="A1031" s="37" t="s">
        <v>214</v>
      </c>
      <c r="B1031" s="93">
        <v>45771</v>
      </c>
      <c r="C1031" s="37" t="s">
        <v>595</v>
      </c>
      <c r="D1031" s="93">
        <v>45772</v>
      </c>
      <c r="E1031" s="37" t="s">
        <v>1066</v>
      </c>
      <c r="F1031" s="100">
        <f t="shared" ref="F1031:F1036" si="78">(D1031 + TIME(LEFT(E1031, 2), MID(E1031, 3, 2), 0)) - (B1031 + TIME(LEFT(C1031, 2), MID(C1031, 3, 2), 0))</f>
        <v>0.95902777778246673</v>
      </c>
    </row>
    <row r="1032" spans="1:8">
      <c r="A1032" s="37" t="s">
        <v>164</v>
      </c>
      <c r="B1032" s="93">
        <v>45771</v>
      </c>
      <c r="C1032" s="37" t="s">
        <v>1124</v>
      </c>
      <c r="D1032" s="93">
        <v>45771</v>
      </c>
      <c r="E1032" s="37" t="s">
        <v>606</v>
      </c>
      <c r="F1032" s="100">
        <f t="shared" si="78"/>
        <v>3.7499999998544808E-2</v>
      </c>
    </row>
    <row r="1033" spans="1:8">
      <c r="A1033" s="37" t="s">
        <v>391</v>
      </c>
      <c r="B1033" s="93">
        <v>45771</v>
      </c>
      <c r="C1033" s="37" t="s">
        <v>1124</v>
      </c>
      <c r="D1033" s="93">
        <v>45771</v>
      </c>
      <c r="E1033" s="37" t="s">
        <v>306</v>
      </c>
      <c r="F1033" s="100">
        <f t="shared" si="78"/>
        <v>0.17222222222335404</v>
      </c>
    </row>
    <row r="1034" spans="1:8">
      <c r="A1034" s="37" t="s">
        <v>234</v>
      </c>
      <c r="B1034" s="93">
        <v>45771</v>
      </c>
      <c r="C1034" s="37" t="s">
        <v>1013</v>
      </c>
      <c r="D1034" s="93">
        <v>45771</v>
      </c>
      <c r="E1034" s="37" t="s">
        <v>1160</v>
      </c>
      <c r="F1034" s="100">
        <f t="shared" si="78"/>
        <v>0.29444444444379769</v>
      </c>
    </row>
    <row r="1035" spans="1:8">
      <c r="A1035" s="37" t="s">
        <v>236</v>
      </c>
      <c r="B1035" s="93">
        <v>45771</v>
      </c>
      <c r="C1035" s="37" t="s">
        <v>411</v>
      </c>
      <c r="D1035" s="93">
        <v>45771</v>
      </c>
      <c r="E1035" s="37" t="s">
        <v>1161</v>
      </c>
      <c r="F1035" s="100">
        <f t="shared" si="78"/>
        <v>0.32569444444379769</v>
      </c>
    </row>
    <row r="1036" spans="1:8">
      <c r="A1036" s="37" t="s">
        <v>242</v>
      </c>
      <c r="B1036" s="93">
        <v>45771</v>
      </c>
      <c r="C1036" s="37" t="s">
        <v>994</v>
      </c>
      <c r="D1036" s="93">
        <v>45771</v>
      </c>
      <c r="E1036" s="37" t="s">
        <v>603</v>
      </c>
      <c r="F1036" s="100">
        <f t="shared" si="78"/>
        <v>3.5416666665696539E-2</v>
      </c>
    </row>
    <row r="1037" spans="1:8">
      <c r="A1037" s="37" t="s">
        <v>174</v>
      </c>
      <c r="B1037" s="93">
        <v>45771</v>
      </c>
      <c r="C1037" s="37" t="s">
        <v>253</v>
      </c>
      <c r="D1037" s="93">
        <v>45774</v>
      </c>
      <c r="E1037" s="37" t="s">
        <v>1157</v>
      </c>
      <c r="F1037" s="100">
        <f>(D1037 + TIME(LEFT(E1037, 2), MID(E1037, 3, 2), 0)) - (B1037 + TIME(LEFT(C1037, 2), MID(C1037, 3, 2), 0))</f>
        <v>2.6659722222175333</v>
      </c>
    </row>
    <row r="1038" spans="1:8">
      <c r="A1038" s="37" t="s">
        <v>164</v>
      </c>
      <c r="B1038" s="93">
        <v>45771</v>
      </c>
      <c r="C1038" s="37" t="s">
        <v>659</v>
      </c>
      <c r="D1038" s="93">
        <v>45771</v>
      </c>
      <c r="E1038" s="37" t="s">
        <v>1162</v>
      </c>
      <c r="F1038" s="100">
        <f t="shared" ref="F1038:F1044" si="79">(D1038 + TIME(LEFT(E1038, 2), MID(E1038, 3, 2), 0)) - (B1038 + TIME(LEFT(C1038, 2), MID(C1038, 3, 2), 0))</f>
        <v>0.30555555555474712</v>
      </c>
    </row>
    <row r="1039" spans="1:8">
      <c r="A1039" s="37" t="s">
        <v>232</v>
      </c>
      <c r="B1039" s="93">
        <v>45771</v>
      </c>
      <c r="C1039" s="37" t="s">
        <v>744</v>
      </c>
      <c r="D1039" s="93">
        <v>45771</v>
      </c>
      <c r="E1039" s="37" t="s">
        <v>1019</v>
      </c>
      <c r="F1039" s="100">
        <f t="shared" si="79"/>
        <v>0.17916666666133096</v>
      </c>
    </row>
    <row r="1040" spans="1:8">
      <c r="A1040" s="37" t="s">
        <v>183</v>
      </c>
      <c r="B1040" s="93">
        <v>45771</v>
      </c>
      <c r="C1040" s="37" t="s">
        <v>743</v>
      </c>
      <c r="D1040" s="93">
        <v>45772</v>
      </c>
      <c r="E1040" s="37" t="s">
        <v>856</v>
      </c>
      <c r="F1040" s="100">
        <f t="shared" si="79"/>
        <v>0.64930555555474712</v>
      </c>
    </row>
    <row r="1041" spans="1:8">
      <c r="A1041" s="37" t="s">
        <v>242</v>
      </c>
      <c r="B1041" s="93">
        <v>45771</v>
      </c>
      <c r="C1041" s="37" t="s">
        <v>603</v>
      </c>
      <c r="D1041" s="93">
        <v>45771</v>
      </c>
      <c r="E1041" s="37" t="s">
        <v>1163</v>
      </c>
      <c r="F1041" s="100">
        <f t="shared" si="79"/>
        <v>0.15486111111385981</v>
      </c>
      <c r="G1041" s="37" t="s">
        <v>9</v>
      </c>
      <c r="H1041" s="94" t="s">
        <v>1164</v>
      </c>
    </row>
    <row r="1042" spans="1:8">
      <c r="A1042" s="37" t="s">
        <v>335</v>
      </c>
      <c r="B1042" s="93">
        <v>45771</v>
      </c>
      <c r="C1042" s="37" t="s">
        <v>262</v>
      </c>
      <c r="D1042" s="93">
        <v>45771</v>
      </c>
      <c r="E1042" s="37" t="s">
        <v>945</v>
      </c>
      <c r="F1042" s="100">
        <f t="shared" si="79"/>
        <v>0.46944444444670808</v>
      </c>
    </row>
    <row r="1043" spans="1:8">
      <c r="A1043" s="37" t="s">
        <v>205</v>
      </c>
      <c r="B1043" s="93">
        <v>45771</v>
      </c>
      <c r="C1043" s="37" t="s">
        <v>1145</v>
      </c>
      <c r="D1043" s="93">
        <v>45771</v>
      </c>
      <c r="E1043" s="37" t="s">
        <v>1000</v>
      </c>
      <c r="F1043" s="100">
        <f t="shared" si="79"/>
        <v>0.30555555555474712</v>
      </c>
    </row>
    <row r="1044" spans="1:8">
      <c r="A1044" s="37" t="s">
        <v>192</v>
      </c>
      <c r="B1044" s="93">
        <v>45771</v>
      </c>
      <c r="C1044" s="37" t="s">
        <v>780</v>
      </c>
      <c r="D1044" s="93">
        <v>45771</v>
      </c>
      <c r="E1044" s="37" t="s">
        <v>899</v>
      </c>
      <c r="F1044" s="100">
        <f t="shared" si="79"/>
        <v>0.18888888888614019</v>
      </c>
      <c r="G1044" s="37" t="s">
        <v>9</v>
      </c>
      <c r="H1044" s="94" t="s">
        <v>1165</v>
      </c>
    </row>
    <row r="1045" spans="1:8">
      <c r="A1045" s="37" t="s">
        <v>220</v>
      </c>
      <c r="B1045" s="93">
        <v>45771</v>
      </c>
      <c r="C1045" s="37" t="s">
        <v>896</v>
      </c>
      <c r="D1045" s="93">
        <v>45772</v>
      </c>
      <c r="E1045" s="37" t="s">
        <v>840</v>
      </c>
      <c r="F1045" s="100">
        <f>(D1045 + TIME(LEFT(E1045, 2), MID(E1045, 3, 2), 0)) - (B1045 + TIME(LEFT(C1045, 2), MID(C1045, 3, 2), 0))</f>
        <v>1.4173611111109494</v>
      </c>
    </row>
    <row r="1046" spans="1:8">
      <c r="A1046" s="37" t="s">
        <v>202</v>
      </c>
      <c r="B1046" s="93">
        <v>45771</v>
      </c>
      <c r="C1046" s="37" t="s">
        <v>867</v>
      </c>
      <c r="D1046" s="93">
        <v>45771</v>
      </c>
      <c r="E1046" s="37" t="s">
        <v>197</v>
      </c>
      <c r="F1046" s="100">
        <f>(D1046 + TIME(LEFT(E1046, 2), MID(E1046, 3, 2), 0)) - (B1046 + TIME(LEFT(C1046, 2), MID(C1046, 3, 2), 0))</f>
        <v>0.36111111110949423</v>
      </c>
      <c r="H1046" s="94" t="s">
        <v>1166</v>
      </c>
    </row>
    <row r="1047" spans="1:8">
      <c r="A1047" s="37" t="s">
        <v>398</v>
      </c>
      <c r="B1047" s="93">
        <v>45771</v>
      </c>
      <c r="C1047" s="37" t="s">
        <v>1081</v>
      </c>
      <c r="D1047" s="93">
        <v>45771</v>
      </c>
      <c r="E1047" s="37" t="s">
        <v>877</v>
      </c>
      <c r="F1047" s="100">
        <f>(D1047 + TIME(LEFT(E1047, 2), MID(E1047, 3, 2), 0)) - (B1047 + TIME(LEFT(C1047, 2), MID(C1047, 3, 2), 0))</f>
        <v>2.0833333335758653E-2</v>
      </c>
    </row>
    <row r="1048" spans="1:8">
      <c r="A1048" s="37" t="s">
        <v>398</v>
      </c>
      <c r="B1048" s="93">
        <v>45771</v>
      </c>
      <c r="C1048" s="37" t="s">
        <v>877</v>
      </c>
      <c r="G1048" s="37" t="s">
        <v>9</v>
      </c>
      <c r="H1048" s="94" t="s">
        <v>1167</v>
      </c>
    </row>
    <row r="1049" spans="1:8">
      <c r="A1049" s="37" t="s">
        <v>196</v>
      </c>
      <c r="B1049" s="93">
        <v>45771</v>
      </c>
      <c r="C1049" s="37" t="s">
        <v>484</v>
      </c>
      <c r="D1049" s="93">
        <v>45771</v>
      </c>
      <c r="E1049" s="37" t="s">
        <v>759</v>
      </c>
      <c r="F1049" s="100">
        <f>(D1049 + TIME(LEFT(E1049, 2), MID(E1049, 3, 2), 0)) - (B1049 + TIME(LEFT(C1049, 2), MID(C1049, 3, 2), 0))</f>
        <v>0.29097222222480923</v>
      </c>
    </row>
    <row r="1050" spans="1:8">
      <c r="A1050" s="37" t="s">
        <v>391</v>
      </c>
      <c r="B1050" s="93">
        <v>45771</v>
      </c>
      <c r="C1050" s="37" t="s">
        <v>381</v>
      </c>
      <c r="D1050" s="93">
        <v>45771</v>
      </c>
      <c r="E1050" s="37" t="s">
        <v>1168</v>
      </c>
      <c r="F1050" s="100">
        <f>(D1050 + TIME(LEFT(E1050, 2), MID(E1050, 3, 2), 0)) - (B1050 + TIME(LEFT(C1050, 2), MID(C1050, 3, 2), 0))</f>
        <v>0.17361111110949423</v>
      </c>
    </row>
    <row r="1051" spans="1:8">
      <c r="A1051" s="37" t="s">
        <v>242</v>
      </c>
      <c r="B1051" s="93">
        <v>45771</v>
      </c>
      <c r="C1051" s="37" t="s">
        <v>1163</v>
      </c>
      <c r="D1051" s="93">
        <v>45772</v>
      </c>
      <c r="E1051" s="37" t="s">
        <v>1169</v>
      </c>
      <c r="F1051" s="100">
        <f>(D1051 + TIME(LEFT(E1051, 2), MID(E1051, 3, 2), 0)) - (B1051 + TIME(LEFT(C1051, 2), MID(C1051, 3, 2), 0))</f>
        <v>0.54583333332993789</v>
      </c>
      <c r="H1051" s="94" t="s">
        <v>354</v>
      </c>
    </row>
    <row r="1052" spans="1:8">
      <c r="A1052" s="37" t="s">
        <v>232</v>
      </c>
      <c r="B1052" s="93">
        <v>45771</v>
      </c>
      <c r="C1052" s="37" t="s">
        <v>918</v>
      </c>
      <c r="D1052" s="93">
        <v>45771</v>
      </c>
      <c r="E1052" s="37" t="s">
        <v>410</v>
      </c>
      <c r="F1052" s="100">
        <f>(D1052 + TIME(LEFT(E1052, 2), MID(E1052, 3, 2), 0)) - (B1052 + TIME(LEFT(C1052, 2), MID(C1052, 3, 2), 0))</f>
        <v>0.13749999999708962</v>
      </c>
    </row>
    <row r="1053" spans="1:8">
      <c r="A1053" s="37" t="s">
        <v>279</v>
      </c>
      <c r="B1053" s="93">
        <v>45771</v>
      </c>
      <c r="C1053" s="37" t="s">
        <v>1161</v>
      </c>
      <c r="D1053" s="93">
        <v>45771</v>
      </c>
      <c r="E1053" s="37" t="s">
        <v>1170</v>
      </c>
      <c r="F1053" s="100">
        <f>(D1053 + TIME(LEFT(E1053, 2), MID(E1053, 3, 2), 0)) - (B1053 + TIME(LEFT(C1053, 2), MID(C1053, 3, 2), 0))</f>
        <v>8.333333331393078E-3</v>
      </c>
    </row>
    <row r="1054" spans="1:8">
      <c r="A1054" s="37" t="s">
        <v>192</v>
      </c>
      <c r="B1054" s="93">
        <v>45771</v>
      </c>
      <c r="C1054" s="37" t="s">
        <v>899</v>
      </c>
    </row>
    <row r="1055" spans="1:8">
      <c r="A1055" s="37" t="s">
        <v>279</v>
      </c>
      <c r="B1055" s="93">
        <v>45771</v>
      </c>
      <c r="C1055" s="37" t="s">
        <v>480</v>
      </c>
      <c r="D1055" s="93">
        <v>45771</v>
      </c>
      <c r="E1055" s="37" t="s">
        <v>1171</v>
      </c>
      <c r="F1055" s="100">
        <f t="shared" ref="F1055:F1064" si="80">(D1055 + TIME(LEFT(E1055, 2), MID(E1055, 3, 2), 0)) - (B1055 + TIME(LEFT(C1055, 2), MID(C1055, 3, 2), 0))</f>
        <v>1.3888888861401938E-3</v>
      </c>
    </row>
    <row r="1056" spans="1:8">
      <c r="A1056" s="37" t="s">
        <v>279</v>
      </c>
      <c r="B1056" s="93">
        <v>45771</v>
      </c>
      <c r="C1056" s="37" t="s">
        <v>1172</v>
      </c>
      <c r="D1056" s="93">
        <v>45771</v>
      </c>
      <c r="E1056" s="37" t="s">
        <v>1173</v>
      </c>
      <c r="F1056" s="100">
        <f t="shared" si="80"/>
        <v>2.7777777795563452E-3</v>
      </c>
    </row>
    <row r="1057" spans="1:8">
      <c r="A1057" s="37" t="s">
        <v>211</v>
      </c>
      <c r="B1057" s="93">
        <v>45771</v>
      </c>
      <c r="C1057" s="37" t="s">
        <v>1174</v>
      </c>
      <c r="D1057" s="93">
        <v>45771</v>
      </c>
      <c r="E1057" s="37" t="s">
        <v>418</v>
      </c>
      <c r="F1057" s="100">
        <f t="shared" si="80"/>
        <v>0.10902777777664596</v>
      </c>
    </row>
    <row r="1058" spans="1:8">
      <c r="A1058" s="37" t="s">
        <v>186</v>
      </c>
      <c r="B1058" s="93">
        <v>45771</v>
      </c>
      <c r="C1058" s="37" t="s">
        <v>664</v>
      </c>
      <c r="D1058" s="93">
        <v>45772</v>
      </c>
      <c r="E1058" s="37" t="s">
        <v>922</v>
      </c>
      <c r="F1058" s="100">
        <f t="shared" si="80"/>
        <v>0.24444444444816327</v>
      </c>
      <c r="G1058" s="37" t="s">
        <v>9</v>
      </c>
    </row>
    <row r="1059" spans="1:8">
      <c r="A1059" s="37" t="s">
        <v>232</v>
      </c>
      <c r="B1059" s="93">
        <v>45771</v>
      </c>
      <c r="C1059" s="37" t="s">
        <v>250</v>
      </c>
      <c r="D1059" s="93">
        <v>45771</v>
      </c>
      <c r="E1059" s="37" t="s">
        <v>1175</v>
      </c>
      <c r="F1059" s="100">
        <f t="shared" si="80"/>
        <v>2.9861111113859806E-2</v>
      </c>
    </row>
    <row r="1060" spans="1:8">
      <c r="A1060" s="37" t="s">
        <v>234</v>
      </c>
      <c r="B1060" s="93">
        <v>45771</v>
      </c>
      <c r="C1060" s="37" t="s">
        <v>250</v>
      </c>
      <c r="D1060" s="93">
        <v>45771</v>
      </c>
      <c r="E1060" s="37" t="s">
        <v>1176</v>
      </c>
      <c r="F1060" s="100">
        <f t="shared" si="80"/>
        <v>2.6388888887595385E-2</v>
      </c>
    </row>
    <row r="1061" spans="1:8">
      <c r="A1061" s="37" t="s">
        <v>236</v>
      </c>
      <c r="B1061" s="93">
        <v>45771</v>
      </c>
      <c r="C1061" s="37" t="s">
        <v>250</v>
      </c>
      <c r="D1061" s="93">
        <v>45771</v>
      </c>
      <c r="E1061" s="37" t="s">
        <v>1177</v>
      </c>
      <c r="F1061" s="100">
        <f t="shared" si="80"/>
        <v>3.4027777779556345E-2</v>
      </c>
    </row>
    <row r="1062" spans="1:8">
      <c r="A1062" s="37" t="s">
        <v>391</v>
      </c>
      <c r="B1062" s="93">
        <v>45771</v>
      </c>
      <c r="C1062" s="37" t="s">
        <v>536</v>
      </c>
      <c r="D1062" s="93">
        <v>45771</v>
      </c>
      <c r="E1062" s="37" t="s">
        <v>586</v>
      </c>
      <c r="F1062" s="100">
        <f t="shared" si="80"/>
        <v>4.0972222224809229E-2</v>
      </c>
    </row>
    <row r="1063" spans="1:8">
      <c r="A1063" s="37" t="s">
        <v>180</v>
      </c>
      <c r="B1063" s="93">
        <v>45772</v>
      </c>
      <c r="C1063" s="37" t="s">
        <v>1178</v>
      </c>
      <c r="D1063" s="93">
        <v>45772</v>
      </c>
      <c r="E1063" s="37" t="s">
        <v>221</v>
      </c>
      <c r="F1063" s="100">
        <f t="shared" si="80"/>
        <v>8.3333333386690356E-3</v>
      </c>
      <c r="G1063" s="37" t="s">
        <v>9</v>
      </c>
      <c r="H1063" s="23" t="s">
        <v>1179</v>
      </c>
    </row>
    <row r="1064" spans="1:8">
      <c r="A1064" s="37" t="s">
        <v>180</v>
      </c>
      <c r="B1064" s="93">
        <v>45772</v>
      </c>
      <c r="C1064" s="37" t="s">
        <v>221</v>
      </c>
      <c r="D1064" s="93">
        <v>45772</v>
      </c>
      <c r="E1064" s="37" t="s">
        <v>309</v>
      </c>
      <c r="F1064" s="100">
        <f t="shared" si="80"/>
        <v>1.5972222223354038E-2</v>
      </c>
      <c r="H1064" s="94" t="s">
        <v>354</v>
      </c>
    </row>
    <row r="1065" spans="1:8">
      <c r="A1065" s="37" t="s">
        <v>180</v>
      </c>
      <c r="B1065" s="93">
        <v>45772</v>
      </c>
      <c r="C1065" s="37" t="s">
        <v>309</v>
      </c>
      <c r="D1065" s="93">
        <v>45774</v>
      </c>
      <c r="E1065" s="37" t="s">
        <v>1180</v>
      </c>
      <c r="F1065" s="100">
        <f>(D1065 + TIME(LEFT(E1065, 2), MID(E1065, 3, 2), 0)) - (B1065 + TIME(LEFT(C1065, 2), MID(C1065, 3, 2), 0))</f>
        <v>1.8722222222204437</v>
      </c>
    </row>
    <row r="1066" spans="1:8">
      <c r="A1066" s="37" t="s">
        <v>211</v>
      </c>
      <c r="B1066" s="93">
        <v>45771</v>
      </c>
      <c r="C1066" s="37" t="s">
        <v>723</v>
      </c>
      <c r="D1066" s="93">
        <v>45772</v>
      </c>
      <c r="E1066" s="37" t="s">
        <v>510</v>
      </c>
      <c r="F1066" s="100">
        <f>(D1066 + TIME(LEFT(E1066, 2), MID(E1066, 3, 2), 0)) - (B1066 + TIME(LEFT(C1066, 2), MID(C1066, 3, 2), 0))</f>
        <v>1.4833333333299379</v>
      </c>
    </row>
    <row r="1067" spans="1:8">
      <c r="A1067" s="37" t="s">
        <v>217</v>
      </c>
      <c r="B1067" s="93">
        <v>45771</v>
      </c>
      <c r="C1067" s="37" t="s">
        <v>212</v>
      </c>
      <c r="D1067" s="93">
        <v>45772</v>
      </c>
      <c r="E1067" s="37" t="s">
        <v>213</v>
      </c>
      <c r="F1067" s="100">
        <f>(D1067 + TIME(LEFT(E1067, 2), MID(E1067, 3, 2), 0)) - (B1067 + TIME(LEFT(C1067, 2), MID(C1067, 3, 2), 0))</f>
        <v>0.50069444443943212</v>
      </c>
    </row>
    <row r="1068" spans="1:8">
      <c r="A1068" s="37" t="s">
        <v>183</v>
      </c>
      <c r="B1068" s="93">
        <v>45772</v>
      </c>
      <c r="C1068" s="37" t="s">
        <v>517</v>
      </c>
      <c r="D1068" s="84">
        <v>45772</v>
      </c>
      <c r="E1068" s="23" t="s">
        <v>948</v>
      </c>
      <c r="F1068" s="100">
        <f t="shared" ref="F1068:F1069" si="81">(D1068 + TIME(LEFT(E1068, 2), MID(E1068, 3, 2), 0)) - (B1068 + TIME(LEFT(C1068, 2), MID(C1068, 3, 2), 0))</f>
        <v>0.67152777777664596</v>
      </c>
    </row>
    <row r="1069" spans="1:8">
      <c r="A1069" s="37" t="s">
        <v>186</v>
      </c>
      <c r="B1069" s="93">
        <v>45772</v>
      </c>
      <c r="C1069" s="37" t="s">
        <v>992</v>
      </c>
      <c r="D1069" s="84">
        <v>45773</v>
      </c>
      <c r="E1069" s="23" t="s">
        <v>1157</v>
      </c>
      <c r="F1069" s="100">
        <f t="shared" si="81"/>
        <v>0.69374999999854481</v>
      </c>
    </row>
    <row r="1070" spans="1:8">
      <c r="A1070" s="37" t="s">
        <v>164</v>
      </c>
      <c r="B1070" s="93">
        <v>45772</v>
      </c>
      <c r="C1070" s="37" t="s">
        <v>530</v>
      </c>
      <c r="D1070" s="93">
        <v>45772</v>
      </c>
      <c r="E1070" s="37" t="s">
        <v>370</v>
      </c>
      <c r="F1070" s="100">
        <f>(D1070 + TIME(LEFT(E1070, 2), MID(E1070, 3, 2), 0)) - (B1070 + TIME(LEFT(C1070, 2), MID(C1070, 3, 2), 0))</f>
        <v>2.0138888889050577E-2</v>
      </c>
    </row>
    <row r="1071" spans="1:8">
      <c r="A1071" s="37" t="s">
        <v>232</v>
      </c>
      <c r="B1071" s="93">
        <v>45772</v>
      </c>
      <c r="C1071" s="37" t="s">
        <v>822</v>
      </c>
      <c r="D1071" s="93">
        <v>45772</v>
      </c>
      <c r="E1071" s="37" t="s">
        <v>744</v>
      </c>
      <c r="F1071" s="100">
        <f>(D1071 + TIME(LEFT(E1071, 2), MID(E1071, 3, 2), 0)) - (B1071 + TIME(LEFT(C1071, 2), MID(C1071, 3, 2), 0))</f>
        <v>2.2916666668606922E-2</v>
      </c>
    </row>
    <row r="1072" spans="1:8">
      <c r="A1072" s="37" t="s">
        <v>177</v>
      </c>
      <c r="B1072" s="93">
        <v>45772</v>
      </c>
      <c r="C1072" s="37" t="s">
        <v>994</v>
      </c>
      <c r="D1072" s="93">
        <v>45772</v>
      </c>
      <c r="E1072" s="37" t="s">
        <v>1181</v>
      </c>
      <c r="F1072" s="100">
        <f>(D1072 + TIME(LEFT(E1072, 2), MID(E1072, 3, 2), 0)) - (B1072 + TIME(LEFT(C1072, 2), MID(C1072, 3, 2), 0))</f>
        <v>0.12013888888759539</v>
      </c>
    </row>
    <row r="1073" spans="1:8">
      <c r="A1073" s="37" t="s">
        <v>234</v>
      </c>
      <c r="B1073" s="93">
        <v>45772</v>
      </c>
      <c r="C1073" s="37" t="s">
        <v>362</v>
      </c>
      <c r="D1073" s="93">
        <v>45772</v>
      </c>
      <c r="E1073" s="37" t="s">
        <v>1182</v>
      </c>
      <c r="F1073" s="100">
        <f>(D1073 + TIME(LEFT(E1073, 2), MID(E1073, 3, 2), 0)) - (B1073 + TIME(LEFT(C1073, 2), MID(C1073, 3, 2), 0))</f>
        <v>0.15347222222044365</v>
      </c>
    </row>
    <row r="1074" spans="1:8">
      <c r="A1074" s="37" t="s">
        <v>242</v>
      </c>
      <c r="B1074" s="93">
        <v>45772</v>
      </c>
      <c r="C1074" s="37" t="s">
        <v>741</v>
      </c>
      <c r="D1074" s="93">
        <v>45773</v>
      </c>
      <c r="E1074" s="37" t="s">
        <v>201</v>
      </c>
      <c r="F1074" s="100">
        <f>(D1074 + TIME(LEFT(E1074, 2), MID(E1074, 3, 2), 0)) - (B1074 + TIME(LEFT(C1074, 2), MID(C1074, 3, 2), 0))</f>
        <v>0.71458333333430346</v>
      </c>
    </row>
    <row r="1075" spans="1:8">
      <c r="A1075" s="37" t="s">
        <v>335</v>
      </c>
      <c r="B1075" s="93">
        <v>45772</v>
      </c>
      <c r="C1075" s="37" t="s">
        <v>364</v>
      </c>
      <c r="D1075" s="93">
        <v>45772</v>
      </c>
      <c r="E1075" s="37" t="s">
        <v>1183</v>
      </c>
      <c r="F1075" s="100">
        <f t="shared" ref="F1075:F1081" si="82">(D1075 + TIME(LEFT(E1075, 2), MID(E1075, 3, 2), 0)) - (B1075 + TIME(LEFT(C1075, 2), MID(C1075, 3, 2), 0))</f>
        <v>0.26319444444379769</v>
      </c>
    </row>
    <row r="1076" spans="1:8">
      <c r="A1076" s="37" t="s">
        <v>236</v>
      </c>
      <c r="B1076" s="93">
        <v>45772</v>
      </c>
      <c r="C1076" s="37" t="s">
        <v>262</v>
      </c>
      <c r="D1076" s="93">
        <v>45772</v>
      </c>
      <c r="E1076" s="37" t="s">
        <v>1184</v>
      </c>
      <c r="F1076" s="100">
        <f t="shared" si="82"/>
        <v>0.10902777777664596</v>
      </c>
    </row>
    <row r="1077" spans="1:8">
      <c r="A1077" s="37" t="s">
        <v>391</v>
      </c>
      <c r="B1077" s="93">
        <v>45772</v>
      </c>
      <c r="C1077" s="37" t="s">
        <v>1185</v>
      </c>
      <c r="D1077" s="93">
        <v>45772</v>
      </c>
      <c r="E1077" s="37" t="s">
        <v>330</v>
      </c>
      <c r="F1077" s="100">
        <f t="shared" si="82"/>
        <v>0.11666666666860692</v>
      </c>
    </row>
    <row r="1078" spans="1:8">
      <c r="A1078" s="37" t="s">
        <v>164</v>
      </c>
      <c r="B1078" s="93">
        <v>45772</v>
      </c>
      <c r="C1078" s="37" t="s">
        <v>254</v>
      </c>
      <c r="D1078" s="93">
        <v>45772</v>
      </c>
      <c r="E1078" s="37" t="s">
        <v>330</v>
      </c>
      <c r="F1078" s="100">
        <f t="shared" si="82"/>
        <v>0.10833333333721384</v>
      </c>
    </row>
    <row r="1079" spans="1:8">
      <c r="A1079" s="37" t="s">
        <v>232</v>
      </c>
      <c r="B1079" s="93">
        <v>45772</v>
      </c>
      <c r="C1079" s="37" t="s">
        <v>258</v>
      </c>
      <c r="D1079" s="93">
        <v>45772</v>
      </c>
      <c r="E1079" s="37" t="s">
        <v>1038</v>
      </c>
      <c r="F1079" s="100">
        <f t="shared" si="82"/>
        <v>0.10972222222335404</v>
      </c>
    </row>
    <row r="1080" spans="1:8">
      <c r="A1080" s="37" t="s">
        <v>177</v>
      </c>
      <c r="B1080" s="93">
        <v>45772</v>
      </c>
      <c r="C1080" s="37" t="s">
        <v>1181</v>
      </c>
      <c r="D1080" s="93">
        <v>45772</v>
      </c>
      <c r="E1080" s="37" t="s">
        <v>1186</v>
      </c>
      <c r="F1080" s="100">
        <f t="shared" si="82"/>
        <v>1.6666666670062114E-2</v>
      </c>
      <c r="G1080" s="37" t="s">
        <v>9</v>
      </c>
      <c r="H1080" s="94" t="s">
        <v>1187</v>
      </c>
    </row>
    <row r="1081" spans="1:8">
      <c r="A1081" s="37" t="s">
        <v>205</v>
      </c>
      <c r="B1081" s="93">
        <v>45772</v>
      </c>
      <c r="C1081" s="37" t="s">
        <v>1181</v>
      </c>
      <c r="D1081" s="93">
        <v>45772</v>
      </c>
      <c r="E1081" s="37" t="s">
        <v>1188</v>
      </c>
      <c r="F1081" s="100">
        <f t="shared" si="82"/>
        <v>2.9166666667151731E-2</v>
      </c>
    </row>
    <row r="1082" spans="1:8">
      <c r="A1082" s="37" t="s">
        <v>177</v>
      </c>
      <c r="B1082" s="93">
        <v>45772</v>
      </c>
      <c r="C1082" s="37" t="s">
        <v>1186</v>
      </c>
      <c r="D1082" s="93">
        <v>45773</v>
      </c>
      <c r="E1082" s="37" t="s">
        <v>1189</v>
      </c>
      <c r="F1082" s="100">
        <f>(D1082 + TIME(LEFT(E1082, 2), MID(E1082, 3, 2), 0)) - (B1082 + TIME(LEFT(C1082, 2), MID(C1082, 3, 2), 0))</f>
        <v>0.81805555555183673</v>
      </c>
    </row>
    <row r="1083" spans="1:8">
      <c r="A1083" s="37" t="s">
        <v>205</v>
      </c>
      <c r="B1083" s="93">
        <v>45772</v>
      </c>
      <c r="C1083" s="37" t="s">
        <v>1188</v>
      </c>
      <c r="G1083" s="37" t="s">
        <v>9</v>
      </c>
      <c r="H1083" s="94" t="s">
        <v>1190</v>
      </c>
    </row>
    <row r="1084" spans="1:8">
      <c r="A1084" s="37" t="s">
        <v>234</v>
      </c>
      <c r="B1084" s="93">
        <v>45772</v>
      </c>
      <c r="C1084" s="37" t="s">
        <v>509</v>
      </c>
      <c r="D1084" s="93">
        <v>45772</v>
      </c>
      <c r="E1084" s="37" t="s">
        <v>792</v>
      </c>
      <c r="F1084" s="100">
        <f t="shared" ref="F1084:F1093" si="83">(D1084 + TIME(LEFT(E1084, 2), MID(E1084, 3, 2), 0)) - (B1084 + TIME(LEFT(C1084, 2), MID(C1084, 3, 2), 0))</f>
        <v>5.5555555518367328E-3</v>
      </c>
    </row>
    <row r="1085" spans="1:8">
      <c r="A1085" s="37" t="s">
        <v>236</v>
      </c>
      <c r="B1085" s="93">
        <v>45772</v>
      </c>
      <c r="C1085" s="37" t="s">
        <v>509</v>
      </c>
      <c r="D1085" s="93">
        <v>45772</v>
      </c>
      <c r="E1085" s="37" t="s">
        <v>396</v>
      </c>
      <c r="F1085" s="100">
        <f t="shared" si="83"/>
        <v>9.0277777781011537E-3</v>
      </c>
    </row>
    <row r="1086" spans="1:8">
      <c r="A1086" s="37" t="s">
        <v>164</v>
      </c>
      <c r="B1086" s="93">
        <v>45772</v>
      </c>
      <c r="C1086" s="37" t="s">
        <v>572</v>
      </c>
      <c r="D1086" s="93">
        <v>45772</v>
      </c>
      <c r="E1086" s="37" t="s">
        <v>1108</v>
      </c>
      <c r="F1086" s="100">
        <f t="shared" si="83"/>
        <v>7.9166666662786156E-2</v>
      </c>
    </row>
    <row r="1087" spans="1:8">
      <c r="A1087" s="37" t="s">
        <v>232</v>
      </c>
      <c r="B1087" s="93">
        <v>45772</v>
      </c>
      <c r="C1087" s="37" t="s">
        <v>1191</v>
      </c>
      <c r="D1087" s="93">
        <v>45772</v>
      </c>
      <c r="E1087" s="37" t="s">
        <v>1192</v>
      </c>
      <c r="F1087" s="100">
        <f t="shared" si="83"/>
        <v>3.2638888886140194E-2</v>
      </c>
    </row>
    <row r="1088" spans="1:8">
      <c r="A1088" s="37" t="s">
        <v>391</v>
      </c>
      <c r="B1088" s="93">
        <v>45772</v>
      </c>
      <c r="C1088" s="37" t="s">
        <v>1191</v>
      </c>
      <c r="D1088" s="93">
        <v>45772</v>
      </c>
      <c r="E1088" s="37" t="s">
        <v>1171</v>
      </c>
      <c r="F1088" s="100">
        <f t="shared" si="83"/>
        <v>7.0138888884685002E-2</v>
      </c>
    </row>
    <row r="1089" spans="1:8">
      <c r="A1089" s="37" t="s">
        <v>335</v>
      </c>
      <c r="B1089" s="93">
        <v>45772</v>
      </c>
      <c r="C1089" s="37" t="s">
        <v>1193</v>
      </c>
      <c r="D1089" s="93">
        <v>45772</v>
      </c>
      <c r="E1089" s="37" t="s">
        <v>1194</v>
      </c>
      <c r="F1089" s="100">
        <f t="shared" si="83"/>
        <v>0.10624999999708962</v>
      </c>
    </row>
    <row r="1090" spans="1:8">
      <c r="A1090" s="37" t="s">
        <v>232</v>
      </c>
      <c r="B1090" s="93">
        <v>45772</v>
      </c>
      <c r="C1090" s="37" t="s">
        <v>1086</v>
      </c>
      <c r="D1090" s="93">
        <v>45772</v>
      </c>
      <c r="E1090" s="37" t="s">
        <v>422</v>
      </c>
      <c r="F1090" s="100">
        <f t="shared" si="83"/>
        <v>1.1805555550381541E-2</v>
      </c>
    </row>
    <row r="1091" spans="1:8">
      <c r="A1091" s="37" t="s">
        <v>234</v>
      </c>
      <c r="B1091" s="93">
        <v>45772</v>
      </c>
      <c r="C1091" s="37" t="s">
        <v>412</v>
      </c>
      <c r="D1091" s="93">
        <v>45772</v>
      </c>
      <c r="E1091" s="37" t="s">
        <v>1195</v>
      </c>
      <c r="F1091" s="100">
        <f t="shared" si="83"/>
        <v>5.2777777782466728E-2</v>
      </c>
    </row>
    <row r="1092" spans="1:8">
      <c r="A1092" s="37" t="s">
        <v>232</v>
      </c>
      <c r="B1092" s="93">
        <v>45772</v>
      </c>
      <c r="C1092" s="37" t="s">
        <v>277</v>
      </c>
      <c r="D1092" s="93">
        <v>45772</v>
      </c>
      <c r="E1092" s="37" t="s">
        <v>1196</v>
      </c>
      <c r="F1092" s="100">
        <f t="shared" si="83"/>
        <v>7.2222222217533272E-2</v>
      </c>
    </row>
    <row r="1093" spans="1:8">
      <c r="A1093" s="37" t="s">
        <v>225</v>
      </c>
      <c r="B1093" s="93">
        <v>45772</v>
      </c>
      <c r="C1093" s="37" t="s">
        <v>218</v>
      </c>
      <c r="D1093" s="93">
        <v>45772</v>
      </c>
      <c r="E1093" s="37" t="s">
        <v>222</v>
      </c>
      <c r="F1093" s="100">
        <f t="shared" si="83"/>
        <v>0.50069444443943212</v>
      </c>
    </row>
    <row r="1094" spans="1:8">
      <c r="A1094" s="37" t="s">
        <v>217</v>
      </c>
      <c r="B1094" s="93">
        <v>45772</v>
      </c>
      <c r="C1094" s="37" t="s">
        <v>212</v>
      </c>
      <c r="D1094" s="93">
        <v>45773</v>
      </c>
      <c r="E1094" s="37" t="s">
        <v>213</v>
      </c>
      <c r="F1094" s="100">
        <f>(D1094 + TIME(LEFT(E1094, 2), MID(E1094, 3, 2), 0)) - (B1094 + TIME(LEFT(C1094, 2), MID(C1094, 3, 2), 0))</f>
        <v>0.50069444443943212</v>
      </c>
    </row>
    <row r="1095" spans="1:8">
      <c r="A1095" s="37" t="s">
        <v>214</v>
      </c>
      <c r="B1095" s="93">
        <v>45772</v>
      </c>
      <c r="C1095" s="37" t="s">
        <v>224</v>
      </c>
      <c r="D1095" s="93">
        <v>45773</v>
      </c>
      <c r="E1095" s="37" t="s">
        <v>213</v>
      </c>
      <c r="F1095" s="100">
        <f>(D1095 + TIME(LEFT(E1095, 2), MID(E1095, 3, 2), 0)) - (B1095 + TIME(LEFT(C1095, 2), MID(C1095, 3, 2), 0))</f>
        <v>0.75</v>
      </c>
    </row>
    <row r="1096" spans="1:8">
      <c r="A1096" s="37" t="s">
        <v>211</v>
      </c>
      <c r="B1096" s="93">
        <v>45772</v>
      </c>
      <c r="C1096" s="37" t="s">
        <v>343</v>
      </c>
      <c r="D1096" s="93">
        <v>45773</v>
      </c>
      <c r="E1096" s="37" t="s">
        <v>216</v>
      </c>
      <c r="F1096" s="100">
        <f>(D1096 + TIME(LEFT(E1096, 2), MID(E1096, 3, 2), 0)) - (B1096 + TIME(LEFT(C1096, 2), MID(C1096, 3, 2), 0))</f>
        <v>0.22777777777810115</v>
      </c>
    </row>
    <row r="1097" spans="1:8">
      <c r="A1097" s="37" t="s">
        <v>234</v>
      </c>
      <c r="B1097" s="93">
        <v>45772</v>
      </c>
      <c r="C1097" s="37" t="s">
        <v>1051</v>
      </c>
      <c r="D1097" s="84">
        <v>45772</v>
      </c>
      <c r="E1097" s="23" t="s">
        <v>1197</v>
      </c>
      <c r="F1097" s="100">
        <f t="shared" ref="F1097" si="84">(D1097 + TIME(LEFT(E1097, 2), MID(E1097, 3, 2), 0)) - (B1097 + TIME(LEFT(C1097, 2), MID(C1097, 3, 2), 0))</f>
        <v>1.8055555556202307E-2</v>
      </c>
    </row>
    <row r="1098" spans="1:8">
      <c r="A1098" s="37" t="s">
        <v>236</v>
      </c>
      <c r="B1098" s="93">
        <v>45772</v>
      </c>
      <c r="C1098" s="37" t="s">
        <v>1051</v>
      </c>
      <c r="D1098" s="84">
        <v>45772</v>
      </c>
      <c r="E1098" s="23" t="s">
        <v>1151</v>
      </c>
      <c r="F1098" s="100">
        <f t="shared" ref="F1098:F1099" si="85">(D1098 + TIME(LEFT(E1098, 2), MID(E1098, 3, 2), 0)) - (B1098 + TIME(LEFT(C1098, 2), MID(C1098, 3, 2), 0))</f>
        <v>1.4583333337213844E-2</v>
      </c>
    </row>
    <row r="1099" spans="1:8">
      <c r="A1099" s="37" t="s">
        <v>164</v>
      </c>
      <c r="B1099" s="93">
        <v>45772</v>
      </c>
      <c r="C1099" s="37" t="s">
        <v>1051</v>
      </c>
      <c r="D1099" s="84">
        <v>45772</v>
      </c>
      <c r="E1099" s="23" t="s">
        <v>1198</v>
      </c>
      <c r="F1099" s="100">
        <f t="shared" si="85"/>
        <v>3.4027777779556345E-2</v>
      </c>
    </row>
    <row r="1100" spans="1:8">
      <c r="A1100" s="37" t="s">
        <v>391</v>
      </c>
      <c r="B1100" s="93">
        <v>45772</v>
      </c>
      <c r="C1100" s="37" t="s">
        <v>1051</v>
      </c>
      <c r="D1100" s="84">
        <v>45772</v>
      </c>
      <c r="E1100" s="23" t="s">
        <v>1053</v>
      </c>
      <c r="F1100" s="100">
        <f t="shared" ref="F1100" si="86">(D1100 + TIME(LEFT(E1100, 2), MID(E1100, 3, 2), 0)) - (B1100 + TIME(LEFT(C1100, 2), MID(C1100, 3, 2), 0))</f>
        <v>3.0555555560567882E-2</v>
      </c>
    </row>
    <row r="1101" spans="1:8">
      <c r="A1101" s="37" t="s">
        <v>220</v>
      </c>
      <c r="B1101" s="93">
        <v>45773</v>
      </c>
      <c r="C1101" s="37" t="s">
        <v>223</v>
      </c>
      <c r="D1101" s="93">
        <v>45773</v>
      </c>
      <c r="E1101" s="37" t="s">
        <v>224</v>
      </c>
      <c r="F1101" s="100">
        <f t="shared" ref="F1101:F1107" si="87">(D1101 + TIME(LEFT(E1101, 2), MID(E1101, 3, 2), 0)) - (B1101 + TIME(LEFT(C1101, 2), MID(C1101, 3, 2), 0))</f>
        <v>0.50069444443943212</v>
      </c>
    </row>
    <row r="1102" spans="1:8">
      <c r="A1102" s="37" t="s">
        <v>248</v>
      </c>
      <c r="B1102" s="93">
        <v>45773</v>
      </c>
      <c r="C1102" s="37" t="s">
        <v>857</v>
      </c>
      <c r="D1102" s="93">
        <v>45773</v>
      </c>
      <c r="E1102" s="37" t="s">
        <v>1199</v>
      </c>
      <c r="F1102" s="100">
        <f t="shared" si="87"/>
        <v>1.9444444442342501E-2</v>
      </c>
      <c r="H1102" s="94" t="s">
        <v>1200</v>
      </c>
    </row>
    <row r="1103" spans="1:8">
      <c r="A1103" s="37" t="s">
        <v>248</v>
      </c>
      <c r="B1103" s="93">
        <v>45773</v>
      </c>
      <c r="C1103" s="37" t="s">
        <v>1199</v>
      </c>
      <c r="D1103" s="93">
        <v>45773</v>
      </c>
      <c r="E1103" s="37" t="s">
        <v>1201</v>
      </c>
      <c r="F1103" s="100">
        <f t="shared" si="87"/>
        <v>3.125E-2</v>
      </c>
      <c r="G1103" s="37" t="s">
        <v>9</v>
      </c>
    </row>
    <row r="1104" spans="1:8">
      <c r="A1104" s="37" t="s">
        <v>225</v>
      </c>
      <c r="B1104" s="93">
        <v>45773</v>
      </c>
      <c r="C1104" s="37" t="s">
        <v>218</v>
      </c>
      <c r="D1104" s="93">
        <v>45773</v>
      </c>
      <c r="E1104" s="37" t="s">
        <v>222</v>
      </c>
      <c r="F1104" s="100">
        <f t="shared" si="87"/>
        <v>0.50069444443943212</v>
      </c>
    </row>
    <row r="1105" spans="1:8">
      <c r="A1105" s="37" t="s">
        <v>211</v>
      </c>
      <c r="B1105" s="93">
        <v>45773</v>
      </c>
      <c r="C1105" s="37" t="s">
        <v>218</v>
      </c>
      <c r="D1105" s="93">
        <v>45773</v>
      </c>
      <c r="E1105" s="37" t="s">
        <v>525</v>
      </c>
      <c r="F1105" s="100">
        <f t="shared" si="87"/>
        <v>0.54444444444379769</v>
      </c>
    </row>
    <row r="1106" spans="1:8">
      <c r="A1106" s="37" t="s">
        <v>248</v>
      </c>
      <c r="B1106" s="93">
        <v>45773</v>
      </c>
      <c r="C1106" s="37" t="s">
        <v>1201</v>
      </c>
      <c r="D1106" s="93">
        <v>45773</v>
      </c>
      <c r="E1106" s="37" t="s">
        <v>1202</v>
      </c>
      <c r="F1106" s="100">
        <f t="shared" si="87"/>
        <v>0.62708333333284827</v>
      </c>
      <c r="H1106" s="94" t="s">
        <v>1203</v>
      </c>
    </row>
    <row r="1107" spans="1:8">
      <c r="A1107" s="37" t="s">
        <v>232</v>
      </c>
      <c r="B1107" s="93">
        <v>45773</v>
      </c>
      <c r="C1107" s="37" t="s">
        <v>676</v>
      </c>
      <c r="D1107" s="93">
        <v>45773</v>
      </c>
      <c r="E1107" s="37" t="s">
        <v>1204</v>
      </c>
      <c r="F1107" s="100">
        <f t="shared" si="87"/>
        <v>1.2499999997089617E-2</v>
      </c>
    </row>
    <row r="1108" spans="1:8" ht="41.45">
      <c r="A1108" s="37" t="s">
        <v>242</v>
      </c>
      <c r="B1108" s="93">
        <v>45773</v>
      </c>
      <c r="C1108" s="37" t="s">
        <v>805</v>
      </c>
      <c r="D1108" s="93">
        <v>45774</v>
      </c>
      <c r="E1108" s="37" t="s">
        <v>982</v>
      </c>
      <c r="F1108" s="100">
        <f>(D1108 + TIME(LEFT(E1108, 2), MID(E1108, 3, 2), 0)) - (B1108 + TIME(LEFT(C1108, 2), MID(C1108, 3, 2), 0))</f>
        <v>0.80555555555474712</v>
      </c>
      <c r="H1108" s="457" t="s">
        <v>1205</v>
      </c>
    </row>
    <row r="1109" spans="1:8">
      <c r="A1109" s="37" t="s">
        <v>186</v>
      </c>
      <c r="B1109" s="93">
        <v>45773</v>
      </c>
      <c r="C1109" s="37" t="s">
        <v>257</v>
      </c>
      <c r="D1109" s="93">
        <v>45774</v>
      </c>
      <c r="E1109" s="37" t="s">
        <v>1206</v>
      </c>
      <c r="F1109" s="100">
        <f t="shared" ref="F1109:F1124" si="88">(D1109 + TIME(LEFT(E1109, 2), MID(E1109, 3, 2), 0)) - (B1109 + TIME(LEFT(C1109, 2), MID(C1109, 3, 2), 0))</f>
        <v>0.67708333333575865</v>
      </c>
    </row>
    <row r="1110" spans="1:8">
      <c r="A1110" s="37" t="s">
        <v>234</v>
      </c>
      <c r="B1110" s="93">
        <v>45773</v>
      </c>
      <c r="C1110" s="37" t="s">
        <v>470</v>
      </c>
      <c r="D1110" s="93">
        <v>45773</v>
      </c>
      <c r="E1110" s="37" t="s">
        <v>1207</v>
      </c>
      <c r="F1110" s="100">
        <f t="shared" si="88"/>
        <v>3.6111111112404615E-2</v>
      </c>
    </row>
    <row r="1111" spans="1:8">
      <c r="A1111" s="37" t="s">
        <v>236</v>
      </c>
      <c r="B1111" s="93">
        <v>45773</v>
      </c>
      <c r="C1111" s="37" t="s">
        <v>962</v>
      </c>
      <c r="D1111" s="93">
        <v>45773</v>
      </c>
      <c r="E1111" s="37" t="s">
        <v>1207</v>
      </c>
      <c r="F1111" s="100">
        <f t="shared" si="88"/>
        <v>3.4722222226264421E-2</v>
      </c>
    </row>
    <row r="1112" spans="1:8">
      <c r="A1112" s="37" t="s">
        <v>177</v>
      </c>
      <c r="B1112" s="93">
        <v>45773</v>
      </c>
      <c r="C1112" s="37" t="s">
        <v>659</v>
      </c>
      <c r="D1112" s="93">
        <v>45773</v>
      </c>
      <c r="E1112" s="37" t="s">
        <v>980</v>
      </c>
      <c r="F1112" s="100">
        <f t="shared" si="88"/>
        <v>0.60833333332993789</v>
      </c>
    </row>
    <row r="1113" spans="1:8">
      <c r="A1113" s="37" t="s">
        <v>391</v>
      </c>
      <c r="B1113" s="93">
        <v>45773</v>
      </c>
      <c r="C1113" s="37" t="s">
        <v>321</v>
      </c>
      <c r="D1113" s="93">
        <v>45773</v>
      </c>
      <c r="E1113" s="37" t="s">
        <v>782</v>
      </c>
      <c r="F1113" s="100">
        <f t="shared" si="88"/>
        <v>2.5000000001455192E-2</v>
      </c>
    </row>
    <row r="1114" spans="1:8">
      <c r="A1114" s="37" t="s">
        <v>164</v>
      </c>
      <c r="B1114" s="93">
        <v>45773</v>
      </c>
      <c r="C1114" s="37" t="s">
        <v>558</v>
      </c>
      <c r="D1114" s="93">
        <v>45773</v>
      </c>
      <c r="E1114" s="37" t="s">
        <v>782</v>
      </c>
      <c r="F1114" s="100">
        <f t="shared" si="88"/>
        <v>1.9444444449618459E-2</v>
      </c>
    </row>
    <row r="1115" spans="1:8">
      <c r="A1115" s="37" t="s">
        <v>232</v>
      </c>
      <c r="B1115" s="93">
        <v>45773</v>
      </c>
      <c r="C1115" s="37" t="s">
        <v>548</v>
      </c>
      <c r="D1115" s="93">
        <v>45773</v>
      </c>
      <c r="E1115" s="37" t="s">
        <v>1145</v>
      </c>
      <c r="F1115" s="100">
        <f t="shared" si="88"/>
        <v>1.2500000004365575E-2</v>
      </c>
    </row>
    <row r="1116" spans="1:8">
      <c r="A1116" s="37" t="s">
        <v>183</v>
      </c>
      <c r="B1116" s="93">
        <v>45773</v>
      </c>
      <c r="C1116" s="37" t="s">
        <v>326</v>
      </c>
      <c r="D1116" s="93">
        <v>45773</v>
      </c>
      <c r="E1116" s="37" t="s">
        <v>1208</v>
      </c>
      <c r="F1116" s="100">
        <f t="shared" si="88"/>
        <v>7.6388888883229811E-2</v>
      </c>
      <c r="H1116" s="94" t="s">
        <v>1209</v>
      </c>
    </row>
    <row r="1117" spans="1:8">
      <c r="A1117" s="37" t="s">
        <v>214</v>
      </c>
      <c r="B1117" s="93">
        <v>45773</v>
      </c>
      <c r="C1117" s="37" t="s">
        <v>274</v>
      </c>
      <c r="D1117" s="93">
        <v>45774</v>
      </c>
      <c r="E1117" s="37" t="s">
        <v>216</v>
      </c>
      <c r="F1117" s="100">
        <f t="shared" si="88"/>
        <v>0.50069444443943212</v>
      </c>
    </row>
    <row r="1118" spans="1:8">
      <c r="A1118" s="37" t="s">
        <v>234</v>
      </c>
      <c r="B1118" s="93">
        <v>45773</v>
      </c>
      <c r="C1118" s="37" t="s">
        <v>751</v>
      </c>
      <c r="D1118" s="93">
        <v>45773</v>
      </c>
      <c r="E1118" s="37" t="s">
        <v>1210</v>
      </c>
      <c r="F1118" s="100">
        <f t="shared" si="88"/>
        <v>5.5555555554747116E-2</v>
      </c>
    </row>
    <row r="1119" spans="1:8">
      <c r="A1119" s="37" t="s">
        <v>236</v>
      </c>
      <c r="B1119" s="93">
        <v>45773</v>
      </c>
      <c r="C1119" s="37" t="s">
        <v>1022</v>
      </c>
      <c r="D1119" s="93">
        <v>45773</v>
      </c>
      <c r="E1119" s="37" t="s">
        <v>514</v>
      </c>
      <c r="F1119" s="100">
        <f t="shared" si="88"/>
        <v>7.5694444443797693E-2</v>
      </c>
    </row>
    <row r="1120" spans="1:8">
      <c r="A1120" s="37" t="s">
        <v>391</v>
      </c>
      <c r="B1120" s="93">
        <v>45773</v>
      </c>
      <c r="C1120" s="37" t="s">
        <v>1211</v>
      </c>
      <c r="D1120" s="93">
        <v>45773</v>
      </c>
      <c r="E1120" s="37" t="s">
        <v>1212</v>
      </c>
      <c r="F1120" s="100">
        <f t="shared" si="88"/>
        <v>7.7083333337213844E-2</v>
      </c>
    </row>
    <row r="1121" spans="1:6">
      <c r="A1121" s="37" t="s">
        <v>164</v>
      </c>
      <c r="B1121" s="93">
        <v>45773</v>
      </c>
      <c r="C1121" s="37" t="s">
        <v>1211</v>
      </c>
      <c r="D1121" s="93">
        <v>45773</v>
      </c>
      <c r="E1121" s="37" t="s">
        <v>702</v>
      </c>
      <c r="F1121" s="100">
        <f t="shared" si="88"/>
        <v>0.12013888888759539</v>
      </c>
    </row>
    <row r="1122" spans="1:6">
      <c r="A1122" s="37" t="s">
        <v>232</v>
      </c>
      <c r="B1122" s="93">
        <v>45773</v>
      </c>
      <c r="C1122" s="37" t="s">
        <v>1213</v>
      </c>
      <c r="D1122" s="93">
        <v>45773</v>
      </c>
      <c r="E1122" s="37" t="s">
        <v>1134</v>
      </c>
      <c r="F1122" s="100">
        <f t="shared" si="88"/>
        <v>5.8333333334303461E-2</v>
      </c>
    </row>
    <row r="1123" spans="1:6">
      <c r="A1123" s="37" t="s">
        <v>279</v>
      </c>
      <c r="B1123" s="93">
        <v>45773</v>
      </c>
      <c r="C1123" s="37" t="s">
        <v>508</v>
      </c>
      <c r="D1123" s="93">
        <v>45773</v>
      </c>
      <c r="E1123" s="37" t="s">
        <v>704</v>
      </c>
      <c r="F1123" s="100">
        <f t="shared" si="88"/>
        <v>3.4722222189884633E-3</v>
      </c>
    </row>
    <row r="1124" spans="1:6">
      <c r="A1124" s="37" t="s">
        <v>279</v>
      </c>
      <c r="B1124" s="93">
        <v>45773</v>
      </c>
      <c r="C1124" s="37" t="s">
        <v>1170</v>
      </c>
      <c r="D1124" s="93">
        <v>45773</v>
      </c>
      <c r="E1124" s="37" t="s">
        <v>1214</v>
      </c>
      <c r="F1124" s="100">
        <f t="shared" si="88"/>
        <v>2.7777777795563452E-3</v>
      </c>
    </row>
    <row r="1125" spans="1:6">
      <c r="A1125" s="37" t="s">
        <v>217</v>
      </c>
      <c r="B1125" s="93">
        <v>45773</v>
      </c>
      <c r="C1125" s="37" t="s">
        <v>212</v>
      </c>
      <c r="D1125" s="93">
        <v>45774</v>
      </c>
      <c r="E1125" s="37" t="s">
        <v>213</v>
      </c>
      <c r="F1125" s="100">
        <f>(D1125 + TIME(LEFT(E1125, 2), MID(E1125, 3, 2), 0)) - (B1125 + TIME(LEFT(C1125, 2), MID(C1125, 3, 2), 0))</f>
        <v>0.50069444443943212</v>
      </c>
    </row>
    <row r="1126" spans="1:6">
      <c r="A1126" s="37" t="s">
        <v>234</v>
      </c>
      <c r="B1126" s="93">
        <v>45773</v>
      </c>
      <c r="C1126" s="37" t="s">
        <v>1067</v>
      </c>
      <c r="D1126" s="93">
        <v>45773</v>
      </c>
      <c r="E1126" s="37" t="s">
        <v>633</v>
      </c>
      <c r="F1126" s="100">
        <f>(D1126 + TIME(LEFT(E1126, 2), MID(E1126, 3, 2), 0)) - (B1126 + TIME(LEFT(C1126, 2), MID(C1126, 3, 2), 0))</f>
        <v>3.4027777779556345E-2</v>
      </c>
    </row>
    <row r="1127" spans="1:6">
      <c r="A1127" s="37" t="s">
        <v>236</v>
      </c>
      <c r="B1127" s="93">
        <v>45773</v>
      </c>
      <c r="C1127" s="37" t="s">
        <v>422</v>
      </c>
      <c r="D1127" s="93">
        <v>45773</v>
      </c>
      <c r="E1127" s="37" t="s">
        <v>534</v>
      </c>
      <c r="F1127" s="100">
        <f>(D1127 + TIME(LEFT(E1127, 2), MID(E1127, 3, 2), 0)) - (B1127 + TIME(LEFT(C1127, 2), MID(C1127, 3, 2), 0))</f>
        <v>3.8194444445252884E-2</v>
      </c>
    </row>
    <row r="1128" spans="1:6">
      <c r="A1128" s="37" t="s">
        <v>391</v>
      </c>
      <c r="B1128" s="93">
        <v>45773</v>
      </c>
      <c r="C1128" s="37" t="s">
        <v>639</v>
      </c>
      <c r="D1128" s="93">
        <v>45773</v>
      </c>
      <c r="E1128" s="37" t="s">
        <v>887</v>
      </c>
      <c r="F1128" s="100">
        <f>(D1128 + TIME(LEFT(E1128, 2), MID(E1128, 3, 2), 0)) - (B1128 + TIME(LEFT(C1128, 2), MID(C1128, 3, 2), 0))</f>
        <v>2.9861111106583849E-2</v>
      </c>
    </row>
    <row r="1129" spans="1:6">
      <c r="A1129" s="37" t="s">
        <v>220</v>
      </c>
      <c r="B1129" s="93">
        <v>45773</v>
      </c>
      <c r="C1129" s="37" t="s">
        <v>206</v>
      </c>
      <c r="D1129" s="93">
        <v>45774</v>
      </c>
      <c r="E1129" s="37" t="s">
        <v>213</v>
      </c>
      <c r="F1129" s="100">
        <f>(D1129 + TIME(LEFT(E1129, 2), MID(E1129, 3, 2), 0)) - (B1129 + TIME(LEFT(C1129, 2), MID(C1129, 3, 2), 0))</f>
        <v>0.4569444444423425</v>
      </c>
    </row>
    <row r="1130" spans="1:6">
      <c r="A1130" s="37" t="s">
        <v>232</v>
      </c>
      <c r="B1130" s="93">
        <v>45773</v>
      </c>
      <c r="C1130" s="37" t="s">
        <v>890</v>
      </c>
      <c r="D1130" s="93">
        <v>45773</v>
      </c>
      <c r="E1130" s="37" t="s">
        <v>1048</v>
      </c>
      <c r="F1130" s="100">
        <f t="shared" ref="F1130:F1138" si="89">(D1130 + TIME(LEFT(E1130, 2), MID(E1130, 3, 2), 0)) - (B1130 + TIME(LEFT(C1130, 2), MID(C1130, 3, 2), 0))</f>
        <v>2.9166666667151731E-2</v>
      </c>
    </row>
    <row r="1131" spans="1:6">
      <c r="A1131" s="37" t="s">
        <v>164</v>
      </c>
      <c r="B1131" s="93">
        <v>45773</v>
      </c>
      <c r="C1131" s="37" t="s">
        <v>890</v>
      </c>
      <c r="D1131" s="93">
        <v>45773</v>
      </c>
      <c r="E1131" s="37" t="s">
        <v>337</v>
      </c>
      <c r="F1131" s="100">
        <f t="shared" si="89"/>
        <v>7.6388888846850023E-3</v>
      </c>
    </row>
    <row r="1132" spans="1:6">
      <c r="A1132" s="37" t="s">
        <v>234</v>
      </c>
      <c r="B1132" s="93">
        <v>45773</v>
      </c>
      <c r="C1132" s="37" t="s">
        <v>890</v>
      </c>
      <c r="D1132" s="93">
        <v>45773</v>
      </c>
      <c r="E1132" s="37" t="s">
        <v>1215</v>
      </c>
      <c r="F1132" s="100">
        <f t="shared" si="89"/>
        <v>1.5972222223354038E-2</v>
      </c>
    </row>
    <row r="1133" spans="1:6">
      <c r="A1133" s="37" t="s">
        <v>391</v>
      </c>
      <c r="B1133" s="93">
        <v>45773</v>
      </c>
      <c r="C1133" s="37" t="s">
        <v>586</v>
      </c>
      <c r="D1133" s="93">
        <v>45774</v>
      </c>
      <c r="E1133" s="37" t="s">
        <v>1078</v>
      </c>
      <c r="F1133" s="100">
        <f t="shared" si="89"/>
        <v>3.8888888884685002E-2</v>
      </c>
    </row>
    <row r="1134" spans="1:6">
      <c r="A1134" s="37" t="s">
        <v>236</v>
      </c>
      <c r="B1134" s="93">
        <v>45773</v>
      </c>
      <c r="C1134" s="37" t="s">
        <v>586</v>
      </c>
      <c r="D1134" s="93">
        <v>45773</v>
      </c>
      <c r="E1134" s="37" t="s">
        <v>1216</v>
      </c>
      <c r="F1134" s="100">
        <f t="shared" si="89"/>
        <v>6.9444444452528842E-3</v>
      </c>
    </row>
    <row r="1135" spans="1:6">
      <c r="A1135" s="37" t="s">
        <v>232</v>
      </c>
      <c r="B1135" s="93">
        <v>45773</v>
      </c>
      <c r="C1135" s="37" t="s">
        <v>950</v>
      </c>
      <c r="D1135" s="93">
        <v>45774</v>
      </c>
      <c r="E1135" s="37" t="s">
        <v>1217</v>
      </c>
      <c r="F1135" s="100">
        <f t="shared" si="89"/>
        <v>3.888888889196096E-2</v>
      </c>
    </row>
    <row r="1136" spans="1:6">
      <c r="A1136" s="37" t="s">
        <v>164</v>
      </c>
      <c r="B1136" s="93">
        <v>45773</v>
      </c>
      <c r="C1136" s="37" t="s">
        <v>950</v>
      </c>
      <c r="D1136" s="93">
        <v>45774</v>
      </c>
      <c r="E1136" s="37" t="s">
        <v>1078</v>
      </c>
      <c r="F1136" s="100">
        <f t="shared" si="89"/>
        <v>3.5416666665696539E-2</v>
      </c>
    </row>
    <row r="1137" spans="1:8">
      <c r="A1137" s="37" t="s">
        <v>234</v>
      </c>
      <c r="B1137" s="93">
        <v>45773</v>
      </c>
      <c r="C1137" s="37" t="s">
        <v>1072</v>
      </c>
      <c r="D1137" s="93">
        <v>45774</v>
      </c>
      <c r="E1137" s="37" t="s">
        <v>1218</v>
      </c>
      <c r="F1137" s="100">
        <f t="shared" si="89"/>
        <v>2.361111110803904E-2</v>
      </c>
    </row>
    <row r="1138" spans="1:8">
      <c r="A1138" s="37" t="s">
        <v>236</v>
      </c>
      <c r="B1138" s="93">
        <v>45773</v>
      </c>
      <c r="C1138" s="37" t="s">
        <v>1072</v>
      </c>
      <c r="D1138" s="93">
        <v>45774</v>
      </c>
      <c r="E1138" s="37" t="s">
        <v>1219</v>
      </c>
      <c r="F1138" s="100">
        <f t="shared" si="89"/>
        <v>5.4166666661330964E-2</v>
      </c>
    </row>
    <row r="1139" spans="1:8">
      <c r="A1139" s="37" t="s">
        <v>211</v>
      </c>
      <c r="B1139" s="93">
        <v>45774</v>
      </c>
      <c r="C1139" s="37" t="s">
        <v>223</v>
      </c>
      <c r="D1139" s="93">
        <v>45774</v>
      </c>
      <c r="E1139" s="37" t="s">
        <v>675</v>
      </c>
      <c r="F1139" s="100">
        <f t="shared" ref="F1139:F1170" si="90">(D1139 + TIME(LEFT(E1139, 2), MID(E1139, 3, 2), 0)) - (B1139 + TIME(LEFT(C1139, 2), MID(C1139, 3, 2), 0))</f>
        <v>0.54236111111094942</v>
      </c>
    </row>
    <row r="1140" spans="1:8">
      <c r="A1140" s="37" t="s">
        <v>164</v>
      </c>
      <c r="B1140" s="93">
        <v>45774</v>
      </c>
      <c r="C1140" s="37" t="s">
        <v>1220</v>
      </c>
      <c r="D1140" s="93">
        <v>45774</v>
      </c>
      <c r="E1140" s="37" t="s">
        <v>1221</v>
      </c>
      <c r="F1140" s="100">
        <f t="shared" si="90"/>
        <v>2.7777777773735579E-2</v>
      </c>
    </row>
    <row r="1141" spans="1:8">
      <c r="A1141" s="37" t="s">
        <v>391</v>
      </c>
      <c r="B1141" s="93">
        <v>45774</v>
      </c>
      <c r="C1141" s="37" t="s">
        <v>1220</v>
      </c>
      <c r="D1141" s="93">
        <v>45774</v>
      </c>
      <c r="E1141" s="37" t="s">
        <v>813</v>
      </c>
      <c r="F1141" s="100">
        <f t="shared" si="90"/>
        <v>2.569444444088731E-2</v>
      </c>
    </row>
    <row r="1142" spans="1:8">
      <c r="A1142" s="37" t="s">
        <v>242</v>
      </c>
      <c r="B1142" s="93">
        <v>45774</v>
      </c>
      <c r="C1142" s="37" t="s">
        <v>1222</v>
      </c>
      <c r="D1142" s="93">
        <v>45774</v>
      </c>
      <c r="E1142" s="37" t="s">
        <v>327</v>
      </c>
      <c r="F1142" s="100">
        <f t="shared" si="90"/>
        <v>0.3868055555576575</v>
      </c>
    </row>
    <row r="1143" spans="1:8">
      <c r="A1143" s="37" t="s">
        <v>232</v>
      </c>
      <c r="B1143" s="93">
        <v>45774</v>
      </c>
      <c r="C1143" s="37" t="s">
        <v>1178</v>
      </c>
      <c r="D1143" s="93">
        <v>45774</v>
      </c>
      <c r="E1143" s="37" t="s">
        <v>1221</v>
      </c>
      <c r="F1143" s="100">
        <f t="shared" si="90"/>
        <v>2.0833333335758653E-2</v>
      </c>
    </row>
    <row r="1144" spans="1:8">
      <c r="A1144" s="37" t="s">
        <v>234</v>
      </c>
      <c r="B1144" s="93">
        <v>45774</v>
      </c>
      <c r="C1144" s="37" t="s">
        <v>1178</v>
      </c>
      <c r="D1144" s="93">
        <v>45774</v>
      </c>
      <c r="E1144" s="37" t="s">
        <v>1223</v>
      </c>
      <c r="F1144" s="100">
        <f t="shared" si="90"/>
        <v>2.2916666668606922E-2</v>
      </c>
    </row>
    <row r="1145" spans="1:8">
      <c r="A1145" s="37" t="s">
        <v>236</v>
      </c>
      <c r="B1145" s="93">
        <v>45774</v>
      </c>
      <c r="C1145" s="37" t="s">
        <v>1178</v>
      </c>
      <c r="D1145" s="93">
        <v>45774</v>
      </c>
      <c r="E1145" s="37" t="s">
        <v>1223</v>
      </c>
      <c r="F1145" s="100">
        <f t="shared" si="90"/>
        <v>2.2916666668606922E-2</v>
      </c>
    </row>
    <row r="1146" spans="1:8">
      <c r="A1146" s="37" t="s">
        <v>174</v>
      </c>
      <c r="B1146" s="93">
        <v>45774</v>
      </c>
      <c r="C1146" s="37" t="s">
        <v>221</v>
      </c>
      <c r="D1146" s="93">
        <v>45775</v>
      </c>
      <c r="E1146" s="37" t="s">
        <v>811</v>
      </c>
      <c r="F1146" s="100">
        <f t="shared" si="90"/>
        <v>0.91180555555183673</v>
      </c>
    </row>
    <row r="1147" spans="1:8">
      <c r="A1147" s="37" t="s">
        <v>180</v>
      </c>
      <c r="B1147" s="93">
        <v>45774</v>
      </c>
      <c r="C1147" s="37" t="s">
        <v>1224</v>
      </c>
      <c r="D1147" s="93">
        <v>45774</v>
      </c>
      <c r="E1147" s="37" t="s">
        <v>1225</v>
      </c>
      <c r="F1147" s="100">
        <f t="shared" si="90"/>
        <v>0.32777777777664596</v>
      </c>
    </row>
    <row r="1148" spans="1:8">
      <c r="A1148" s="37" t="s">
        <v>177</v>
      </c>
      <c r="B1148" s="93">
        <v>45774</v>
      </c>
      <c r="C1148" s="37" t="s">
        <v>925</v>
      </c>
      <c r="D1148" s="93">
        <v>45774</v>
      </c>
      <c r="E1148" s="37" t="s">
        <v>446</v>
      </c>
      <c r="F1148" s="100">
        <f t="shared" si="90"/>
        <v>3.3333333332848269E-2</v>
      </c>
      <c r="H1148" s="94" t="s">
        <v>354</v>
      </c>
    </row>
    <row r="1149" spans="1:8">
      <c r="A1149" s="37" t="s">
        <v>225</v>
      </c>
      <c r="B1149" s="93">
        <v>45774</v>
      </c>
      <c r="C1149" s="37" t="s">
        <v>218</v>
      </c>
      <c r="D1149" s="93">
        <v>45774</v>
      </c>
      <c r="E1149" s="37" t="s">
        <v>530</v>
      </c>
      <c r="F1149" s="100">
        <f t="shared" si="90"/>
        <v>8.4027777775190771E-2</v>
      </c>
    </row>
    <row r="1150" spans="1:8">
      <c r="A1150" s="37" t="s">
        <v>214</v>
      </c>
      <c r="B1150" s="93">
        <v>45774</v>
      </c>
      <c r="C1150" s="37" t="s">
        <v>218</v>
      </c>
      <c r="D1150" s="93">
        <v>45774</v>
      </c>
      <c r="E1150" s="37" t="s">
        <v>418</v>
      </c>
      <c r="F1150" s="100">
        <f t="shared" si="90"/>
        <v>0.62569444443943212</v>
      </c>
    </row>
    <row r="1151" spans="1:8">
      <c r="A1151" s="37" t="s">
        <v>248</v>
      </c>
      <c r="B1151" s="93">
        <v>45774</v>
      </c>
      <c r="C1151" s="37" t="s">
        <v>821</v>
      </c>
      <c r="D1151" s="93">
        <v>45775</v>
      </c>
      <c r="E1151" s="37" t="s">
        <v>1226</v>
      </c>
      <c r="F1151" s="100">
        <f t="shared" si="90"/>
        <v>0.75208333333284827</v>
      </c>
    </row>
    <row r="1152" spans="1:8">
      <c r="A1152" s="37" t="s">
        <v>186</v>
      </c>
      <c r="B1152" s="93">
        <v>45774</v>
      </c>
      <c r="C1152" s="37" t="s">
        <v>165</v>
      </c>
      <c r="D1152" s="93">
        <v>45775</v>
      </c>
      <c r="E1152" s="37" t="s">
        <v>224</v>
      </c>
      <c r="F1152" s="100">
        <f t="shared" si="90"/>
        <v>1.2513888888861402</v>
      </c>
      <c r="G1152" s="37" t="s">
        <v>9</v>
      </c>
    </row>
    <row r="1153" spans="1:8">
      <c r="A1153" s="37" t="s">
        <v>391</v>
      </c>
      <c r="B1153" s="93">
        <v>45774</v>
      </c>
      <c r="C1153" s="37" t="s">
        <v>785</v>
      </c>
      <c r="D1153" s="93">
        <v>45774</v>
      </c>
      <c r="E1153" s="37" t="s">
        <v>782</v>
      </c>
      <c r="F1153" s="100">
        <f t="shared" si="90"/>
        <v>2.0138888889050577E-2</v>
      </c>
    </row>
    <row r="1154" spans="1:8">
      <c r="A1154" s="37" t="s">
        <v>183</v>
      </c>
      <c r="B1154" s="93">
        <v>45774</v>
      </c>
      <c r="C1154" s="37" t="s">
        <v>780</v>
      </c>
      <c r="D1154" s="93">
        <v>45774</v>
      </c>
      <c r="E1154" s="37" t="s">
        <v>581</v>
      </c>
      <c r="F1154" s="100">
        <f t="shared" si="90"/>
        <v>0.53611111110512866</v>
      </c>
    </row>
    <row r="1155" spans="1:8">
      <c r="A1155" s="37" t="s">
        <v>177</v>
      </c>
      <c r="B1155" s="93">
        <v>45774</v>
      </c>
      <c r="C1155" s="37" t="s">
        <v>1227</v>
      </c>
      <c r="D1155" s="93">
        <v>45775</v>
      </c>
      <c r="E1155" s="37" t="s">
        <v>640</v>
      </c>
      <c r="F1155" s="100">
        <f t="shared" si="90"/>
        <v>1.3847222222175333</v>
      </c>
    </row>
    <row r="1156" spans="1:8">
      <c r="A1156" s="37" t="s">
        <v>279</v>
      </c>
      <c r="B1156" s="93">
        <v>45774</v>
      </c>
      <c r="C1156" s="37" t="s">
        <v>1186</v>
      </c>
      <c r="D1156" s="93">
        <v>45774</v>
      </c>
      <c r="E1156" s="37" t="s">
        <v>1228</v>
      </c>
      <c r="F1156" s="100">
        <f t="shared" si="90"/>
        <v>2.0833333328482695E-3</v>
      </c>
    </row>
    <row r="1157" spans="1:8">
      <c r="A1157" s="37" t="s">
        <v>391</v>
      </c>
      <c r="B1157" s="93">
        <v>45774</v>
      </c>
      <c r="C1157" s="37" t="s">
        <v>1229</v>
      </c>
      <c r="D1157" s="93">
        <v>45774</v>
      </c>
      <c r="E1157" s="37" t="s">
        <v>882</v>
      </c>
      <c r="F1157" s="100">
        <f t="shared" si="90"/>
        <v>8.819444444088731E-2</v>
      </c>
    </row>
    <row r="1158" spans="1:8">
      <c r="A1158" s="37" t="s">
        <v>164</v>
      </c>
      <c r="B1158" s="93">
        <v>45774</v>
      </c>
      <c r="C1158" s="37" t="s">
        <v>1229</v>
      </c>
      <c r="D1158" s="93">
        <v>45774</v>
      </c>
      <c r="E1158" s="37" t="s">
        <v>490</v>
      </c>
      <c r="F1158" s="100">
        <f t="shared" si="90"/>
        <v>7.1527777778101154E-2</v>
      </c>
    </row>
    <row r="1159" spans="1:8">
      <c r="A1159" s="37" t="s">
        <v>236</v>
      </c>
      <c r="B1159" s="93">
        <v>45774</v>
      </c>
      <c r="C1159" s="37" t="s">
        <v>1230</v>
      </c>
      <c r="D1159" s="93">
        <v>45774</v>
      </c>
      <c r="E1159" s="37" t="s">
        <v>902</v>
      </c>
      <c r="F1159" s="100">
        <f t="shared" si="90"/>
        <v>7.847222221607808E-2</v>
      </c>
    </row>
    <row r="1160" spans="1:8">
      <c r="A1160" s="37" t="s">
        <v>242</v>
      </c>
      <c r="B1160" s="93">
        <v>45774</v>
      </c>
      <c r="C1160" s="37" t="s">
        <v>327</v>
      </c>
      <c r="D1160" s="93">
        <v>45774</v>
      </c>
      <c r="E1160" s="37" t="s">
        <v>1160</v>
      </c>
      <c r="F1160" s="100">
        <f t="shared" si="90"/>
        <v>0.12847222221898846</v>
      </c>
      <c r="G1160" s="37" t="s">
        <v>9</v>
      </c>
      <c r="H1160" s="94" t="s">
        <v>1231</v>
      </c>
    </row>
    <row r="1161" spans="1:8">
      <c r="A1161" s="37" t="s">
        <v>234</v>
      </c>
      <c r="B1161" s="93">
        <v>45774</v>
      </c>
      <c r="C1161" s="37" t="s">
        <v>1232</v>
      </c>
      <c r="D1161" s="93">
        <v>45774</v>
      </c>
      <c r="E1161" s="37" t="s">
        <v>734</v>
      </c>
      <c r="F1161" s="100">
        <f t="shared" si="90"/>
        <v>1.1111111110949423E-2</v>
      </c>
    </row>
    <row r="1162" spans="1:8">
      <c r="A1162" s="37" t="s">
        <v>232</v>
      </c>
      <c r="B1162" s="93">
        <v>45774</v>
      </c>
      <c r="C1162" s="37" t="s">
        <v>1040</v>
      </c>
      <c r="D1162" s="93">
        <v>45774</v>
      </c>
      <c r="E1162" s="37" t="s">
        <v>1083</v>
      </c>
      <c r="F1162" s="100">
        <f t="shared" si="90"/>
        <v>3.1944444439432118E-2</v>
      </c>
    </row>
    <row r="1163" spans="1:8">
      <c r="A1163" s="37" t="s">
        <v>234</v>
      </c>
      <c r="B1163" s="93">
        <v>45774</v>
      </c>
      <c r="C1163" s="37" t="s">
        <v>565</v>
      </c>
      <c r="D1163" s="93">
        <v>45774</v>
      </c>
      <c r="E1163" s="37" t="s">
        <v>516</v>
      </c>
      <c r="F1163" s="100">
        <f t="shared" si="90"/>
        <v>1.3888888883229811E-2</v>
      </c>
    </row>
    <row r="1164" spans="1:8">
      <c r="A1164" s="37" t="s">
        <v>335</v>
      </c>
      <c r="B1164" s="93">
        <v>45774</v>
      </c>
      <c r="C1164" s="37" t="s">
        <v>275</v>
      </c>
      <c r="D1164" s="93">
        <v>45774</v>
      </c>
      <c r="E1164" s="37" t="s">
        <v>883</v>
      </c>
      <c r="F1164" s="100">
        <f t="shared" si="90"/>
        <v>9.0972222227719612E-2</v>
      </c>
    </row>
    <row r="1165" spans="1:8">
      <c r="A1165" s="37" t="s">
        <v>242</v>
      </c>
      <c r="B1165" s="93">
        <v>45774</v>
      </c>
      <c r="C1165" s="37" t="s">
        <v>1160</v>
      </c>
      <c r="D1165" s="93">
        <v>45774</v>
      </c>
      <c r="E1165" s="37" t="s">
        <v>538</v>
      </c>
      <c r="F1165" s="100">
        <f t="shared" si="90"/>
        <v>0.33611111110803904</v>
      </c>
      <c r="H1165" s="23" t="s">
        <v>1233</v>
      </c>
    </row>
    <row r="1166" spans="1:8">
      <c r="A1166" s="37" t="s">
        <v>232</v>
      </c>
      <c r="B1166" s="93">
        <v>45774</v>
      </c>
      <c r="C1166" s="37" t="s">
        <v>704</v>
      </c>
      <c r="D1166" s="93">
        <v>45774</v>
      </c>
      <c r="E1166" s="37" t="s">
        <v>1234</v>
      </c>
      <c r="F1166" s="100">
        <f t="shared" si="90"/>
        <v>2.0833333328482695E-3</v>
      </c>
    </row>
    <row r="1167" spans="1:8">
      <c r="A1167" s="37" t="s">
        <v>234</v>
      </c>
      <c r="B1167" s="93">
        <v>45774</v>
      </c>
      <c r="C1167" s="37" t="s">
        <v>704</v>
      </c>
      <c r="D1167" s="93">
        <v>45774</v>
      </c>
      <c r="E1167" s="37" t="s">
        <v>1161</v>
      </c>
      <c r="F1167" s="100">
        <f t="shared" si="90"/>
        <v>3.4722222262644209E-3</v>
      </c>
    </row>
    <row r="1168" spans="1:8">
      <c r="A1168" s="37" t="s">
        <v>236</v>
      </c>
      <c r="B1168" s="93">
        <v>45774</v>
      </c>
      <c r="C1168" s="37" t="s">
        <v>704</v>
      </c>
      <c r="D1168" s="93">
        <v>45774</v>
      </c>
      <c r="E1168" s="37" t="s">
        <v>627</v>
      </c>
      <c r="F1168" s="100">
        <f t="shared" si="90"/>
        <v>6.2500000058207661E-3</v>
      </c>
    </row>
    <row r="1169" spans="1:6">
      <c r="A1169" s="37" t="s">
        <v>279</v>
      </c>
      <c r="B1169" s="93">
        <v>45774</v>
      </c>
      <c r="C1169" s="37" t="s">
        <v>1235</v>
      </c>
      <c r="D1169" s="93">
        <v>45774</v>
      </c>
      <c r="E1169" s="37" t="s">
        <v>1236</v>
      </c>
      <c r="F1169" s="100">
        <f t="shared" si="90"/>
        <v>0.13888888888322981</v>
      </c>
    </row>
    <row r="1170" spans="1:6">
      <c r="A1170" s="37" t="s">
        <v>391</v>
      </c>
      <c r="B1170" s="93">
        <v>45774</v>
      </c>
      <c r="C1170" s="37" t="s">
        <v>1237</v>
      </c>
      <c r="D1170" s="93">
        <v>45774</v>
      </c>
      <c r="E1170" s="37" t="s">
        <v>977</v>
      </c>
      <c r="F1170" s="100">
        <f t="shared" si="90"/>
        <v>7.9861111109494232E-2</v>
      </c>
    </row>
    <row r="1171" spans="1:6">
      <c r="A1171" s="37" t="s">
        <v>164</v>
      </c>
      <c r="B1171" s="93">
        <v>45774</v>
      </c>
      <c r="C1171" s="37" t="s">
        <v>1237</v>
      </c>
      <c r="D1171" s="93">
        <v>45774</v>
      </c>
      <c r="E1171" s="37" t="s">
        <v>760</v>
      </c>
      <c r="F1171" s="100">
        <f t="shared" ref="F1171:F1202" si="91">(D1171 + TIME(LEFT(E1171, 2), MID(E1171, 3, 2), 0)) - (B1171 + TIME(LEFT(C1171, 2), MID(C1171, 3, 2), 0))</f>
        <v>8.1249999995634425E-2</v>
      </c>
    </row>
    <row r="1172" spans="1:6">
      <c r="A1172" s="37" t="s">
        <v>232</v>
      </c>
      <c r="B1172" s="93">
        <v>45774</v>
      </c>
      <c r="C1172" s="37" t="s">
        <v>1238</v>
      </c>
      <c r="D1172" s="93">
        <v>45774</v>
      </c>
      <c r="E1172" s="37" t="s">
        <v>1239</v>
      </c>
      <c r="F1172" s="100">
        <f t="shared" si="91"/>
        <v>5.7638888887595385E-2</v>
      </c>
    </row>
    <row r="1173" spans="1:6">
      <c r="A1173" s="37" t="s">
        <v>234</v>
      </c>
      <c r="B1173" s="93">
        <v>45774</v>
      </c>
      <c r="C1173" s="37" t="s">
        <v>1067</v>
      </c>
      <c r="D1173" s="93">
        <v>45774</v>
      </c>
      <c r="E1173" s="37" t="s">
        <v>397</v>
      </c>
      <c r="F1173" s="100">
        <f t="shared" si="91"/>
        <v>5.6250000001455192E-2</v>
      </c>
    </row>
    <row r="1174" spans="1:6">
      <c r="A1174" s="37" t="s">
        <v>335</v>
      </c>
      <c r="B1174" s="93">
        <v>45774</v>
      </c>
      <c r="C1174" s="37" t="s">
        <v>1067</v>
      </c>
      <c r="D1174" s="93">
        <v>45774</v>
      </c>
      <c r="E1174" s="37" t="s">
        <v>711</v>
      </c>
      <c r="F1174" s="100">
        <f t="shared" si="91"/>
        <v>0.11527777777519077</v>
      </c>
    </row>
    <row r="1175" spans="1:6">
      <c r="A1175" s="37" t="s">
        <v>236</v>
      </c>
      <c r="B1175" s="93">
        <v>45774</v>
      </c>
      <c r="C1175" s="37" t="s">
        <v>406</v>
      </c>
      <c r="D1175" s="93">
        <v>45774</v>
      </c>
      <c r="E1175" s="37" t="s">
        <v>414</v>
      </c>
      <c r="F1175" s="100">
        <f t="shared" si="91"/>
        <v>5.2083333335758653E-2</v>
      </c>
    </row>
    <row r="1176" spans="1:6">
      <c r="A1176" s="37" t="s">
        <v>220</v>
      </c>
      <c r="B1176" s="93">
        <v>45774</v>
      </c>
      <c r="C1176" s="37" t="s">
        <v>620</v>
      </c>
      <c r="D1176" s="93">
        <v>45775</v>
      </c>
      <c r="E1176" s="37" t="s">
        <v>1066</v>
      </c>
      <c r="F1176" s="100">
        <f t="shared" si="91"/>
        <v>0.62569444444670808</v>
      </c>
    </row>
    <row r="1177" spans="1:6">
      <c r="A1177" s="37" t="s">
        <v>211</v>
      </c>
      <c r="B1177" s="93">
        <v>45774</v>
      </c>
      <c r="C1177" s="37" t="s">
        <v>943</v>
      </c>
      <c r="D1177" s="93">
        <v>45775</v>
      </c>
      <c r="E1177" s="37" t="s">
        <v>492</v>
      </c>
      <c r="F1177" s="100">
        <f t="shared" si="91"/>
        <v>0.58402777777519077</v>
      </c>
    </row>
    <row r="1178" spans="1:6">
      <c r="A1178" s="37" t="s">
        <v>180</v>
      </c>
      <c r="B1178" s="93">
        <v>45775</v>
      </c>
      <c r="C1178" s="37" t="s">
        <v>457</v>
      </c>
      <c r="D1178" s="93">
        <v>45777</v>
      </c>
      <c r="E1178" s="37" t="s">
        <v>720</v>
      </c>
      <c r="F1178" s="100">
        <f t="shared" si="91"/>
        <v>2.054861111115315</v>
      </c>
    </row>
    <row r="1179" spans="1:6">
      <c r="A1179" s="37" t="s">
        <v>217</v>
      </c>
      <c r="B1179" s="93">
        <v>45774</v>
      </c>
      <c r="C1179" s="37" t="s">
        <v>212</v>
      </c>
      <c r="D1179" s="93">
        <v>45775</v>
      </c>
      <c r="E1179" s="37" t="s">
        <v>213</v>
      </c>
      <c r="F1179" s="100">
        <f t="shared" si="91"/>
        <v>0.50069444443943212</v>
      </c>
    </row>
    <row r="1180" spans="1:6">
      <c r="A1180" s="37" t="s">
        <v>225</v>
      </c>
      <c r="B1180" s="93">
        <v>45775</v>
      </c>
      <c r="C1180" s="37" t="s">
        <v>218</v>
      </c>
      <c r="D1180" s="93">
        <v>45775</v>
      </c>
      <c r="E1180" s="37" t="s">
        <v>222</v>
      </c>
      <c r="F1180" s="100">
        <f t="shared" si="91"/>
        <v>0.50069444443943212</v>
      </c>
    </row>
    <row r="1181" spans="1:6">
      <c r="A1181" s="37" t="s">
        <v>391</v>
      </c>
      <c r="B1181" s="93">
        <v>45775</v>
      </c>
      <c r="C1181" s="37" t="s">
        <v>247</v>
      </c>
      <c r="D1181" s="93">
        <v>45775</v>
      </c>
      <c r="E1181" s="37" t="s">
        <v>1240</v>
      </c>
      <c r="F1181" s="100">
        <f t="shared" si="91"/>
        <v>4.0277777778101154E-2</v>
      </c>
    </row>
    <row r="1182" spans="1:6">
      <c r="A1182" s="37" t="s">
        <v>183</v>
      </c>
      <c r="B1182" s="93">
        <v>45775</v>
      </c>
      <c r="C1182" s="37" t="s">
        <v>818</v>
      </c>
      <c r="D1182" s="93">
        <v>45775</v>
      </c>
      <c r="E1182" s="37" t="s">
        <v>711</v>
      </c>
      <c r="F1182" s="100">
        <f t="shared" si="91"/>
        <v>0.58888888888759539</v>
      </c>
    </row>
    <row r="1183" spans="1:6">
      <c r="A1183" s="37" t="s">
        <v>164</v>
      </c>
      <c r="B1183" s="93">
        <v>45775</v>
      </c>
      <c r="C1183" s="37" t="s">
        <v>862</v>
      </c>
      <c r="D1183" s="93">
        <v>45775</v>
      </c>
      <c r="E1183" s="37" t="s">
        <v>253</v>
      </c>
      <c r="F1183" s="100">
        <f t="shared" si="91"/>
        <v>2.6388888894871343E-2</v>
      </c>
    </row>
    <row r="1184" spans="1:6">
      <c r="A1184" s="37" t="s">
        <v>232</v>
      </c>
      <c r="B1184" s="93">
        <v>45775</v>
      </c>
      <c r="C1184" s="37" t="s">
        <v>687</v>
      </c>
      <c r="D1184" s="93">
        <v>45775</v>
      </c>
      <c r="E1184" s="37" t="s">
        <v>604</v>
      </c>
      <c r="F1184" s="100">
        <f t="shared" si="91"/>
        <v>2.8472222220443655E-2</v>
      </c>
    </row>
    <row r="1185" spans="1:8">
      <c r="A1185" s="37" t="s">
        <v>234</v>
      </c>
      <c r="B1185" s="93">
        <v>45775</v>
      </c>
      <c r="C1185" s="37" t="s">
        <v>687</v>
      </c>
      <c r="D1185" s="93">
        <v>45775</v>
      </c>
      <c r="E1185" s="37" t="s">
        <v>322</v>
      </c>
      <c r="F1185" s="100">
        <f t="shared" si="91"/>
        <v>7.5000000004365575E-2</v>
      </c>
    </row>
    <row r="1186" spans="1:8">
      <c r="A1186" s="37" t="s">
        <v>236</v>
      </c>
      <c r="B1186" s="93">
        <v>45775</v>
      </c>
      <c r="C1186" s="37" t="s">
        <v>1013</v>
      </c>
      <c r="D1186" s="93">
        <v>45775</v>
      </c>
      <c r="E1186" s="37" t="s">
        <v>1207</v>
      </c>
      <c r="F1186" s="100">
        <f t="shared" si="91"/>
        <v>7.1527777778101154E-2</v>
      </c>
    </row>
    <row r="1187" spans="1:8">
      <c r="A1187" s="37" t="s">
        <v>391</v>
      </c>
      <c r="B1187" s="93">
        <v>45775</v>
      </c>
      <c r="C1187" s="37" t="s">
        <v>822</v>
      </c>
      <c r="D1187" s="93">
        <v>45775</v>
      </c>
      <c r="E1187" s="37" t="s">
        <v>370</v>
      </c>
      <c r="F1187" s="100">
        <f t="shared" si="91"/>
        <v>1.7361111109494232E-2</v>
      </c>
    </row>
    <row r="1188" spans="1:8">
      <c r="A1188" s="37" t="s">
        <v>248</v>
      </c>
      <c r="B1188" s="93">
        <v>45775</v>
      </c>
      <c r="C1188" s="37" t="s">
        <v>740</v>
      </c>
      <c r="D1188" s="93">
        <v>45775</v>
      </c>
      <c r="E1188" s="37" t="s">
        <v>1241</v>
      </c>
      <c r="F1188" s="100">
        <f t="shared" si="91"/>
        <v>0.6131944444423425</v>
      </c>
    </row>
    <row r="1189" spans="1:8">
      <c r="A1189" s="37" t="s">
        <v>232</v>
      </c>
      <c r="B1189" s="93">
        <v>45775</v>
      </c>
      <c r="C1189" s="37" t="s">
        <v>1242</v>
      </c>
      <c r="D1189" s="93">
        <v>45775</v>
      </c>
      <c r="E1189" s="37" t="s">
        <v>1079</v>
      </c>
      <c r="F1189" s="100">
        <f t="shared" si="91"/>
        <v>2.2916666668606922E-2</v>
      </c>
    </row>
    <row r="1190" spans="1:8">
      <c r="A1190" s="37" t="s">
        <v>242</v>
      </c>
      <c r="B1190" s="93">
        <v>45775</v>
      </c>
      <c r="C1190" s="37" t="s">
        <v>661</v>
      </c>
      <c r="D1190" s="93">
        <v>45775</v>
      </c>
      <c r="E1190" s="37" t="s">
        <v>1243</v>
      </c>
      <c r="F1190" s="100">
        <f t="shared" si="91"/>
        <v>0.63124999999854481</v>
      </c>
    </row>
    <row r="1191" spans="1:8">
      <c r="A1191" s="37" t="s">
        <v>391</v>
      </c>
      <c r="B1191" s="93">
        <v>45775</v>
      </c>
      <c r="C1191" s="37" t="s">
        <v>1016</v>
      </c>
      <c r="D1191" s="93">
        <v>45775</v>
      </c>
      <c r="E1191" s="37" t="s">
        <v>318</v>
      </c>
      <c r="F1191" s="100">
        <f t="shared" si="91"/>
        <v>1.8749999995634425E-2</v>
      </c>
    </row>
    <row r="1192" spans="1:8">
      <c r="A1192" s="37" t="s">
        <v>164</v>
      </c>
      <c r="B1192" s="93">
        <v>45775</v>
      </c>
      <c r="C1192" s="37" t="s">
        <v>324</v>
      </c>
      <c r="D1192" s="93">
        <v>45775</v>
      </c>
      <c r="E1192" s="37" t="s">
        <v>780</v>
      </c>
      <c r="F1192" s="100">
        <f t="shared" si="91"/>
        <v>1.1805555557657499E-2</v>
      </c>
    </row>
    <row r="1193" spans="1:8">
      <c r="A1193" s="37" t="s">
        <v>232</v>
      </c>
      <c r="B1193" s="93">
        <v>45775</v>
      </c>
      <c r="C1193" s="37" t="s">
        <v>747</v>
      </c>
      <c r="D1193" s="93">
        <v>45775</v>
      </c>
      <c r="E1193" s="37" t="s">
        <v>786</v>
      </c>
      <c r="F1193" s="100">
        <f t="shared" si="91"/>
        <v>1.4583333329937886E-2</v>
      </c>
    </row>
    <row r="1194" spans="1:8">
      <c r="A1194" s="37" t="s">
        <v>335</v>
      </c>
      <c r="B1194" s="93">
        <v>45775</v>
      </c>
      <c r="C1194" s="37" t="s">
        <v>369</v>
      </c>
      <c r="D1194" s="93">
        <v>45775</v>
      </c>
      <c r="E1194" s="37" t="s">
        <v>1001</v>
      </c>
      <c r="F1194" s="100">
        <f t="shared" si="91"/>
        <v>0.19513888889196096</v>
      </c>
    </row>
    <row r="1195" spans="1:8">
      <c r="A1195" s="37" t="s">
        <v>234</v>
      </c>
      <c r="B1195" s="93">
        <v>45775</v>
      </c>
      <c r="C1195" s="37" t="s">
        <v>1125</v>
      </c>
      <c r="D1195" s="93">
        <v>45775</v>
      </c>
      <c r="E1195" s="37" t="s">
        <v>904</v>
      </c>
      <c r="F1195" s="100">
        <f t="shared" si="91"/>
        <v>1.4583333329937886E-2</v>
      </c>
    </row>
    <row r="1196" spans="1:8">
      <c r="A1196" s="37" t="s">
        <v>214</v>
      </c>
      <c r="B1196" s="93">
        <v>45775</v>
      </c>
      <c r="C1196" s="37" t="s">
        <v>723</v>
      </c>
      <c r="D1196" s="93">
        <v>45775</v>
      </c>
      <c r="E1196" s="37" t="s">
        <v>963</v>
      </c>
      <c r="F1196" s="100">
        <f t="shared" si="91"/>
        <v>0.66736111111094942</v>
      </c>
    </row>
    <row r="1197" spans="1:8">
      <c r="A1197" s="37" t="s">
        <v>220</v>
      </c>
      <c r="B1197" s="93">
        <v>45775</v>
      </c>
      <c r="C1197" s="37" t="s">
        <v>1181</v>
      </c>
      <c r="D1197" s="93">
        <v>45776</v>
      </c>
      <c r="E1197" s="37" t="s">
        <v>1066</v>
      </c>
      <c r="F1197" s="100">
        <f t="shared" si="91"/>
        <v>0.70902777778246673</v>
      </c>
    </row>
    <row r="1198" spans="1:8">
      <c r="A1198" s="37" t="s">
        <v>186</v>
      </c>
      <c r="B1198" s="93">
        <v>45775</v>
      </c>
      <c r="C1198" s="37" t="s">
        <v>224</v>
      </c>
      <c r="D1198" s="93">
        <v>45775</v>
      </c>
      <c r="E1198" s="37" t="s">
        <v>250</v>
      </c>
      <c r="F1198" s="100">
        <f t="shared" si="91"/>
        <v>0.43402777778101154</v>
      </c>
      <c r="H1198" s="94" t="s">
        <v>1203</v>
      </c>
    </row>
    <row r="1199" spans="1:8">
      <c r="A1199" s="37" t="s">
        <v>236</v>
      </c>
      <c r="B1199" s="93">
        <v>45775</v>
      </c>
      <c r="C1199" s="37" t="s">
        <v>700</v>
      </c>
      <c r="D1199" s="93">
        <v>45775</v>
      </c>
      <c r="E1199" s="37" t="s">
        <v>624</v>
      </c>
      <c r="F1199" s="100">
        <f t="shared" si="91"/>
        <v>1.4583333337213844E-2</v>
      </c>
    </row>
    <row r="1200" spans="1:8">
      <c r="A1200" s="37" t="s">
        <v>174</v>
      </c>
      <c r="B1200" s="93">
        <v>45775</v>
      </c>
      <c r="C1200" s="37" t="s">
        <v>700</v>
      </c>
      <c r="D1200" s="93">
        <v>45776</v>
      </c>
      <c r="E1200" s="37" t="s">
        <v>1244</v>
      </c>
      <c r="F1200" s="100">
        <f t="shared" si="91"/>
        <v>0.49236111110803904</v>
      </c>
    </row>
    <row r="1201" spans="1:6">
      <c r="A1201" s="37" t="s">
        <v>164</v>
      </c>
      <c r="B1201" s="93">
        <v>45775</v>
      </c>
      <c r="C1201" s="37" t="s">
        <v>1245</v>
      </c>
      <c r="D1201" s="93">
        <v>45775</v>
      </c>
      <c r="E1201" s="37" t="s">
        <v>163</v>
      </c>
      <c r="F1201" s="100">
        <f t="shared" si="91"/>
        <v>1.1111111110949423E-2</v>
      </c>
    </row>
    <row r="1202" spans="1:6">
      <c r="A1202" s="37" t="s">
        <v>391</v>
      </c>
      <c r="B1202" s="93">
        <v>45775</v>
      </c>
      <c r="C1202" s="37" t="s">
        <v>1245</v>
      </c>
      <c r="D1202" s="93">
        <v>45775</v>
      </c>
      <c r="E1202" s="37" t="s">
        <v>514</v>
      </c>
      <c r="F1202" s="100">
        <f t="shared" si="91"/>
        <v>9.0277777781011537E-3</v>
      </c>
    </row>
    <row r="1203" spans="1:6">
      <c r="A1203" s="37" t="s">
        <v>232</v>
      </c>
      <c r="B1203" s="93">
        <v>45775</v>
      </c>
      <c r="C1203" s="37" t="s">
        <v>899</v>
      </c>
      <c r="D1203" s="93">
        <v>45775</v>
      </c>
      <c r="E1203" s="37" t="s">
        <v>1246</v>
      </c>
      <c r="F1203" s="100">
        <f t="shared" ref="F1203:F1226" si="92">(D1203 + TIME(LEFT(E1203, 2), MID(E1203, 3, 2), 0)) - (B1203 + TIME(LEFT(C1203, 2), MID(C1203, 3, 2), 0))</f>
        <v>1.2499999997089617E-2</v>
      </c>
    </row>
    <row r="1204" spans="1:6">
      <c r="A1204" s="37" t="s">
        <v>217</v>
      </c>
      <c r="B1204" s="93">
        <v>45775</v>
      </c>
      <c r="C1204" s="37" t="s">
        <v>212</v>
      </c>
      <c r="D1204" s="93">
        <v>45776</v>
      </c>
      <c r="E1204" s="37" t="s">
        <v>238</v>
      </c>
      <c r="F1204" s="100">
        <f t="shared" si="92"/>
        <v>0.50138888888614019</v>
      </c>
    </row>
    <row r="1205" spans="1:6">
      <c r="A1205" s="37" t="s">
        <v>211</v>
      </c>
      <c r="B1205" s="93">
        <v>45775</v>
      </c>
      <c r="C1205" s="37" t="s">
        <v>906</v>
      </c>
      <c r="D1205" s="93">
        <v>45776</v>
      </c>
      <c r="E1205" s="37" t="s">
        <v>224</v>
      </c>
      <c r="F1205" s="100">
        <f t="shared" si="92"/>
        <v>0.726388888884685</v>
      </c>
    </row>
    <row r="1206" spans="1:6">
      <c r="A1206" s="37" t="s">
        <v>234</v>
      </c>
      <c r="B1206" s="93">
        <v>45775</v>
      </c>
      <c r="C1206" s="37" t="s">
        <v>282</v>
      </c>
      <c r="D1206" s="93">
        <v>45775</v>
      </c>
      <c r="E1206" s="37" t="s">
        <v>577</v>
      </c>
      <c r="F1206" s="100">
        <f t="shared" si="92"/>
        <v>1.5277777776645962E-2</v>
      </c>
    </row>
    <row r="1207" spans="1:6">
      <c r="A1207" s="37" t="s">
        <v>236</v>
      </c>
      <c r="B1207" s="93">
        <v>45775</v>
      </c>
      <c r="C1207" s="37" t="s">
        <v>889</v>
      </c>
      <c r="D1207" s="93">
        <v>45775</v>
      </c>
      <c r="E1207" s="37" t="s">
        <v>1247</v>
      </c>
      <c r="F1207" s="100">
        <f t="shared" si="92"/>
        <v>1.8055555556202307E-2</v>
      </c>
    </row>
    <row r="1208" spans="1:6">
      <c r="A1208" s="37" t="s">
        <v>177</v>
      </c>
      <c r="B1208" s="93">
        <v>45775</v>
      </c>
      <c r="C1208" s="37" t="s">
        <v>301</v>
      </c>
      <c r="D1208" s="93">
        <v>45777</v>
      </c>
      <c r="E1208" s="37" t="s">
        <v>710</v>
      </c>
      <c r="F1208" s="100">
        <f t="shared" si="92"/>
        <v>1.9340277777737356</v>
      </c>
    </row>
    <row r="1209" spans="1:6">
      <c r="A1209" s="37" t="s">
        <v>391</v>
      </c>
      <c r="B1209" s="93">
        <v>45776</v>
      </c>
      <c r="C1209" s="37" t="s">
        <v>1248</v>
      </c>
      <c r="D1209" s="93">
        <v>45776</v>
      </c>
      <c r="E1209" s="37" t="s">
        <v>592</v>
      </c>
      <c r="F1209" s="100">
        <f t="shared" si="92"/>
        <v>1.8055555556202307E-2</v>
      </c>
    </row>
    <row r="1210" spans="1:6">
      <c r="A1210" s="37" t="s">
        <v>164</v>
      </c>
      <c r="B1210" s="93">
        <v>45776</v>
      </c>
      <c r="C1210" s="37" t="s">
        <v>724</v>
      </c>
      <c r="D1210" s="93">
        <v>45776</v>
      </c>
      <c r="E1210" s="37" t="s">
        <v>247</v>
      </c>
      <c r="F1210" s="100">
        <f t="shared" si="92"/>
        <v>3.2638888893416151E-2</v>
      </c>
    </row>
    <row r="1211" spans="1:6">
      <c r="A1211" s="37" t="s">
        <v>214</v>
      </c>
      <c r="B1211" s="93">
        <v>45776</v>
      </c>
      <c r="C1211" s="37" t="s">
        <v>723</v>
      </c>
      <c r="D1211" s="93">
        <v>45776</v>
      </c>
      <c r="E1211" s="37" t="s">
        <v>697</v>
      </c>
      <c r="F1211" s="100">
        <f t="shared" si="92"/>
        <v>0.48541666667006211</v>
      </c>
    </row>
    <row r="1212" spans="1:6">
      <c r="A1212" s="37" t="s">
        <v>232</v>
      </c>
      <c r="B1212" s="93">
        <v>45776</v>
      </c>
      <c r="C1212" s="37" t="s">
        <v>355</v>
      </c>
      <c r="D1212" s="93">
        <v>45776</v>
      </c>
      <c r="E1212" s="37" t="s">
        <v>729</v>
      </c>
      <c r="F1212" s="100">
        <f t="shared" si="92"/>
        <v>3.2638888893416151E-2</v>
      </c>
    </row>
    <row r="1213" spans="1:6">
      <c r="A1213" s="37" t="s">
        <v>234</v>
      </c>
      <c r="B1213" s="93">
        <v>45776</v>
      </c>
      <c r="C1213" s="37" t="s">
        <v>732</v>
      </c>
      <c r="D1213" s="93">
        <v>45776</v>
      </c>
      <c r="E1213" s="37" t="s">
        <v>642</v>
      </c>
      <c r="F1213" s="100">
        <f t="shared" si="92"/>
        <v>1.3194444443797693E-2</v>
      </c>
    </row>
    <row r="1214" spans="1:6">
      <c r="A1214" s="37" t="s">
        <v>236</v>
      </c>
      <c r="B1214" s="93">
        <v>45776</v>
      </c>
      <c r="C1214" s="37" t="s">
        <v>1249</v>
      </c>
      <c r="D1214" s="93">
        <v>45776</v>
      </c>
      <c r="E1214" s="37" t="s">
        <v>733</v>
      </c>
      <c r="F1214" s="100">
        <f t="shared" si="92"/>
        <v>2.6388888887595385E-2</v>
      </c>
    </row>
    <row r="1215" spans="1:6">
      <c r="A1215" s="37" t="s">
        <v>183</v>
      </c>
      <c r="B1215" s="93">
        <v>45776</v>
      </c>
      <c r="C1215" s="37" t="s">
        <v>1094</v>
      </c>
      <c r="D1215" s="93">
        <v>45776</v>
      </c>
      <c r="E1215" s="37" t="s">
        <v>753</v>
      </c>
      <c r="F1215" s="100">
        <f t="shared" si="92"/>
        <v>0.46180555555474712</v>
      </c>
    </row>
    <row r="1216" spans="1:6">
      <c r="A1216" s="37" t="s">
        <v>225</v>
      </c>
      <c r="B1216" s="93">
        <v>45776</v>
      </c>
      <c r="C1216" s="37" t="s">
        <v>213</v>
      </c>
      <c r="D1216" s="93">
        <v>45776</v>
      </c>
      <c r="E1216" s="37" t="s">
        <v>222</v>
      </c>
      <c r="F1216" s="100">
        <f t="shared" si="92"/>
        <v>0.5</v>
      </c>
    </row>
    <row r="1217" spans="1:6">
      <c r="A1217" s="37" t="s">
        <v>248</v>
      </c>
      <c r="B1217" s="93">
        <v>45776</v>
      </c>
      <c r="C1217" s="37" t="s">
        <v>859</v>
      </c>
      <c r="D1217" s="93">
        <v>45776</v>
      </c>
      <c r="E1217" s="37" t="s">
        <v>1250</v>
      </c>
      <c r="F1217" s="100">
        <f t="shared" si="92"/>
        <v>0.59444444444670808</v>
      </c>
    </row>
    <row r="1218" spans="1:6">
      <c r="A1218" s="37" t="s">
        <v>391</v>
      </c>
      <c r="B1218" s="93">
        <v>45776</v>
      </c>
      <c r="C1218" s="37" t="s">
        <v>859</v>
      </c>
      <c r="D1218" s="93">
        <v>45776</v>
      </c>
      <c r="E1218" s="37" t="s">
        <v>1251</v>
      </c>
      <c r="F1218" s="100">
        <f t="shared" si="92"/>
        <v>2.0138888889050577E-2</v>
      </c>
    </row>
    <row r="1219" spans="1:6">
      <c r="A1219" s="37" t="s">
        <v>164</v>
      </c>
      <c r="B1219" s="93">
        <v>45776</v>
      </c>
      <c r="C1219" s="37" t="s">
        <v>739</v>
      </c>
      <c r="D1219" s="93">
        <v>45776</v>
      </c>
      <c r="E1219" s="37" t="s">
        <v>318</v>
      </c>
      <c r="F1219" s="100">
        <f t="shared" si="92"/>
        <v>7.1527777778101154E-2</v>
      </c>
    </row>
    <row r="1220" spans="1:6">
      <c r="A1220" s="37" t="s">
        <v>242</v>
      </c>
      <c r="B1220" s="93">
        <v>45776</v>
      </c>
      <c r="C1220" s="37" t="s">
        <v>362</v>
      </c>
      <c r="D1220" s="93">
        <v>45777</v>
      </c>
      <c r="E1220" s="37" t="s">
        <v>587</v>
      </c>
      <c r="F1220" s="100">
        <f t="shared" si="92"/>
        <v>0.66666666667151731</v>
      </c>
    </row>
    <row r="1221" spans="1:6">
      <c r="A1221" s="37" t="s">
        <v>232</v>
      </c>
      <c r="B1221" s="93">
        <v>45776</v>
      </c>
      <c r="C1221" s="37" t="s">
        <v>549</v>
      </c>
      <c r="D1221" s="93">
        <v>45776</v>
      </c>
      <c r="E1221" s="37" t="s">
        <v>1145</v>
      </c>
      <c r="F1221" s="100">
        <f t="shared" si="92"/>
        <v>5.2083333335758653E-2</v>
      </c>
    </row>
    <row r="1222" spans="1:6">
      <c r="A1222" s="37" t="s">
        <v>234</v>
      </c>
      <c r="B1222" s="93">
        <v>45776</v>
      </c>
      <c r="C1222" s="37" t="s">
        <v>549</v>
      </c>
      <c r="D1222" s="93">
        <v>45776</v>
      </c>
      <c r="E1222" s="37" t="s">
        <v>378</v>
      </c>
      <c r="F1222" s="100">
        <f t="shared" si="92"/>
        <v>5.4861111115314998E-2</v>
      </c>
    </row>
    <row r="1223" spans="1:6">
      <c r="A1223" s="37" t="s">
        <v>236</v>
      </c>
      <c r="B1223" s="93">
        <v>45776</v>
      </c>
      <c r="C1223" s="37" t="s">
        <v>1077</v>
      </c>
      <c r="D1223" s="93">
        <v>45776</v>
      </c>
      <c r="E1223" s="37" t="s">
        <v>378</v>
      </c>
      <c r="F1223" s="100">
        <f t="shared" si="92"/>
        <v>5.2083333335758653E-2</v>
      </c>
    </row>
    <row r="1224" spans="1:6">
      <c r="A1224" s="37" t="s">
        <v>391</v>
      </c>
      <c r="B1224" s="93">
        <v>45776</v>
      </c>
      <c r="C1224" s="37" t="s">
        <v>662</v>
      </c>
      <c r="D1224" s="93">
        <v>45776</v>
      </c>
      <c r="E1224" s="37" t="s">
        <v>657</v>
      </c>
      <c r="F1224" s="100">
        <f t="shared" si="92"/>
        <v>5.5555555518367328E-3</v>
      </c>
    </row>
    <row r="1225" spans="1:6">
      <c r="A1225" s="37" t="s">
        <v>186</v>
      </c>
      <c r="B1225" s="93">
        <v>45776</v>
      </c>
      <c r="C1225" s="37" t="s">
        <v>552</v>
      </c>
      <c r="D1225" s="93">
        <v>45776</v>
      </c>
      <c r="E1225" s="37" t="s">
        <v>300</v>
      </c>
      <c r="F1225" s="100">
        <f t="shared" si="92"/>
        <v>0.57847222222335404</v>
      </c>
    </row>
    <row r="1226" spans="1:6">
      <c r="A1226" s="37" t="s">
        <v>391</v>
      </c>
      <c r="B1226" s="93">
        <v>45776</v>
      </c>
      <c r="C1226" s="37" t="s">
        <v>319</v>
      </c>
      <c r="D1226" s="93">
        <v>45776</v>
      </c>
      <c r="E1226" s="37" t="s">
        <v>1145</v>
      </c>
      <c r="F1226" s="100">
        <f t="shared" si="92"/>
        <v>3.0555555560567882E-2</v>
      </c>
    </row>
    <row r="1227" spans="1:6">
      <c r="A1227" s="37" t="s">
        <v>174</v>
      </c>
      <c r="B1227" s="93">
        <v>45776</v>
      </c>
      <c r="C1227" s="37" t="s">
        <v>556</v>
      </c>
    </row>
    <row r="1228" spans="1:6">
      <c r="A1228" s="37" t="s">
        <v>335</v>
      </c>
      <c r="B1228" s="93">
        <v>45776</v>
      </c>
      <c r="C1228" s="37" t="s">
        <v>782</v>
      </c>
      <c r="D1228" s="93">
        <v>45776</v>
      </c>
      <c r="E1228" s="37" t="s">
        <v>1229</v>
      </c>
      <c r="F1228" s="100">
        <f t="shared" ref="F1228:F1250" si="93">(D1228 + TIME(LEFT(E1228, 2), MID(E1228, 3, 2), 0)) - (B1228 + TIME(LEFT(C1228, 2), MID(C1228, 3, 2), 0))</f>
        <v>7.3611111110949423E-2</v>
      </c>
    </row>
    <row r="1229" spans="1:6">
      <c r="A1229" s="37" t="s">
        <v>232</v>
      </c>
      <c r="B1229" s="93">
        <v>45776</v>
      </c>
      <c r="C1229" s="37" t="s">
        <v>935</v>
      </c>
      <c r="D1229" s="93">
        <v>45776</v>
      </c>
      <c r="E1229" s="37" t="s">
        <v>385</v>
      </c>
      <c r="F1229" s="100">
        <f t="shared" si="93"/>
        <v>5.0000000002910383E-2</v>
      </c>
    </row>
    <row r="1230" spans="1:6">
      <c r="A1230" s="37" t="s">
        <v>164</v>
      </c>
      <c r="B1230" s="93">
        <v>45776</v>
      </c>
      <c r="C1230" s="37" t="s">
        <v>935</v>
      </c>
      <c r="D1230" s="93">
        <v>45776</v>
      </c>
      <c r="E1230" s="37" t="s">
        <v>1037</v>
      </c>
      <c r="F1230" s="100">
        <f t="shared" si="93"/>
        <v>7.6388888919609599E-3</v>
      </c>
    </row>
    <row r="1231" spans="1:6">
      <c r="A1231" s="37" t="s">
        <v>391</v>
      </c>
      <c r="B1231" s="93">
        <v>45776</v>
      </c>
      <c r="C1231" s="37" t="s">
        <v>935</v>
      </c>
      <c r="D1231" s="93">
        <v>45776</v>
      </c>
      <c r="E1231" s="37" t="s">
        <v>1252</v>
      </c>
      <c r="F1231" s="100">
        <f t="shared" si="93"/>
        <v>3.4722222189884633E-3</v>
      </c>
    </row>
    <row r="1232" spans="1:6">
      <c r="A1232" s="37" t="s">
        <v>234</v>
      </c>
      <c r="B1232" s="93">
        <v>45776</v>
      </c>
      <c r="C1232" s="37" t="s">
        <v>327</v>
      </c>
      <c r="D1232" s="93">
        <v>45776</v>
      </c>
      <c r="E1232" s="37" t="s">
        <v>1253</v>
      </c>
      <c r="F1232" s="100">
        <f t="shared" si="93"/>
        <v>1.7361111109494232E-2</v>
      </c>
    </row>
    <row r="1233" spans="1:6">
      <c r="A1233" s="37" t="s">
        <v>220</v>
      </c>
      <c r="B1233" s="93">
        <v>45776</v>
      </c>
      <c r="C1233" s="37" t="s">
        <v>274</v>
      </c>
      <c r="D1233" s="93">
        <v>45776</v>
      </c>
      <c r="E1233" s="37" t="s">
        <v>697</v>
      </c>
      <c r="F1233" s="100">
        <f t="shared" si="93"/>
        <v>0.15208333333430346</v>
      </c>
    </row>
    <row r="1234" spans="1:6">
      <c r="A1234" s="37" t="s">
        <v>391</v>
      </c>
      <c r="B1234" s="93">
        <v>45776</v>
      </c>
      <c r="C1234" s="37" t="s">
        <v>514</v>
      </c>
      <c r="D1234" s="93">
        <v>45776</v>
      </c>
      <c r="E1234" s="37" t="s">
        <v>1254</v>
      </c>
      <c r="F1234" s="100">
        <f t="shared" si="93"/>
        <v>3.4722222226264421E-2</v>
      </c>
    </row>
    <row r="1235" spans="1:6">
      <c r="A1235" s="37" t="s">
        <v>236</v>
      </c>
      <c r="B1235" s="93">
        <v>45776</v>
      </c>
      <c r="C1235" s="37" t="s">
        <v>514</v>
      </c>
      <c r="D1235" s="93">
        <v>45776</v>
      </c>
      <c r="E1235" s="37" t="s">
        <v>1255</v>
      </c>
      <c r="F1235" s="100">
        <f t="shared" si="93"/>
        <v>3.4027777779556345E-2</v>
      </c>
    </row>
    <row r="1236" spans="1:6">
      <c r="A1236" s="37" t="s">
        <v>220</v>
      </c>
      <c r="B1236" s="93">
        <v>45776</v>
      </c>
      <c r="C1236" s="37" t="s">
        <v>521</v>
      </c>
      <c r="D1236" s="93">
        <v>45777</v>
      </c>
      <c r="E1236" s="37" t="s">
        <v>656</v>
      </c>
      <c r="F1236" s="100">
        <f t="shared" si="93"/>
        <v>0.68680555556056788</v>
      </c>
    </row>
    <row r="1237" spans="1:6">
      <c r="A1237" s="37" t="s">
        <v>214</v>
      </c>
      <c r="B1237" s="93">
        <v>45776</v>
      </c>
      <c r="C1237" s="37" t="s">
        <v>521</v>
      </c>
      <c r="D1237" s="93">
        <v>45776</v>
      </c>
      <c r="E1237" s="37" t="s">
        <v>418</v>
      </c>
      <c r="F1237" s="100">
        <f t="shared" si="93"/>
        <v>0.19166666666569654</v>
      </c>
    </row>
    <row r="1238" spans="1:6">
      <c r="A1238" s="37" t="s">
        <v>217</v>
      </c>
      <c r="B1238" s="93">
        <v>45776</v>
      </c>
      <c r="C1238" s="37" t="s">
        <v>212</v>
      </c>
      <c r="D1238" s="93">
        <v>45777</v>
      </c>
      <c r="E1238" s="37" t="s">
        <v>238</v>
      </c>
      <c r="F1238" s="100">
        <f t="shared" si="93"/>
        <v>0.50138888888614019</v>
      </c>
    </row>
    <row r="1239" spans="1:6">
      <c r="A1239" s="37" t="s">
        <v>211</v>
      </c>
      <c r="B1239" s="93">
        <v>45776</v>
      </c>
      <c r="C1239" s="37" t="s">
        <v>200</v>
      </c>
      <c r="D1239" s="93">
        <v>45777</v>
      </c>
      <c r="E1239" s="37" t="s">
        <v>1256</v>
      </c>
      <c r="F1239" s="100">
        <f t="shared" si="93"/>
        <v>0.40763888888614019</v>
      </c>
    </row>
    <row r="1240" spans="1:6">
      <c r="A1240" s="37" t="s">
        <v>164</v>
      </c>
      <c r="B1240" s="93">
        <v>45776</v>
      </c>
      <c r="C1240" s="37" t="s">
        <v>412</v>
      </c>
      <c r="D1240" s="93">
        <v>45776</v>
      </c>
      <c r="E1240" s="37" t="s">
        <v>197</v>
      </c>
      <c r="F1240" s="100">
        <f t="shared" si="93"/>
        <v>2.9166666667151731E-2</v>
      </c>
    </row>
    <row r="1241" spans="1:6">
      <c r="A1241" s="37" t="s">
        <v>232</v>
      </c>
      <c r="B1241" s="93">
        <v>45776</v>
      </c>
      <c r="C1241" s="37" t="s">
        <v>499</v>
      </c>
      <c r="D1241" s="93">
        <v>45776</v>
      </c>
      <c r="E1241" s="37" t="s">
        <v>280</v>
      </c>
      <c r="F1241" s="100">
        <f t="shared" si="93"/>
        <v>2.5000000001455192E-2</v>
      </c>
    </row>
    <row r="1242" spans="1:6">
      <c r="A1242" s="37" t="s">
        <v>214</v>
      </c>
      <c r="B1242" s="93">
        <v>45777</v>
      </c>
      <c r="C1242" s="37" t="s">
        <v>1066</v>
      </c>
      <c r="D1242" s="93">
        <v>45777</v>
      </c>
      <c r="E1242" s="37" t="s">
        <v>656</v>
      </c>
      <c r="F1242" s="100">
        <f t="shared" si="93"/>
        <v>0.20347222222335404</v>
      </c>
    </row>
    <row r="1243" spans="1:6">
      <c r="A1243" s="37" t="s">
        <v>236</v>
      </c>
      <c r="B1243" s="93">
        <v>45777</v>
      </c>
      <c r="C1243" s="37" t="s">
        <v>440</v>
      </c>
      <c r="D1243" s="93">
        <v>45777</v>
      </c>
      <c r="E1243" s="37" t="s">
        <v>1257</v>
      </c>
      <c r="F1243" s="100">
        <f t="shared" si="93"/>
        <v>4.5138888883229811E-2</v>
      </c>
    </row>
    <row r="1244" spans="1:6">
      <c r="A1244" s="37" t="s">
        <v>234</v>
      </c>
      <c r="B1244" s="93">
        <v>45777</v>
      </c>
      <c r="C1244" s="37" t="s">
        <v>355</v>
      </c>
      <c r="D1244" s="93">
        <v>45777</v>
      </c>
      <c r="E1244" s="37" t="s">
        <v>1258</v>
      </c>
      <c r="F1244" s="100">
        <f t="shared" si="93"/>
        <v>1.9444444449618459E-2</v>
      </c>
    </row>
    <row r="1245" spans="1:6">
      <c r="A1245" s="37" t="s">
        <v>225</v>
      </c>
      <c r="B1245" s="93">
        <v>45777</v>
      </c>
      <c r="C1245" s="37" t="s">
        <v>213</v>
      </c>
      <c r="D1245" s="93">
        <v>45777</v>
      </c>
      <c r="E1245" s="37" t="s">
        <v>222</v>
      </c>
      <c r="F1245" s="100">
        <f t="shared" si="93"/>
        <v>0.5</v>
      </c>
    </row>
    <row r="1246" spans="1:6">
      <c r="A1246" s="37" t="s">
        <v>183</v>
      </c>
      <c r="B1246" s="93">
        <v>45777</v>
      </c>
      <c r="C1246" s="37" t="s">
        <v>218</v>
      </c>
      <c r="D1246" s="93">
        <v>45777</v>
      </c>
      <c r="E1246" s="37" t="s">
        <v>1259</v>
      </c>
      <c r="F1246" s="100">
        <f t="shared" si="93"/>
        <v>0.54999999999563443</v>
      </c>
    </row>
    <row r="1247" spans="1:6">
      <c r="A1247" s="37" t="s">
        <v>391</v>
      </c>
      <c r="B1247" s="93">
        <v>45777</v>
      </c>
      <c r="C1247" s="37" t="s">
        <v>1260</v>
      </c>
      <c r="D1247" s="93">
        <v>45777</v>
      </c>
      <c r="E1247" s="37" t="s">
        <v>547</v>
      </c>
      <c r="F1247" s="100">
        <f t="shared" si="93"/>
        <v>2.2916666668606922E-2</v>
      </c>
    </row>
    <row r="1248" spans="1:6">
      <c r="A1248" s="37" t="s">
        <v>164</v>
      </c>
      <c r="B1248" s="93">
        <v>45777</v>
      </c>
      <c r="C1248" s="37" t="s">
        <v>1097</v>
      </c>
      <c r="D1248" s="93">
        <v>45777</v>
      </c>
      <c r="E1248" s="37" t="s">
        <v>253</v>
      </c>
      <c r="F1248" s="100">
        <f t="shared" si="93"/>
        <v>2.8472222227719612E-2</v>
      </c>
    </row>
    <row r="1249" spans="1:6">
      <c r="A1249" s="37" t="s">
        <v>234</v>
      </c>
      <c r="B1249" s="93">
        <v>45777</v>
      </c>
      <c r="C1249" s="37" t="s">
        <v>600</v>
      </c>
      <c r="D1249" s="93">
        <v>45777</v>
      </c>
      <c r="E1249" s="37" t="s">
        <v>368</v>
      </c>
      <c r="F1249" s="100">
        <f t="shared" si="93"/>
        <v>3.4027777779556345E-2</v>
      </c>
    </row>
    <row r="1250" spans="1:6">
      <c r="A1250" s="37" t="s">
        <v>236</v>
      </c>
      <c r="B1250" s="93">
        <v>45777</v>
      </c>
      <c r="C1250" s="37" t="s">
        <v>600</v>
      </c>
      <c r="D1250" s="93">
        <v>45777</v>
      </c>
      <c r="E1250" s="37" t="s">
        <v>603</v>
      </c>
      <c r="F1250" s="100">
        <f t="shared" si="93"/>
        <v>5.486111110803904E-2</v>
      </c>
    </row>
    <row r="1251" spans="1:6">
      <c r="A1251" s="37" t="s">
        <v>248</v>
      </c>
      <c r="B1251" s="93">
        <v>45777</v>
      </c>
      <c r="C1251" s="37" t="s">
        <v>1261</v>
      </c>
    </row>
    <row r="1252" spans="1:6">
      <c r="A1252" s="37" t="s">
        <v>232</v>
      </c>
      <c r="B1252" s="93">
        <v>45777</v>
      </c>
      <c r="C1252" s="37" t="s">
        <v>257</v>
      </c>
      <c r="D1252" s="93">
        <v>45777</v>
      </c>
      <c r="E1252" s="37" t="s">
        <v>1035</v>
      </c>
      <c r="F1252" s="100">
        <f t="shared" ref="F1252:F1259" si="94">(D1252 + TIME(LEFT(E1252, 2), MID(E1252, 3, 2), 0)) - (B1252 + TIME(LEFT(C1252, 2), MID(C1252, 3, 2), 0))</f>
        <v>8.0555555556202307E-2</v>
      </c>
    </row>
    <row r="1253" spans="1:6">
      <c r="A1253" s="37" t="s">
        <v>242</v>
      </c>
      <c r="B1253" s="93">
        <v>45777</v>
      </c>
      <c r="C1253" s="37" t="s">
        <v>655</v>
      </c>
      <c r="D1253" s="93">
        <v>45777</v>
      </c>
      <c r="E1253" s="37" t="s">
        <v>1262</v>
      </c>
      <c r="F1253" s="100">
        <f t="shared" si="94"/>
        <v>0.60833333332993789</v>
      </c>
    </row>
    <row r="1254" spans="1:6">
      <c r="A1254" s="37" t="s">
        <v>180</v>
      </c>
      <c r="B1254" s="93">
        <v>45777</v>
      </c>
      <c r="C1254" s="37" t="s">
        <v>368</v>
      </c>
      <c r="D1254" s="93">
        <v>45777</v>
      </c>
      <c r="E1254" s="37" t="s">
        <v>1185</v>
      </c>
      <c r="F1254" s="100">
        <f t="shared" si="94"/>
        <v>3.6805555551836733E-2</v>
      </c>
    </row>
    <row r="1255" spans="1:6">
      <c r="A1255" s="37" t="s">
        <v>234</v>
      </c>
      <c r="B1255" s="93">
        <v>45777</v>
      </c>
      <c r="C1255" s="37" t="s">
        <v>743</v>
      </c>
      <c r="D1255" s="93">
        <v>45777</v>
      </c>
      <c r="E1255" s="37" t="s">
        <v>269</v>
      </c>
      <c r="F1255" s="100">
        <f t="shared" si="94"/>
        <v>6.25E-2</v>
      </c>
    </row>
    <row r="1256" spans="1:6">
      <c r="A1256" s="37" t="s">
        <v>186</v>
      </c>
      <c r="B1256" s="93">
        <v>45777</v>
      </c>
      <c r="C1256" s="37" t="s">
        <v>656</v>
      </c>
      <c r="D1256" s="93">
        <v>45777</v>
      </c>
      <c r="E1256" s="37" t="s">
        <v>375</v>
      </c>
      <c r="F1256" s="100">
        <f t="shared" si="94"/>
        <v>0.56736111110512866</v>
      </c>
    </row>
    <row r="1257" spans="1:6">
      <c r="A1257" s="37" t="s">
        <v>391</v>
      </c>
      <c r="B1257" s="93">
        <v>45777</v>
      </c>
      <c r="C1257" s="37" t="s">
        <v>825</v>
      </c>
      <c r="D1257" s="93">
        <v>45777</v>
      </c>
      <c r="E1257" s="37" t="s">
        <v>875</v>
      </c>
      <c r="F1257" s="100">
        <f t="shared" si="94"/>
        <v>3.9583333331393078E-2</v>
      </c>
    </row>
    <row r="1258" spans="1:6">
      <c r="A1258" s="37" t="s">
        <v>164</v>
      </c>
      <c r="B1258" s="93">
        <v>45777</v>
      </c>
      <c r="C1258" s="37" t="s">
        <v>367</v>
      </c>
      <c r="D1258" s="93">
        <v>45777</v>
      </c>
      <c r="E1258" s="37" t="s">
        <v>1263</v>
      </c>
      <c r="F1258" s="100">
        <f t="shared" si="94"/>
        <v>3.9583333331393078E-2</v>
      </c>
    </row>
    <row r="1259" spans="1:6">
      <c r="A1259" s="37" t="s">
        <v>236</v>
      </c>
      <c r="B1259" s="93">
        <v>45777</v>
      </c>
      <c r="C1259" s="37" t="s">
        <v>320</v>
      </c>
      <c r="D1259" s="93">
        <v>45777</v>
      </c>
      <c r="E1259" s="37" t="s">
        <v>875</v>
      </c>
      <c r="F1259" s="100">
        <f t="shared" si="94"/>
        <v>3.0555555553291924E-2</v>
      </c>
    </row>
    <row r="1260" spans="1:6">
      <c r="A1260" s="37" t="s">
        <v>180</v>
      </c>
      <c r="B1260" s="93">
        <v>45777</v>
      </c>
      <c r="C1260" s="37" t="s">
        <v>782</v>
      </c>
    </row>
    <row r="1261" spans="1:6">
      <c r="A1261" s="37" t="s">
        <v>220</v>
      </c>
      <c r="B1261" s="93">
        <v>45777</v>
      </c>
      <c r="C1261" s="37" t="s">
        <v>1144</v>
      </c>
      <c r="D1261" s="93">
        <v>45777</v>
      </c>
      <c r="E1261" s="37" t="s">
        <v>620</v>
      </c>
      <c r="F1261" s="100">
        <f>(D1261 + TIME(LEFT(E1261, 2), MID(E1261, 3, 2), 0)) - (B1261 + TIME(LEFT(C1261, 2), MID(C1261, 3, 2), 0))</f>
        <v>0.10902777777664596</v>
      </c>
    </row>
    <row r="1262" spans="1:6">
      <c r="A1262" s="37" t="s">
        <v>214</v>
      </c>
      <c r="B1262" s="93">
        <v>45777</v>
      </c>
      <c r="C1262" s="37" t="s">
        <v>1144</v>
      </c>
    </row>
    <row r="1263" spans="1:6">
      <c r="A1263" s="37" t="s">
        <v>232</v>
      </c>
      <c r="B1263" s="93">
        <v>45777</v>
      </c>
      <c r="C1263" s="37" t="s">
        <v>1181</v>
      </c>
      <c r="D1263" s="93">
        <v>45777</v>
      </c>
      <c r="E1263" s="37" t="s">
        <v>1264</v>
      </c>
      <c r="F1263" s="100">
        <f>(D1263 + TIME(LEFT(E1263, 2), MID(E1263, 3, 2), 0)) - (B1263 + TIME(LEFT(C1263, 2), MID(C1263, 3, 2), 0))</f>
        <v>2.0138888889050577E-2</v>
      </c>
    </row>
    <row r="1264" spans="1:6">
      <c r="A1264" s="37" t="s">
        <v>234</v>
      </c>
      <c r="B1264" s="93">
        <v>45777</v>
      </c>
      <c r="C1264" s="37" t="s">
        <v>936</v>
      </c>
      <c r="D1264" s="93">
        <v>45777</v>
      </c>
      <c r="E1264" s="37" t="s">
        <v>1265</v>
      </c>
      <c r="F1264" s="100">
        <f>(D1264 + TIME(LEFT(E1264, 2), MID(E1264, 3, 2), 0)) - (B1264 + TIME(LEFT(C1264, 2), MID(C1264, 3, 2), 0))</f>
        <v>2.0138888889050577E-2</v>
      </c>
    </row>
    <row r="1265" spans="1:6">
      <c r="A1265" s="37" t="s">
        <v>211</v>
      </c>
      <c r="B1265" s="93">
        <v>45777</v>
      </c>
      <c r="C1265" s="37" t="s">
        <v>1181</v>
      </c>
      <c r="D1265" s="93">
        <v>45777</v>
      </c>
      <c r="E1265" s="37" t="s">
        <v>1266</v>
      </c>
      <c r="F1265" s="100">
        <f>(D1265 + TIME(LEFT(E1265, 2), MID(E1265, 3, 2), 0)) - (B1265 + TIME(LEFT(C1265, 2), MID(C1265, 3, 2), 0))</f>
        <v>0.38472222222480923</v>
      </c>
    </row>
    <row r="1266" spans="1:6">
      <c r="A1266" s="37" t="s">
        <v>279</v>
      </c>
      <c r="B1266" s="93">
        <v>45777</v>
      </c>
      <c r="C1266" s="37" t="s">
        <v>270</v>
      </c>
      <c r="D1266" s="93">
        <v>45777</v>
      </c>
      <c r="E1266" s="37" t="s">
        <v>207</v>
      </c>
      <c r="F1266" s="100">
        <f t="shared" ref="F1266:F1276" si="95">(D1266 + TIME(LEFT(E1266, 2), MID(E1266, 3, 2), 0)) - (B1266 + TIME(LEFT(C1266, 2), MID(C1266, 3, 2), 0))</f>
        <v>1.3888888861401938E-3</v>
      </c>
    </row>
    <row r="1267" spans="1:6">
      <c r="A1267" s="37" t="s">
        <v>279</v>
      </c>
      <c r="B1267" s="93">
        <v>45777</v>
      </c>
      <c r="C1267" s="37" t="s">
        <v>1267</v>
      </c>
      <c r="D1267" s="93">
        <v>45777</v>
      </c>
      <c r="E1267" s="37" t="s">
        <v>868</v>
      </c>
      <c r="F1267" s="100">
        <f t="shared" si="95"/>
        <v>4.652777778392192E-2</v>
      </c>
    </row>
    <row r="1268" spans="1:6">
      <c r="A1268" s="37" t="s">
        <v>236</v>
      </c>
      <c r="B1268" s="93">
        <v>45777</v>
      </c>
      <c r="C1268" s="37" t="s">
        <v>482</v>
      </c>
      <c r="D1268" s="93">
        <v>45777</v>
      </c>
      <c r="E1268" s="37" t="s">
        <v>918</v>
      </c>
      <c r="F1268" s="100">
        <f t="shared" si="95"/>
        <v>3.680555555911269E-2</v>
      </c>
    </row>
    <row r="1269" spans="1:6">
      <c r="A1269" s="37" t="s">
        <v>391</v>
      </c>
      <c r="B1269" s="93">
        <v>45777</v>
      </c>
      <c r="C1269" s="37" t="s">
        <v>619</v>
      </c>
      <c r="D1269" s="93">
        <v>45777</v>
      </c>
      <c r="E1269" s="37" t="s">
        <v>516</v>
      </c>
      <c r="F1269" s="100">
        <f t="shared" si="95"/>
        <v>2.361111110803904E-2</v>
      </c>
    </row>
    <row r="1270" spans="1:6">
      <c r="A1270" s="37" t="s">
        <v>164</v>
      </c>
      <c r="B1270" s="93">
        <v>45777</v>
      </c>
      <c r="C1270" s="37" t="s">
        <v>622</v>
      </c>
      <c r="D1270" s="93">
        <v>45777</v>
      </c>
      <c r="E1270" s="37" t="s">
        <v>1043</v>
      </c>
      <c r="F1270" s="100">
        <f t="shared" si="95"/>
        <v>2.569444444088731E-2</v>
      </c>
    </row>
    <row r="1271" spans="1:6">
      <c r="A1271" s="37" t="s">
        <v>232</v>
      </c>
      <c r="B1271" s="93">
        <v>45777</v>
      </c>
      <c r="C1271" s="37" t="s">
        <v>329</v>
      </c>
      <c r="D1271" s="93">
        <v>45777</v>
      </c>
      <c r="E1271" s="37" t="s">
        <v>1268</v>
      </c>
      <c r="F1271" s="100">
        <f t="shared" si="95"/>
        <v>2.0833333335758653E-2</v>
      </c>
    </row>
    <row r="1272" spans="1:6">
      <c r="A1272" s="37" t="s">
        <v>234</v>
      </c>
      <c r="B1272" s="93">
        <v>45777</v>
      </c>
      <c r="C1272" s="37" t="s">
        <v>1269</v>
      </c>
      <c r="D1272" s="93">
        <v>45777</v>
      </c>
      <c r="E1272" s="37" t="s">
        <v>399</v>
      </c>
      <c r="F1272" s="100">
        <f t="shared" si="95"/>
        <v>1.7361111109494232E-2</v>
      </c>
    </row>
    <row r="1273" spans="1:6">
      <c r="A1273" s="37" t="s">
        <v>335</v>
      </c>
      <c r="B1273" s="93">
        <v>45777</v>
      </c>
      <c r="C1273" s="37" t="s">
        <v>513</v>
      </c>
      <c r="D1273" s="93">
        <v>45777</v>
      </c>
      <c r="E1273" s="37" t="s">
        <v>1024</v>
      </c>
      <c r="F1273" s="100">
        <f t="shared" si="95"/>
        <v>4.7222222223354038E-2</v>
      </c>
    </row>
    <row r="1274" spans="1:6">
      <c r="A1274" s="37" t="s">
        <v>279</v>
      </c>
      <c r="B1274" s="93">
        <v>45777</v>
      </c>
      <c r="C1274" s="37" t="s">
        <v>1183</v>
      </c>
      <c r="D1274" s="93">
        <v>45777</v>
      </c>
      <c r="E1274" s="37" t="s">
        <v>222</v>
      </c>
      <c r="F1274" s="100">
        <f t="shared" si="95"/>
        <v>0.13541666666424135</v>
      </c>
    </row>
    <row r="1275" spans="1:6">
      <c r="A1275" s="37" t="s">
        <v>335</v>
      </c>
      <c r="B1275" s="93">
        <v>45777</v>
      </c>
      <c r="C1275" s="37" t="s">
        <v>1270</v>
      </c>
      <c r="D1275" s="93">
        <v>45777</v>
      </c>
      <c r="E1275" s="37" t="s">
        <v>639</v>
      </c>
      <c r="F1275" s="100">
        <f t="shared" si="95"/>
        <v>6.1111111113859806E-2</v>
      </c>
    </row>
    <row r="1276" spans="1:6">
      <c r="A1276" s="37" t="s">
        <v>279</v>
      </c>
      <c r="B1276" s="93">
        <v>45777</v>
      </c>
      <c r="C1276" s="37" t="s">
        <v>839</v>
      </c>
      <c r="D1276" s="93">
        <v>45777</v>
      </c>
      <c r="E1276" s="37" t="s">
        <v>669</v>
      </c>
      <c r="F1276" s="100">
        <f t="shared" si="95"/>
        <v>2.361111110803904E-2</v>
      </c>
    </row>
    <row r="1277" spans="1:6">
      <c r="A1277" s="37" t="s">
        <v>217</v>
      </c>
      <c r="B1277" s="93">
        <v>45777</v>
      </c>
      <c r="C1277" s="37" t="s">
        <v>212</v>
      </c>
    </row>
    <row r="1278" spans="1:6">
      <c r="A1278" s="37" t="s">
        <v>164</v>
      </c>
      <c r="B1278" s="93">
        <v>45777</v>
      </c>
      <c r="C1278" s="37" t="s">
        <v>710</v>
      </c>
      <c r="D1278" s="93">
        <v>45777</v>
      </c>
      <c r="E1278" s="37" t="s">
        <v>418</v>
      </c>
      <c r="F1278" s="100">
        <f>(D1278 + TIME(LEFT(E1278, 2), MID(E1278, 3, 2), 0)) - (B1278 + TIME(LEFT(C1278, 2), MID(C1278, 3, 2), 0))</f>
        <v>2.0833333328482695E-3</v>
      </c>
    </row>
    <row r="1279" spans="1:6">
      <c r="A1279" s="37" t="s">
        <v>391</v>
      </c>
      <c r="B1279" s="93">
        <v>45777</v>
      </c>
      <c r="C1279" s="37" t="s">
        <v>710</v>
      </c>
      <c r="D1279" s="93">
        <v>45777</v>
      </c>
      <c r="E1279" s="37" t="s">
        <v>1113</v>
      </c>
      <c r="F1279" s="100">
        <f>(D1279 + TIME(LEFT(E1279, 2), MID(E1279, 3, 2), 0)) - (B1279 + TIME(LEFT(C1279, 2), MID(C1279, 3, 2), 0))</f>
        <v>2.7777777795563452E-3</v>
      </c>
    </row>
    <row r="1280" spans="1:6">
      <c r="A1280" s="37" t="s">
        <v>220</v>
      </c>
      <c r="B1280" s="93">
        <v>45777</v>
      </c>
      <c r="C1280" s="37" t="s">
        <v>422</v>
      </c>
    </row>
  </sheetData>
  <autoFilter ref="A1:L1280" xr:uid="{92E549C9-6AFA-4E0C-A0E9-604C869022AB}"/>
  <phoneticPr fontId="19" type="noConversion"/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9EA11-4B46-49FA-A50C-87FC0CED833C}">
  <sheetPr codeName="Sheet2" filterMode="1"/>
  <dimension ref="A1:I2495"/>
  <sheetViews>
    <sheetView zoomScale="85" zoomScaleNormal="85" workbookViewId="0">
      <pane ySplit="1" topLeftCell="A1787" activePane="bottomLeft" state="frozen"/>
      <selection pane="bottomLeft" activeCell="A2068" sqref="A2068:XFD2068"/>
      <selection activeCell="F35" sqref="F35"/>
    </sheetView>
  </sheetViews>
  <sheetFormatPr defaultColWidth="8.85546875" defaultRowHeight="14.45"/>
  <cols>
    <col min="1" max="1" width="12.5703125" style="23" bestFit="1" customWidth="1"/>
    <col min="2" max="2" width="11.85546875" style="84" bestFit="1" customWidth="1"/>
    <col min="3" max="3" width="9.42578125" style="23" bestFit="1" customWidth="1"/>
    <col min="4" max="4" width="23.42578125" style="23" bestFit="1" customWidth="1"/>
    <col min="5" max="5" width="29.5703125" style="23" bestFit="1" customWidth="1"/>
    <col min="6" max="6" width="13.5703125" style="23" bestFit="1" customWidth="1"/>
    <col min="7" max="7" width="21.140625" style="23" bestFit="1" customWidth="1"/>
    <col min="8" max="8" width="77.5703125" style="23" bestFit="1" customWidth="1"/>
    <col min="9" max="9" width="14" style="217" bestFit="1" customWidth="1"/>
    <col min="10" max="16384" width="8.85546875" style="22"/>
  </cols>
  <sheetData>
    <row r="1" spans="1:9" ht="15" thickBot="1">
      <c r="A1" s="85" t="s">
        <v>1271</v>
      </c>
      <c r="B1" s="96" t="s">
        <v>1272</v>
      </c>
      <c r="C1" s="97" t="s">
        <v>1273</v>
      </c>
      <c r="D1" s="86" t="s">
        <v>154</v>
      </c>
      <c r="E1" s="87" t="s">
        <v>1274</v>
      </c>
      <c r="F1" s="88" t="s">
        <v>1275</v>
      </c>
      <c r="G1" s="89" t="s">
        <v>1276</v>
      </c>
      <c r="H1" s="81" t="s">
        <v>161</v>
      </c>
      <c r="I1" s="217" t="s">
        <v>1277</v>
      </c>
    </row>
    <row r="2" spans="1:9" hidden="1">
      <c r="B2" s="84">
        <v>45633</v>
      </c>
      <c r="C2" s="23" t="s">
        <v>163</v>
      </c>
      <c r="D2" s="23" t="s">
        <v>162</v>
      </c>
      <c r="G2" s="23" t="s">
        <v>9</v>
      </c>
    </row>
    <row r="3" spans="1:9" hidden="1">
      <c r="A3" s="23">
        <v>595</v>
      </c>
      <c r="B3" s="84">
        <v>45693</v>
      </c>
      <c r="C3" s="23" t="s">
        <v>165</v>
      </c>
      <c r="D3" s="23" t="s">
        <v>164</v>
      </c>
      <c r="G3" s="23" t="s">
        <v>9</v>
      </c>
      <c r="I3" s="217" t="s">
        <v>1278</v>
      </c>
    </row>
    <row r="4" spans="1:9" hidden="1">
      <c r="A4" s="23">
        <v>596</v>
      </c>
      <c r="B4" s="84">
        <v>45693</v>
      </c>
      <c r="C4" s="23" t="s">
        <v>165</v>
      </c>
      <c r="D4" s="23" t="s">
        <v>1279</v>
      </c>
      <c r="G4" s="23" t="s">
        <v>9</v>
      </c>
      <c r="I4" s="217" t="s">
        <v>1280</v>
      </c>
    </row>
    <row r="5" spans="1:9" hidden="1">
      <c r="A5" s="23">
        <v>598</v>
      </c>
      <c r="B5" s="84">
        <v>45693</v>
      </c>
      <c r="C5" s="23" t="s">
        <v>165</v>
      </c>
      <c r="D5" s="23" t="s">
        <v>167</v>
      </c>
      <c r="G5" s="23" t="s">
        <v>9</v>
      </c>
      <c r="I5" s="217" t="s">
        <v>1281</v>
      </c>
    </row>
    <row r="6" spans="1:9" hidden="1">
      <c r="A6" s="23">
        <v>608</v>
      </c>
      <c r="B6" s="84">
        <v>45693</v>
      </c>
      <c r="C6" s="23" t="s">
        <v>170</v>
      </c>
      <c r="D6" s="23" t="s">
        <v>169</v>
      </c>
      <c r="G6" s="23" t="s">
        <v>9</v>
      </c>
      <c r="I6" s="217" t="s">
        <v>1282</v>
      </c>
    </row>
    <row r="7" spans="1:9" hidden="1">
      <c r="A7" s="23">
        <v>609</v>
      </c>
      <c r="B7" s="84">
        <v>45693</v>
      </c>
      <c r="C7" s="23" t="s">
        <v>172</v>
      </c>
      <c r="D7" s="23" t="s">
        <v>171</v>
      </c>
      <c r="G7" s="23" t="s">
        <v>9</v>
      </c>
      <c r="I7" s="217" t="s">
        <v>1283</v>
      </c>
    </row>
    <row r="8" spans="1:9" hidden="1">
      <c r="A8" s="23">
        <v>1473</v>
      </c>
      <c r="B8" s="84">
        <v>45701</v>
      </c>
      <c r="C8" s="23" t="s">
        <v>729</v>
      </c>
      <c r="D8" s="23" t="s">
        <v>196</v>
      </c>
      <c r="G8" s="23" t="s">
        <v>9</v>
      </c>
      <c r="I8" s="217" t="s">
        <v>1284</v>
      </c>
    </row>
    <row r="9" spans="1:9" hidden="1">
      <c r="A9" s="23">
        <v>2011</v>
      </c>
      <c r="B9" s="84">
        <v>45706</v>
      </c>
      <c r="C9" s="23" t="s">
        <v>1285</v>
      </c>
      <c r="D9" s="23" t="s">
        <v>335</v>
      </c>
      <c r="G9" s="23">
        <v>0</v>
      </c>
      <c r="I9" s="217" t="s">
        <v>1286</v>
      </c>
    </row>
    <row r="10" spans="1:9" hidden="1">
      <c r="A10" s="23">
        <v>2217</v>
      </c>
      <c r="B10" s="84">
        <v>45708</v>
      </c>
      <c r="C10" s="23" t="s">
        <v>163</v>
      </c>
      <c r="D10" s="23" t="s">
        <v>398</v>
      </c>
      <c r="G10" s="23" t="s">
        <v>9</v>
      </c>
      <c r="I10" s="217" t="s">
        <v>1287</v>
      </c>
    </row>
    <row r="11" spans="1:9" hidden="1">
      <c r="A11" s="23">
        <v>2219</v>
      </c>
      <c r="B11" s="84">
        <v>45708</v>
      </c>
      <c r="C11" s="23" t="s">
        <v>697</v>
      </c>
      <c r="D11" s="23" t="s">
        <v>209</v>
      </c>
      <c r="G11" s="23">
        <v>3</v>
      </c>
      <c r="I11" s="217" t="s">
        <v>1288</v>
      </c>
    </row>
    <row r="12" spans="1:9" hidden="1">
      <c r="A12" s="23">
        <v>2646</v>
      </c>
      <c r="B12" s="84">
        <v>45712</v>
      </c>
      <c r="C12" s="23" t="s">
        <v>165</v>
      </c>
      <c r="D12" s="23" t="s">
        <v>1289</v>
      </c>
      <c r="G12" s="23" t="s">
        <v>9</v>
      </c>
      <c r="I12" s="217" t="s">
        <v>1290</v>
      </c>
    </row>
    <row r="13" spans="1:9" hidden="1">
      <c r="A13" s="23">
        <v>2755</v>
      </c>
      <c r="B13" s="84">
        <v>45713</v>
      </c>
      <c r="C13" s="23" t="s">
        <v>1291</v>
      </c>
      <c r="D13" s="23" t="s">
        <v>192</v>
      </c>
      <c r="G13" s="23">
        <v>1</v>
      </c>
      <c r="I13" s="217" t="s">
        <v>1292</v>
      </c>
    </row>
    <row r="14" spans="1:9">
      <c r="A14" s="23">
        <v>2783</v>
      </c>
      <c r="B14" s="84">
        <v>45713</v>
      </c>
      <c r="C14" s="23" t="s">
        <v>318</v>
      </c>
      <c r="D14" s="23" t="s">
        <v>248</v>
      </c>
      <c r="G14" s="23">
        <v>4</v>
      </c>
      <c r="I14" s="217" t="s">
        <v>1293</v>
      </c>
    </row>
    <row r="15" spans="1:9" hidden="1">
      <c r="A15" s="23">
        <v>2909</v>
      </c>
      <c r="B15" s="84">
        <v>45714</v>
      </c>
      <c r="C15" s="23" t="s">
        <v>277</v>
      </c>
      <c r="D15" s="23" t="s">
        <v>217</v>
      </c>
      <c r="G15" s="23">
        <v>0.85</v>
      </c>
      <c r="I15" s="217" t="s">
        <v>1294</v>
      </c>
    </row>
    <row r="16" spans="1:9" hidden="1">
      <c r="A16" s="23">
        <v>2993</v>
      </c>
      <c r="B16" s="84">
        <v>45715</v>
      </c>
      <c r="C16" s="23" t="s">
        <v>1295</v>
      </c>
      <c r="D16" s="23" t="s">
        <v>1296</v>
      </c>
      <c r="G16" s="23">
        <v>0</v>
      </c>
      <c r="I16" s="217" t="s">
        <v>1297</v>
      </c>
    </row>
    <row r="17" spans="1:9" hidden="1">
      <c r="A17" s="23">
        <v>2994</v>
      </c>
      <c r="B17" s="84">
        <v>45715</v>
      </c>
      <c r="C17" s="23" t="s">
        <v>1295</v>
      </c>
      <c r="D17" s="23" t="s">
        <v>1298</v>
      </c>
      <c r="G17" s="23">
        <v>0</v>
      </c>
      <c r="I17" s="217" t="s">
        <v>1299</v>
      </c>
    </row>
    <row r="18" spans="1:9" hidden="1">
      <c r="A18" s="23">
        <v>2995</v>
      </c>
      <c r="B18" s="84">
        <v>45715</v>
      </c>
      <c r="C18" s="23" t="s">
        <v>1295</v>
      </c>
      <c r="D18" s="23" t="s">
        <v>1300</v>
      </c>
      <c r="G18" s="23">
        <v>0</v>
      </c>
      <c r="I18" s="217" t="s">
        <v>1301</v>
      </c>
    </row>
    <row r="19" spans="1:9" hidden="1">
      <c r="A19" s="23">
        <v>2998</v>
      </c>
      <c r="B19" s="84">
        <v>45715</v>
      </c>
      <c r="C19" s="23" t="s">
        <v>1295</v>
      </c>
      <c r="D19" s="23" t="s">
        <v>1302</v>
      </c>
      <c r="G19" s="23">
        <v>0</v>
      </c>
      <c r="I19" s="217" t="s">
        <v>1303</v>
      </c>
    </row>
    <row r="20" spans="1:9" hidden="1">
      <c r="A20" s="23">
        <v>3010</v>
      </c>
      <c r="B20" s="84">
        <v>45715</v>
      </c>
      <c r="C20" s="23" t="s">
        <v>1304</v>
      </c>
      <c r="D20" s="23" t="s">
        <v>1305</v>
      </c>
      <c r="G20" s="23">
        <v>0</v>
      </c>
      <c r="I20" s="217" t="s">
        <v>1306</v>
      </c>
    </row>
    <row r="21" spans="1:9" hidden="1">
      <c r="A21" s="23">
        <v>3011</v>
      </c>
      <c r="B21" s="84">
        <v>45715</v>
      </c>
      <c r="C21" s="23" t="s">
        <v>1307</v>
      </c>
      <c r="D21" s="23" t="s">
        <v>1308</v>
      </c>
      <c r="G21" s="23">
        <v>0</v>
      </c>
      <c r="I21" s="217" t="s">
        <v>1309</v>
      </c>
    </row>
    <row r="22" spans="1:9" hidden="1">
      <c r="A22" s="23">
        <v>3012</v>
      </c>
      <c r="B22" s="84">
        <v>45715</v>
      </c>
      <c r="C22" s="23" t="s">
        <v>508</v>
      </c>
      <c r="D22" s="23" t="s">
        <v>199</v>
      </c>
      <c r="G22" s="23">
        <v>0</v>
      </c>
      <c r="I22" s="217" t="s">
        <v>1310</v>
      </c>
    </row>
    <row r="23" spans="1:9" hidden="1">
      <c r="A23" s="23">
        <v>3013</v>
      </c>
      <c r="B23" s="84">
        <v>45715</v>
      </c>
      <c r="C23" s="23" t="s">
        <v>1109</v>
      </c>
      <c r="D23" s="23" t="s">
        <v>205</v>
      </c>
      <c r="G23" s="23">
        <v>0</v>
      </c>
      <c r="I23" s="217" t="s">
        <v>1311</v>
      </c>
    </row>
    <row r="24" spans="1:9" hidden="1">
      <c r="A24" s="23">
        <v>3015</v>
      </c>
      <c r="B24" s="84">
        <v>45715</v>
      </c>
      <c r="C24" s="23" t="s">
        <v>1312</v>
      </c>
      <c r="D24" s="23" t="s">
        <v>202</v>
      </c>
      <c r="G24" s="23">
        <v>0</v>
      </c>
      <c r="I24" s="217" t="s">
        <v>1313</v>
      </c>
    </row>
    <row r="25" spans="1:9">
      <c r="A25" s="23">
        <v>3046</v>
      </c>
      <c r="B25" s="84">
        <v>45716</v>
      </c>
      <c r="C25" s="23" t="s">
        <v>1119</v>
      </c>
      <c r="D25" s="23" t="s">
        <v>177</v>
      </c>
      <c r="G25" s="23">
        <v>0</v>
      </c>
      <c r="I25" s="217" t="s">
        <v>1314</v>
      </c>
    </row>
    <row r="26" spans="1:9">
      <c r="A26" s="23">
        <v>3047</v>
      </c>
      <c r="B26" s="84">
        <v>45716</v>
      </c>
      <c r="C26" s="23" t="s">
        <v>595</v>
      </c>
      <c r="D26" s="23" t="s">
        <v>180</v>
      </c>
      <c r="G26" s="23">
        <v>6.7</v>
      </c>
      <c r="I26" s="217" t="s">
        <v>1315</v>
      </c>
    </row>
    <row r="27" spans="1:9" hidden="1">
      <c r="A27" s="23">
        <v>3052</v>
      </c>
      <c r="B27" s="84">
        <v>45716</v>
      </c>
      <c r="C27" s="23" t="s">
        <v>623</v>
      </c>
      <c r="D27" s="23" t="s">
        <v>242</v>
      </c>
      <c r="G27" s="23">
        <v>3.8</v>
      </c>
      <c r="I27" s="217" t="s">
        <v>1316</v>
      </c>
    </row>
    <row r="28" spans="1:9">
      <c r="A28" s="23">
        <v>3062</v>
      </c>
      <c r="B28" s="84">
        <v>45716</v>
      </c>
      <c r="C28" s="23" t="s">
        <v>253</v>
      </c>
      <c r="D28" s="23" t="s">
        <v>174</v>
      </c>
      <c r="G28" s="23">
        <v>1.5</v>
      </c>
      <c r="I28" s="217" t="s">
        <v>1317</v>
      </c>
    </row>
    <row r="29" spans="1:9" hidden="1">
      <c r="A29" s="23">
        <v>3073</v>
      </c>
      <c r="B29" s="84">
        <v>45716</v>
      </c>
      <c r="C29" s="23" t="s">
        <v>998</v>
      </c>
      <c r="D29" s="23" t="s">
        <v>186</v>
      </c>
      <c r="G29" s="23">
        <v>1.4</v>
      </c>
      <c r="I29" s="217" t="s">
        <v>1318</v>
      </c>
    </row>
    <row r="30" spans="1:9" hidden="1">
      <c r="A30" s="23">
        <v>3074</v>
      </c>
      <c r="B30" s="84">
        <v>45716</v>
      </c>
      <c r="C30" s="23" t="s">
        <v>318</v>
      </c>
      <c r="D30" s="23" t="s">
        <v>404</v>
      </c>
      <c r="G30" s="23">
        <v>0</v>
      </c>
      <c r="I30" s="217" t="s">
        <v>1319</v>
      </c>
    </row>
    <row r="31" spans="1:9" hidden="1">
      <c r="A31" s="23">
        <v>3075</v>
      </c>
      <c r="B31" s="84">
        <v>45716</v>
      </c>
      <c r="C31" s="23" t="s">
        <v>551</v>
      </c>
      <c r="D31" s="23" t="s">
        <v>403</v>
      </c>
      <c r="G31" s="23">
        <v>0</v>
      </c>
      <c r="I31" s="217" t="s">
        <v>1320</v>
      </c>
    </row>
    <row r="32" spans="1:9" hidden="1">
      <c r="A32" s="23">
        <v>3077</v>
      </c>
      <c r="B32" s="84">
        <v>45716</v>
      </c>
      <c r="C32" s="23" t="s">
        <v>1321</v>
      </c>
      <c r="D32" s="23" t="s">
        <v>401</v>
      </c>
      <c r="G32" s="23">
        <v>0</v>
      </c>
      <c r="H32" s="23" t="s">
        <v>1322</v>
      </c>
      <c r="I32" s="217" t="s">
        <v>1323</v>
      </c>
    </row>
    <row r="33" spans="1:9" hidden="1">
      <c r="A33" s="23">
        <v>3080</v>
      </c>
      <c r="B33" s="84">
        <v>45716</v>
      </c>
      <c r="C33" s="23" t="s">
        <v>274</v>
      </c>
      <c r="D33" s="23" t="s">
        <v>214</v>
      </c>
      <c r="G33" s="23">
        <v>0.64</v>
      </c>
      <c r="I33" s="217" t="s">
        <v>1324</v>
      </c>
    </row>
    <row r="34" spans="1:9" hidden="1">
      <c r="A34" s="23">
        <v>3082</v>
      </c>
      <c r="B34" s="84">
        <v>45716</v>
      </c>
      <c r="C34" s="23" t="s">
        <v>618</v>
      </c>
      <c r="D34" s="23" t="s">
        <v>245</v>
      </c>
      <c r="G34" s="23">
        <v>0</v>
      </c>
      <c r="I34" s="217" t="s">
        <v>1325</v>
      </c>
    </row>
    <row r="35" spans="1:9" hidden="1">
      <c r="A35" s="23">
        <v>3083</v>
      </c>
      <c r="B35" s="84">
        <v>45716</v>
      </c>
      <c r="C35" s="23" t="s">
        <v>618</v>
      </c>
      <c r="D35" s="23" t="s">
        <v>226</v>
      </c>
      <c r="G35" s="23">
        <v>0</v>
      </c>
      <c r="I35" s="217" t="s">
        <v>1326</v>
      </c>
    </row>
    <row r="36" spans="1:9" hidden="1">
      <c r="A36" s="23">
        <v>3086</v>
      </c>
      <c r="B36" s="84">
        <v>45716</v>
      </c>
      <c r="C36" s="23" t="s">
        <v>1327</v>
      </c>
      <c r="D36" s="23" t="s">
        <v>229</v>
      </c>
      <c r="G36" s="23">
        <v>0</v>
      </c>
      <c r="I36" s="217" t="s">
        <v>1328</v>
      </c>
    </row>
    <row r="37" spans="1:9" hidden="1">
      <c r="A37" s="23">
        <v>3087</v>
      </c>
      <c r="B37" s="84">
        <v>45716</v>
      </c>
      <c r="C37" s="23" t="s">
        <v>1329</v>
      </c>
      <c r="D37" s="23" t="s">
        <v>232</v>
      </c>
      <c r="G37" s="23">
        <v>0</v>
      </c>
      <c r="I37" s="217" t="s">
        <v>1330</v>
      </c>
    </row>
    <row r="38" spans="1:9" hidden="1">
      <c r="A38" s="23">
        <v>3088</v>
      </c>
      <c r="B38" s="84">
        <v>45716</v>
      </c>
      <c r="C38" s="23" t="s">
        <v>521</v>
      </c>
      <c r="D38" s="23" t="s">
        <v>234</v>
      </c>
      <c r="G38" s="23">
        <v>0</v>
      </c>
      <c r="I38" s="217" t="s">
        <v>1331</v>
      </c>
    </row>
    <row r="39" spans="1:9" hidden="1">
      <c r="A39" s="23">
        <v>3089</v>
      </c>
      <c r="B39" s="84">
        <v>45716</v>
      </c>
      <c r="C39" s="23" t="s">
        <v>1332</v>
      </c>
      <c r="D39" s="23" t="s">
        <v>236</v>
      </c>
      <c r="G39" s="23">
        <v>0</v>
      </c>
      <c r="I39" s="217" t="s">
        <v>1333</v>
      </c>
    </row>
    <row r="40" spans="1:9" hidden="1">
      <c r="A40" s="23">
        <v>3091</v>
      </c>
      <c r="B40" s="84">
        <v>45716</v>
      </c>
      <c r="C40" s="23" t="s">
        <v>212</v>
      </c>
      <c r="D40" s="23" t="s">
        <v>220</v>
      </c>
      <c r="G40" s="23">
        <v>0.59</v>
      </c>
      <c r="I40" s="217" t="s">
        <v>1334</v>
      </c>
    </row>
    <row r="41" spans="1:9" hidden="1">
      <c r="A41" s="23">
        <v>3092</v>
      </c>
      <c r="B41" s="84">
        <v>45716</v>
      </c>
      <c r="C41" s="23" t="s">
        <v>222</v>
      </c>
      <c r="D41" s="23" t="s">
        <v>211</v>
      </c>
      <c r="G41" s="23">
        <v>0</v>
      </c>
      <c r="I41" s="217" t="s">
        <v>1335</v>
      </c>
    </row>
    <row r="42" spans="1:9" hidden="1">
      <c r="A42" s="23">
        <v>3097</v>
      </c>
      <c r="B42" s="84">
        <v>45716</v>
      </c>
      <c r="C42" s="23" t="s">
        <v>1336</v>
      </c>
      <c r="D42" s="23" t="s">
        <v>239</v>
      </c>
      <c r="G42" s="23">
        <v>0</v>
      </c>
      <c r="I42" s="217" t="s">
        <v>1337</v>
      </c>
    </row>
    <row r="43" spans="1:9" hidden="1">
      <c r="A43" s="23">
        <v>3098</v>
      </c>
      <c r="B43" s="84">
        <v>45716</v>
      </c>
      <c r="C43" s="23" t="s">
        <v>1338</v>
      </c>
      <c r="D43" s="23" t="s">
        <v>388</v>
      </c>
      <c r="G43" s="23">
        <v>0</v>
      </c>
      <c r="I43" s="217" t="s">
        <v>1339</v>
      </c>
    </row>
    <row r="44" spans="1:9" hidden="1">
      <c r="A44" s="23">
        <v>3099</v>
      </c>
      <c r="B44" s="84">
        <v>45716</v>
      </c>
      <c r="C44" s="23" t="s">
        <v>342</v>
      </c>
      <c r="D44" s="23" t="s">
        <v>391</v>
      </c>
      <c r="G44" s="23">
        <v>0</v>
      </c>
      <c r="I44" s="217" t="s">
        <v>1340</v>
      </c>
    </row>
    <row r="45" spans="1:9" hidden="1">
      <c r="A45" s="23">
        <v>3100</v>
      </c>
      <c r="B45" s="84">
        <v>45716</v>
      </c>
      <c r="C45" s="23" t="s">
        <v>501</v>
      </c>
      <c r="D45" s="23" t="s">
        <v>395</v>
      </c>
      <c r="G45" s="23">
        <v>0</v>
      </c>
      <c r="I45" s="217" t="s">
        <v>1341</v>
      </c>
    </row>
    <row r="46" spans="1:9" hidden="1">
      <c r="A46" s="23">
        <v>3101</v>
      </c>
      <c r="B46" s="84">
        <v>45716</v>
      </c>
      <c r="C46" s="23" t="s">
        <v>337</v>
      </c>
      <c r="D46" s="23" t="s">
        <v>183</v>
      </c>
      <c r="G46" s="23">
        <v>0</v>
      </c>
      <c r="I46" s="217" t="s">
        <v>1342</v>
      </c>
    </row>
    <row r="47" spans="1:9" hidden="1">
      <c r="A47" s="23">
        <v>3103</v>
      </c>
      <c r="B47" s="84">
        <v>45716</v>
      </c>
      <c r="C47" s="23" t="s">
        <v>433</v>
      </c>
      <c r="D47" s="23" t="s">
        <v>189</v>
      </c>
      <c r="G47" s="23" t="s">
        <v>9</v>
      </c>
      <c r="I47" s="217" t="s">
        <v>1294</v>
      </c>
    </row>
    <row r="48" spans="1:9" hidden="1">
      <c r="A48" s="23">
        <v>3104</v>
      </c>
      <c r="B48" s="84">
        <v>45716</v>
      </c>
      <c r="C48" s="23" t="s">
        <v>1343</v>
      </c>
      <c r="D48" s="23" t="s">
        <v>225</v>
      </c>
      <c r="G48" s="23" t="s">
        <v>9</v>
      </c>
      <c r="I48" s="217" t="s">
        <v>1344</v>
      </c>
    </row>
    <row r="49" spans="1:9">
      <c r="A49" s="23">
        <v>2651</v>
      </c>
      <c r="B49" s="84">
        <v>45746</v>
      </c>
      <c r="C49" s="23" t="s">
        <v>175</v>
      </c>
      <c r="D49" s="23" t="s">
        <v>174</v>
      </c>
      <c r="G49" s="23">
        <v>1</v>
      </c>
      <c r="I49" s="217" t="s">
        <v>1345</v>
      </c>
    </row>
    <row r="50" spans="1:9">
      <c r="A50" s="23">
        <v>2760</v>
      </c>
      <c r="B50" s="84">
        <v>45747</v>
      </c>
      <c r="C50" s="23" t="s">
        <v>178</v>
      </c>
      <c r="D50" s="23" t="s">
        <v>177</v>
      </c>
      <c r="G50" s="23">
        <v>4.5</v>
      </c>
      <c r="I50" s="217" t="s">
        <v>1346</v>
      </c>
    </row>
    <row r="51" spans="1:9">
      <c r="A51" s="23">
        <v>2836</v>
      </c>
      <c r="B51" s="84">
        <v>45747</v>
      </c>
      <c r="C51" s="23" t="s">
        <v>181</v>
      </c>
      <c r="D51" s="23" t="s">
        <v>180</v>
      </c>
      <c r="G51" s="23">
        <v>6.6</v>
      </c>
      <c r="I51" s="217" t="s">
        <v>1347</v>
      </c>
    </row>
    <row r="52" spans="1:9">
      <c r="A52" s="23">
        <v>2837</v>
      </c>
      <c r="B52" s="84">
        <v>45747</v>
      </c>
      <c r="C52" s="23" t="s">
        <v>299</v>
      </c>
      <c r="D52" s="23" t="s">
        <v>248</v>
      </c>
      <c r="G52" s="23">
        <v>0</v>
      </c>
      <c r="I52" s="217" t="s">
        <v>1348</v>
      </c>
    </row>
    <row r="53" spans="1:9" hidden="1">
      <c r="A53" s="23">
        <v>2808</v>
      </c>
      <c r="B53" s="84">
        <v>45747</v>
      </c>
      <c r="C53" s="23" t="s">
        <v>184</v>
      </c>
      <c r="D53" s="23" t="s">
        <v>183</v>
      </c>
      <c r="G53" s="23" t="s">
        <v>9</v>
      </c>
      <c r="H53" s="23" t="s">
        <v>185</v>
      </c>
      <c r="I53" s="217" t="s">
        <v>1349</v>
      </c>
    </row>
    <row r="54" spans="1:9" hidden="1">
      <c r="A54" s="23">
        <v>2838</v>
      </c>
      <c r="B54" s="84">
        <v>45747</v>
      </c>
      <c r="C54" s="23" t="s">
        <v>1350</v>
      </c>
      <c r="D54" s="23" t="s">
        <v>242</v>
      </c>
      <c r="G54" s="23">
        <v>0</v>
      </c>
      <c r="I54" s="217" t="s">
        <v>1351</v>
      </c>
    </row>
    <row r="55" spans="1:9" hidden="1">
      <c r="A55" s="23">
        <v>2776</v>
      </c>
      <c r="B55" s="84">
        <v>45747</v>
      </c>
      <c r="C55" s="23" t="s">
        <v>187</v>
      </c>
      <c r="D55" s="23" t="s">
        <v>186</v>
      </c>
      <c r="G55" s="23">
        <v>1.5</v>
      </c>
      <c r="I55" s="217" t="s">
        <v>1352</v>
      </c>
    </row>
    <row r="56" spans="1:9" hidden="1">
      <c r="A56" s="23">
        <v>2254</v>
      </c>
      <c r="B56" s="84">
        <v>45741</v>
      </c>
      <c r="C56" s="23" t="s">
        <v>1174</v>
      </c>
      <c r="D56" s="23" t="s">
        <v>279</v>
      </c>
      <c r="G56" s="23">
        <v>0</v>
      </c>
      <c r="I56" s="217" t="s">
        <v>1353</v>
      </c>
    </row>
    <row r="57" spans="1:9" hidden="1">
      <c r="A57" s="23">
        <v>2811</v>
      </c>
      <c r="B57" s="84">
        <v>45747</v>
      </c>
      <c r="C57" s="23" t="s">
        <v>1084</v>
      </c>
      <c r="D57" s="23" t="s">
        <v>335</v>
      </c>
      <c r="G57" s="23">
        <v>0</v>
      </c>
      <c r="I57" s="217" t="s">
        <v>1354</v>
      </c>
    </row>
    <row r="58" spans="1:9" hidden="1">
      <c r="A58" s="23">
        <v>1961</v>
      </c>
      <c r="B58" s="84">
        <v>45738</v>
      </c>
      <c r="C58" s="23" t="s">
        <v>190</v>
      </c>
      <c r="D58" s="23" t="s">
        <v>189</v>
      </c>
      <c r="G58" s="23">
        <v>2.5</v>
      </c>
      <c r="I58" s="217" t="s">
        <v>1355</v>
      </c>
    </row>
    <row r="59" spans="1:9" hidden="1">
      <c r="A59" s="23">
        <v>2573</v>
      </c>
      <c r="B59" s="84">
        <v>45745</v>
      </c>
      <c r="C59" s="23" t="s">
        <v>193</v>
      </c>
      <c r="D59" s="23" t="s">
        <v>192</v>
      </c>
      <c r="G59" s="23" t="s">
        <v>9</v>
      </c>
      <c r="I59" s="217" t="s">
        <v>1294</v>
      </c>
    </row>
    <row r="60" spans="1:9" hidden="1">
      <c r="A60" s="23">
        <v>2821</v>
      </c>
      <c r="B60" s="84">
        <v>45747</v>
      </c>
      <c r="C60" s="23" t="s">
        <v>197</v>
      </c>
      <c r="D60" s="23" t="s">
        <v>196</v>
      </c>
      <c r="G60" s="23">
        <v>0.93333333333333302</v>
      </c>
      <c r="I60" s="217" t="s">
        <v>1356</v>
      </c>
    </row>
    <row r="61" spans="1:9" hidden="1">
      <c r="A61" s="23">
        <v>2815</v>
      </c>
      <c r="B61" s="84">
        <v>45747</v>
      </c>
      <c r="C61" s="23" t="s">
        <v>200</v>
      </c>
      <c r="D61" s="23" t="s">
        <v>199</v>
      </c>
      <c r="G61" s="23">
        <v>0.9</v>
      </c>
      <c r="I61" s="217" t="s">
        <v>1357</v>
      </c>
    </row>
    <row r="62" spans="1:9" hidden="1">
      <c r="A62" s="23">
        <v>2814</v>
      </c>
      <c r="B62" s="84">
        <v>45747</v>
      </c>
      <c r="C62" s="23" t="s">
        <v>203</v>
      </c>
      <c r="D62" s="23" t="s">
        <v>202</v>
      </c>
      <c r="G62" s="23">
        <v>0.9</v>
      </c>
      <c r="I62" s="217" t="s">
        <v>1358</v>
      </c>
    </row>
    <row r="63" spans="1:9" hidden="1">
      <c r="A63" s="23">
        <v>2822</v>
      </c>
      <c r="B63" s="84">
        <v>45747</v>
      </c>
      <c r="C63" s="23" t="s">
        <v>206</v>
      </c>
      <c r="D63" s="23" t="s">
        <v>205</v>
      </c>
      <c r="G63" s="23" t="s">
        <v>9</v>
      </c>
      <c r="H63" s="94" t="s">
        <v>208</v>
      </c>
      <c r="I63" s="217" t="s">
        <v>1359</v>
      </c>
    </row>
    <row r="64" spans="1:9" hidden="1">
      <c r="A64" s="438">
        <v>1154</v>
      </c>
      <c r="B64" s="439">
        <v>45728</v>
      </c>
      <c r="C64" s="438" t="s">
        <v>210</v>
      </c>
      <c r="D64" s="438" t="s">
        <v>209</v>
      </c>
      <c r="E64" s="438"/>
      <c r="F64" s="438"/>
      <c r="G64" s="438">
        <v>4.5</v>
      </c>
      <c r="H64" s="438"/>
      <c r="I64" s="440" t="s">
        <v>1360</v>
      </c>
    </row>
    <row r="65" spans="1:9" hidden="1">
      <c r="A65" s="23">
        <v>2816</v>
      </c>
      <c r="B65" s="84">
        <v>45747</v>
      </c>
      <c r="C65" s="23" t="s">
        <v>212</v>
      </c>
      <c r="D65" s="23" t="s">
        <v>211</v>
      </c>
      <c r="G65" s="23">
        <v>0.69499999999999995</v>
      </c>
      <c r="I65" s="217" t="s">
        <v>1361</v>
      </c>
    </row>
    <row r="66" spans="1:9" hidden="1">
      <c r="A66" s="23">
        <v>2792</v>
      </c>
      <c r="B66" s="84">
        <v>45747</v>
      </c>
      <c r="C66" s="23" t="s">
        <v>215</v>
      </c>
      <c r="D66" s="23" t="s">
        <v>214</v>
      </c>
      <c r="G66" s="23">
        <v>0.73</v>
      </c>
      <c r="I66" s="217" t="s">
        <v>1362</v>
      </c>
    </row>
    <row r="67" spans="1:9" hidden="1">
      <c r="A67" s="23">
        <v>2748</v>
      </c>
      <c r="B67" s="84">
        <v>45747</v>
      </c>
      <c r="C67" s="23" t="s">
        <v>218</v>
      </c>
      <c r="D67" s="23" t="s">
        <v>217</v>
      </c>
      <c r="G67" s="23">
        <v>0.81</v>
      </c>
      <c r="I67" s="217" t="s">
        <v>1363</v>
      </c>
    </row>
    <row r="68" spans="1:9" hidden="1">
      <c r="A68" s="23">
        <v>2817</v>
      </c>
      <c r="B68" s="84">
        <v>45747</v>
      </c>
      <c r="C68" s="23" t="s">
        <v>222</v>
      </c>
      <c r="D68" s="23" t="s">
        <v>220</v>
      </c>
      <c r="G68" s="23">
        <v>0</v>
      </c>
      <c r="I68" s="217" t="s">
        <v>1364</v>
      </c>
    </row>
    <row r="69" spans="1:9" hidden="1">
      <c r="A69" s="23">
        <v>2749</v>
      </c>
      <c r="B69" s="84">
        <v>45747</v>
      </c>
      <c r="C69" s="23" t="s">
        <v>213</v>
      </c>
      <c r="D69" s="23" t="s">
        <v>225</v>
      </c>
      <c r="G69" s="23">
        <v>0</v>
      </c>
      <c r="I69" s="217" t="s">
        <v>1365</v>
      </c>
    </row>
    <row r="70" spans="1:9" hidden="1">
      <c r="A70" s="23">
        <v>69</v>
      </c>
      <c r="B70" s="84">
        <v>45747</v>
      </c>
      <c r="C70" s="23" t="s">
        <v>188</v>
      </c>
      <c r="D70" s="23" t="s">
        <v>186</v>
      </c>
      <c r="G70" s="23">
        <v>0</v>
      </c>
      <c r="I70" s="217" t="s">
        <v>1366</v>
      </c>
    </row>
    <row r="71" spans="1:9" hidden="1">
      <c r="A71" s="23">
        <v>71</v>
      </c>
      <c r="B71" s="84">
        <v>45748</v>
      </c>
      <c r="C71" s="23" t="s">
        <v>223</v>
      </c>
      <c r="D71" s="23" t="s">
        <v>220</v>
      </c>
      <c r="G71" s="23">
        <v>0.435</v>
      </c>
      <c r="I71" s="217" t="s">
        <v>1367</v>
      </c>
    </row>
    <row r="72" spans="1:9" hidden="1">
      <c r="A72" s="23">
        <v>72</v>
      </c>
      <c r="B72" s="84">
        <v>45748</v>
      </c>
      <c r="C72" s="23" t="s">
        <v>216</v>
      </c>
      <c r="D72" s="23" t="s">
        <v>214</v>
      </c>
      <c r="G72" s="23">
        <v>0</v>
      </c>
      <c r="I72" s="217" t="s">
        <v>1368</v>
      </c>
    </row>
    <row r="73" spans="1:9" hidden="1">
      <c r="A73" s="23">
        <v>74</v>
      </c>
      <c r="B73" s="84">
        <v>45748</v>
      </c>
      <c r="C73" s="23" t="s">
        <v>198</v>
      </c>
      <c r="D73" s="23" t="s">
        <v>196</v>
      </c>
      <c r="G73" s="23">
        <v>0</v>
      </c>
      <c r="I73" s="217" t="s">
        <v>1369</v>
      </c>
    </row>
    <row r="74" spans="1:9" hidden="1">
      <c r="A74" s="23">
        <v>75</v>
      </c>
      <c r="B74" s="84">
        <v>45748</v>
      </c>
      <c r="C74" s="23" t="s">
        <v>198</v>
      </c>
      <c r="D74" s="23" t="s">
        <v>196</v>
      </c>
      <c r="G74" s="23" t="s">
        <v>9</v>
      </c>
      <c r="I74" s="217" t="s">
        <v>1294</v>
      </c>
    </row>
    <row r="75" spans="1:9" hidden="1">
      <c r="A75" s="23">
        <v>76</v>
      </c>
      <c r="B75" s="84">
        <v>45748</v>
      </c>
      <c r="C75" s="23" t="s">
        <v>227</v>
      </c>
      <c r="D75" s="23" t="s">
        <v>226</v>
      </c>
      <c r="G75" s="23">
        <v>0.86666666666666703</v>
      </c>
      <c r="I75" s="217" t="s">
        <v>1370</v>
      </c>
    </row>
    <row r="76" spans="1:9">
      <c r="A76" s="23">
        <v>77</v>
      </c>
      <c r="B76" s="84">
        <v>45748</v>
      </c>
      <c r="C76" s="23" t="s">
        <v>179</v>
      </c>
      <c r="D76" s="23" t="s">
        <v>177</v>
      </c>
      <c r="G76" s="23">
        <v>0</v>
      </c>
      <c r="I76" s="217" t="s">
        <v>1371</v>
      </c>
    </row>
    <row r="77" spans="1:9" hidden="1">
      <c r="A77" s="23">
        <v>78</v>
      </c>
      <c r="B77" s="84">
        <v>45748</v>
      </c>
      <c r="C77" s="23" t="s">
        <v>230</v>
      </c>
      <c r="D77" s="23" t="s">
        <v>229</v>
      </c>
      <c r="G77" s="23">
        <v>0.75</v>
      </c>
      <c r="I77" s="217" t="s">
        <v>1372</v>
      </c>
    </row>
    <row r="78" spans="1:9" hidden="1">
      <c r="A78" s="23">
        <v>79</v>
      </c>
      <c r="B78" s="84">
        <v>45748</v>
      </c>
      <c r="C78" s="23" t="s">
        <v>230</v>
      </c>
      <c r="D78" s="23" t="s">
        <v>232</v>
      </c>
      <c r="G78" s="23">
        <v>0.75</v>
      </c>
      <c r="I78" s="217" t="s">
        <v>1373</v>
      </c>
    </row>
    <row r="79" spans="1:9" hidden="1">
      <c r="A79" s="23">
        <v>80</v>
      </c>
      <c r="B79" s="84">
        <v>45748</v>
      </c>
      <c r="C79" s="23" t="s">
        <v>230</v>
      </c>
      <c r="D79" s="23" t="s">
        <v>234</v>
      </c>
      <c r="G79" s="23">
        <v>0.75</v>
      </c>
      <c r="I79" s="217" t="s">
        <v>1374</v>
      </c>
    </row>
    <row r="80" spans="1:9" hidden="1">
      <c r="A80" s="23">
        <v>81</v>
      </c>
      <c r="B80" s="84">
        <v>45748</v>
      </c>
      <c r="C80" s="23" t="s">
        <v>201</v>
      </c>
      <c r="D80" s="23" t="s">
        <v>199</v>
      </c>
      <c r="G80" s="23">
        <v>0</v>
      </c>
      <c r="I80" s="217" t="s">
        <v>1375</v>
      </c>
    </row>
    <row r="81" spans="1:9" hidden="1">
      <c r="A81" s="23">
        <v>82</v>
      </c>
      <c r="B81" s="84">
        <v>45748</v>
      </c>
      <c r="C81" s="23" t="s">
        <v>204</v>
      </c>
      <c r="D81" s="23" t="s">
        <v>202</v>
      </c>
      <c r="G81" s="23">
        <v>0</v>
      </c>
      <c r="I81" s="217" t="s">
        <v>1376</v>
      </c>
    </row>
    <row r="82" spans="1:9" hidden="1">
      <c r="A82" s="23">
        <v>83</v>
      </c>
      <c r="B82" s="84">
        <v>45748</v>
      </c>
      <c r="C82" s="23" t="s">
        <v>228</v>
      </c>
      <c r="D82" s="23" t="s">
        <v>226</v>
      </c>
      <c r="G82" s="23">
        <v>0</v>
      </c>
      <c r="I82" s="217" t="s">
        <v>1377</v>
      </c>
    </row>
    <row r="83" spans="1:9" hidden="1">
      <c r="A83" s="23">
        <v>84</v>
      </c>
      <c r="B83" s="84">
        <v>45748</v>
      </c>
      <c r="C83" s="23" t="s">
        <v>231</v>
      </c>
      <c r="D83" s="23" t="s">
        <v>229</v>
      </c>
      <c r="G83" s="23">
        <v>0</v>
      </c>
      <c r="I83" s="217" t="s">
        <v>1378</v>
      </c>
    </row>
    <row r="84" spans="1:9" hidden="1">
      <c r="A84" s="23">
        <v>85</v>
      </c>
      <c r="B84" s="84">
        <v>45748</v>
      </c>
      <c r="C84" s="23" t="s">
        <v>233</v>
      </c>
      <c r="D84" s="23" t="s">
        <v>232</v>
      </c>
      <c r="G84" s="23">
        <v>0</v>
      </c>
      <c r="I84" s="217" t="s">
        <v>1379</v>
      </c>
    </row>
    <row r="85" spans="1:9" hidden="1">
      <c r="A85" s="23">
        <v>86</v>
      </c>
      <c r="B85" s="434">
        <v>45748</v>
      </c>
      <c r="C85" s="435" t="s">
        <v>237</v>
      </c>
      <c r="D85" s="435" t="s">
        <v>236</v>
      </c>
      <c r="G85" s="23">
        <v>0.7</v>
      </c>
      <c r="I85" s="217" t="s">
        <v>1380</v>
      </c>
    </row>
    <row r="86" spans="1:9" hidden="1">
      <c r="A86" s="23">
        <v>87</v>
      </c>
      <c r="B86" s="434">
        <v>45748</v>
      </c>
      <c r="C86" s="435" t="s">
        <v>240</v>
      </c>
      <c r="D86" s="435" t="s">
        <v>239</v>
      </c>
      <c r="G86" s="23">
        <v>0.7</v>
      </c>
      <c r="I86" s="217" t="s">
        <v>1381</v>
      </c>
    </row>
    <row r="87" spans="1:9" hidden="1">
      <c r="A87" s="23">
        <v>88</v>
      </c>
      <c r="B87" s="434">
        <v>45748</v>
      </c>
      <c r="C87" s="435" t="s">
        <v>235</v>
      </c>
      <c r="D87" s="435" t="s">
        <v>242</v>
      </c>
      <c r="G87" s="23">
        <v>0.5</v>
      </c>
      <c r="I87" s="217" t="s">
        <v>1382</v>
      </c>
    </row>
    <row r="88" spans="1:9" hidden="1">
      <c r="A88" s="23">
        <v>89</v>
      </c>
      <c r="B88" s="434">
        <v>45748</v>
      </c>
      <c r="C88" s="435" t="s">
        <v>238</v>
      </c>
      <c r="D88" s="435" t="s">
        <v>236</v>
      </c>
      <c r="G88" s="23">
        <v>0</v>
      </c>
      <c r="I88" s="217" t="s">
        <v>1383</v>
      </c>
    </row>
    <row r="89" spans="1:9" hidden="1">
      <c r="A89" s="23">
        <v>90</v>
      </c>
      <c r="B89" s="434">
        <v>45748</v>
      </c>
      <c r="C89" s="435" t="s">
        <v>241</v>
      </c>
      <c r="D89" s="435" t="s">
        <v>214</v>
      </c>
      <c r="G89" s="23">
        <v>0.44</v>
      </c>
      <c r="I89" s="217" t="s">
        <v>1384</v>
      </c>
    </row>
    <row r="90" spans="1:9" hidden="1">
      <c r="A90" s="23">
        <v>91</v>
      </c>
      <c r="B90" s="434">
        <v>45748</v>
      </c>
      <c r="C90" s="435" t="s">
        <v>213</v>
      </c>
      <c r="D90" s="435" t="s">
        <v>211</v>
      </c>
      <c r="G90" s="23">
        <v>0</v>
      </c>
      <c r="I90" s="217" t="s">
        <v>1385</v>
      </c>
    </row>
    <row r="91" spans="1:9" hidden="1">
      <c r="A91" s="23">
        <v>92</v>
      </c>
      <c r="B91" s="434">
        <v>45748</v>
      </c>
      <c r="C91" s="435" t="s">
        <v>241</v>
      </c>
      <c r="D91" s="435" t="s">
        <v>239</v>
      </c>
      <c r="G91" s="23">
        <v>0</v>
      </c>
      <c r="I91" s="217" t="s">
        <v>1386</v>
      </c>
    </row>
    <row r="92" spans="1:9" hidden="1">
      <c r="A92" s="23">
        <v>93</v>
      </c>
      <c r="B92" s="84">
        <v>45748</v>
      </c>
      <c r="C92" s="23" t="s">
        <v>165</v>
      </c>
      <c r="D92" s="23" t="s">
        <v>183</v>
      </c>
      <c r="G92" s="23">
        <v>0</v>
      </c>
      <c r="I92" s="217" t="s">
        <v>1387</v>
      </c>
    </row>
    <row r="93" spans="1:9" hidden="1">
      <c r="A93" s="23">
        <v>94</v>
      </c>
      <c r="B93" s="434">
        <v>45748</v>
      </c>
      <c r="C93" s="435" t="s">
        <v>246</v>
      </c>
      <c r="D93" s="435" t="s">
        <v>245</v>
      </c>
      <c r="G93" s="23">
        <v>0.7</v>
      </c>
      <c r="I93" s="217" t="s">
        <v>1388</v>
      </c>
    </row>
    <row r="94" spans="1:9" hidden="1">
      <c r="A94" s="23">
        <v>95</v>
      </c>
      <c r="B94" s="434">
        <v>45748</v>
      </c>
      <c r="C94" s="435" t="s">
        <v>235</v>
      </c>
      <c r="D94" s="435" t="s">
        <v>234</v>
      </c>
      <c r="G94" s="23">
        <v>0</v>
      </c>
      <c r="I94" s="217" t="s">
        <v>1389</v>
      </c>
    </row>
    <row r="95" spans="1:9" hidden="1">
      <c r="A95" s="23">
        <v>96</v>
      </c>
      <c r="B95" s="84">
        <v>45748</v>
      </c>
      <c r="C95" s="23" t="s">
        <v>247</v>
      </c>
      <c r="D95" s="23" t="s">
        <v>245</v>
      </c>
      <c r="G95" s="23">
        <v>0</v>
      </c>
      <c r="I95" s="217" t="s">
        <v>1390</v>
      </c>
    </row>
    <row r="96" spans="1:9">
      <c r="A96" s="23">
        <v>97</v>
      </c>
      <c r="B96" s="84">
        <v>45748</v>
      </c>
      <c r="C96" s="23" t="s">
        <v>249</v>
      </c>
      <c r="D96" s="23" t="s">
        <v>248</v>
      </c>
      <c r="G96" s="23">
        <v>1.5</v>
      </c>
      <c r="I96" s="217" t="s">
        <v>1391</v>
      </c>
    </row>
    <row r="97" spans="1:9" hidden="1">
      <c r="A97" s="23">
        <v>98</v>
      </c>
      <c r="B97" s="84">
        <v>45748</v>
      </c>
      <c r="C97" s="23" t="s">
        <v>243</v>
      </c>
      <c r="D97" s="23" t="s">
        <v>242</v>
      </c>
      <c r="G97" s="23" t="s">
        <v>9</v>
      </c>
      <c r="I97" s="217" t="s">
        <v>1392</v>
      </c>
    </row>
    <row r="98" spans="1:9" hidden="1">
      <c r="A98" s="23">
        <v>99</v>
      </c>
      <c r="B98" s="84">
        <v>45748</v>
      </c>
      <c r="C98" s="23" t="s">
        <v>253</v>
      </c>
      <c r="D98" s="23" t="s">
        <v>239</v>
      </c>
      <c r="G98" s="23">
        <v>0.7</v>
      </c>
      <c r="I98" s="217" t="s">
        <v>1393</v>
      </c>
    </row>
    <row r="99" spans="1:9" hidden="1">
      <c r="A99" s="23">
        <v>100</v>
      </c>
      <c r="B99" s="84">
        <v>45748</v>
      </c>
      <c r="C99" s="23" t="s">
        <v>255</v>
      </c>
      <c r="D99" s="23" t="s">
        <v>236</v>
      </c>
      <c r="G99" s="23">
        <v>0.7</v>
      </c>
      <c r="I99" s="217" t="s">
        <v>1394</v>
      </c>
    </row>
    <row r="100" spans="1:9" hidden="1">
      <c r="A100" s="23">
        <v>101</v>
      </c>
      <c r="B100" s="84">
        <v>45748</v>
      </c>
      <c r="C100" s="23" t="s">
        <v>257</v>
      </c>
      <c r="D100" s="23" t="s">
        <v>232</v>
      </c>
      <c r="G100" s="23">
        <v>0.7</v>
      </c>
      <c r="I100" s="217" t="s">
        <v>1395</v>
      </c>
    </row>
    <row r="101" spans="1:9" hidden="1">
      <c r="A101" s="23">
        <v>102</v>
      </c>
      <c r="B101" s="84">
        <v>45748</v>
      </c>
      <c r="C101" s="23" t="s">
        <v>259</v>
      </c>
      <c r="D101" s="23" t="s">
        <v>234</v>
      </c>
      <c r="G101" s="23">
        <v>0.7</v>
      </c>
      <c r="I101" s="217" t="s">
        <v>1396</v>
      </c>
    </row>
    <row r="102" spans="1:9" hidden="1">
      <c r="A102" s="23">
        <v>103</v>
      </c>
      <c r="B102" s="84">
        <v>45748</v>
      </c>
      <c r="C102" s="23" t="s">
        <v>259</v>
      </c>
      <c r="D102" s="23" t="s">
        <v>229</v>
      </c>
      <c r="G102" s="23">
        <v>0.7</v>
      </c>
      <c r="I102" s="217" t="s">
        <v>1397</v>
      </c>
    </row>
    <row r="103" spans="1:9" hidden="1">
      <c r="A103" s="23">
        <v>104</v>
      </c>
      <c r="B103" s="84">
        <v>45748</v>
      </c>
      <c r="C103" s="23" t="s">
        <v>260</v>
      </c>
      <c r="D103" s="23" t="s">
        <v>186</v>
      </c>
      <c r="G103" s="23">
        <v>1</v>
      </c>
      <c r="I103" s="217" t="s">
        <v>1398</v>
      </c>
    </row>
    <row r="104" spans="1:9" hidden="1">
      <c r="A104" s="23">
        <v>104</v>
      </c>
      <c r="B104" s="84">
        <v>45748</v>
      </c>
      <c r="C104" s="23" t="s">
        <v>251</v>
      </c>
      <c r="D104" s="23" t="s">
        <v>242</v>
      </c>
      <c r="G104" s="23">
        <v>0.5</v>
      </c>
      <c r="I104" s="217" t="s">
        <v>1399</v>
      </c>
    </row>
    <row r="105" spans="1:9" hidden="1">
      <c r="A105" s="23">
        <v>105</v>
      </c>
      <c r="B105" s="84">
        <v>45748</v>
      </c>
      <c r="C105" s="23" t="s">
        <v>265</v>
      </c>
      <c r="D105" s="23" t="s">
        <v>183</v>
      </c>
      <c r="G105" s="23">
        <v>1</v>
      </c>
      <c r="I105" s="217" t="s">
        <v>1400</v>
      </c>
    </row>
    <row r="106" spans="1:9" hidden="1">
      <c r="A106" s="23">
        <v>106</v>
      </c>
      <c r="B106" s="84">
        <v>45748</v>
      </c>
      <c r="C106" s="23" t="s">
        <v>254</v>
      </c>
      <c r="D106" s="23" t="s">
        <v>229</v>
      </c>
      <c r="G106" s="23">
        <v>0</v>
      </c>
      <c r="I106" s="217" t="s">
        <v>1401</v>
      </c>
    </row>
    <row r="107" spans="1:9" hidden="1">
      <c r="A107" s="23">
        <v>107</v>
      </c>
      <c r="B107" s="84">
        <v>45748</v>
      </c>
      <c r="C107" s="23" t="s">
        <v>254</v>
      </c>
      <c r="D107" s="23" t="s">
        <v>239</v>
      </c>
      <c r="G107" s="23">
        <v>0</v>
      </c>
      <c r="I107" s="217" t="s">
        <v>1402</v>
      </c>
    </row>
    <row r="108" spans="1:9" hidden="1">
      <c r="A108" s="23">
        <v>108</v>
      </c>
      <c r="B108" s="84">
        <v>45748</v>
      </c>
      <c r="C108" s="23" t="s">
        <v>258</v>
      </c>
      <c r="D108" s="23" t="s">
        <v>232</v>
      </c>
      <c r="G108" s="23">
        <v>0</v>
      </c>
      <c r="I108" s="217" t="s">
        <v>1403</v>
      </c>
    </row>
    <row r="109" spans="1:9" hidden="1">
      <c r="A109" s="23">
        <v>109</v>
      </c>
      <c r="B109" s="84">
        <v>45748</v>
      </c>
      <c r="C109" s="23" t="s">
        <v>258</v>
      </c>
      <c r="D109" s="23" t="s">
        <v>234</v>
      </c>
      <c r="G109" s="23">
        <v>0</v>
      </c>
      <c r="I109" s="217" t="s">
        <v>1404</v>
      </c>
    </row>
    <row r="110" spans="1:9" hidden="1">
      <c r="A110" s="23">
        <v>110</v>
      </c>
      <c r="B110" s="84">
        <v>45748</v>
      </c>
      <c r="C110" s="23" t="s">
        <v>256</v>
      </c>
      <c r="D110" s="23" t="s">
        <v>236</v>
      </c>
      <c r="G110" s="23">
        <v>0</v>
      </c>
      <c r="I110" s="217" t="s">
        <v>1405</v>
      </c>
    </row>
    <row r="111" spans="1:9" hidden="1">
      <c r="A111" s="23">
        <v>111</v>
      </c>
      <c r="B111" s="84">
        <v>45748</v>
      </c>
      <c r="C111" s="23" t="s">
        <v>267</v>
      </c>
      <c r="D111" s="23" t="s">
        <v>229</v>
      </c>
      <c r="G111" s="23">
        <v>0.7</v>
      </c>
      <c r="I111" s="217" t="s">
        <v>1406</v>
      </c>
    </row>
    <row r="112" spans="1:9" hidden="1">
      <c r="A112" s="23">
        <v>112</v>
      </c>
      <c r="B112" s="84">
        <v>45748</v>
      </c>
      <c r="C112" s="23" t="s">
        <v>269</v>
      </c>
      <c r="D112" s="23" t="s">
        <v>245</v>
      </c>
      <c r="G112" s="23">
        <v>0.7</v>
      </c>
      <c r="I112" s="217" t="s">
        <v>1407</v>
      </c>
    </row>
    <row r="113" spans="1:9" hidden="1">
      <c r="A113" s="23">
        <v>113</v>
      </c>
      <c r="B113" s="84">
        <v>45748</v>
      </c>
      <c r="C113" s="23" t="s">
        <v>271</v>
      </c>
      <c r="D113" s="23" t="s">
        <v>232</v>
      </c>
      <c r="G113" s="23">
        <v>0.7</v>
      </c>
      <c r="I113" s="217" t="s">
        <v>1408</v>
      </c>
    </row>
    <row r="114" spans="1:9" hidden="1">
      <c r="A114" s="23">
        <v>114</v>
      </c>
      <c r="B114" s="84">
        <v>45748</v>
      </c>
      <c r="C114" s="23" t="s">
        <v>270</v>
      </c>
      <c r="D114" s="23" t="s">
        <v>245</v>
      </c>
      <c r="G114" s="23">
        <v>0</v>
      </c>
      <c r="I114" s="217" t="s">
        <v>1406</v>
      </c>
    </row>
    <row r="115" spans="1:9" hidden="1">
      <c r="A115" s="23">
        <v>115</v>
      </c>
      <c r="B115" s="84">
        <v>45748</v>
      </c>
      <c r="C115" s="23" t="s">
        <v>273</v>
      </c>
      <c r="D115" s="23" t="s">
        <v>234</v>
      </c>
      <c r="G115" s="23">
        <v>0.7</v>
      </c>
      <c r="I115" s="217" t="s">
        <v>1409</v>
      </c>
    </row>
    <row r="116" spans="1:9" hidden="1">
      <c r="A116" s="23">
        <v>116</v>
      </c>
      <c r="B116" s="84">
        <v>45748</v>
      </c>
      <c r="C116" s="23" t="s">
        <v>268</v>
      </c>
      <c r="D116" s="23" t="s">
        <v>229</v>
      </c>
      <c r="G116" s="23">
        <v>0</v>
      </c>
      <c r="I116" s="217" t="s">
        <v>1410</v>
      </c>
    </row>
    <row r="117" spans="1:9" hidden="1">
      <c r="A117" s="23">
        <v>117</v>
      </c>
      <c r="B117" s="84">
        <v>45748</v>
      </c>
      <c r="C117" s="23" t="s">
        <v>272</v>
      </c>
      <c r="D117" s="23" t="s">
        <v>232</v>
      </c>
      <c r="G117" s="23">
        <v>0</v>
      </c>
      <c r="I117" s="217" t="s">
        <v>1411</v>
      </c>
    </row>
    <row r="118" spans="1:9" hidden="1">
      <c r="A118" s="23">
        <v>118</v>
      </c>
      <c r="B118" s="84">
        <v>45748</v>
      </c>
      <c r="C118" s="23" t="s">
        <v>272</v>
      </c>
      <c r="D118" s="23" t="s">
        <v>234</v>
      </c>
      <c r="G118" s="23">
        <v>0</v>
      </c>
      <c r="I118" s="217" t="s">
        <v>1412</v>
      </c>
    </row>
    <row r="119" spans="1:9" hidden="1">
      <c r="A119" s="23">
        <v>119</v>
      </c>
      <c r="B119" s="84">
        <v>45748</v>
      </c>
      <c r="C119" s="23" t="s">
        <v>274</v>
      </c>
      <c r="D119" s="23" t="s">
        <v>211</v>
      </c>
      <c r="G119" s="23">
        <v>0.63</v>
      </c>
      <c r="I119" s="217" t="s">
        <v>1413</v>
      </c>
    </row>
    <row r="120" spans="1:9" hidden="1">
      <c r="A120" s="23">
        <v>120</v>
      </c>
      <c r="B120" s="84">
        <v>45748</v>
      </c>
      <c r="C120" s="23" t="s">
        <v>224</v>
      </c>
      <c r="D120" s="23" t="s">
        <v>220</v>
      </c>
      <c r="G120" s="23">
        <v>0</v>
      </c>
      <c r="I120" s="217" t="s">
        <v>1414</v>
      </c>
    </row>
    <row r="121" spans="1:9">
      <c r="A121" s="23">
        <v>121</v>
      </c>
      <c r="B121" s="84">
        <v>45748</v>
      </c>
      <c r="C121" s="23" t="s">
        <v>275</v>
      </c>
      <c r="D121" s="23" t="s">
        <v>177</v>
      </c>
      <c r="G121" s="23">
        <v>0.5</v>
      </c>
      <c r="I121" s="217" t="s">
        <v>1415</v>
      </c>
    </row>
    <row r="122" spans="1:9" hidden="1">
      <c r="A122" s="23">
        <v>122</v>
      </c>
      <c r="B122" s="84">
        <v>45748</v>
      </c>
      <c r="C122" s="23" t="s">
        <v>277</v>
      </c>
      <c r="D122" s="23" t="s">
        <v>236</v>
      </c>
      <c r="G122" s="23">
        <v>0.7</v>
      </c>
      <c r="I122" s="217" t="s">
        <v>1416</v>
      </c>
    </row>
    <row r="123" spans="1:9" hidden="1">
      <c r="A123" s="23">
        <v>123</v>
      </c>
      <c r="B123" s="84">
        <v>45748</v>
      </c>
      <c r="C123" s="23" t="s">
        <v>278</v>
      </c>
      <c r="D123" s="23" t="s">
        <v>236</v>
      </c>
      <c r="G123" s="23">
        <v>0</v>
      </c>
      <c r="I123" s="217" t="s">
        <v>1417</v>
      </c>
    </row>
    <row r="124" spans="1:9" hidden="1">
      <c r="A124" s="23">
        <v>124</v>
      </c>
      <c r="B124" s="84">
        <v>45748</v>
      </c>
      <c r="C124" s="23" t="s">
        <v>280</v>
      </c>
      <c r="D124" s="23" t="s">
        <v>279</v>
      </c>
      <c r="G124" s="23">
        <v>0.4</v>
      </c>
      <c r="I124" s="217" t="s">
        <v>1418</v>
      </c>
    </row>
    <row r="125" spans="1:9" hidden="1">
      <c r="A125" s="23">
        <v>125</v>
      </c>
      <c r="B125" s="84">
        <v>45748</v>
      </c>
      <c r="C125" s="23" t="s">
        <v>281</v>
      </c>
      <c r="D125" s="23" t="s">
        <v>279</v>
      </c>
      <c r="G125" s="23">
        <v>0</v>
      </c>
      <c r="I125" s="217" t="s">
        <v>1418</v>
      </c>
    </row>
    <row r="126" spans="1:9" hidden="1">
      <c r="A126" s="23">
        <v>126</v>
      </c>
      <c r="B126" s="84">
        <v>45748</v>
      </c>
      <c r="C126" s="23" t="s">
        <v>282</v>
      </c>
      <c r="D126" s="23" t="s">
        <v>279</v>
      </c>
      <c r="G126" s="23">
        <v>1.4</v>
      </c>
      <c r="I126" s="217" t="s">
        <v>1294</v>
      </c>
    </row>
    <row r="127" spans="1:9" hidden="1">
      <c r="A127" s="23">
        <v>127</v>
      </c>
      <c r="B127" s="84">
        <v>45748</v>
      </c>
      <c r="C127" s="23" t="s">
        <v>283</v>
      </c>
      <c r="D127" s="23" t="s">
        <v>279</v>
      </c>
      <c r="G127" s="23">
        <v>0</v>
      </c>
      <c r="I127" s="217" t="s">
        <v>1418</v>
      </c>
    </row>
    <row r="128" spans="1:9" hidden="1">
      <c r="A128" s="23">
        <v>128</v>
      </c>
      <c r="B128" s="84">
        <v>45748</v>
      </c>
      <c r="C128" s="23" t="s">
        <v>284</v>
      </c>
      <c r="D128" s="23" t="s">
        <v>225</v>
      </c>
      <c r="G128" s="23">
        <v>0.77</v>
      </c>
      <c r="I128" s="217" t="s">
        <v>1419</v>
      </c>
    </row>
    <row r="129" spans="1:9" hidden="1">
      <c r="A129" s="23">
        <v>129</v>
      </c>
      <c r="B129" s="84">
        <v>45748</v>
      </c>
      <c r="C129" s="23" t="s">
        <v>219</v>
      </c>
      <c r="D129" s="23" t="s">
        <v>217</v>
      </c>
      <c r="G129" s="23">
        <v>0</v>
      </c>
      <c r="I129" s="217" t="s">
        <v>1420</v>
      </c>
    </row>
    <row r="130" spans="1:9" hidden="1">
      <c r="A130" s="23">
        <v>130</v>
      </c>
      <c r="B130" s="84">
        <v>45748</v>
      </c>
      <c r="C130" s="23" t="s">
        <v>212</v>
      </c>
      <c r="D130" s="23" t="s">
        <v>217</v>
      </c>
      <c r="G130" s="23">
        <v>1.03</v>
      </c>
      <c r="I130" s="217" t="s">
        <v>1421</v>
      </c>
    </row>
    <row r="131" spans="1:9" hidden="1">
      <c r="A131" s="23">
        <v>131</v>
      </c>
      <c r="B131" s="84">
        <v>45748</v>
      </c>
      <c r="C131" s="23" t="s">
        <v>222</v>
      </c>
      <c r="D131" s="23" t="s">
        <v>225</v>
      </c>
      <c r="G131" s="23">
        <v>0</v>
      </c>
      <c r="I131" s="217" t="s">
        <v>1422</v>
      </c>
    </row>
    <row r="132" spans="1:9" hidden="1">
      <c r="A132" s="23">
        <v>132</v>
      </c>
      <c r="B132" s="84">
        <v>45748</v>
      </c>
      <c r="C132" s="23" t="s">
        <v>212</v>
      </c>
      <c r="D132" s="23" t="s">
        <v>220</v>
      </c>
      <c r="G132" s="23">
        <v>0.8</v>
      </c>
      <c r="I132" s="217" t="s">
        <v>1423</v>
      </c>
    </row>
    <row r="133" spans="1:9" hidden="1">
      <c r="A133" s="23">
        <v>133</v>
      </c>
      <c r="B133" s="84">
        <v>45748</v>
      </c>
      <c r="C133" s="23" t="s">
        <v>244</v>
      </c>
      <c r="D133" s="23" t="s">
        <v>214</v>
      </c>
      <c r="G133" s="23">
        <v>0</v>
      </c>
      <c r="I133" s="217" t="s">
        <v>1424</v>
      </c>
    </row>
    <row r="134" spans="1:9" hidden="1">
      <c r="A134" s="23">
        <v>134</v>
      </c>
      <c r="B134" s="84">
        <v>45748</v>
      </c>
      <c r="C134" s="23" t="s">
        <v>285</v>
      </c>
      <c r="D134" s="23" t="s">
        <v>214</v>
      </c>
      <c r="G134" s="23">
        <v>0.8</v>
      </c>
      <c r="I134" s="217" t="s">
        <v>1425</v>
      </c>
    </row>
    <row r="135" spans="1:9" hidden="1">
      <c r="A135" s="23">
        <v>135</v>
      </c>
      <c r="B135" s="84">
        <v>45748</v>
      </c>
      <c r="C135" s="23" t="s">
        <v>287</v>
      </c>
      <c r="D135" s="23" t="s">
        <v>279</v>
      </c>
      <c r="G135" s="23">
        <v>0.5</v>
      </c>
      <c r="I135" s="217" t="s">
        <v>1426</v>
      </c>
    </row>
    <row r="136" spans="1:9" hidden="1">
      <c r="A136" s="23">
        <v>136</v>
      </c>
      <c r="B136" s="84">
        <v>45748</v>
      </c>
      <c r="C136" s="23" t="s">
        <v>288</v>
      </c>
      <c r="D136" s="23" t="s">
        <v>279</v>
      </c>
      <c r="G136" s="23">
        <v>0</v>
      </c>
      <c r="I136" s="217" t="s">
        <v>1426</v>
      </c>
    </row>
    <row r="137" spans="1:9" hidden="1">
      <c r="A137" s="23">
        <v>137</v>
      </c>
      <c r="B137" s="84">
        <v>45748</v>
      </c>
      <c r="C137" s="23" t="s">
        <v>289</v>
      </c>
      <c r="D137" s="23" t="s">
        <v>239</v>
      </c>
      <c r="G137" s="23">
        <v>0.7</v>
      </c>
      <c r="I137" s="217" t="s">
        <v>1427</v>
      </c>
    </row>
    <row r="138" spans="1:9" hidden="1">
      <c r="A138" s="23">
        <v>138</v>
      </c>
      <c r="B138" s="84">
        <v>45748</v>
      </c>
      <c r="C138" s="23" t="s">
        <v>289</v>
      </c>
      <c r="D138" s="23" t="s">
        <v>226</v>
      </c>
      <c r="G138" s="23">
        <v>0.7</v>
      </c>
      <c r="I138" s="217" t="s">
        <v>1428</v>
      </c>
    </row>
    <row r="139" spans="1:9" hidden="1">
      <c r="A139" s="23">
        <v>139</v>
      </c>
      <c r="B139" s="84">
        <v>45748</v>
      </c>
      <c r="C139" s="23" t="s">
        <v>289</v>
      </c>
      <c r="D139" s="23" t="s">
        <v>245</v>
      </c>
      <c r="G139" s="23">
        <v>0.7</v>
      </c>
      <c r="I139" s="217" t="s">
        <v>1429</v>
      </c>
    </row>
    <row r="140" spans="1:9" hidden="1">
      <c r="A140" s="23">
        <v>140</v>
      </c>
      <c r="B140" s="84">
        <v>45748</v>
      </c>
      <c r="C140" s="23" t="s">
        <v>264</v>
      </c>
      <c r="D140" s="23" t="s">
        <v>242</v>
      </c>
      <c r="G140" s="23">
        <v>0</v>
      </c>
      <c r="I140" s="217" t="s">
        <v>1430</v>
      </c>
    </row>
    <row r="141" spans="1:9" hidden="1">
      <c r="A141" s="23">
        <v>141</v>
      </c>
      <c r="B141" s="84">
        <v>45748</v>
      </c>
      <c r="C141" s="23" t="s">
        <v>264</v>
      </c>
      <c r="D141" s="23" t="s">
        <v>242</v>
      </c>
      <c r="G141" s="23" t="s">
        <v>9</v>
      </c>
      <c r="I141" s="217" t="s">
        <v>1294</v>
      </c>
    </row>
    <row r="142" spans="1:9" hidden="1">
      <c r="A142" s="23">
        <v>142</v>
      </c>
      <c r="B142" s="84">
        <v>45748</v>
      </c>
      <c r="C142" s="23" t="s">
        <v>296</v>
      </c>
      <c r="D142" s="23" t="s">
        <v>229</v>
      </c>
      <c r="G142" s="23">
        <v>0.7</v>
      </c>
      <c r="I142" s="217" t="s">
        <v>1431</v>
      </c>
    </row>
    <row r="143" spans="1:9" hidden="1">
      <c r="A143" s="23">
        <v>143</v>
      </c>
      <c r="B143" s="84">
        <v>45748</v>
      </c>
      <c r="C143" s="23" t="s">
        <v>296</v>
      </c>
      <c r="D143" s="23" t="s">
        <v>232</v>
      </c>
      <c r="G143" s="23">
        <v>0.7</v>
      </c>
      <c r="I143" s="217" t="s">
        <v>1432</v>
      </c>
    </row>
    <row r="144" spans="1:9" hidden="1">
      <c r="A144" s="23">
        <v>144</v>
      </c>
      <c r="B144" s="84">
        <v>45748</v>
      </c>
      <c r="C144" s="23" t="s">
        <v>290</v>
      </c>
      <c r="D144" s="23" t="s">
        <v>239</v>
      </c>
      <c r="G144" s="23">
        <v>0</v>
      </c>
      <c r="I144" s="217" t="s">
        <v>1427</v>
      </c>
    </row>
    <row r="145" spans="1:9" hidden="1">
      <c r="A145" s="23">
        <v>145</v>
      </c>
      <c r="B145" s="84">
        <v>45748</v>
      </c>
      <c r="C145" s="23" t="s">
        <v>292</v>
      </c>
      <c r="D145" s="23" t="s">
        <v>245</v>
      </c>
      <c r="G145" s="23">
        <v>0</v>
      </c>
      <c r="I145" s="217" t="s">
        <v>1429</v>
      </c>
    </row>
    <row r="146" spans="1:9" hidden="1">
      <c r="A146" s="23">
        <v>146</v>
      </c>
      <c r="B146" s="84">
        <v>45748</v>
      </c>
      <c r="C146" s="23" t="s">
        <v>291</v>
      </c>
      <c r="D146" s="23" t="s">
        <v>226</v>
      </c>
      <c r="G146" s="23">
        <v>0</v>
      </c>
      <c r="I146" s="217" t="s">
        <v>1433</v>
      </c>
    </row>
    <row r="147" spans="1:9" hidden="1">
      <c r="A147" s="23">
        <v>147</v>
      </c>
      <c r="B147" s="84">
        <v>45748</v>
      </c>
      <c r="C147" s="23" t="s">
        <v>297</v>
      </c>
      <c r="D147" s="23" t="s">
        <v>229</v>
      </c>
      <c r="G147" s="23">
        <v>0</v>
      </c>
      <c r="I147" s="217" t="s">
        <v>1434</v>
      </c>
    </row>
    <row r="148" spans="1:9" hidden="1">
      <c r="A148" s="23">
        <v>148</v>
      </c>
      <c r="B148" s="84">
        <v>45748</v>
      </c>
      <c r="C148" s="23" t="s">
        <v>298</v>
      </c>
      <c r="D148" s="23" t="s">
        <v>232</v>
      </c>
      <c r="G148" s="23">
        <v>0</v>
      </c>
      <c r="I148" s="217" t="s">
        <v>1435</v>
      </c>
    </row>
    <row r="149" spans="1:9" hidden="1">
      <c r="A149" s="23">
        <v>149</v>
      </c>
      <c r="B149" s="84">
        <v>45748</v>
      </c>
      <c r="C149" s="23" t="s">
        <v>299</v>
      </c>
      <c r="D149" s="23" t="s">
        <v>232</v>
      </c>
      <c r="G149" s="23">
        <v>0.7</v>
      </c>
      <c r="I149" s="217" t="s">
        <v>1436</v>
      </c>
    </row>
    <row r="150" spans="1:9" hidden="1">
      <c r="A150" s="23">
        <v>150</v>
      </c>
      <c r="B150" s="84">
        <v>45748</v>
      </c>
      <c r="C150" s="23" t="s">
        <v>299</v>
      </c>
      <c r="D150" s="23" t="s">
        <v>239</v>
      </c>
      <c r="G150" s="23">
        <v>0.7</v>
      </c>
      <c r="I150" s="217" t="s">
        <v>1437</v>
      </c>
    </row>
    <row r="151" spans="1:9" hidden="1">
      <c r="A151" s="23">
        <v>151</v>
      </c>
      <c r="B151" s="84">
        <v>45748</v>
      </c>
      <c r="C151" s="23" t="s">
        <v>299</v>
      </c>
      <c r="D151" s="23" t="s">
        <v>234</v>
      </c>
      <c r="G151" s="23">
        <v>0.7</v>
      </c>
      <c r="I151" s="217" t="s">
        <v>1438</v>
      </c>
    </row>
    <row r="152" spans="1:9" hidden="1">
      <c r="A152" s="23">
        <v>152</v>
      </c>
      <c r="B152" s="84">
        <v>45748</v>
      </c>
      <c r="C152" s="23" t="s">
        <v>299</v>
      </c>
      <c r="D152" s="23" t="s">
        <v>236</v>
      </c>
      <c r="G152" s="23">
        <v>0.7</v>
      </c>
      <c r="I152" s="217" t="s">
        <v>1439</v>
      </c>
    </row>
    <row r="153" spans="1:9">
      <c r="A153" s="23">
        <v>153</v>
      </c>
      <c r="B153" s="84">
        <v>45748</v>
      </c>
      <c r="C153" s="23" t="s">
        <v>250</v>
      </c>
      <c r="D153" s="23" t="s">
        <v>248</v>
      </c>
      <c r="G153" s="23">
        <v>0</v>
      </c>
      <c r="I153" s="217" t="s">
        <v>1440</v>
      </c>
    </row>
    <row r="154" spans="1:9" hidden="1">
      <c r="A154" s="23">
        <v>154</v>
      </c>
      <c r="B154" s="84">
        <v>45748</v>
      </c>
      <c r="C154" s="23" t="s">
        <v>301</v>
      </c>
      <c r="D154" s="23" t="s">
        <v>239</v>
      </c>
      <c r="G154" s="23">
        <v>0</v>
      </c>
      <c r="I154" s="217" t="s">
        <v>1437</v>
      </c>
    </row>
    <row r="155" spans="1:9" hidden="1">
      <c r="A155" s="23">
        <v>155</v>
      </c>
      <c r="B155" s="84">
        <v>45748</v>
      </c>
      <c r="C155" s="23" t="s">
        <v>300</v>
      </c>
      <c r="D155" s="23" t="s">
        <v>232</v>
      </c>
      <c r="G155" s="23">
        <v>0</v>
      </c>
      <c r="I155" s="217" t="s">
        <v>1436</v>
      </c>
    </row>
    <row r="156" spans="1:9" hidden="1">
      <c r="A156" s="23">
        <v>156</v>
      </c>
      <c r="B156" s="84">
        <v>45748</v>
      </c>
      <c r="C156" s="23" t="s">
        <v>302</v>
      </c>
      <c r="D156" s="23" t="s">
        <v>234</v>
      </c>
      <c r="G156" s="23">
        <v>0</v>
      </c>
      <c r="I156" s="217" t="s">
        <v>1438</v>
      </c>
    </row>
    <row r="157" spans="1:9" hidden="1">
      <c r="A157" s="23">
        <v>157</v>
      </c>
      <c r="B157" s="84">
        <v>45748</v>
      </c>
      <c r="C157" s="23" t="s">
        <v>286</v>
      </c>
      <c r="D157" s="23" t="s">
        <v>214</v>
      </c>
      <c r="G157" s="23">
        <v>0</v>
      </c>
      <c r="I157" s="217" t="s">
        <v>1441</v>
      </c>
    </row>
    <row r="158" spans="1:9" hidden="1">
      <c r="A158" s="23">
        <v>158</v>
      </c>
      <c r="B158" s="84">
        <v>45748</v>
      </c>
      <c r="C158" s="23" t="s">
        <v>303</v>
      </c>
      <c r="D158" s="23" t="s">
        <v>236</v>
      </c>
      <c r="G158" s="23">
        <v>0</v>
      </c>
      <c r="I158" s="217" t="s">
        <v>1442</v>
      </c>
    </row>
    <row r="159" spans="1:9" hidden="1">
      <c r="A159" s="23">
        <v>159</v>
      </c>
      <c r="B159" s="84">
        <v>45748</v>
      </c>
      <c r="C159" s="23" t="s">
        <v>261</v>
      </c>
      <c r="D159" s="23" t="s">
        <v>186</v>
      </c>
      <c r="G159" s="23">
        <v>0</v>
      </c>
      <c r="I159" s="217" t="s">
        <v>1443</v>
      </c>
    </row>
    <row r="160" spans="1:9" hidden="1">
      <c r="A160" s="23">
        <v>160</v>
      </c>
      <c r="B160" s="84">
        <v>45748</v>
      </c>
      <c r="C160" s="23" t="s">
        <v>304</v>
      </c>
      <c r="D160" s="23" t="s">
        <v>236</v>
      </c>
      <c r="G160" s="23">
        <v>0.7</v>
      </c>
      <c r="I160" s="217" t="s">
        <v>1294</v>
      </c>
    </row>
    <row r="161" spans="1:9" hidden="1">
      <c r="A161" s="23">
        <v>161</v>
      </c>
      <c r="B161" s="84">
        <v>45749</v>
      </c>
      <c r="C161" s="23" t="s">
        <v>305</v>
      </c>
      <c r="D161" s="23" t="s">
        <v>236</v>
      </c>
      <c r="G161" s="23">
        <v>0</v>
      </c>
      <c r="I161" s="217" t="s">
        <v>1444</v>
      </c>
    </row>
    <row r="162" spans="1:9" hidden="1">
      <c r="A162" s="23">
        <v>162</v>
      </c>
      <c r="B162" s="84">
        <v>45749</v>
      </c>
      <c r="C162" s="23" t="s">
        <v>223</v>
      </c>
      <c r="D162" s="23" t="s">
        <v>214</v>
      </c>
      <c r="G162" s="23">
        <v>0.52500000000000002</v>
      </c>
      <c r="I162" s="217" t="s">
        <v>1445</v>
      </c>
    </row>
    <row r="163" spans="1:9" hidden="1">
      <c r="A163" s="23">
        <v>163</v>
      </c>
      <c r="B163" s="84">
        <v>45749</v>
      </c>
      <c r="C163" s="23" t="s">
        <v>216</v>
      </c>
      <c r="D163" s="23" t="s">
        <v>211</v>
      </c>
      <c r="G163" s="23">
        <v>0</v>
      </c>
      <c r="I163" s="217" t="s">
        <v>1446</v>
      </c>
    </row>
    <row r="164" spans="1:9" hidden="1">
      <c r="A164" s="23">
        <v>164</v>
      </c>
      <c r="B164" s="84">
        <v>45749</v>
      </c>
      <c r="C164" s="23" t="s">
        <v>266</v>
      </c>
      <c r="D164" s="23" t="s">
        <v>183</v>
      </c>
      <c r="G164" s="23">
        <v>0</v>
      </c>
      <c r="I164" s="217" t="s">
        <v>1447</v>
      </c>
    </row>
    <row r="165" spans="1:9" hidden="1">
      <c r="A165" s="23">
        <v>165</v>
      </c>
      <c r="B165" s="84">
        <v>45749</v>
      </c>
      <c r="C165" s="23" t="s">
        <v>276</v>
      </c>
      <c r="D165" s="23" t="s">
        <v>234</v>
      </c>
      <c r="G165" s="23">
        <v>0.7</v>
      </c>
      <c r="I165" s="217" t="s">
        <v>1448</v>
      </c>
    </row>
    <row r="166" spans="1:9" hidden="1">
      <c r="A166" s="23">
        <v>166</v>
      </c>
      <c r="B166" s="84">
        <v>45749</v>
      </c>
      <c r="C166" s="23" t="s">
        <v>276</v>
      </c>
      <c r="D166" s="23" t="s">
        <v>236</v>
      </c>
      <c r="G166" s="23">
        <v>0.7</v>
      </c>
      <c r="I166" s="217" t="s">
        <v>1449</v>
      </c>
    </row>
    <row r="167" spans="1:9">
      <c r="A167" s="23">
        <v>167</v>
      </c>
      <c r="B167" s="84">
        <v>45749</v>
      </c>
      <c r="C167" s="23" t="s">
        <v>276</v>
      </c>
      <c r="D167" s="23" t="s">
        <v>177</v>
      </c>
      <c r="G167" s="23">
        <v>0</v>
      </c>
      <c r="I167" s="217" t="s">
        <v>1450</v>
      </c>
    </row>
    <row r="168" spans="1:9" hidden="1">
      <c r="A168" s="23">
        <v>168</v>
      </c>
      <c r="B168" s="84">
        <v>45749</v>
      </c>
      <c r="C168" s="23" t="s">
        <v>309</v>
      </c>
      <c r="D168" s="23" t="s">
        <v>186</v>
      </c>
      <c r="G168" s="23">
        <v>3.8</v>
      </c>
      <c r="I168" s="217" t="s">
        <v>1451</v>
      </c>
    </row>
    <row r="169" spans="1:9" hidden="1">
      <c r="A169" s="23">
        <v>169</v>
      </c>
      <c r="B169" s="84">
        <v>45749</v>
      </c>
      <c r="C169" s="23" t="s">
        <v>307</v>
      </c>
      <c r="D169" s="23" t="s">
        <v>234</v>
      </c>
      <c r="G169" s="23">
        <v>0</v>
      </c>
      <c r="I169" s="217" t="s">
        <v>1448</v>
      </c>
    </row>
    <row r="170" spans="1:9" hidden="1">
      <c r="A170" s="23">
        <v>170</v>
      </c>
      <c r="B170" s="84">
        <v>45749</v>
      </c>
      <c r="C170" s="23" t="s">
        <v>308</v>
      </c>
      <c r="D170" s="23" t="s">
        <v>236</v>
      </c>
      <c r="G170" s="23">
        <v>0</v>
      </c>
      <c r="I170" s="217" t="s">
        <v>1449</v>
      </c>
    </row>
    <row r="171" spans="1:9" hidden="1">
      <c r="A171" s="23">
        <v>171</v>
      </c>
      <c r="B171" s="84">
        <v>45749</v>
      </c>
      <c r="C171" s="23" t="s">
        <v>311</v>
      </c>
      <c r="D171" s="23" t="s">
        <v>236</v>
      </c>
      <c r="G171" s="23">
        <v>0.7</v>
      </c>
      <c r="I171" s="217" t="s">
        <v>1452</v>
      </c>
    </row>
    <row r="172" spans="1:9" hidden="1">
      <c r="A172" s="23">
        <v>172</v>
      </c>
      <c r="B172" s="84">
        <v>45749</v>
      </c>
      <c r="C172" s="23" t="s">
        <v>313</v>
      </c>
      <c r="D172" s="23" t="s">
        <v>239</v>
      </c>
      <c r="G172" s="23">
        <v>0.8</v>
      </c>
      <c r="I172" s="217" t="s">
        <v>1453</v>
      </c>
    </row>
    <row r="173" spans="1:9">
      <c r="A173" s="23">
        <v>173</v>
      </c>
      <c r="B173" s="84">
        <v>45749</v>
      </c>
      <c r="C173" s="23" t="s">
        <v>312</v>
      </c>
      <c r="D173" s="23" t="s">
        <v>248</v>
      </c>
      <c r="G173" s="23">
        <v>6.5</v>
      </c>
      <c r="I173" s="217" t="s">
        <v>1454</v>
      </c>
    </row>
    <row r="174" spans="1:9" hidden="1">
      <c r="A174" s="23">
        <v>174</v>
      </c>
      <c r="B174" s="84">
        <v>45749</v>
      </c>
      <c r="C174" s="23" t="s">
        <v>293</v>
      </c>
      <c r="D174" s="23" t="s">
        <v>242</v>
      </c>
      <c r="G174" s="23">
        <v>0</v>
      </c>
      <c r="I174" s="217" t="s">
        <v>1455</v>
      </c>
    </row>
    <row r="175" spans="1:9" hidden="1">
      <c r="A175" s="23">
        <v>175</v>
      </c>
      <c r="B175" s="84">
        <v>45749</v>
      </c>
      <c r="C175" s="23" t="s">
        <v>312</v>
      </c>
      <c r="D175" s="23" t="s">
        <v>236</v>
      </c>
      <c r="G175" s="23">
        <v>0</v>
      </c>
      <c r="I175" s="217" t="s">
        <v>1452</v>
      </c>
    </row>
    <row r="176" spans="1:9" hidden="1">
      <c r="A176" s="23">
        <v>176</v>
      </c>
      <c r="B176" s="84">
        <v>45749</v>
      </c>
      <c r="C176" s="23" t="s">
        <v>314</v>
      </c>
      <c r="D176" s="23" t="s">
        <v>239</v>
      </c>
      <c r="G176" s="23">
        <v>0</v>
      </c>
      <c r="I176" s="217" t="s">
        <v>1453</v>
      </c>
    </row>
    <row r="177" spans="1:9" hidden="1">
      <c r="A177" s="23">
        <v>177</v>
      </c>
      <c r="B177" s="84">
        <v>45749</v>
      </c>
      <c r="C177" s="23" t="s">
        <v>218</v>
      </c>
      <c r="D177" s="23" t="s">
        <v>225</v>
      </c>
      <c r="G177" s="23">
        <v>0.83</v>
      </c>
      <c r="I177" s="217" t="s">
        <v>1456</v>
      </c>
    </row>
    <row r="178" spans="1:9" hidden="1">
      <c r="A178" s="23">
        <v>178</v>
      </c>
      <c r="B178" s="84">
        <v>45749</v>
      </c>
      <c r="C178" s="23" t="s">
        <v>213</v>
      </c>
      <c r="D178" s="23" t="s">
        <v>217</v>
      </c>
      <c r="G178" s="23">
        <v>0</v>
      </c>
      <c r="I178" s="217" t="s">
        <v>1457</v>
      </c>
    </row>
    <row r="179" spans="1:9" hidden="1">
      <c r="A179" s="23">
        <v>179</v>
      </c>
      <c r="B179" s="84">
        <v>45749</v>
      </c>
      <c r="C179" s="23" t="s">
        <v>316</v>
      </c>
      <c r="D179" s="23" t="s">
        <v>242</v>
      </c>
      <c r="G179" s="23">
        <v>1.5</v>
      </c>
      <c r="I179" s="217" t="s">
        <v>1458</v>
      </c>
    </row>
    <row r="180" spans="1:9" hidden="1">
      <c r="A180" s="23">
        <v>180</v>
      </c>
      <c r="B180" s="84">
        <v>45749</v>
      </c>
      <c r="C180" s="23" t="s">
        <v>260</v>
      </c>
      <c r="D180" s="23" t="s">
        <v>183</v>
      </c>
      <c r="G180" s="23">
        <v>2.5</v>
      </c>
      <c r="I180" s="217" t="s">
        <v>1459</v>
      </c>
    </row>
    <row r="181" spans="1:9" hidden="1">
      <c r="A181" s="23">
        <v>181</v>
      </c>
      <c r="B181" s="84">
        <v>45749</v>
      </c>
      <c r="C181" s="23" t="s">
        <v>187</v>
      </c>
      <c r="D181" s="23" t="s">
        <v>245</v>
      </c>
      <c r="G181" s="23">
        <v>0.7</v>
      </c>
      <c r="I181" s="217" t="s">
        <v>1460</v>
      </c>
    </row>
    <row r="182" spans="1:9" hidden="1">
      <c r="A182" s="23">
        <v>182</v>
      </c>
      <c r="B182" s="84">
        <v>45749</v>
      </c>
      <c r="C182" s="23" t="s">
        <v>319</v>
      </c>
      <c r="D182" s="23" t="s">
        <v>226</v>
      </c>
      <c r="G182" s="23">
        <v>0.7</v>
      </c>
      <c r="I182" s="217" t="s">
        <v>1461</v>
      </c>
    </row>
    <row r="183" spans="1:9" hidden="1">
      <c r="A183" s="23">
        <v>183</v>
      </c>
      <c r="B183" s="84">
        <v>45749</v>
      </c>
      <c r="C183" s="23" t="s">
        <v>321</v>
      </c>
      <c r="D183" s="23" t="s">
        <v>232</v>
      </c>
      <c r="G183" s="23">
        <v>0.7</v>
      </c>
      <c r="I183" s="217" t="s">
        <v>1462</v>
      </c>
    </row>
    <row r="184" spans="1:9" hidden="1">
      <c r="A184" s="23">
        <v>184</v>
      </c>
      <c r="B184" s="84">
        <v>45749</v>
      </c>
      <c r="C184" s="23" t="s">
        <v>262</v>
      </c>
      <c r="D184" s="23" t="s">
        <v>234</v>
      </c>
      <c r="G184" s="23">
        <v>0.7</v>
      </c>
      <c r="I184" s="217" t="s">
        <v>1463</v>
      </c>
    </row>
    <row r="185" spans="1:9" hidden="1">
      <c r="A185" s="23">
        <v>185</v>
      </c>
      <c r="B185" s="84">
        <v>45749</v>
      </c>
      <c r="C185" s="23" t="s">
        <v>323</v>
      </c>
      <c r="D185" s="23" t="s">
        <v>236</v>
      </c>
      <c r="G185" s="23">
        <v>0.7</v>
      </c>
      <c r="I185" s="217" t="s">
        <v>1464</v>
      </c>
    </row>
    <row r="186" spans="1:9">
      <c r="A186" s="23">
        <v>186</v>
      </c>
      <c r="B186" s="84">
        <v>45749</v>
      </c>
      <c r="C186" s="23" t="s">
        <v>324</v>
      </c>
      <c r="D186" s="23" t="s">
        <v>177</v>
      </c>
      <c r="G186" s="23">
        <v>6.6</v>
      </c>
      <c r="I186" s="217" t="s">
        <v>1465</v>
      </c>
    </row>
    <row r="187" spans="1:9" hidden="1">
      <c r="A187" s="23">
        <v>187</v>
      </c>
      <c r="B187" s="84">
        <v>45749</v>
      </c>
      <c r="C187" s="23" t="s">
        <v>320</v>
      </c>
      <c r="D187" s="23" t="s">
        <v>226</v>
      </c>
      <c r="G187" s="23">
        <v>0</v>
      </c>
      <c r="I187" s="217" t="s">
        <v>1461</v>
      </c>
    </row>
    <row r="188" spans="1:9" hidden="1">
      <c r="A188" s="23">
        <v>188</v>
      </c>
      <c r="B188" s="84">
        <v>45749</v>
      </c>
      <c r="C188" s="23" t="s">
        <v>320</v>
      </c>
      <c r="D188" s="23" t="s">
        <v>236</v>
      </c>
      <c r="G188" s="23">
        <v>0</v>
      </c>
      <c r="I188" s="217" t="s">
        <v>1464</v>
      </c>
    </row>
    <row r="189" spans="1:9" hidden="1">
      <c r="A189" s="23">
        <v>189</v>
      </c>
      <c r="B189" s="84">
        <v>45749</v>
      </c>
      <c r="C189" s="23" t="s">
        <v>258</v>
      </c>
      <c r="D189" s="23" t="s">
        <v>232</v>
      </c>
      <c r="G189" s="23">
        <v>0</v>
      </c>
      <c r="I189" s="217" t="s">
        <v>1462</v>
      </c>
    </row>
    <row r="190" spans="1:9" hidden="1">
      <c r="A190" s="23">
        <v>190</v>
      </c>
      <c r="B190" s="84">
        <v>45749</v>
      </c>
      <c r="C190" s="23" t="s">
        <v>322</v>
      </c>
      <c r="D190" s="23" t="s">
        <v>234</v>
      </c>
      <c r="G190" s="23">
        <v>0</v>
      </c>
      <c r="I190" s="217" t="s">
        <v>1463</v>
      </c>
    </row>
    <row r="191" spans="1:9" hidden="1">
      <c r="A191" s="23">
        <v>191</v>
      </c>
      <c r="B191" s="84">
        <v>45749</v>
      </c>
      <c r="C191" s="23" t="s">
        <v>318</v>
      </c>
      <c r="D191" s="23" t="s">
        <v>245</v>
      </c>
      <c r="G191" s="23">
        <v>0</v>
      </c>
      <c r="I191" s="217" t="s">
        <v>1466</v>
      </c>
    </row>
    <row r="192" spans="1:9" hidden="1">
      <c r="A192" s="23">
        <v>192</v>
      </c>
      <c r="B192" s="84">
        <v>45749</v>
      </c>
      <c r="C192" s="23" t="s">
        <v>326</v>
      </c>
      <c r="D192" s="23" t="s">
        <v>239</v>
      </c>
      <c r="G192" s="23">
        <v>0.7</v>
      </c>
      <c r="I192" s="217" t="s">
        <v>1467</v>
      </c>
    </row>
    <row r="193" spans="1:9" hidden="1">
      <c r="A193" s="23">
        <v>193</v>
      </c>
      <c r="B193" s="84">
        <v>45749</v>
      </c>
      <c r="C193" s="23" t="s">
        <v>328</v>
      </c>
      <c r="D193" s="23" t="s">
        <v>245</v>
      </c>
      <c r="G193" s="23">
        <v>0.7</v>
      </c>
      <c r="I193" s="217" t="s">
        <v>1468</v>
      </c>
    </row>
    <row r="194" spans="1:9" hidden="1">
      <c r="A194" s="23">
        <v>194</v>
      </c>
      <c r="B194" s="84">
        <v>45749</v>
      </c>
      <c r="C194" s="23" t="s">
        <v>327</v>
      </c>
      <c r="D194" s="23" t="s">
        <v>239</v>
      </c>
      <c r="G194" s="23">
        <v>0</v>
      </c>
      <c r="I194" s="217" t="s">
        <v>1469</v>
      </c>
    </row>
    <row r="195" spans="1:9" hidden="1">
      <c r="A195" s="23">
        <v>195</v>
      </c>
      <c r="B195" s="84">
        <v>45749</v>
      </c>
      <c r="C195" s="23" t="s">
        <v>330</v>
      </c>
      <c r="D195" s="23" t="s">
        <v>226</v>
      </c>
      <c r="G195" s="23">
        <v>0.7</v>
      </c>
      <c r="I195" s="217" t="s">
        <v>1470</v>
      </c>
    </row>
    <row r="196" spans="1:9" hidden="1">
      <c r="A196" s="23">
        <v>196</v>
      </c>
      <c r="B196" s="84">
        <v>45749</v>
      </c>
      <c r="C196" s="23" t="s">
        <v>218</v>
      </c>
      <c r="D196" s="23" t="s">
        <v>211</v>
      </c>
      <c r="G196" s="23">
        <v>0.53500000000000003</v>
      </c>
      <c r="I196" s="217" t="s">
        <v>1471</v>
      </c>
    </row>
    <row r="197" spans="1:9" hidden="1">
      <c r="A197" s="23">
        <v>197</v>
      </c>
      <c r="B197" s="84">
        <v>45749</v>
      </c>
      <c r="C197" s="23" t="s">
        <v>213</v>
      </c>
      <c r="D197" s="23" t="s">
        <v>220</v>
      </c>
      <c r="G197" s="23">
        <v>0</v>
      </c>
      <c r="I197" s="217" t="s">
        <v>1472</v>
      </c>
    </row>
    <row r="198" spans="1:9" hidden="1">
      <c r="A198" s="23">
        <v>198</v>
      </c>
      <c r="B198" s="84">
        <v>45749</v>
      </c>
      <c r="C198" s="23" t="s">
        <v>274</v>
      </c>
      <c r="D198" s="23" t="s">
        <v>220</v>
      </c>
      <c r="G198" s="23">
        <v>0.74</v>
      </c>
      <c r="I198" s="217" t="s">
        <v>1473</v>
      </c>
    </row>
    <row r="199" spans="1:9" hidden="1">
      <c r="A199" s="23">
        <v>199</v>
      </c>
      <c r="B199" s="84">
        <v>45749</v>
      </c>
      <c r="C199" s="23" t="s">
        <v>306</v>
      </c>
      <c r="D199" s="23" t="s">
        <v>214</v>
      </c>
      <c r="G199" s="23">
        <v>0</v>
      </c>
      <c r="I199" s="217" t="s">
        <v>1474</v>
      </c>
    </row>
    <row r="200" spans="1:9" hidden="1">
      <c r="A200" s="23">
        <v>200</v>
      </c>
      <c r="B200" s="84">
        <v>45749</v>
      </c>
      <c r="C200" s="23" t="s">
        <v>331</v>
      </c>
      <c r="D200" s="23" t="s">
        <v>232</v>
      </c>
      <c r="G200" s="23">
        <v>0.7</v>
      </c>
      <c r="I200" s="217" t="s">
        <v>1475</v>
      </c>
    </row>
    <row r="201" spans="1:9" hidden="1">
      <c r="A201" s="23">
        <v>201</v>
      </c>
      <c r="B201" s="84">
        <v>45749</v>
      </c>
      <c r="C201" s="23" t="s">
        <v>333</v>
      </c>
      <c r="D201" s="23" t="s">
        <v>234</v>
      </c>
      <c r="G201" s="23">
        <v>0.7</v>
      </c>
      <c r="I201" s="217" t="s">
        <v>1476</v>
      </c>
    </row>
    <row r="202" spans="1:9" hidden="1">
      <c r="A202" s="23">
        <v>202</v>
      </c>
      <c r="B202" s="84">
        <v>45749</v>
      </c>
      <c r="C202" s="23" t="s">
        <v>336</v>
      </c>
      <c r="D202" s="23" t="s">
        <v>335</v>
      </c>
      <c r="G202" s="23">
        <v>0.5</v>
      </c>
      <c r="I202" s="217" t="s">
        <v>1477</v>
      </c>
    </row>
    <row r="203" spans="1:9" hidden="1">
      <c r="A203" s="23">
        <v>203</v>
      </c>
      <c r="B203" s="84">
        <v>45749</v>
      </c>
      <c r="C203" s="23" t="s">
        <v>329</v>
      </c>
      <c r="D203" s="23" t="s">
        <v>226</v>
      </c>
      <c r="G203" s="23">
        <v>0</v>
      </c>
      <c r="I203" s="217" t="s">
        <v>1478</v>
      </c>
    </row>
    <row r="204" spans="1:9" hidden="1">
      <c r="A204" s="23">
        <v>204</v>
      </c>
      <c r="B204" s="84">
        <v>45749</v>
      </c>
      <c r="C204" s="23" t="s">
        <v>329</v>
      </c>
      <c r="D204" s="23" t="s">
        <v>245</v>
      </c>
      <c r="G204" s="23">
        <v>0</v>
      </c>
      <c r="I204" s="217" t="s">
        <v>1479</v>
      </c>
    </row>
    <row r="205" spans="1:9" hidden="1">
      <c r="A205" s="23">
        <v>205</v>
      </c>
      <c r="B205" s="84">
        <v>45749</v>
      </c>
      <c r="C205" s="23" t="s">
        <v>332</v>
      </c>
      <c r="D205" s="23" t="s">
        <v>232</v>
      </c>
      <c r="G205" s="23">
        <v>0</v>
      </c>
      <c r="I205" s="217" t="s">
        <v>1480</v>
      </c>
    </row>
    <row r="206" spans="1:9" hidden="1">
      <c r="A206" s="23">
        <v>206</v>
      </c>
      <c r="B206" s="84">
        <v>45749</v>
      </c>
      <c r="C206" s="23" t="s">
        <v>334</v>
      </c>
      <c r="D206" s="23" t="s">
        <v>234</v>
      </c>
      <c r="G206" s="23">
        <v>0</v>
      </c>
      <c r="I206" s="217" t="s">
        <v>1481</v>
      </c>
    </row>
    <row r="207" spans="1:9" hidden="1">
      <c r="A207" s="23">
        <v>207</v>
      </c>
      <c r="B207" s="84">
        <v>45749</v>
      </c>
      <c r="C207" s="23" t="s">
        <v>338</v>
      </c>
      <c r="D207" s="23" t="s">
        <v>279</v>
      </c>
      <c r="G207" s="23">
        <v>0.8</v>
      </c>
      <c r="I207" s="217" t="s">
        <v>1482</v>
      </c>
    </row>
    <row r="208" spans="1:9" hidden="1">
      <c r="A208" s="23">
        <v>208</v>
      </c>
      <c r="B208" s="84">
        <v>45749</v>
      </c>
      <c r="C208" s="23" t="s">
        <v>339</v>
      </c>
      <c r="D208" s="23" t="s">
        <v>279</v>
      </c>
      <c r="G208" s="23">
        <v>0</v>
      </c>
      <c r="I208" s="217" t="s">
        <v>1482</v>
      </c>
    </row>
    <row r="209" spans="1:9" hidden="1">
      <c r="A209" s="23">
        <v>209</v>
      </c>
      <c r="B209" s="84">
        <v>45749</v>
      </c>
      <c r="C209" s="23" t="s">
        <v>340</v>
      </c>
      <c r="D209" s="23" t="s">
        <v>279</v>
      </c>
      <c r="G209" s="23">
        <v>0.8</v>
      </c>
      <c r="I209" s="217" t="s">
        <v>1294</v>
      </c>
    </row>
    <row r="210" spans="1:9" hidden="1">
      <c r="A210" s="23">
        <v>210</v>
      </c>
      <c r="B210" s="84">
        <v>45749</v>
      </c>
      <c r="C210" s="23" t="s">
        <v>212</v>
      </c>
      <c r="D210" s="23" t="s">
        <v>214</v>
      </c>
      <c r="G210" s="23">
        <v>0.66</v>
      </c>
      <c r="I210" s="217" t="s">
        <v>1483</v>
      </c>
    </row>
    <row r="211" spans="1:9" hidden="1">
      <c r="A211" s="23">
        <v>211</v>
      </c>
      <c r="B211" s="84">
        <v>45749</v>
      </c>
      <c r="C211" s="23" t="s">
        <v>222</v>
      </c>
      <c r="D211" s="23" t="s">
        <v>211</v>
      </c>
      <c r="G211" s="23">
        <v>0</v>
      </c>
      <c r="I211" s="217" t="s">
        <v>1484</v>
      </c>
    </row>
    <row r="212" spans="1:9" hidden="1">
      <c r="A212" s="23">
        <v>212</v>
      </c>
      <c r="B212" s="84">
        <v>45749</v>
      </c>
      <c r="C212" s="23" t="s">
        <v>212</v>
      </c>
      <c r="D212" s="23" t="s">
        <v>217</v>
      </c>
      <c r="G212" s="23">
        <v>0.92</v>
      </c>
      <c r="I212" s="217" t="s">
        <v>1485</v>
      </c>
    </row>
    <row r="213" spans="1:9" hidden="1">
      <c r="A213" s="23">
        <v>213</v>
      </c>
      <c r="B213" s="84">
        <v>45749</v>
      </c>
      <c r="C213" s="23" t="s">
        <v>222</v>
      </c>
      <c r="D213" s="23" t="s">
        <v>225</v>
      </c>
      <c r="G213" s="23">
        <v>0</v>
      </c>
      <c r="I213" s="217" t="s">
        <v>1486</v>
      </c>
    </row>
    <row r="214" spans="1:9" hidden="1">
      <c r="A214" s="23">
        <v>214</v>
      </c>
      <c r="B214" s="84">
        <v>45749</v>
      </c>
      <c r="C214" s="23" t="s">
        <v>341</v>
      </c>
      <c r="D214" s="23" t="s">
        <v>279</v>
      </c>
      <c r="G214" s="23">
        <v>0</v>
      </c>
      <c r="I214" s="217" t="s">
        <v>1487</v>
      </c>
    </row>
    <row r="215" spans="1:9" hidden="1">
      <c r="A215" s="23">
        <v>215</v>
      </c>
      <c r="B215" s="84">
        <v>45749</v>
      </c>
      <c r="C215" s="23" t="s">
        <v>343</v>
      </c>
      <c r="D215" s="23" t="s">
        <v>211</v>
      </c>
      <c r="G215" s="23">
        <v>0.56666666666666665</v>
      </c>
      <c r="I215" s="217" t="s">
        <v>1294</v>
      </c>
    </row>
    <row r="216" spans="1:9" hidden="1">
      <c r="A216" s="23">
        <v>216</v>
      </c>
      <c r="B216" s="84">
        <v>45749</v>
      </c>
      <c r="C216" s="23" t="s">
        <v>342</v>
      </c>
      <c r="D216" s="23" t="s">
        <v>217</v>
      </c>
      <c r="G216" s="23">
        <v>0</v>
      </c>
      <c r="H216" s="23" t="s">
        <v>1488</v>
      </c>
      <c r="I216" s="217" t="s">
        <v>1489</v>
      </c>
    </row>
    <row r="217" spans="1:9" hidden="1">
      <c r="A217" s="23">
        <v>217</v>
      </c>
      <c r="B217" s="84">
        <v>45749</v>
      </c>
      <c r="C217" s="23" t="s">
        <v>344</v>
      </c>
      <c r="D217" s="23" t="s">
        <v>211</v>
      </c>
      <c r="G217" s="23">
        <v>0</v>
      </c>
      <c r="I217" s="217" t="s">
        <v>1490</v>
      </c>
    </row>
    <row r="218" spans="1:9" hidden="1">
      <c r="A218" s="23">
        <v>218</v>
      </c>
      <c r="B218" s="84">
        <v>45749</v>
      </c>
      <c r="C218" s="23" t="s">
        <v>345</v>
      </c>
      <c r="D218" s="23" t="s">
        <v>217</v>
      </c>
      <c r="G218" s="23">
        <v>0.8</v>
      </c>
      <c r="I218" s="217" t="s">
        <v>1491</v>
      </c>
    </row>
    <row r="219" spans="1:9" hidden="1">
      <c r="A219" s="23">
        <v>219</v>
      </c>
      <c r="B219" s="84">
        <v>45749</v>
      </c>
      <c r="C219" s="23" t="s">
        <v>317</v>
      </c>
      <c r="D219" s="23" t="s">
        <v>183</v>
      </c>
      <c r="G219" s="23">
        <v>0</v>
      </c>
      <c r="I219" s="217" t="s">
        <v>1492</v>
      </c>
    </row>
    <row r="220" spans="1:9" hidden="1">
      <c r="A220" s="23">
        <v>220</v>
      </c>
      <c r="B220" s="84">
        <v>45749</v>
      </c>
      <c r="C220" s="23" t="s">
        <v>337</v>
      </c>
      <c r="D220" s="23" t="s">
        <v>335</v>
      </c>
      <c r="G220" s="23">
        <v>0</v>
      </c>
      <c r="I220" s="217" t="s">
        <v>1493</v>
      </c>
    </row>
    <row r="221" spans="1:9">
      <c r="A221" s="23">
        <v>221</v>
      </c>
      <c r="B221" s="84">
        <v>45749</v>
      </c>
      <c r="C221" s="23" t="s">
        <v>315</v>
      </c>
      <c r="D221" s="23" t="s">
        <v>248</v>
      </c>
      <c r="G221" s="23" t="s">
        <v>9</v>
      </c>
      <c r="H221" s="23" t="s">
        <v>1494</v>
      </c>
      <c r="I221" s="217" t="s">
        <v>1495</v>
      </c>
    </row>
    <row r="222" spans="1:9" hidden="1">
      <c r="A222" s="23">
        <v>222</v>
      </c>
      <c r="B222" s="84">
        <v>45749</v>
      </c>
      <c r="C222" s="23" t="s">
        <v>348</v>
      </c>
      <c r="D222" s="23" t="s">
        <v>239</v>
      </c>
      <c r="G222" s="23">
        <v>0.7</v>
      </c>
      <c r="I222" s="217" t="s">
        <v>1496</v>
      </c>
    </row>
    <row r="223" spans="1:9" hidden="1">
      <c r="A223" s="23">
        <v>223</v>
      </c>
      <c r="B223" s="84">
        <v>45749</v>
      </c>
      <c r="C223" s="23" t="s">
        <v>348</v>
      </c>
      <c r="D223" s="23" t="s">
        <v>226</v>
      </c>
      <c r="G223" s="23">
        <v>0.7</v>
      </c>
      <c r="I223" s="217" t="s">
        <v>1497</v>
      </c>
    </row>
    <row r="224" spans="1:9" hidden="1">
      <c r="A224" s="23">
        <v>224</v>
      </c>
      <c r="B224" s="84">
        <v>45749</v>
      </c>
      <c r="C224" s="23" t="s">
        <v>348</v>
      </c>
      <c r="D224" s="23" t="s">
        <v>236</v>
      </c>
      <c r="G224" s="23">
        <v>0.7</v>
      </c>
      <c r="I224" s="217" t="s">
        <v>1498</v>
      </c>
    </row>
    <row r="225" spans="1:9" hidden="1">
      <c r="A225" s="23">
        <v>225</v>
      </c>
      <c r="B225" s="84">
        <v>45749</v>
      </c>
      <c r="C225" s="23" t="s">
        <v>348</v>
      </c>
      <c r="D225" s="23" t="s">
        <v>245</v>
      </c>
      <c r="G225" s="23">
        <v>0.7</v>
      </c>
      <c r="I225" s="217" t="s">
        <v>1499</v>
      </c>
    </row>
    <row r="226" spans="1:9" hidden="1">
      <c r="A226" s="23">
        <v>226</v>
      </c>
      <c r="B226" s="84">
        <v>45749</v>
      </c>
      <c r="C226" s="23" t="s">
        <v>351</v>
      </c>
      <c r="D226" s="23" t="s">
        <v>236</v>
      </c>
      <c r="G226" s="23">
        <v>0</v>
      </c>
      <c r="I226" s="217" t="s">
        <v>1500</v>
      </c>
    </row>
    <row r="227" spans="1:9" hidden="1">
      <c r="A227" s="23">
        <v>227</v>
      </c>
      <c r="B227" s="84">
        <v>45749</v>
      </c>
      <c r="C227" s="23" t="s">
        <v>349</v>
      </c>
      <c r="D227" s="23" t="s">
        <v>239</v>
      </c>
      <c r="G227" s="23">
        <v>0</v>
      </c>
      <c r="I227" s="217" t="s">
        <v>1501</v>
      </c>
    </row>
    <row r="228" spans="1:9" hidden="1">
      <c r="A228" s="23">
        <v>228</v>
      </c>
      <c r="B228" s="84">
        <v>45749</v>
      </c>
      <c r="C228" s="23" t="s">
        <v>352</v>
      </c>
      <c r="D228" s="23" t="s">
        <v>245</v>
      </c>
      <c r="G228" s="23">
        <v>0</v>
      </c>
      <c r="I228" s="217" t="s">
        <v>1502</v>
      </c>
    </row>
    <row r="229" spans="1:9" hidden="1">
      <c r="A229" s="23">
        <v>229</v>
      </c>
      <c r="B229" s="84">
        <v>45749</v>
      </c>
      <c r="C229" s="23" t="s">
        <v>350</v>
      </c>
      <c r="D229" s="23" t="s">
        <v>226</v>
      </c>
      <c r="G229" s="23">
        <v>0</v>
      </c>
      <c r="I229" s="217" t="s">
        <v>1503</v>
      </c>
    </row>
    <row r="230" spans="1:9" hidden="1">
      <c r="A230" s="23">
        <v>230</v>
      </c>
      <c r="B230" s="84">
        <v>45750</v>
      </c>
      <c r="C230" s="23" t="s">
        <v>310</v>
      </c>
      <c r="D230" s="23" t="s">
        <v>186</v>
      </c>
      <c r="G230" s="23">
        <v>0</v>
      </c>
      <c r="I230" s="217" t="s">
        <v>1504</v>
      </c>
    </row>
    <row r="231" spans="1:9" hidden="1">
      <c r="A231" s="23">
        <v>231</v>
      </c>
      <c r="B231" s="84">
        <v>45750</v>
      </c>
      <c r="C231" s="23" t="s">
        <v>223</v>
      </c>
      <c r="D231" s="23" t="s">
        <v>211</v>
      </c>
      <c r="G231" s="23">
        <v>0.67</v>
      </c>
      <c r="I231" s="217" t="s">
        <v>1505</v>
      </c>
    </row>
    <row r="232" spans="1:9" hidden="1">
      <c r="A232" s="23">
        <v>232</v>
      </c>
      <c r="B232" s="84">
        <v>45750</v>
      </c>
      <c r="C232" s="23" t="s">
        <v>216</v>
      </c>
      <c r="D232" s="23" t="s">
        <v>220</v>
      </c>
      <c r="G232" s="23">
        <v>0</v>
      </c>
      <c r="I232" s="217" t="s">
        <v>1506</v>
      </c>
    </row>
    <row r="233" spans="1:9" hidden="1">
      <c r="A233" s="23">
        <v>233</v>
      </c>
      <c r="B233" s="84">
        <v>45750</v>
      </c>
      <c r="C233" s="23" t="s">
        <v>201</v>
      </c>
      <c r="D233" s="23" t="s">
        <v>242</v>
      </c>
      <c r="G233" s="23">
        <v>0</v>
      </c>
      <c r="I233" s="217" t="s">
        <v>1507</v>
      </c>
    </row>
    <row r="234" spans="1:9">
      <c r="A234" s="23">
        <v>234</v>
      </c>
      <c r="B234" s="84">
        <v>45750</v>
      </c>
      <c r="C234" s="23" t="s">
        <v>347</v>
      </c>
      <c r="D234" s="23" t="s">
        <v>248</v>
      </c>
      <c r="G234" s="23">
        <v>1</v>
      </c>
      <c r="H234" s="23" t="s">
        <v>354</v>
      </c>
      <c r="I234" s="217" t="s">
        <v>1508</v>
      </c>
    </row>
    <row r="235" spans="1:9">
      <c r="A235" s="23">
        <v>235</v>
      </c>
      <c r="B235" s="84">
        <v>45750</v>
      </c>
      <c r="C235" s="23" t="s">
        <v>353</v>
      </c>
      <c r="D235" s="23" t="s">
        <v>248</v>
      </c>
      <c r="G235" s="23">
        <v>0</v>
      </c>
      <c r="I235" s="217" t="s">
        <v>1509</v>
      </c>
    </row>
    <row r="236" spans="1:9" hidden="1">
      <c r="A236" s="23">
        <v>236</v>
      </c>
      <c r="B236" s="84">
        <v>45750</v>
      </c>
      <c r="C236" s="23" t="s">
        <v>355</v>
      </c>
      <c r="D236" s="23" t="s">
        <v>245</v>
      </c>
      <c r="G236" s="23">
        <v>0.8</v>
      </c>
      <c r="I236" s="217" t="s">
        <v>1510</v>
      </c>
    </row>
    <row r="237" spans="1:9" hidden="1">
      <c r="A237" s="23">
        <v>237</v>
      </c>
      <c r="B237" s="84">
        <v>45750</v>
      </c>
      <c r="C237" s="23" t="s">
        <v>356</v>
      </c>
      <c r="D237" s="23" t="s">
        <v>186</v>
      </c>
      <c r="G237" s="23">
        <v>1</v>
      </c>
      <c r="I237" s="217" t="s">
        <v>1511</v>
      </c>
    </row>
    <row r="238" spans="1:9" hidden="1">
      <c r="A238" s="23">
        <v>238</v>
      </c>
      <c r="B238" s="84">
        <v>45750</v>
      </c>
      <c r="C238" s="23" t="s">
        <v>246</v>
      </c>
      <c r="D238" s="23" t="s">
        <v>245</v>
      </c>
      <c r="G238" s="23">
        <v>0</v>
      </c>
      <c r="I238" s="217" t="s">
        <v>1510</v>
      </c>
    </row>
    <row r="239" spans="1:9" hidden="1">
      <c r="A239" s="23">
        <v>239</v>
      </c>
      <c r="B239" s="84">
        <v>45750</v>
      </c>
      <c r="C239" s="23" t="s">
        <v>218</v>
      </c>
      <c r="D239" s="23" t="s">
        <v>220</v>
      </c>
      <c r="G239" s="23">
        <v>0.55000000000000004</v>
      </c>
      <c r="I239" s="458" t="s">
        <v>1512</v>
      </c>
    </row>
    <row r="240" spans="1:9" hidden="1">
      <c r="A240" s="23">
        <v>240</v>
      </c>
      <c r="B240" s="84">
        <v>45750</v>
      </c>
      <c r="C240" s="23" t="s">
        <v>213</v>
      </c>
      <c r="D240" s="23" t="s">
        <v>214</v>
      </c>
      <c r="G240" s="23">
        <v>0</v>
      </c>
      <c r="I240" s="217" t="s">
        <v>1513</v>
      </c>
    </row>
    <row r="241" spans="1:9" hidden="1">
      <c r="A241" s="23">
        <v>241</v>
      </c>
      <c r="B241" s="84">
        <v>45750</v>
      </c>
      <c r="C241" s="23" t="s">
        <v>358</v>
      </c>
      <c r="D241" s="23" t="s">
        <v>225</v>
      </c>
      <c r="G241" s="23">
        <v>0.77</v>
      </c>
      <c r="I241" s="217" t="s">
        <v>1514</v>
      </c>
    </row>
    <row r="242" spans="1:9" hidden="1">
      <c r="A242" s="23">
        <v>242</v>
      </c>
      <c r="B242" s="84">
        <v>45750</v>
      </c>
      <c r="C242" s="23" t="s">
        <v>346</v>
      </c>
      <c r="D242" s="23" t="s">
        <v>217</v>
      </c>
      <c r="G242" s="23">
        <v>0</v>
      </c>
      <c r="I242" s="217" t="s">
        <v>1515</v>
      </c>
    </row>
    <row r="243" spans="1:9" hidden="1">
      <c r="A243" s="23">
        <v>243</v>
      </c>
      <c r="B243" s="84">
        <v>45750</v>
      </c>
      <c r="C243" s="23" t="s">
        <v>360</v>
      </c>
      <c r="D243" s="23" t="s">
        <v>242</v>
      </c>
      <c r="G243" s="23">
        <v>2</v>
      </c>
      <c r="I243" s="217" t="s">
        <v>1516</v>
      </c>
    </row>
    <row r="244" spans="1:9" hidden="1">
      <c r="A244" s="23">
        <v>244</v>
      </c>
      <c r="B244" s="84">
        <v>45750</v>
      </c>
      <c r="C244" s="23" t="s">
        <v>362</v>
      </c>
      <c r="D244" s="23" t="s">
        <v>239</v>
      </c>
      <c r="G244" s="23">
        <v>0.7</v>
      </c>
      <c r="I244" s="217" t="s">
        <v>1517</v>
      </c>
    </row>
    <row r="245" spans="1:9" hidden="1">
      <c r="A245" s="23">
        <v>245</v>
      </c>
      <c r="B245" s="84">
        <v>45750</v>
      </c>
      <c r="C245" s="23" t="s">
        <v>364</v>
      </c>
      <c r="D245" s="23" t="s">
        <v>245</v>
      </c>
      <c r="G245" s="23">
        <v>0.7</v>
      </c>
      <c r="I245" s="217" t="s">
        <v>1518</v>
      </c>
    </row>
    <row r="246" spans="1:9" hidden="1">
      <c r="A246" s="23">
        <v>246</v>
      </c>
      <c r="B246" s="84">
        <v>45750</v>
      </c>
      <c r="C246" s="23" t="s">
        <v>366</v>
      </c>
      <c r="D246" s="23" t="s">
        <v>232</v>
      </c>
      <c r="G246" s="23">
        <v>0.7</v>
      </c>
      <c r="I246" s="217" t="s">
        <v>1519</v>
      </c>
    </row>
    <row r="247" spans="1:9" hidden="1">
      <c r="A247" s="23">
        <v>247</v>
      </c>
      <c r="B247" s="84">
        <v>45750</v>
      </c>
      <c r="C247" s="23" t="s">
        <v>368</v>
      </c>
      <c r="D247" s="23" t="s">
        <v>234</v>
      </c>
      <c r="G247" s="23">
        <v>0.7</v>
      </c>
      <c r="I247" s="217" t="s">
        <v>1520</v>
      </c>
    </row>
    <row r="248" spans="1:9" hidden="1">
      <c r="A248" s="23">
        <v>248</v>
      </c>
      <c r="B248" s="84">
        <v>45750</v>
      </c>
      <c r="C248" s="23" t="s">
        <v>370</v>
      </c>
      <c r="D248" s="23" t="s">
        <v>183</v>
      </c>
      <c r="G248" s="23">
        <v>0.5</v>
      </c>
      <c r="I248" s="217" t="s">
        <v>1521</v>
      </c>
    </row>
    <row r="249" spans="1:9" hidden="1">
      <c r="A249" s="23">
        <v>249</v>
      </c>
      <c r="B249" s="84">
        <v>45750</v>
      </c>
      <c r="C249" s="23" t="s">
        <v>372</v>
      </c>
      <c r="D249" s="23" t="s">
        <v>226</v>
      </c>
      <c r="G249" s="23">
        <v>0.7</v>
      </c>
      <c r="I249" s="217" t="s">
        <v>1522</v>
      </c>
    </row>
    <row r="250" spans="1:9" hidden="1">
      <c r="A250" s="23">
        <v>250</v>
      </c>
      <c r="B250" s="84">
        <v>45750</v>
      </c>
      <c r="C250" s="23" t="s">
        <v>251</v>
      </c>
      <c r="D250" s="23" t="s">
        <v>236</v>
      </c>
      <c r="G250" s="23">
        <v>0.7</v>
      </c>
      <c r="I250" s="217" t="s">
        <v>1523</v>
      </c>
    </row>
    <row r="251" spans="1:9">
      <c r="A251" s="23">
        <v>251</v>
      </c>
      <c r="B251" s="84">
        <v>45750</v>
      </c>
      <c r="C251" s="23" t="s">
        <v>374</v>
      </c>
      <c r="D251" s="23" t="s">
        <v>248</v>
      </c>
      <c r="G251" s="23">
        <v>1.5</v>
      </c>
      <c r="I251" s="217" t="s">
        <v>1524</v>
      </c>
    </row>
    <row r="252" spans="1:9" hidden="1">
      <c r="A252" s="23">
        <v>252</v>
      </c>
      <c r="B252" s="84">
        <v>45750</v>
      </c>
      <c r="C252" s="23" t="s">
        <v>365</v>
      </c>
      <c r="D252" s="23" t="s">
        <v>226</v>
      </c>
      <c r="G252" s="23">
        <v>0</v>
      </c>
      <c r="I252" s="217" t="s">
        <v>1525</v>
      </c>
    </row>
    <row r="253" spans="1:9" hidden="1">
      <c r="A253" s="23">
        <v>253</v>
      </c>
      <c r="B253" s="84">
        <v>45750</v>
      </c>
      <c r="C253" s="23" t="s">
        <v>365</v>
      </c>
      <c r="D253" s="23" t="s">
        <v>245</v>
      </c>
      <c r="G253" s="23">
        <v>0</v>
      </c>
      <c r="I253" s="217" t="s">
        <v>1526</v>
      </c>
    </row>
    <row r="254" spans="1:9" hidden="1">
      <c r="A254" s="23">
        <v>254</v>
      </c>
      <c r="B254" s="84">
        <v>45750</v>
      </c>
      <c r="C254" s="23" t="s">
        <v>367</v>
      </c>
      <c r="D254" s="23" t="s">
        <v>232</v>
      </c>
      <c r="G254" s="23">
        <v>0</v>
      </c>
      <c r="I254" s="217" t="s">
        <v>1527</v>
      </c>
    </row>
    <row r="255" spans="1:9" hidden="1">
      <c r="A255" s="23">
        <v>255</v>
      </c>
      <c r="B255" s="84">
        <v>45750</v>
      </c>
      <c r="C255" s="23" t="s">
        <v>369</v>
      </c>
      <c r="D255" s="23" t="s">
        <v>234</v>
      </c>
      <c r="G255" s="23">
        <v>0</v>
      </c>
      <c r="I255" s="217" t="s">
        <v>1528</v>
      </c>
    </row>
    <row r="256" spans="1:9" hidden="1">
      <c r="A256" s="23">
        <v>256</v>
      </c>
      <c r="B256" s="84">
        <v>45750</v>
      </c>
      <c r="C256" s="23" t="s">
        <v>376</v>
      </c>
      <c r="D256" s="23" t="s">
        <v>245</v>
      </c>
      <c r="G256" s="23">
        <v>0.7</v>
      </c>
      <c r="I256" s="217" t="s">
        <v>1294</v>
      </c>
    </row>
    <row r="257" spans="1:9" hidden="1">
      <c r="A257" s="23">
        <v>257</v>
      </c>
      <c r="B257" s="84">
        <v>45750</v>
      </c>
      <c r="C257" s="23" t="s">
        <v>378</v>
      </c>
      <c r="D257" s="23" t="s">
        <v>232</v>
      </c>
      <c r="G257" s="23">
        <v>0.7</v>
      </c>
      <c r="I257" s="217" t="s">
        <v>1294</v>
      </c>
    </row>
    <row r="258" spans="1:9" hidden="1">
      <c r="A258" s="23">
        <v>258</v>
      </c>
      <c r="B258" s="84">
        <v>45750</v>
      </c>
      <c r="C258" s="23" t="s">
        <v>380</v>
      </c>
      <c r="D258" s="23" t="s">
        <v>226</v>
      </c>
      <c r="G258" s="23">
        <v>0.7</v>
      </c>
      <c r="I258" s="217" t="s">
        <v>1529</v>
      </c>
    </row>
    <row r="259" spans="1:9" hidden="1">
      <c r="A259" s="23">
        <v>259</v>
      </c>
      <c r="B259" s="84">
        <v>45750</v>
      </c>
      <c r="C259" s="23" t="s">
        <v>382</v>
      </c>
      <c r="D259" s="23" t="s">
        <v>234</v>
      </c>
      <c r="G259" s="23">
        <v>0.7</v>
      </c>
      <c r="I259" s="217" t="s">
        <v>1530</v>
      </c>
    </row>
    <row r="260" spans="1:9" hidden="1">
      <c r="A260" s="23">
        <v>260</v>
      </c>
      <c r="B260" s="84">
        <v>45750</v>
      </c>
      <c r="C260" s="23" t="s">
        <v>377</v>
      </c>
      <c r="D260" s="23" t="s">
        <v>245</v>
      </c>
      <c r="G260" s="23">
        <v>0</v>
      </c>
      <c r="I260" s="217" t="s">
        <v>1531</v>
      </c>
    </row>
    <row r="261" spans="1:9" hidden="1">
      <c r="A261" s="23">
        <v>261</v>
      </c>
      <c r="B261" s="84">
        <v>45750</v>
      </c>
      <c r="C261" s="23" t="s">
        <v>381</v>
      </c>
      <c r="D261" s="23" t="s">
        <v>226</v>
      </c>
      <c r="G261" s="23">
        <v>0</v>
      </c>
      <c r="I261" s="217" t="s">
        <v>1532</v>
      </c>
    </row>
    <row r="262" spans="1:9" hidden="1">
      <c r="A262" s="23">
        <v>262</v>
      </c>
      <c r="B262" s="84">
        <v>45750</v>
      </c>
      <c r="C262" s="23" t="s">
        <v>306</v>
      </c>
      <c r="D262" s="23" t="s">
        <v>211</v>
      </c>
      <c r="G262" s="23">
        <v>0</v>
      </c>
      <c r="I262" s="217" t="s">
        <v>1533</v>
      </c>
    </row>
    <row r="263" spans="1:9" hidden="1">
      <c r="A263" s="23">
        <v>263</v>
      </c>
      <c r="B263" s="84">
        <v>45750</v>
      </c>
      <c r="C263" s="23" t="s">
        <v>381</v>
      </c>
      <c r="D263" s="23" t="s">
        <v>214</v>
      </c>
      <c r="G263" s="23">
        <v>0.67</v>
      </c>
      <c r="I263" s="217" t="s">
        <v>1534</v>
      </c>
    </row>
    <row r="264" spans="1:9" hidden="1">
      <c r="A264" s="23">
        <v>264</v>
      </c>
      <c r="B264" s="84">
        <v>45750</v>
      </c>
      <c r="C264" s="23" t="s">
        <v>385</v>
      </c>
      <c r="D264" s="23" t="s">
        <v>245</v>
      </c>
      <c r="G264" s="23">
        <v>0.7</v>
      </c>
      <c r="I264" s="217" t="s">
        <v>1535</v>
      </c>
    </row>
    <row r="265" spans="1:9" hidden="1">
      <c r="A265" s="23">
        <v>265</v>
      </c>
      <c r="B265" s="84">
        <v>45750</v>
      </c>
      <c r="C265" s="23" t="s">
        <v>387</v>
      </c>
      <c r="D265" s="23" t="s">
        <v>226</v>
      </c>
      <c r="G265" s="23">
        <v>0.7</v>
      </c>
      <c r="I265" s="217" t="s">
        <v>1294</v>
      </c>
    </row>
    <row r="266" spans="1:9" hidden="1">
      <c r="A266" s="23">
        <v>266</v>
      </c>
      <c r="B266" s="84">
        <v>45750</v>
      </c>
      <c r="C266" s="23" t="s">
        <v>172</v>
      </c>
      <c r="D266" s="23" t="s">
        <v>229</v>
      </c>
      <c r="G266" s="23">
        <v>0.7</v>
      </c>
      <c r="I266" s="217" t="s">
        <v>1536</v>
      </c>
    </row>
    <row r="267" spans="1:9" hidden="1">
      <c r="A267" s="23">
        <v>267</v>
      </c>
      <c r="B267" s="84">
        <v>45750</v>
      </c>
      <c r="C267" s="23" t="s">
        <v>389</v>
      </c>
      <c r="D267" s="23" t="s">
        <v>388</v>
      </c>
      <c r="G267" s="23">
        <v>0.7</v>
      </c>
      <c r="I267" s="217" t="s">
        <v>1537</v>
      </c>
    </row>
    <row r="268" spans="1:9" hidden="1">
      <c r="A268" s="23">
        <v>268</v>
      </c>
      <c r="B268" s="84">
        <v>45750</v>
      </c>
      <c r="C268" s="23" t="s">
        <v>332</v>
      </c>
      <c r="D268" s="23" t="s">
        <v>391</v>
      </c>
      <c r="G268" s="23">
        <v>0.7</v>
      </c>
      <c r="I268" s="217" t="s">
        <v>1538</v>
      </c>
    </row>
    <row r="269" spans="1:9" hidden="1">
      <c r="A269" s="23">
        <v>269</v>
      </c>
      <c r="B269" s="84">
        <v>45750</v>
      </c>
      <c r="C269" s="23" t="s">
        <v>393</v>
      </c>
      <c r="D269" s="23" t="s">
        <v>335</v>
      </c>
      <c r="G269" s="23" t="s">
        <v>9</v>
      </c>
      <c r="I269" s="217" t="s">
        <v>1539</v>
      </c>
    </row>
    <row r="270" spans="1:9" hidden="1">
      <c r="A270" s="23">
        <v>270</v>
      </c>
      <c r="B270" s="84">
        <v>45750</v>
      </c>
      <c r="C270" s="23" t="s">
        <v>396</v>
      </c>
      <c r="D270" s="23" t="s">
        <v>395</v>
      </c>
      <c r="G270" s="23">
        <v>0.7</v>
      </c>
      <c r="I270" s="217" t="s">
        <v>1540</v>
      </c>
    </row>
    <row r="271" spans="1:9" hidden="1">
      <c r="A271" s="23">
        <v>271</v>
      </c>
      <c r="B271" s="84">
        <v>45750</v>
      </c>
      <c r="C271" s="23" t="s">
        <v>399</v>
      </c>
      <c r="D271" s="23" t="s">
        <v>398</v>
      </c>
      <c r="G271" s="23">
        <v>0.7</v>
      </c>
      <c r="I271" s="217" t="s">
        <v>1541</v>
      </c>
    </row>
    <row r="272" spans="1:9" hidden="1">
      <c r="A272" s="23">
        <v>272</v>
      </c>
      <c r="B272" s="84">
        <v>45750</v>
      </c>
      <c r="C272" s="23" t="s">
        <v>399</v>
      </c>
      <c r="D272" s="23" t="s">
        <v>401</v>
      </c>
      <c r="G272" s="23">
        <v>0.7</v>
      </c>
      <c r="I272" s="217" t="s">
        <v>1542</v>
      </c>
    </row>
    <row r="273" spans="1:9" hidden="1">
      <c r="A273" s="23">
        <v>273</v>
      </c>
      <c r="B273" s="84">
        <v>45750</v>
      </c>
      <c r="C273" s="23" t="s">
        <v>399</v>
      </c>
      <c r="D273" s="23" t="s">
        <v>403</v>
      </c>
      <c r="G273" s="23">
        <v>0.7</v>
      </c>
      <c r="I273" s="217" t="s">
        <v>1543</v>
      </c>
    </row>
    <row r="274" spans="1:9" hidden="1">
      <c r="A274" s="23">
        <v>274</v>
      </c>
      <c r="B274" s="84">
        <v>45750</v>
      </c>
      <c r="C274" s="23" t="s">
        <v>399</v>
      </c>
      <c r="D274" s="23" t="s">
        <v>404</v>
      </c>
      <c r="G274" s="23">
        <v>0.7</v>
      </c>
      <c r="I274" s="217" t="s">
        <v>1544</v>
      </c>
    </row>
    <row r="275" spans="1:9" hidden="1">
      <c r="A275" s="23">
        <v>275</v>
      </c>
      <c r="B275" s="84">
        <v>45750</v>
      </c>
      <c r="C275" s="23" t="s">
        <v>371</v>
      </c>
      <c r="D275" s="23" t="s">
        <v>183</v>
      </c>
      <c r="G275" s="23" t="s">
        <v>9</v>
      </c>
      <c r="I275" s="217" t="s">
        <v>1545</v>
      </c>
    </row>
    <row r="276" spans="1:9" hidden="1">
      <c r="A276" s="23">
        <v>276</v>
      </c>
      <c r="B276" s="84">
        <v>45750</v>
      </c>
      <c r="C276" s="23" t="s">
        <v>400</v>
      </c>
      <c r="D276" s="23" t="s">
        <v>398</v>
      </c>
      <c r="G276" s="23">
        <v>0</v>
      </c>
      <c r="I276" s="217" t="s">
        <v>1546</v>
      </c>
    </row>
    <row r="277" spans="1:9" hidden="1">
      <c r="A277" s="23">
        <v>277</v>
      </c>
      <c r="B277" s="84">
        <v>45750</v>
      </c>
      <c r="C277" s="23" t="s">
        <v>407</v>
      </c>
      <c r="D277" s="23" t="s">
        <v>398</v>
      </c>
      <c r="G277" s="23">
        <v>0.7</v>
      </c>
      <c r="I277" s="217" t="s">
        <v>1294</v>
      </c>
    </row>
    <row r="278" spans="1:9" hidden="1">
      <c r="A278" s="23">
        <v>278</v>
      </c>
      <c r="B278" s="84">
        <v>45750</v>
      </c>
      <c r="C278" s="23" t="s">
        <v>166</v>
      </c>
      <c r="D278" s="23" t="s">
        <v>164</v>
      </c>
      <c r="G278" s="23" t="s">
        <v>9</v>
      </c>
      <c r="I278" s="217" t="s">
        <v>1547</v>
      </c>
    </row>
    <row r="279" spans="1:9" hidden="1">
      <c r="A279" s="23">
        <v>279</v>
      </c>
      <c r="B279" s="84">
        <v>45750</v>
      </c>
      <c r="C279" s="23" t="s">
        <v>408</v>
      </c>
      <c r="D279" s="23" t="s">
        <v>398</v>
      </c>
      <c r="G279" s="23">
        <v>0</v>
      </c>
      <c r="I279" s="217" t="s">
        <v>1548</v>
      </c>
    </row>
    <row r="280" spans="1:9" hidden="1">
      <c r="A280" s="23">
        <v>280</v>
      </c>
      <c r="B280" s="84">
        <v>45750</v>
      </c>
      <c r="C280" s="23" t="s">
        <v>402</v>
      </c>
      <c r="D280" s="23" t="s">
        <v>401</v>
      </c>
      <c r="G280" s="23">
        <v>0</v>
      </c>
      <c r="I280" s="217" t="s">
        <v>1549</v>
      </c>
    </row>
    <row r="281" spans="1:9" hidden="1">
      <c r="A281" s="23">
        <v>281</v>
      </c>
      <c r="B281" s="84">
        <v>45750</v>
      </c>
      <c r="C281" s="23" t="s">
        <v>363</v>
      </c>
      <c r="D281" s="23" t="s">
        <v>239</v>
      </c>
      <c r="G281" s="23">
        <v>0</v>
      </c>
      <c r="I281" s="217" t="s">
        <v>1550</v>
      </c>
    </row>
    <row r="282" spans="1:9" hidden="1">
      <c r="A282" s="23">
        <v>282</v>
      </c>
      <c r="B282" s="84">
        <v>45750</v>
      </c>
      <c r="C282" s="23" t="s">
        <v>386</v>
      </c>
      <c r="D282" s="23" t="s">
        <v>226</v>
      </c>
      <c r="G282" s="23">
        <v>0</v>
      </c>
      <c r="I282" s="217" t="s">
        <v>1551</v>
      </c>
    </row>
    <row r="283" spans="1:9" hidden="1">
      <c r="A283" s="23">
        <v>283</v>
      </c>
      <c r="B283" s="84">
        <v>45750</v>
      </c>
      <c r="C283" s="23" t="s">
        <v>386</v>
      </c>
      <c r="D283" s="23" t="s">
        <v>245</v>
      </c>
      <c r="G283" s="23">
        <v>0</v>
      </c>
      <c r="I283" s="217" t="s">
        <v>1552</v>
      </c>
    </row>
    <row r="284" spans="1:9" hidden="1">
      <c r="A284" s="23">
        <v>284</v>
      </c>
      <c r="B284" s="84">
        <v>45750</v>
      </c>
      <c r="C284" s="23" t="s">
        <v>379</v>
      </c>
      <c r="D284" s="23" t="s">
        <v>229</v>
      </c>
      <c r="G284" s="23">
        <v>0</v>
      </c>
      <c r="I284" s="217" t="s">
        <v>1553</v>
      </c>
    </row>
    <row r="285" spans="1:9" hidden="1">
      <c r="A285" s="23">
        <v>285</v>
      </c>
      <c r="B285" s="84">
        <v>45750</v>
      </c>
      <c r="C285" s="23" t="s">
        <v>379</v>
      </c>
      <c r="D285" s="23" t="s">
        <v>232</v>
      </c>
      <c r="G285" s="23">
        <v>0</v>
      </c>
      <c r="I285" s="217" t="s">
        <v>1554</v>
      </c>
    </row>
    <row r="286" spans="1:9" hidden="1">
      <c r="A286" s="23">
        <v>286</v>
      </c>
      <c r="B286" s="84">
        <v>45750</v>
      </c>
      <c r="C286" s="23" t="s">
        <v>383</v>
      </c>
      <c r="D286" s="23" t="s">
        <v>234</v>
      </c>
      <c r="G286" s="23">
        <v>0</v>
      </c>
      <c r="I286" s="217" t="s">
        <v>1555</v>
      </c>
    </row>
    <row r="287" spans="1:9" hidden="1">
      <c r="A287" s="23">
        <v>287</v>
      </c>
      <c r="B287" s="84">
        <v>45750</v>
      </c>
      <c r="C287" s="23" t="s">
        <v>410</v>
      </c>
      <c r="D287" s="23" t="s">
        <v>217</v>
      </c>
      <c r="G287" s="23">
        <v>0.85</v>
      </c>
      <c r="I287" s="217" t="s">
        <v>1556</v>
      </c>
    </row>
    <row r="288" spans="1:9" hidden="1">
      <c r="A288" s="23">
        <v>288</v>
      </c>
      <c r="B288" s="84">
        <v>45750</v>
      </c>
      <c r="C288" s="23" t="s">
        <v>359</v>
      </c>
      <c r="D288" s="23" t="s">
        <v>225</v>
      </c>
      <c r="G288" s="23">
        <v>0</v>
      </c>
      <c r="I288" s="217" t="s">
        <v>1557</v>
      </c>
    </row>
    <row r="289" spans="1:9" hidden="1">
      <c r="A289" s="23">
        <v>290</v>
      </c>
      <c r="B289" s="84">
        <v>45750</v>
      </c>
      <c r="C289" s="23" t="s">
        <v>339</v>
      </c>
      <c r="D289" s="23" t="s">
        <v>335</v>
      </c>
      <c r="G289" s="23">
        <v>0.6</v>
      </c>
      <c r="H289" s="23" t="s">
        <v>1558</v>
      </c>
      <c r="I289" s="217" t="s">
        <v>1294</v>
      </c>
    </row>
    <row r="290" spans="1:9" hidden="1">
      <c r="A290" s="23">
        <v>290</v>
      </c>
      <c r="B290" s="84">
        <v>45750</v>
      </c>
      <c r="C290" s="23" t="s">
        <v>390</v>
      </c>
      <c r="D290" s="23" t="s">
        <v>388</v>
      </c>
      <c r="G290" s="23">
        <v>0</v>
      </c>
      <c r="I290" s="217" t="s">
        <v>1559</v>
      </c>
    </row>
    <row r="291" spans="1:9" hidden="1">
      <c r="A291" s="23">
        <v>291</v>
      </c>
      <c r="B291" s="84">
        <v>45750</v>
      </c>
      <c r="C291" s="23" t="s">
        <v>392</v>
      </c>
      <c r="D291" s="23" t="s">
        <v>391</v>
      </c>
      <c r="G291" s="23">
        <v>0</v>
      </c>
      <c r="I291" s="217" t="s">
        <v>1560</v>
      </c>
    </row>
    <row r="292" spans="1:9" hidden="1">
      <c r="A292" s="23">
        <v>292</v>
      </c>
      <c r="B292" s="84">
        <v>45750</v>
      </c>
      <c r="C292" s="23" t="s">
        <v>212</v>
      </c>
      <c r="D292" s="23" t="s">
        <v>239</v>
      </c>
      <c r="G292" s="23">
        <v>0.7</v>
      </c>
      <c r="I292" s="217" t="s">
        <v>1561</v>
      </c>
    </row>
    <row r="293" spans="1:9" hidden="1">
      <c r="A293" s="23">
        <v>293</v>
      </c>
      <c r="B293" s="84">
        <v>45750</v>
      </c>
      <c r="C293" s="23" t="s">
        <v>212</v>
      </c>
      <c r="D293" s="23" t="s">
        <v>401</v>
      </c>
      <c r="G293" s="23">
        <v>0.7</v>
      </c>
      <c r="I293" s="217" t="s">
        <v>1562</v>
      </c>
    </row>
    <row r="294" spans="1:9" hidden="1">
      <c r="A294" s="23">
        <v>294</v>
      </c>
      <c r="B294" s="84">
        <v>45750</v>
      </c>
      <c r="C294" s="23" t="s">
        <v>212</v>
      </c>
      <c r="D294" s="23" t="s">
        <v>211</v>
      </c>
      <c r="G294" s="23">
        <v>0.7</v>
      </c>
      <c r="I294" s="217" t="s">
        <v>1563</v>
      </c>
    </row>
    <row r="295" spans="1:9" hidden="1">
      <c r="A295" s="23">
        <v>295</v>
      </c>
      <c r="B295" s="84">
        <v>45750</v>
      </c>
      <c r="C295" s="23" t="s">
        <v>222</v>
      </c>
      <c r="D295" s="23" t="s">
        <v>220</v>
      </c>
      <c r="G295" s="23">
        <v>0</v>
      </c>
      <c r="I295" s="458" t="s">
        <v>1564</v>
      </c>
    </row>
    <row r="296" spans="1:9" hidden="1">
      <c r="A296" s="23">
        <v>296</v>
      </c>
      <c r="B296" s="84">
        <v>45750</v>
      </c>
      <c r="C296" s="23" t="s">
        <v>415</v>
      </c>
      <c r="D296" s="23" t="s">
        <v>245</v>
      </c>
      <c r="G296" s="23">
        <v>0.7</v>
      </c>
      <c r="I296" s="217" t="s">
        <v>1565</v>
      </c>
    </row>
    <row r="297" spans="1:9" hidden="1">
      <c r="A297" s="23">
        <v>297</v>
      </c>
      <c r="B297" s="84">
        <v>45750</v>
      </c>
      <c r="C297" s="23" t="s">
        <v>417</v>
      </c>
      <c r="D297" s="23" t="s">
        <v>226</v>
      </c>
      <c r="G297" s="23">
        <v>0.7</v>
      </c>
      <c r="I297" s="217" t="s">
        <v>1566</v>
      </c>
    </row>
    <row r="298" spans="1:9" hidden="1">
      <c r="A298" s="23">
        <v>298</v>
      </c>
      <c r="B298" s="84">
        <v>45750</v>
      </c>
      <c r="C298" s="23" t="s">
        <v>412</v>
      </c>
      <c r="D298" s="23" t="s">
        <v>335</v>
      </c>
      <c r="G298" s="23">
        <v>2</v>
      </c>
      <c r="H298" s="23" t="s">
        <v>1567</v>
      </c>
      <c r="I298" s="217" t="s">
        <v>1568</v>
      </c>
    </row>
    <row r="299" spans="1:9" hidden="1">
      <c r="A299" s="23">
        <v>299</v>
      </c>
      <c r="B299" s="84">
        <v>45750</v>
      </c>
      <c r="C299" s="23" t="s">
        <v>420</v>
      </c>
      <c r="D299" s="23" t="s">
        <v>229</v>
      </c>
      <c r="G299" s="23">
        <v>0.7</v>
      </c>
      <c r="I299" s="217" t="s">
        <v>1569</v>
      </c>
    </row>
    <row r="300" spans="1:9" hidden="1">
      <c r="A300" s="23">
        <v>300</v>
      </c>
      <c r="B300" s="84">
        <v>45750</v>
      </c>
      <c r="C300" s="23" t="s">
        <v>422</v>
      </c>
      <c r="D300" s="23" t="s">
        <v>232</v>
      </c>
      <c r="G300" s="23">
        <v>0.7</v>
      </c>
      <c r="I300" s="217" t="s">
        <v>1570</v>
      </c>
    </row>
    <row r="301" spans="1:9" hidden="1">
      <c r="A301" s="23">
        <v>301</v>
      </c>
      <c r="B301" s="84">
        <v>45750</v>
      </c>
      <c r="C301" s="23" t="s">
        <v>422</v>
      </c>
      <c r="D301" s="23" t="s">
        <v>234</v>
      </c>
      <c r="G301" s="23">
        <v>0.7</v>
      </c>
      <c r="I301" s="217" t="s">
        <v>1571</v>
      </c>
    </row>
    <row r="302" spans="1:9" hidden="1">
      <c r="A302" s="23">
        <v>302</v>
      </c>
      <c r="B302" s="84">
        <v>45750</v>
      </c>
      <c r="C302" s="23" t="s">
        <v>406</v>
      </c>
      <c r="D302" s="23" t="s">
        <v>183</v>
      </c>
      <c r="G302" s="23">
        <v>1.2</v>
      </c>
      <c r="I302" s="217" t="s">
        <v>1572</v>
      </c>
    </row>
    <row r="303" spans="1:9" hidden="1">
      <c r="A303" s="23">
        <v>303</v>
      </c>
      <c r="B303" s="84">
        <v>45750</v>
      </c>
      <c r="C303" s="23" t="s">
        <v>425</v>
      </c>
      <c r="D303" s="23" t="s">
        <v>388</v>
      </c>
      <c r="G303" s="23">
        <v>0.7</v>
      </c>
      <c r="I303" s="217" t="s">
        <v>1573</v>
      </c>
    </row>
    <row r="304" spans="1:9" hidden="1">
      <c r="A304" s="23">
        <v>304</v>
      </c>
      <c r="B304" s="84">
        <v>45750</v>
      </c>
      <c r="C304" s="23" t="s">
        <v>426</v>
      </c>
      <c r="D304" s="23" t="s">
        <v>220</v>
      </c>
      <c r="G304" s="23">
        <v>0.7</v>
      </c>
      <c r="I304" s="458" t="s">
        <v>1294</v>
      </c>
    </row>
    <row r="305" spans="1:9">
      <c r="A305" s="23">
        <v>305</v>
      </c>
      <c r="B305" s="84">
        <v>45750</v>
      </c>
      <c r="C305" s="23" t="s">
        <v>325</v>
      </c>
      <c r="D305" s="23" t="s">
        <v>177</v>
      </c>
      <c r="G305" s="23" t="s">
        <v>9</v>
      </c>
      <c r="I305" s="217" t="s">
        <v>1574</v>
      </c>
    </row>
    <row r="306" spans="1:9" hidden="1">
      <c r="A306" s="23">
        <v>306</v>
      </c>
      <c r="B306" s="84">
        <v>45750</v>
      </c>
      <c r="C306" s="23" t="s">
        <v>430</v>
      </c>
      <c r="D306" s="23" t="s">
        <v>391</v>
      </c>
      <c r="G306" s="23">
        <v>0.7</v>
      </c>
      <c r="I306" s="217" t="s">
        <v>1575</v>
      </c>
    </row>
    <row r="307" spans="1:9" hidden="1">
      <c r="A307" s="23">
        <v>307</v>
      </c>
      <c r="B307" s="84">
        <v>45750</v>
      </c>
      <c r="C307" s="23" t="s">
        <v>342</v>
      </c>
      <c r="D307" s="23" t="s">
        <v>391</v>
      </c>
      <c r="G307" s="23">
        <v>0</v>
      </c>
      <c r="I307" s="217" t="s">
        <v>1575</v>
      </c>
    </row>
    <row r="308" spans="1:9" hidden="1">
      <c r="A308" s="23">
        <v>308</v>
      </c>
      <c r="B308" s="84">
        <v>45750</v>
      </c>
      <c r="C308" s="23" t="s">
        <v>397</v>
      </c>
      <c r="D308" s="23" t="s">
        <v>395</v>
      </c>
      <c r="G308" s="23">
        <v>0</v>
      </c>
      <c r="I308" s="217" t="s">
        <v>1576</v>
      </c>
    </row>
    <row r="309" spans="1:9" hidden="1">
      <c r="A309" s="23">
        <v>309</v>
      </c>
      <c r="B309" s="84">
        <v>45750</v>
      </c>
      <c r="C309" s="23" t="s">
        <v>414</v>
      </c>
      <c r="D309" s="23" t="s">
        <v>401</v>
      </c>
      <c r="G309" s="23">
        <v>0</v>
      </c>
      <c r="I309" s="217" t="s">
        <v>1562</v>
      </c>
    </row>
    <row r="310" spans="1:9" hidden="1">
      <c r="A310" s="23">
        <v>310</v>
      </c>
      <c r="B310" s="84">
        <v>45750</v>
      </c>
      <c r="C310" s="23" t="s">
        <v>414</v>
      </c>
      <c r="D310" s="23" t="s">
        <v>401</v>
      </c>
      <c r="G310" s="23" t="s">
        <v>9</v>
      </c>
      <c r="I310" s="217" t="s">
        <v>1294</v>
      </c>
    </row>
    <row r="311" spans="1:9" hidden="1">
      <c r="A311" s="23">
        <v>311</v>
      </c>
      <c r="B311" s="84">
        <v>45750</v>
      </c>
      <c r="C311" s="23" t="s">
        <v>427</v>
      </c>
      <c r="D311" s="23" t="s">
        <v>220</v>
      </c>
      <c r="G311" s="23">
        <v>0</v>
      </c>
      <c r="I311" s="458" t="s">
        <v>1577</v>
      </c>
    </row>
    <row r="312" spans="1:9" hidden="1">
      <c r="A312" s="23">
        <v>312</v>
      </c>
      <c r="B312" s="84">
        <v>45750</v>
      </c>
      <c r="C312" s="23" t="s">
        <v>405</v>
      </c>
      <c r="D312" s="23" t="s">
        <v>404</v>
      </c>
      <c r="G312" s="23">
        <v>0</v>
      </c>
      <c r="I312" s="217" t="s">
        <v>1578</v>
      </c>
    </row>
    <row r="313" spans="1:9" hidden="1">
      <c r="A313" s="23">
        <v>313</v>
      </c>
      <c r="B313" s="84">
        <v>45750</v>
      </c>
      <c r="C313" s="23" t="s">
        <v>419</v>
      </c>
      <c r="D313" s="23" t="s">
        <v>395</v>
      </c>
      <c r="G313" s="23">
        <v>0.72</v>
      </c>
      <c r="I313" s="217" t="s">
        <v>1579</v>
      </c>
    </row>
    <row r="314" spans="1:9" hidden="1">
      <c r="A314" s="23">
        <v>314</v>
      </c>
      <c r="B314" s="84">
        <v>45750</v>
      </c>
      <c r="C314" s="23" t="s">
        <v>419</v>
      </c>
      <c r="D314" s="23" t="s">
        <v>391</v>
      </c>
      <c r="G314" s="23">
        <v>0.72</v>
      </c>
      <c r="I314" s="217" t="s">
        <v>1580</v>
      </c>
    </row>
    <row r="315" spans="1:9" hidden="1">
      <c r="A315" s="23">
        <v>315</v>
      </c>
      <c r="B315" s="84">
        <v>45750</v>
      </c>
      <c r="C315" s="23" t="s">
        <v>432</v>
      </c>
      <c r="D315" s="23" t="s">
        <v>404</v>
      </c>
      <c r="G315" s="23">
        <v>0.72</v>
      </c>
      <c r="I315" s="217" t="s">
        <v>1294</v>
      </c>
    </row>
    <row r="316" spans="1:9" hidden="1">
      <c r="A316" s="23">
        <v>316</v>
      </c>
      <c r="B316" s="84">
        <v>45750</v>
      </c>
      <c r="C316" s="23" t="s">
        <v>419</v>
      </c>
      <c r="D316" s="23" t="s">
        <v>335</v>
      </c>
      <c r="G316" s="23">
        <v>0</v>
      </c>
      <c r="I316" s="217" t="s">
        <v>1581</v>
      </c>
    </row>
    <row r="317" spans="1:9" hidden="1">
      <c r="A317" s="23">
        <v>317</v>
      </c>
      <c r="B317" s="84">
        <v>45750</v>
      </c>
      <c r="C317" s="23" t="s">
        <v>296</v>
      </c>
      <c r="D317" s="23" t="s">
        <v>403</v>
      </c>
      <c r="G317" s="23">
        <v>0</v>
      </c>
      <c r="I317" s="217" t="s">
        <v>1582</v>
      </c>
    </row>
    <row r="318" spans="1:9" hidden="1">
      <c r="A318" s="23">
        <v>318</v>
      </c>
      <c r="B318" s="84">
        <v>45750</v>
      </c>
      <c r="C318" s="23" t="s">
        <v>373</v>
      </c>
      <c r="D318" s="23" t="s">
        <v>236</v>
      </c>
      <c r="G318" s="23">
        <v>0</v>
      </c>
      <c r="I318" s="217" t="s">
        <v>1583</v>
      </c>
    </row>
    <row r="319" spans="1:9" hidden="1">
      <c r="A319" s="23">
        <v>319</v>
      </c>
      <c r="B319" s="84">
        <v>45750</v>
      </c>
      <c r="C319" s="23" t="s">
        <v>413</v>
      </c>
      <c r="D319" s="23" t="s">
        <v>239</v>
      </c>
      <c r="G319" s="23">
        <v>0</v>
      </c>
      <c r="I319" s="217" t="s">
        <v>1584</v>
      </c>
    </row>
    <row r="320" spans="1:9" hidden="1">
      <c r="A320" s="23">
        <v>320</v>
      </c>
      <c r="B320" s="84">
        <v>45750</v>
      </c>
      <c r="C320" s="23" t="s">
        <v>434</v>
      </c>
      <c r="D320" s="23" t="s">
        <v>403</v>
      </c>
      <c r="G320" s="23">
        <v>0.72</v>
      </c>
      <c r="I320" s="217" t="s">
        <v>1294</v>
      </c>
    </row>
    <row r="321" spans="1:9" hidden="1">
      <c r="A321" s="23">
        <v>321</v>
      </c>
      <c r="B321" s="84">
        <v>45750</v>
      </c>
      <c r="C321" s="23" t="s">
        <v>290</v>
      </c>
      <c r="D321" s="23" t="s">
        <v>388</v>
      </c>
      <c r="G321" s="23">
        <v>0</v>
      </c>
      <c r="I321" s="217" t="s">
        <v>1585</v>
      </c>
    </row>
    <row r="322" spans="1:9" hidden="1">
      <c r="A322" s="23">
        <v>322</v>
      </c>
      <c r="B322" s="84">
        <v>45750</v>
      </c>
      <c r="C322" s="23" t="s">
        <v>416</v>
      </c>
      <c r="D322" s="23" t="s">
        <v>245</v>
      </c>
      <c r="G322" s="23">
        <v>0</v>
      </c>
      <c r="I322" s="217" t="s">
        <v>1586</v>
      </c>
    </row>
    <row r="323" spans="1:9" hidden="1">
      <c r="A323" s="23">
        <v>323</v>
      </c>
      <c r="B323" s="84">
        <v>45750</v>
      </c>
      <c r="C323" s="23" t="s">
        <v>418</v>
      </c>
      <c r="D323" s="23" t="s">
        <v>226</v>
      </c>
      <c r="G323" s="23">
        <v>0</v>
      </c>
      <c r="I323" s="217" t="s">
        <v>1587</v>
      </c>
    </row>
    <row r="324" spans="1:9" hidden="1">
      <c r="A324" s="23">
        <v>324</v>
      </c>
      <c r="B324" s="84">
        <v>45750</v>
      </c>
      <c r="C324" s="23" t="s">
        <v>421</v>
      </c>
      <c r="D324" s="23" t="s">
        <v>229</v>
      </c>
      <c r="G324" s="23">
        <v>0</v>
      </c>
      <c r="I324" s="217" t="s">
        <v>1588</v>
      </c>
    </row>
    <row r="325" spans="1:9" hidden="1">
      <c r="A325" s="23">
        <v>325</v>
      </c>
      <c r="B325" s="84">
        <v>45750</v>
      </c>
      <c r="C325" s="23" t="s">
        <v>423</v>
      </c>
      <c r="D325" s="23" t="s">
        <v>232</v>
      </c>
      <c r="G325" s="23">
        <v>0</v>
      </c>
      <c r="I325" s="217" t="s">
        <v>1589</v>
      </c>
    </row>
    <row r="326" spans="1:9" hidden="1">
      <c r="A326" s="23">
        <v>326</v>
      </c>
      <c r="B326" s="84">
        <v>45750</v>
      </c>
      <c r="C326" s="23" t="s">
        <v>194</v>
      </c>
      <c r="D326" s="23" t="s">
        <v>192</v>
      </c>
      <c r="G326" s="23">
        <v>0</v>
      </c>
      <c r="I326" s="217" t="s">
        <v>1590</v>
      </c>
    </row>
    <row r="327" spans="1:9" hidden="1">
      <c r="A327" s="23">
        <v>327</v>
      </c>
      <c r="B327" s="84">
        <v>45750</v>
      </c>
      <c r="C327" s="23" t="s">
        <v>182</v>
      </c>
      <c r="D327" s="23" t="s">
        <v>234</v>
      </c>
      <c r="G327" s="23">
        <v>0</v>
      </c>
      <c r="I327" s="217" t="s">
        <v>1591</v>
      </c>
    </row>
    <row r="328" spans="1:9" hidden="1">
      <c r="A328" s="23">
        <v>328</v>
      </c>
      <c r="B328" s="84">
        <v>45750</v>
      </c>
      <c r="C328" s="23" t="s">
        <v>194</v>
      </c>
      <c r="D328" s="23" t="s">
        <v>192</v>
      </c>
      <c r="G328" s="23">
        <v>2</v>
      </c>
      <c r="I328" s="217" t="s">
        <v>1294</v>
      </c>
    </row>
    <row r="329" spans="1:9" hidden="1">
      <c r="A329" s="23">
        <v>329</v>
      </c>
      <c r="B329" s="84">
        <v>45750</v>
      </c>
      <c r="C329" s="23" t="s">
        <v>431</v>
      </c>
      <c r="D329" s="23" t="s">
        <v>391</v>
      </c>
      <c r="G329" s="23">
        <v>0</v>
      </c>
      <c r="I329" s="217" t="s">
        <v>1592</v>
      </c>
    </row>
    <row r="330" spans="1:9" hidden="1">
      <c r="A330" s="23">
        <v>330</v>
      </c>
      <c r="B330" s="84">
        <v>45750</v>
      </c>
      <c r="C330" s="23" t="s">
        <v>181</v>
      </c>
      <c r="D330" s="23" t="s">
        <v>395</v>
      </c>
      <c r="G330" s="23">
        <v>0</v>
      </c>
      <c r="I330" s="217" t="s">
        <v>1593</v>
      </c>
    </row>
    <row r="331" spans="1:9" hidden="1">
      <c r="A331" s="23">
        <v>331</v>
      </c>
      <c r="B331" s="84">
        <v>45750</v>
      </c>
      <c r="C331" s="23" t="s">
        <v>433</v>
      </c>
      <c r="D331" s="23" t="s">
        <v>404</v>
      </c>
      <c r="G331" s="23">
        <v>0</v>
      </c>
      <c r="I331" s="217" t="s">
        <v>1594</v>
      </c>
    </row>
    <row r="332" spans="1:9" hidden="1">
      <c r="A332" s="23">
        <v>332</v>
      </c>
      <c r="B332" s="84">
        <v>45750</v>
      </c>
      <c r="C332" s="23" t="s">
        <v>435</v>
      </c>
      <c r="D332" s="23" t="s">
        <v>403</v>
      </c>
      <c r="G332" s="23">
        <v>0</v>
      </c>
      <c r="I332" s="217" t="s">
        <v>1595</v>
      </c>
    </row>
    <row r="333" spans="1:9" hidden="1">
      <c r="A333" s="23">
        <v>333</v>
      </c>
      <c r="B333" s="84">
        <v>45750</v>
      </c>
      <c r="C333" s="23" t="s">
        <v>349</v>
      </c>
      <c r="D333" s="23" t="s">
        <v>192</v>
      </c>
      <c r="G333" s="23">
        <v>0</v>
      </c>
      <c r="H333" s="23" t="s">
        <v>1596</v>
      </c>
      <c r="I333" s="217" t="s">
        <v>1597</v>
      </c>
    </row>
    <row r="334" spans="1:9" hidden="1">
      <c r="A334" s="23">
        <v>334</v>
      </c>
      <c r="B334" s="84">
        <v>45750</v>
      </c>
      <c r="C334" s="23" t="s">
        <v>349</v>
      </c>
      <c r="D334" s="23" t="s">
        <v>192</v>
      </c>
      <c r="G334" s="23">
        <v>4</v>
      </c>
      <c r="I334" s="217" t="s">
        <v>1294</v>
      </c>
    </row>
    <row r="335" spans="1:9" hidden="1">
      <c r="A335" s="23">
        <v>335</v>
      </c>
      <c r="B335" s="84">
        <v>45750</v>
      </c>
      <c r="C335" s="23" t="s">
        <v>357</v>
      </c>
      <c r="D335" s="23" t="s">
        <v>186</v>
      </c>
      <c r="G335" s="23">
        <v>0</v>
      </c>
      <c r="I335" s="217" t="s">
        <v>1598</v>
      </c>
    </row>
    <row r="336" spans="1:9" hidden="1">
      <c r="A336" s="23">
        <v>336</v>
      </c>
      <c r="B336" s="84">
        <v>45750</v>
      </c>
      <c r="C336" s="23" t="s">
        <v>424</v>
      </c>
      <c r="D336" s="23" t="s">
        <v>183</v>
      </c>
      <c r="G336" s="23">
        <v>0</v>
      </c>
      <c r="I336" s="217" t="s">
        <v>1599</v>
      </c>
    </row>
    <row r="337" spans="1:9" hidden="1">
      <c r="A337" s="23">
        <v>337</v>
      </c>
      <c r="B337" s="84">
        <v>45751</v>
      </c>
      <c r="C337" s="23" t="s">
        <v>361</v>
      </c>
      <c r="D337" s="23" t="s">
        <v>242</v>
      </c>
      <c r="G337" s="23">
        <v>0</v>
      </c>
      <c r="I337" s="217" t="s">
        <v>1600</v>
      </c>
    </row>
    <row r="338" spans="1:9" hidden="1">
      <c r="A338" s="23">
        <v>338</v>
      </c>
      <c r="B338" s="84">
        <v>45751</v>
      </c>
      <c r="C338" s="23" t="s">
        <v>284</v>
      </c>
      <c r="D338" s="23" t="s">
        <v>220</v>
      </c>
      <c r="G338" s="23">
        <v>0.49</v>
      </c>
      <c r="I338" s="458" t="s">
        <v>1601</v>
      </c>
    </row>
    <row r="339" spans="1:9" hidden="1">
      <c r="A339" s="23">
        <v>339</v>
      </c>
      <c r="B339" s="84">
        <v>45751</v>
      </c>
      <c r="C339" s="23" t="s">
        <v>384</v>
      </c>
      <c r="D339" s="23" t="s">
        <v>214</v>
      </c>
      <c r="G339" s="23">
        <v>0</v>
      </c>
      <c r="I339" s="217" t="s">
        <v>1602</v>
      </c>
    </row>
    <row r="340" spans="1:9" hidden="1">
      <c r="A340" s="23">
        <v>340</v>
      </c>
      <c r="B340" s="84">
        <v>45751</v>
      </c>
      <c r="C340" s="23" t="s">
        <v>437</v>
      </c>
      <c r="D340" s="23" t="s">
        <v>229</v>
      </c>
      <c r="G340" s="23">
        <v>0.7</v>
      </c>
      <c r="I340" s="217" t="s">
        <v>1603</v>
      </c>
    </row>
    <row r="341" spans="1:9" hidden="1">
      <c r="A341" s="23">
        <v>341</v>
      </c>
      <c r="B341" s="84">
        <v>45751</v>
      </c>
      <c r="C341" s="23" t="s">
        <v>439</v>
      </c>
      <c r="D341" s="23" t="s">
        <v>226</v>
      </c>
      <c r="G341" s="23">
        <v>0.7</v>
      </c>
      <c r="I341" s="217" t="s">
        <v>1604</v>
      </c>
    </row>
    <row r="342" spans="1:9" hidden="1">
      <c r="A342" s="23">
        <v>342</v>
      </c>
      <c r="B342" s="84">
        <v>45751</v>
      </c>
      <c r="C342" s="23" t="s">
        <v>439</v>
      </c>
      <c r="D342" s="23" t="s">
        <v>236</v>
      </c>
      <c r="G342" s="23">
        <v>0.7</v>
      </c>
      <c r="I342" s="217" t="s">
        <v>1605</v>
      </c>
    </row>
    <row r="343" spans="1:9">
      <c r="A343" s="23">
        <v>343</v>
      </c>
      <c r="B343" s="84">
        <v>45751</v>
      </c>
      <c r="C343" s="23" t="s">
        <v>176</v>
      </c>
      <c r="D343" s="23" t="s">
        <v>174</v>
      </c>
      <c r="G343" s="23">
        <v>0</v>
      </c>
      <c r="I343" s="217" t="s">
        <v>1606</v>
      </c>
    </row>
    <row r="344" spans="1:9" hidden="1">
      <c r="A344" s="23">
        <v>344</v>
      </c>
      <c r="B344" s="84">
        <v>45751</v>
      </c>
      <c r="C344" s="23" t="s">
        <v>442</v>
      </c>
      <c r="D344" s="23" t="s">
        <v>232</v>
      </c>
      <c r="G344" s="23">
        <v>0.7</v>
      </c>
      <c r="I344" s="217" t="s">
        <v>1607</v>
      </c>
    </row>
    <row r="345" spans="1:9" hidden="1">
      <c r="A345" s="23">
        <v>345</v>
      </c>
      <c r="B345" s="84">
        <v>45751</v>
      </c>
      <c r="C345" s="23" t="s">
        <v>442</v>
      </c>
      <c r="D345" s="23" t="s">
        <v>239</v>
      </c>
      <c r="G345" s="23">
        <v>0.7</v>
      </c>
      <c r="I345" s="217" t="s">
        <v>1608</v>
      </c>
    </row>
    <row r="346" spans="1:9" hidden="1">
      <c r="A346" s="23">
        <v>346</v>
      </c>
      <c r="B346" s="84">
        <v>45751</v>
      </c>
      <c r="C346" s="23" t="s">
        <v>442</v>
      </c>
      <c r="D346" s="23" t="s">
        <v>234</v>
      </c>
      <c r="G346" s="23">
        <v>0.7</v>
      </c>
      <c r="I346" s="217" t="s">
        <v>1609</v>
      </c>
    </row>
    <row r="347" spans="1:9" hidden="1">
      <c r="A347" s="23">
        <v>347</v>
      </c>
      <c r="B347" s="84">
        <v>45751</v>
      </c>
      <c r="C347" s="23" t="s">
        <v>191</v>
      </c>
      <c r="D347" s="23" t="s">
        <v>189</v>
      </c>
      <c r="G347" s="23" t="s">
        <v>9</v>
      </c>
      <c r="H347" s="94" t="s">
        <v>445</v>
      </c>
      <c r="I347" s="217" t="s">
        <v>1610</v>
      </c>
    </row>
    <row r="348" spans="1:9" hidden="1">
      <c r="A348" s="23">
        <v>348</v>
      </c>
      <c r="B348" s="84">
        <v>45751</v>
      </c>
      <c r="C348" s="23" t="s">
        <v>191</v>
      </c>
      <c r="D348" s="23" t="s">
        <v>401</v>
      </c>
      <c r="G348" s="23">
        <v>0.7</v>
      </c>
      <c r="I348" s="217" t="s">
        <v>1611</v>
      </c>
    </row>
    <row r="349" spans="1:9" hidden="1">
      <c r="A349" s="23">
        <v>349</v>
      </c>
      <c r="B349" s="84">
        <v>45751</v>
      </c>
      <c r="C349" s="23" t="s">
        <v>446</v>
      </c>
      <c r="D349" s="23" t="s">
        <v>391</v>
      </c>
      <c r="G349" s="23">
        <v>0.7</v>
      </c>
      <c r="I349" s="217" t="s">
        <v>1612</v>
      </c>
    </row>
    <row r="350" spans="1:9" hidden="1">
      <c r="A350" s="23">
        <v>350</v>
      </c>
      <c r="B350" s="84">
        <v>45751</v>
      </c>
      <c r="C350" s="23" t="s">
        <v>439</v>
      </c>
      <c r="D350" s="23" t="s">
        <v>245</v>
      </c>
      <c r="G350" s="23">
        <v>0.7</v>
      </c>
      <c r="I350" s="217" t="s">
        <v>1613</v>
      </c>
    </row>
    <row r="351" spans="1:9">
      <c r="A351" s="23">
        <v>351</v>
      </c>
      <c r="B351" s="84">
        <v>45751</v>
      </c>
      <c r="C351" s="23" t="s">
        <v>448</v>
      </c>
      <c r="D351" s="23" t="s">
        <v>174</v>
      </c>
      <c r="G351" s="23">
        <v>1</v>
      </c>
      <c r="I351" s="217" t="s">
        <v>1614</v>
      </c>
    </row>
    <row r="352" spans="1:9" hidden="1">
      <c r="A352" s="23">
        <v>352</v>
      </c>
      <c r="B352" s="84">
        <v>45751</v>
      </c>
      <c r="C352" s="23" t="s">
        <v>443</v>
      </c>
      <c r="D352" s="23" t="s">
        <v>239</v>
      </c>
      <c r="G352" s="23">
        <v>0</v>
      </c>
      <c r="I352" s="217" t="s">
        <v>1608</v>
      </c>
    </row>
    <row r="353" spans="1:9" hidden="1">
      <c r="A353" s="23">
        <v>353</v>
      </c>
      <c r="B353" s="84">
        <v>45751</v>
      </c>
      <c r="C353" s="23" t="s">
        <v>443</v>
      </c>
      <c r="D353" s="23" t="s">
        <v>245</v>
      </c>
      <c r="G353" s="23">
        <v>0</v>
      </c>
      <c r="I353" s="217" t="s">
        <v>1615</v>
      </c>
    </row>
    <row r="354" spans="1:9" hidden="1">
      <c r="A354" s="23">
        <v>354</v>
      </c>
      <c r="B354" s="84">
        <v>45751</v>
      </c>
      <c r="C354" s="23" t="s">
        <v>450</v>
      </c>
      <c r="D354" s="23" t="s">
        <v>245</v>
      </c>
      <c r="G354" s="23">
        <v>0.7</v>
      </c>
      <c r="I354" s="217" t="s">
        <v>1616</v>
      </c>
    </row>
    <row r="355" spans="1:9" hidden="1">
      <c r="A355" s="23">
        <v>355</v>
      </c>
      <c r="B355" s="84">
        <v>45751</v>
      </c>
      <c r="C355" s="23" t="s">
        <v>447</v>
      </c>
      <c r="D355" s="23" t="s">
        <v>391</v>
      </c>
      <c r="G355" s="23">
        <v>0</v>
      </c>
      <c r="I355" s="217" t="s">
        <v>1617</v>
      </c>
    </row>
    <row r="356" spans="1:9" hidden="1">
      <c r="A356" s="23">
        <v>356</v>
      </c>
      <c r="B356" s="84">
        <v>45751</v>
      </c>
      <c r="C356" s="23" t="s">
        <v>440</v>
      </c>
      <c r="D356" s="23" t="s">
        <v>401</v>
      </c>
      <c r="G356" s="23">
        <v>0</v>
      </c>
      <c r="I356" s="217" t="s">
        <v>1618</v>
      </c>
    </row>
    <row r="357" spans="1:9" hidden="1">
      <c r="A357" s="23">
        <v>357</v>
      </c>
      <c r="B357" s="84">
        <v>45751</v>
      </c>
      <c r="C357" s="23" t="s">
        <v>440</v>
      </c>
      <c r="D357" s="23" t="s">
        <v>226</v>
      </c>
      <c r="G357" s="23">
        <v>0</v>
      </c>
      <c r="I357" s="217" t="s">
        <v>1619</v>
      </c>
    </row>
    <row r="358" spans="1:9" hidden="1">
      <c r="A358" s="23">
        <v>358</v>
      </c>
      <c r="B358" s="84">
        <v>45751</v>
      </c>
      <c r="C358" s="23" t="s">
        <v>438</v>
      </c>
      <c r="D358" s="23" t="s">
        <v>229</v>
      </c>
      <c r="G358" s="23">
        <v>0</v>
      </c>
      <c r="I358" s="217" t="s">
        <v>1620</v>
      </c>
    </row>
    <row r="359" spans="1:9" hidden="1">
      <c r="A359" s="23">
        <v>359</v>
      </c>
      <c r="B359" s="84">
        <v>45751</v>
      </c>
      <c r="C359" s="23" t="s">
        <v>293</v>
      </c>
      <c r="D359" s="23" t="s">
        <v>232</v>
      </c>
      <c r="G359" s="23">
        <v>0</v>
      </c>
      <c r="I359" s="217" t="s">
        <v>1621</v>
      </c>
    </row>
    <row r="360" spans="1:9" hidden="1">
      <c r="A360" s="23">
        <v>360</v>
      </c>
      <c r="B360" s="84">
        <v>45751</v>
      </c>
      <c r="C360" s="23" t="s">
        <v>441</v>
      </c>
      <c r="D360" s="23" t="s">
        <v>234</v>
      </c>
      <c r="G360" s="23">
        <v>0</v>
      </c>
      <c r="I360" s="217" t="s">
        <v>1622</v>
      </c>
    </row>
    <row r="361" spans="1:9" hidden="1">
      <c r="A361" s="23">
        <v>361</v>
      </c>
      <c r="B361" s="84">
        <v>45751</v>
      </c>
      <c r="C361" s="23" t="s">
        <v>441</v>
      </c>
      <c r="D361" s="23" t="s">
        <v>236</v>
      </c>
      <c r="G361" s="23">
        <v>0</v>
      </c>
      <c r="I361" s="217" t="s">
        <v>1623</v>
      </c>
    </row>
    <row r="362" spans="1:9" hidden="1">
      <c r="A362" s="23">
        <v>362</v>
      </c>
      <c r="B362" s="84">
        <v>45751</v>
      </c>
      <c r="C362" s="23" t="s">
        <v>356</v>
      </c>
      <c r="D362" s="23" t="s">
        <v>226</v>
      </c>
      <c r="G362" s="23">
        <v>0.7</v>
      </c>
      <c r="I362" s="217" t="s">
        <v>1294</v>
      </c>
    </row>
    <row r="363" spans="1:9" hidden="1">
      <c r="A363" s="23">
        <v>363</v>
      </c>
      <c r="B363" s="84">
        <v>45751</v>
      </c>
      <c r="C363" s="23" t="s">
        <v>453</v>
      </c>
      <c r="D363" s="23" t="s">
        <v>229</v>
      </c>
      <c r="G363" s="23">
        <v>0.7</v>
      </c>
      <c r="I363" s="217" t="s">
        <v>1294</v>
      </c>
    </row>
    <row r="364" spans="1:9" hidden="1">
      <c r="A364" s="23">
        <v>364</v>
      </c>
      <c r="B364" s="84">
        <v>45751</v>
      </c>
      <c r="C364" s="23" t="s">
        <v>358</v>
      </c>
      <c r="D364" s="23" t="s">
        <v>232</v>
      </c>
      <c r="G364" s="23">
        <v>0.7</v>
      </c>
      <c r="I364" s="217" t="s">
        <v>1624</v>
      </c>
    </row>
    <row r="365" spans="1:9" hidden="1">
      <c r="A365" s="23">
        <v>365</v>
      </c>
      <c r="B365" s="84">
        <v>45751</v>
      </c>
      <c r="C365" s="23" t="s">
        <v>456</v>
      </c>
      <c r="D365" s="23" t="s">
        <v>186</v>
      </c>
      <c r="G365" s="23">
        <v>1</v>
      </c>
      <c r="I365" s="217" t="s">
        <v>1625</v>
      </c>
    </row>
    <row r="366" spans="1:9" hidden="1">
      <c r="A366" s="23">
        <v>366</v>
      </c>
      <c r="B366" s="84">
        <v>45751</v>
      </c>
      <c r="C366" s="23" t="s">
        <v>451</v>
      </c>
      <c r="D366" s="23" t="s">
        <v>245</v>
      </c>
      <c r="G366" s="23">
        <v>0</v>
      </c>
      <c r="I366" s="217" t="s">
        <v>1626</v>
      </c>
    </row>
    <row r="367" spans="1:9" hidden="1">
      <c r="A367" s="23">
        <v>367</v>
      </c>
      <c r="B367" s="84">
        <v>45751</v>
      </c>
      <c r="C367" s="23" t="s">
        <v>218</v>
      </c>
      <c r="D367" s="23" t="s">
        <v>214</v>
      </c>
      <c r="G367" s="23">
        <v>0.55000000000000004</v>
      </c>
      <c r="I367" s="217" t="s">
        <v>1627</v>
      </c>
    </row>
    <row r="368" spans="1:9" hidden="1">
      <c r="A368" s="23">
        <v>368</v>
      </c>
      <c r="B368" s="84">
        <v>45751</v>
      </c>
      <c r="C368" s="23" t="s">
        <v>213</v>
      </c>
      <c r="D368" s="23" t="s">
        <v>211</v>
      </c>
      <c r="G368" s="23">
        <v>0</v>
      </c>
      <c r="I368" s="217" t="s">
        <v>1628</v>
      </c>
    </row>
    <row r="369" spans="1:9" hidden="1">
      <c r="A369" s="23">
        <v>369</v>
      </c>
      <c r="B369" s="84">
        <v>45751</v>
      </c>
      <c r="C369" s="23" t="s">
        <v>452</v>
      </c>
      <c r="D369" s="23" t="s">
        <v>226</v>
      </c>
      <c r="G369" s="23">
        <v>0</v>
      </c>
      <c r="I369" s="217" t="s">
        <v>1629</v>
      </c>
    </row>
    <row r="370" spans="1:9" hidden="1">
      <c r="A370" s="23">
        <v>370</v>
      </c>
      <c r="B370" s="84">
        <v>45751</v>
      </c>
      <c r="C370" s="23" t="s">
        <v>454</v>
      </c>
      <c r="D370" s="23" t="s">
        <v>229</v>
      </c>
      <c r="G370" s="23">
        <v>0</v>
      </c>
      <c r="I370" s="217" t="s">
        <v>1630</v>
      </c>
    </row>
    <row r="371" spans="1:9" hidden="1">
      <c r="A371" s="23">
        <v>371</v>
      </c>
      <c r="B371" s="84">
        <v>45751</v>
      </c>
      <c r="C371" s="23" t="s">
        <v>455</v>
      </c>
      <c r="D371" s="23" t="s">
        <v>232</v>
      </c>
      <c r="G371" s="23">
        <v>0</v>
      </c>
      <c r="I371" s="217" t="s">
        <v>1624</v>
      </c>
    </row>
    <row r="372" spans="1:9" hidden="1">
      <c r="A372" s="23">
        <v>372</v>
      </c>
      <c r="B372" s="84">
        <v>45751</v>
      </c>
      <c r="C372" s="23" t="s">
        <v>458</v>
      </c>
      <c r="D372" s="23" t="s">
        <v>242</v>
      </c>
      <c r="G372" s="23">
        <v>0.5</v>
      </c>
      <c r="I372" s="217" t="s">
        <v>1631</v>
      </c>
    </row>
    <row r="373" spans="1:9" hidden="1">
      <c r="A373" s="23">
        <v>373</v>
      </c>
      <c r="B373" s="84">
        <v>45751</v>
      </c>
      <c r="C373" s="23" t="s">
        <v>458</v>
      </c>
      <c r="D373" s="23" t="s">
        <v>234</v>
      </c>
      <c r="G373" s="23">
        <v>0.7</v>
      </c>
      <c r="I373" s="217" t="s">
        <v>1632</v>
      </c>
    </row>
    <row r="374" spans="1:9" hidden="1">
      <c r="A374" s="23">
        <v>374</v>
      </c>
      <c r="B374" s="84">
        <v>45751</v>
      </c>
      <c r="C374" s="23" t="s">
        <v>461</v>
      </c>
      <c r="D374" s="23" t="s">
        <v>183</v>
      </c>
      <c r="G374" s="23">
        <v>0.7</v>
      </c>
      <c r="I374" s="217" t="s">
        <v>1633</v>
      </c>
    </row>
    <row r="375" spans="1:9" hidden="1">
      <c r="A375" s="23">
        <v>375</v>
      </c>
      <c r="B375" s="84">
        <v>45751</v>
      </c>
      <c r="C375" s="23" t="s">
        <v>255</v>
      </c>
      <c r="D375" s="23" t="s">
        <v>236</v>
      </c>
      <c r="G375" s="23">
        <v>0.7</v>
      </c>
      <c r="I375" s="217" t="s">
        <v>1634</v>
      </c>
    </row>
    <row r="376" spans="1:9" hidden="1">
      <c r="A376" s="23">
        <v>376</v>
      </c>
      <c r="B376" s="84">
        <v>45751</v>
      </c>
      <c r="C376" s="23" t="s">
        <v>464</v>
      </c>
      <c r="D376" s="23" t="s">
        <v>239</v>
      </c>
      <c r="G376" s="23">
        <v>0.7</v>
      </c>
      <c r="I376" s="217" t="s">
        <v>1635</v>
      </c>
    </row>
    <row r="377" spans="1:9" hidden="1">
      <c r="A377" s="23">
        <v>377</v>
      </c>
      <c r="B377" s="84">
        <v>45751</v>
      </c>
      <c r="C377" s="23" t="s">
        <v>466</v>
      </c>
      <c r="D377" s="23" t="s">
        <v>245</v>
      </c>
      <c r="G377" s="23">
        <v>0.7</v>
      </c>
      <c r="I377" s="217" t="s">
        <v>1636</v>
      </c>
    </row>
    <row r="378" spans="1:9" hidden="1">
      <c r="A378" s="23">
        <v>378</v>
      </c>
      <c r="B378" s="84">
        <v>45751</v>
      </c>
      <c r="C378" s="23" t="s">
        <v>468</v>
      </c>
      <c r="D378" s="23" t="s">
        <v>226</v>
      </c>
      <c r="G378" s="23">
        <v>0.7</v>
      </c>
      <c r="I378" s="217" t="s">
        <v>1637</v>
      </c>
    </row>
    <row r="379" spans="1:9" hidden="1">
      <c r="A379" s="23">
        <v>379</v>
      </c>
      <c r="B379" s="84">
        <v>45751</v>
      </c>
      <c r="C379" s="23" t="s">
        <v>470</v>
      </c>
      <c r="D379" s="23" t="s">
        <v>229</v>
      </c>
      <c r="G379" s="23">
        <v>0.7</v>
      </c>
      <c r="I379" s="217" t="s">
        <v>1638</v>
      </c>
    </row>
    <row r="380" spans="1:9" hidden="1">
      <c r="A380" s="23">
        <v>380</v>
      </c>
      <c r="B380" s="84">
        <v>45751</v>
      </c>
      <c r="C380" s="23" t="s">
        <v>472</v>
      </c>
      <c r="D380" s="23" t="s">
        <v>232</v>
      </c>
      <c r="G380" s="23">
        <v>0.7</v>
      </c>
      <c r="I380" s="217" t="s">
        <v>1639</v>
      </c>
    </row>
    <row r="381" spans="1:9" hidden="1">
      <c r="A381" s="23">
        <v>381</v>
      </c>
      <c r="B381" s="84">
        <v>45751</v>
      </c>
      <c r="C381" s="23" t="s">
        <v>251</v>
      </c>
      <c r="D381" s="23" t="s">
        <v>388</v>
      </c>
      <c r="G381" s="23">
        <v>0.7</v>
      </c>
      <c r="I381" s="217" t="s">
        <v>1640</v>
      </c>
    </row>
    <row r="382" spans="1:9" hidden="1">
      <c r="A382" s="23">
        <v>382</v>
      </c>
      <c r="B382" s="84">
        <v>45751</v>
      </c>
      <c r="C382" s="23" t="s">
        <v>319</v>
      </c>
      <c r="D382" s="23" t="s">
        <v>391</v>
      </c>
      <c r="G382" s="23">
        <v>0.7</v>
      </c>
      <c r="I382" s="217" t="s">
        <v>1641</v>
      </c>
    </row>
    <row r="383" spans="1:9" hidden="1">
      <c r="A383" s="23">
        <v>383</v>
      </c>
      <c r="B383" s="84">
        <v>45751</v>
      </c>
      <c r="C383" s="23" t="s">
        <v>365</v>
      </c>
      <c r="D383" s="23" t="s">
        <v>395</v>
      </c>
      <c r="G383" s="23">
        <v>0.7</v>
      </c>
      <c r="I383" s="217" t="s">
        <v>1642</v>
      </c>
    </row>
    <row r="384" spans="1:9" hidden="1">
      <c r="A384" s="23">
        <v>384</v>
      </c>
      <c r="B384" s="84">
        <v>45751</v>
      </c>
      <c r="C384" s="23" t="s">
        <v>476</v>
      </c>
      <c r="D384" s="23" t="s">
        <v>335</v>
      </c>
      <c r="G384" s="23" t="s">
        <v>9</v>
      </c>
      <c r="I384" s="217" t="s">
        <v>1643</v>
      </c>
    </row>
    <row r="385" spans="1:9" hidden="1">
      <c r="A385" s="23">
        <v>385</v>
      </c>
      <c r="B385" s="84">
        <v>45751</v>
      </c>
      <c r="C385" s="23" t="s">
        <v>262</v>
      </c>
      <c r="D385" s="23" t="s">
        <v>404</v>
      </c>
      <c r="G385" s="23">
        <v>0.7</v>
      </c>
      <c r="I385" s="217" t="s">
        <v>1644</v>
      </c>
    </row>
    <row r="386" spans="1:9" hidden="1">
      <c r="A386" s="23">
        <v>386</v>
      </c>
      <c r="B386" s="84">
        <v>45751</v>
      </c>
      <c r="C386" s="23" t="s">
        <v>474</v>
      </c>
      <c r="D386" s="23" t="s">
        <v>403</v>
      </c>
      <c r="G386" s="23">
        <v>0.7</v>
      </c>
      <c r="I386" s="217" t="s">
        <v>1645</v>
      </c>
    </row>
    <row r="387" spans="1:9" hidden="1">
      <c r="A387" s="23">
        <v>387</v>
      </c>
      <c r="B387" s="84">
        <v>45751</v>
      </c>
      <c r="C387" s="23" t="s">
        <v>474</v>
      </c>
      <c r="D387" s="23" t="s">
        <v>388</v>
      </c>
      <c r="G387" s="23" t="s">
        <v>9</v>
      </c>
      <c r="H387" s="23" t="s">
        <v>481</v>
      </c>
      <c r="I387" s="217" t="s">
        <v>1640</v>
      </c>
    </row>
    <row r="388" spans="1:9" hidden="1">
      <c r="A388" s="23">
        <v>388</v>
      </c>
      <c r="B388" s="84">
        <v>45751</v>
      </c>
      <c r="C388" s="23" t="s">
        <v>320</v>
      </c>
      <c r="D388" s="23" t="s">
        <v>388</v>
      </c>
      <c r="G388" s="23">
        <v>0</v>
      </c>
      <c r="H388" s="23" t="s">
        <v>1646</v>
      </c>
      <c r="I388" s="217" t="s">
        <v>1640</v>
      </c>
    </row>
    <row r="389" spans="1:9" hidden="1">
      <c r="A389" s="23">
        <v>388</v>
      </c>
      <c r="B389" s="84">
        <v>45751</v>
      </c>
      <c r="C389" s="23" t="s">
        <v>322</v>
      </c>
      <c r="D389" s="23" t="s">
        <v>388</v>
      </c>
      <c r="G389" s="23">
        <v>0.7</v>
      </c>
      <c r="I389" s="217" t="s">
        <v>1640</v>
      </c>
    </row>
    <row r="390" spans="1:9" hidden="1">
      <c r="A390" s="23">
        <v>390</v>
      </c>
      <c r="B390" s="84">
        <v>45751</v>
      </c>
      <c r="C390" s="23" t="s">
        <v>483</v>
      </c>
      <c r="D390" s="23" t="s">
        <v>401</v>
      </c>
      <c r="G390" s="23">
        <v>0.7</v>
      </c>
      <c r="I390" s="217" t="s">
        <v>1647</v>
      </c>
    </row>
    <row r="391" spans="1:9" hidden="1">
      <c r="A391" s="23">
        <v>391</v>
      </c>
      <c r="B391" s="84">
        <v>45751</v>
      </c>
      <c r="C391" s="23" t="s">
        <v>485</v>
      </c>
      <c r="D391" s="23" t="s">
        <v>398</v>
      </c>
      <c r="G391" s="23">
        <v>0.7</v>
      </c>
      <c r="I391" s="217" t="s">
        <v>1648</v>
      </c>
    </row>
    <row r="392" spans="1:9" hidden="1">
      <c r="A392" s="23">
        <v>392</v>
      </c>
      <c r="B392" s="84">
        <v>45751</v>
      </c>
      <c r="C392" s="23" t="s">
        <v>428</v>
      </c>
      <c r="D392" s="23" t="s">
        <v>192</v>
      </c>
      <c r="G392" s="23" t="s">
        <v>9</v>
      </c>
      <c r="H392" s="23" t="s">
        <v>1649</v>
      </c>
      <c r="I392" s="217" t="s">
        <v>1650</v>
      </c>
    </row>
    <row r="393" spans="1:9">
      <c r="A393" s="23">
        <v>393</v>
      </c>
      <c r="B393" s="84">
        <v>45751</v>
      </c>
      <c r="C393" s="23" t="s">
        <v>428</v>
      </c>
      <c r="D393" s="23" t="s">
        <v>177</v>
      </c>
      <c r="G393" s="23">
        <v>2.7</v>
      </c>
      <c r="I393" s="217" t="s">
        <v>1651</v>
      </c>
    </row>
    <row r="394" spans="1:9" hidden="1">
      <c r="A394" s="23">
        <v>394</v>
      </c>
      <c r="B394" s="84">
        <v>45751</v>
      </c>
      <c r="C394" s="23" t="s">
        <v>270</v>
      </c>
      <c r="D394" s="23" t="s">
        <v>199</v>
      </c>
      <c r="G394" s="23">
        <v>0.9</v>
      </c>
      <c r="I394" s="217" t="s">
        <v>1652</v>
      </c>
    </row>
    <row r="395" spans="1:9">
      <c r="A395" s="23">
        <v>395</v>
      </c>
      <c r="B395" s="84">
        <v>45751</v>
      </c>
      <c r="C395" s="23" t="s">
        <v>270</v>
      </c>
      <c r="D395" s="23" t="s">
        <v>177</v>
      </c>
      <c r="G395" s="23" t="s">
        <v>9</v>
      </c>
      <c r="H395" s="23" t="s">
        <v>1653</v>
      </c>
      <c r="I395" s="217" t="s">
        <v>1651</v>
      </c>
    </row>
    <row r="396" spans="1:9" hidden="1">
      <c r="A396" s="23">
        <v>396</v>
      </c>
      <c r="B396" s="84">
        <v>45751</v>
      </c>
      <c r="C396" s="23" t="s">
        <v>207</v>
      </c>
      <c r="D396" s="23" t="s">
        <v>202</v>
      </c>
      <c r="G396" s="23">
        <v>0.9</v>
      </c>
      <c r="I396" s="217" t="s">
        <v>1654</v>
      </c>
    </row>
    <row r="397" spans="1:9" hidden="1">
      <c r="A397" s="23">
        <v>397</v>
      </c>
      <c r="B397" s="84">
        <v>45751</v>
      </c>
      <c r="C397" s="23" t="s">
        <v>207</v>
      </c>
      <c r="D397" s="23" t="s">
        <v>205</v>
      </c>
      <c r="G397" s="23">
        <v>0.9</v>
      </c>
      <c r="I397" s="217" t="s">
        <v>1655</v>
      </c>
    </row>
    <row r="398" spans="1:9" hidden="1">
      <c r="A398" s="23">
        <v>398</v>
      </c>
      <c r="B398" s="84">
        <v>45751</v>
      </c>
      <c r="C398" s="23" t="s">
        <v>207</v>
      </c>
      <c r="D398" s="23" t="s">
        <v>196</v>
      </c>
      <c r="G398" s="23">
        <v>0.9</v>
      </c>
      <c r="I398" s="217" t="s">
        <v>1656</v>
      </c>
    </row>
    <row r="399" spans="1:9" hidden="1">
      <c r="A399" s="23">
        <v>399</v>
      </c>
      <c r="B399" s="84">
        <v>45751</v>
      </c>
      <c r="C399" s="23" t="s">
        <v>487</v>
      </c>
      <c r="D399" s="23" t="s">
        <v>192</v>
      </c>
      <c r="G399" s="23">
        <v>1.1000000000000001</v>
      </c>
      <c r="I399" s="217" t="s">
        <v>1650</v>
      </c>
    </row>
    <row r="400" spans="1:9" hidden="1">
      <c r="A400" s="23">
        <v>400</v>
      </c>
      <c r="B400" s="84">
        <v>45751</v>
      </c>
      <c r="C400" s="23" t="s">
        <v>489</v>
      </c>
      <c r="D400" s="23" t="s">
        <v>199</v>
      </c>
      <c r="G400" s="23">
        <v>0</v>
      </c>
      <c r="I400" s="217" t="s">
        <v>1652</v>
      </c>
    </row>
    <row r="401" spans="1:9" hidden="1">
      <c r="A401" s="23">
        <v>401</v>
      </c>
      <c r="B401" s="84">
        <v>45751</v>
      </c>
      <c r="C401" s="23" t="s">
        <v>493</v>
      </c>
      <c r="D401" s="23" t="s">
        <v>196</v>
      </c>
      <c r="G401" s="23">
        <v>0</v>
      </c>
      <c r="I401" s="217" t="s">
        <v>1656</v>
      </c>
    </row>
    <row r="402" spans="1:9" hidden="1">
      <c r="A402" s="23">
        <v>402</v>
      </c>
      <c r="B402" s="84">
        <v>45751</v>
      </c>
      <c r="C402" s="23" t="s">
        <v>492</v>
      </c>
      <c r="D402" s="23" t="s">
        <v>202</v>
      </c>
      <c r="G402" s="23">
        <v>0</v>
      </c>
      <c r="I402" s="217" t="s">
        <v>1657</v>
      </c>
    </row>
    <row r="403" spans="1:9" hidden="1">
      <c r="A403" s="23">
        <v>403</v>
      </c>
      <c r="B403" s="84">
        <v>45751</v>
      </c>
      <c r="C403" s="23" t="s">
        <v>492</v>
      </c>
      <c r="D403" s="23" t="s">
        <v>205</v>
      </c>
      <c r="G403" s="23">
        <v>0</v>
      </c>
      <c r="I403" s="217" t="s">
        <v>1658</v>
      </c>
    </row>
    <row r="404" spans="1:9" hidden="1">
      <c r="A404" s="23">
        <v>404</v>
      </c>
      <c r="B404" s="84">
        <v>45751</v>
      </c>
      <c r="C404" s="23" t="s">
        <v>477</v>
      </c>
      <c r="D404" s="23" t="s">
        <v>335</v>
      </c>
      <c r="G404" s="23">
        <v>1</v>
      </c>
      <c r="I404" s="217" t="s">
        <v>1659</v>
      </c>
    </row>
    <row r="405" spans="1:9" hidden="1">
      <c r="A405" s="23">
        <v>405</v>
      </c>
      <c r="B405" s="84">
        <v>45751</v>
      </c>
      <c r="C405" s="23" t="s">
        <v>486</v>
      </c>
      <c r="D405" s="23" t="s">
        <v>398</v>
      </c>
      <c r="G405" s="23">
        <v>0</v>
      </c>
      <c r="I405" s="217" t="s">
        <v>1660</v>
      </c>
    </row>
    <row r="406" spans="1:9" hidden="1">
      <c r="A406" s="23">
        <v>406</v>
      </c>
      <c r="B406" s="84">
        <v>45751</v>
      </c>
      <c r="C406" s="23" t="s">
        <v>484</v>
      </c>
      <c r="D406" s="23" t="s">
        <v>401</v>
      </c>
      <c r="G406" s="23">
        <v>0</v>
      </c>
      <c r="I406" s="217" t="s">
        <v>1661</v>
      </c>
    </row>
    <row r="407" spans="1:9" hidden="1">
      <c r="A407" s="23">
        <v>407</v>
      </c>
      <c r="B407" s="84">
        <v>45751</v>
      </c>
      <c r="C407" s="23" t="s">
        <v>460</v>
      </c>
      <c r="D407" s="23" t="s">
        <v>234</v>
      </c>
      <c r="G407" s="23">
        <v>0</v>
      </c>
      <c r="I407" s="217" t="s">
        <v>1662</v>
      </c>
    </row>
    <row r="408" spans="1:9" hidden="1">
      <c r="A408" s="23">
        <v>408</v>
      </c>
      <c r="B408" s="84">
        <v>45751</v>
      </c>
      <c r="C408" s="23" t="s">
        <v>495</v>
      </c>
      <c r="D408" s="23" t="s">
        <v>234</v>
      </c>
      <c r="G408" s="23">
        <v>0.7321428571428571</v>
      </c>
      <c r="I408" s="217" t="s">
        <v>1294</v>
      </c>
    </row>
    <row r="409" spans="1:9" hidden="1">
      <c r="A409" s="23">
        <v>409</v>
      </c>
      <c r="B409" s="84">
        <v>45751</v>
      </c>
      <c r="C409" s="23" t="s">
        <v>495</v>
      </c>
      <c r="D409" s="23" t="s">
        <v>401</v>
      </c>
      <c r="G409" s="23">
        <v>0.7321428571428571</v>
      </c>
      <c r="I409" s="217" t="s">
        <v>1294</v>
      </c>
    </row>
    <row r="410" spans="1:9" hidden="1">
      <c r="A410" s="23">
        <v>410</v>
      </c>
      <c r="B410" s="84">
        <v>45751</v>
      </c>
      <c r="C410" s="23" t="s">
        <v>274</v>
      </c>
      <c r="D410" s="23" t="s">
        <v>211</v>
      </c>
      <c r="G410" s="23">
        <v>0.745</v>
      </c>
      <c r="I410" s="217" t="s">
        <v>1663</v>
      </c>
    </row>
    <row r="411" spans="1:9" hidden="1">
      <c r="A411" s="23">
        <v>411</v>
      </c>
      <c r="B411" s="84">
        <v>45751</v>
      </c>
      <c r="C411" s="23" t="s">
        <v>224</v>
      </c>
      <c r="D411" s="23" t="s">
        <v>220</v>
      </c>
      <c r="G411" s="23">
        <v>0</v>
      </c>
      <c r="I411" s="458" t="s">
        <v>1664</v>
      </c>
    </row>
    <row r="412" spans="1:9" hidden="1">
      <c r="A412" s="23">
        <v>412</v>
      </c>
      <c r="B412" s="84">
        <v>45751</v>
      </c>
      <c r="C412" s="23" t="s">
        <v>496</v>
      </c>
      <c r="D412" s="23" t="s">
        <v>234</v>
      </c>
      <c r="G412" s="23">
        <v>0</v>
      </c>
      <c r="I412" s="217" t="s">
        <v>1665</v>
      </c>
    </row>
    <row r="413" spans="1:9" hidden="1">
      <c r="A413" s="23">
        <v>413</v>
      </c>
      <c r="B413" s="84">
        <v>45751</v>
      </c>
      <c r="C413" s="23" t="s">
        <v>463</v>
      </c>
      <c r="D413" s="23" t="s">
        <v>236</v>
      </c>
      <c r="G413" s="23">
        <v>0</v>
      </c>
      <c r="I413" s="217" t="s">
        <v>1666</v>
      </c>
    </row>
    <row r="414" spans="1:9" hidden="1">
      <c r="A414" s="23">
        <v>414</v>
      </c>
      <c r="B414" s="84">
        <v>45751</v>
      </c>
      <c r="C414" s="23" t="s">
        <v>465</v>
      </c>
      <c r="D414" s="23" t="s">
        <v>239</v>
      </c>
      <c r="G414" s="23">
        <v>0</v>
      </c>
      <c r="I414" s="217" t="s">
        <v>1667</v>
      </c>
    </row>
    <row r="415" spans="1:9" hidden="1">
      <c r="A415" s="23">
        <v>415</v>
      </c>
      <c r="B415" s="84">
        <v>45751</v>
      </c>
      <c r="C415" s="23" t="s">
        <v>467</v>
      </c>
      <c r="D415" s="23" t="s">
        <v>245</v>
      </c>
      <c r="G415" s="23">
        <v>0</v>
      </c>
      <c r="I415" s="217" t="s">
        <v>1668</v>
      </c>
    </row>
    <row r="416" spans="1:9" hidden="1">
      <c r="A416" s="23">
        <v>416</v>
      </c>
      <c r="B416" s="84">
        <v>45751</v>
      </c>
      <c r="C416" s="23" t="s">
        <v>498</v>
      </c>
      <c r="D416" s="23" t="s">
        <v>236</v>
      </c>
      <c r="G416" s="23">
        <v>0.72307692307692306</v>
      </c>
      <c r="I416" s="217" t="s">
        <v>1294</v>
      </c>
    </row>
    <row r="417" spans="1:9" hidden="1">
      <c r="A417" s="23">
        <v>417</v>
      </c>
      <c r="B417" s="84">
        <v>45751</v>
      </c>
      <c r="C417" s="23" t="s">
        <v>500</v>
      </c>
      <c r="D417" s="23" t="s">
        <v>239</v>
      </c>
      <c r="G417" s="23">
        <v>0.72307692307692306</v>
      </c>
      <c r="I417" s="217" t="s">
        <v>1294</v>
      </c>
    </row>
    <row r="418" spans="1:9" hidden="1">
      <c r="A418" s="23">
        <v>418</v>
      </c>
      <c r="B418" s="84">
        <v>45751</v>
      </c>
      <c r="C418" s="23" t="s">
        <v>500</v>
      </c>
      <c r="D418" s="23" t="s">
        <v>234</v>
      </c>
      <c r="G418" s="23">
        <v>0.72307692307692306</v>
      </c>
      <c r="I418" s="217" t="s">
        <v>1294</v>
      </c>
    </row>
    <row r="419" spans="1:9" hidden="1">
      <c r="A419" s="23">
        <v>419</v>
      </c>
      <c r="B419" s="84">
        <v>45751</v>
      </c>
      <c r="C419" s="23" t="s">
        <v>482</v>
      </c>
      <c r="D419" s="23" t="s">
        <v>388</v>
      </c>
      <c r="G419" s="23">
        <v>0</v>
      </c>
      <c r="I419" s="217" t="s">
        <v>1669</v>
      </c>
    </row>
    <row r="420" spans="1:9" hidden="1">
      <c r="A420" s="23">
        <v>420</v>
      </c>
      <c r="B420" s="84">
        <v>45751</v>
      </c>
      <c r="C420" s="23" t="s">
        <v>475</v>
      </c>
      <c r="D420" s="23" t="s">
        <v>391</v>
      </c>
      <c r="G420" s="23">
        <v>0</v>
      </c>
      <c r="I420" s="217" t="s">
        <v>1670</v>
      </c>
    </row>
    <row r="421" spans="1:9">
      <c r="A421" s="23">
        <v>421</v>
      </c>
      <c r="B421" s="84">
        <v>45751</v>
      </c>
      <c r="C421" s="23" t="s">
        <v>490</v>
      </c>
      <c r="D421" s="23" t="s">
        <v>177</v>
      </c>
      <c r="G421" s="23">
        <v>1.5</v>
      </c>
      <c r="H421" s="23" t="s">
        <v>354</v>
      </c>
      <c r="I421" s="217" t="s">
        <v>1671</v>
      </c>
    </row>
    <row r="422" spans="1:9" hidden="1">
      <c r="A422" s="23">
        <v>422</v>
      </c>
      <c r="B422" s="84">
        <v>45751</v>
      </c>
      <c r="C422" s="23" t="s">
        <v>505</v>
      </c>
      <c r="D422" s="23" t="s">
        <v>388</v>
      </c>
      <c r="G422" s="23">
        <v>0.72</v>
      </c>
      <c r="I422" s="217" t="s">
        <v>1672</v>
      </c>
    </row>
    <row r="423" spans="1:9" hidden="1">
      <c r="A423" s="23">
        <v>423</v>
      </c>
      <c r="B423" s="84">
        <v>45751</v>
      </c>
      <c r="C423" s="23" t="s">
        <v>505</v>
      </c>
      <c r="D423" s="23" t="s">
        <v>245</v>
      </c>
      <c r="G423" s="23">
        <v>0.72</v>
      </c>
      <c r="I423" s="217" t="s">
        <v>1673</v>
      </c>
    </row>
    <row r="424" spans="1:9" hidden="1">
      <c r="A424" s="23">
        <v>424</v>
      </c>
      <c r="B424" s="84">
        <v>45751</v>
      </c>
      <c r="C424" s="23" t="s">
        <v>507</v>
      </c>
      <c r="D424" s="23" t="s">
        <v>391</v>
      </c>
      <c r="G424" s="23">
        <v>0.72307692307692306</v>
      </c>
      <c r="I424" s="217" t="s">
        <v>1674</v>
      </c>
    </row>
    <row r="425" spans="1:9" hidden="1">
      <c r="A425" s="23">
        <v>425</v>
      </c>
      <c r="B425" s="84">
        <v>45751</v>
      </c>
      <c r="C425" s="23" t="s">
        <v>509</v>
      </c>
      <c r="D425" s="23" t="s">
        <v>398</v>
      </c>
      <c r="G425" s="23">
        <v>0.7321428571428571</v>
      </c>
      <c r="I425" s="217" t="s">
        <v>1675</v>
      </c>
    </row>
    <row r="426" spans="1:9" hidden="1">
      <c r="A426" s="23">
        <v>426</v>
      </c>
      <c r="B426" s="84">
        <v>45751</v>
      </c>
      <c r="C426" s="23" t="s">
        <v>511</v>
      </c>
      <c r="D426" s="23" t="s">
        <v>199</v>
      </c>
      <c r="G426" s="23">
        <v>0.95</v>
      </c>
      <c r="I426" s="217" t="s">
        <v>1676</v>
      </c>
    </row>
    <row r="427" spans="1:9" hidden="1">
      <c r="A427" s="23">
        <v>427</v>
      </c>
      <c r="B427" s="84">
        <v>45751</v>
      </c>
      <c r="C427" s="23" t="s">
        <v>513</v>
      </c>
      <c r="D427" s="23" t="s">
        <v>205</v>
      </c>
      <c r="G427" s="23">
        <v>0.95</v>
      </c>
      <c r="I427" s="217" t="s">
        <v>1677</v>
      </c>
    </row>
    <row r="428" spans="1:9" hidden="1">
      <c r="A428" s="23">
        <v>428</v>
      </c>
      <c r="B428" s="84">
        <v>45751</v>
      </c>
      <c r="C428" s="23" t="s">
        <v>334</v>
      </c>
      <c r="D428" s="23" t="s">
        <v>196</v>
      </c>
      <c r="G428" s="23">
        <v>0.95</v>
      </c>
      <c r="I428" s="217" t="s">
        <v>1678</v>
      </c>
    </row>
    <row r="429" spans="1:9" hidden="1">
      <c r="A429" s="23">
        <v>429</v>
      </c>
      <c r="B429" s="84">
        <v>45751</v>
      </c>
      <c r="C429" s="23" t="s">
        <v>516</v>
      </c>
      <c r="D429" s="23" t="s">
        <v>202</v>
      </c>
      <c r="G429" s="23">
        <v>0.95</v>
      </c>
      <c r="I429" s="217" t="s">
        <v>1679</v>
      </c>
    </row>
    <row r="430" spans="1:9" hidden="1">
      <c r="A430" s="23">
        <v>430</v>
      </c>
      <c r="B430" s="84">
        <v>45751</v>
      </c>
      <c r="C430" s="23" t="s">
        <v>515</v>
      </c>
      <c r="D430" s="23" t="s">
        <v>196</v>
      </c>
      <c r="G430" s="23">
        <v>0</v>
      </c>
      <c r="I430" s="217" t="s">
        <v>1680</v>
      </c>
    </row>
    <row r="431" spans="1:9" hidden="1">
      <c r="A431" s="23">
        <v>431</v>
      </c>
      <c r="B431" s="84">
        <v>45751</v>
      </c>
      <c r="C431" s="23" t="s">
        <v>512</v>
      </c>
      <c r="D431" s="23" t="s">
        <v>199</v>
      </c>
      <c r="G431" s="23">
        <v>0</v>
      </c>
      <c r="I431" s="217" t="s">
        <v>1681</v>
      </c>
    </row>
    <row r="432" spans="1:9" hidden="1">
      <c r="A432" s="23">
        <v>432</v>
      </c>
      <c r="B432" s="84">
        <v>45751</v>
      </c>
      <c r="C432" s="23" t="s">
        <v>514</v>
      </c>
      <c r="D432" s="23" t="s">
        <v>205</v>
      </c>
      <c r="G432" s="23">
        <v>0</v>
      </c>
      <c r="I432" s="217" t="s">
        <v>1682</v>
      </c>
    </row>
    <row r="433" spans="1:9" hidden="1">
      <c r="A433" s="23">
        <v>434</v>
      </c>
      <c r="B433" s="84">
        <v>45751</v>
      </c>
      <c r="C433" s="23" t="s">
        <v>510</v>
      </c>
      <c r="D433" s="23" t="s">
        <v>398</v>
      </c>
      <c r="G433" s="23">
        <v>0</v>
      </c>
      <c r="I433" s="217" t="s">
        <v>1683</v>
      </c>
    </row>
    <row r="434" spans="1:9" hidden="1">
      <c r="A434" s="23">
        <v>435</v>
      </c>
      <c r="B434" s="84">
        <v>45751</v>
      </c>
      <c r="C434" s="23" t="s">
        <v>510</v>
      </c>
      <c r="D434" s="23" t="s">
        <v>202</v>
      </c>
      <c r="G434" s="23">
        <v>0</v>
      </c>
      <c r="I434" s="217" t="s">
        <v>1684</v>
      </c>
    </row>
    <row r="435" spans="1:9" hidden="1">
      <c r="A435" s="23">
        <v>436</v>
      </c>
      <c r="B435" s="84">
        <v>45751</v>
      </c>
      <c r="C435" s="23" t="s">
        <v>508</v>
      </c>
      <c r="D435" s="23" t="s">
        <v>391</v>
      </c>
      <c r="G435" s="23">
        <v>0</v>
      </c>
      <c r="I435" s="217" t="s">
        <v>1685</v>
      </c>
    </row>
    <row r="436" spans="1:9" hidden="1">
      <c r="A436" s="23">
        <v>437</v>
      </c>
      <c r="B436" s="84">
        <v>45751</v>
      </c>
      <c r="C436" s="23" t="s">
        <v>506</v>
      </c>
      <c r="D436" s="23" t="s">
        <v>388</v>
      </c>
      <c r="G436" s="23">
        <v>0</v>
      </c>
      <c r="I436" s="217" t="s">
        <v>1686</v>
      </c>
    </row>
    <row r="437" spans="1:9" hidden="1">
      <c r="A437" s="23">
        <v>438</v>
      </c>
      <c r="B437" s="84">
        <v>45751</v>
      </c>
      <c r="C437" s="23" t="s">
        <v>494</v>
      </c>
      <c r="D437" s="23" t="s">
        <v>335</v>
      </c>
      <c r="G437" s="23" t="s">
        <v>9</v>
      </c>
      <c r="I437" s="217" t="s">
        <v>1294</v>
      </c>
    </row>
    <row r="438" spans="1:9" hidden="1">
      <c r="A438" s="23">
        <v>438</v>
      </c>
      <c r="B438" s="84">
        <v>45751</v>
      </c>
      <c r="C438" s="23" t="s">
        <v>497</v>
      </c>
      <c r="D438" s="23" t="s">
        <v>401</v>
      </c>
      <c r="G438" s="23">
        <v>0</v>
      </c>
      <c r="I438" s="217" t="s">
        <v>1687</v>
      </c>
    </row>
    <row r="439" spans="1:9" hidden="1">
      <c r="A439" s="23">
        <v>439</v>
      </c>
      <c r="B439" s="84">
        <v>45751</v>
      </c>
      <c r="C439" s="23" t="s">
        <v>444</v>
      </c>
      <c r="D439" s="23" t="s">
        <v>395</v>
      </c>
      <c r="G439" s="23">
        <v>0</v>
      </c>
      <c r="I439" s="217" t="s">
        <v>1688</v>
      </c>
    </row>
    <row r="440" spans="1:9" hidden="1">
      <c r="A440" s="23">
        <v>440</v>
      </c>
      <c r="B440" s="84">
        <v>45751</v>
      </c>
      <c r="C440" s="23" t="s">
        <v>521</v>
      </c>
      <c r="D440" s="23" t="s">
        <v>279</v>
      </c>
      <c r="G440" s="23">
        <v>0.5</v>
      </c>
      <c r="H440" s="23" t="s">
        <v>1689</v>
      </c>
      <c r="I440" s="217" t="s">
        <v>1690</v>
      </c>
    </row>
    <row r="441" spans="1:9" hidden="1">
      <c r="A441" s="23">
        <v>441</v>
      </c>
      <c r="B441" s="84">
        <v>45751</v>
      </c>
      <c r="C441" s="23" t="s">
        <v>479</v>
      </c>
      <c r="D441" s="23" t="s">
        <v>404</v>
      </c>
      <c r="G441" s="23">
        <v>0</v>
      </c>
      <c r="I441" s="217" t="s">
        <v>1691</v>
      </c>
    </row>
    <row r="442" spans="1:9" hidden="1">
      <c r="A442" s="23">
        <v>442</v>
      </c>
      <c r="B442" s="84">
        <v>45751</v>
      </c>
      <c r="C442" s="23" t="s">
        <v>480</v>
      </c>
      <c r="D442" s="23" t="s">
        <v>403</v>
      </c>
      <c r="G442" s="23">
        <v>0</v>
      </c>
      <c r="I442" s="217" t="s">
        <v>1692</v>
      </c>
    </row>
    <row r="443" spans="1:9" hidden="1">
      <c r="A443" s="23">
        <v>443</v>
      </c>
      <c r="B443" s="84">
        <v>45751</v>
      </c>
      <c r="C443" s="23" t="s">
        <v>522</v>
      </c>
      <c r="D443" s="23" t="s">
        <v>279</v>
      </c>
      <c r="G443" s="23">
        <v>0</v>
      </c>
      <c r="I443" s="217" t="s">
        <v>1690</v>
      </c>
    </row>
    <row r="444" spans="1:9" hidden="1">
      <c r="A444" s="23">
        <v>444</v>
      </c>
      <c r="B444" s="84">
        <v>45751</v>
      </c>
      <c r="C444" s="23" t="s">
        <v>523</v>
      </c>
      <c r="D444" s="23" t="s">
        <v>401</v>
      </c>
      <c r="G444" s="23">
        <v>0.72</v>
      </c>
      <c r="I444" s="217" t="s">
        <v>1693</v>
      </c>
    </row>
    <row r="445" spans="1:9" hidden="1">
      <c r="A445" s="23">
        <v>445</v>
      </c>
      <c r="B445" s="84">
        <v>45751</v>
      </c>
      <c r="C445" s="23" t="s">
        <v>524</v>
      </c>
      <c r="D445" s="23" t="s">
        <v>401</v>
      </c>
      <c r="G445" s="23">
        <v>0</v>
      </c>
      <c r="I445" s="217" t="s">
        <v>1693</v>
      </c>
    </row>
    <row r="446" spans="1:9" hidden="1">
      <c r="A446" s="23">
        <v>446</v>
      </c>
      <c r="B446" s="84">
        <v>45751</v>
      </c>
      <c r="C446" s="23" t="s">
        <v>410</v>
      </c>
      <c r="D446" s="23" t="s">
        <v>245</v>
      </c>
      <c r="G446" s="23">
        <v>0</v>
      </c>
      <c r="I446" s="217" t="s">
        <v>1694</v>
      </c>
    </row>
    <row r="447" spans="1:9" hidden="1">
      <c r="A447" s="23">
        <v>447</v>
      </c>
      <c r="B447" s="84">
        <v>45751</v>
      </c>
      <c r="C447" s="23" t="s">
        <v>469</v>
      </c>
      <c r="D447" s="23" t="s">
        <v>226</v>
      </c>
      <c r="G447" s="23">
        <v>0</v>
      </c>
      <c r="I447" s="217" t="s">
        <v>1695</v>
      </c>
    </row>
    <row r="448" spans="1:9" hidden="1">
      <c r="A448" s="23">
        <v>448</v>
      </c>
      <c r="B448" s="84">
        <v>45751</v>
      </c>
      <c r="C448" s="23" t="s">
        <v>471</v>
      </c>
      <c r="D448" s="23" t="s">
        <v>229</v>
      </c>
      <c r="G448" s="23">
        <v>0</v>
      </c>
      <c r="I448" s="217" t="s">
        <v>1696</v>
      </c>
    </row>
    <row r="449" spans="1:9" hidden="1">
      <c r="A449" s="23">
        <v>449</v>
      </c>
      <c r="B449" s="84">
        <v>45751</v>
      </c>
      <c r="C449" s="23" t="s">
        <v>473</v>
      </c>
      <c r="D449" s="23" t="s">
        <v>232</v>
      </c>
      <c r="G449" s="23">
        <v>0</v>
      </c>
      <c r="I449" s="217" t="s">
        <v>1697</v>
      </c>
    </row>
    <row r="450" spans="1:9" hidden="1">
      <c r="A450" s="23">
        <v>450</v>
      </c>
      <c r="B450" s="84">
        <v>45751</v>
      </c>
      <c r="C450" s="23" t="s">
        <v>502</v>
      </c>
      <c r="D450" s="23" t="s">
        <v>234</v>
      </c>
      <c r="G450" s="23">
        <v>0</v>
      </c>
      <c r="I450" s="217" t="s">
        <v>1698</v>
      </c>
    </row>
    <row r="451" spans="1:9" hidden="1">
      <c r="A451" s="23">
        <v>451</v>
      </c>
      <c r="B451" s="84">
        <v>45751</v>
      </c>
      <c r="C451" s="23" t="s">
        <v>390</v>
      </c>
      <c r="D451" s="23" t="s">
        <v>388</v>
      </c>
      <c r="G451" s="23">
        <v>0.7</v>
      </c>
      <c r="I451" s="217" t="s">
        <v>1699</v>
      </c>
    </row>
    <row r="452" spans="1:9" hidden="1">
      <c r="A452" s="23">
        <v>452</v>
      </c>
      <c r="B452" s="84">
        <v>45751</v>
      </c>
      <c r="C452" s="23" t="s">
        <v>526</v>
      </c>
      <c r="D452" s="23" t="s">
        <v>391</v>
      </c>
      <c r="G452" s="23">
        <v>0.7</v>
      </c>
      <c r="I452" s="217" t="s">
        <v>1700</v>
      </c>
    </row>
    <row r="453" spans="1:9" hidden="1">
      <c r="A453" s="23">
        <v>453</v>
      </c>
      <c r="B453" s="84">
        <v>45751</v>
      </c>
      <c r="C453" s="23" t="s">
        <v>528</v>
      </c>
      <c r="D453" s="23" t="s">
        <v>395</v>
      </c>
      <c r="G453" s="23">
        <v>0.7</v>
      </c>
      <c r="I453" s="217" t="s">
        <v>1701</v>
      </c>
    </row>
    <row r="454" spans="1:9" hidden="1">
      <c r="A454" s="23">
        <v>454</v>
      </c>
      <c r="B454" s="84">
        <v>45751</v>
      </c>
      <c r="C454" s="23" t="s">
        <v>212</v>
      </c>
      <c r="D454" s="23" t="s">
        <v>220</v>
      </c>
      <c r="G454" s="23">
        <v>0.67</v>
      </c>
      <c r="I454" s="458" t="s">
        <v>1702</v>
      </c>
    </row>
    <row r="455" spans="1:9" hidden="1">
      <c r="A455" s="23">
        <v>455</v>
      </c>
      <c r="B455" s="84">
        <v>45751</v>
      </c>
      <c r="C455" s="23" t="s">
        <v>222</v>
      </c>
      <c r="D455" s="23" t="s">
        <v>214</v>
      </c>
      <c r="G455" s="23">
        <v>0</v>
      </c>
      <c r="I455" s="217" t="s">
        <v>1703</v>
      </c>
    </row>
    <row r="456" spans="1:9" hidden="1">
      <c r="A456" s="23">
        <v>456</v>
      </c>
      <c r="B456" s="84">
        <v>45751</v>
      </c>
      <c r="C456" s="23" t="s">
        <v>411</v>
      </c>
      <c r="D456" s="23" t="s">
        <v>217</v>
      </c>
      <c r="G456" s="23">
        <v>0</v>
      </c>
      <c r="I456" s="217" t="s">
        <v>1704</v>
      </c>
    </row>
    <row r="457" spans="1:9" hidden="1">
      <c r="A457" s="23">
        <v>457</v>
      </c>
      <c r="B457" s="84">
        <v>45751</v>
      </c>
      <c r="C457" s="23" t="s">
        <v>530</v>
      </c>
      <c r="D457" s="23" t="s">
        <v>225</v>
      </c>
      <c r="G457" s="23">
        <v>0.8</v>
      </c>
      <c r="I457" s="217" t="s">
        <v>1705</v>
      </c>
    </row>
    <row r="458" spans="1:9" hidden="1">
      <c r="A458" s="23">
        <v>458</v>
      </c>
      <c r="B458" s="84">
        <v>45751</v>
      </c>
      <c r="C458" s="23" t="s">
        <v>212</v>
      </c>
      <c r="D458" s="23" t="s">
        <v>217</v>
      </c>
      <c r="G458" s="23">
        <v>0.9</v>
      </c>
      <c r="I458" s="217" t="s">
        <v>1706</v>
      </c>
    </row>
    <row r="459" spans="1:9" hidden="1">
      <c r="A459" s="23">
        <v>459</v>
      </c>
      <c r="B459" s="84">
        <v>45751</v>
      </c>
      <c r="C459" s="23" t="s">
        <v>222</v>
      </c>
      <c r="D459" s="23" t="s">
        <v>225</v>
      </c>
      <c r="G459" s="23">
        <v>0</v>
      </c>
      <c r="I459" s="217" t="s">
        <v>1707</v>
      </c>
    </row>
    <row r="460" spans="1:9" hidden="1">
      <c r="A460" s="23">
        <v>460</v>
      </c>
      <c r="B460" s="84">
        <v>45751</v>
      </c>
      <c r="C460" s="23" t="s">
        <v>531</v>
      </c>
      <c r="D460" s="23" t="s">
        <v>279</v>
      </c>
      <c r="G460" s="23">
        <v>0.7</v>
      </c>
      <c r="H460" s="23" t="s">
        <v>1689</v>
      </c>
      <c r="I460" s="217" t="s">
        <v>1708</v>
      </c>
    </row>
    <row r="461" spans="1:9" hidden="1">
      <c r="A461" s="23">
        <v>461</v>
      </c>
      <c r="B461" s="84">
        <v>45751</v>
      </c>
      <c r="C461" s="23" t="s">
        <v>499</v>
      </c>
      <c r="D461" s="23" t="s">
        <v>236</v>
      </c>
      <c r="G461" s="23">
        <v>0</v>
      </c>
      <c r="I461" s="217" t="s">
        <v>1709</v>
      </c>
    </row>
    <row r="462" spans="1:9" hidden="1">
      <c r="A462" s="23">
        <v>462</v>
      </c>
      <c r="B462" s="84">
        <v>45751</v>
      </c>
      <c r="C462" s="23" t="s">
        <v>525</v>
      </c>
      <c r="D462" s="23" t="s">
        <v>388</v>
      </c>
      <c r="G462" s="23">
        <v>0</v>
      </c>
      <c r="I462" s="217" t="s">
        <v>1710</v>
      </c>
    </row>
    <row r="463" spans="1:9" hidden="1">
      <c r="A463" s="23">
        <v>463</v>
      </c>
      <c r="B463" s="84">
        <v>45751</v>
      </c>
      <c r="C463" s="23" t="s">
        <v>532</v>
      </c>
      <c r="D463" s="23" t="s">
        <v>403</v>
      </c>
      <c r="G463" s="23">
        <v>0.7</v>
      </c>
      <c r="I463" s="217" t="s">
        <v>1711</v>
      </c>
    </row>
    <row r="464" spans="1:9" hidden="1">
      <c r="A464" s="23">
        <v>464</v>
      </c>
      <c r="B464" s="84">
        <v>45751</v>
      </c>
      <c r="C464" s="23" t="s">
        <v>532</v>
      </c>
      <c r="D464" s="23" t="s">
        <v>279</v>
      </c>
      <c r="G464" s="23">
        <v>0</v>
      </c>
      <c r="I464" s="217" t="s">
        <v>1712</v>
      </c>
    </row>
    <row r="465" spans="1:9" hidden="1">
      <c r="A465" s="23">
        <v>465</v>
      </c>
      <c r="B465" s="84">
        <v>45751</v>
      </c>
      <c r="C465" s="23" t="s">
        <v>527</v>
      </c>
      <c r="D465" s="23" t="s">
        <v>391</v>
      </c>
      <c r="G465" s="23">
        <v>0</v>
      </c>
      <c r="I465" s="217" t="s">
        <v>1713</v>
      </c>
    </row>
    <row r="466" spans="1:9" hidden="1">
      <c r="A466" s="23">
        <v>466</v>
      </c>
      <c r="B466" s="84">
        <v>45751</v>
      </c>
      <c r="C466" s="23" t="s">
        <v>534</v>
      </c>
      <c r="D466" s="23" t="s">
        <v>404</v>
      </c>
      <c r="G466" s="23">
        <v>0.7</v>
      </c>
      <c r="I466" s="217" t="s">
        <v>1714</v>
      </c>
    </row>
    <row r="467" spans="1:9" hidden="1">
      <c r="A467" s="23">
        <v>467</v>
      </c>
      <c r="B467" s="84">
        <v>45751</v>
      </c>
      <c r="C467" s="23" t="s">
        <v>535</v>
      </c>
      <c r="D467" s="23" t="s">
        <v>214</v>
      </c>
      <c r="G467" s="23">
        <v>0.55999999999999994</v>
      </c>
      <c r="I467" s="217" t="s">
        <v>1294</v>
      </c>
    </row>
    <row r="468" spans="1:9" hidden="1">
      <c r="A468" s="23">
        <v>468</v>
      </c>
      <c r="B468" s="84">
        <v>45751</v>
      </c>
      <c r="C468" s="23" t="s">
        <v>529</v>
      </c>
      <c r="D468" s="23" t="s">
        <v>395</v>
      </c>
      <c r="G468" s="23">
        <v>0</v>
      </c>
      <c r="I468" s="217" t="s">
        <v>1715</v>
      </c>
    </row>
    <row r="469" spans="1:9" hidden="1">
      <c r="A469" s="23">
        <v>469</v>
      </c>
      <c r="B469" s="84">
        <v>45751</v>
      </c>
      <c r="C469" s="23" t="s">
        <v>419</v>
      </c>
      <c r="D469" s="23" t="s">
        <v>404</v>
      </c>
      <c r="G469" s="23">
        <v>0</v>
      </c>
      <c r="I469" s="217" t="s">
        <v>1716</v>
      </c>
    </row>
    <row r="470" spans="1:9" hidden="1">
      <c r="A470" s="23">
        <v>470</v>
      </c>
      <c r="B470" s="84">
        <v>45751</v>
      </c>
      <c r="C470" s="23" t="s">
        <v>288</v>
      </c>
      <c r="D470" s="23" t="s">
        <v>214</v>
      </c>
      <c r="G470" s="23">
        <v>0</v>
      </c>
      <c r="I470" s="217" t="s">
        <v>1717</v>
      </c>
    </row>
    <row r="471" spans="1:9" hidden="1">
      <c r="A471" s="23">
        <v>471</v>
      </c>
      <c r="B471" s="84">
        <v>45751</v>
      </c>
      <c r="C471" s="23" t="s">
        <v>501</v>
      </c>
      <c r="D471" s="23" t="s">
        <v>239</v>
      </c>
      <c r="G471" s="23">
        <v>0</v>
      </c>
      <c r="I471" s="217" t="s">
        <v>1718</v>
      </c>
    </row>
    <row r="472" spans="1:9" hidden="1">
      <c r="A472" s="23">
        <v>472</v>
      </c>
      <c r="B472" s="84">
        <v>45751</v>
      </c>
      <c r="C472" s="23" t="s">
        <v>533</v>
      </c>
      <c r="D472" s="23" t="s">
        <v>403</v>
      </c>
      <c r="G472" s="23">
        <v>0</v>
      </c>
      <c r="I472" s="217" t="s">
        <v>1719</v>
      </c>
    </row>
    <row r="473" spans="1:9" hidden="1">
      <c r="A473" s="23">
        <v>473</v>
      </c>
      <c r="B473" s="84">
        <v>45751</v>
      </c>
      <c r="C473" s="23" t="s">
        <v>462</v>
      </c>
      <c r="D473" s="23" t="s">
        <v>183</v>
      </c>
      <c r="G473" s="23">
        <v>0</v>
      </c>
      <c r="I473" s="217" t="s">
        <v>1720</v>
      </c>
    </row>
    <row r="474" spans="1:9">
      <c r="A474" s="23">
        <v>474</v>
      </c>
      <c r="B474" s="84">
        <v>45751</v>
      </c>
      <c r="C474" s="23" t="s">
        <v>375</v>
      </c>
      <c r="D474" s="23" t="s">
        <v>248</v>
      </c>
      <c r="G474" s="23">
        <v>0</v>
      </c>
      <c r="I474" s="217" t="s">
        <v>1721</v>
      </c>
    </row>
    <row r="475" spans="1:9" hidden="1">
      <c r="A475" s="23">
        <v>475</v>
      </c>
      <c r="B475" s="84">
        <v>45751</v>
      </c>
      <c r="C475" s="23" t="s">
        <v>536</v>
      </c>
      <c r="D475" s="23" t="s">
        <v>401</v>
      </c>
      <c r="G475" s="23">
        <v>0.7</v>
      </c>
      <c r="I475" s="217" t="s">
        <v>1722</v>
      </c>
    </row>
    <row r="476" spans="1:9" hidden="1">
      <c r="A476" s="23">
        <v>476</v>
      </c>
      <c r="B476" s="84">
        <v>45751</v>
      </c>
      <c r="C476" s="23" t="s">
        <v>536</v>
      </c>
      <c r="D476" s="23" t="s">
        <v>226</v>
      </c>
      <c r="G476" s="23">
        <v>0.7</v>
      </c>
      <c r="I476" s="217" t="s">
        <v>1723</v>
      </c>
    </row>
    <row r="477" spans="1:9" hidden="1">
      <c r="A477" s="23">
        <v>477</v>
      </c>
      <c r="B477" s="84">
        <v>45751</v>
      </c>
      <c r="C477" s="23" t="s">
        <v>536</v>
      </c>
      <c r="D477" s="23" t="s">
        <v>245</v>
      </c>
      <c r="G477" s="23">
        <v>0.7</v>
      </c>
      <c r="I477" s="217" t="s">
        <v>1724</v>
      </c>
    </row>
    <row r="478" spans="1:9" hidden="1">
      <c r="A478" s="23">
        <v>478</v>
      </c>
      <c r="B478" s="84">
        <v>45751</v>
      </c>
      <c r="C478" s="23" t="s">
        <v>537</v>
      </c>
      <c r="D478" s="23" t="s">
        <v>401</v>
      </c>
      <c r="G478" s="23">
        <v>0</v>
      </c>
      <c r="I478" s="217" t="s">
        <v>1722</v>
      </c>
    </row>
    <row r="479" spans="1:9" hidden="1">
      <c r="A479" s="23">
        <v>479</v>
      </c>
      <c r="B479" s="84">
        <v>45751</v>
      </c>
      <c r="C479" s="23" t="s">
        <v>539</v>
      </c>
      <c r="D479" s="23" t="s">
        <v>245</v>
      </c>
      <c r="G479" s="23">
        <v>0</v>
      </c>
      <c r="I479" s="217" t="s">
        <v>1724</v>
      </c>
    </row>
    <row r="480" spans="1:9" hidden="1">
      <c r="A480" s="23">
        <v>480</v>
      </c>
      <c r="B480" s="84">
        <v>45751</v>
      </c>
      <c r="C480" s="23" t="s">
        <v>538</v>
      </c>
      <c r="D480" s="23" t="s">
        <v>226</v>
      </c>
      <c r="G480" s="23">
        <v>0</v>
      </c>
      <c r="I480" s="217" t="s">
        <v>1725</v>
      </c>
    </row>
    <row r="481" spans="1:9" hidden="1">
      <c r="A481" s="23">
        <v>481</v>
      </c>
      <c r="B481" s="84">
        <v>45752</v>
      </c>
      <c r="C481" s="23" t="s">
        <v>457</v>
      </c>
      <c r="D481" s="23" t="s">
        <v>186</v>
      </c>
      <c r="G481" s="23">
        <v>0</v>
      </c>
      <c r="I481" s="217" t="s">
        <v>1726</v>
      </c>
    </row>
    <row r="482" spans="1:9" hidden="1">
      <c r="A482" s="23">
        <v>482</v>
      </c>
      <c r="B482" s="84">
        <v>45752</v>
      </c>
      <c r="C482" s="23" t="s">
        <v>284</v>
      </c>
      <c r="D482" s="23" t="s">
        <v>214</v>
      </c>
      <c r="G482" s="23">
        <v>0.48499999999999999</v>
      </c>
      <c r="I482" s="217" t="s">
        <v>1727</v>
      </c>
    </row>
    <row r="483" spans="1:9" hidden="1">
      <c r="A483" s="23">
        <v>483</v>
      </c>
      <c r="B483" s="84">
        <v>45752</v>
      </c>
      <c r="C483" s="23" t="s">
        <v>219</v>
      </c>
      <c r="D483" s="23" t="s">
        <v>211</v>
      </c>
      <c r="G483" s="23">
        <v>0</v>
      </c>
      <c r="I483" s="217" t="s">
        <v>1728</v>
      </c>
    </row>
    <row r="484" spans="1:9" hidden="1">
      <c r="A484" s="23">
        <v>484</v>
      </c>
      <c r="B484" s="84">
        <v>45752</v>
      </c>
      <c r="C484" s="23" t="s">
        <v>459</v>
      </c>
      <c r="D484" s="23" t="s">
        <v>242</v>
      </c>
      <c r="G484" s="23">
        <v>0</v>
      </c>
      <c r="I484" s="217" t="s">
        <v>1729</v>
      </c>
    </row>
    <row r="485" spans="1:9">
      <c r="A485" s="23">
        <v>485</v>
      </c>
      <c r="B485" s="84">
        <v>45752</v>
      </c>
      <c r="C485" s="23" t="s">
        <v>541</v>
      </c>
      <c r="D485" s="23" t="s">
        <v>248</v>
      </c>
      <c r="G485" s="23">
        <v>1</v>
      </c>
      <c r="I485" s="217" t="s">
        <v>1730</v>
      </c>
    </row>
    <row r="486" spans="1:9">
      <c r="A486" s="23">
        <v>486</v>
      </c>
      <c r="B486" s="84">
        <v>45752</v>
      </c>
      <c r="C486" s="23" t="s">
        <v>503</v>
      </c>
      <c r="D486" s="23" t="s">
        <v>177</v>
      </c>
      <c r="G486" s="23">
        <v>0</v>
      </c>
      <c r="I486" s="217" t="s">
        <v>1731</v>
      </c>
    </row>
    <row r="487" spans="1:9" hidden="1">
      <c r="A487" s="23">
        <v>487</v>
      </c>
      <c r="B487" s="84">
        <v>45752</v>
      </c>
      <c r="C487" s="23" t="s">
        <v>218</v>
      </c>
      <c r="D487" s="23" t="s">
        <v>211</v>
      </c>
      <c r="G487" s="23">
        <v>0.43</v>
      </c>
      <c r="I487" s="217" t="s">
        <v>1732</v>
      </c>
    </row>
    <row r="488" spans="1:9" hidden="1">
      <c r="A488" s="23">
        <v>488</v>
      </c>
      <c r="B488" s="84">
        <v>45752</v>
      </c>
      <c r="C488" s="23" t="s">
        <v>213</v>
      </c>
      <c r="D488" s="23" t="s">
        <v>220</v>
      </c>
      <c r="G488" s="23">
        <v>0</v>
      </c>
      <c r="I488" s="458" t="s">
        <v>1733</v>
      </c>
    </row>
    <row r="489" spans="1:9" hidden="1">
      <c r="A489" s="23">
        <v>489</v>
      </c>
      <c r="B489" s="84">
        <v>45752</v>
      </c>
      <c r="C489" s="23" t="s">
        <v>543</v>
      </c>
      <c r="D489" s="23" t="s">
        <v>225</v>
      </c>
      <c r="G489" s="23">
        <v>0.72</v>
      </c>
      <c r="I489" s="217" t="s">
        <v>1734</v>
      </c>
    </row>
    <row r="490" spans="1:9" hidden="1">
      <c r="A490" s="23">
        <v>490</v>
      </c>
      <c r="B490" s="84">
        <v>45752</v>
      </c>
      <c r="C490" s="23" t="s">
        <v>241</v>
      </c>
      <c r="D490" s="23" t="s">
        <v>217</v>
      </c>
      <c r="G490" s="23">
        <v>0</v>
      </c>
      <c r="I490" s="217" t="s">
        <v>1735</v>
      </c>
    </row>
    <row r="491" spans="1:9" hidden="1">
      <c r="A491" s="23">
        <v>491</v>
      </c>
      <c r="B491" s="84">
        <v>45752</v>
      </c>
      <c r="C491" s="23" t="s">
        <v>545</v>
      </c>
      <c r="D491" s="23" t="s">
        <v>229</v>
      </c>
      <c r="G491" s="23">
        <v>0.7</v>
      </c>
      <c r="I491" s="217" t="s">
        <v>1736</v>
      </c>
    </row>
    <row r="492" spans="1:9" hidden="1">
      <c r="A492" s="23">
        <v>492</v>
      </c>
      <c r="B492" s="84">
        <v>45752</v>
      </c>
      <c r="C492" s="23" t="s">
        <v>540</v>
      </c>
      <c r="D492" s="23" t="s">
        <v>211</v>
      </c>
      <c r="G492" s="23">
        <v>0</v>
      </c>
      <c r="I492" s="217" t="s">
        <v>1737</v>
      </c>
    </row>
    <row r="493" spans="1:9" hidden="1">
      <c r="A493" s="23">
        <v>493</v>
      </c>
      <c r="B493" s="84">
        <v>45752</v>
      </c>
      <c r="C493" s="23" t="s">
        <v>540</v>
      </c>
      <c r="D493" s="23" t="s">
        <v>214</v>
      </c>
      <c r="G493" s="23">
        <v>0</v>
      </c>
      <c r="I493" s="217" t="s">
        <v>1738</v>
      </c>
    </row>
    <row r="494" spans="1:9" hidden="1">
      <c r="A494" s="23">
        <v>494</v>
      </c>
      <c r="B494" s="84">
        <v>45752</v>
      </c>
      <c r="C494" s="23" t="s">
        <v>546</v>
      </c>
      <c r="D494" s="23" t="s">
        <v>211</v>
      </c>
      <c r="G494" s="23">
        <v>0.49</v>
      </c>
      <c r="I494" s="217" t="s">
        <v>1294</v>
      </c>
    </row>
    <row r="495" spans="1:9" hidden="1">
      <c r="A495" s="23">
        <v>495</v>
      </c>
      <c r="B495" s="84">
        <v>45752</v>
      </c>
      <c r="C495" s="23" t="s">
        <v>546</v>
      </c>
      <c r="D495" s="23" t="s">
        <v>214</v>
      </c>
      <c r="G495" s="23">
        <v>0.49</v>
      </c>
      <c r="I495" s="217" t="s">
        <v>1294</v>
      </c>
    </row>
    <row r="496" spans="1:9" hidden="1">
      <c r="A496" s="23">
        <v>496</v>
      </c>
      <c r="B496" s="84">
        <v>45752</v>
      </c>
      <c r="C496" s="23" t="s">
        <v>547</v>
      </c>
      <c r="D496" s="23" t="s">
        <v>232</v>
      </c>
      <c r="G496" s="23">
        <v>0.7</v>
      </c>
      <c r="I496" s="217" t="s">
        <v>1739</v>
      </c>
    </row>
    <row r="497" spans="1:9" hidden="1">
      <c r="A497" s="23">
        <v>497</v>
      </c>
      <c r="B497" s="84">
        <v>45752</v>
      </c>
      <c r="C497" s="23" t="s">
        <v>360</v>
      </c>
      <c r="D497" s="23" t="s">
        <v>242</v>
      </c>
      <c r="G497" s="23">
        <v>0.5</v>
      </c>
      <c r="I497" s="217" t="s">
        <v>1740</v>
      </c>
    </row>
    <row r="498" spans="1:9" hidden="1">
      <c r="A498" s="23">
        <v>498</v>
      </c>
      <c r="B498" s="84">
        <v>45752</v>
      </c>
      <c r="C498" s="23" t="s">
        <v>549</v>
      </c>
      <c r="D498" s="23" t="s">
        <v>234</v>
      </c>
      <c r="G498" s="23">
        <v>0.7</v>
      </c>
      <c r="I498" s="217" t="s">
        <v>1741</v>
      </c>
    </row>
    <row r="499" spans="1:9" hidden="1">
      <c r="A499" s="23">
        <v>499</v>
      </c>
      <c r="B499" s="84">
        <v>45752</v>
      </c>
      <c r="C499" s="23" t="s">
        <v>550</v>
      </c>
      <c r="D499" s="23" t="s">
        <v>236</v>
      </c>
      <c r="G499" s="23">
        <v>0.7</v>
      </c>
      <c r="I499" s="217" t="s">
        <v>1742</v>
      </c>
    </row>
    <row r="500" spans="1:9" hidden="1">
      <c r="A500" s="23">
        <v>500</v>
      </c>
      <c r="B500" s="84">
        <v>45752</v>
      </c>
      <c r="C500" s="23" t="s">
        <v>552</v>
      </c>
      <c r="D500" s="23" t="s">
        <v>239</v>
      </c>
      <c r="G500" s="23">
        <v>0.7</v>
      </c>
      <c r="I500" s="217" t="s">
        <v>1743</v>
      </c>
    </row>
    <row r="501" spans="1:9" hidden="1">
      <c r="A501" s="23">
        <v>501</v>
      </c>
      <c r="B501" s="84">
        <v>45752</v>
      </c>
      <c r="C501" s="23" t="s">
        <v>470</v>
      </c>
      <c r="D501" s="23" t="s">
        <v>183</v>
      </c>
      <c r="G501" s="23">
        <v>0.5</v>
      </c>
      <c r="I501" s="217" t="s">
        <v>1744</v>
      </c>
    </row>
    <row r="502" spans="1:9" hidden="1">
      <c r="A502" s="23">
        <v>502</v>
      </c>
      <c r="B502" s="84">
        <v>45752</v>
      </c>
      <c r="C502" s="23" t="s">
        <v>554</v>
      </c>
      <c r="D502" s="23" t="s">
        <v>245</v>
      </c>
      <c r="G502" s="23">
        <v>0.7</v>
      </c>
      <c r="I502" s="217" t="s">
        <v>1745</v>
      </c>
    </row>
    <row r="503" spans="1:9" hidden="1">
      <c r="A503" s="23">
        <v>503</v>
      </c>
      <c r="B503" s="84">
        <v>45752</v>
      </c>
      <c r="C503" s="23" t="s">
        <v>409</v>
      </c>
      <c r="D503" s="23" t="s">
        <v>239</v>
      </c>
      <c r="G503" s="23">
        <v>0</v>
      </c>
      <c r="I503" s="217" t="s">
        <v>1746</v>
      </c>
    </row>
    <row r="504" spans="1:9" hidden="1">
      <c r="A504" s="23">
        <v>504</v>
      </c>
      <c r="B504" s="84">
        <v>45752</v>
      </c>
      <c r="C504" s="23" t="s">
        <v>321</v>
      </c>
      <c r="D504" s="23" t="s">
        <v>229</v>
      </c>
      <c r="G504" s="23">
        <v>0</v>
      </c>
      <c r="I504" s="217" t="s">
        <v>1747</v>
      </c>
    </row>
    <row r="505" spans="1:9" hidden="1">
      <c r="A505" s="23">
        <v>505</v>
      </c>
      <c r="B505" s="84">
        <v>45752</v>
      </c>
      <c r="C505" s="23" t="s">
        <v>556</v>
      </c>
      <c r="D505" s="23" t="s">
        <v>226</v>
      </c>
      <c r="G505" s="23">
        <v>0.7</v>
      </c>
      <c r="I505" s="217" t="s">
        <v>1748</v>
      </c>
    </row>
    <row r="506" spans="1:9" hidden="1">
      <c r="A506" s="23">
        <v>506</v>
      </c>
      <c r="B506" s="84">
        <v>45752</v>
      </c>
      <c r="C506" s="23" t="s">
        <v>558</v>
      </c>
      <c r="D506" s="23" t="s">
        <v>229</v>
      </c>
      <c r="G506" s="23">
        <v>0.7</v>
      </c>
      <c r="I506" s="217" t="s">
        <v>1294</v>
      </c>
    </row>
    <row r="507" spans="1:9" hidden="1">
      <c r="A507" s="23">
        <v>507</v>
      </c>
      <c r="B507" s="84">
        <v>45752</v>
      </c>
      <c r="C507" s="23" t="s">
        <v>548</v>
      </c>
      <c r="D507" s="23" t="s">
        <v>226</v>
      </c>
      <c r="G507" s="23">
        <v>0</v>
      </c>
      <c r="I507" s="217" t="s">
        <v>1748</v>
      </c>
    </row>
    <row r="508" spans="1:9" hidden="1">
      <c r="A508" s="23">
        <v>508</v>
      </c>
      <c r="B508" s="84">
        <v>45752</v>
      </c>
      <c r="C508" s="23" t="s">
        <v>320</v>
      </c>
      <c r="D508" s="23" t="s">
        <v>234</v>
      </c>
      <c r="G508" s="23">
        <v>0</v>
      </c>
      <c r="I508" s="217" t="s">
        <v>1749</v>
      </c>
    </row>
    <row r="509" spans="1:9">
      <c r="A509" s="23">
        <v>509</v>
      </c>
      <c r="B509" s="84">
        <v>45752</v>
      </c>
      <c r="C509" s="23" t="s">
        <v>559</v>
      </c>
      <c r="D509" s="23" t="s">
        <v>177</v>
      </c>
      <c r="G509" s="23">
        <v>0.5</v>
      </c>
      <c r="I509" s="217" t="s">
        <v>1750</v>
      </c>
    </row>
    <row r="510" spans="1:9" hidden="1">
      <c r="A510" s="23">
        <v>510</v>
      </c>
      <c r="B510" s="84">
        <v>45752</v>
      </c>
      <c r="C510" s="23" t="s">
        <v>561</v>
      </c>
      <c r="D510" s="23" t="s">
        <v>186</v>
      </c>
      <c r="G510" s="23">
        <v>3.8</v>
      </c>
      <c r="I510" s="217" t="s">
        <v>1751</v>
      </c>
    </row>
    <row r="511" spans="1:9" hidden="1">
      <c r="A511" s="23">
        <v>511</v>
      </c>
      <c r="B511" s="84">
        <v>45752</v>
      </c>
      <c r="C511" s="23" t="s">
        <v>551</v>
      </c>
      <c r="D511" s="23" t="s">
        <v>236</v>
      </c>
      <c r="G511" s="23">
        <v>0</v>
      </c>
      <c r="I511" s="217" t="s">
        <v>1752</v>
      </c>
    </row>
    <row r="512" spans="1:9" hidden="1">
      <c r="A512" s="23">
        <v>512</v>
      </c>
      <c r="B512" s="84">
        <v>45752</v>
      </c>
      <c r="C512" s="23" t="s">
        <v>555</v>
      </c>
      <c r="D512" s="23" t="s">
        <v>245</v>
      </c>
      <c r="G512" s="23">
        <v>0</v>
      </c>
      <c r="I512" s="217" t="s">
        <v>1753</v>
      </c>
    </row>
    <row r="513" spans="1:9" hidden="1">
      <c r="A513" s="23">
        <v>513</v>
      </c>
      <c r="B513" s="84">
        <v>45752</v>
      </c>
      <c r="C513" s="23" t="s">
        <v>557</v>
      </c>
      <c r="D513" s="23" t="s">
        <v>226</v>
      </c>
      <c r="G513" s="23">
        <v>0</v>
      </c>
      <c r="I513" s="217" t="s">
        <v>1754</v>
      </c>
    </row>
    <row r="514" spans="1:9" hidden="1">
      <c r="A514" s="23">
        <v>514</v>
      </c>
      <c r="B514" s="84">
        <v>45752</v>
      </c>
      <c r="C514" s="23" t="s">
        <v>519</v>
      </c>
      <c r="D514" s="23" t="s">
        <v>229</v>
      </c>
      <c r="G514" s="23">
        <v>0</v>
      </c>
      <c r="I514" s="217" t="s">
        <v>1755</v>
      </c>
    </row>
    <row r="515" spans="1:9" hidden="1">
      <c r="A515" s="23">
        <v>515</v>
      </c>
      <c r="B515" s="84">
        <v>45752</v>
      </c>
      <c r="C515" s="23" t="s">
        <v>563</v>
      </c>
      <c r="D515" s="23" t="s">
        <v>232</v>
      </c>
      <c r="G515" s="23">
        <v>0</v>
      </c>
      <c r="I515" s="217" t="s">
        <v>1756</v>
      </c>
    </row>
    <row r="516" spans="1:9" hidden="1">
      <c r="A516" s="23">
        <v>516</v>
      </c>
      <c r="B516" s="84">
        <v>45752</v>
      </c>
      <c r="C516" s="23" t="s">
        <v>565</v>
      </c>
      <c r="D516" s="23" t="s">
        <v>239</v>
      </c>
      <c r="G516" s="23">
        <v>0.7</v>
      </c>
      <c r="I516" s="217" t="s">
        <v>1757</v>
      </c>
    </row>
    <row r="517" spans="1:9" hidden="1">
      <c r="A517" s="23">
        <v>517</v>
      </c>
      <c r="B517" s="84">
        <v>45752</v>
      </c>
      <c r="C517" s="23" t="s">
        <v>274</v>
      </c>
      <c r="D517" s="23" t="s">
        <v>220</v>
      </c>
      <c r="G517" s="23">
        <v>0.69</v>
      </c>
      <c r="I517" s="217" t="s">
        <v>1758</v>
      </c>
    </row>
    <row r="518" spans="1:9" hidden="1">
      <c r="A518" s="23">
        <v>518</v>
      </c>
      <c r="B518" s="84">
        <v>45752</v>
      </c>
      <c r="C518" s="23" t="s">
        <v>306</v>
      </c>
      <c r="D518" s="23" t="s">
        <v>214</v>
      </c>
      <c r="G518" s="23">
        <v>0</v>
      </c>
      <c r="I518" s="217" t="s">
        <v>1759</v>
      </c>
    </row>
    <row r="519" spans="1:9" hidden="1">
      <c r="A519" s="23">
        <v>519</v>
      </c>
      <c r="B519" s="84">
        <v>45752</v>
      </c>
      <c r="C519" s="23" t="s">
        <v>560</v>
      </c>
      <c r="D519" s="23" t="s">
        <v>234</v>
      </c>
      <c r="G519" s="23">
        <v>0.7</v>
      </c>
      <c r="I519" s="217" t="s">
        <v>1760</v>
      </c>
    </row>
    <row r="520" spans="1:9" hidden="1">
      <c r="A520" s="23">
        <v>520</v>
      </c>
      <c r="B520" s="84">
        <v>45752</v>
      </c>
      <c r="C520" s="23" t="s">
        <v>568</v>
      </c>
      <c r="D520" s="23" t="s">
        <v>236</v>
      </c>
      <c r="G520" s="23">
        <v>0.7</v>
      </c>
      <c r="I520" s="217" t="s">
        <v>1761</v>
      </c>
    </row>
    <row r="521" spans="1:9" hidden="1">
      <c r="A521" s="23">
        <v>521</v>
      </c>
      <c r="B521" s="84">
        <v>45752</v>
      </c>
      <c r="C521" s="23" t="s">
        <v>570</v>
      </c>
      <c r="D521" s="23" t="s">
        <v>245</v>
      </c>
      <c r="G521" s="23">
        <v>0.7</v>
      </c>
      <c r="I521" s="217" t="s">
        <v>1762</v>
      </c>
    </row>
    <row r="522" spans="1:9" hidden="1">
      <c r="A522" s="23">
        <v>522</v>
      </c>
      <c r="B522" s="84">
        <v>45752</v>
      </c>
      <c r="C522" s="23" t="s">
        <v>572</v>
      </c>
      <c r="D522" s="23" t="s">
        <v>226</v>
      </c>
      <c r="G522" s="23">
        <v>0.7</v>
      </c>
      <c r="I522" s="217" t="s">
        <v>1763</v>
      </c>
    </row>
    <row r="523" spans="1:9" hidden="1">
      <c r="A523" s="23">
        <v>523</v>
      </c>
      <c r="B523" s="84">
        <v>45752</v>
      </c>
      <c r="C523" s="23" t="s">
        <v>566</v>
      </c>
      <c r="D523" s="23" t="s">
        <v>239</v>
      </c>
      <c r="G523" s="23">
        <v>0</v>
      </c>
      <c r="I523" s="217" t="s">
        <v>1764</v>
      </c>
    </row>
    <row r="524" spans="1:9" hidden="1">
      <c r="A524" s="23">
        <v>524</v>
      </c>
      <c r="B524" s="84">
        <v>45752</v>
      </c>
      <c r="C524" s="23" t="s">
        <v>574</v>
      </c>
      <c r="D524" s="23" t="s">
        <v>217</v>
      </c>
      <c r="G524" s="23">
        <v>0.89</v>
      </c>
      <c r="I524" s="217" t="s">
        <v>1765</v>
      </c>
    </row>
    <row r="525" spans="1:9" hidden="1">
      <c r="A525" s="23">
        <v>525</v>
      </c>
      <c r="B525" s="84">
        <v>45752</v>
      </c>
      <c r="C525" s="23" t="s">
        <v>544</v>
      </c>
      <c r="D525" s="23" t="s">
        <v>225</v>
      </c>
      <c r="G525" s="23">
        <v>0</v>
      </c>
      <c r="I525" s="217" t="s">
        <v>1766</v>
      </c>
    </row>
    <row r="526" spans="1:9" hidden="1">
      <c r="A526" s="23">
        <v>526</v>
      </c>
      <c r="B526" s="84">
        <v>45752</v>
      </c>
      <c r="C526" s="23" t="s">
        <v>567</v>
      </c>
      <c r="D526" s="23" t="s">
        <v>234</v>
      </c>
      <c r="G526" s="23">
        <v>0</v>
      </c>
      <c r="I526" s="217" t="s">
        <v>1767</v>
      </c>
    </row>
    <row r="527" spans="1:9" hidden="1">
      <c r="A527" s="23">
        <v>527</v>
      </c>
      <c r="B527" s="84">
        <v>45752</v>
      </c>
      <c r="C527" s="23" t="s">
        <v>569</v>
      </c>
      <c r="D527" s="23" t="s">
        <v>236</v>
      </c>
      <c r="G527" s="23">
        <v>0</v>
      </c>
      <c r="I527" s="217" t="s">
        <v>1768</v>
      </c>
    </row>
    <row r="528" spans="1:9" hidden="1">
      <c r="A528" s="23">
        <v>528</v>
      </c>
      <c r="B528" s="84">
        <v>45752</v>
      </c>
      <c r="C528" s="23" t="s">
        <v>571</v>
      </c>
      <c r="D528" s="23" t="s">
        <v>245</v>
      </c>
      <c r="G528" s="23">
        <v>0</v>
      </c>
      <c r="I528" s="217" t="s">
        <v>1769</v>
      </c>
    </row>
    <row r="529" spans="1:9" hidden="1">
      <c r="A529" s="23">
        <v>529</v>
      </c>
      <c r="B529" s="84">
        <v>45752</v>
      </c>
      <c r="C529" s="23" t="s">
        <v>573</v>
      </c>
      <c r="D529" s="23" t="s">
        <v>226</v>
      </c>
      <c r="G529" s="23">
        <v>0</v>
      </c>
      <c r="I529" s="217" t="s">
        <v>1770</v>
      </c>
    </row>
    <row r="530" spans="1:9" hidden="1">
      <c r="A530" s="23">
        <v>530</v>
      </c>
      <c r="B530" s="84">
        <v>45752</v>
      </c>
      <c r="C530" s="23" t="s">
        <v>203</v>
      </c>
      <c r="D530" s="23" t="s">
        <v>229</v>
      </c>
      <c r="G530" s="23">
        <v>0.7</v>
      </c>
      <c r="I530" s="217" t="s">
        <v>1771</v>
      </c>
    </row>
    <row r="531" spans="1:9" hidden="1">
      <c r="A531" s="23">
        <v>531</v>
      </c>
      <c r="B531" s="84">
        <v>45752</v>
      </c>
      <c r="C531" s="23" t="s">
        <v>341</v>
      </c>
      <c r="D531" s="23" t="s">
        <v>232</v>
      </c>
      <c r="G531" s="23">
        <v>0.7</v>
      </c>
      <c r="I531" s="217" t="s">
        <v>1772</v>
      </c>
    </row>
    <row r="532" spans="1:9" hidden="1">
      <c r="A532" s="23">
        <v>532</v>
      </c>
      <c r="B532" s="84">
        <v>45752</v>
      </c>
      <c r="C532" s="23" t="s">
        <v>576</v>
      </c>
      <c r="D532" s="23" t="s">
        <v>234</v>
      </c>
      <c r="G532" s="23">
        <v>0.7</v>
      </c>
      <c r="I532" s="217" t="s">
        <v>1773</v>
      </c>
    </row>
    <row r="533" spans="1:9" hidden="1">
      <c r="A533" s="23">
        <v>533</v>
      </c>
      <c r="B533" s="84">
        <v>45752</v>
      </c>
      <c r="C533" s="23" t="s">
        <v>197</v>
      </c>
      <c r="D533" s="23" t="s">
        <v>236</v>
      </c>
      <c r="G533" s="23">
        <v>0.7</v>
      </c>
      <c r="I533" s="217" t="s">
        <v>1774</v>
      </c>
    </row>
    <row r="534" spans="1:9" hidden="1">
      <c r="A534" s="23">
        <v>534</v>
      </c>
      <c r="B534" s="84">
        <v>45752</v>
      </c>
      <c r="C534" s="23" t="s">
        <v>575</v>
      </c>
      <c r="D534" s="23" t="s">
        <v>229</v>
      </c>
      <c r="G534" s="23">
        <v>0</v>
      </c>
      <c r="I534" s="217" t="s">
        <v>1775</v>
      </c>
    </row>
    <row r="535" spans="1:9" hidden="1">
      <c r="A535" s="23">
        <v>535</v>
      </c>
      <c r="B535" s="84">
        <v>45752</v>
      </c>
      <c r="C535" s="23" t="s">
        <v>578</v>
      </c>
      <c r="D535" s="23" t="s">
        <v>232</v>
      </c>
      <c r="G535" s="23">
        <v>0</v>
      </c>
      <c r="I535" s="217" t="s">
        <v>1776</v>
      </c>
    </row>
    <row r="536" spans="1:9" hidden="1">
      <c r="A536" s="23">
        <v>536</v>
      </c>
      <c r="B536" s="84">
        <v>45752</v>
      </c>
      <c r="C536" s="23" t="s">
        <v>414</v>
      </c>
      <c r="D536" s="23" t="s">
        <v>234</v>
      </c>
      <c r="G536" s="23">
        <v>0</v>
      </c>
      <c r="I536" s="217" t="s">
        <v>1777</v>
      </c>
    </row>
    <row r="537" spans="1:9" hidden="1">
      <c r="A537" s="23">
        <v>537</v>
      </c>
      <c r="B537" s="84">
        <v>45752</v>
      </c>
      <c r="C537" s="23" t="s">
        <v>577</v>
      </c>
      <c r="D537" s="23" t="s">
        <v>236</v>
      </c>
      <c r="G537" s="23">
        <v>0</v>
      </c>
      <c r="I537" s="217" t="s">
        <v>1778</v>
      </c>
    </row>
    <row r="538" spans="1:9" hidden="1">
      <c r="A538" s="23">
        <v>538</v>
      </c>
      <c r="B538" s="84">
        <v>45752</v>
      </c>
      <c r="C538" s="23" t="s">
        <v>580</v>
      </c>
      <c r="D538" s="23" t="s">
        <v>279</v>
      </c>
      <c r="G538" s="23">
        <v>0.3</v>
      </c>
      <c r="H538" s="23" t="s">
        <v>1779</v>
      </c>
      <c r="I538" s="217" t="s">
        <v>1780</v>
      </c>
    </row>
    <row r="539" spans="1:9" hidden="1">
      <c r="A539" s="23">
        <v>539</v>
      </c>
      <c r="B539" s="84">
        <v>45752</v>
      </c>
      <c r="C539" s="23" t="s">
        <v>182</v>
      </c>
      <c r="D539" s="23" t="s">
        <v>239</v>
      </c>
      <c r="G539" s="23">
        <v>0.7</v>
      </c>
      <c r="I539" s="217" t="s">
        <v>1781</v>
      </c>
    </row>
    <row r="540" spans="1:9" hidden="1">
      <c r="A540" s="23">
        <v>540</v>
      </c>
      <c r="B540" s="84">
        <v>45752</v>
      </c>
      <c r="C540" s="23" t="s">
        <v>182</v>
      </c>
      <c r="D540" s="23" t="s">
        <v>245</v>
      </c>
      <c r="G540" s="23">
        <v>0.7</v>
      </c>
      <c r="I540" s="217" t="s">
        <v>1782</v>
      </c>
    </row>
    <row r="541" spans="1:9" ht="28.15">
      <c r="A541" s="23">
        <v>541</v>
      </c>
      <c r="B541" s="84">
        <v>45752</v>
      </c>
      <c r="C541" s="23" t="s">
        <v>182</v>
      </c>
      <c r="D541" s="23" t="s">
        <v>180</v>
      </c>
      <c r="G541" s="23">
        <v>0</v>
      </c>
      <c r="H541" s="457" t="s">
        <v>1783</v>
      </c>
      <c r="I541" s="217" t="s">
        <v>1784</v>
      </c>
    </row>
    <row r="542" spans="1:9" hidden="1">
      <c r="A542" s="23">
        <v>542</v>
      </c>
      <c r="B542" s="84">
        <v>45752</v>
      </c>
      <c r="C542" s="23" t="s">
        <v>349</v>
      </c>
      <c r="D542" s="23" t="s">
        <v>239</v>
      </c>
      <c r="G542" s="23">
        <v>0</v>
      </c>
      <c r="I542" s="217" t="s">
        <v>1781</v>
      </c>
    </row>
    <row r="543" spans="1:9" hidden="1">
      <c r="A543" s="23">
        <v>543</v>
      </c>
      <c r="B543" s="84">
        <v>45752</v>
      </c>
      <c r="C543" s="23" t="s">
        <v>582</v>
      </c>
      <c r="D543" s="23" t="s">
        <v>245</v>
      </c>
      <c r="G543" s="23">
        <v>0</v>
      </c>
      <c r="I543" s="217" t="s">
        <v>1785</v>
      </c>
    </row>
    <row r="544" spans="1:9" hidden="1">
      <c r="A544" s="23">
        <v>544</v>
      </c>
      <c r="B544" s="84">
        <v>45752</v>
      </c>
      <c r="C544" s="23" t="s">
        <v>581</v>
      </c>
      <c r="D544" s="23" t="s">
        <v>279</v>
      </c>
      <c r="G544" s="23">
        <v>0</v>
      </c>
      <c r="I544" s="217" t="s">
        <v>1786</v>
      </c>
    </row>
    <row r="545" spans="1:9">
      <c r="A545" s="23">
        <v>545</v>
      </c>
      <c r="B545" s="84">
        <v>45752</v>
      </c>
      <c r="C545" s="23" t="s">
        <v>583</v>
      </c>
      <c r="D545" s="23" t="s">
        <v>180</v>
      </c>
      <c r="G545" s="23">
        <v>1.5</v>
      </c>
      <c r="I545" s="217" t="s">
        <v>1787</v>
      </c>
    </row>
    <row r="546" spans="1:9">
      <c r="A546" s="23">
        <v>546</v>
      </c>
      <c r="B546" s="84">
        <v>45752</v>
      </c>
      <c r="C546" s="23" t="s">
        <v>542</v>
      </c>
      <c r="D546" s="23" t="s">
        <v>248</v>
      </c>
      <c r="G546" s="23">
        <v>0</v>
      </c>
      <c r="I546" s="217" t="s">
        <v>1788</v>
      </c>
    </row>
    <row r="547" spans="1:9" hidden="1">
      <c r="A547" s="23">
        <v>547</v>
      </c>
      <c r="B547" s="84">
        <v>45752</v>
      </c>
      <c r="C547" s="23" t="s">
        <v>579</v>
      </c>
      <c r="D547" s="23" t="s">
        <v>229</v>
      </c>
      <c r="G547" s="23">
        <v>0.7</v>
      </c>
      <c r="I547" s="217" t="s">
        <v>1789</v>
      </c>
    </row>
    <row r="548" spans="1:9" hidden="1">
      <c r="A548" s="23">
        <v>548</v>
      </c>
      <c r="B548" s="84">
        <v>45752</v>
      </c>
      <c r="C548" s="23" t="s">
        <v>579</v>
      </c>
      <c r="D548" s="23" t="s">
        <v>232</v>
      </c>
      <c r="G548" s="23">
        <v>0.7</v>
      </c>
      <c r="I548" s="217" t="s">
        <v>1790</v>
      </c>
    </row>
    <row r="549" spans="1:9" hidden="1">
      <c r="A549" s="23">
        <v>549</v>
      </c>
      <c r="B549" s="84">
        <v>45752</v>
      </c>
      <c r="C549" s="23" t="s">
        <v>579</v>
      </c>
      <c r="D549" s="23" t="s">
        <v>226</v>
      </c>
      <c r="G549" s="23">
        <v>0.7</v>
      </c>
      <c r="I549" s="217" t="s">
        <v>1791</v>
      </c>
    </row>
    <row r="550" spans="1:9" hidden="1">
      <c r="A550" s="23">
        <v>550</v>
      </c>
      <c r="B550" s="84">
        <v>45752</v>
      </c>
      <c r="C550" s="23" t="s">
        <v>579</v>
      </c>
      <c r="D550" s="23" t="s">
        <v>234</v>
      </c>
      <c r="G550" s="23">
        <v>0.7</v>
      </c>
      <c r="I550" s="217" t="s">
        <v>1792</v>
      </c>
    </row>
    <row r="551" spans="1:9" hidden="1">
      <c r="A551" s="23">
        <v>551</v>
      </c>
      <c r="B551" s="84">
        <v>45752</v>
      </c>
      <c r="C551" s="23" t="s">
        <v>449</v>
      </c>
      <c r="D551" s="23" t="s">
        <v>236</v>
      </c>
      <c r="G551" s="23">
        <v>0.7</v>
      </c>
      <c r="I551" s="217" t="s">
        <v>1793</v>
      </c>
    </row>
    <row r="552" spans="1:9">
      <c r="A552" s="23">
        <v>552</v>
      </c>
      <c r="B552" s="84">
        <v>45752</v>
      </c>
      <c r="C552" s="23" t="s">
        <v>449</v>
      </c>
      <c r="D552" s="23" t="s">
        <v>174</v>
      </c>
      <c r="G552" s="23">
        <v>0</v>
      </c>
      <c r="I552" s="217" t="s">
        <v>1794</v>
      </c>
    </row>
    <row r="553" spans="1:9" hidden="1">
      <c r="A553" s="23">
        <v>553</v>
      </c>
      <c r="B553" s="84">
        <v>45752</v>
      </c>
      <c r="C553" s="23" t="s">
        <v>586</v>
      </c>
      <c r="D553" s="23" t="s">
        <v>226</v>
      </c>
      <c r="G553" s="23">
        <v>0</v>
      </c>
      <c r="I553" s="217" t="s">
        <v>1791</v>
      </c>
    </row>
    <row r="554" spans="1:9" hidden="1">
      <c r="A554" s="23">
        <v>554</v>
      </c>
      <c r="B554" s="84">
        <v>45752</v>
      </c>
      <c r="C554" s="23" t="s">
        <v>585</v>
      </c>
      <c r="D554" s="23" t="s">
        <v>229</v>
      </c>
      <c r="G554" s="23">
        <v>0</v>
      </c>
      <c r="I554" s="217" t="s">
        <v>1789</v>
      </c>
    </row>
    <row r="555" spans="1:9" hidden="1">
      <c r="A555" s="23">
        <v>555</v>
      </c>
      <c r="B555" s="84">
        <v>45752</v>
      </c>
      <c r="C555" s="23" t="s">
        <v>212</v>
      </c>
      <c r="D555" s="23" t="s">
        <v>214</v>
      </c>
      <c r="G555" s="23">
        <v>0.78</v>
      </c>
      <c r="I555" s="217" t="s">
        <v>1795</v>
      </c>
    </row>
    <row r="556" spans="1:9" hidden="1">
      <c r="A556" s="23">
        <v>556</v>
      </c>
      <c r="B556" s="84">
        <v>45752</v>
      </c>
      <c r="C556" s="23" t="s">
        <v>222</v>
      </c>
      <c r="D556" s="23" t="s">
        <v>211</v>
      </c>
      <c r="G556" s="23">
        <v>0</v>
      </c>
      <c r="I556" s="217" t="s">
        <v>1796</v>
      </c>
    </row>
    <row r="557" spans="1:9" hidden="1">
      <c r="A557" s="23">
        <v>557</v>
      </c>
      <c r="B557" s="84">
        <v>45752</v>
      </c>
      <c r="C557" s="23" t="s">
        <v>589</v>
      </c>
      <c r="D557" s="23" t="s">
        <v>211</v>
      </c>
      <c r="G557" s="23">
        <v>0.52500000000000002</v>
      </c>
      <c r="I557" s="217" t="s">
        <v>1797</v>
      </c>
    </row>
    <row r="558" spans="1:9" hidden="1">
      <c r="A558" s="23">
        <v>558</v>
      </c>
      <c r="B558" s="84">
        <v>45752</v>
      </c>
      <c r="C558" s="23" t="s">
        <v>564</v>
      </c>
      <c r="D558" s="23" t="s">
        <v>220</v>
      </c>
      <c r="G558" s="23">
        <v>0</v>
      </c>
      <c r="I558" s="217" t="s">
        <v>1798</v>
      </c>
    </row>
    <row r="559" spans="1:9" hidden="1">
      <c r="A559" s="23">
        <v>559</v>
      </c>
      <c r="B559" s="84">
        <v>45752</v>
      </c>
      <c r="C559" s="23" t="s">
        <v>261</v>
      </c>
      <c r="D559" s="23" t="s">
        <v>232</v>
      </c>
      <c r="G559" s="23">
        <v>0</v>
      </c>
      <c r="I559" s="217" t="s">
        <v>1790</v>
      </c>
    </row>
    <row r="560" spans="1:9" hidden="1">
      <c r="A560" s="23">
        <v>560</v>
      </c>
      <c r="B560" s="84">
        <v>45753</v>
      </c>
      <c r="C560" s="23" t="s">
        <v>587</v>
      </c>
      <c r="D560" s="23" t="s">
        <v>234</v>
      </c>
      <c r="G560" s="23">
        <v>0</v>
      </c>
      <c r="I560" s="217" t="s">
        <v>1799</v>
      </c>
    </row>
    <row r="561" spans="1:9" hidden="1">
      <c r="A561" s="23">
        <v>561</v>
      </c>
      <c r="B561" s="84">
        <v>45753</v>
      </c>
      <c r="C561" s="23" t="s">
        <v>588</v>
      </c>
      <c r="D561" s="23" t="s">
        <v>236</v>
      </c>
      <c r="G561" s="23">
        <v>0</v>
      </c>
      <c r="I561" s="217" t="s">
        <v>1800</v>
      </c>
    </row>
    <row r="562" spans="1:9" hidden="1">
      <c r="A562" s="23">
        <v>562</v>
      </c>
      <c r="B562" s="84">
        <v>45753</v>
      </c>
      <c r="C562" s="23" t="s">
        <v>562</v>
      </c>
      <c r="D562" s="23" t="s">
        <v>186</v>
      </c>
      <c r="G562" s="23">
        <v>0</v>
      </c>
      <c r="I562" s="217" t="s">
        <v>1801</v>
      </c>
    </row>
    <row r="563" spans="1:9" hidden="1">
      <c r="A563" s="23">
        <v>563</v>
      </c>
      <c r="B563" s="84">
        <v>45753</v>
      </c>
      <c r="C563" s="23" t="s">
        <v>591</v>
      </c>
      <c r="D563" s="23" t="s">
        <v>226</v>
      </c>
      <c r="G563" s="23">
        <v>0.7</v>
      </c>
      <c r="I563" s="217" t="s">
        <v>1802</v>
      </c>
    </row>
    <row r="564" spans="1:9" hidden="1">
      <c r="A564" s="23">
        <v>564</v>
      </c>
      <c r="B564" s="84">
        <v>45753</v>
      </c>
      <c r="C564" s="23" t="s">
        <v>591</v>
      </c>
      <c r="D564" s="23" t="s">
        <v>245</v>
      </c>
      <c r="G564" s="23">
        <v>0.7</v>
      </c>
      <c r="I564" s="217" t="s">
        <v>1803</v>
      </c>
    </row>
    <row r="565" spans="1:9" hidden="1">
      <c r="A565" s="23">
        <v>565</v>
      </c>
      <c r="B565" s="84">
        <v>45753</v>
      </c>
      <c r="C565" s="23" t="s">
        <v>593</v>
      </c>
      <c r="D565" s="23" t="s">
        <v>245</v>
      </c>
      <c r="G565" s="23">
        <v>0</v>
      </c>
      <c r="I565" s="217" t="s">
        <v>1803</v>
      </c>
    </row>
    <row r="566" spans="1:9" hidden="1">
      <c r="A566" s="23">
        <v>566</v>
      </c>
      <c r="B566" s="84">
        <v>45753</v>
      </c>
      <c r="C566" s="23" t="s">
        <v>592</v>
      </c>
      <c r="D566" s="23" t="s">
        <v>226</v>
      </c>
      <c r="G566" s="23">
        <v>0</v>
      </c>
      <c r="I566" s="217" t="s">
        <v>1804</v>
      </c>
    </row>
    <row r="567" spans="1:9">
      <c r="A567" s="23">
        <v>567</v>
      </c>
      <c r="B567" s="84">
        <v>45753</v>
      </c>
      <c r="C567" s="23" t="s">
        <v>594</v>
      </c>
      <c r="D567" s="23" t="s">
        <v>248</v>
      </c>
      <c r="G567" s="23">
        <v>1</v>
      </c>
      <c r="I567" s="217" t="s">
        <v>1805</v>
      </c>
    </row>
    <row r="568" spans="1:9" hidden="1">
      <c r="A568" s="23">
        <v>568</v>
      </c>
      <c r="B568" s="84">
        <v>45753</v>
      </c>
      <c r="C568" s="23" t="s">
        <v>553</v>
      </c>
      <c r="D568" s="23" t="s">
        <v>183</v>
      </c>
      <c r="G568" s="23">
        <v>0</v>
      </c>
      <c r="I568" s="217" t="s">
        <v>1806</v>
      </c>
    </row>
    <row r="569" spans="1:9" hidden="1">
      <c r="A569" s="23">
        <v>569</v>
      </c>
      <c r="B569" s="84">
        <v>45753</v>
      </c>
      <c r="C569" s="23" t="s">
        <v>313</v>
      </c>
      <c r="D569" s="23" t="s">
        <v>242</v>
      </c>
      <c r="G569" s="23">
        <v>0</v>
      </c>
      <c r="I569" s="217" t="s">
        <v>1807</v>
      </c>
    </row>
    <row r="570" spans="1:9" hidden="1">
      <c r="A570" s="23">
        <v>570</v>
      </c>
      <c r="B570" s="84">
        <v>45753</v>
      </c>
      <c r="C570" s="23" t="s">
        <v>595</v>
      </c>
      <c r="D570" s="23" t="s">
        <v>220</v>
      </c>
      <c r="G570" s="23">
        <v>0.47</v>
      </c>
      <c r="I570" s="217" t="s">
        <v>1808</v>
      </c>
    </row>
    <row r="571" spans="1:9" hidden="1">
      <c r="A571" s="23">
        <v>571</v>
      </c>
      <c r="B571" s="84">
        <v>45753</v>
      </c>
      <c r="C571" s="23" t="s">
        <v>590</v>
      </c>
      <c r="D571" s="23" t="s">
        <v>211</v>
      </c>
      <c r="G571" s="23">
        <v>0</v>
      </c>
      <c r="I571" s="217" t="s">
        <v>1809</v>
      </c>
    </row>
    <row r="572" spans="1:9" hidden="1">
      <c r="A572" s="23">
        <v>572</v>
      </c>
      <c r="B572" s="84">
        <v>45753</v>
      </c>
      <c r="C572" s="23" t="s">
        <v>218</v>
      </c>
      <c r="D572" s="23" t="s">
        <v>225</v>
      </c>
      <c r="G572" s="23">
        <v>0.72</v>
      </c>
      <c r="I572" s="217" t="s">
        <v>1810</v>
      </c>
    </row>
    <row r="573" spans="1:9" hidden="1">
      <c r="A573" s="23">
        <v>573</v>
      </c>
      <c r="B573" s="84">
        <v>45753</v>
      </c>
      <c r="C573" s="23" t="s">
        <v>213</v>
      </c>
      <c r="D573" s="23" t="s">
        <v>217</v>
      </c>
      <c r="G573" s="23">
        <v>0</v>
      </c>
      <c r="I573" s="217" t="s">
        <v>1811</v>
      </c>
    </row>
    <row r="574" spans="1:9" hidden="1">
      <c r="A574" s="23">
        <v>574</v>
      </c>
      <c r="B574" s="84">
        <v>45753</v>
      </c>
      <c r="C574" s="23" t="s">
        <v>596</v>
      </c>
      <c r="D574" s="23" t="s">
        <v>229</v>
      </c>
      <c r="G574" s="23">
        <v>0.7</v>
      </c>
      <c r="I574" s="217" t="s">
        <v>1812</v>
      </c>
    </row>
    <row r="575" spans="1:9" hidden="1">
      <c r="A575" s="23">
        <v>575</v>
      </c>
      <c r="B575" s="84">
        <v>45753</v>
      </c>
      <c r="C575" s="23" t="s">
        <v>598</v>
      </c>
      <c r="D575" s="23" t="s">
        <v>232</v>
      </c>
      <c r="G575" s="23">
        <v>0.7</v>
      </c>
      <c r="I575" s="217" t="s">
        <v>1813</v>
      </c>
    </row>
    <row r="576" spans="1:9" hidden="1">
      <c r="A576" s="23">
        <v>576</v>
      </c>
      <c r="B576" s="84">
        <v>45753</v>
      </c>
      <c r="C576" s="23" t="s">
        <v>600</v>
      </c>
      <c r="D576" s="23" t="s">
        <v>242</v>
      </c>
      <c r="G576" s="23">
        <v>1.5</v>
      </c>
      <c r="I576" s="217" t="s">
        <v>1814</v>
      </c>
    </row>
    <row r="577" spans="1:9" hidden="1">
      <c r="A577" s="23">
        <v>577</v>
      </c>
      <c r="B577" s="84">
        <v>45753</v>
      </c>
      <c r="C577" s="23" t="s">
        <v>597</v>
      </c>
      <c r="D577" s="23" t="s">
        <v>229</v>
      </c>
      <c r="G577" s="23">
        <v>0</v>
      </c>
      <c r="I577" s="217" t="s">
        <v>1812</v>
      </c>
    </row>
    <row r="578" spans="1:9" hidden="1">
      <c r="A578" s="23">
        <v>578</v>
      </c>
      <c r="B578" s="84">
        <v>45753</v>
      </c>
      <c r="C578" s="23" t="s">
        <v>599</v>
      </c>
      <c r="D578" s="23" t="s">
        <v>232</v>
      </c>
      <c r="G578" s="23">
        <v>0</v>
      </c>
      <c r="I578" s="217" t="s">
        <v>1813</v>
      </c>
    </row>
    <row r="579" spans="1:9" hidden="1">
      <c r="A579" s="23">
        <v>579</v>
      </c>
      <c r="B579" s="84">
        <v>45753</v>
      </c>
      <c r="C579" s="23" t="s">
        <v>253</v>
      </c>
      <c r="D579" s="23" t="s">
        <v>401</v>
      </c>
      <c r="G579" s="23" t="s">
        <v>9</v>
      </c>
      <c r="I579" s="217" t="s">
        <v>1815</v>
      </c>
    </row>
    <row r="580" spans="1:9" hidden="1">
      <c r="A580" s="23">
        <v>580</v>
      </c>
      <c r="B580" s="84">
        <v>45753</v>
      </c>
      <c r="C580" s="23" t="s">
        <v>602</v>
      </c>
      <c r="D580" s="23" t="s">
        <v>234</v>
      </c>
      <c r="G580" s="23">
        <v>0.7</v>
      </c>
      <c r="I580" s="217" t="s">
        <v>1816</v>
      </c>
    </row>
    <row r="581" spans="1:9" hidden="1">
      <c r="A581" s="23">
        <v>581</v>
      </c>
      <c r="B581" s="84">
        <v>45753</v>
      </c>
      <c r="C581" s="23" t="s">
        <v>604</v>
      </c>
      <c r="D581" s="23" t="s">
        <v>236</v>
      </c>
      <c r="G581" s="23">
        <v>0.7</v>
      </c>
      <c r="I581" s="217" t="s">
        <v>1817</v>
      </c>
    </row>
    <row r="582" spans="1:9" hidden="1">
      <c r="A582" s="23">
        <v>582</v>
      </c>
      <c r="B582" s="84">
        <v>45753</v>
      </c>
      <c r="C582" s="23" t="s">
        <v>550</v>
      </c>
      <c r="D582" s="23" t="s">
        <v>239</v>
      </c>
      <c r="G582" s="23">
        <v>0.7</v>
      </c>
      <c r="I582" s="217" t="s">
        <v>1818</v>
      </c>
    </row>
    <row r="583" spans="1:9" hidden="1">
      <c r="A583" s="23">
        <v>583</v>
      </c>
      <c r="B583" s="84">
        <v>45753</v>
      </c>
      <c r="C583" s="23" t="s">
        <v>606</v>
      </c>
      <c r="D583" s="23" t="s">
        <v>245</v>
      </c>
      <c r="G583" s="23">
        <v>0.7</v>
      </c>
      <c r="I583" s="217" t="s">
        <v>1819</v>
      </c>
    </row>
    <row r="584" spans="1:9" hidden="1">
      <c r="A584" s="23">
        <v>584</v>
      </c>
      <c r="B584" s="84">
        <v>45753</v>
      </c>
      <c r="C584" s="23" t="s">
        <v>603</v>
      </c>
      <c r="D584" s="23" t="s">
        <v>234</v>
      </c>
      <c r="G584" s="23">
        <v>0</v>
      </c>
      <c r="I584" s="217" t="s">
        <v>1816</v>
      </c>
    </row>
    <row r="585" spans="1:9" hidden="1">
      <c r="A585" s="23">
        <v>585</v>
      </c>
      <c r="B585" s="84">
        <v>45753</v>
      </c>
      <c r="C585" s="23" t="s">
        <v>187</v>
      </c>
      <c r="D585" s="23" t="s">
        <v>183</v>
      </c>
      <c r="G585" s="23">
        <v>1.2</v>
      </c>
      <c r="I585" s="217" t="s">
        <v>1820</v>
      </c>
    </row>
    <row r="586" spans="1:9" hidden="1">
      <c r="A586" s="23">
        <v>586</v>
      </c>
      <c r="B586" s="84">
        <v>45753</v>
      </c>
      <c r="C586" s="23" t="s">
        <v>409</v>
      </c>
      <c r="D586" s="23" t="s">
        <v>164</v>
      </c>
      <c r="G586" s="23">
        <v>0.2</v>
      </c>
      <c r="H586" s="23" t="s">
        <v>1203</v>
      </c>
      <c r="I586" s="217" t="s">
        <v>1821</v>
      </c>
    </row>
    <row r="587" spans="1:9" hidden="1">
      <c r="A587" s="23">
        <v>587</v>
      </c>
      <c r="B587" s="84">
        <v>45753</v>
      </c>
      <c r="C587" s="23" t="s">
        <v>610</v>
      </c>
      <c r="D587" s="23" t="s">
        <v>186</v>
      </c>
      <c r="G587" s="23">
        <v>1.5</v>
      </c>
      <c r="I587" s="217" t="s">
        <v>1822</v>
      </c>
    </row>
    <row r="588" spans="1:9" hidden="1">
      <c r="A588" s="23">
        <v>588</v>
      </c>
      <c r="B588" s="84">
        <v>45753</v>
      </c>
      <c r="C588" s="23" t="s">
        <v>605</v>
      </c>
      <c r="D588" s="23" t="s">
        <v>236</v>
      </c>
      <c r="G588" s="23">
        <v>0</v>
      </c>
      <c r="I588" s="217" t="s">
        <v>1823</v>
      </c>
    </row>
    <row r="589" spans="1:9" hidden="1">
      <c r="A589" s="23">
        <v>589</v>
      </c>
      <c r="B589" s="84">
        <v>45753</v>
      </c>
      <c r="C589" s="23" t="s">
        <v>258</v>
      </c>
      <c r="D589" s="23" t="s">
        <v>226</v>
      </c>
      <c r="G589" s="23">
        <v>0.7</v>
      </c>
      <c r="I589" s="217" t="s">
        <v>1824</v>
      </c>
    </row>
    <row r="590" spans="1:9" hidden="1">
      <c r="A590" s="23">
        <v>590</v>
      </c>
      <c r="B590" s="84">
        <v>45753</v>
      </c>
      <c r="C590" s="23" t="s">
        <v>607</v>
      </c>
      <c r="D590" s="23" t="s">
        <v>245</v>
      </c>
      <c r="G590" s="23">
        <v>0</v>
      </c>
      <c r="I590" s="217" t="s">
        <v>1825</v>
      </c>
    </row>
    <row r="591" spans="1:9" hidden="1">
      <c r="A591" s="23">
        <v>591</v>
      </c>
      <c r="B591" s="84">
        <v>45753</v>
      </c>
      <c r="C591" s="23" t="s">
        <v>519</v>
      </c>
      <c r="D591" s="23" t="s">
        <v>239</v>
      </c>
      <c r="G591" s="23">
        <v>0</v>
      </c>
      <c r="I591" s="217" t="s">
        <v>1826</v>
      </c>
    </row>
    <row r="592" spans="1:9" hidden="1">
      <c r="A592" s="23">
        <v>592</v>
      </c>
      <c r="B592" s="84">
        <v>45753</v>
      </c>
      <c r="C592" s="23" t="s">
        <v>519</v>
      </c>
      <c r="D592" s="23" t="s">
        <v>335</v>
      </c>
      <c r="G592" s="23">
        <v>0</v>
      </c>
      <c r="I592" s="217" t="s">
        <v>1827</v>
      </c>
    </row>
    <row r="593" spans="1:9" hidden="1">
      <c r="A593" s="23">
        <v>593</v>
      </c>
      <c r="B593" s="84">
        <v>45753</v>
      </c>
      <c r="C593" s="23" t="s">
        <v>612</v>
      </c>
      <c r="D593" s="23" t="s">
        <v>226</v>
      </c>
      <c r="G593" s="23">
        <v>0</v>
      </c>
      <c r="I593" s="217" t="s">
        <v>1828</v>
      </c>
    </row>
    <row r="594" spans="1:9" hidden="1">
      <c r="A594" s="23">
        <v>594</v>
      </c>
      <c r="B594" s="84">
        <v>45753</v>
      </c>
      <c r="C594" s="23" t="s">
        <v>614</v>
      </c>
      <c r="D594" s="23" t="s">
        <v>229</v>
      </c>
      <c r="G594" s="23">
        <v>0.7</v>
      </c>
      <c r="I594" s="217" t="s">
        <v>1829</v>
      </c>
    </row>
    <row r="595" spans="1:9" hidden="1">
      <c r="A595" s="23">
        <v>595</v>
      </c>
      <c r="B595" s="84">
        <v>45753</v>
      </c>
      <c r="C595" s="23" t="s">
        <v>377</v>
      </c>
      <c r="D595" s="23" t="s">
        <v>232</v>
      </c>
      <c r="G595" s="23">
        <v>0.7</v>
      </c>
      <c r="I595" s="217" t="s">
        <v>1830</v>
      </c>
    </row>
    <row r="596" spans="1:9" hidden="1">
      <c r="A596" s="23">
        <v>596</v>
      </c>
      <c r="B596" s="84">
        <v>45753</v>
      </c>
      <c r="C596" s="23" t="s">
        <v>613</v>
      </c>
      <c r="D596" s="23" t="s">
        <v>164</v>
      </c>
      <c r="G596" s="23">
        <v>0</v>
      </c>
      <c r="I596" s="217" t="s">
        <v>1831</v>
      </c>
    </row>
    <row r="597" spans="1:9" hidden="1">
      <c r="A597" s="23">
        <v>597</v>
      </c>
      <c r="B597" s="84">
        <v>45753</v>
      </c>
      <c r="C597" s="23" t="s">
        <v>274</v>
      </c>
      <c r="D597" s="23" t="s">
        <v>211</v>
      </c>
      <c r="G597" s="23">
        <v>0.64</v>
      </c>
      <c r="I597" s="217" t="s">
        <v>1832</v>
      </c>
    </row>
    <row r="598" spans="1:9" hidden="1">
      <c r="A598" s="23">
        <v>598</v>
      </c>
      <c r="B598" s="84">
        <v>45753</v>
      </c>
      <c r="C598" s="23" t="s">
        <v>306</v>
      </c>
      <c r="D598" s="23" t="s">
        <v>214</v>
      </c>
      <c r="G598" s="23">
        <v>0</v>
      </c>
      <c r="I598" s="217" t="s">
        <v>1833</v>
      </c>
    </row>
    <row r="599" spans="1:9" hidden="1">
      <c r="A599" s="23">
        <v>599</v>
      </c>
      <c r="B599" s="84">
        <v>45753</v>
      </c>
      <c r="C599" s="23" t="s">
        <v>215</v>
      </c>
      <c r="D599" s="23" t="s">
        <v>234</v>
      </c>
      <c r="G599" s="23">
        <v>0.7</v>
      </c>
      <c r="I599" s="217" t="s">
        <v>1834</v>
      </c>
    </row>
    <row r="600" spans="1:9" hidden="1">
      <c r="A600" s="23">
        <v>600</v>
      </c>
      <c r="B600" s="84">
        <v>45753</v>
      </c>
      <c r="C600" s="23" t="s">
        <v>617</v>
      </c>
      <c r="D600" s="23" t="s">
        <v>236</v>
      </c>
      <c r="G600" s="23">
        <v>0.7</v>
      </c>
      <c r="I600" s="217" t="s">
        <v>1835</v>
      </c>
    </row>
    <row r="601" spans="1:9" hidden="1">
      <c r="A601" s="23">
        <v>601</v>
      </c>
      <c r="B601" s="84">
        <v>45753</v>
      </c>
      <c r="C601" s="23" t="s">
        <v>618</v>
      </c>
      <c r="D601" s="23" t="s">
        <v>239</v>
      </c>
      <c r="G601" s="23">
        <v>0.7</v>
      </c>
      <c r="I601" s="217" t="s">
        <v>1836</v>
      </c>
    </row>
    <row r="602" spans="1:9" hidden="1">
      <c r="A602" s="23">
        <v>602</v>
      </c>
      <c r="B602" s="84">
        <v>45753</v>
      </c>
      <c r="C602" s="23" t="s">
        <v>620</v>
      </c>
      <c r="D602" s="23" t="s">
        <v>335</v>
      </c>
      <c r="G602" s="23">
        <v>0.5</v>
      </c>
      <c r="I602" s="217" t="s">
        <v>1837</v>
      </c>
    </row>
    <row r="603" spans="1:9" hidden="1">
      <c r="A603" s="23">
        <v>603</v>
      </c>
      <c r="B603" s="84">
        <v>45753</v>
      </c>
      <c r="C603" s="23" t="s">
        <v>615</v>
      </c>
      <c r="D603" s="23" t="s">
        <v>229</v>
      </c>
      <c r="G603" s="23">
        <v>0</v>
      </c>
      <c r="I603" s="217" t="s">
        <v>1838</v>
      </c>
    </row>
    <row r="604" spans="1:9" hidden="1">
      <c r="A604" s="23">
        <v>604</v>
      </c>
      <c r="B604" s="84">
        <v>45753</v>
      </c>
      <c r="C604" s="23" t="s">
        <v>615</v>
      </c>
      <c r="D604" s="23" t="s">
        <v>232</v>
      </c>
      <c r="G604" s="23">
        <v>0</v>
      </c>
      <c r="I604" s="217" t="s">
        <v>1839</v>
      </c>
    </row>
    <row r="605" spans="1:9" hidden="1">
      <c r="A605" s="23">
        <v>605</v>
      </c>
      <c r="B605" s="84">
        <v>45753</v>
      </c>
      <c r="C605" s="23" t="s">
        <v>616</v>
      </c>
      <c r="D605" s="23" t="s">
        <v>234</v>
      </c>
      <c r="G605" s="23">
        <v>0</v>
      </c>
      <c r="I605" s="217" t="s">
        <v>1840</v>
      </c>
    </row>
    <row r="606" spans="1:9" hidden="1">
      <c r="A606" s="23">
        <v>606</v>
      </c>
      <c r="B606" s="84">
        <v>45753</v>
      </c>
      <c r="C606" s="23" t="s">
        <v>616</v>
      </c>
      <c r="D606" s="23" t="s">
        <v>236</v>
      </c>
      <c r="G606" s="23">
        <v>0</v>
      </c>
      <c r="I606" s="217" t="s">
        <v>1841</v>
      </c>
    </row>
    <row r="607" spans="1:9" hidden="1">
      <c r="A607" s="23">
        <v>607</v>
      </c>
      <c r="B607" s="84">
        <v>45753</v>
      </c>
      <c r="C607" s="23" t="s">
        <v>619</v>
      </c>
      <c r="D607" s="23" t="s">
        <v>239</v>
      </c>
      <c r="G607" s="23">
        <v>0</v>
      </c>
      <c r="I607" s="217" t="s">
        <v>1842</v>
      </c>
    </row>
    <row r="608" spans="1:9">
      <c r="A608" s="23">
        <v>608</v>
      </c>
      <c r="B608" s="84">
        <v>45753</v>
      </c>
      <c r="C608" s="23" t="s">
        <v>622</v>
      </c>
      <c r="D608" s="23" t="s">
        <v>174</v>
      </c>
      <c r="G608" s="23">
        <v>6.6</v>
      </c>
      <c r="I608" s="217" t="s">
        <v>1843</v>
      </c>
    </row>
    <row r="609" spans="1:9">
      <c r="A609" s="23">
        <v>609</v>
      </c>
      <c r="B609" s="84">
        <v>45753</v>
      </c>
      <c r="C609" s="23" t="s">
        <v>560</v>
      </c>
      <c r="D609" s="23" t="s">
        <v>177</v>
      </c>
      <c r="G609" s="23">
        <v>0</v>
      </c>
      <c r="I609" s="217" t="s">
        <v>1844</v>
      </c>
    </row>
    <row r="610" spans="1:9" hidden="1">
      <c r="A610" s="23">
        <v>610</v>
      </c>
      <c r="B610" s="84">
        <v>45753</v>
      </c>
      <c r="C610" s="23" t="s">
        <v>624</v>
      </c>
      <c r="D610" s="23" t="s">
        <v>245</v>
      </c>
      <c r="G610" s="23">
        <v>0.7</v>
      </c>
      <c r="I610" s="217" t="s">
        <v>1845</v>
      </c>
    </row>
    <row r="611" spans="1:9" hidden="1">
      <c r="A611" s="23">
        <v>611</v>
      </c>
      <c r="B611" s="84">
        <v>45753</v>
      </c>
      <c r="C611" s="23" t="s">
        <v>624</v>
      </c>
      <c r="D611" s="23" t="s">
        <v>226</v>
      </c>
      <c r="G611" s="23">
        <v>0.7</v>
      </c>
      <c r="I611" s="217" t="s">
        <v>1846</v>
      </c>
    </row>
    <row r="612" spans="1:9" hidden="1">
      <c r="A612" s="23">
        <v>612</v>
      </c>
      <c r="B612" s="84">
        <v>45753</v>
      </c>
      <c r="C612" s="23" t="s">
        <v>624</v>
      </c>
      <c r="D612" s="23" t="s">
        <v>164</v>
      </c>
      <c r="G612" s="23">
        <v>0.7</v>
      </c>
      <c r="I612" s="217" t="s">
        <v>1847</v>
      </c>
    </row>
    <row r="613" spans="1:9" hidden="1">
      <c r="A613" s="23">
        <v>613</v>
      </c>
      <c r="B613" s="84">
        <v>45753</v>
      </c>
      <c r="C613" s="23" t="s">
        <v>163</v>
      </c>
      <c r="D613" s="23" t="s">
        <v>164</v>
      </c>
      <c r="G613" s="23">
        <v>0</v>
      </c>
      <c r="I613" s="217" t="s">
        <v>1847</v>
      </c>
    </row>
    <row r="614" spans="1:9" hidden="1">
      <c r="A614" s="23">
        <v>614</v>
      </c>
      <c r="B614" s="84">
        <v>45753</v>
      </c>
      <c r="C614" s="23" t="s">
        <v>625</v>
      </c>
      <c r="D614" s="23" t="s">
        <v>245</v>
      </c>
      <c r="G614" s="23">
        <v>0</v>
      </c>
      <c r="I614" s="217" t="s">
        <v>1845</v>
      </c>
    </row>
    <row r="615" spans="1:9" hidden="1">
      <c r="A615" s="23">
        <v>615</v>
      </c>
      <c r="B615" s="84">
        <v>45753</v>
      </c>
      <c r="C615" s="23" t="s">
        <v>626</v>
      </c>
      <c r="D615" s="23" t="s">
        <v>226</v>
      </c>
      <c r="G615" s="23">
        <v>0</v>
      </c>
      <c r="I615" s="217" t="s">
        <v>1848</v>
      </c>
    </row>
    <row r="616" spans="1:9" hidden="1">
      <c r="A616" s="23">
        <v>616</v>
      </c>
      <c r="B616" s="84">
        <v>45752</v>
      </c>
      <c r="C616" s="23" t="s">
        <v>621</v>
      </c>
      <c r="D616" s="23" t="s">
        <v>335</v>
      </c>
      <c r="G616" s="23">
        <v>0</v>
      </c>
      <c r="I616" s="217" t="s">
        <v>1849</v>
      </c>
    </row>
    <row r="617" spans="1:9" hidden="1">
      <c r="A617" s="23">
        <v>617</v>
      </c>
      <c r="B617" s="84">
        <v>45752</v>
      </c>
      <c r="C617" s="23" t="s">
        <v>621</v>
      </c>
      <c r="D617" s="23" t="s">
        <v>335</v>
      </c>
      <c r="G617" s="23">
        <v>1.5</v>
      </c>
      <c r="I617" s="217" t="s">
        <v>1294</v>
      </c>
    </row>
    <row r="618" spans="1:9" hidden="1">
      <c r="A618" s="23">
        <v>618</v>
      </c>
      <c r="B618" s="84">
        <v>45752</v>
      </c>
      <c r="C618" s="23" t="s">
        <v>627</v>
      </c>
      <c r="D618" s="23" t="s">
        <v>335</v>
      </c>
      <c r="G618" s="23">
        <v>0</v>
      </c>
      <c r="I618" s="217" t="s">
        <v>1849</v>
      </c>
    </row>
    <row r="619" spans="1:9" hidden="1">
      <c r="A619" s="23">
        <v>619</v>
      </c>
      <c r="B619" s="84">
        <v>45752</v>
      </c>
      <c r="C619" s="23" t="s">
        <v>628</v>
      </c>
      <c r="D619" s="23" t="s">
        <v>335</v>
      </c>
      <c r="G619" s="23">
        <v>2.6</v>
      </c>
      <c r="I619" s="217" t="s">
        <v>1850</v>
      </c>
    </row>
    <row r="620" spans="1:9" hidden="1">
      <c r="A620" s="23">
        <v>620</v>
      </c>
      <c r="B620" s="84">
        <v>45752</v>
      </c>
      <c r="C620" s="23" t="s">
        <v>479</v>
      </c>
      <c r="D620" s="23" t="s">
        <v>335</v>
      </c>
      <c r="G620" s="23">
        <v>0</v>
      </c>
      <c r="I620" s="217" t="s">
        <v>1850</v>
      </c>
    </row>
    <row r="621" spans="1:9" hidden="1">
      <c r="A621" s="23">
        <v>621</v>
      </c>
      <c r="B621" s="84">
        <v>45753</v>
      </c>
      <c r="C621" s="23" t="s">
        <v>629</v>
      </c>
      <c r="D621" s="23" t="s">
        <v>335</v>
      </c>
      <c r="G621" s="23">
        <v>5.2</v>
      </c>
      <c r="I621" s="217" t="s">
        <v>1851</v>
      </c>
    </row>
    <row r="622" spans="1:9" hidden="1">
      <c r="A622" s="23">
        <v>622</v>
      </c>
      <c r="B622" s="84">
        <v>45753</v>
      </c>
      <c r="C622" s="23" t="s">
        <v>410</v>
      </c>
      <c r="D622" s="23" t="s">
        <v>217</v>
      </c>
      <c r="G622" s="23">
        <v>0.77</v>
      </c>
      <c r="I622" s="217" t="s">
        <v>1852</v>
      </c>
    </row>
    <row r="623" spans="1:9" hidden="1">
      <c r="A623" s="23">
        <v>623</v>
      </c>
      <c r="B623" s="84">
        <v>45753</v>
      </c>
      <c r="C623" s="23" t="s">
        <v>359</v>
      </c>
      <c r="D623" s="23" t="s">
        <v>225</v>
      </c>
      <c r="G623" s="23">
        <v>0</v>
      </c>
      <c r="I623" s="217" t="s">
        <v>1853</v>
      </c>
    </row>
    <row r="624" spans="1:9" hidden="1">
      <c r="A624" s="23">
        <v>624</v>
      </c>
      <c r="B624" s="84">
        <v>45753</v>
      </c>
      <c r="C624" s="23" t="s">
        <v>631</v>
      </c>
      <c r="D624" s="23" t="s">
        <v>229</v>
      </c>
      <c r="G624" s="23">
        <v>0.8</v>
      </c>
      <c r="I624" s="217" t="s">
        <v>1854</v>
      </c>
    </row>
    <row r="625" spans="1:9" hidden="1">
      <c r="A625" s="23">
        <v>625</v>
      </c>
      <c r="B625" s="84">
        <v>45753</v>
      </c>
      <c r="C625" s="23" t="s">
        <v>406</v>
      </c>
      <c r="D625" s="23" t="s">
        <v>232</v>
      </c>
      <c r="G625" s="23">
        <v>0.8</v>
      </c>
      <c r="I625" s="217" t="s">
        <v>1855</v>
      </c>
    </row>
    <row r="626" spans="1:9" hidden="1">
      <c r="A626" s="23">
        <v>626</v>
      </c>
      <c r="B626" s="84">
        <v>45753</v>
      </c>
      <c r="C626" s="23" t="s">
        <v>634</v>
      </c>
      <c r="D626" s="23" t="s">
        <v>234</v>
      </c>
      <c r="G626" s="23" t="s">
        <v>1856</v>
      </c>
      <c r="I626" s="217" t="s">
        <v>1857</v>
      </c>
    </row>
    <row r="627" spans="1:9" hidden="1">
      <c r="A627" s="23">
        <v>627</v>
      </c>
      <c r="B627" s="84">
        <v>45753</v>
      </c>
      <c r="C627" s="23" t="s">
        <v>636</v>
      </c>
      <c r="D627" s="23" t="s">
        <v>236</v>
      </c>
      <c r="G627" s="23">
        <v>0.7</v>
      </c>
      <c r="I627" s="217" t="s">
        <v>1858</v>
      </c>
    </row>
    <row r="628" spans="1:9" hidden="1">
      <c r="A628" s="23">
        <v>628</v>
      </c>
      <c r="B628" s="84">
        <v>45753</v>
      </c>
      <c r="C628" s="23" t="s">
        <v>637</v>
      </c>
      <c r="D628" s="23" t="s">
        <v>239</v>
      </c>
      <c r="G628" s="23">
        <v>0.8</v>
      </c>
      <c r="I628" s="217" t="s">
        <v>1859</v>
      </c>
    </row>
    <row r="629" spans="1:9" hidden="1">
      <c r="A629" s="23">
        <v>629</v>
      </c>
      <c r="B629" s="84">
        <v>45753</v>
      </c>
      <c r="C629" s="23" t="s">
        <v>635</v>
      </c>
      <c r="D629" s="23" t="s">
        <v>234</v>
      </c>
      <c r="G629" s="23">
        <v>0</v>
      </c>
      <c r="I629" s="217" t="s">
        <v>1860</v>
      </c>
    </row>
    <row r="630" spans="1:9" hidden="1">
      <c r="A630" s="23">
        <v>630</v>
      </c>
      <c r="B630" s="84">
        <v>45753</v>
      </c>
      <c r="C630" s="23" t="s">
        <v>639</v>
      </c>
      <c r="D630" s="23" t="s">
        <v>245</v>
      </c>
      <c r="G630" s="23">
        <v>0.7</v>
      </c>
      <c r="I630" s="217" t="s">
        <v>1861</v>
      </c>
    </row>
    <row r="631" spans="1:9" hidden="1">
      <c r="A631" s="23">
        <v>631</v>
      </c>
      <c r="B631" s="84">
        <v>45753</v>
      </c>
      <c r="C631" s="23" t="s">
        <v>632</v>
      </c>
      <c r="D631" s="23" t="s">
        <v>229</v>
      </c>
      <c r="G631" s="23">
        <v>0</v>
      </c>
      <c r="I631" s="217" t="s">
        <v>1862</v>
      </c>
    </row>
    <row r="632" spans="1:9" hidden="1">
      <c r="A632" s="23">
        <v>632</v>
      </c>
      <c r="B632" s="84">
        <v>45753</v>
      </c>
      <c r="C632" s="23" t="s">
        <v>633</v>
      </c>
      <c r="D632" s="23" t="s">
        <v>236</v>
      </c>
      <c r="G632" s="23">
        <v>0</v>
      </c>
      <c r="I632" s="217" t="s">
        <v>1863</v>
      </c>
    </row>
    <row r="633" spans="1:9" hidden="1">
      <c r="A633" s="23">
        <v>633</v>
      </c>
      <c r="B633" s="84">
        <v>45753</v>
      </c>
      <c r="C633" s="23" t="s">
        <v>632</v>
      </c>
      <c r="D633" s="23" t="s">
        <v>214</v>
      </c>
      <c r="G633" s="23">
        <v>0.67</v>
      </c>
      <c r="I633" s="217" t="s">
        <v>1864</v>
      </c>
    </row>
    <row r="634" spans="1:9" hidden="1">
      <c r="A634" s="23">
        <v>634</v>
      </c>
      <c r="B634" s="84">
        <v>45753</v>
      </c>
      <c r="C634" s="23" t="s">
        <v>638</v>
      </c>
      <c r="D634" s="23" t="s">
        <v>239</v>
      </c>
      <c r="G634" s="23">
        <v>0</v>
      </c>
      <c r="I634" s="217" t="s">
        <v>1865</v>
      </c>
    </row>
    <row r="635" spans="1:9" hidden="1">
      <c r="A635" s="23">
        <v>635</v>
      </c>
      <c r="B635" s="84">
        <v>45753</v>
      </c>
      <c r="C635" s="23" t="s">
        <v>640</v>
      </c>
      <c r="D635" s="23" t="s">
        <v>245</v>
      </c>
      <c r="G635" s="23">
        <v>0</v>
      </c>
      <c r="I635" s="217" t="s">
        <v>1866</v>
      </c>
    </row>
    <row r="636" spans="1:9" hidden="1">
      <c r="A636" s="23">
        <v>636</v>
      </c>
      <c r="B636" s="84">
        <v>45753</v>
      </c>
      <c r="C636" s="23" t="s">
        <v>633</v>
      </c>
      <c r="D636" s="23" t="s">
        <v>232</v>
      </c>
      <c r="G636" s="23">
        <v>0</v>
      </c>
      <c r="I636" s="217" t="s">
        <v>1867</v>
      </c>
    </row>
    <row r="637" spans="1:9">
      <c r="A637" s="23">
        <v>637</v>
      </c>
      <c r="B637" s="84">
        <v>45753</v>
      </c>
      <c r="C637" s="23" t="s">
        <v>580</v>
      </c>
      <c r="D637" s="23" t="s">
        <v>177</v>
      </c>
      <c r="G637" s="23">
        <v>6.6</v>
      </c>
      <c r="I637" s="217" t="s">
        <v>1868</v>
      </c>
    </row>
    <row r="638" spans="1:9">
      <c r="A638" s="23">
        <v>638</v>
      </c>
      <c r="B638" s="84">
        <v>45753</v>
      </c>
      <c r="C638" s="23" t="s">
        <v>348</v>
      </c>
      <c r="D638" s="23" t="s">
        <v>248</v>
      </c>
      <c r="G638" s="23">
        <v>0</v>
      </c>
      <c r="I638" s="217" t="s">
        <v>1869</v>
      </c>
    </row>
    <row r="639" spans="1:9" hidden="1">
      <c r="A639" s="23">
        <v>639</v>
      </c>
      <c r="B639" s="84">
        <v>45753</v>
      </c>
      <c r="C639" s="23" t="s">
        <v>537</v>
      </c>
      <c r="D639" s="23" t="s">
        <v>335</v>
      </c>
      <c r="G639" s="23">
        <v>0</v>
      </c>
      <c r="I639" s="217" t="s">
        <v>1870</v>
      </c>
    </row>
    <row r="640" spans="1:9" hidden="1">
      <c r="A640" s="23">
        <v>640</v>
      </c>
      <c r="B640" s="84">
        <v>45753</v>
      </c>
      <c r="C640" s="23" t="s">
        <v>641</v>
      </c>
      <c r="D640" s="23" t="s">
        <v>214</v>
      </c>
      <c r="G640" s="23">
        <v>0</v>
      </c>
      <c r="I640" s="217" t="s">
        <v>1871</v>
      </c>
    </row>
    <row r="641" spans="1:9" hidden="1">
      <c r="A641" s="23">
        <v>641</v>
      </c>
      <c r="B641" s="84">
        <v>45753</v>
      </c>
      <c r="C641" s="23" t="s">
        <v>608</v>
      </c>
      <c r="D641" s="23" t="s">
        <v>183</v>
      </c>
      <c r="G641" s="23">
        <v>0</v>
      </c>
      <c r="I641" s="217" t="s">
        <v>1872</v>
      </c>
    </row>
    <row r="642" spans="1:9" hidden="1">
      <c r="A642" s="23">
        <v>642</v>
      </c>
      <c r="B642" s="84">
        <v>45754</v>
      </c>
      <c r="C642" s="23" t="s">
        <v>611</v>
      </c>
      <c r="D642" s="23" t="s">
        <v>186</v>
      </c>
      <c r="G642" s="23">
        <v>0</v>
      </c>
      <c r="I642" s="217" t="s">
        <v>1873</v>
      </c>
    </row>
    <row r="643" spans="1:9" hidden="1">
      <c r="A643" s="23">
        <v>643</v>
      </c>
      <c r="B643" s="84">
        <v>45754</v>
      </c>
      <c r="C643" s="23" t="s">
        <v>459</v>
      </c>
      <c r="D643" s="23" t="s">
        <v>242</v>
      </c>
      <c r="G643" s="23">
        <v>0</v>
      </c>
      <c r="I643" s="217" t="s">
        <v>1874</v>
      </c>
    </row>
    <row r="644" spans="1:9" hidden="1">
      <c r="A644" s="23">
        <v>644</v>
      </c>
      <c r="B644" s="84">
        <v>45754</v>
      </c>
      <c r="C644" s="23" t="s">
        <v>223</v>
      </c>
      <c r="D644" s="23" t="s">
        <v>214</v>
      </c>
      <c r="G644" s="23">
        <v>0.5</v>
      </c>
      <c r="I644" s="217" t="s">
        <v>1875</v>
      </c>
    </row>
    <row r="645" spans="1:9" hidden="1">
      <c r="A645" s="23">
        <v>645</v>
      </c>
      <c r="B645" s="84">
        <v>45754</v>
      </c>
      <c r="C645" s="23" t="s">
        <v>216</v>
      </c>
      <c r="D645" s="23" t="s">
        <v>220</v>
      </c>
      <c r="G645" s="23">
        <v>0</v>
      </c>
      <c r="I645" s="217" t="s">
        <v>1876</v>
      </c>
    </row>
    <row r="646" spans="1:9">
      <c r="A646" s="23">
        <v>646</v>
      </c>
      <c r="B646" s="84">
        <v>45754</v>
      </c>
      <c r="C646" s="23" t="s">
        <v>643</v>
      </c>
      <c r="D646" s="23" t="s">
        <v>248</v>
      </c>
      <c r="G646" s="23" t="s">
        <v>9</v>
      </c>
      <c r="H646" s="23" t="s">
        <v>645</v>
      </c>
      <c r="I646" s="217" t="s">
        <v>1877</v>
      </c>
    </row>
    <row r="647" spans="1:9">
      <c r="A647" s="23">
        <v>647</v>
      </c>
      <c r="B647" s="84">
        <v>45754</v>
      </c>
      <c r="C647" s="23" t="s">
        <v>644</v>
      </c>
      <c r="D647" s="23" t="s">
        <v>248</v>
      </c>
      <c r="G647" s="23">
        <v>6.7</v>
      </c>
      <c r="H647" s="23" t="s">
        <v>647</v>
      </c>
      <c r="I647" s="217" t="s">
        <v>1878</v>
      </c>
    </row>
    <row r="648" spans="1:9" hidden="1">
      <c r="A648" s="23">
        <v>648</v>
      </c>
      <c r="B648" s="84">
        <v>45754</v>
      </c>
      <c r="C648" s="23" t="s">
        <v>440</v>
      </c>
      <c r="D648" s="23" t="s">
        <v>226</v>
      </c>
      <c r="G648" s="23">
        <v>0.7</v>
      </c>
      <c r="I648" s="217" t="s">
        <v>1879</v>
      </c>
    </row>
    <row r="649" spans="1:9" hidden="1">
      <c r="A649" s="23">
        <v>649</v>
      </c>
      <c r="B649" s="84">
        <v>45754</v>
      </c>
      <c r="C649" s="23" t="s">
        <v>649</v>
      </c>
      <c r="D649" s="23" t="s">
        <v>229</v>
      </c>
      <c r="G649" s="23">
        <v>0.7</v>
      </c>
      <c r="I649" s="217" t="s">
        <v>1880</v>
      </c>
    </row>
    <row r="650" spans="1:9" hidden="1">
      <c r="A650" s="23">
        <v>650</v>
      </c>
      <c r="B650" s="84">
        <v>45754</v>
      </c>
      <c r="C650" s="23" t="s">
        <v>623</v>
      </c>
      <c r="D650" s="23" t="s">
        <v>232</v>
      </c>
      <c r="G650" s="23">
        <v>0.7</v>
      </c>
      <c r="I650" s="217" t="s">
        <v>1881</v>
      </c>
    </row>
    <row r="651" spans="1:9" hidden="1">
      <c r="A651" s="23">
        <v>651</v>
      </c>
      <c r="B651" s="84">
        <v>45754</v>
      </c>
      <c r="C651" s="23" t="s">
        <v>623</v>
      </c>
      <c r="D651" s="23" t="s">
        <v>242</v>
      </c>
      <c r="G651" s="23">
        <v>3</v>
      </c>
      <c r="I651" s="217" t="s">
        <v>1882</v>
      </c>
    </row>
    <row r="652" spans="1:9">
      <c r="A652" s="23">
        <v>652</v>
      </c>
      <c r="B652" s="84">
        <v>45754</v>
      </c>
      <c r="C652" s="23" t="s">
        <v>623</v>
      </c>
      <c r="D652" s="23" t="s">
        <v>174</v>
      </c>
      <c r="G652" s="23">
        <v>0</v>
      </c>
      <c r="I652" s="217" t="s">
        <v>1883</v>
      </c>
    </row>
    <row r="653" spans="1:9" hidden="1">
      <c r="A653" s="23">
        <v>653</v>
      </c>
      <c r="B653" s="84">
        <v>45754</v>
      </c>
      <c r="C653" s="23" t="s">
        <v>648</v>
      </c>
      <c r="D653" s="23" t="s">
        <v>226</v>
      </c>
      <c r="G653" s="23">
        <v>0</v>
      </c>
      <c r="I653" s="217" t="s">
        <v>1879</v>
      </c>
    </row>
    <row r="654" spans="1:9" hidden="1">
      <c r="A654" s="23">
        <v>654</v>
      </c>
      <c r="B654" s="84">
        <v>45754</v>
      </c>
      <c r="C654" s="23" t="s">
        <v>314</v>
      </c>
      <c r="D654" s="23" t="s">
        <v>229</v>
      </c>
      <c r="G654" s="23">
        <v>0</v>
      </c>
      <c r="I654" s="217" t="s">
        <v>1880</v>
      </c>
    </row>
    <row r="655" spans="1:9" hidden="1">
      <c r="A655" s="23">
        <v>655</v>
      </c>
      <c r="B655" s="84">
        <v>45754</v>
      </c>
      <c r="C655" s="23" t="s">
        <v>650</v>
      </c>
      <c r="D655" s="23" t="s">
        <v>232</v>
      </c>
      <c r="G655" s="23">
        <v>0</v>
      </c>
      <c r="I655" s="217" t="s">
        <v>1881</v>
      </c>
    </row>
    <row r="656" spans="1:9" hidden="1">
      <c r="A656" s="23">
        <v>656</v>
      </c>
      <c r="B656" s="84">
        <v>45754</v>
      </c>
      <c r="C656" s="23" t="s">
        <v>346</v>
      </c>
      <c r="D656" s="23" t="s">
        <v>234</v>
      </c>
      <c r="G656" s="23">
        <v>0.7</v>
      </c>
      <c r="I656" s="217" t="s">
        <v>1884</v>
      </c>
    </row>
    <row r="657" spans="1:9" hidden="1">
      <c r="A657" s="23">
        <v>657</v>
      </c>
      <c r="B657" s="84">
        <v>45754</v>
      </c>
      <c r="C657" s="23" t="s">
        <v>652</v>
      </c>
      <c r="D657" s="23" t="s">
        <v>234</v>
      </c>
      <c r="G657" s="23">
        <v>0</v>
      </c>
      <c r="I657" s="217" t="s">
        <v>1884</v>
      </c>
    </row>
    <row r="658" spans="1:9" hidden="1">
      <c r="A658" s="23">
        <v>658</v>
      </c>
      <c r="B658" s="84">
        <v>45754</v>
      </c>
      <c r="C658" s="23" t="s">
        <v>653</v>
      </c>
      <c r="D658" s="23" t="s">
        <v>225</v>
      </c>
      <c r="G658" s="23">
        <v>0.72</v>
      </c>
      <c r="I658" s="217" t="s">
        <v>1885</v>
      </c>
    </row>
    <row r="659" spans="1:9" hidden="1">
      <c r="A659" s="23">
        <v>659</v>
      </c>
      <c r="B659" s="84">
        <v>45754</v>
      </c>
      <c r="C659" s="23" t="s">
        <v>630</v>
      </c>
      <c r="D659" s="23" t="s">
        <v>217</v>
      </c>
      <c r="G659" s="23">
        <v>0</v>
      </c>
      <c r="I659" s="217" t="s">
        <v>1886</v>
      </c>
    </row>
    <row r="660" spans="1:9" hidden="1">
      <c r="A660" s="23">
        <v>660</v>
      </c>
      <c r="B660" s="84">
        <v>45754</v>
      </c>
      <c r="C660" s="23" t="s">
        <v>547</v>
      </c>
      <c r="D660" s="23" t="s">
        <v>236</v>
      </c>
      <c r="G660" s="23">
        <v>0.7</v>
      </c>
      <c r="I660" s="217" t="s">
        <v>1887</v>
      </c>
    </row>
    <row r="661" spans="1:9" hidden="1">
      <c r="A661" s="23">
        <v>661</v>
      </c>
      <c r="B661" s="84">
        <v>45754</v>
      </c>
      <c r="C661" s="23" t="s">
        <v>360</v>
      </c>
      <c r="D661" s="23" t="s">
        <v>186</v>
      </c>
      <c r="G661" s="23">
        <v>1.5</v>
      </c>
      <c r="I661" s="217" t="s">
        <v>1888</v>
      </c>
    </row>
    <row r="662" spans="1:9" hidden="1">
      <c r="A662" s="23">
        <v>662</v>
      </c>
      <c r="B662" s="84">
        <v>45754</v>
      </c>
      <c r="C662" s="23" t="s">
        <v>599</v>
      </c>
      <c r="D662" s="23" t="s">
        <v>183</v>
      </c>
      <c r="G662" s="23">
        <v>0.5</v>
      </c>
      <c r="I662" s="217" t="s">
        <v>1889</v>
      </c>
    </row>
    <row r="663" spans="1:9" hidden="1">
      <c r="A663" s="23">
        <v>663</v>
      </c>
      <c r="B663" s="84">
        <v>45754</v>
      </c>
      <c r="C663" s="23" t="s">
        <v>654</v>
      </c>
      <c r="D663" s="23" t="s">
        <v>236</v>
      </c>
      <c r="G663" s="23">
        <v>0</v>
      </c>
      <c r="I663" s="217" t="s">
        <v>1887</v>
      </c>
    </row>
    <row r="664" spans="1:9" hidden="1">
      <c r="A664" s="23">
        <v>664</v>
      </c>
      <c r="B664" s="84">
        <v>45754</v>
      </c>
      <c r="C664" s="23" t="s">
        <v>655</v>
      </c>
      <c r="D664" s="23" t="s">
        <v>239</v>
      </c>
      <c r="G664" s="23">
        <v>0.7</v>
      </c>
      <c r="I664" s="217" t="s">
        <v>1890</v>
      </c>
    </row>
    <row r="665" spans="1:9" hidden="1">
      <c r="A665" s="23">
        <v>665</v>
      </c>
      <c r="B665" s="84">
        <v>45754</v>
      </c>
      <c r="C665" s="23" t="s">
        <v>260</v>
      </c>
      <c r="D665" s="23" t="s">
        <v>245</v>
      </c>
      <c r="G665" s="23">
        <v>0.7</v>
      </c>
      <c r="I665" s="217" t="s">
        <v>1891</v>
      </c>
    </row>
    <row r="666" spans="1:9" hidden="1">
      <c r="A666" s="23">
        <v>666</v>
      </c>
      <c r="B666" s="84">
        <v>45754</v>
      </c>
      <c r="C666" s="23" t="s">
        <v>658</v>
      </c>
      <c r="D666" s="23" t="s">
        <v>226</v>
      </c>
      <c r="G666" s="23">
        <v>0.7</v>
      </c>
      <c r="I666" s="217" t="s">
        <v>1892</v>
      </c>
    </row>
    <row r="667" spans="1:9" hidden="1">
      <c r="A667" s="23">
        <v>667</v>
      </c>
      <c r="B667" s="84">
        <v>45754</v>
      </c>
      <c r="C667" s="23" t="s">
        <v>550</v>
      </c>
      <c r="D667" s="23" t="s">
        <v>229</v>
      </c>
      <c r="G667" s="23">
        <v>0.7</v>
      </c>
      <c r="I667" s="217" t="s">
        <v>1893</v>
      </c>
    </row>
    <row r="668" spans="1:9" hidden="1">
      <c r="A668" s="23">
        <v>668</v>
      </c>
      <c r="B668" s="84">
        <v>45754</v>
      </c>
      <c r="C668" s="23" t="s">
        <v>468</v>
      </c>
      <c r="D668" s="23" t="s">
        <v>232</v>
      </c>
      <c r="G668" s="23">
        <v>0.7</v>
      </c>
      <c r="I668" s="217" t="s">
        <v>1894</v>
      </c>
    </row>
    <row r="669" spans="1:9" hidden="1">
      <c r="A669" s="23">
        <v>669</v>
      </c>
      <c r="B669" s="84">
        <v>45754</v>
      </c>
      <c r="C669" s="23" t="s">
        <v>661</v>
      </c>
      <c r="D669" s="23" t="s">
        <v>236</v>
      </c>
      <c r="G669" s="23">
        <v>0.7</v>
      </c>
      <c r="I669" s="217" t="s">
        <v>1895</v>
      </c>
    </row>
    <row r="670" spans="1:9" hidden="1">
      <c r="A670" s="23">
        <v>670</v>
      </c>
      <c r="B670" s="84">
        <v>45754</v>
      </c>
      <c r="C670" s="23" t="s">
        <v>662</v>
      </c>
      <c r="D670" s="23" t="s">
        <v>335</v>
      </c>
      <c r="G670" s="23">
        <v>0.5</v>
      </c>
      <c r="I670" s="217" t="s">
        <v>1896</v>
      </c>
    </row>
    <row r="671" spans="1:9" hidden="1">
      <c r="A671" s="23">
        <v>671</v>
      </c>
      <c r="B671" s="84">
        <v>45754</v>
      </c>
      <c r="C671" s="23" t="s">
        <v>657</v>
      </c>
      <c r="D671" s="23" t="s">
        <v>245</v>
      </c>
      <c r="G671" s="23">
        <v>0</v>
      </c>
      <c r="I671" s="217" t="s">
        <v>1891</v>
      </c>
    </row>
    <row r="672" spans="1:9" hidden="1">
      <c r="A672" s="23">
        <v>672</v>
      </c>
      <c r="B672" s="84">
        <v>45754</v>
      </c>
      <c r="C672" s="23" t="s">
        <v>656</v>
      </c>
      <c r="D672" s="23" t="s">
        <v>239</v>
      </c>
      <c r="G672" s="23">
        <v>0</v>
      </c>
      <c r="I672" s="217" t="s">
        <v>1890</v>
      </c>
    </row>
    <row r="673" spans="1:9" hidden="1">
      <c r="A673" s="23">
        <v>673</v>
      </c>
      <c r="B673" s="84">
        <v>45754</v>
      </c>
      <c r="C673" s="23" t="s">
        <v>659</v>
      </c>
      <c r="D673" s="23" t="s">
        <v>226</v>
      </c>
      <c r="G673" s="23">
        <v>0</v>
      </c>
      <c r="I673" s="217" t="s">
        <v>1892</v>
      </c>
    </row>
    <row r="674" spans="1:9" hidden="1">
      <c r="A674" s="23">
        <v>674</v>
      </c>
      <c r="B674" s="84">
        <v>45754</v>
      </c>
      <c r="C674" s="23" t="s">
        <v>561</v>
      </c>
      <c r="D674" s="23" t="s">
        <v>229</v>
      </c>
      <c r="G674" s="23">
        <v>0</v>
      </c>
      <c r="I674" s="217" t="s">
        <v>1897</v>
      </c>
    </row>
    <row r="675" spans="1:9" hidden="1">
      <c r="A675" s="23">
        <v>675</v>
      </c>
      <c r="B675" s="84">
        <v>45754</v>
      </c>
      <c r="C675" s="23" t="s">
        <v>324</v>
      </c>
      <c r="D675" s="23" t="s">
        <v>234</v>
      </c>
      <c r="G675" s="23">
        <v>0.7</v>
      </c>
      <c r="I675" s="217" t="s">
        <v>1898</v>
      </c>
    </row>
    <row r="676" spans="1:9">
      <c r="A676" s="23">
        <v>676</v>
      </c>
      <c r="B676" s="84">
        <v>45754</v>
      </c>
      <c r="C676" s="23" t="s">
        <v>265</v>
      </c>
      <c r="D676" s="23" t="s">
        <v>174</v>
      </c>
      <c r="G676" s="23">
        <v>1.5</v>
      </c>
      <c r="I676" s="217" t="s">
        <v>1899</v>
      </c>
    </row>
    <row r="677" spans="1:9" hidden="1">
      <c r="A677" s="23">
        <v>677</v>
      </c>
      <c r="B677" s="84">
        <v>45754</v>
      </c>
      <c r="C677" s="23" t="s">
        <v>376</v>
      </c>
      <c r="D677" s="23" t="s">
        <v>164</v>
      </c>
      <c r="G677" s="23">
        <v>0.7</v>
      </c>
      <c r="I677" s="217" t="s">
        <v>1900</v>
      </c>
    </row>
    <row r="678" spans="1:9" hidden="1">
      <c r="A678" s="23">
        <v>678</v>
      </c>
      <c r="B678" s="84">
        <v>45754</v>
      </c>
      <c r="C678" s="23" t="s">
        <v>666</v>
      </c>
      <c r="D678" s="23" t="s">
        <v>239</v>
      </c>
      <c r="G678" s="23">
        <v>0.7</v>
      </c>
      <c r="I678" s="217" t="s">
        <v>1901</v>
      </c>
    </row>
    <row r="679" spans="1:9" hidden="1">
      <c r="A679" s="23">
        <v>679</v>
      </c>
      <c r="B679" s="84">
        <v>45754</v>
      </c>
      <c r="C679" s="23" t="s">
        <v>665</v>
      </c>
      <c r="D679" s="23" t="s">
        <v>164</v>
      </c>
      <c r="G679" s="23">
        <v>0</v>
      </c>
      <c r="I679" s="217" t="s">
        <v>1900</v>
      </c>
    </row>
    <row r="680" spans="1:9" hidden="1">
      <c r="A680" s="23">
        <v>680</v>
      </c>
      <c r="B680" s="84">
        <v>45754</v>
      </c>
      <c r="C680" s="23" t="s">
        <v>660</v>
      </c>
      <c r="D680" s="23" t="s">
        <v>232</v>
      </c>
      <c r="G680" s="23">
        <v>0</v>
      </c>
      <c r="I680" s="217" t="s">
        <v>1902</v>
      </c>
    </row>
    <row r="681" spans="1:9" hidden="1">
      <c r="A681" s="23">
        <v>681</v>
      </c>
      <c r="B681" s="84">
        <v>45754</v>
      </c>
      <c r="C681" s="23" t="s">
        <v>660</v>
      </c>
      <c r="D681" s="23" t="s">
        <v>234</v>
      </c>
      <c r="G681" s="23">
        <v>0</v>
      </c>
      <c r="I681" s="217" t="s">
        <v>1903</v>
      </c>
    </row>
    <row r="682" spans="1:9" hidden="1">
      <c r="A682" s="23">
        <v>682</v>
      </c>
      <c r="B682" s="84">
        <v>45754</v>
      </c>
      <c r="C682" s="23" t="s">
        <v>485</v>
      </c>
      <c r="D682" s="23" t="s">
        <v>239</v>
      </c>
      <c r="G682" s="23">
        <v>0</v>
      </c>
      <c r="I682" s="217" t="s">
        <v>1904</v>
      </c>
    </row>
    <row r="683" spans="1:9" hidden="1">
      <c r="A683" s="23">
        <v>683</v>
      </c>
      <c r="B683" s="84">
        <v>45754</v>
      </c>
      <c r="C683" s="23" t="s">
        <v>485</v>
      </c>
      <c r="D683" s="23" t="s">
        <v>236</v>
      </c>
      <c r="G683" s="23">
        <v>0</v>
      </c>
      <c r="I683" s="217" t="s">
        <v>1905</v>
      </c>
    </row>
    <row r="684" spans="1:9" hidden="1">
      <c r="A684" s="23">
        <v>684</v>
      </c>
      <c r="B684" s="84">
        <v>45754</v>
      </c>
      <c r="C684" s="23" t="s">
        <v>667</v>
      </c>
      <c r="D684" s="23" t="s">
        <v>245</v>
      </c>
      <c r="G684" s="23">
        <v>0.7</v>
      </c>
      <c r="I684" s="217" t="s">
        <v>1906</v>
      </c>
    </row>
    <row r="685" spans="1:9" hidden="1">
      <c r="A685" s="23">
        <v>685</v>
      </c>
      <c r="B685" s="84">
        <v>45754</v>
      </c>
      <c r="C685" s="23" t="s">
        <v>496</v>
      </c>
      <c r="D685" s="23" t="s">
        <v>245</v>
      </c>
      <c r="G685" s="23">
        <v>0</v>
      </c>
      <c r="I685" s="217" t="s">
        <v>1907</v>
      </c>
    </row>
    <row r="686" spans="1:9" hidden="1">
      <c r="A686" s="23">
        <v>686</v>
      </c>
      <c r="B686" s="84">
        <v>45754</v>
      </c>
      <c r="C686" s="23" t="s">
        <v>224</v>
      </c>
      <c r="D686" s="23" t="s">
        <v>220</v>
      </c>
      <c r="G686" s="23">
        <v>0.68</v>
      </c>
      <c r="I686" s="217" t="s">
        <v>1908</v>
      </c>
    </row>
    <row r="687" spans="1:9" hidden="1">
      <c r="A687" s="23">
        <v>687</v>
      </c>
      <c r="B687" s="84">
        <v>45754</v>
      </c>
      <c r="C687" s="23" t="s">
        <v>306</v>
      </c>
      <c r="D687" s="23" t="s">
        <v>211</v>
      </c>
      <c r="G687" s="23">
        <v>0</v>
      </c>
      <c r="I687" s="217" t="s">
        <v>1909</v>
      </c>
    </row>
    <row r="688" spans="1:9" hidden="1">
      <c r="A688" s="23">
        <v>688</v>
      </c>
      <c r="B688" s="84">
        <v>45754</v>
      </c>
      <c r="C688" s="23" t="s">
        <v>663</v>
      </c>
      <c r="D688" s="23" t="s">
        <v>335</v>
      </c>
      <c r="G688" s="23">
        <v>0</v>
      </c>
      <c r="I688" s="217" t="s">
        <v>1910</v>
      </c>
    </row>
    <row r="689" spans="1:9" hidden="1">
      <c r="A689" s="23">
        <v>689</v>
      </c>
      <c r="B689" s="84">
        <v>45754</v>
      </c>
      <c r="C689" s="23" t="s">
        <v>406</v>
      </c>
      <c r="D689" s="23" t="s">
        <v>229</v>
      </c>
      <c r="G689" s="23">
        <v>0.7</v>
      </c>
      <c r="I689" s="217" t="s">
        <v>1911</v>
      </c>
    </row>
    <row r="690" spans="1:9" hidden="1">
      <c r="A690" s="23">
        <v>690</v>
      </c>
      <c r="B690" s="84">
        <v>45754</v>
      </c>
      <c r="C690" s="23" t="s">
        <v>406</v>
      </c>
      <c r="D690" s="23" t="s">
        <v>226</v>
      </c>
      <c r="G690" s="23">
        <v>0.7</v>
      </c>
      <c r="I690" s="217" t="s">
        <v>1912</v>
      </c>
    </row>
    <row r="691" spans="1:9" hidden="1">
      <c r="A691" s="23">
        <v>691</v>
      </c>
      <c r="B691" s="84">
        <v>45754</v>
      </c>
      <c r="C691" s="23" t="s">
        <v>669</v>
      </c>
      <c r="D691" s="23" t="s">
        <v>279</v>
      </c>
      <c r="G691" s="23">
        <v>0.7</v>
      </c>
      <c r="H691" s="23" t="s">
        <v>1913</v>
      </c>
      <c r="I691" s="217" t="s">
        <v>1914</v>
      </c>
    </row>
    <row r="692" spans="1:9" hidden="1">
      <c r="A692" s="23">
        <v>692</v>
      </c>
      <c r="B692" s="84">
        <v>45754</v>
      </c>
      <c r="C692" s="23" t="s">
        <v>632</v>
      </c>
      <c r="D692" s="23" t="s">
        <v>335</v>
      </c>
      <c r="G692" s="23">
        <v>1</v>
      </c>
      <c r="I692" s="217" t="s">
        <v>1915</v>
      </c>
    </row>
    <row r="693" spans="1:9" hidden="1">
      <c r="A693" s="23">
        <v>693</v>
      </c>
      <c r="B693" s="84">
        <v>45754</v>
      </c>
      <c r="C693" s="23" t="s">
        <v>668</v>
      </c>
      <c r="D693" s="23" t="s">
        <v>226</v>
      </c>
      <c r="G693" s="23">
        <v>0</v>
      </c>
      <c r="I693" s="217" t="s">
        <v>1916</v>
      </c>
    </row>
    <row r="694" spans="1:9" hidden="1">
      <c r="A694" s="23">
        <v>694</v>
      </c>
      <c r="B694" s="84">
        <v>45754</v>
      </c>
      <c r="C694" s="23" t="s">
        <v>430</v>
      </c>
      <c r="D694" s="23" t="s">
        <v>229</v>
      </c>
      <c r="G694" s="23">
        <v>0</v>
      </c>
      <c r="I694" s="217" t="s">
        <v>1917</v>
      </c>
    </row>
    <row r="695" spans="1:9" hidden="1">
      <c r="A695" s="23">
        <v>695</v>
      </c>
      <c r="B695" s="84">
        <v>45754</v>
      </c>
      <c r="C695" s="23" t="s">
        <v>670</v>
      </c>
      <c r="D695" s="23" t="s">
        <v>335</v>
      </c>
      <c r="G695" s="23">
        <v>0</v>
      </c>
      <c r="I695" s="217" t="s">
        <v>1915</v>
      </c>
    </row>
    <row r="696" spans="1:9" hidden="1">
      <c r="A696" s="23">
        <v>696</v>
      </c>
      <c r="B696" s="84">
        <v>45754</v>
      </c>
      <c r="C696" s="23" t="s">
        <v>575</v>
      </c>
      <c r="D696" s="23" t="s">
        <v>279</v>
      </c>
      <c r="G696" s="23">
        <v>0</v>
      </c>
      <c r="I696" s="217" t="s">
        <v>1918</v>
      </c>
    </row>
    <row r="697" spans="1:9" hidden="1">
      <c r="A697" s="23">
        <v>697</v>
      </c>
      <c r="B697" s="84">
        <v>45754</v>
      </c>
      <c r="C697" s="23" t="s">
        <v>373</v>
      </c>
      <c r="D697" s="23" t="s">
        <v>183</v>
      </c>
      <c r="G697" s="23">
        <v>0</v>
      </c>
      <c r="I697" s="217" t="s">
        <v>1919</v>
      </c>
    </row>
    <row r="698" spans="1:9" hidden="1">
      <c r="A698" s="23">
        <v>698</v>
      </c>
      <c r="B698" s="84">
        <v>45754</v>
      </c>
      <c r="C698" s="23" t="s">
        <v>671</v>
      </c>
      <c r="D698" s="23" t="s">
        <v>232</v>
      </c>
      <c r="G698" s="23">
        <v>0.7</v>
      </c>
      <c r="I698" s="217" t="s">
        <v>1920</v>
      </c>
    </row>
    <row r="699" spans="1:9" hidden="1">
      <c r="A699" s="23">
        <v>699</v>
      </c>
      <c r="B699" s="84">
        <v>45754</v>
      </c>
      <c r="C699" s="23" t="s">
        <v>671</v>
      </c>
      <c r="D699" s="23" t="s">
        <v>236</v>
      </c>
      <c r="G699" s="23">
        <v>0.7</v>
      </c>
      <c r="I699" s="217" t="s">
        <v>1921</v>
      </c>
    </row>
    <row r="700" spans="1:9">
      <c r="A700" s="23">
        <v>700</v>
      </c>
      <c r="B700" s="84">
        <v>45754</v>
      </c>
      <c r="C700" s="23" t="s">
        <v>664</v>
      </c>
      <c r="D700" s="23" t="s">
        <v>174</v>
      </c>
      <c r="G700" s="23">
        <v>0</v>
      </c>
      <c r="I700" s="217" t="s">
        <v>1922</v>
      </c>
    </row>
    <row r="701" spans="1:9" hidden="1">
      <c r="A701" s="23">
        <v>701</v>
      </c>
      <c r="B701" s="84">
        <v>45754</v>
      </c>
      <c r="C701" s="23" t="s">
        <v>671</v>
      </c>
      <c r="D701" s="23" t="s">
        <v>239</v>
      </c>
      <c r="G701" s="23">
        <v>0.7</v>
      </c>
      <c r="I701" s="217" t="s">
        <v>1923</v>
      </c>
    </row>
    <row r="702" spans="1:9" hidden="1">
      <c r="A702" s="23">
        <v>702</v>
      </c>
      <c r="B702" s="84">
        <v>45754</v>
      </c>
      <c r="C702" s="23" t="s">
        <v>672</v>
      </c>
      <c r="D702" s="23" t="s">
        <v>232</v>
      </c>
      <c r="G702" s="23">
        <v>0</v>
      </c>
      <c r="I702" s="217" t="s">
        <v>1920</v>
      </c>
    </row>
    <row r="703" spans="1:9" hidden="1">
      <c r="A703" s="23">
        <v>703</v>
      </c>
      <c r="B703" s="84">
        <v>45754</v>
      </c>
      <c r="C703" s="23" t="s">
        <v>673</v>
      </c>
      <c r="D703" s="23" t="s">
        <v>236</v>
      </c>
      <c r="G703" s="23">
        <v>0</v>
      </c>
      <c r="I703" s="217" t="s">
        <v>1921</v>
      </c>
    </row>
    <row r="704" spans="1:9" hidden="1">
      <c r="A704" s="23">
        <v>704</v>
      </c>
      <c r="B704" s="84">
        <v>45754</v>
      </c>
      <c r="C704" s="23" t="s">
        <v>674</v>
      </c>
      <c r="D704" s="23" t="s">
        <v>239</v>
      </c>
      <c r="G704" s="23">
        <v>0</v>
      </c>
      <c r="I704" s="217" t="s">
        <v>1924</v>
      </c>
    </row>
    <row r="705" spans="1:9" hidden="1">
      <c r="A705" s="23">
        <v>705</v>
      </c>
      <c r="B705" s="84">
        <v>45754</v>
      </c>
      <c r="C705" s="23" t="s">
        <v>518</v>
      </c>
      <c r="D705" s="23" t="s">
        <v>186</v>
      </c>
      <c r="G705" s="23">
        <v>0</v>
      </c>
      <c r="I705" s="217" t="s">
        <v>1925</v>
      </c>
    </row>
    <row r="706" spans="1:9" hidden="1">
      <c r="A706" s="23">
        <v>706</v>
      </c>
      <c r="B706" s="84">
        <v>45754</v>
      </c>
      <c r="C706" s="23" t="s">
        <v>212</v>
      </c>
      <c r="D706" s="23" t="s">
        <v>211</v>
      </c>
      <c r="G706" s="23">
        <v>0.76</v>
      </c>
      <c r="I706" s="217" t="s">
        <v>1926</v>
      </c>
    </row>
    <row r="707" spans="1:9" hidden="1">
      <c r="A707" s="23">
        <v>707</v>
      </c>
      <c r="B707" s="84">
        <v>45754</v>
      </c>
      <c r="C707" s="23" t="s">
        <v>222</v>
      </c>
      <c r="D707" s="23" t="s">
        <v>214</v>
      </c>
      <c r="G707" s="23">
        <v>0</v>
      </c>
      <c r="I707" s="217" t="s">
        <v>1927</v>
      </c>
    </row>
    <row r="708" spans="1:9" hidden="1">
      <c r="A708" s="23">
        <v>708</v>
      </c>
      <c r="B708" s="84">
        <v>45755</v>
      </c>
      <c r="C708" s="23" t="s">
        <v>223</v>
      </c>
      <c r="D708" s="23" t="s">
        <v>214</v>
      </c>
      <c r="G708" s="23">
        <v>0.45</v>
      </c>
      <c r="I708" s="217" t="s">
        <v>1928</v>
      </c>
    </row>
    <row r="709" spans="1:9" hidden="1">
      <c r="A709" s="23">
        <v>709</v>
      </c>
      <c r="B709" s="84">
        <v>45755</v>
      </c>
      <c r="C709" s="23" t="s">
        <v>216</v>
      </c>
      <c r="D709" s="23" t="s">
        <v>220</v>
      </c>
      <c r="G709" s="23">
        <v>0</v>
      </c>
      <c r="I709" s="217" t="s">
        <v>1929</v>
      </c>
    </row>
    <row r="710" spans="1:9" hidden="1">
      <c r="A710" s="23">
        <v>710</v>
      </c>
      <c r="B710" s="84">
        <v>45755</v>
      </c>
      <c r="C710" s="23" t="s">
        <v>651</v>
      </c>
      <c r="D710" s="23" t="s">
        <v>242</v>
      </c>
      <c r="G710" s="23">
        <v>0</v>
      </c>
      <c r="I710" s="217" t="s">
        <v>1930</v>
      </c>
    </row>
    <row r="711" spans="1:9" hidden="1">
      <c r="A711" s="23">
        <v>711</v>
      </c>
      <c r="B711" s="84">
        <v>45755</v>
      </c>
      <c r="C711" s="23" t="s">
        <v>355</v>
      </c>
      <c r="D711" s="23" t="s">
        <v>234</v>
      </c>
      <c r="G711" s="23">
        <v>0.7</v>
      </c>
      <c r="I711" s="217" t="s">
        <v>1931</v>
      </c>
    </row>
    <row r="712" spans="1:9">
      <c r="A712" s="23">
        <v>712</v>
      </c>
      <c r="B712" s="84">
        <v>45755</v>
      </c>
      <c r="C712" s="23" t="s">
        <v>355</v>
      </c>
      <c r="D712" s="23" t="s">
        <v>174</v>
      </c>
      <c r="G712" s="23">
        <v>1.5</v>
      </c>
      <c r="I712" s="217" t="s">
        <v>1932</v>
      </c>
    </row>
    <row r="713" spans="1:9" hidden="1">
      <c r="A713" s="23">
        <v>713</v>
      </c>
      <c r="B713" s="84">
        <v>45755</v>
      </c>
      <c r="C713" s="23" t="s">
        <v>677</v>
      </c>
      <c r="D713" s="23" t="s">
        <v>245</v>
      </c>
      <c r="G713" s="23">
        <v>0.7</v>
      </c>
      <c r="I713" s="217" t="s">
        <v>1933</v>
      </c>
    </row>
    <row r="714" spans="1:9" hidden="1">
      <c r="A714" s="23">
        <v>714</v>
      </c>
      <c r="B714" s="84">
        <v>45755</v>
      </c>
      <c r="C714" s="23" t="s">
        <v>650</v>
      </c>
      <c r="D714" s="23" t="s">
        <v>226</v>
      </c>
      <c r="G714" s="23">
        <v>0.7</v>
      </c>
      <c r="I714" s="217" t="s">
        <v>1934</v>
      </c>
    </row>
    <row r="715" spans="1:9" hidden="1">
      <c r="A715" s="23">
        <v>715</v>
      </c>
      <c r="B715" s="84">
        <v>45755</v>
      </c>
      <c r="C715" s="23" t="s">
        <v>543</v>
      </c>
      <c r="D715" s="23" t="s">
        <v>229</v>
      </c>
      <c r="G715" s="23">
        <v>0.68</v>
      </c>
      <c r="I715" s="217" t="s">
        <v>1935</v>
      </c>
    </row>
    <row r="716" spans="1:9">
      <c r="A716" s="23">
        <v>716</v>
      </c>
      <c r="B716" s="84">
        <v>45755</v>
      </c>
      <c r="C716" s="23" t="s">
        <v>642</v>
      </c>
      <c r="D716" s="23" t="s">
        <v>177</v>
      </c>
      <c r="G716" s="23">
        <v>0</v>
      </c>
      <c r="I716" s="217" t="s">
        <v>1936</v>
      </c>
    </row>
    <row r="717" spans="1:9" hidden="1">
      <c r="A717" s="23">
        <v>717</v>
      </c>
      <c r="B717" s="84">
        <v>45755</v>
      </c>
      <c r="C717" s="23" t="s">
        <v>218</v>
      </c>
      <c r="D717" s="23" t="s">
        <v>220</v>
      </c>
      <c r="G717" s="23">
        <v>0.46</v>
      </c>
      <c r="I717" s="217" t="s">
        <v>1937</v>
      </c>
    </row>
    <row r="718" spans="1:9" hidden="1">
      <c r="A718" s="23">
        <v>718</v>
      </c>
      <c r="B718" s="84">
        <v>45755</v>
      </c>
      <c r="C718" s="23" t="s">
        <v>238</v>
      </c>
      <c r="D718" s="23" t="s">
        <v>211</v>
      </c>
      <c r="G718" s="23">
        <v>0</v>
      </c>
      <c r="I718" s="217" t="s">
        <v>1938</v>
      </c>
    </row>
    <row r="719" spans="1:9" hidden="1">
      <c r="A719" s="23">
        <v>719</v>
      </c>
      <c r="B719" s="84">
        <v>45754</v>
      </c>
      <c r="C719" s="23" t="s">
        <v>274</v>
      </c>
      <c r="D719" s="23" t="s">
        <v>217</v>
      </c>
      <c r="G719" s="23">
        <v>0.83</v>
      </c>
      <c r="I719" s="217" t="s">
        <v>1939</v>
      </c>
    </row>
    <row r="720" spans="1:9" hidden="1">
      <c r="A720" s="23">
        <v>720</v>
      </c>
      <c r="B720" s="84">
        <v>45754</v>
      </c>
      <c r="C720" s="23" t="s">
        <v>224</v>
      </c>
      <c r="D720" s="23" t="s">
        <v>225</v>
      </c>
      <c r="G720" s="23">
        <v>0</v>
      </c>
      <c r="I720" s="217" t="s">
        <v>1940</v>
      </c>
    </row>
    <row r="721" spans="1:9" hidden="1">
      <c r="A721" s="23">
        <v>721</v>
      </c>
      <c r="B721" s="84">
        <v>45755</v>
      </c>
      <c r="C721" s="23" t="s">
        <v>218</v>
      </c>
      <c r="D721" s="23" t="s">
        <v>225</v>
      </c>
      <c r="G721" s="23">
        <v>0.71</v>
      </c>
      <c r="I721" s="217" t="s">
        <v>1941</v>
      </c>
    </row>
    <row r="722" spans="1:9" hidden="1">
      <c r="A722" s="23">
        <v>722</v>
      </c>
      <c r="B722" s="84">
        <v>45755</v>
      </c>
      <c r="C722" s="23" t="s">
        <v>213</v>
      </c>
      <c r="D722" s="23" t="s">
        <v>217</v>
      </c>
      <c r="G722" s="23">
        <v>0</v>
      </c>
      <c r="I722" s="217" t="s">
        <v>1942</v>
      </c>
    </row>
    <row r="723" spans="1:9" hidden="1">
      <c r="A723" s="23">
        <v>723</v>
      </c>
      <c r="B723" s="84">
        <v>45755</v>
      </c>
      <c r="C723" s="23" t="s">
        <v>679</v>
      </c>
      <c r="D723" s="23" t="s">
        <v>229</v>
      </c>
      <c r="G723" s="23">
        <v>0</v>
      </c>
      <c r="I723" s="217" t="s">
        <v>1935</v>
      </c>
    </row>
    <row r="724" spans="1:9" hidden="1">
      <c r="A724" s="23">
        <v>724</v>
      </c>
      <c r="B724" s="84">
        <v>45755</v>
      </c>
      <c r="C724" s="23" t="s">
        <v>678</v>
      </c>
      <c r="D724" s="23" t="s">
        <v>226</v>
      </c>
      <c r="G724" s="23">
        <v>0</v>
      </c>
      <c r="I724" s="217" t="s">
        <v>1943</v>
      </c>
    </row>
    <row r="725" spans="1:9" hidden="1">
      <c r="A725" s="23">
        <v>725</v>
      </c>
      <c r="B725" s="84">
        <v>45755</v>
      </c>
      <c r="C725" s="23" t="s">
        <v>680</v>
      </c>
      <c r="D725" s="23" t="s">
        <v>242</v>
      </c>
      <c r="G725" s="23">
        <v>0.5</v>
      </c>
      <c r="I725" s="217" t="s">
        <v>1944</v>
      </c>
    </row>
    <row r="726" spans="1:9" hidden="1">
      <c r="A726" s="23">
        <v>726</v>
      </c>
      <c r="B726" s="84">
        <v>45755</v>
      </c>
      <c r="C726" s="23" t="s">
        <v>451</v>
      </c>
      <c r="D726" s="23" t="s">
        <v>232</v>
      </c>
      <c r="G726" s="23">
        <v>0.7</v>
      </c>
      <c r="I726" s="217" t="s">
        <v>1945</v>
      </c>
    </row>
    <row r="727" spans="1:9" hidden="1">
      <c r="A727" s="23">
        <v>727</v>
      </c>
      <c r="B727" s="84">
        <v>45755</v>
      </c>
      <c r="C727" s="23" t="s">
        <v>210</v>
      </c>
      <c r="D727" s="23" t="s">
        <v>245</v>
      </c>
      <c r="G727" s="23">
        <v>0</v>
      </c>
      <c r="I727" s="217" t="s">
        <v>1946</v>
      </c>
    </row>
    <row r="728" spans="1:9" hidden="1">
      <c r="A728" s="23">
        <v>728</v>
      </c>
      <c r="B728" s="84">
        <v>45755</v>
      </c>
      <c r="C728" s="23" t="s">
        <v>682</v>
      </c>
      <c r="D728" s="23" t="s">
        <v>232</v>
      </c>
      <c r="G728" s="23">
        <v>0</v>
      </c>
      <c r="I728" s="217" t="s">
        <v>1945</v>
      </c>
    </row>
    <row r="729" spans="1:9" hidden="1">
      <c r="A729" s="23">
        <v>729</v>
      </c>
      <c r="B729" s="84">
        <v>45755</v>
      </c>
      <c r="C729" s="23" t="s">
        <v>676</v>
      </c>
      <c r="D729" s="23" t="s">
        <v>234</v>
      </c>
      <c r="G729" s="23">
        <v>0</v>
      </c>
      <c r="I729" s="217" t="s">
        <v>1947</v>
      </c>
    </row>
    <row r="730" spans="1:9" hidden="1">
      <c r="A730" s="23">
        <v>730</v>
      </c>
      <c r="B730" s="84">
        <v>45755</v>
      </c>
      <c r="C730" s="23" t="s">
        <v>597</v>
      </c>
      <c r="D730" s="23" t="s">
        <v>236</v>
      </c>
      <c r="G730" s="23">
        <v>0.7</v>
      </c>
      <c r="I730" s="217" t="s">
        <v>1948</v>
      </c>
    </row>
    <row r="731" spans="1:9" hidden="1">
      <c r="A731" s="23">
        <v>731</v>
      </c>
      <c r="B731" s="84">
        <v>45755</v>
      </c>
      <c r="C731" s="23" t="s">
        <v>684</v>
      </c>
      <c r="D731" s="23" t="s">
        <v>245</v>
      </c>
      <c r="G731" s="23">
        <v>0.7</v>
      </c>
      <c r="I731" s="217" t="s">
        <v>1949</v>
      </c>
    </row>
    <row r="732" spans="1:9" hidden="1">
      <c r="A732" s="23">
        <v>732</v>
      </c>
      <c r="B732" s="84">
        <v>45755</v>
      </c>
      <c r="C732" s="23" t="s">
        <v>685</v>
      </c>
      <c r="D732" s="23" t="s">
        <v>164</v>
      </c>
      <c r="G732" s="23">
        <v>0.7</v>
      </c>
      <c r="I732" s="217" t="s">
        <v>1950</v>
      </c>
    </row>
    <row r="733" spans="1:9" hidden="1">
      <c r="A733" s="23">
        <v>733</v>
      </c>
      <c r="B733" s="84">
        <v>45755</v>
      </c>
      <c r="C733" s="23" t="s">
        <v>687</v>
      </c>
      <c r="D733" s="23" t="s">
        <v>183</v>
      </c>
      <c r="G733" s="23">
        <v>0.5</v>
      </c>
      <c r="I733" s="217" t="s">
        <v>1951</v>
      </c>
    </row>
    <row r="734" spans="1:9" hidden="1">
      <c r="A734" s="23">
        <v>734</v>
      </c>
      <c r="B734" s="84">
        <v>45755</v>
      </c>
      <c r="C734" s="23" t="s">
        <v>654</v>
      </c>
      <c r="D734" s="23" t="s">
        <v>239</v>
      </c>
      <c r="G734" s="23">
        <v>0.7</v>
      </c>
      <c r="I734" s="217" t="s">
        <v>1952</v>
      </c>
    </row>
    <row r="735" spans="1:9" hidden="1">
      <c r="A735" s="23">
        <v>735</v>
      </c>
      <c r="B735" s="84">
        <v>45755</v>
      </c>
      <c r="C735" s="23" t="s">
        <v>686</v>
      </c>
      <c r="D735" s="23" t="s">
        <v>226</v>
      </c>
      <c r="G735" s="23">
        <v>0.7</v>
      </c>
      <c r="I735" s="217" t="s">
        <v>1953</v>
      </c>
    </row>
    <row r="736" spans="1:9" hidden="1">
      <c r="A736" s="23">
        <v>736</v>
      </c>
      <c r="B736" s="84">
        <v>45755</v>
      </c>
      <c r="C736" s="23" t="s">
        <v>686</v>
      </c>
      <c r="D736" s="23" t="s">
        <v>164</v>
      </c>
      <c r="G736" s="23">
        <v>0</v>
      </c>
      <c r="I736" s="217" t="s">
        <v>1950</v>
      </c>
    </row>
    <row r="737" spans="1:9" hidden="1">
      <c r="A737" s="23">
        <v>737</v>
      </c>
      <c r="B737" s="84">
        <v>45755</v>
      </c>
      <c r="C737" s="23" t="s">
        <v>689</v>
      </c>
      <c r="D737" s="23" t="s">
        <v>186</v>
      </c>
      <c r="G737" s="23">
        <v>0.5</v>
      </c>
      <c r="I737" s="217" t="s">
        <v>1954</v>
      </c>
    </row>
    <row r="738" spans="1:9" hidden="1">
      <c r="A738" s="23">
        <v>738</v>
      </c>
      <c r="B738" s="84">
        <v>45755</v>
      </c>
      <c r="C738" s="23" t="s">
        <v>683</v>
      </c>
      <c r="D738" s="23" t="s">
        <v>236</v>
      </c>
      <c r="G738" s="23">
        <v>0</v>
      </c>
      <c r="I738" s="217" t="s">
        <v>1955</v>
      </c>
    </row>
    <row r="739" spans="1:9" hidden="1">
      <c r="A739" s="23">
        <v>739</v>
      </c>
      <c r="B739" s="84">
        <v>45755</v>
      </c>
      <c r="C739" s="23" t="s">
        <v>260</v>
      </c>
      <c r="D739" s="23" t="s">
        <v>229</v>
      </c>
      <c r="G739" s="23">
        <v>0.7</v>
      </c>
      <c r="I739" s="217" t="s">
        <v>1956</v>
      </c>
    </row>
    <row r="740" spans="1:9" hidden="1">
      <c r="A740" s="23">
        <v>740</v>
      </c>
      <c r="B740" s="84">
        <v>45755</v>
      </c>
      <c r="C740" s="23" t="s">
        <v>468</v>
      </c>
      <c r="D740" s="23" t="s">
        <v>239</v>
      </c>
      <c r="G740" s="23">
        <v>0</v>
      </c>
      <c r="I740" s="217" t="s">
        <v>1957</v>
      </c>
    </row>
    <row r="741" spans="1:9" hidden="1">
      <c r="A741" s="23">
        <v>741</v>
      </c>
      <c r="B741" s="84">
        <v>45755</v>
      </c>
      <c r="C741" s="23" t="s">
        <v>662</v>
      </c>
      <c r="D741" s="23" t="s">
        <v>245</v>
      </c>
      <c r="G741" s="23">
        <v>0</v>
      </c>
      <c r="I741" s="217" t="s">
        <v>1958</v>
      </c>
    </row>
    <row r="742" spans="1:9" hidden="1">
      <c r="A742" s="23">
        <v>742</v>
      </c>
      <c r="B742" s="84">
        <v>45755</v>
      </c>
      <c r="C742" s="23" t="s">
        <v>688</v>
      </c>
      <c r="D742" s="23" t="s">
        <v>226</v>
      </c>
      <c r="G742" s="23">
        <v>0</v>
      </c>
      <c r="I742" s="217" t="s">
        <v>1959</v>
      </c>
    </row>
    <row r="743" spans="1:9" hidden="1">
      <c r="A743" s="23">
        <v>743</v>
      </c>
      <c r="B743" s="84">
        <v>45755</v>
      </c>
      <c r="C743" s="23" t="s">
        <v>690</v>
      </c>
      <c r="D743" s="23" t="s">
        <v>335</v>
      </c>
      <c r="G743" s="23">
        <v>0.5</v>
      </c>
      <c r="I743" s="217" t="s">
        <v>1960</v>
      </c>
    </row>
    <row r="744" spans="1:9">
      <c r="A744" s="23">
        <v>744</v>
      </c>
      <c r="B744" s="84">
        <v>45755</v>
      </c>
      <c r="C744" s="23" t="s">
        <v>692</v>
      </c>
      <c r="D744" s="23" t="s">
        <v>177</v>
      </c>
      <c r="G744" s="23">
        <v>0.5</v>
      </c>
      <c r="I744" s="217" t="s">
        <v>1961</v>
      </c>
    </row>
    <row r="745" spans="1:9" hidden="1">
      <c r="A745" s="23">
        <v>745</v>
      </c>
      <c r="B745" s="84">
        <v>45755</v>
      </c>
      <c r="C745" s="23" t="s">
        <v>551</v>
      </c>
      <c r="D745" s="23" t="s">
        <v>229</v>
      </c>
      <c r="G745" s="23">
        <v>0</v>
      </c>
      <c r="I745" s="217" t="s">
        <v>1962</v>
      </c>
    </row>
    <row r="746" spans="1:9" hidden="1">
      <c r="A746" s="23">
        <v>746</v>
      </c>
      <c r="B746" s="84">
        <v>45755</v>
      </c>
      <c r="C746" s="23" t="s">
        <v>620</v>
      </c>
      <c r="D746" s="23" t="s">
        <v>211</v>
      </c>
      <c r="G746" s="23">
        <v>0.64500000000000002</v>
      </c>
      <c r="I746" s="217" t="s">
        <v>1963</v>
      </c>
    </row>
    <row r="747" spans="1:9" hidden="1">
      <c r="A747" s="23">
        <v>747</v>
      </c>
      <c r="B747" s="84">
        <v>45755</v>
      </c>
      <c r="C747" s="23" t="s">
        <v>675</v>
      </c>
      <c r="D747" s="23" t="s">
        <v>214</v>
      </c>
      <c r="G747" s="23">
        <v>0</v>
      </c>
      <c r="I747" s="217" t="s">
        <v>1964</v>
      </c>
    </row>
    <row r="748" spans="1:9" hidden="1">
      <c r="A748" s="23">
        <v>748</v>
      </c>
      <c r="B748" s="84">
        <v>45755</v>
      </c>
      <c r="C748" s="23" t="s">
        <v>693</v>
      </c>
      <c r="D748" s="23" t="s">
        <v>232</v>
      </c>
      <c r="G748" s="23">
        <v>0.7</v>
      </c>
      <c r="I748" s="217" t="s">
        <v>1965</v>
      </c>
    </row>
    <row r="749" spans="1:9" hidden="1">
      <c r="A749" s="23">
        <v>749</v>
      </c>
      <c r="B749" s="84">
        <v>45755</v>
      </c>
      <c r="C749" s="23" t="s">
        <v>509</v>
      </c>
      <c r="D749" s="23" t="s">
        <v>234</v>
      </c>
      <c r="G749" s="23">
        <v>0.7</v>
      </c>
      <c r="I749" s="217" t="s">
        <v>1966</v>
      </c>
    </row>
    <row r="750" spans="1:9" hidden="1">
      <c r="A750" s="23">
        <v>750</v>
      </c>
      <c r="B750" s="84">
        <v>45755</v>
      </c>
      <c r="C750" s="23" t="s">
        <v>696</v>
      </c>
      <c r="D750" s="23" t="s">
        <v>236</v>
      </c>
      <c r="G750" s="23">
        <v>0.7</v>
      </c>
      <c r="I750" s="217" t="s">
        <v>1967</v>
      </c>
    </row>
    <row r="751" spans="1:9" hidden="1">
      <c r="A751" s="23">
        <v>751</v>
      </c>
      <c r="B751" s="84">
        <v>45755</v>
      </c>
      <c r="C751" s="23" t="s">
        <v>694</v>
      </c>
      <c r="D751" s="23" t="s">
        <v>232</v>
      </c>
      <c r="G751" s="23">
        <v>0</v>
      </c>
      <c r="I751" s="217" t="s">
        <v>1965</v>
      </c>
    </row>
    <row r="752" spans="1:9" hidden="1">
      <c r="A752" s="23">
        <v>752</v>
      </c>
      <c r="B752" s="84">
        <v>45755</v>
      </c>
      <c r="C752" s="23" t="s">
        <v>371</v>
      </c>
      <c r="D752" s="23" t="s">
        <v>183</v>
      </c>
      <c r="G752" s="23" t="s">
        <v>9</v>
      </c>
      <c r="I752" s="217" t="s">
        <v>1968</v>
      </c>
    </row>
    <row r="753" spans="1:9" hidden="1">
      <c r="A753" s="23">
        <v>753</v>
      </c>
      <c r="B753" s="84">
        <v>45755</v>
      </c>
      <c r="C753" s="23" t="s">
        <v>700</v>
      </c>
      <c r="D753" s="23" t="s">
        <v>226</v>
      </c>
      <c r="G753" s="23">
        <v>0.7</v>
      </c>
      <c r="I753" s="217" t="s">
        <v>1969</v>
      </c>
    </row>
    <row r="754" spans="1:9" hidden="1">
      <c r="A754" s="23">
        <v>754</v>
      </c>
      <c r="B754" s="84">
        <v>45755</v>
      </c>
      <c r="C754" s="23" t="s">
        <v>700</v>
      </c>
      <c r="D754" s="23" t="s">
        <v>232</v>
      </c>
      <c r="G754" s="23">
        <v>0.7</v>
      </c>
      <c r="I754" s="217" t="s">
        <v>1970</v>
      </c>
    </row>
    <row r="755" spans="1:9" hidden="1">
      <c r="A755" s="23">
        <v>755</v>
      </c>
      <c r="B755" s="84">
        <v>45755</v>
      </c>
      <c r="C755" s="23" t="s">
        <v>700</v>
      </c>
      <c r="D755" s="23" t="s">
        <v>229</v>
      </c>
      <c r="G755" s="23">
        <v>0.7</v>
      </c>
      <c r="I755" s="217" t="s">
        <v>1971</v>
      </c>
    </row>
    <row r="756" spans="1:9" hidden="1">
      <c r="A756" s="23">
        <v>756</v>
      </c>
      <c r="B756" s="84">
        <v>45755</v>
      </c>
      <c r="C756" s="23" t="s">
        <v>700</v>
      </c>
      <c r="D756" s="23" t="s">
        <v>245</v>
      </c>
      <c r="G756" s="23">
        <v>0.7</v>
      </c>
      <c r="I756" s="217" t="s">
        <v>1972</v>
      </c>
    </row>
    <row r="757" spans="1:9" hidden="1">
      <c r="A757" s="23">
        <v>757</v>
      </c>
      <c r="B757" s="84">
        <v>45755</v>
      </c>
      <c r="C757" s="23" t="s">
        <v>703</v>
      </c>
      <c r="D757" s="23" t="s">
        <v>239</v>
      </c>
      <c r="G757" s="23">
        <v>0.7</v>
      </c>
      <c r="I757" s="217" t="s">
        <v>1973</v>
      </c>
    </row>
    <row r="758" spans="1:9" hidden="1">
      <c r="A758" s="23">
        <v>758</v>
      </c>
      <c r="B758" s="84">
        <v>45755</v>
      </c>
      <c r="C758" s="23" t="s">
        <v>695</v>
      </c>
      <c r="D758" s="23" t="s">
        <v>234</v>
      </c>
      <c r="G758" s="23">
        <v>0</v>
      </c>
      <c r="I758" s="217" t="s">
        <v>1974</v>
      </c>
    </row>
    <row r="759" spans="1:9" hidden="1">
      <c r="A759" s="23">
        <v>759</v>
      </c>
      <c r="B759" s="84">
        <v>45755</v>
      </c>
      <c r="C759" s="23" t="s">
        <v>697</v>
      </c>
      <c r="D759" s="23" t="s">
        <v>236</v>
      </c>
      <c r="G759" s="23">
        <v>0</v>
      </c>
      <c r="I759" s="217" t="s">
        <v>1975</v>
      </c>
    </row>
    <row r="760" spans="1:9" hidden="1">
      <c r="A760" s="23">
        <v>760</v>
      </c>
      <c r="B760" s="84">
        <v>45755</v>
      </c>
      <c r="C760" s="23" t="s">
        <v>704</v>
      </c>
      <c r="D760" s="23" t="s">
        <v>239</v>
      </c>
      <c r="G760" s="23">
        <v>0</v>
      </c>
      <c r="I760" s="217" t="s">
        <v>1976</v>
      </c>
    </row>
    <row r="761" spans="1:9" hidden="1">
      <c r="A761" s="23">
        <v>761</v>
      </c>
      <c r="B761" s="84">
        <v>45755</v>
      </c>
      <c r="C761" s="23" t="s">
        <v>702</v>
      </c>
      <c r="D761" s="23" t="s">
        <v>245</v>
      </c>
      <c r="G761" s="23">
        <v>0</v>
      </c>
      <c r="I761" s="217" t="s">
        <v>1977</v>
      </c>
    </row>
    <row r="762" spans="1:9" hidden="1">
      <c r="A762" s="23">
        <v>762</v>
      </c>
      <c r="B762" s="84">
        <v>45755</v>
      </c>
      <c r="C762" s="23" t="s">
        <v>522</v>
      </c>
      <c r="D762" s="23" t="s">
        <v>226</v>
      </c>
      <c r="G762" s="23">
        <v>0</v>
      </c>
      <c r="I762" s="217" t="s">
        <v>1978</v>
      </c>
    </row>
    <row r="763" spans="1:9" hidden="1">
      <c r="A763" s="23">
        <v>763</v>
      </c>
      <c r="B763" s="84">
        <v>45755</v>
      </c>
      <c r="C763" s="23" t="s">
        <v>363</v>
      </c>
      <c r="D763" s="23" t="s">
        <v>229</v>
      </c>
      <c r="G763" s="23">
        <v>0</v>
      </c>
      <c r="I763" s="217" t="s">
        <v>1979</v>
      </c>
    </row>
    <row r="764" spans="1:9" hidden="1">
      <c r="A764" s="23">
        <v>764</v>
      </c>
      <c r="B764" s="84">
        <v>45755</v>
      </c>
      <c r="C764" s="23" t="s">
        <v>701</v>
      </c>
      <c r="D764" s="23" t="s">
        <v>232</v>
      </c>
      <c r="G764" s="23">
        <v>0</v>
      </c>
      <c r="I764" s="217" t="s">
        <v>1980</v>
      </c>
    </row>
    <row r="765" spans="1:9" hidden="1">
      <c r="A765" s="23">
        <v>765</v>
      </c>
      <c r="B765" s="84">
        <v>45755</v>
      </c>
      <c r="C765" s="23" t="s">
        <v>212</v>
      </c>
      <c r="D765" s="23" t="s">
        <v>214</v>
      </c>
      <c r="G765" s="23">
        <v>0.61</v>
      </c>
      <c r="I765" s="217" t="s">
        <v>1981</v>
      </c>
    </row>
    <row r="766" spans="1:9" hidden="1">
      <c r="A766" s="23">
        <v>766</v>
      </c>
      <c r="B766" s="84">
        <v>45755</v>
      </c>
      <c r="C766" s="23" t="s">
        <v>222</v>
      </c>
      <c r="D766" s="23" t="s">
        <v>220</v>
      </c>
      <c r="G766" s="23">
        <v>0</v>
      </c>
      <c r="I766" s="217" t="s">
        <v>1982</v>
      </c>
    </row>
    <row r="767" spans="1:9" hidden="1">
      <c r="A767" s="23">
        <v>767</v>
      </c>
      <c r="B767" s="84">
        <v>45755</v>
      </c>
      <c r="C767" s="23" t="s">
        <v>222</v>
      </c>
      <c r="D767" s="23" t="s">
        <v>225</v>
      </c>
      <c r="G767" s="23">
        <v>0</v>
      </c>
      <c r="I767" s="217" t="s">
        <v>1983</v>
      </c>
    </row>
    <row r="768" spans="1:9" hidden="1">
      <c r="A768" s="23">
        <v>768</v>
      </c>
      <c r="B768" s="84">
        <v>45755</v>
      </c>
      <c r="C768" s="23" t="s">
        <v>212</v>
      </c>
      <c r="D768" s="23" t="s">
        <v>217</v>
      </c>
      <c r="G768" s="23">
        <v>0.86</v>
      </c>
      <c r="I768" s="217" t="s">
        <v>1984</v>
      </c>
    </row>
    <row r="769" spans="1:9" hidden="1">
      <c r="A769" s="23">
        <v>769</v>
      </c>
      <c r="B769" s="84">
        <v>45755</v>
      </c>
      <c r="C769" s="23" t="s">
        <v>631</v>
      </c>
      <c r="D769" s="23" t="s">
        <v>232</v>
      </c>
      <c r="G769" s="23">
        <v>0.7</v>
      </c>
      <c r="I769" s="217" t="s">
        <v>1985</v>
      </c>
    </row>
    <row r="770" spans="1:9" hidden="1">
      <c r="A770" s="23">
        <v>770</v>
      </c>
      <c r="B770" s="84">
        <v>45755</v>
      </c>
      <c r="C770" s="23" t="s">
        <v>343</v>
      </c>
      <c r="D770" s="23" t="s">
        <v>234</v>
      </c>
      <c r="G770" s="23">
        <v>0.7</v>
      </c>
      <c r="I770" s="217" t="s">
        <v>1986</v>
      </c>
    </row>
    <row r="771" spans="1:9" hidden="1">
      <c r="A771" s="23">
        <v>771</v>
      </c>
      <c r="B771" s="84">
        <v>45755</v>
      </c>
      <c r="C771" s="23" t="s">
        <v>707</v>
      </c>
      <c r="D771" s="23" t="s">
        <v>239</v>
      </c>
      <c r="G771" s="23">
        <v>0.7</v>
      </c>
      <c r="I771" s="217" t="s">
        <v>1987</v>
      </c>
    </row>
    <row r="772" spans="1:9" hidden="1">
      <c r="A772" s="23">
        <v>772</v>
      </c>
      <c r="B772" s="84">
        <v>45755</v>
      </c>
      <c r="C772" s="23" t="s">
        <v>706</v>
      </c>
      <c r="D772" s="23" t="s">
        <v>234</v>
      </c>
      <c r="G772" s="23">
        <v>0</v>
      </c>
      <c r="I772" s="217" t="s">
        <v>1986</v>
      </c>
    </row>
    <row r="773" spans="1:9" hidden="1">
      <c r="A773" s="23">
        <v>773</v>
      </c>
      <c r="B773" s="84">
        <v>45755</v>
      </c>
      <c r="C773" s="23" t="s">
        <v>705</v>
      </c>
      <c r="D773" s="23" t="s">
        <v>232</v>
      </c>
      <c r="G773" s="23">
        <v>0</v>
      </c>
      <c r="I773" s="217" t="s">
        <v>1988</v>
      </c>
    </row>
    <row r="774" spans="1:9" hidden="1">
      <c r="A774" s="23">
        <v>774</v>
      </c>
      <c r="B774" s="84">
        <v>45755</v>
      </c>
      <c r="C774" s="23" t="s">
        <v>633</v>
      </c>
      <c r="D774" s="23" t="s">
        <v>239</v>
      </c>
      <c r="G774" s="23">
        <v>0</v>
      </c>
      <c r="I774" s="217" t="s">
        <v>1989</v>
      </c>
    </row>
    <row r="775" spans="1:9" hidden="1">
      <c r="A775" s="23">
        <v>775</v>
      </c>
      <c r="B775" s="84">
        <v>45755</v>
      </c>
      <c r="C775" s="23" t="s">
        <v>527</v>
      </c>
      <c r="D775" s="23" t="s">
        <v>229</v>
      </c>
      <c r="G775" s="23">
        <v>0.7</v>
      </c>
      <c r="I775" s="217" t="s">
        <v>1990</v>
      </c>
    </row>
    <row r="776" spans="1:9" hidden="1">
      <c r="A776" s="23">
        <v>776</v>
      </c>
      <c r="B776" s="84">
        <v>45755</v>
      </c>
      <c r="C776" s="23" t="s">
        <v>527</v>
      </c>
      <c r="D776" s="23" t="s">
        <v>232</v>
      </c>
      <c r="G776" s="23">
        <v>0.7</v>
      </c>
      <c r="I776" s="217" t="s">
        <v>1294</v>
      </c>
    </row>
    <row r="777" spans="1:9" hidden="1">
      <c r="A777" s="23">
        <v>777</v>
      </c>
      <c r="B777" s="84">
        <v>45755</v>
      </c>
      <c r="C777" s="23" t="s">
        <v>527</v>
      </c>
      <c r="D777" s="23" t="s">
        <v>226</v>
      </c>
      <c r="G777" s="23">
        <v>0.7</v>
      </c>
      <c r="I777" s="217" t="s">
        <v>1991</v>
      </c>
    </row>
    <row r="778" spans="1:9" hidden="1">
      <c r="A778" s="23">
        <v>778</v>
      </c>
      <c r="B778" s="84">
        <v>45755</v>
      </c>
      <c r="C778" s="23" t="s">
        <v>527</v>
      </c>
      <c r="D778" s="23" t="s">
        <v>239</v>
      </c>
      <c r="G778" s="23">
        <v>0.7</v>
      </c>
      <c r="I778" s="217" t="s">
        <v>1294</v>
      </c>
    </row>
    <row r="779" spans="1:9" hidden="1">
      <c r="A779" s="23">
        <v>779</v>
      </c>
      <c r="B779" s="84">
        <v>45755</v>
      </c>
      <c r="C779" s="23" t="s">
        <v>527</v>
      </c>
      <c r="D779" s="23" t="s">
        <v>234</v>
      </c>
      <c r="G779" s="23">
        <v>0.7</v>
      </c>
      <c r="I779" s="217" t="s">
        <v>1992</v>
      </c>
    </row>
    <row r="780" spans="1:9" hidden="1">
      <c r="A780" s="23">
        <v>780</v>
      </c>
      <c r="B780" s="84">
        <v>45755</v>
      </c>
      <c r="C780" s="23" t="s">
        <v>527</v>
      </c>
      <c r="D780" s="23" t="s">
        <v>245</v>
      </c>
      <c r="G780" s="23">
        <v>0.7</v>
      </c>
      <c r="I780" s="217" t="s">
        <v>1993</v>
      </c>
    </row>
    <row r="781" spans="1:9" hidden="1">
      <c r="A781" s="23">
        <v>781</v>
      </c>
      <c r="B781" s="84">
        <v>45755</v>
      </c>
      <c r="C781" s="23" t="s">
        <v>527</v>
      </c>
      <c r="D781" s="23" t="s">
        <v>391</v>
      </c>
      <c r="G781" s="23">
        <v>0.7</v>
      </c>
      <c r="I781" s="217" t="s">
        <v>1994</v>
      </c>
    </row>
    <row r="782" spans="1:9" hidden="1">
      <c r="A782" s="23">
        <v>782</v>
      </c>
      <c r="B782" s="84">
        <v>45755</v>
      </c>
      <c r="C782" s="23" t="s">
        <v>527</v>
      </c>
      <c r="D782" s="23" t="s">
        <v>395</v>
      </c>
      <c r="G782" s="23">
        <v>0.7</v>
      </c>
      <c r="I782" s="217" t="s">
        <v>1995</v>
      </c>
    </row>
    <row r="783" spans="1:9">
      <c r="A783" s="23">
        <v>783</v>
      </c>
      <c r="B783" s="84">
        <v>45755</v>
      </c>
      <c r="C783" s="23" t="s">
        <v>427</v>
      </c>
      <c r="D783" s="23" t="s">
        <v>174</v>
      </c>
      <c r="G783" s="23" t="s">
        <v>9</v>
      </c>
      <c r="I783" s="217" t="s">
        <v>1996</v>
      </c>
    </row>
    <row r="784" spans="1:9" hidden="1">
      <c r="A784" s="23">
        <v>784</v>
      </c>
      <c r="B784" s="84">
        <v>45755</v>
      </c>
      <c r="C784" s="23" t="s">
        <v>286</v>
      </c>
      <c r="D784" s="23" t="s">
        <v>226</v>
      </c>
      <c r="G784" s="23">
        <v>0</v>
      </c>
      <c r="I784" s="217" t="s">
        <v>1997</v>
      </c>
    </row>
    <row r="785" spans="1:9" hidden="1">
      <c r="A785" s="23">
        <v>785</v>
      </c>
      <c r="B785" s="84">
        <v>45755</v>
      </c>
      <c r="C785" s="23" t="s">
        <v>286</v>
      </c>
      <c r="D785" s="23" t="s">
        <v>245</v>
      </c>
      <c r="G785" s="23">
        <v>0</v>
      </c>
      <c r="I785" s="217" t="s">
        <v>1998</v>
      </c>
    </row>
    <row r="786" spans="1:9" hidden="1">
      <c r="A786" s="23">
        <v>786</v>
      </c>
      <c r="B786" s="84">
        <v>45755</v>
      </c>
      <c r="C786" s="23" t="s">
        <v>287</v>
      </c>
      <c r="D786" s="23" t="s">
        <v>229</v>
      </c>
      <c r="G786" s="23">
        <v>0</v>
      </c>
      <c r="I786" s="217" t="s">
        <v>1999</v>
      </c>
    </row>
    <row r="787" spans="1:9" hidden="1">
      <c r="A787" s="23">
        <v>787</v>
      </c>
      <c r="B787" s="84">
        <v>45755</v>
      </c>
      <c r="C787" s="23" t="s">
        <v>413</v>
      </c>
      <c r="D787" s="23" t="s">
        <v>232</v>
      </c>
      <c r="G787" s="23">
        <v>0</v>
      </c>
      <c r="I787" s="217" t="s">
        <v>2000</v>
      </c>
    </row>
    <row r="788" spans="1:9" hidden="1">
      <c r="A788" s="23">
        <v>788</v>
      </c>
      <c r="B788" s="84">
        <v>45755</v>
      </c>
      <c r="C788" s="23" t="s">
        <v>709</v>
      </c>
      <c r="D788" s="23" t="s">
        <v>234</v>
      </c>
      <c r="G788" s="23">
        <v>0</v>
      </c>
      <c r="I788" s="217" t="s">
        <v>2001</v>
      </c>
    </row>
    <row r="789" spans="1:9" hidden="1">
      <c r="A789" s="23">
        <v>789</v>
      </c>
      <c r="B789" s="84">
        <v>45755</v>
      </c>
      <c r="C789" s="23" t="s">
        <v>708</v>
      </c>
      <c r="D789" s="23" t="s">
        <v>239</v>
      </c>
      <c r="G789" s="23">
        <v>0</v>
      </c>
      <c r="I789" s="217" t="s">
        <v>2002</v>
      </c>
    </row>
    <row r="790" spans="1:9" hidden="1">
      <c r="A790" s="23">
        <v>790</v>
      </c>
      <c r="B790" s="84">
        <v>45755</v>
      </c>
      <c r="C790" s="23" t="s">
        <v>710</v>
      </c>
      <c r="D790" s="23" t="s">
        <v>391</v>
      </c>
      <c r="G790" s="23">
        <v>0</v>
      </c>
      <c r="I790" s="217" t="s">
        <v>2003</v>
      </c>
    </row>
    <row r="791" spans="1:9" hidden="1">
      <c r="A791" s="23">
        <v>791</v>
      </c>
      <c r="B791" s="84">
        <v>45755</v>
      </c>
      <c r="C791" s="23" t="s">
        <v>711</v>
      </c>
      <c r="D791" s="23" t="s">
        <v>395</v>
      </c>
      <c r="G791" s="23">
        <v>0</v>
      </c>
      <c r="I791" s="217" t="s">
        <v>2004</v>
      </c>
    </row>
    <row r="792" spans="1:9" hidden="1">
      <c r="A792" s="23">
        <v>792</v>
      </c>
      <c r="B792" s="84">
        <v>45755</v>
      </c>
      <c r="C792" s="23" t="s">
        <v>423</v>
      </c>
      <c r="D792" s="23" t="s">
        <v>404</v>
      </c>
      <c r="G792" s="23">
        <v>0.7</v>
      </c>
      <c r="I792" s="217" t="s">
        <v>2005</v>
      </c>
    </row>
    <row r="793" spans="1:9" hidden="1">
      <c r="A793" s="23">
        <v>793</v>
      </c>
      <c r="B793" s="84">
        <v>45755</v>
      </c>
      <c r="C793" s="23" t="s">
        <v>712</v>
      </c>
      <c r="D793" s="23" t="s">
        <v>404</v>
      </c>
      <c r="G793" s="23">
        <v>0</v>
      </c>
      <c r="I793" s="217" t="s">
        <v>2005</v>
      </c>
    </row>
    <row r="794" spans="1:9">
      <c r="A794" s="23">
        <v>794</v>
      </c>
      <c r="B794" s="84">
        <v>45755</v>
      </c>
      <c r="C794" s="23" t="s">
        <v>584</v>
      </c>
      <c r="D794" s="23" t="s">
        <v>180</v>
      </c>
      <c r="G794" s="23">
        <v>0</v>
      </c>
      <c r="I794" s="217" t="s">
        <v>2006</v>
      </c>
    </row>
    <row r="795" spans="1:9" hidden="1">
      <c r="A795" s="23">
        <v>795</v>
      </c>
      <c r="B795" s="84">
        <v>45755</v>
      </c>
      <c r="C795" s="23" t="s">
        <v>589</v>
      </c>
      <c r="D795" s="23" t="s">
        <v>220</v>
      </c>
      <c r="G795" s="23">
        <v>0.53</v>
      </c>
      <c r="I795" s="217" t="s">
        <v>2007</v>
      </c>
    </row>
    <row r="796" spans="1:9" hidden="1">
      <c r="A796" s="23">
        <v>796</v>
      </c>
      <c r="B796" s="84">
        <v>45755</v>
      </c>
      <c r="C796" s="23" t="s">
        <v>564</v>
      </c>
      <c r="D796" s="23" t="s">
        <v>211</v>
      </c>
      <c r="G796" s="23">
        <v>0</v>
      </c>
      <c r="I796" s="217" t="s">
        <v>2008</v>
      </c>
    </row>
    <row r="797" spans="1:9" hidden="1">
      <c r="A797" s="23">
        <v>797</v>
      </c>
      <c r="B797" s="84">
        <v>45756</v>
      </c>
      <c r="C797" s="23" t="s">
        <v>223</v>
      </c>
      <c r="D797" s="23" t="s">
        <v>225</v>
      </c>
      <c r="G797" s="23">
        <v>0.77</v>
      </c>
      <c r="I797" s="217" t="s">
        <v>2009</v>
      </c>
    </row>
    <row r="798" spans="1:9" hidden="1">
      <c r="A798" s="23">
        <v>798</v>
      </c>
      <c r="B798" s="84">
        <v>45756</v>
      </c>
      <c r="C798" s="23" t="s">
        <v>216</v>
      </c>
      <c r="D798" s="23" t="s">
        <v>217</v>
      </c>
      <c r="G798" s="23">
        <v>0</v>
      </c>
      <c r="I798" s="217" t="s">
        <v>2010</v>
      </c>
    </row>
    <row r="799" spans="1:9" hidden="1">
      <c r="A799" s="23">
        <v>799</v>
      </c>
      <c r="B799" s="84">
        <v>45756</v>
      </c>
      <c r="C799" s="23" t="s">
        <v>646</v>
      </c>
      <c r="D799" s="23" t="s">
        <v>226</v>
      </c>
      <c r="G799" s="23">
        <v>0.7</v>
      </c>
      <c r="I799" s="217" t="s">
        <v>2011</v>
      </c>
    </row>
    <row r="800" spans="1:9" hidden="1">
      <c r="A800" s="23">
        <v>800</v>
      </c>
      <c r="B800" s="84">
        <v>45756</v>
      </c>
      <c r="C800" s="23" t="s">
        <v>646</v>
      </c>
      <c r="D800" s="23" t="s">
        <v>245</v>
      </c>
      <c r="G800" s="23">
        <v>0.7</v>
      </c>
      <c r="I800" s="217" t="s">
        <v>2012</v>
      </c>
    </row>
    <row r="801" spans="1:9" hidden="1">
      <c r="A801" s="23">
        <v>801</v>
      </c>
      <c r="B801" s="84">
        <v>45756</v>
      </c>
      <c r="C801" s="23" t="s">
        <v>646</v>
      </c>
      <c r="D801" s="23" t="s">
        <v>403</v>
      </c>
      <c r="G801" s="23">
        <v>0.7</v>
      </c>
      <c r="I801" s="217" t="s">
        <v>2013</v>
      </c>
    </row>
    <row r="802" spans="1:9">
      <c r="A802" s="23">
        <v>802</v>
      </c>
      <c r="B802" s="84">
        <v>45756</v>
      </c>
      <c r="C802" s="23" t="s">
        <v>646</v>
      </c>
      <c r="D802" s="23" t="s">
        <v>248</v>
      </c>
      <c r="G802" s="23">
        <v>0</v>
      </c>
      <c r="I802" s="217" t="s">
        <v>2014</v>
      </c>
    </row>
    <row r="803" spans="1:9" hidden="1">
      <c r="A803" s="23">
        <v>803</v>
      </c>
      <c r="B803" s="84">
        <v>45756</v>
      </c>
      <c r="C803" s="23" t="s">
        <v>716</v>
      </c>
      <c r="D803" s="23" t="s">
        <v>229</v>
      </c>
      <c r="G803" s="23">
        <v>0.7</v>
      </c>
      <c r="I803" s="217" t="s">
        <v>2015</v>
      </c>
    </row>
    <row r="804" spans="1:9" hidden="1">
      <c r="A804" s="23">
        <v>804</v>
      </c>
      <c r="B804" s="84">
        <v>45756</v>
      </c>
      <c r="C804" s="23" t="s">
        <v>716</v>
      </c>
      <c r="D804" s="23" t="s">
        <v>232</v>
      </c>
      <c r="G804" s="23">
        <v>0.7</v>
      </c>
      <c r="I804" s="217" t="s">
        <v>2016</v>
      </c>
    </row>
    <row r="805" spans="1:9" hidden="1">
      <c r="A805" s="23">
        <v>805</v>
      </c>
      <c r="B805" s="84">
        <v>45756</v>
      </c>
      <c r="C805" s="23" t="s">
        <v>716</v>
      </c>
      <c r="D805" s="23" t="s">
        <v>234</v>
      </c>
      <c r="G805" s="23">
        <v>0.7</v>
      </c>
      <c r="I805" s="217" t="s">
        <v>2017</v>
      </c>
    </row>
    <row r="806" spans="1:9" hidden="1">
      <c r="A806" s="23">
        <v>806</v>
      </c>
      <c r="B806" s="84">
        <v>45756</v>
      </c>
      <c r="C806" s="23" t="s">
        <v>601</v>
      </c>
      <c r="D806" s="23" t="s">
        <v>401</v>
      </c>
      <c r="G806" s="23">
        <v>0.7</v>
      </c>
      <c r="I806" s="217" t="s">
        <v>2018</v>
      </c>
    </row>
    <row r="807" spans="1:9" hidden="1">
      <c r="A807" s="23">
        <v>807</v>
      </c>
      <c r="B807" s="84">
        <v>45756</v>
      </c>
      <c r="C807" s="23" t="s">
        <v>601</v>
      </c>
      <c r="D807" s="23" t="s">
        <v>391</v>
      </c>
      <c r="G807" s="23">
        <v>0.7</v>
      </c>
      <c r="I807" s="217" t="s">
        <v>2019</v>
      </c>
    </row>
    <row r="808" spans="1:9" hidden="1">
      <c r="A808" s="23">
        <v>808</v>
      </c>
      <c r="B808" s="84">
        <v>45756</v>
      </c>
      <c r="C808" s="23" t="s">
        <v>601</v>
      </c>
      <c r="D808" s="23" t="s">
        <v>388</v>
      </c>
      <c r="G808" s="23">
        <v>0.7</v>
      </c>
      <c r="I808" s="217" t="s">
        <v>2020</v>
      </c>
    </row>
    <row r="809" spans="1:9" hidden="1">
      <c r="A809" s="23">
        <v>809</v>
      </c>
      <c r="B809" s="84">
        <v>45756</v>
      </c>
      <c r="C809" s="23" t="s">
        <v>601</v>
      </c>
      <c r="D809" s="23" t="s">
        <v>395</v>
      </c>
      <c r="G809" s="23">
        <v>0.7</v>
      </c>
      <c r="I809" s="217" t="s">
        <v>2021</v>
      </c>
    </row>
    <row r="810" spans="1:9" hidden="1">
      <c r="A810" s="23">
        <v>810</v>
      </c>
      <c r="B810" s="84">
        <v>45756</v>
      </c>
      <c r="C810" s="23" t="s">
        <v>601</v>
      </c>
      <c r="D810" s="23" t="s">
        <v>404</v>
      </c>
      <c r="G810" s="23">
        <v>0.7</v>
      </c>
      <c r="I810" s="217" t="s">
        <v>2022</v>
      </c>
    </row>
    <row r="811" spans="1:9" hidden="1">
      <c r="A811" s="23">
        <v>811</v>
      </c>
      <c r="B811" s="84">
        <v>45756</v>
      </c>
      <c r="C811" s="23" t="s">
        <v>361</v>
      </c>
      <c r="D811" s="23" t="s">
        <v>239</v>
      </c>
      <c r="G811" s="23">
        <v>0.7</v>
      </c>
      <c r="I811" s="217" t="s">
        <v>2023</v>
      </c>
    </row>
    <row r="812" spans="1:9">
      <c r="A812" s="23">
        <v>812</v>
      </c>
      <c r="B812" s="84">
        <v>45756</v>
      </c>
      <c r="C812" s="23" t="s">
        <v>361</v>
      </c>
      <c r="D812" s="23" t="s">
        <v>177</v>
      </c>
      <c r="G812" s="23">
        <v>0</v>
      </c>
      <c r="I812" s="217" t="s">
        <v>2024</v>
      </c>
    </row>
    <row r="813" spans="1:9">
      <c r="A813" s="23">
        <v>813</v>
      </c>
      <c r="B813" s="84">
        <v>45756</v>
      </c>
      <c r="C813" s="23" t="s">
        <v>651</v>
      </c>
      <c r="D813" s="23" t="s">
        <v>177</v>
      </c>
      <c r="G813" s="23">
        <v>1</v>
      </c>
      <c r="I813" s="217" t="s">
        <v>1294</v>
      </c>
    </row>
    <row r="814" spans="1:9" hidden="1">
      <c r="A814" s="23">
        <v>814</v>
      </c>
      <c r="B814" s="84">
        <v>45756</v>
      </c>
      <c r="C814" s="23" t="s">
        <v>715</v>
      </c>
      <c r="D814" s="23" t="s">
        <v>239</v>
      </c>
      <c r="G814" s="23">
        <v>0</v>
      </c>
      <c r="I814" s="217" t="s">
        <v>2025</v>
      </c>
    </row>
    <row r="815" spans="1:9" hidden="1">
      <c r="A815" s="23">
        <v>815</v>
      </c>
      <c r="B815" s="84">
        <v>45756</v>
      </c>
      <c r="C815" s="23" t="s">
        <v>715</v>
      </c>
      <c r="D815" s="23" t="s">
        <v>403</v>
      </c>
      <c r="G815" s="23">
        <v>0</v>
      </c>
      <c r="I815" s="217" t="s">
        <v>2026</v>
      </c>
    </row>
    <row r="816" spans="1:9">
      <c r="A816" s="23">
        <v>816</v>
      </c>
      <c r="B816" s="84">
        <v>45756</v>
      </c>
      <c r="C816" s="23" t="s">
        <v>721</v>
      </c>
      <c r="D816" s="23" t="s">
        <v>180</v>
      </c>
      <c r="G816" s="23">
        <v>1</v>
      </c>
      <c r="I816" s="217" t="s">
        <v>2027</v>
      </c>
    </row>
    <row r="817" spans="1:9" hidden="1">
      <c r="A817" s="23">
        <v>817</v>
      </c>
      <c r="B817" s="84">
        <v>45756</v>
      </c>
      <c r="C817" s="23" t="s">
        <v>714</v>
      </c>
      <c r="D817" s="23" t="s">
        <v>401</v>
      </c>
      <c r="G817" s="23">
        <v>0</v>
      </c>
      <c r="I817" s="217" t="s">
        <v>2028</v>
      </c>
    </row>
    <row r="818" spans="1:9" hidden="1">
      <c r="A818" s="23">
        <v>818</v>
      </c>
      <c r="B818" s="84">
        <v>45756</v>
      </c>
      <c r="C818" s="23" t="s">
        <v>714</v>
      </c>
      <c r="D818" s="23" t="s">
        <v>245</v>
      </c>
      <c r="G818" s="23">
        <v>0</v>
      </c>
      <c r="I818" s="217" t="s">
        <v>2029</v>
      </c>
    </row>
    <row r="819" spans="1:9" hidden="1">
      <c r="A819" s="23">
        <v>819</v>
      </c>
      <c r="B819" s="84">
        <v>45756</v>
      </c>
      <c r="C819" s="23" t="s">
        <v>713</v>
      </c>
      <c r="D819" s="23" t="s">
        <v>229</v>
      </c>
      <c r="G819" s="23">
        <v>0</v>
      </c>
      <c r="I819" s="217" t="s">
        <v>2030</v>
      </c>
    </row>
    <row r="820" spans="1:9" hidden="1">
      <c r="A820" s="23">
        <v>820</v>
      </c>
      <c r="B820" s="84">
        <v>45756</v>
      </c>
      <c r="C820" s="23" t="s">
        <v>713</v>
      </c>
      <c r="D820" s="23" t="s">
        <v>226</v>
      </c>
      <c r="G820" s="23">
        <v>0</v>
      </c>
      <c r="I820" s="217" t="s">
        <v>2031</v>
      </c>
    </row>
    <row r="821" spans="1:9" hidden="1">
      <c r="A821" s="23">
        <v>821</v>
      </c>
      <c r="B821" s="84">
        <v>45756</v>
      </c>
      <c r="C821" s="23" t="s">
        <v>717</v>
      </c>
      <c r="D821" s="23" t="s">
        <v>232</v>
      </c>
      <c r="G821" s="23">
        <v>0</v>
      </c>
      <c r="I821" s="217" t="s">
        <v>2032</v>
      </c>
    </row>
    <row r="822" spans="1:9" hidden="1">
      <c r="A822" s="23">
        <v>822</v>
      </c>
      <c r="B822" s="84">
        <v>45756</v>
      </c>
      <c r="C822" s="23" t="s">
        <v>717</v>
      </c>
      <c r="D822" s="23" t="s">
        <v>234</v>
      </c>
      <c r="G822" s="23">
        <v>0</v>
      </c>
      <c r="I822" s="217" t="s">
        <v>2033</v>
      </c>
    </row>
    <row r="823" spans="1:9" hidden="1">
      <c r="A823" s="23">
        <v>823</v>
      </c>
      <c r="B823" s="84">
        <v>45756</v>
      </c>
      <c r="C823" s="23" t="s">
        <v>718</v>
      </c>
      <c r="D823" s="23" t="s">
        <v>391</v>
      </c>
      <c r="G823" s="23">
        <v>0</v>
      </c>
      <c r="I823" s="217" t="s">
        <v>2034</v>
      </c>
    </row>
    <row r="824" spans="1:9" hidden="1">
      <c r="A824" s="23">
        <v>824</v>
      </c>
      <c r="B824" s="84">
        <v>45756</v>
      </c>
      <c r="C824" s="23" t="s">
        <v>718</v>
      </c>
      <c r="D824" s="23" t="s">
        <v>388</v>
      </c>
      <c r="G824" s="23">
        <v>0</v>
      </c>
      <c r="I824" s="217" t="s">
        <v>2035</v>
      </c>
    </row>
    <row r="825" spans="1:9" hidden="1">
      <c r="A825" s="23">
        <v>825</v>
      </c>
      <c r="B825" s="84">
        <v>45756</v>
      </c>
      <c r="C825" s="23" t="s">
        <v>719</v>
      </c>
      <c r="D825" s="23" t="s">
        <v>395</v>
      </c>
      <c r="G825" s="23">
        <v>0</v>
      </c>
      <c r="I825" s="217" t="s">
        <v>2036</v>
      </c>
    </row>
    <row r="826" spans="1:9" hidden="1">
      <c r="A826" s="23">
        <v>826</v>
      </c>
      <c r="B826" s="84">
        <v>45756</v>
      </c>
      <c r="C826" s="23" t="s">
        <v>719</v>
      </c>
      <c r="D826" s="23" t="s">
        <v>404</v>
      </c>
      <c r="G826" s="23">
        <v>0</v>
      </c>
      <c r="I826" s="217" t="s">
        <v>2037</v>
      </c>
    </row>
    <row r="827" spans="1:9" ht="27.6">
      <c r="A827" s="23">
        <v>827</v>
      </c>
      <c r="B827" s="84">
        <v>45756</v>
      </c>
      <c r="C827" s="23" t="s">
        <v>591</v>
      </c>
      <c r="D827" s="23" t="s">
        <v>174</v>
      </c>
      <c r="G827" s="23">
        <v>1</v>
      </c>
      <c r="H827" s="94" t="s">
        <v>722</v>
      </c>
      <c r="I827" s="217" t="s">
        <v>2038</v>
      </c>
    </row>
    <row r="828" spans="1:9">
      <c r="A828" s="23">
        <v>828</v>
      </c>
      <c r="B828" s="84">
        <v>45756</v>
      </c>
      <c r="C828" s="23" t="s">
        <v>720</v>
      </c>
      <c r="D828" s="23" t="s">
        <v>177</v>
      </c>
      <c r="G828" s="23">
        <v>0</v>
      </c>
      <c r="I828" s="217" t="s">
        <v>2039</v>
      </c>
    </row>
    <row r="829" spans="1:9" hidden="1">
      <c r="A829" s="23">
        <v>829</v>
      </c>
      <c r="B829" s="84">
        <v>45756</v>
      </c>
      <c r="C829" s="23" t="s">
        <v>691</v>
      </c>
      <c r="D829" s="23" t="s">
        <v>335</v>
      </c>
      <c r="G829" s="23">
        <v>0</v>
      </c>
      <c r="I829" s="217" t="s">
        <v>2040</v>
      </c>
    </row>
    <row r="830" spans="1:9" hidden="1">
      <c r="A830" s="23">
        <v>830</v>
      </c>
      <c r="B830" s="84">
        <v>45756</v>
      </c>
      <c r="C830" s="23" t="s">
        <v>233</v>
      </c>
      <c r="D830" s="23" t="s">
        <v>186</v>
      </c>
      <c r="G830" s="23">
        <v>0</v>
      </c>
      <c r="I830" s="217" t="s">
        <v>2041</v>
      </c>
    </row>
    <row r="831" spans="1:9" hidden="1">
      <c r="A831" s="23">
        <v>831</v>
      </c>
      <c r="B831" s="84">
        <v>45756</v>
      </c>
      <c r="C831" s="23" t="s">
        <v>723</v>
      </c>
      <c r="D831" s="23" t="s">
        <v>403</v>
      </c>
      <c r="G831" s="23">
        <v>0.7</v>
      </c>
      <c r="I831" s="217" t="s">
        <v>2042</v>
      </c>
    </row>
    <row r="832" spans="1:9" hidden="1">
      <c r="A832" s="23">
        <v>832</v>
      </c>
      <c r="B832" s="84">
        <v>45756</v>
      </c>
      <c r="C832" s="23" t="s">
        <v>725</v>
      </c>
      <c r="D832" s="23" t="s">
        <v>245</v>
      </c>
      <c r="G832" s="23">
        <v>0.7</v>
      </c>
      <c r="I832" s="217" t="s">
        <v>2043</v>
      </c>
    </row>
    <row r="833" spans="1:9" hidden="1">
      <c r="A833" s="23">
        <v>833</v>
      </c>
      <c r="B833" s="84">
        <v>45756</v>
      </c>
      <c r="C833" s="23" t="s">
        <v>726</v>
      </c>
      <c r="D833" s="23" t="s">
        <v>226</v>
      </c>
      <c r="G833" s="23">
        <v>0.7</v>
      </c>
      <c r="I833" s="217" t="s">
        <v>2044</v>
      </c>
    </row>
    <row r="834" spans="1:9" hidden="1">
      <c r="A834" s="23">
        <v>834</v>
      </c>
      <c r="B834" s="84">
        <v>45756</v>
      </c>
      <c r="C834" s="23" t="s">
        <v>728</v>
      </c>
      <c r="D834" s="23" t="s">
        <v>229</v>
      </c>
      <c r="G834" s="23">
        <v>0.7</v>
      </c>
      <c r="I834" s="217" t="s">
        <v>2045</v>
      </c>
    </row>
    <row r="835" spans="1:9" hidden="1">
      <c r="A835" s="23">
        <v>836</v>
      </c>
      <c r="B835" s="84">
        <v>45756</v>
      </c>
      <c r="C835" s="23" t="s">
        <v>246</v>
      </c>
      <c r="D835" s="23" t="s">
        <v>232</v>
      </c>
      <c r="G835" s="23">
        <v>0.7</v>
      </c>
      <c r="I835" s="217" t="s">
        <v>2046</v>
      </c>
    </row>
    <row r="836" spans="1:9">
      <c r="A836" s="23">
        <v>837</v>
      </c>
      <c r="B836" s="84">
        <v>45756</v>
      </c>
      <c r="C836" s="23" t="s">
        <v>235</v>
      </c>
      <c r="D836" s="23" t="s">
        <v>248</v>
      </c>
      <c r="G836" s="23">
        <v>1</v>
      </c>
      <c r="I836" s="217" t="s">
        <v>2047</v>
      </c>
    </row>
    <row r="837" spans="1:9" hidden="1">
      <c r="A837" s="23">
        <v>838</v>
      </c>
      <c r="B837" s="84">
        <v>45756</v>
      </c>
      <c r="C837" s="23" t="s">
        <v>732</v>
      </c>
      <c r="D837" s="23" t="s">
        <v>234</v>
      </c>
      <c r="G837" s="23">
        <v>0.7</v>
      </c>
      <c r="I837" s="217" t="s">
        <v>2048</v>
      </c>
    </row>
    <row r="838" spans="1:9" hidden="1">
      <c r="A838" s="23">
        <v>838</v>
      </c>
      <c r="B838" s="84">
        <v>45756</v>
      </c>
      <c r="C838" s="23" t="s">
        <v>724</v>
      </c>
      <c r="D838" s="23" t="s">
        <v>403</v>
      </c>
      <c r="G838" s="23">
        <v>0</v>
      </c>
      <c r="I838" s="217" t="s">
        <v>2049</v>
      </c>
    </row>
    <row r="839" spans="1:9" hidden="1">
      <c r="A839" s="23">
        <v>839</v>
      </c>
      <c r="B839" s="84">
        <v>45756</v>
      </c>
      <c r="C839" s="23" t="s">
        <v>451</v>
      </c>
      <c r="D839" s="23" t="s">
        <v>245</v>
      </c>
      <c r="G839" s="23">
        <v>0</v>
      </c>
      <c r="I839" s="217" t="s">
        <v>2050</v>
      </c>
    </row>
    <row r="840" spans="1:9" hidden="1">
      <c r="A840" s="23">
        <v>840</v>
      </c>
      <c r="B840" s="84">
        <v>45756</v>
      </c>
      <c r="C840" s="23" t="s">
        <v>218</v>
      </c>
      <c r="D840" s="23" t="s">
        <v>211</v>
      </c>
      <c r="G840" s="23">
        <v>0.5</v>
      </c>
      <c r="I840" s="217" t="s">
        <v>2051</v>
      </c>
    </row>
    <row r="841" spans="1:9" hidden="1">
      <c r="A841" s="23">
        <v>841</v>
      </c>
      <c r="B841" s="84">
        <v>45756</v>
      </c>
      <c r="C841" s="23" t="s">
        <v>213</v>
      </c>
      <c r="D841" s="23" t="s">
        <v>214</v>
      </c>
      <c r="G841" s="23">
        <v>0</v>
      </c>
      <c r="I841" s="217" t="s">
        <v>2052</v>
      </c>
    </row>
    <row r="842" spans="1:9" hidden="1">
      <c r="A842" s="23">
        <v>842</v>
      </c>
      <c r="B842" s="84">
        <v>45756</v>
      </c>
      <c r="C842" s="23" t="s">
        <v>727</v>
      </c>
      <c r="D842" s="23" t="s">
        <v>226</v>
      </c>
      <c r="G842" s="23">
        <v>0</v>
      </c>
      <c r="I842" s="217" t="s">
        <v>2053</v>
      </c>
    </row>
    <row r="843" spans="1:9" hidden="1">
      <c r="A843" s="23">
        <v>843</v>
      </c>
      <c r="B843" s="84">
        <v>45756</v>
      </c>
      <c r="C843" s="23" t="s">
        <v>729</v>
      </c>
      <c r="D843" s="23" t="s">
        <v>229</v>
      </c>
      <c r="G843" s="23">
        <v>0</v>
      </c>
      <c r="I843" s="217" t="s">
        <v>2054</v>
      </c>
    </row>
    <row r="844" spans="1:9" hidden="1">
      <c r="A844" s="23">
        <v>844</v>
      </c>
      <c r="B844" s="84">
        <v>45756</v>
      </c>
      <c r="C844" s="23" t="s">
        <v>730</v>
      </c>
      <c r="D844" s="23" t="s">
        <v>232</v>
      </c>
      <c r="G844" s="23">
        <v>0</v>
      </c>
      <c r="I844" s="217" t="s">
        <v>2055</v>
      </c>
    </row>
    <row r="845" spans="1:9" hidden="1">
      <c r="A845" s="23">
        <v>845</v>
      </c>
      <c r="B845" s="84">
        <v>45756</v>
      </c>
      <c r="C845" s="23" t="s">
        <v>733</v>
      </c>
      <c r="D845" s="23" t="s">
        <v>234</v>
      </c>
      <c r="G845" s="23">
        <v>0</v>
      </c>
      <c r="I845" s="217" t="s">
        <v>2056</v>
      </c>
    </row>
    <row r="846" spans="1:9" hidden="1">
      <c r="A846" s="23">
        <v>846</v>
      </c>
      <c r="B846" s="84">
        <v>45756</v>
      </c>
      <c r="C846" s="23" t="s">
        <v>517</v>
      </c>
      <c r="D846" s="23" t="s">
        <v>192</v>
      </c>
      <c r="G846" s="23">
        <v>0</v>
      </c>
      <c r="I846" s="217" t="s">
        <v>2057</v>
      </c>
    </row>
    <row r="847" spans="1:9" hidden="1">
      <c r="A847" s="23">
        <v>847</v>
      </c>
      <c r="B847" s="84">
        <v>45756</v>
      </c>
      <c r="C847" s="23" t="s">
        <v>517</v>
      </c>
      <c r="D847" s="23" t="s">
        <v>192</v>
      </c>
      <c r="G847" s="23" t="s">
        <v>9</v>
      </c>
      <c r="H847" s="23" t="s">
        <v>2058</v>
      </c>
      <c r="I847" s="217" t="s">
        <v>1294</v>
      </c>
    </row>
    <row r="848" spans="1:9" hidden="1">
      <c r="A848" s="23">
        <v>848</v>
      </c>
      <c r="B848" s="84">
        <v>45756</v>
      </c>
      <c r="C848" s="23" t="s">
        <v>517</v>
      </c>
      <c r="D848" s="23" t="s">
        <v>226</v>
      </c>
      <c r="G848" s="23">
        <v>0.7</v>
      </c>
      <c r="I848" s="217" t="s">
        <v>2059</v>
      </c>
    </row>
    <row r="849" spans="1:9" hidden="1">
      <c r="A849" s="23">
        <v>849</v>
      </c>
      <c r="B849" s="84">
        <v>45756</v>
      </c>
      <c r="C849" s="23" t="s">
        <v>517</v>
      </c>
      <c r="D849" s="23" t="s">
        <v>245</v>
      </c>
      <c r="G849" s="23">
        <v>0.7</v>
      </c>
      <c r="I849" s="217" t="s">
        <v>2060</v>
      </c>
    </row>
    <row r="850" spans="1:9" hidden="1">
      <c r="A850" s="23">
        <v>850</v>
      </c>
      <c r="B850" s="84">
        <v>45756</v>
      </c>
      <c r="C850" s="23" t="s">
        <v>737</v>
      </c>
      <c r="D850" s="23" t="s">
        <v>186</v>
      </c>
      <c r="G850" s="23">
        <v>3.8</v>
      </c>
      <c r="I850" s="217" t="s">
        <v>2061</v>
      </c>
    </row>
    <row r="851" spans="1:9" hidden="1">
      <c r="A851" s="23">
        <v>851</v>
      </c>
      <c r="B851" s="84">
        <v>45756</v>
      </c>
      <c r="C851" s="23" t="s">
        <v>736</v>
      </c>
      <c r="D851" s="23" t="s">
        <v>245</v>
      </c>
      <c r="G851" s="23">
        <v>0</v>
      </c>
      <c r="I851" s="217" t="s">
        <v>2060</v>
      </c>
    </row>
    <row r="852" spans="1:9" hidden="1">
      <c r="A852" s="23">
        <v>852</v>
      </c>
      <c r="B852" s="84">
        <v>45756</v>
      </c>
      <c r="C852" s="23" t="s">
        <v>735</v>
      </c>
      <c r="D852" s="23" t="s">
        <v>226</v>
      </c>
      <c r="G852" s="23">
        <v>0</v>
      </c>
      <c r="I852" s="217" t="s">
        <v>2059</v>
      </c>
    </row>
    <row r="853" spans="1:9" hidden="1">
      <c r="A853" s="23">
        <v>853</v>
      </c>
      <c r="B853" s="84">
        <v>45756</v>
      </c>
      <c r="C853" s="23" t="s">
        <v>739</v>
      </c>
      <c r="D853" s="23" t="s">
        <v>232</v>
      </c>
      <c r="G853" s="23">
        <v>0.7</v>
      </c>
      <c r="I853" s="217" t="s">
        <v>2062</v>
      </c>
    </row>
    <row r="854" spans="1:9" hidden="1">
      <c r="A854" s="23">
        <v>854</v>
      </c>
      <c r="B854" s="84">
        <v>45756</v>
      </c>
      <c r="C854" s="23" t="s">
        <v>740</v>
      </c>
      <c r="D854" s="23" t="s">
        <v>234</v>
      </c>
      <c r="G854" s="23">
        <v>0.7</v>
      </c>
      <c r="I854" s="217" t="s">
        <v>2063</v>
      </c>
    </row>
    <row r="855" spans="1:9" hidden="1">
      <c r="A855" s="23">
        <v>855</v>
      </c>
      <c r="B855" s="84">
        <v>45756</v>
      </c>
      <c r="C855" s="23" t="s">
        <v>741</v>
      </c>
      <c r="D855" s="23" t="s">
        <v>236</v>
      </c>
      <c r="G855" s="23">
        <v>0.7</v>
      </c>
      <c r="I855" s="217" t="s">
        <v>2064</v>
      </c>
    </row>
    <row r="856" spans="1:9" hidden="1">
      <c r="A856" s="23">
        <v>856</v>
      </c>
      <c r="B856" s="84">
        <v>45756</v>
      </c>
      <c r="C856" s="23" t="s">
        <v>461</v>
      </c>
      <c r="D856" s="23" t="s">
        <v>245</v>
      </c>
      <c r="G856" s="23">
        <v>0.7</v>
      </c>
      <c r="I856" s="217" t="s">
        <v>2065</v>
      </c>
    </row>
    <row r="857" spans="1:9" hidden="1">
      <c r="A857" s="23">
        <v>857</v>
      </c>
      <c r="B857" s="84">
        <v>45756</v>
      </c>
      <c r="C857" s="23" t="s">
        <v>604</v>
      </c>
      <c r="D857" s="23" t="s">
        <v>226</v>
      </c>
      <c r="G857" s="23">
        <v>0.7</v>
      </c>
      <c r="I857" s="217" t="s">
        <v>2066</v>
      </c>
    </row>
    <row r="858" spans="1:9" hidden="1">
      <c r="A858" s="23">
        <v>858</v>
      </c>
      <c r="B858" s="84">
        <v>45756</v>
      </c>
      <c r="C858" s="23" t="s">
        <v>744</v>
      </c>
      <c r="D858" s="23" t="s">
        <v>229</v>
      </c>
      <c r="G858" s="23">
        <v>0.7</v>
      </c>
      <c r="I858" s="217" t="s">
        <v>2067</v>
      </c>
    </row>
    <row r="859" spans="1:9" hidden="1">
      <c r="A859" s="23">
        <v>859</v>
      </c>
      <c r="B859" s="84">
        <v>45756</v>
      </c>
      <c r="C859" s="23" t="s">
        <v>550</v>
      </c>
      <c r="D859" s="23" t="s">
        <v>335</v>
      </c>
      <c r="G859" s="23">
        <v>3</v>
      </c>
      <c r="I859" s="217" t="s">
        <v>2068</v>
      </c>
    </row>
    <row r="860" spans="1:9" hidden="1">
      <c r="A860" s="23">
        <v>860</v>
      </c>
      <c r="B860" s="84">
        <v>45756</v>
      </c>
      <c r="C860" s="23" t="s">
        <v>743</v>
      </c>
      <c r="D860" s="23" t="s">
        <v>226</v>
      </c>
      <c r="G860" s="23">
        <v>0</v>
      </c>
      <c r="I860" s="217" t="s">
        <v>2066</v>
      </c>
    </row>
    <row r="861" spans="1:9" hidden="1">
      <c r="A861" s="23">
        <v>861</v>
      </c>
      <c r="B861" s="84">
        <v>45756</v>
      </c>
      <c r="C861" s="23" t="s">
        <v>743</v>
      </c>
      <c r="D861" s="23" t="s">
        <v>245</v>
      </c>
      <c r="G861" s="23">
        <v>0</v>
      </c>
      <c r="I861" s="217" t="s">
        <v>2065</v>
      </c>
    </row>
    <row r="862" spans="1:9" hidden="1">
      <c r="A862" s="23">
        <v>862</v>
      </c>
      <c r="B862" s="84">
        <v>45756</v>
      </c>
      <c r="C862" s="23" t="s">
        <v>662</v>
      </c>
      <c r="D862" s="23" t="s">
        <v>229</v>
      </c>
      <c r="G862" s="23">
        <v>0</v>
      </c>
      <c r="I862" s="217" t="s">
        <v>2067</v>
      </c>
    </row>
    <row r="863" spans="1:9" hidden="1">
      <c r="A863" s="23">
        <v>863</v>
      </c>
      <c r="B863" s="84">
        <v>45756</v>
      </c>
      <c r="C863" s="23" t="s">
        <v>745</v>
      </c>
      <c r="D863" s="23" t="s">
        <v>229</v>
      </c>
      <c r="G863" s="23">
        <v>0.7</v>
      </c>
      <c r="I863" s="217" t="s">
        <v>1294</v>
      </c>
    </row>
    <row r="864" spans="1:9" hidden="1">
      <c r="A864" s="23">
        <v>864</v>
      </c>
      <c r="B864" s="84">
        <v>45756</v>
      </c>
      <c r="C864" s="23" t="s">
        <v>603</v>
      </c>
      <c r="D864" s="23" t="s">
        <v>232</v>
      </c>
      <c r="G864" s="23">
        <v>0</v>
      </c>
      <c r="I864" s="217" t="s">
        <v>2062</v>
      </c>
    </row>
    <row r="865" spans="1:9" hidden="1">
      <c r="A865" s="23">
        <v>865</v>
      </c>
      <c r="B865" s="84">
        <v>45756</v>
      </c>
      <c r="C865" s="23" t="s">
        <v>474</v>
      </c>
      <c r="D865" s="23" t="s">
        <v>226</v>
      </c>
      <c r="G865" s="23">
        <v>0.7</v>
      </c>
      <c r="I865" s="217" t="s">
        <v>2069</v>
      </c>
    </row>
    <row r="866" spans="1:9" hidden="1">
      <c r="A866" s="23">
        <v>866</v>
      </c>
      <c r="B866" s="84">
        <v>45756</v>
      </c>
      <c r="C866" s="23" t="s">
        <v>692</v>
      </c>
      <c r="D866" s="23" t="s">
        <v>245</v>
      </c>
      <c r="G866" s="23">
        <v>0.7</v>
      </c>
      <c r="I866" s="217" t="s">
        <v>2070</v>
      </c>
    </row>
    <row r="867" spans="1:9">
      <c r="A867" s="23">
        <v>867</v>
      </c>
      <c r="B867" s="84">
        <v>45756</v>
      </c>
      <c r="C867" s="23" t="s">
        <v>747</v>
      </c>
      <c r="D867" s="23" t="s">
        <v>177</v>
      </c>
      <c r="G867" s="23">
        <v>1.5</v>
      </c>
      <c r="I867" s="217" t="s">
        <v>2071</v>
      </c>
    </row>
    <row r="868" spans="1:9" hidden="1">
      <c r="A868" s="23">
        <v>868</v>
      </c>
      <c r="B868" s="84">
        <v>45756</v>
      </c>
      <c r="C868" s="23" t="s">
        <v>254</v>
      </c>
      <c r="D868" s="23" t="s">
        <v>234</v>
      </c>
      <c r="G868" s="23">
        <v>0</v>
      </c>
      <c r="I868" s="217" t="s">
        <v>2072</v>
      </c>
    </row>
    <row r="869" spans="1:9" hidden="1">
      <c r="A869" s="23">
        <v>869</v>
      </c>
      <c r="B869" s="84">
        <v>45756</v>
      </c>
      <c r="C869" s="23" t="s">
        <v>742</v>
      </c>
      <c r="D869" s="23" t="s">
        <v>236</v>
      </c>
      <c r="G869" s="23">
        <v>0</v>
      </c>
      <c r="I869" s="217" t="s">
        <v>2073</v>
      </c>
    </row>
    <row r="870" spans="1:9" hidden="1">
      <c r="A870" s="23">
        <v>870</v>
      </c>
      <c r="B870" s="84">
        <v>45756</v>
      </c>
      <c r="C870" s="23" t="s">
        <v>607</v>
      </c>
      <c r="D870" s="23" t="s">
        <v>245</v>
      </c>
      <c r="G870" s="23">
        <v>0</v>
      </c>
      <c r="I870" s="217" t="s">
        <v>2074</v>
      </c>
    </row>
    <row r="871" spans="1:9" hidden="1">
      <c r="A871" s="23">
        <v>871</v>
      </c>
      <c r="B871" s="84">
        <v>45756</v>
      </c>
      <c r="C871" s="23" t="s">
        <v>746</v>
      </c>
      <c r="D871" s="23" t="s">
        <v>226</v>
      </c>
      <c r="G871" s="23">
        <v>0</v>
      </c>
      <c r="I871" s="217" t="s">
        <v>2075</v>
      </c>
    </row>
    <row r="872" spans="1:9" hidden="1">
      <c r="A872" s="23">
        <v>872</v>
      </c>
      <c r="B872" s="84">
        <v>45756</v>
      </c>
      <c r="C872" s="23" t="s">
        <v>557</v>
      </c>
      <c r="D872" s="23" t="s">
        <v>229</v>
      </c>
      <c r="G872" s="23">
        <v>0</v>
      </c>
      <c r="I872" s="217" t="s">
        <v>2076</v>
      </c>
    </row>
    <row r="873" spans="1:9" hidden="1">
      <c r="A873" s="23">
        <v>873</v>
      </c>
      <c r="B873" s="84">
        <v>45756</v>
      </c>
      <c r="C873" s="23" t="s">
        <v>489</v>
      </c>
      <c r="D873" s="23" t="s">
        <v>232</v>
      </c>
      <c r="G873" s="23">
        <v>0.7</v>
      </c>
      <c r="I873" s="217" t="s">
        <v>2077</v>
      </c>
    </row>
    <row r="874" spans="1:9" hidden="1">
      <c r="A874" s="23">
        <v>874</v>
      </c>
      <c r="B874" s="84">
        <v>45756</v>
      </c>
      <c r="C874" s="23" t="s">
        <v>750</v>
      </c>
      <c r="D874" s="23" t="s">
        <v>234</v>
      </c>
      <c r="G874" s="23">
        <v>0.7</v>
      </c>
      <c r="I874" s="217" t="s">
        <v>2078</v>
      </c>
    </row>
    <row r="875" spans="1:9" hidden="1">
      <c r="A875" s="23">
        <v>875</v>
      </c>
      <c r="B875" s="84">
        <v>45756</v>
      </c>
      <c r="C875" s="23" t="s">
        <v>749</v>
      </c>
      <c r="D875" s="23" t="s">
        <v>232</v>
      </c>
      <c r="G875" s="23">
        <v>0</v>
      </c>
      <c r="I875" s="217" t="s">
        <v>2079</v>
      </c>
    </row>
    <row r="876" spans="1:9" hidden="1">
      <c r="A876" s="23">
        <v>876</v>
      </c>
      <c r="B876" s="84">
        <v>45756</v>
      </c>
      <c r="C876" s="23" t="s">
        <v>274</v>
      </c>
      <c r="D876" s="23" t="s">
        <v>214</v>
      </c>
      <c r="G876" s="23">
        <v>0.68</v>
      </c>
      <c r="I876" s="217" t="s">
        <v>2080</v>
      </c>
    </row>
    <row r="877" spans="1:9" hidden="1">
      <c r="A877" s="23">
        <v>877</v>
      </c>
      <c r="B877" s="84">
        <v>45756</v>
      </c>
      <c r="C877" s="23" t="s">
        <v>306</v>
      </c>
      <c r="D877" s="23" t="s">
        <v>220</v>
      </c>
      <c r="G877" s="23">
        <v>0</v>
      </c>
      <c r="I877" s="217" t="s">
        <v>2081</v>
      </c>
    </row>
    <row r="878" spans="1:9" hidden="1">
      <c r="A878" s="23">
        <v>878</v>
      </c>
      <c r="B878" s="84">
        <v>45756</v>
      </c>
      <c r="C878" s="23" t="s">
        <v>734</v>
      </c>
      <c r="D878" s="23" t="s">
        <v>192</v>
      </c>
      <c r="G878" s="23">
        <v>0</v>
      </c>
      <c r="I878" s="217" t="s">
        <v>2082</v>
      </c>
    </row>
    <row r="879" spans="1:9" hidden="1">
      <c r="A879" s="23">
        <v>879</v>
      </c>
      <c r="B879" s="84">
        <v>45756</v>
      </c>
      <c r="C879" s="23" t="s">
        <v>465</v>
      </c>
      <c r="D879" s="23" t="s">
        <v>192</v>
      </c>
      <c r="G879" s="23">
        <v>3.8</v>
      </c>
      <c r="I879" s="217" t="s">
        <v>1294</v>
      </c>
    </row>
    <row r="880" spans="1:9" hidden="1">
      <c r="A880" s="23">
        <v>880</v>
      </c>
      <c r="B880" s="84">
        <v>45756</v>
      </c>
      <c r="C880" s="23" t="s">
        <v>698</v>
      </c>
      <c r="D880" s="23" t="s">
        <v>234</v>
      </c>
      <c r="G880" s="23">
        <v>0</v>
      </c>
      <c r="I880" s="217" t="s">
        <v>2083</v>
      </c>
    </row>
    <row r="881" spans="1:9" hidden="1">
      <c r="A881" s="23">
        <v>881</v>
      </c>
      <c r="B881" s="84">
        <v>45756</v>
      </c>
      <c r="C881" s="23" t="s">
        <v>698</v>
      </c>
      <c r="D881" s="23" t="s">
        <v>183</v>
      </c>
      <c r="G881" s="23">
        <v>0</v>
      </c>
      <c r="I881" s="217" t="s">
        <v>2084</v>
      </c>
    </row>
    <row r="882" spans="1:9" hidden="1">
      <c r="A882" s="23">
        <v>882</v>
      </c>
      <c r="B882" s="84">
        <v>45756</v>
      </c>
      <c r="C882" s="23" t="s">
        <v>751</v>
      </c>
      <c r="D882" s="23" t="s">
        <v>183</v>
      </c>
      <c r="G882" s="23">
        <v>1.5</v>
      </c>
      <c r="I882" s="217" t="s">
        <v>1294</v>
      </c>
    </row>
    <row r="883" spans="1:9" hidden="1">
      <c r="A883" s="23">
        <v>883</v>
      </c>
      <c r="B883" s="84">
        <v>45756</v>
      </c>
      <c r="C883" s="23" t="s">
        <v>332</v>
      </c>
      <c r="D883" s="23" t="s">
        <v>183</v>
      </c>
      <c r="G883" s="23">
        <v>0</v>
      </c>
      <c r="I883" s="217" t="s">
        <v>2085</v>
      </c>
    </row>
    <row r="884" spans="1:9">
      <c r="A884" s="23">
        <v>884</v>
      </c>
      <c r="B884" s="84">
        <v>45756</v>
      </c>
      <c r="C884" s="23" t="s">
        <v>731</v>
      </c>
      <c r="D884" s="23" t="s">
        <v>248</v>
      </c>
      <c r="G884" s="23">
        <v>0</v>
      </c>
      <c r="I884" s="217" t="s">
        <v>2086</v>
      </c>
    </row>
    <row r="885" spans="1:9" hidden="1">
      <c r="A885" s="23">
        <v>885</v>
      </c>
      <c r="B885" s="84">
        <v>45756</v>
      </c>
      <c r="C885" s="23" t="s">
        <v>752</v>
      </c>
      <c r="D885" s="23" t="s">
        <v>183</v>
      </c>
      <c r="G885" s="23">
        <v>1.5</v>
      </c>
      <c r="I885" s="217" t="s">
        <v>2087</v>
      </c>
    </row>
    <row r="886" spans="1:9" hidden="1">
      <c r="A886" s="23">
        <v>886</v>
      </c>
      <c r="B886" s="84">
        <v>45756</v>
      </c>
      <c r="C886" s="23" t="s">
        <v>753</v>
      </c>
      <c r="D886" s="23" t="s">
        <v>236</v>
      </c>
      <c r="G886" s="23">
        <v>0.7</v>
      </c>
      <c r="I886" s="217" t="s">
        <v>2088</v>
      </c>
    </row>
    <row r="887" spans="1:9" hidden="1">
      <c r="A887" s="23">
        <v>887</v>
      </c>
      <c r="B887" s="84">
        <v>45756</v>
      </c>
      <c r="C887" s="23" t="s">
        <v>754</v>
      </c>
      <c r="D887" s="23" t="s">
        <v>239</v>
      </c>
      <c r="G887" s="23">
        <v>0.7</v>
      </c>
      <c r="I887" s="217" t="s">
        <v>2089</v>
      </c>
    </row>
    <row r="888" spans="1:9" hidden="1">
      <c r="A888" s="23">
        <v>888</v>
      </c>
      <c r="B888" s="84">
        <v>45756</v>
      </c>
      <c r="C888" s="23" t="s">
        <v>212</v>
      </c>
      <c r="D888" s="23" t="s">
        <v>220</v>
      </c>
      <c r="G888" s="23">
        <v>0.59</v>
      </c>
      <c r="I888" s="217" t="s">
        <v>2090</v>
      </c>
    </row>
    <row r="889" spans="1:9" hidden="1">
      <c r="A889" s="23">
        <v>889</v>
      </c>
      <c r="B889" s="84">
        <v>45756</v>
      </c>
      <c r="C889" s="23" t="s">
        <v>222</v>
      </c>
      <c r="D889" s="23" t="s">
        <v>211</v>
      </c>
      <c r="G889" s="23">
        <v>0</v>
      </c>
      <c r="I889" s="217" t="s">
        <v>2091</v>
      </c>
    </row>
    <row r="890" spans="1:9" hidden="1">
      <c r="A890" s="23">
        <v>890</v>
      </c>
      <c r="B890" s="84">
        <v>45756</v>
      </c>
      <c r="C890" s="23" t="s">
        <v>212</v>
      </c>
      <c r="D890" s="23" t="s">
        <v>217</v>
      </c>
      <c r="G890" s="23">
        <v>0.83</v>
      </c>
      <c r="I890" s="217" t="s">
        <v>2092</v>
      </c>
    </row>
    <row r="891" spans="1:9" hidden="1">
      <c r="A891" s="23">
        <v>891</v>
      </c>
      <c r="B891" s="84">
        <v>45756</v>
      </c>
      <c r="C891" s="23" t="s">
        <v>222</v>
      </c>
      <c r="D891" s="23" t="s">
        <v>225</v>
      </c>
      <c r="G891" s="23">
        <v>0</v>
      </c>
      <c r="I891" s="217" t="s">
        <v>2093</v>
      </c>
    </row>
    <row r="892" spans="1:9">
      <c r="A892" s="23">
        <v>892</v>
      </c>
      <c r="B892" s="84">
        <v>45756</v>
      </c>
      <c r="C892" s="23" t="s">
        <v>756</v>
      </c>
      <c r="D892" s="23" t="s">
        <v>248</v>
      </c>
      <c r="G892" s="23">
        <v>1.5</v>
      </c>
      <c r="H892" s="23" t="s">
        <v>354</v>
      </c>
      <c r="I892" s="217" t="s">
        <v>2094</v>
      </c>
    </row>
    <row r="893" spans="1:9" hidden="1">
      <c r="A893" s="23">
        <v>893</v>
      </c>
      <c r="B893" s="84">
        <v>45756</v>
      </c>
      <c r="C893" s="23" t="s">
        <v>759</v>
      </c>
      <c r="D893" s="23" t="s">
        <v>245</v>
      </c>
      <c r="G893" s="23">
        <v>0.7</v>
      </c>
      <c r="I893" s="217" t="s">
        <v>2095</v>
      </c>
    </row>
    <row r="894" spans="1:9" hidden="1">
      <c r="A894" s="23">
        <v>894</v>
      </c>
      <c r="B894" s="84">
        <v>45756</v>
      </c>
      <c r="C894" s="23" t="s">
        <v>341</v>
      </c>
      <c r="D894" s="23" t="s">
        <v>226</v>
      </c>
      <c r="G894" s="23">
        <v>0.7</v>
      </c>
      <c r="I894" s="217" t="s">
        <v>2096</v>
      </c>
    </row>
    <row r="895" spans="1:9" hidden="1">
      <c r="A895" s="23">
        <v>895</v>
      </c>
      <c r="B895" s="84">
        <v>45756</v>
      </c>
      <c r="C895" s="23" t="s">
        <v>762</v>
      </c>
      <c r="D895" s="23" t="s">
        <v>229</v>
      </c>
      <c r="G895" s="23">
        <v>0.7</v>
      </c>
      <c r="I895" s="217" t="s">
        <v>2097</v>
      </c>
    </row>
    <row r="896" spans="1:9" hidden="1">
      <c r="A896" s="23">
        <v>896</v>
      </c>
      <c r="B896" s="84">
        <v>45756</v>
      </c>
      <c r="C896" s="23" t="s">
        <v>535</v>
      </c>
      <c r="D896" s="23" t="s">
        <v>232</v>
      </c>
      <c r="G896" s="23">
        <v>0.7</v>
      </c>
      <c r="I896" s="217" t="s">
        <v>2098</v>
      </c>
    </row>
    <row r="897" spans="1:9" hidden="1">
      <c r="A897" s="23">
        <v>897</v>
      </c>
      <c r="B897" s="84">
        <v>45756</v>
      </c>
      <c r="C897" s="23" t="s">
        <v>206</v>
      </c>
      <c r="D897" s="23" t="s">
        <v>236</v>
      </c>
      <c r="G897" s="23">
        <v>0</v>
      </c>
      <c r="I897" s="217" t="s">
        <v>2099</v>
      </c>
    </row>
    <row r="898" spans="1:9" hidden="1">
      <c r="A898" s="23">
        <v>898</v>
      </c>
      <c r="B898" s="84">
        <v>45756</v>
      </c>
      <c r="C898" s="23" t="s">
        <v>635</v>
      </c>
      <c r="D898" s="23" t="s">
        <v>239</v>
      </c>
      <c r="G898" s="23">
        <v>0</v>
      </c>
      <c r="I898" s="217" t="s">
        <v>2100</v>
      </c>
    </row>
    <row r="899" spans="1:9" hidden="1">
      <c r="A899" s="23">
        <v>899</v>
      </c>
      <c r="B899" s="84">
        <v>45756</v>
      </c>
      <c r="C899" s="23" t="s">
        <v>430</v>
      </c>
      <c r="D899" s="23" t="s">
        <v>234</v>
      </c>
      <c r="G899" s="23">
        <v>0.72499999999999998</v>
      </c>
      <c r="I899" s="217" t="s">
        <v>2101</v>
      </c>
    </row>
    <row r="900" spans="1:9" hidden="1">
      <c r="A900" s="23">
        <v>900</v>
      </c>
      <c r="B900" s="84">
        <v>45756</v>
      </c>
      <c r="C900" s="23" t="s">
        <v>430</v>
      </c>
      <c r="D900" s="23" t="s">
        <v>236</v>
      </c>
      <c r="G900" s="23">
        <v>0.72499999999999998</v>
      </c>
      <c r="I900" s="217" t="s">
        <v>1294</v>
      </c>
    </row>
    <row r="901" spans="1:9">
      <c r="A901" s="23">
        <v>901</v>
      </c>
      <c r="B901" s="84">
        <v>45756</v>
      </c>
      <c r="C901" s="23" t="s">
        <v>534</v>
      </c>
      <c r="D901" s="23" t="s">
        <v>174</v>
      </c>
      <c r="G901" s="23">
        <v>0</v>
      </c>
      <c r="I901" s="217" t="s">
        <v>2102</v>
      </c>
    </row>
    <row r="902" spans="1:9" hidden="1">
      <c r="A902" s="23">
        <v>902</v>
      </c>
      <c r="B902" s="84">
        <v>45756</v>
      </c>
      <c r="C902" s="23" t="s">
        <v>760</v>
      </c>
      <c r="D902" s="23" t="s">
        <v>245</v>
      </c>
      <c r="G902" s="23">
        <v>0</v>
      </c>
      <c r="I902" s="217" t="s">
        <v>2103</v>
      </c>
    </row>
    <row r="903" spans="1:9" hidden="1">
      <c r="A903" s="23">
        <v>903</v>
      </c>
      <c r="B903" s="84">
        <v>45756</v>
      </c>
      <c r="C903" s="23" t="s">
        <v>761</v>
      </c>
      <c r="D903" s="23" t="s">
        <v>226</v>
      </c>
      <c r="G903" s="23">
        <v>0</v>
      </c>
      <c r="I903" s="217" t="s">
        <v>2104</v>
      </c>
    </row>
    <row r="904" spans="1:9" hidden="1">
      <c r="A904" s="23">
        <v>904</v>
      </c>
      <c r="B904" s="84">
        <v>45756</v>
      </c>
      <c r="C904" s="23" t="s">
        <v>763</v>
      </c>
      <c r="D904" s="23" t="s">
        <v>229</v>
      </c>
      <c r="G904" s="23">
        <v>0</v>
      </c>
      <c r="I904" s="217" t="s">
        <v>2105</v>
      </c>
    </row>
    <row r="905" spans="1:9" hidden="1">
      <c r="A905" s="23">
        <v>905</v>
      </c>
      <c r="B905" s="84">
        <v>45756</v>
      </c>
      <c r="C905" s="23" t="s">
        <v>419</v>
      </c>
      <c r="D905" s="23" t="s">
        <v>232</v>
      </c>
      <c r="G905" s="23">
        <v>0</v>
      </c>
      <c r="I905" s="217" t="s">
        <v>2106</v>
      </c>
    </row>
    <row r="906" spans="1:9" hidden="1">
      <c r="A906" s="23">
        <v>906</v>
      </c>
      <c r="B906" s="84">
        <v>45756</v>
      </c>
      <c r="C906" s="23" t="s">
        <v>765</v>
      </c>
      <c r="D906" s="23" t="s">
        <v>234</v>
      </c>
      <c r="G906" s="23">
        <v>0</v>
      </c>
      <c r="I906" s="217" t="s">
        <v>2107</v>
      </c>
    </row>
    <row r="907" spans="1:9" hidden="1">
      <c r="A907" s="23">
        <v>907</v>
      </c>
      <c r="B907" s="84">
        <v>45756</v>
      </c>
      <c r="C907" s="23" t="s">
        <v>766</v>
      </c>
      <c r="D907" s="23" t="s">
        <v>236</v>
      </c>
      <c r="G907" s="23">
        <v>0</v>
      </c>
      <c r="I907" s="217" t="s">
        <v>2108</v>
      </c>
    </row>
    <row r="908" spans="1:9" hidden="1">
      <c r="A908" s="23">
        <v>908</v>
      </c>
      <c r="B908" s="84">
        <v>45756</v>
      </c>
      <c r="C908" s="23" t="s">
        <v>537</v>
      </c>
      <c r="D908" s="23" t="s">
        <v>239</v>
      </c>
      <c r="G908" s="23">
        <v>0.7</v>
      </c>
      <c r="I908" s="217" t="s">
        <v>2109</v>
      </c>
    </row>
    <row r="909" spans="1:9" hidden="1">
      <c r="A909" s="23">
        <v>909</v>
      </c>
      <c r="B909" s="84">
        <v>45756</v>
      </c>
      <c r="C909" s="23" t="s">
        <v>674</v>
      </c>
      <c r="D909" s="23" t="s">
        <v>335</v>
      </c>
      <c r="G909" s="23">
        <v>0</v>
      </c>
      <c r="I909" s="217" t="s">
        <v>2110</v>
      </c>
    </row>
    <row r="910" spans="1:9" hidden="1">
      <c r="A910" s="23">
        <v>910</v>
      </c>
      <c r="B910" s="84">
        <v>45756</v>
      </c>
      <c r="C910" s="23" t="s">
        <v>767</v>
      </c>
      <c r="D910" s="23" t="s">
        <v>239</v>
      </c>
      <c r="G910" s="23">
        <v>0</v>
      </c>
      <c r="I910" s="217" t="s">
        <v>2111</v>
      </c>
    </row>
    <row r="911" spans="1:9" hidden="1">
      <c r="A911" s="23">
        <v>911</v>
      </c>
      <c r="B911" s="84">
        <v>45756</v>
      </c>
      <c r="C911" s="23" t="s">
        <v>608</v>
      </c>
      <c r="D911" s="23" t="s">
        <v>183</v>
      </c>
      <c r="G911" s="23">
        <v>0</v>
      </c>
      <c r="I911" s="217" t="s">
        <v>2112</v>
      </c>
    </row>
    <row r="912" spans="1:9" hidden="1">
      <c r="A912" s="23">
        <v>912</v>
      </c>
      <c r="B912" s="84">
        <v>45757</v>
      </c>
      <c r="C912" s="23" t="s">
        <v>223</v>
      </c>
      <c r="D912" s="23" t="s">
        <v>211</v>
      </c>
      <c r="G912" s="23">
        <v>0.53</v>
      </c>
      <c r="I912" s="217" t="s">
        <v>2113</v>
      </c>
    </row>
    <row r="913" spans="1:9" hidden="1">
      <c r="A913" s="23">
        <v>913</v>
      </c>
      <c r="B913" s="84">
        <v>45757</v>
      </c>
      <c r="C913" s="23" t="s">
        <v>216</v>
      </c>
      <c r="D913" s="23" t="s">
        <v>214</v>
      </c>
      <c r="G913" s="23">
        <v>0</v>
      </c>
      <c r="I913" s="217" t="s">
        <v>2114</v>
      </c>
    </row>
    <row r="914" spans="1:9" hidden="1">
      <c r="A914" s="23">
        <v>914</v>
      </c>
      <c r="B914" s="84">
        <v>45757</v>
      </c>
      <c r="C914" s="23" t="s">
        <v>738</v>
      </c>
      <c r="D914" s="23" t="s">
        <v>186</v>
      </c>
      <c r="G914" s="23">
        <v>0</v>
      </c>
      <c r="I914" s="217" t="s">
        <v>2115</v>
      </c>
    </row>
    <row r="915" spans="1:9">
      <c r="A915" s="23">
        <v>915</v>
      </c>
      <c r="B915" s="84">
        <v>45757</v>
      </c>
      <c r="C915" s="23" t="s">
        <v>768</v>
      </c>
      <c r="D915" s="23" t="s">
        <v>174</v>
      </c>
      <c r="G915" s="23">
        <v>1</v>
      </c>
      <c r="I915" s="217" t="s">
        <v>2116</v>
      </c>
    </row>
    <row r="916" spans="1:9">
      <c r="A916" s="23">
        <v>916</v>
      </c>
      <c r="B916" s="84">
        <v>45757</v>
      </c>
      <c r="C916" s="23" t="s">
        <v>230</v>
      </c>
      <c r="D916" s="23" t="s">
        <v>180</v>
      </c>
      <c r="G916" s="23">
        <v>0</v>
      </c>
      <c r="I916" s="217" t="s">
        <v>2117</v>
      </c>
    </row>
    <row r="917" spans="1:9" hidden="1">
      <c r="A917" s="23">
        <v>917</v>
      </c>
      <c r="B917" s="84">
        <v>45757</v>
      </c>
      <c r="C917" s="23" t="s">
        <v>681</v>
      </c>
      <c r="D917" s="23" t="s">
        <v>242</v>
      </c>
      <c r="G917" s="23">
        <v>0</v>
      </c>
      <c r="I917" s="217" t="s">
        <v>2118</v>
      </c>
    </row>
    <row r="918" spans="1:9" hidden="1">
      <c r="A918" s="23">
        <v>918</v>
      </c>
      <c r="B918" s="84">
        <v>45757</v>
      </c>
      <c r="C918" s="23" t="s">
        <v>593</v>
      </c>
      <c r="D918" s="23" t="s">
        <v>245</v>
      </c>
      <c r="G918" s="23">
        <v>0.7</v>
      </c>
      <c r="I918" s="217" t="s">
        <v>2119</v>
      </c>
    </row>
    <row r="919" spans="1:9" hidden="1">
      <c r="A919" s="23">
        <v>919</v>
      </c>
      <c r="B919" s="84">
        <v>45757</v>
      </c>
      <c r="C919" s="23" t="s">
        <v>769</v>
      </c>
      <c r="D919" s="23" t="s">
        <v>245</v>
      </c>
      <c r="G919" s="23">
        <v>0</v>
      </c>
      <c r="I919" s="217" t="s">
        <v>2120</v>
      </c>
    </row>
    <row r="920" spans="1:9">
      <c r="A920" s="23">
        <v>920</v>
      </c>
      <c r="B920" s="84">
        <v>45757</v>
      </c>
      <c r="C920" s="23" t="s">
        <v>770</v>
      </c>
      <c r="D920" s="23" t="s">
        <v>180</v>
      </c>
      <c r="G920" s="23">
        <v>1.5</v>
      </c>
      <c r="H920" s="23" t="s">
        <v>2121</v>
      </c>
      <c r="I920" s="217" t="s">
        <v>2122</v>
      </c>
    </row>
    <row r="921" spans="1:9">
      <c r="A921" s="23">
        <v>921</v>
      </c>
      <c r="B921" s="84">
        <v>45757</v>
      </c>
      <c r="C921" s="23" t="s">
        <v>748</v>
      </c>
      <c r="D921" s="23" t="s">
        <v>177</v>
      </c>
      <c r="G921" s="23">
        <v>0</v>
      </c>
      <c r="I921" s="217" t="s">
        <v>2123</v>
      </c>
    </row>
    <row r="922" spans="1:9" hidden="1">
      <c r="A922" s="23">
        <v>922</v>
      </c>
      <c r="B922" s="84">
        <v>45757</v>
      </c>
      <c r="C922" s="23" t="s">
        <v>772</v>
      </c>
      <c r="D922" s="23" t="s">
        <v>226</v>
      </c>
      <c r="G922" s="23">
        <v>0.7</v>
      </c>
      <c r="I922" s="217" t="s">
        <v>2124</v>
      </c>
    </row>
    <row r="923" spans="1:9" hidden="1">
      <c r="A923" s="23">
        <v>923</v>
      </c>
      <c r="B923" s="84">
        <v>45757</v>
      </c>
      <c r="C923" s="23" t="s">
        <v>773</v>
      </c>
      <c r="D923" s="23" t="s">
        <v>229</v>
      </c>
      <c r="G923" s="23">
        <v>0.7</v>
      </c>
      <c r="I923" s="217" t="s">
        <v>2125</v>
      </c>
    </row>
    <row r="924" spans="1:9" hidden="1">
      <c r="A924" s="23">
        <v>924</v>
      </c>
      <c r="B924" s="84">
        <v>45757</v>
      </c>
      <c r="C924" s="23" t="s">
        <v>649</v>
      </c>
      <c r="D924" s="23" t="s">
        <v>232</v>
      </c>
      <c r="G924" s="23">
        <v>0.7</v>
      </c>
      <c r="I924" s="217" t="s">
        <v>2126</v>
      </c>
    </row>
    <row r="925" spans="1:9" hidden="1">
      <c r="A925" s="23">
        <v>925</v>
      </c>
      <c r="B925" s="84">
        <v>45757</v>
      </c>
      <c r="C925" s="23" t="s">
        <v>453</v>
      </c>
      <c r="D925" s="23" t="s">
        <v>234</v>
      </c>
      <c r="G925" s="23">
        <v>0.7</v>
      </c>
      <c r="I925" s="217" t="s">
        <v>2127</v>
      </c>
    </row>
    <row r="926" spans="1:9" hidden="1">
      <c r="A926" s="23">
        <v>926</v>
      </c>
      <c r="B926" s="84">
        <v>45757</v>
      </c>
      <c r="C926" s="23" t="s">
        <v>218</v>
      </c>
      <c r="D926" s="23" t="s">
        <v>242</v>
      </c>
      <c r="G926" s="23">
        <v>3.8</v>
      </c>
      <c r="I926" s="217" t="s">
        <v>2128</v>
      </c>
    </row>
    <row r="927" spans="1:9" hidden="1">
      <c r="A927" s="23">
        <v>927</v>
      </c>
      <c r="B927" s="84">
        <v>45757</v>
      </c>
      <c r="C927" s="23" t="s">
        <v>642</v>
      </c>
      <c r="D927" s="23" t="s">
        <v>226</v>
      </c>
      <c r="G927" s="23">
        <v>0</v>
      </c>
      <c r="I927" s="217" t="s">
        <v>2129</v>
      </c>
    </row>
    <row r="928" spans="1:9" hidden="1">
      <c r="A928" s="23">
        <v>928</v>
      </c>
      <c r="B928" s="84">
        <v>45757</v>
      </c>
      <c r="C928" s="23" t="s">
        <v>218</v>
      </c>
      <c r="D928" s="23" t="s">
        <v>214</v>
      </c>
      <c r="G928" s="23">
        <v>0.5</v>
      </c>
      <c r="I928" s="217" t="s">
        <v>2130</v>
      </c>
    </row>
    <row r="929" spans="1:9" hidden="1">
      <c r="A929" s="23">
        <v>929</v>
      </c>
      <c r="B929" s="84">
        <v>45757</v>
      </c>
      <c r="C929" s="23" t="s">
        <v>213</v>
      </c>
      <c r="D929" s="23" t="s">
        <v>220</v>
      </c>
      <c r="G929" s="23">
        <v>0</v>
      </c>
      <c r="I929" s="217" t="s">
        <v>2131</v>
      </c>
    </row>
    <row r="930" spans="1:9" hidden="1">
      <c r="A930" s="23">
        <v>930</v>
      </c>
      <c r="B930" s="84">
        <v>45757</v>
      </c>
      <c r="C930" s="23" t="s">
        <v>238</v>
      </c>
      <c r="D930" s="23" t="s">
        <v>225</v>
      </c>
      <c r="G930" s="23">
        <v>0.73</v>
      </c>
      <c r="I930" s="217" t="s">
        <v>2132</v>
      </c>
    </row>
    <row r="931" spans="1:9" hidden="1">
      <c r="A931" s="23">
        <v>931</v>
      </c>
      <c r="B931" s="84">
        <v>45757</v>
      </c>
      <c r="C931" s="23" t="s">
        <v>755</v>
      </c>
      <c r="D931" s="23" t="s">
        <v>217</v>
      </c>
      <c r="G931" s="23">
        <v>0</v>
      </c>
      <c r="I931" s="217" t="s">
        <v>2133</v>
      </c>
    </row>
    <row r="932" spans="1:9" hidden="1">
      <c r="A932" s="23">
        <v>932</v>
      </c>
      <c r="B932" s="84">
        <v>45757</v>
      </c>
      <c r="C932" s="23" t="s">
        <v>454</v>
      </c>
      <c r="D932" s="23" t="s">
        <v>229</v>
      </c>
      <c r="G932" s="23">
        <v>0</v>
      </c>
      <c r="I932" s="217" t="s">
        <v>2134</v>
      </c>
    </row>
    <row r="933" spans="1:9" hidden="1">
      <c r="A933" s="23">
        <v>933</v>
      </c>
      <c r="B933" s="84">
        <v>45757</v>
      </c>
      <c r="C933" s="23" t="s">
        <v>652</v>
      </c>
      <c r="D933" s="23" t="s">
        <v>232</v>
      </c>
      <c r="G933" s="23">
        <v>0</v>
      </c>
      <c r="I933" s="217" t="s">
        <v>2135</v>
      </c>
    </row>
    <row r="934" spans="1:9" hidden="1">
      <c r="A934" s="23">
        <v>934</v>
      </c>
      <c r="B934" s="84">
        <v>45757</v>
      </c>
      <c r="C934" s="23" t="s">
        <v>774</v>
      </c>
      <c r="D934" s="23" t="s">
        <v>234</v>
      </c>
      <c r="G934" s="23">
        <v>0</v>
      </c>
      <c r="I934" s="217" t="s">
        <v>2136</v>
      </c>
    </row>
    <row r="935" spans="1:9" hidden="1">
      <c r="A935" s="23">
        <v>935</v>
      </c>
      <c r="B935" s="84">
        <v>45757</v>
      </c>
      <c r="C935" s="23" t="s">
        <v>777</v>
      </c>
      <c r="D935" s="23" t="s">
        <v>186</v>
      </c>
      <c r="G935" s="23">
        <v>3.8</v>
      </c>
      <c r="I935" s="217" t="s">
        <v>2137</v>
      </c>
    </row>
    <row r="936" spans="1:9" hidden="1">
      <c r="A936" s="23">
        <v>936</v>
      </c>
      <c r="B936" s="84">
        <v>45757</v>
      </c>
      <c r="C936" s="23" t="s">
        <v>654</v>
      </c>
      <c r="D936" s="23" t="s">
        <v>236</v>
      </c>
      <c r="G936" s="23">
        <v>0.7</v>
      </c>
      <c r="I936" s="217" t="s">
        <v>2138</v>
      </c>
    </row>
    <row r="937" spans="1:9" hidden="1">
      <c r="A937" s="23">
        <v>937</v>
      </c>
      <c r="B937" s="84">
        <v>45757</v>
      </c>
      <c r="C937" s="23" t="s">
        <v>779</v>
      </c>
      <c r="D937" s="23" t="s">
        <v>239</v>
      </c>
      <c r="G937" s="23">
        <v>0.7</v>
      </c>
      <c r="I937" s="217" t="s">
        <v>2139</v>
      </c>
    </row>
    <row r="938" spans="1:9" hidden="1">
      <c r="A938" s="23">
        <v>938</v>
      </c>
      <c r="B938" s="84">
        <v>45757</v>
      </c>
      <c r="C938" s="23" t="s">
        <v>779</v>
      </c>
      <c r="D938" s="23" t="s">
        <v>245</v>
      </c>
      <c r="G938" s="23">
        <v>0.7</v>
      </c>
      <c r="I938" s="217" t="s">
        <v>2140</v>
      </c>
    </row>
    <row r="939" spans="1:9" hidden="1">
      <c r="A939" s="23">
        <v>939</v>
      </c>
      <c r="B939" s="84">
        <v>45757</v>
      </c>
      <c r="C939" s="23" t="s">
        <v>739</v>
      </c>
      <c r="D939" s="23" t="s">
        <v>183</v>
      </c>
      <c r="G939" s="23">
        <v>2.8</v>
      </c>
      <c r="I939" s="217" t="s">
        <v>2141</v>
      </c>
    </row>
    <row r="940" spans="1:9" hidden="1">
      <c r="A940" s="23">
        <v>940</v>
      </c>
      <c r="B940" s="84">
        <v>45757</v>
      </c>
      <c r="C940" s="23" t="s">
        <v>366</v>
      </c>
      <c r="D940" s="23" t="s">
        <v>335</v>
      </c>
      <c r="G940" s="23">
        <v>2.7</v>
      </c>
      <c r="I940" s="217" t="s">
        <v>2142</v>
      </c>
    </row>
    <row r="941" spans="1:9" hidden="1">
      <c r="A941" s="23">
        <v>941</v>
      </c>
      <c r="B941" s="84">
        <v>45757</v>
      </c>
      <c r="C941" s="23" t="s">
        <v>370</v>
      </c>
      <c r="D941" s="23" t="s">
        <v>236</v>
      </c>
      <c r="G941" s="23">
        <v>0</v>
      </c>
      <c r="I941" s="217" t="s">
        <v>2143</v>
      </c>
    </row>
    <row r="942" spans="1:9" hidden="1">
      <c r="A942" s="23">
        <v>942</v>
      </c>
      <c r="B942" s="84">
        <v>45757</v>
      </c>
      <c r="C942" s="23" t="s">
        <v>260</v>
      </c>
      <c r="D942" s="23" t="s">
        <v>239</v>
      </c>
      <c r="G942" s="23">
        <v>0</v>
      </c>
      <c r="I942" s="217" t="s">
        <v>2139</v>
      </c>
    </row>
    <row r="943" spans="1:9" hidden="1">
      <c r="A943" s="23">
        <v>943</v>
      </c>
      <c r="B943" s="84">
        <v>45757</v>
      </c>
      <c r="C943" s="23" t="s">
        <v>657</v>
      </c>
      <c r="D943" s="23" t="s">
        <v>226</v>
      </c>
      <c r="G943" s="23">
        <v>0.7</v>
      </c>
      <c r="I943" s="217" t="s">
        <v>2144</v>
      </c>
    </row>
    <row r="944" spans="1:9" hidden="1">
      <c r="A944" s="23">
        <v>944</v>
      </c>
      <c r="B944" s="84">
        <v>45757</v>
      </c>
      <c r="C944" s="23" t="s">
        <v>783</v>
      </c>
      <c r="D944" s="23" t="s">
        <v>229</v>
      </c>
      <c r="G944" s="23">
        <v>0.7</v>
      </c>
      <c r="I944" s="217" t="s">
        <v>2145</v>
      </c>
    </row>
    <row r="945" spans="1:9" hidden="1">
      <c r="A945" s="23">
        <v>945</v>
      </c>
      <c r="B945" s="84">
        <v>45757</v>
      </c>
      <c r="C945" s="23" t="s">
        <v>785</v>
      </c>
      <c r="D945" s="23" t="s">
        <v>232</v>
      </c>
      <c r="G945" s="23">
        <v>0.7</v>
      </c>
      <c r="I945" s="217" t="s">
        <v>2146</v>
      </c>
    </row>
    <row r="946" spans="1:9" hidden="1">
      <c r="A946" s="23">
        <v>946</v>
      </c>
      <c r="B946" s="84">
        <v>45757</v>
      </c>
      <c r="C946" s="23" t="s">
        <v>559</v>
      </c>
      <c r="D946" s="23" t="s">
        <v>234</v>
      </c>
      <c r="G946" s="23">
        <v>0.7</v>
      </c>
      <c r="I946" s="217" t="s">
        <v>2147</v>
      </c>
    </row>
    <row r="947" spans="1:9" hidden="1">
      <c r="A947" s="23">
        <v>947</v>
      </c>
      <c r="B947" s="84">
        <v>45757</v>
      </c>
      <c r="C947" s="23" t="s">
        <v>254</v>
      </c>
      <c r="D947" s="23" t="s">
        <v>236</v>
      </c>
      <c r="G947" s="23">
        <v>0.7</v>
      </c>
      <c r="I947" s="217" t="s">
        <v>2148</v>
      </c>
    </row>
    <row r="948" spans="1:9">
      <c r="A948" s="23">
        <v>948</v>
      </c>
      <c r="B948" s="84">
        <v>45757</v>
      </c>
      <c r="C948" s="23" t="s">
        <v>787</v>
      </c>
      <c r="D948" s="23" t="s">
        <v>177</v>
      </c>
      <c r="G948" s="23">
        <v>3</v>
      </c>
      <c r="I948" s="217" t="s">
        <v>2149</v>
      </c>
    </row>
    <row r="949" spans="1:9" hidden="1">
      <c r="A949" s="23">
        <v>949</v>
      </c>
      <c r="B949" s="84">
        <v>45757</v>
      </c>
      <c r="C949" s="23" t="s">
        <v>780</v>
      </c>
      <c r="D949" s="23" t="s">
        <v>245</v>
      </c>
      <c r="G949" s="23">
        <v>0</v>
      </c>
      <c r="I949" s="217" t="s">
        <v>2150</v>
      </c>
    </row>
    <row r="950" spans="1:9" hidden="1">
      <c r="A950" s="23">
        <v>950</v>
      </c>
      <c r="B950" s="84">
        <v>45757</v>
      </c>
      <c r="C950" s="23" t="s">
        <v>782</v>
      </c>
      <c r="D950" s="23" t="s">
        <v>226</v>
      </c>
      <c r="G950" s="23">
        <v>0</v>
      </c>
      <c r="I950" s="217" t="s">
        <v>2151</v>
      </c>
    </row>
    <row r="951" spans="1:9" hidden="1">
      <c r="A951" s="23">
        <v>951</v>
      </c>
      <c r="B951" s="84">
        <v>45757</v>
      </c>
      <c r="C951" s="23" t="s">
        <v>784</v>
      </c>
      <c r="D951" s="23" t="s">
        <v>229</v>
      </c>
      <c r="G951" s="23">
        <v>0</v>
      </c>
      <c r="I951" s="217" t="s">
        <v>2145</v>
      </c>
    </row>
    <row r="952" spans="1:9" hidden="1">
      <c r="A952" s="23">
        <v>952</v>
      </c>
      <c r="B952" s="84">
        <v>45757</v>
      </c>
      <c r="C952" s="23" t="s">
        <v>786</v>
      </c>
      <c r="D952" s="23" t="s">
        <v>232</v>
      </c>
      <c r="G952" s="23">
        <v>0</v>
      </c>
      <c r="I952" s="217" t="s">
        <v>2146</v>
      </c>
    </row>
    <row r="953" spans="1:9" hidden="1">
      <c r="A953" s="23">
        <v>953</v>
      </c>
      <c r="B953" s="84">
        <v>45757</v>
      </c>
      <c r="C953" s="23" t="s">
        <v>378</v>
      </c>
      <c r="D953" s="23" t="s">
        <v>234</v>
      </c>
      <c r="G953" s="23">
        <v>0</v>
      </c>
      <c r="I953" s="217" t="s">
        <v>2147</v>
      </c>
    </row>
    <row r="954" spans="1:9" hidden="1">
      <c r="A954" s="23">
        <v>954</v>
      </c>
      <c r="B954" s="84">
        <v>45757</v>
      </c>
      <c r="C954" s="23" t="s">
        <v>605</v>
      </c>
      <c r="D954" s="23" t="s">
        <v>236</v>
      </c>
      <c r="G954" s="23">
        <v>0</v>
      </c>
      <c r="I954" s="217" t="s">
        <v>2148</v>
      </c>
    </row>
    <row r="955" spans="1:9" hidden="1">
      <c r="A955" s="23">
        <v>955</v>
      </c>
      <c r="B955" s="84">
        <v>45757</v>
      </c>
      <c r="C955" s="23" t="s">
        <v>486</v>
      </c>
      <c r="D955" s="23" t="s">
        <v>245</v>
      </c>
      <c r="G955" s="23">
        <v>0.7</v>
      </c>
      <c r="I955" s="217" t="s">
        <v>2152</v>
      </c>
    </row>
    <row r="956" spans="1:9" hidden="1">
      <c r="A956" s="23">
        <v>956</v>
      </c>
      <c r="B956" s="84">
        <v>45757</v>
      </c>
      <c r="C956" s="23" t="s">
        <v>775</v>
      </c>
      <c r="D956" s="23" t="s">
        <v>242</v>
      </c>
      <c r="G956" s="23">
        <v>0</v>
      </c>
      <c r="I956" s="217" t="s">
        <v>2153</v>
      </c>
    </row>
    <row r="957" spans="1:9" hidden="1">
      <c r="A957" s="23">
        <v>957</v>
      </c>
      <c r="B957" s="84">
        <v>45757</v>
      </c>
      <c r="C957" s="23" t="s">
        <v>775</v>
      </c>
      <c r="D957" s="23" t="s">
        <v>242</v>
      </c>
      <c r="G957" s="23" t="s">
        <v>9</v>
      </c>
      <c r="H957" s="23" t="s">
        <v>790</v>
      </c>
      <c r="I957" s="217" t="s">
        <v>1294</v>
      </c>
    </row>
    <row r="958" spans="1:9" hidden="1">
      <c r="A958" s="23">
        <v>958</v>
      </c>
      <c r="B958" s="84">
        <v>45757</v>
      </c>
      <c r="C958" s="23" t="s">
        <v>331</v>
      </c>
      <c r="D958" s="23" t="s">
        <v>229</v>
      </c>
      <c r="G958" s="23">
        <v>0.7</v>
      </c>
      <c r="I958" s="217" t="s">
        <v>2154</v>
      </c>
    </row>
    <row r="959" spans="1:9" hidden="1">
      <c r="A959" s="23">
        <v>959</v>
      </c>
      <c r="B959" s="84">
        <v>45757</v>
      </c>
      <c r="C959" s="23" t="s">
        <v>775</v>
      </c>
      <c r="D959" s="23" t="s">
        <v>232</v>
      </c>
      <c r="G959" s="23">
        <v>0.7</v>
      </c>
      <c r="I959" s="217" t="s">
        <v>2155</v>
      </c>
    </row>
    <row r="960" spans="1:9" hidden="1">
      <c r="A960" s="23">
        <v>960</v>
      </c>
      <c r="B960" s="84">
        <v>45757</v>
      </c>
      <c r="C960" s="23" t="s">
        <v>331</v>
      </c>
      <c r="D960" s="23" t="s">
        <v>226</v>
      </c>
      <c r="G960" s="23">
        <v>0.7</v>
      </c>
      <c r="I960" s="217" t="s">
        <v>2156</v>
      </c>
    </row>
    <row r="961" spans="1:9" hidden="1">
      <c r="A961" s="23">
        <v>961</v>
      </c>
      <c r="B961" s="84">
        <v>45757</v>
      </c>
      <c r="C961" s="23" t="s">
        <v>331</v>
      </c>
      <c r="D961" s="23" t="s">
        <v>234</v>
      </c>
      <c r="G961" s="23">
        <v>0.7</v>
      </c>
      <c r="I961" s="217" t="s">
        <v>2157</v>
      </c>
    </row>
    <row r="962" spans="1:9" hidden="1">
      <c r="A962" s="23">
        <v>962</v>
      </c>
      <c r="B962" s="84">
        <v>45757</v>
      </c>
      <c r="C962" s="23" t="s">
        <v>331</v>
      </c>
      <c r="D962" s="23" t="s">
        <v>236</v>
      </c>
      <c r="G962" s="23">
        <v>0.7</v>
      </c>
      <c r="I962" s="217" t="s">
        <v>2158</v>
      </c>
    </row>
    <row r="963" spans="1:9" hidden="1">
      <c r="A963" s="23">
        <v>963</v>
      </c>
      <c r="B963" s="84">
        <v>45757</v>
      </c>
      <c r="C963" s="23" t="s">
        <v>498</v>
      </c>
      <c r="D963" s="23" t="s">
        <v>239</v>
      </c>
      <c r="G963" s="23">
        <v>0.7</v>
      </c>
      <c r="I963" s="217" t="s">
        <v>2159</v>
      </c>
    </row>
    <row r="964" spans="1:9" hidden="1">
      <c r="A964" s="23">
        <v>964</v>
      </c>
      <c r="B964" s="84">
        <v>45757</v>
      </c>
      <c r="C964" s="23" t="s">
        <v>274</v>
      </c>
      <c r="D964" s="23" t="s">
        <v>220</v>
      </c>
      <c r="G964" s="23">
        <v>0.75</v>
      </c>
      <c r="I964" s="217" t="s">
        <v>2160</v>
      </c>
    </row>
    <row r="965" spans="1:9" hidden="1">
      <c r="A965" s="23">
        <v>965</v>
      </c>
      <c r="B965" s="84">
        <v>45757</v>
      </c>
      <c r="C965" s="23" t="s">
        <v>224</v>
      </c>
      <c r="D965" s="23" t="s">
        <v>211</v>
      </c>
      <c r="G965" s="23">
        <v>0</v>
      </c>
      <c r="I965" s="217" t="s">
        <v>2161</v>
      </c>
    </row>
    <row r="966" spans="1:9" hidden="1">
      <c r="A966" s="23">
        <v>966</v>
      </c>
      <c r="B966" s="84">
        <v>45757</v>
      </c>
      <c r="C966" s="23" t="s">
        <v>336</v>
      </c>
      <c r="D966" s="23" t="s">
        <v>391</v>
      </c>
      <c r="G966" s="23">
        <v>0.7</v>
      </c>
      <c r="I966" s="217" t="s">
        <v>2162</v>
      </c>
    </row>
    <row r="967" spans="1:9" hidden="1">
      <c r="A967" s="23">
        <v>967</v>
      </c>
      <c r="B967" s="84">
        <v>45757</v>
      </c>
      <c r="C967" s="23" t="s">
        <v>389</v>
      </c>
      <c r="D967" s="23" t="s">
        <v>196</v>
      </c>
      <c r="G967" s="23">
        <v>0.8</v>
      </c>
      <c r="I967" s="217" t="s">
        <v>2163</v>
      </c>
    </row>
    <row r="968" spans="1:9" hidden="1">
      <c r="A968" s="23">
        <v>968</v>
      </c>
      <c r="B968" s="84">
        <v>45757</v>
      </c>
      <c r="C968" s="23" t="s">
        <v>795</v>
      </c>
      <c r="D968" s="23" t="s">
        <v>391</v>
      </c>
      <c r="G968" s="23">
        <v>0</v>
      </c>
      <c r="I968" s="217" t="s">
        <v>2162</v>
      </c>
    </row>
    <row r="969" spans="1:9" hidden="1">
      <c r="A969" s="23">
        <v>969</v>
      </c>
      <c r="B969" s="84">
        <v>45757</v>
      </c>
      <c r="C969" s="23" t="s">
        <v>796</v>
      </c>
      <c r="D969" s="23" t="s">
        <v>199</v>
      </c>
      <c r="G969" s="23">
        <v>0.8</v>
      </c>
      <c r="I969" s="217" t="s">
        <v>2164</v>
      </c>
    </row>
    <row r="970" spans="1:9" hidden="1">
      <c r="A970" s="23">
        <v>970</v>
      </c>
      <c r="B970" s="84">
        <v>45757</v>
      </c>
      <c r="C970" s="23" t="s">
        <v>507</v>
      </c>
      <c r="D970" s="23" t="s">
        <v>245</v>
      </c>
      <c r="G970" s="23">
        <v>0</v>
      </c>
      <c r="I970" s="217" t="s">
        <v>2165</v>
      </c>
    </row>
    <row r="971" spans="1:9" hidden="1">
      <c r="A971" s="23">
        <v>971</v>
      </c>
      <c r="B971" s="84">
        <v>45757</v>
      </c>
      <c r="C971" s="23" t="s">
        <v>332</v>
      </c>
      <c r="D971" s="23" t="s">
        <v>205</v>
      </c>
      <c r="G971" s="23">
        <v>0.8</v>
      </c>
      <c r="I971" s="217" t="s">
        <v>2166</v>
      </c>
    </row>
    <row r="972" spans="1:9" hidden="1">
      <c r="A972" s="23">
        <v>972</v>
      </c>
      <c r="B972" s="84">
        <v>45757</v>
      </c>
      <c r="C972" s="23" t="s">
        <v>792</v>
      </c>
      <c r="D972" s="23" t="s">
        <v>226</v>
      </c>
      <c r="G972" s="23">
        <v>0</v>
      </c>
      <c r="I972" s="217" t="s">
        <v>2167</v>
      </c>
    </row>
    <row r="973" spans="1:9" hidden="1">
      <c r="A973" s="23">
        <v>973</v>
      </c>
      <c r="B973" s="84">
        <v>45757</v>
      </c>
      <c r="C973" s="23" t="s">
        <v>275</v>
      </c>
      <c r="D973" s="23" t="s">
        <v>245</v>
      </c>
      <c r="G973" s="23">
        <v>0.7</v>
      </c>
      <c r="I973" s="217" t="s">
        <v>1294</v>
      </c>
    </row>
    <row r="974" spans="1:9" hidden="1">
      <c r="A974" s="23">
        <v>974</v>
      </c>
      <c r="B974" s="84">
        <v>45757</v>
      </c>
      <c r="C974" s="23" t="s">
        <v>799</v>
      </c>
      <c r="D974" s="23" t="s">
        <v>226</v>
      </c>
      <c r="G974" s="23">
        <v>0.7</v>
      </c>
      <c r="I974" s="217" t="s">
        <v>1294</v>
      </c>
    </row>
    <row r="975" spans="1:9" hidden="1">
      <c r="A975" s="23">
        <v>975</v>
      </c>
      <c r="B975" s="84">
        <v>45757</v>
      </c>
      <c r="C975" s="23" t="s">
        <v>800</v>
      </c>
      <c r="D975" s="23" t="s">
        <v>391</v>
      </c>
      <c r="G975" s="23">
        <v>0.7</v>
      </c>
      <c r="I975" s="217" t="s">
        <v>1294</v>
      </c>
    </row>
    <row r="976" spans="1:9" hidden="1">
      <c r="A976" s="23">
        <v>976</v>
      </c>
      <c r="B976" s="84">
        <v>45757</v>
      </c>
      <c r="C976" s="23" t="s">
        <v>801</v>
      </c>
      <c r="D976" s="23" t="s">
        <v>391</v>
      </c>
      <c r="G976" s="23">
        <v>0</v>
      </c>
      <c r="I976" s="217" t="s">
        <v>2162</v>
      </c>
    </row>
    <row r="977" spans="1:9" hidden="1">
      <c r="A977" s="23">
        <v>977</v>
      </c>
      <c r="B977" s="84">
        <v>45757</v>
      </c>
      <c r="C977" s="23" t="s">
        <v>802</v>
      </c>
      <c r="D977" s="23" t="s">
        <v>202</v>
      </c>
      <c r="G977" s="23">
        <v>0.8</v>
      </c>
      <c r="I977" s="217" t="s">
        <v>2168</v>
      </c>
    </row>
    <row r="978" spans="1:9" hidden="1">
      <c r="A978" s="23">
        <v>978</v>
      </c>
      <c r="B978" s="84">
        <v>45757</v>
      </c>
      <c r="C978" s="23" t="s">
        <v>568</v>
      </c>
      <c r="D978" s="23" t="s">
        <v>245</v>
      </c>
      <c r="G978" s="23">
        <v>0</v>
      </c>
      <c r="I978" s="217" t="s">
        <v>2169</v>
      </c>
    </row>
    <row r="979" spans="1:9" hidden="1">
      <c r="A979" s="23">
        <v>979</v>
      </c>
      <c r="B979" s="84">
        <v>45757</v>
      </c>
      <c r="C979" s="23" t="s">
        <v>803</v>
      </c>
      <c r="D979" s="23" t="s">
        <v>391</v>
      </c>
      <c r="G979" s="23">
        <v>0.7</v>
      </c>
      <c r="I979" s="217" t="s">
        <v>2170</v>
      </c>
    </row>
    <row r="980" spans="1:9" hidden="1">
      <c r="A980" s="23">
        <v>980</v>
      </c>
      <c r="B980" s="84">
        <v>45757</v>
      </c>
      <c r="C980" s="23" t="s">
        <v>804</v>
      </c>
      <c r="D980" s="23" t="s">
        <v>391</v>
      </c>
      <c r="G980" s="23">
        <v>0</v>
      </c>
      <c r="I980" s="217" t="s">
        <v>2170</v>
      </c>
    </row>
    <row r="981" spans="1:9" hidden="1">
      <c r="A981" s="23">
        <v>981</v>
      </c>
      <c r="B981" s="84">
        <v>45757</v>
      </c>
      <c r="C981" s="23" t="s">
        <v>567</v>
      </c>
      <c r="D981" s="23" t="s">
        <v>226</v>
      </c>
      <c r="G981" s="23">
        <v>0</v>
      </c>
      <c r="I981" s="217" t="s">
        <v>2171</v>
      </c>
    </row>
    <row r="982" spans="1:9" hidden="1">
      <c r="A982" s="23">
        <v>982</v>
      </c>
      <c r="B982" s="84">
        <v>45757</v>
      </c>
      <c r="C982" s="23" t="s">
        <v>695</v>
      </c>
      <c r="D982" s="23" t="s">
        <v>229</v>
      </c>
      <c r="G982" s="23">
        <v>0</v>
      </c>
      <c r="I982" s="217" t="s">
        <v>2172</v>
      </c>
    </row>
    <row r="983" spans="1:9" hidden="1">
      <c r="A983" s="23">
        <v>983</v>
      </c>
      <c r="B983" s="84">
        <v>45757</v>
      </c>
      <c r="C983" s="23" t="s">
        <v>791</v>
      </c>
      <c r="D983" s="23" t="s">
        <v>232</v>
      </c>
      <c r="G983" s="23">
        <v>0</v>
      </c>
      <c r="I983" s="217" t="s">
        <v>2173</v>
      </c>
    </row>
    <row r="984" spans="1:9" hidden="1">
      <c r="A984" s="23">
        <v>984</v>
      </c>
      <c r="B984" s="84">
        <v>45757</v>
      </c>
      <c r="C984" s="23" t="s">
        <v>793</v>
      </c>
      <c r="D984" s="23" t="s">
        <v>234</v>
      </c>
      <c r="G984" s="23">
        <v>0</v>
      </c>
      <c r="I984" s="217" t="s">
        <v>2174</v>
      </c>
    </row>
    <row r="985" spans="1:9" hidden="1">
      <c r="A985" s="23">
        <v>985</v>
      </c>
      <c r="B985" s="84">
        <v>45757</v>
      </c>
      <c r="C985" s="23" t="s">
        <v>524</v>
      </c>
      <c r="D985" s="23" t="s">
        <v>239</v>
      </c>
      <c r="G985" s="23">
        <v>0</v>
      </c>
      <c r="I985" s="217" t="s">
        <v>2175</v>
      </c>
    </row>
    <row r="986" spans="1:9" hidden="1">
      <c r="A986" s="23">
        <v>986</v>
      </c>
      <c r="B986" s="84">
        <v>45757</v>
      </c>
      <c r="C986" s="23" t="s">
        <v>794</v>
      </c>
      <c r="D986" s="23" t="s">
        <v>236</v>
      </c>
      <c r="G986" s="23">
        <v>0</v>
      </c>
      <c r="I986" s="217" t="s">
        <v>2176</v>
      </c>
    </row>
    <row r="987" spans="1:9" ht="28.15" hidden="1">
      <c r="A987" s="23">
        <v>987</v>
      </c>
      <c r="B987" s="84">
        <v>45757</v>
      </c>
      <c r="C987" s="23" t="s">
        <v>390</v>
      </c>
      <c r="D987" s="23" t="s">
        <v>220</v>
      </c>
      <c r="G987" s="23">
        <v>0</v>
      </c>
      <c r="H987" s="457" t="s">
        <v>2177</v>
      </c>
      <c r="I987" s="217" t="s">
        <v>2178</v>
      </c>
    </row>
    <row r="988" spans="1:9" hidden="1">
      <c r="A988" s="23">
        <v>988</v>
      </c>
      <c r="B988" s="84">
        <v>45757</v>
      </c>
      <c r="C988" s="23" t="s">
        <v>390</v>
      </c>
      <c r="D988" s="23" t="s">
        <v>214</v>
      </c>
      <c r="G988" s="23">
        <v>0</v>
      </c>
      <c r="I988" s="217" t="s">
        <v>2179</v>
      </c>
    </row>
    <row r="989" spans="1:9" hidden="1">
      <c r="A989" s="23">
        <v>989</v>
      </c>
      <c r="B989" s="84">
        <v>45757</v>
      </c>
      <c r="C989" s="23" t="s">
        <v>212</v>
      </c>
      <c r="D989" s="23" t="s">
        <v>217</v>
      </c>
      <c r="G989" s="23">
        <v>0.82</v>
      </c>
      <c r="I989" s="217" t="s">
        <v>2180</v>
      </c>
    </row>
    <row r="990" spans="1:9" hidden="1">
      <c r="A990" s="23">
        <v>990</v>
      </c>
      <c r="B990" s="84">
        <v>45757</v>
      </c>
      <c r="C990" s="23" t="s">
        <v>222</v>
      </c>
      <c r="D990" s="23" t="s">
        <v>225</v>
      </c>
      <c r="G990" s="23">
        <v>0</v>
      </c>
      <c r="I990" s="217" t="s">
        <v>2181</v>
      </c>
    </row>
    <row r="991" spans="1:9" hidden="1">
      <c r="A991" s="23">
        <v>991</v>
      </c>
      <c r="B991" s="84">
        <v>45757</v>
      </c>
      <c r="C991" s="23" t="s">
        <v>754</v>
      </c>
      <c r="D991" s="23" t="s">
        <v>220</v>
      </c>
      <c r="G991" s="23">
        <v>0.68</v>
      </c>
      <c r="I991" s="217" t="s">
        <v>2182</v>
      </c>
    </row>
    <row r="992" spans="1:9" hidden="1">
      <c r="A992" s="23">
        <v>992</v>
      </c>
      <c r="B992" s="84">
        <v>45757</v>
      </c>
      <c r="C992" s="23" t="s">
        <v>754</v>
      </c>
      <c r="D992" s="23" t="s">
        <v>211</v>
      </c>
      <c r="G992" s="23">
        <v>0.68</v>
      </c>
      <c r="I992" s="217" t="s">
        <v>2183</v>
      </c>
    </row>
    <row r="993" spans="1:9" hidden="1">
      <c r="A993" s="23">
        <v>993</v>
      </c>
      <c r="B993" s="84">
        <v>45757</v>
      </c>
      <c r="C993" s="23" t="s">
        <v>711</v>
      </c>
      <c r="D993" s="23" t="s">
        <v>229</v>
      </c>
      <c r="G993" s="23">
        <v>0.7</v>
      </c>
      <c r="I993" s="217" t="s">
        <v>2184</v>
      </c>
    </row>
    <row r="994" spans="1:9" hidden="1">
      <c r="A994" s="23">
        <v>994</v>
      </c>
      <c r="B994" s="84">
        <v>45757</v>
      </c>
      <c r="C994" s="23" t="s">
        <v>711</v>
      </c>
      <c r="D994" s="23" t="s">
        <v>226</v>
      </c>
      <c r="G994" s="23">
        <v>0.7</v>
      </c>
      <c r="I994" s="217" t="s">
        <v>2185</v>
      </c>
    </row>
    <row r="995" spans="1:9" hidden="1">
      <c r="A995" s="23">
        <v>995</v>
      </c>
      <c r="B995" s="84">
        <v>45757</v>
      </c>
      <c r="C995" s="23" t="s">
        <v>711</v>
      </c>
      <c r="D995" s="23" t="s">
        <v>245</v>
      </c>
      <c r="G995" s="23">
        <v>0.7</v>
      </c>
      <c r="I995" s="217" t="s">
        <v>2186</v>
      </c>
    </row>
    <row r="996" spans="1:9" hidden="1">
      <c r="A996" s="23">
        <v>996</v>
      </c>
      <c r="B996" s="84">
        <v>45757</v>
      </c>
      <c r="C996" s="23" t="s">
        <v>789</v>
      </c>
      <c r="D996" s="23" t="s">
        <v>242</v>
      </c>
      <c r="G996" s="23">
        <v>1.5</v>
      </c>
      <c r="I996" s="217" t="s">
        <v>2187</v>
      </c>
    </row>
    <row r="997" spans="1:9" hidden="1">
      <c r="A997" s="23">
        <v>997</v>
      </c>
      <c r="B997" s="84">
        <v>45757</v>
      </c>
      <c r="C997" s="23" t="s">
        <v>808</v>
      </c>
      <c r="D997" s="23" t="s">
        <v>245</v>
      </c>
      <c r="G997" s="23">
        <v>0</v>
      </c>
      <c r="I997" s="217" t="s">
        <v>2186</v>
      </c>
    </row>
    <row r="998" spans="1:9" hidden="1">
      <c r="A998" s="23">
        <v>998</v>
      </c>
      <c r="B998" s="84">
        <v>45757</v>
      </c>
      <c r="C998" s="23" t="s">
        <v>807</v>
      </c>
      <c r="D998" s="23" t="s">
        <v>226</v>
      </c>
      <c r="G998" s="23">
        <v>0</v>
      </c>
      <c r="I998" s="217" t="s">
        <v>2185</v>
      </c>
    </row>
    <row r="999" spans="1:9">
      <c r="A999" s="23">
        <v>999</v>
      </c>
      <c r="B999" s="84">
        <v>45757</v>
      </c>
      <c r="C999" s="23" t="s">
        <v>421</v>
      </c>
      <c r="D999" s="23" t="s">
        <v>248</v>
      </c>
      <c r="G999" s="23">
        <v>0</v>
      </c>
      <c r="I999" s="217" t="s">
        <v>2188</v>
      </c>
    </row>
    <row r="1000" spans="1:9" hidden="1">
      <c r="A1000" s="23">
        <v>1000</v>
      </c>
      <c r="B1000" s="84">
        <v>45757</v>
      </c>
      <c r="C1000" s="23" t="s">
        <v>194</v>
      </c>
      <c r="D1000" s="23" t="s">
        <v>229</v>
      </c>
      <c r="G1000" s="23">
        <v>0</v>
      </c>
      <c r="I1000" s="217" t="s">
        <v>2184</v>
      </c>
    </row>
    <row r="1001" spans="1:9" hidden="1">
      <c r="A1001" s="23">
        <v>1001</v>
      </c>
      <c r="B1001" s="84">
        <v>45757</v>
      </c>
      <c r="C1001" s="23" t="s">
        <v>182</v>
      </c>
      <c r="D1001" s="23" t="s">
        <v>242</v>
      </c>
      <c r="G1001" s="23">
        <v>0</v>
      </c>
      <c r="I1001" s="217" t="s">
        <v>2187</v>
      </c>
    </row>
    <row r="1002" spans="1:9" hidden="1">
      <c r="A1002" s="23">
        <v>1002</v>
      </c>
      <c r="B1002" s="84">
        <v>45757</v>
      </c>
      <c r="C1002" s="23" t="s">
        <v>357</v>
      </c>
      <c r="D1002" s="23" t="s">
        <v>335</v>
      </c>
      <c r="G1002" s="23">
        <v>0</v>
      </c>
      <c r="I1002" s="217" t="s">
        <v>2189</v>
      </c>
    </row>
    <row r="1003" spans="1:9" hidden="1">
      <c r="A1003" s="23">
        <v>1003</v>
      </c>
      <c r="B1003" s="84">
        <v>45757</v>
      </c>
      <c r="C1003" s="23" t="s">
        <v>809</v>
      </c>
      <c r="D1003" s="23" t="s">
        <v>232</v>
      </c>
      <c r="G1003" s="23">
        <v>0.7</v>
      </c>
      <c r="I1003" s="217" t="s">
        <v>2190</v>
      </c>
    </row>
    <row r="1004" spans="1:9" hidden="1">
      <c r="A1004" s="23">
        <v>1004</v>
      </c>
      <c r="B1004" s="84">
        <v>45757</v>
      </c>
      <c r="C1004" s="23" t="s">
        <v>809</v>
      </c>
      <c r="D1004" s="23" t="s">
        <v>234</v>
      </c>
      <c r="G1004" s="23">
        <v>0.7</v>
      </c>
      <c r="I1004" s="217" t="s">
        <v>2191</v>
      </c>
    </row>
    <row r="1005" spans="1:9" hidden="1">
      <c r="A1005" s="23">
        <v>1005</v>
      </c>
      <c r="B1005" s="84">
        <v>45757</v>
      </c>
      <c r="C1005" s="23" t="s">
        <v>564</v>
      </c>
      <c r="D1005" s="23" t="s">
        <v>232</v>
      </c>
      <c r="G1005" s="23">
        <v>0</v>
      </c>
      <c r="I1005" s="217" t="s">
        <v>2192</v>
      </c>
    </row>
    <row r="1006" spans="1:9" hidden="1">
      <c r="A1006" s="23">
        <v>1006</v>
      </c>
      <c r="B1006" s="84">
        <v>45757</v>
      </c>
      <c r="C1006" s="23" t="s">
        <v>584</v>
      </c>
      <c r="D1006" s="23" t="s">
        <v>234</v>
      </c>
      <c r="G1006" s="23">
        <v>0</v>
      </c>
      <c r="I1006" s="217" t="s">
        <v>2193</v>
      </c>
    </row>
    <row r="1007" spans="1:9" hidden="1">
      <c r="A1007" s="23">
        <v>1007</v>
      </c>
      <c r="B1007" s="84">
        <v>45757</v>
      </c>
      <c r="C1007" s="23" t="s">
        <v>781</v>
      </c>
      <c r="D1007" s="23" t="s">
        <v>183</v>
      </c>
      <c r="G1007" s="23">
        <v>0</v>
      </c>
      <c r="I1007" s="217" t="s">
        <v>2194</v>
      </c>
    </row>
    <row r="1008" spans="1:9" hidden="1">
      <c r="A1008" s="23">
        <v>1008</v>
      </c>
      <c r="B1008" s="84">
        <v>45758</v>
      </c>
      <c r="C1008" s="23" t="s">
        <v>738</v>
      </c>
      <c r="D1008" s="23" t="s">
        <v>214</v>
      </c>
      <c r="G1008" s="23" t="s">
        <v>9</v>
      </c>
      <c r="I1008" s="217" t="s">
        <v>2195</v>
      </c>
    </row>
    <row r="1009" spans="1:9" hidden="1">
      <c r="A1009" s="23">
        <v>1009</v>
      </c>
      <c r="B1009" s="84">
        <v>45758</v>
      </c>
      <c r="C1009" s="23" t="s">
        <v>778</v>
      </c>
      <c r="D1009" s="23" t="s">
        <v>239</v>
      </c>
      <c r="G1009" s="23">
        <v>0.7</v>
      </c>
      <c r="I1009" s="217" t="s">
        <v>2196</v>
      </c>
    </row>
    <row r="1010" spans="1:9" hidden="1">
      <c r="A1010" s="23">
        <v>1010</v>
      </c>
      <c r="B1010" s="84">
        <v>45758</v>
      </c>
      <c r="C1010" s="23" t="s">
        <v>778</v>
      </c>
      <c r="D1010" s="23" t="s">
        <v>236</v>
      </c>
      <c r="G1010" s="23">
        <v>0.7</v>
      </c>
      <c r="I1010" s="217" t="s">
        <v>2197</v>
      </c>
    </row>
    <row r="1011" spans="1:9" hidden="1">
      <c r="A1011" s="23">
        <v>1011</v>
      </c>
      <c r="B1011" s="84">
        <v>45758</v>
      </c>
      <c r="C1011" s="23" t="s">
        <v>778</v>
      </c>
      <c r="D1011" s="23" t="s">
        <v>186</v>
      </c>
      <c r="G1011" s="23">
        <v>0</v>
      </c>
      <c r="I1011" s="217" t="s">
        <v>2198</v>
      </c>
    </row>
    <row r="1012" spans="1:9">
      <c r="A1012" s="23">
        <v>1012</v>
      </c>
      <c r="B1012" s="84">
        <v>45758</v>
      </c>
      <c r="C1012" s="23" t="s">
        <v>812</v>
      </c>
      <c r="D1012" s="23" t="s">
        <v>248</v>
      </c>
      <c r="G1012" s="23">
        <v>1.5</v>
      </c>
      <c r="H1012" s="23" t="s">
        <v>2199</v>
      </c>
      <c r="I1012" s="217" t="s">
        <v>2200</v>
      </c>
    </row>
    <row r="1013" spans="1:9" hidden="1">
      <c r="A1013" s="23">
        <v>1013</v>
      </c>
      <c r="B1013" s="84">
        <v>45758</v>
      </c>
      <c r="C1013" s="23" t="s">
        <v>811</v>
      </c>
      <c r="D1013" s="23" t="s">
        <v>236</v>
      </c>
      <c r="G1013" s="23">
        <v>0</v>
      </c>
      <c r="I1013" s="217" t="s">
        <v>2197</v>
      </c>
    </row>
    <row r="1014" spans="1:9" hidden="1">
      <c r="A1014" s="23">
        <v>1014</v>
      </c>
      <c r="B1014" s="84">
        <v>45758</v>
      </c>
      <c r="C1014" s="23" t="s">
        <v>810</v>
      </c>
      <c r="D1014" s="23" t="s">
        <v>239</v>
      </c>
      <c r="G1014" s="23">
        <v>0</v>
      </c>
      <c r="I1014" s="217" t="s">
        <v>2201</v>
      </c>
    </row>
    <row r="1015" spans="1:9">
      <c r="A1015" s="23">
        <v>1015</v>
      </c>
      <c r="B1015" s="84">
        <v>45758</v>
      </c>
      <c r="C1015" s="23" t="s">
        <v>717</v>
      </c>
      <c r="D1015" s="23" t="s">
        <v>174</v>
      </c>
      <c r="G1015" s="23">
        <v>0</v>
      </c>
      <c r="I1015" s="217" t="s">
        <v>2202</v>
      </c>
    </row>
    <row r="1016" spans="1:9" hidden="1">
      <c r="A1016" s="23">
        <v>1016</v>
      </c>
      <c r="B1016" s="84">
        <v>45758</v>
      </c>
      <c r="C1016" s="23" t="s">
        <v>769</v>
      </c>
      <c r="D1016" s="23" t="s">
        <v>196</v>
      </c>
      <c r="G1016" s="23">
        <v>0</v>
      </c>
      <c r="I1016" s="217" t="s">
        <v>2203</v>
      </c>
    </row>
    <row r="1017" spans="1:9" hidden="1">
      <c r="A1017" s="23">
        <v>1017</v>
      </c>
      <c r="B1017" s="84">
        <v>45758</v>
      </c>
      <c r="C1017" s="23" t="s">
        <v>797</v>
      </c>
      <c r="D1017" s="23" t="s">
        <v>199</v>
      </c>
      <c r="G1017" s="23">
        <v>0</v>
      </c>
      <c r="I1017" s="217" t="s">
        <v>2204</v>
      </c>
    </row>
    <row r="1018" spans="1:9" hidden="1">
      <c r="A1018" s="23">
        <v>1018</v>
      </c>
      <c r="B1018" s="84">
        <v>45758</v>
      </c>
      <c r="C1018" s="23" t="s">
        <v>798</v>
      </c>
      <c r="D1018" s="23" t="s">
        <v>205</v>
      </c>
      <c r="G1018" s="23">
        <v>0</v>
      </c>
      <c r="I1018" s="217" t="s">
        <v>2205</v>
      </c>
    </row>
    <row r="1019" spans="1:9" hidden="1">
      <c r="A1019" s="23">
        <v>1019</v>
      </c>
      <c r="B1019" s="84">
        <v>45758</v>
      </c>
      <c r="C1019" s="23" t="s">
        <v>450</v>
      </c>
      <c r="D1019" s="23" t="s">
        <v>245</v>
      </c>
      <c r="G1019" s="23">
        <v>0.7</v>
      </c>
      <c r="I1019" s="217" t="s">
        <v>2206</v>
      </c>
    </row>
    <row r="1020" spans="1:9" hidden="1">
      <c r="A1020" s="23">
        <v>1020</v>
      </c>
      <c r="B1020" s="84">
        <v>45758</v>
      </c>
      <c r="C1020" s="23" t="s">
        <v>814</v>
      </c>
      <c r="D1020" s="23" t="s">
        <v>226</v>
      </c>
      <c r="G1020" s="23">
        <v>0.7</v>
      </c>
      <c r="I1020" s="217" t="s">
        <v>2207</v>
      </c>
    </row>
    <row r="1021" spans="1:9" hidden="1">
      <c r="A1021" s="23">
        <v>1021</v>
      </c>
      <c r="B1021" s="84">
        <v>45758</v>
      </c>
      <c r="C1021" s="23" t="s">
        <v>314</v>
      </c>
      <c r="D1021" s="23" t="s">
        <v>229</v>
      </c>
      <c r="G1021" s="23">
        <v>0.7</v>
      </c>
      <c r="I1021" s="217" t="s">
        <v>2208</v>
      </c>
    </row>
    <row r="1022" spans="1:9" hidden="1">
      <c r="A1022" s="23">
        <v>1022</v>
      </c>
      <c r="B1022" s="84">
        <v>45758</v>
      </c>
      <c r="C1022" s="23" t="s">
        <v>238</v>
      </c>
      <c r="D1022" s="23" t="s">
        <v>232</v>
      </c>
      <c r="G1022" s="23">
        <v>0.7</v>
      </c>
      <c r="I1022" s="217" t="s">
        <v>2209</v>
      </c>
    </row>
    <row r="1023" spans="1:9" hidden="1">
      <c r="A1023" s="23">
        <v>1023</v>
      </c>
      <c r="B1023" s="84">
        <v>45758</v>
      </c>
      <c r="C1023" s="23" t="s">
        <v>817</v>
      </c>
      <c r="D1023" s="23" t="s">
        <v>245</v>
      </c>
      <c r="G1023" s="23">
        <v>0</v>
      </c>
      <c r="I1023" s="217" t="s">
        <v>2210</v>
      </c>
    </row>
    <row r="1024" spans="1:9" hidden="1">
      <c r="A1024" s="23">
        <v>1024</v>
      </c>
      <c r="B1024" s="84">
        <v>45758</v>
      </c>
      <c r="C1024" s="23" t="s">
        <v>815</v>
      </c>
      <c r="D1024" s="23" t="s">
        <v>226</v>
      </c>
      <c r="G1024" s="23">
        <v>0</v>
      </c>
      <c r="I1024" s="217" t="s">
        <v>2211</v>
      </c>
    </row>
    <row r="1025" spans="1:9" hidden="1">
      <c r="A1025" s="23">
        <v>1025</v>
      </c>
      <c r="B1025" s="84">
        <v>45758</v>
      </c>
      <c r="C1025" s="23" t="s">
        <v>816</v>
      </c>
      <c r="D1025" s="23" t="s">
        <v>229</v>
      </c>
      <c r="G1025" s="23">
        <v>0</v>
      </c>
      <c r="I1025" s="217" t="s">
        <v>2212</v>
      </c>
    </row>
    <row r="1026" spans="1:9" hidden="1">
      <c r="A1026" s="23">
        <v>1026</v>
      </c>
      <c r="B1026" s="84">
        <v>45758</v>
      </c>
      <c r="C1026" s="23" t="s">
        <v>678</v>
      </c>
      <c r="D1026" s="23" t="s">
        <v>242</v>
      </c>
      <c r="G1026" s="23">
        <v>3.8</v>
      </c>
      <c r="I1026" s="217" t="s">
        <v>2213</v>
      </c>
    </row>
    <row r="1027" spans="1:9" hidden="1">
      <c r="A1027" s="23">
        <v>1027</v>
      </c>
      <c r="B1027" s="84">
        <v>45758</v>
      </c>
      <c r="C1027" s="23" t="s">
        <v>680</v>
      </c>
      <c r="D1027" s="23" t="s">
        <v>232</v>
      </c>
      <c r="G1027" s="23">
        <v>0</v>
      </c>
      <c r="I1027" s="217" t="s">
        <v>2209</v>
      </c>
    </row>
    <row r="1028" spans="1:9" hidden="1">
      <c r="A1028" s="23">
        <v>1028</v>
      </c>
      <c r="B1028" s="84">
        <v>45758</v>
      </c>
      <c r="C1028" s="23" t="s">
        <v>806</v>
      </c>
      <c r="D1028" s="23" t="s">
        <v>220</v>
      </c>
      <c r="G1028" s="23">
        <v>0</v>
      </c>
      <c r="I1028" s="217" t="s">
        <v>2214</v>
      </c>
    </row>
    <row r="1029" spans="1:9" hidden="1">
      <c r="A1029" s="23">
        <v>1029</v>
      </c>
      <c r="B1029" s="84">
        <v>45758</v>
      </c>
      <c r="C1029" s="23" t="s">
        <v>806</v>
      </c>
      <c r="D1029" s="23" t="s">
        <v>211</v>
      </c>
      <c r="G1029" s="23">
        <v>0</v>
      </c>
      <c r="I1029" s="217" t="s">
        <v>2215</v>
      </c>
    </row>
    <row r="1030" spans="1:9" hidden="1">
      <c r="A1030" s="23">
        <v>1030</v>
      </c>
      <c r="B1030" s="84">
        <v>45758</v>
      </c>
      <c r="C1030" s="23" t="s">
        <v>818</v>
      </c>
      <c r="D1030" s="23" t="s">
        <v>225</v>
      </c>
      <c r="G1030" s="23">
        <v>0.71</v>
      </c>
      <c r="I1030" s="217" t="s">
        <v>2216</v>
      </c>
    </row>
    <row r="1031" spans="1:9" hidden="1">
      <c r="A1031" s="23">
        <v>1031</v>
      </c>
      <c r="B1031" s="84">
        <v>45758</v>
      </c>
      <c r="C1031" s="23" t="s">
        <v>805</v>
      </c>
      <c r="D1031" s="23" t="s">
        <v>217</v>
      </c>
      <c r="G1031" s="23">
        <v>0</v>
      </c>
      <c r="I1031" s="217" t="s">
        <v>2217</v>
      </c>
    </row>
    <row r="1032" spans="1:9" hidden="1">
      <c r="A1032" s="23">
        <v>1032</v>
      </c>
      <c r="B1032" s="84">
        <v>45758</v>
      </c>
      <c r="C1032" s="23" t="s">
        <v>819</v>
      </c>
      <c r="D1032" s="23" t="s">
        <v>220</v>
      </c>
      <c r="G1032" s="23">
        <v>0.49</v>
      </c>
      <c r="I1032" s="217" t="s">
        <v>2218</v>
      </c>
    </row>
    <row r="1033" spans="1:9" hidden="1">
      <c r="A1033" s="23">
        <v>1033</v>
      </c>
      <c r="B1033" s="84">
        <v>45758</v>
      </c>
      <c r="C1033" s="23" t="s">
        <v>819</v>
      </c>
      <c r="D1033" s="23" t="s">
        <v>211</v>
      </c>
      <c r="G1033" s="23">
        <v>0.49</v>
      </c>
      <c r="I1033" s="217" t="s">
        <v>2219</v>
      </c>
    </row>
    <row r="1034" spans="1:9" hidden="1">
      <c r="A1034" s="23">
        <v>1034</v>
      </c>
      <c r="B1034" s="84">
        <v>45758</v>
      </c>
      <c r="C1034" s="23" t="s">
        <v>821</v>
      </c>
      <c r="D1034" s="23" t="s">
        <v>186</v>
      </c>
      <c r="G1034" s="23">
        <v>3.8</v>
      </c>
      <c r="I1034" s="217" t="s">
        <v>2220</v>
      </c>
    </row>
    <row r="1035" spans="1:9" hidden="1">
      <c r="A1035" s="23">
        <v>1035</v>
      </c>
      <c r="B1035" s="84">
        <v>45758</v>
      </c>
      <c r="C1035" s="23" t="s">
        <v>821</v>
      </c>
      <c r="D1035" s="23" t="s">
        <v>205</v>
      </c>
      <c r="G1035" s="23">
        <v>0.7</v>
      </c>
      <c r="I1035" s="217" t="s">
        <v>2221</v>
      </c>
    </row>
    <row r="1036" spans="1:9" hidden="1">
      <c r="A1036" s="23">
        <v>1036</v>
      </c>
      <c r="B1036" s="84">
        <v>45758</v>
      </c>
      <c r="C1036" s="23" t="s">
        <v>599</v>
      </c>
      <c r="D1036" s="23" t="s">
        <v>196</v>
      </c>
      <c r="G1036" s="23">
        <v>0.7</v>
      </c>
      <c r="I1036" s="217" t="s">
        <v>2222</v>
      </c>
    </row>
    <row r="1037" spans="1:9" hidden="1">
      <c r="A1037" s="23">
        <v>1037</v>
      </c>
      <c r="B1037" s="84">
        <v>45758</v>
      </c>
      <c r="C1037" s="23" t="s">
        <v>822</v>
      </c>
      <c r="D1037" s="23" t="s">
        <v>199</v>
      </c>
      <c r="G1037" s="23">
        <v>0.7</v>
      </c>
      <c r="I1037" s="217" t="s">
        <v>2223</v>
      </c>
    </row>
    <row r="1038" spans="1:9" hidden="1">
      <c r="A1038" s="23">
        <v>1038</v>
      </c>
      <c r="B1038" s="84">
        <v>45758</v>
      </c>
      <c r="C1038" s="23" t="s">
        <v>253</v>
      </c>
      <c r="D1038" s="23" t="s">
        <v>183</v>
      </c>
      <c r="G1038" s="23">
        <v>2.8</v>
      </c>
      <c r="I1038" s="217" t="s">
        <v>2224</v>
      </c>
    </row>
    <row r="1039" spans="1:9" hidden="1">
      <c r="A1039" s="23">
        <v>1039</v>
      </c>
      <c r="B1039" s="84">
        <v>45758</v>
      </c>
      <c r="C1039" s="23" t="s">
        <v>550</v>
      </c>
      <c r="D1039" s="23" t="s">
        <v>234</v>
      </c>
      <c r="G1039" s="23">
        <v>0.7</v>
      </c>
      <c r="I1039" s="217" t="s">
        <v>2225</v>
      </c>
    </row>
    <row r="1040" spans="1:9" hidden="1">
      <c r="A1040" s="23">
        <v>1040</v>
      </c>
      <c r="B1040" s="84">
        <v>45758</v>
      </c>
      <c r="C1040" s="23" t="s">
        <v>470</v>
      </c>
      <c r="D1040" s="23" t="s">
        <v>236</v>
      </c>
      <c r="G1040" s="23">
        <v>0.7</v>
      </c>
      <c r="I1040" s="217" t="s">
        <v>2226</v>
      </c>
    </row>
    <row r="1041" spans="1:9" hidden="1">
      <c r="A1041" s="23">
        <v>1041</v>
      </c>
      <c r="B1041" s="84">
        <v>45758</v>
      </c>
      <c r="C1041" s="23" t="s">
        <v>470</v>
      </c>
      <c r="D1041" s="23" t="s">
        <v>239</v>
      </c>
      <c r="G1041" s="23">
        <v>0.7</v>
      </c>
      <c r="I1041" s="217" t="s">
        <v>2227</v>
      </c>
    </row>
    <row r="1042" spans="1:9" hidden="1">
      <c r="A1042" s="23">
        <v>1042</v>
      </c>
      <c r="B1042" s="84">
        <v>45758</v>
      </c>
      <c r="C1042" s="23" t="s">
        <v>372</v>
      </c>
      <c r="D1042" s="23" t="s">
        <v>196</v>
      </c>
      <c r="G1042" s="23">
        <v>0</v>
      </c>
      <c r="I1042" s="217" t="s">
        <v>2228</v>
      </c>
    </row>
    <row r="1043" spans="1:9" hidden="1">
      <c r="A1043" s="23">
        <v>1043</v>
      </c>
      <c r="B1043" s="84">
        <v>45758</v>
      </c>
      <c r="C1043" s="23" t="s">
        <v>372</v>
      </c>
      <c r="D1043" s="23" t="s">
        <v>196</v>
      </c>
      <c r="G1043" s="23" t="s">
        <v>9</v>
      </c>
      <c r="H1043" s="23" t="s">
        <v>2229</v>
      </c>
      <c r="I1043" s="217" t="s">
        <v>1294</v>
      </c>
    </row>
    <row r="1044" spans="1:9" hidden="1">
      <c r="A1044" s="23">
        <v>1044</v>
      </c>
      <c r="B1044" s="84">
        <v>45758</v>
      </c>
      <c r="C1044" s="23" t="s">
        <v>659</v>
      </c>
      <c r="D1044" s="23" t="s">
        <v>245</v>
      </c>
      <c r="G1044" s="23">
        <v>0.7</v>
      </c>
      <c r="I1044" s="217" t="s">
        <v>2230</v>
      </c>
    </row>
    <row r="1045" spans="1:9" hidden="1">
      <c r="A1045" s="23">
        <v>1045</v>
      </c>
      <c r="B1045" s="84">
        <v>45758</v>
      </c>
      <c r="C1045" s="23" t="s">
        <v>659</v>
      </c>
      <c r="D1045" s="23" t="s">
        <v>226</v>
      </c>
      <c r="G1045" s="23">
        <v>0.7</v>
      </c>
      <c r="I1045" s="217" t="s">
        <v>2231</v>
      </c>
    </row>
    <row r="1046" spans="1:9" hidden="1">
      <c r="A1046" s="23">
        <v>1046</v>
      </c>
      <c r="B1046" s="84">
        <v>45758</v>
      </c>
      <c r="C1046" s="23" t="s">
        <v>319</v>
      </c>
      <c r="D1046" s="23" t="s">
        <v>335</v>
      </c>
      <c r="G1046" s="23">
        <v>5</v>
      </c>
      <c r="I1046" s="217" t="s">
        <v>2232</v>
      </c>
    </row>
    <row r="1047" spans="1:9" hidden="1">
      <c r="A1047" s="23">
        <v>1047</v>
      </c>
      <c r="B1047" s="84">
        <v>45758</v>
      </c>
      <c r="C1047" s="23" t="s">
        <v>824</v>
      </c>
      <c r="D1047" s="23" t="s">
        <v>234</v>
      </c>
      <c r="G1047" s="23">
        <v>0</v>
      </c>
      <c r="I1047" s="217" t="s">
        <v>2233</v>
      </c>
    </row>
    <row r="1048" spans="1:9" hidden="1">
      <c r="A1048" s="23">
        <v>1048</v>
      </c>
      <c r="B1048" s="84">
        <v>45758</v>
      </c>
      <c r="C1048" s="23" t="s">
        <v>262</v>
      </c>
      <c r="D1048" s="23" t="s">
        <v>236</v>
      </c>
      <c r="G1048" s="23">
        <v>0</v>
      </c>
      <c r="I1048" s="217" t="s">
        <v>2234</v>
      </c>
    </row>
    <row r="1049" spans="1:9" hidden="1">
      <c r="A1049" s="23">
        <v>1049</v>
      </c>
      <c r="B1049" s="84">
        <v>45758</v>
      </c>
      <c r="C1049" s="23" t="s">
        <v>825</v>
      </c>
      <c r="D1049" s="23" t="s">
        <v>239</v>
      </c>
      <c r="G1049" s="23">
        <v>0</v>
      </c>
      <c r="I1049" s="217" t="s">
        <v>2235</v>
      </c>
    </row>
    <row r="1050" spans="1:9" hidden="1">
      <c r="A1050" s="23">
        <v>1050</v>
      </c>
      <c r="B1050" s="84">
        <v>45758</v>
      </c>
      <c r="C1050" s="23" t="s">
        <v>666</v>
      </c>
      <c r="D1050" s="23" t="s">
        <v>202</v>
      </c>
      <c r="G1050" s="23">
        <v>0</v>
      </c>
      <c r="I1050" s="217" t="s">
        <v>2236</v>
      </c>
    </row>
    <row r="1051" spans="1:9" hidden="1">
      <c r="A1051" s="23">
        <v>1051</v>
      </c>
      <c r="B1051" s="84">
        <v>45758</v>
      </c>
      <c r="C1051" s="23" t="s">
        <v>666</v>
      </c>
      <c r="D1051" s="23" t="s">
        <v>202</v>
      </c>
      <c r="G1051" s="23" t="s">
        <v>9</v>
      </c>
      <c r="H1051" s="23" t="s">
        <v>2237</v>
      </c>
      <c r="I1051" s="217" t="s">
        <v>1294</v>
      </c>
    </row>
    <row r="1052" spans="1:9" hidden="1">
      <c r="A1052" s="23">
        <v>1052</v>
      </c>
      <c r="B1052" s="84">
        <v>45758</v>
      </c>
      <c r="C1052" s="23" t="s">
        <v>267</v>
      </c>
      <c r="D1052" s="23" t="s">
        <v>229</v>
      </c>
      <c r="G1052" s="23">
        <v>0.7</v>
      </c>
      <c r="I1052" s="217" t="s">
        <v>2238</v>
      </c>
    </row>
    <row r="1053" spans="1:9" hidden="1">
      <c r="A1053" s="23">
        <v>1053</v>
      </c>
      <c r="B1053" s="84">
        <v>45758</v>
      </c>
      <c r="C1053" s="23" t="s">
        <v>827</v>
      </c>
      <c r="D1053" s="23" t="s">
        <v>232</v>
      </c>
      <c r="G1053" s="23">
        <v>0.7</v>
      </c>
      <c r="I1053" s="217" t="s">
        <v>2239</v>
      </c>
    </row>
    <row r="1054" spans="1:9">
      <c r="A1054" s="23">
        <v>1054</v>
      </c>
      <c r="B1054" s="84">
        <v>45758</v>
      </c>
      <c r="C1054" s="23" t="s">
        <v>742</v>
      </c>
      <c r="D1054" s="23" t="s">
        <v>174</v>
      </c>
      <c r="G1054" s="23">
        <v>1.5</v>
      </c>
      <c r="I1054" s="217" t="s">
        <v>2240</v>
      </c>
    </row>
    <row r="1055" spans="1:9" hidden="1">
      <c r="A1055" s="23">
        <v>1055</v>
      </c>
      <c r="B1055" s="84">
        <v>45758</v>
      </c>
      <c r="C1055" s="23" t="s">
        <v>829</v>
      </c>
      <c r="D1055" s="23" t="s">
        <v>245</v>
      </c>
      <c r="G1055" s="23">
        <v>0</v>
      </c>
      <c r="I1055" s="217" t="s">
        <v>2241</v>
      </c>
    </row>
    <row r="1056" spans="1:9" hidden="1">
      <c r="A1056" s="23">
        <v>1056</v>
      </c>
      <c r="B1056" s="84">
        <v>45758</v>
      </c>
      <c r="C1056" s="23" t="s">
        <v>826</v>
      </c>
      <c r="D1056" s="23" t="s">
        <v>229</v>
      </c>
      <c r="G1056" s="23">
        <v>0</v>
      </c>
      <c r="I1056" s="217" t="s">
        <v>2238</v>
      </c>
    </row>
    <row r="1057" spans="1:9" hidden="1">
      <c r="A1057" s="23">
        <v>1057</v>
      </c>
      <c r="B1057" s="84">
        <v>45758</v>
      </c>
      <c r="C1057" s="23" t="s">
        <v>826</v>
      </c>
      <c r="D1057" s="23" t="s">
        <v>226</v>
      </c>
      <c r="G1057" s="23">
        <v>0</v>
      </c>
      <c r="I1057" s="217" t="s">
        <v>2242</v>
      </c>
    </row>
    <row r="1058" spans="1:9" hidden="1">
      <c r="A1058" s="23">
        <v>1058</v>
      </c>
      <c r="B1058" s="84">
        <v>45758</v>
      </c>
      <c r="C1058" s="23" t="s">
        <v>382</v>
      </c>
      <c r="D1058" s="23" t="s">
        <v>232</v>
      </c>
      <c r="G1058" s="23">
        <v>0</v>
      </c>
      <c r="I1058" s="217" t="s">
        <v>2239</v>
      </c>
    </row>
    <row r="1059" spans="1:9" hidden="1">
      <c r="A1059" s="23">
        <v>1059</v>
      </c>
      <c r="B1059" s="84">
        <v>45758</v>
      </c>
      <c r="C1059" s="23" t="s">
        <v>820</v>
      </c>
      <c r="D1059" s="23" t="s">
        <v>220</v>
      </c>
      <c r="G1059" s="23" t="s">
        <v>9</v>
      </c>
      <c r="I1059" s="217" t="s">
        <v>2243</v>
      </c>
    </row>
    <row r="1060" spans="1:9" hidden="1">
      <c r="A1060" s="23">
        <v>1060</v>
      </c>
      <c r="B1060" s="84">
        <v>45758</v>
      </c>
      <c r="C1060" s="23" t="s">
        <v>820</v>
      </c>
      <c r="D1060" s="23" t="s">
        <v>211</v>
      </c>
      <c r="G1060" s="23" t="s">
        <v>9</v>
      </c>
      <c r="I1060" s="217" t="s">
        <v>2244</v>
      </c>
    </row>
    <row r="1061" spans="1:9" hidden="1">
      <c r="A1061" s="23">
        <v>1061</v>
      </c>
      <c r="B1061" s="84">
        <v>45758</v>
      </c>
      <c r="C1061" s="23" t="s">
        <v>329</v>
      </c>
      <c r="D1061" s="23" t="s">
        <v>202</v>
      </c>
      <c r="G1061" s="23">
        <v>0.7</v>
      </c>
      <c r="I1061" s="217" t="s">
        <v>2245</v>
      </c>
    </row>
    <row r="1062" spans="1:9" hidden="1">
      <c r="A1062" s="23">
        <v>1062</v>
      </c>
      <c r="B1062" s="84">
        <v>45758</v>
      </c>
      <c r="C1062" s="23" t="s">
        <v>509</v>
      </c>
      <c r="D1062" s="23" t="s">
        <v>211</v>
      </c>
      <c r="G1062" s="23">
        <v>0.63</v>
      </c>
      <c r="I1062" s="217" t="s">
        <v>2246</v>
      </c>
    </row>
    <row r="1063" spans="1:9" hidden="1">
      <c r="A1063" s="23">
        <v>1063</v>
      </c>
      <c r="B1063" s="84">
        <v>45758</v>
      </c>
      <c r="C1063" s="23" t="s">
        <v>509</v>
      </c>
      <c r="D1063" s="23" t="s">
        <v>211</v>
      </c>
      <c r="G1063" s="23" t="s">
        <v>9</v>
      </c>
      <c r="I1063" s="217" t="s">
        <v>2246</v>
      </c>
    </row>
    <row r="1064" spans="1:9" hidden="1">
      <c r="A1064" s="23">
        <v>1064</v>
      </c>
      <c r="B1064" s="84">
        <v>45758</v>
      </c>
      <c r="C1064" s="23" t="s">
        <v>833</v>
      </c>
      <c r="D1064" s="23" t="s">
        <v>211</v>
      </c>
      <c r="G1064" s="23">
        <v>0.6</v>
      </c>
      <c r="I1064" s="217" t="s">
        <v>2246</v>
      </c>
    </row>
    <row r="1065" spans="1:9" hidden="1">
      <c r="A1065" s="23">
        <v>1065</v>
      </c>
      <c r="B1065" s="84">
        <v>45758</v>
      </c>
      <c r="C1065" s="23" t="s">
        <v>835</v>
      </c>
      <c r="D1065" s="23" t="s">
        <v>234</v>
      </c>
      <c r="G1065" s="23">
        <v>0.7</v>
      </c>
      <c r="I1065" s="217" t="s">
        <v>2247</v>
      </c>
    </row>
    <row r="1066" spans="1:9" hidden="1">
      <c r="A1066" s="23">
        <v>1066</v>
      </c>
      <c r="B1066" s="84">
        <v>45758</v>
      </c>
      <c r="C1066" s="23" t="s">
        <v>444</v>
      </c>
      <c r="D1066" s="23" t="s">
        <v>189</v>
      </c>
      <c r="G1066" s="23">
        <v>1</v>
      </c>
      <c r="I1066" s="217" t="s">
        <v>2248</v>
      </c>
    </row>
    <row r="1067" spans="1:9" hidden="1">
      <c r="A1067" s="23">
        <v>1067</v>
      </c>
      <c r="B1067" s="84">
        <v>45758</v>
      </c>
      <c r="C1067" s="23" t="s">
        <v>571</v>
      </c>
      <c r="D1067" s="23" t="s">
        <v>234</v>
      </c>
      <c r="G1067" s="23">
        <v>0</v>
      </c>
      <c r="I1067" s="217" t="s">
        <v>2249</v>
      </c>
    </row>
    <row r="1068" spans="1:9" hidden="1">
      <c r="A1068" s="23">
        <v>1068</v>
      </c>
      <c r="B1068" s="84">
        <v>45758</v>
      </c>
      <c r="C1068" s="23" t="s">
        <v>753</v>
      </c>
      <c r="D1068" s="23" t="s">
        <v>205</v>
      </c>
      <c r="G1068" s="23">
        <v>0</v>
      </c>
      <c r="I1068" s="217" t="s">
        <v>2250</v>
      </c>
    </row>
    <row r="1069" spans="1:9" hidden="1">
      <c r="A1069" s="23">
        <v>1069</v>
      </c>
      <c r="B1069" s="84">
        <v>45758</v>
      </c>
      <c r="C1069" s="23" t="s">
        <v>832</v>
      </c>
      <c r="D1069" s="23" t="s">
        <v>202</v>
      </c>
      <c r="G1069" s="23">
        <v>0</v>
      </c>
      <c r="I1069" s="217" t="s">
        <v>2251</v>
      </c>
    </row>
    <row r="1070" spans="1:9" hidden="1">
      <c r="A1070" s="23">
        <v>1070</v>
      </c>
      <c r="B1070" s="84">
        <v>45758</v>
      </c>
      <c r="C1070" s="23" t="s">
        <v>502</v>
      </c>
      <c r="D1070" s="23" t="s">
        <v>199</v>
      </c>
      <c r="G1070" s="23">
        <v>0</v>
      </c>
      <c r="I1070" s="217" t="s">
        <v>2252</v>
      </c>
    </row>
    <row r="1071" spans="1:9">
      <c r="A1071" s="23">
        <v>1071</v>
      </c>
      <c r="B1071" s="84">
        <v>45758</v>
      </c>
      <c r="C1071" s="23" t="s">
        <v>788</v>
      </c>
      <c r="D1071" s="23" t="s">
        <v>177</v>
      </c>
      <c r="G1071" s="23">
        <v>0</v>
      </c>
      <c r="I1071" s="217" t="s">
        <v>2253</v>
      </c>
    </row>
    <row r="1072" spans="1:9" hidden="1">
      <c r="A1072" s="23">
        <v>1072</v>
      </c>
      <c r="B1072" s="84">
        <v>45758</v>
      </c>
      <c r="C1072" s="23" t="s">
        <v>838</v>
      </c>
      <c r="D1072" s="23" t="s">
        <v>199</v>
      </c>
      <c r="G1072" s="23">
        <v>0.7</v>
      </c>
      <c r="I1072" s="217" t="s">
        <v>1294</v>
      </c>
    </row>
    <row r="1073" spans="1:9" hidden="1">
      <c r="A1073" s="23">
        <v>1073</v>
      </c>
      <c r="B1073" s="84">
        <v>45758</v>
      </c>
      <c r="C1073" s="23" t="s">
        <v>838</v>
      </c>
      <c r="D1073" s="23" t="s">
        <v>202</v>
      </c>
      <c r="G1073" s="23">
        <v>0.7</v>
      </c>
      <c r="I1073" s="217" t="s">
        <v>1294</v>
      </c>
    </row>
    <row r="1074" spans="1:9" hidden="1">
      <c r="A1074" s="23">
        <v>1074</v>
      </c>
      <c r="B1074" s="84">
        <v>45758</v>
      </c>
      <c r="C1074" s="23" t="s">
        <v>212</v>
      </c>
      <c r="D1074" s="23" t="s">
        <v>217</v>
      </c>
      <c r="G1074" s="23">
        <v>0.89</v>
      </c>
      <c r="I1074" s="217" t="s">
        <v>2254</v>
      </c>
    </row>
    <row r="1075" spans="1:9" hidden="1">
      <c r="A1075" s="23">
        <v>1075</v>
      </c>
      <c r="B1075" s="84">
        <v>45758</v>
      </c>
      <c r="C1075" s="23" t="s">
        <v>222</v>
      </c>
      <c r="D1075" s="23" t="s">
        <v>225</v>
      </c>
      <c r="G1075" s="23">
        <v>0</v>
      </c>
      <c r="I1075" s="217" t="s">
        <v>2255</v>
      </c>
    </row>
    <row r="1076" spans="1:9" hidden="1">
      <c r="A1076" s="23">
        <v>1076</v>
      </c>
      <c r="B1076" s="84">
        <v>45758</v>
      </c>
      <c r="C1076" s="23" t="s">
        <v>839</v>
      </c>
      <c r="D1076" s="23" t="s">
        <v>236</v>
      </c>
      <c r="G1076" s="23">
        <v>0.7</v>
      </c>
      <c r="I1076" s="217" t="s">
        <v>2256</v>
      </c>
    </row>
    <row r="1077" spans="1:9" hidden="1">
      <c r="A1077" s="23">
        <v>1077</v>
      </c>
      <c r="B1077" s="84">
        <v>45758</v>
      </c>
      <c r="C1077" s="23" t="s">
        <v>756</v>
      </c>
      <c r="D1077" s="23" t="s">
        <v>239</v>
      </c>
      <c r="G1077" s="23">
        <v>0.7</v>
      </c>
      <c r="I1077" s="217" t="s">
        <v>2257</v>
      </c>
    </row>
    <row r="1078" spans="1:9" hidden="1">
      <c r="A1078" s="23">
        <v>1078</v>
      </c>
      <c r="B1078" s="84">
        <v>45758</v>
      </c>
      <c r="C1078" s="23" t="s">
        <v>420</v>
      </c>
      <c r="D1078" s="23" t="s">
        <v>245</v>
      </c>
      <c r="G1078" s="23">
        <v>0.7</v>
      </c>
      <c r="I1078" s="217" t="s">
        <v>2258</v>
      </c>
    </row>
    <row r="1079" spans="1:9" hidden="1">
      <c r="A1079" s="23">
        <v>1079</v>
      </c>
      <c r="B1079" s="84">
        <v>45758</v>
      </c>
      <c r="C1079" s="23" t="s">
        <v>420</v>
      </c>
      <c r="D1079" s="23" t="s">
        <v>226</v>
      </c>
      <c r="G1079" s="23">
        <v>0.7</v>
      </c>
      <c r="I1079" s="217" t="s">
        <v>2259</v>
      </c>
    </row>
    <row r="1080" spans="1:9" hidden="1">
      <c r="A1080" s="23">
        <v>1080</v>
      </c>
      <c r="B1080" s="84">
        <v>45758</v>
      </c>
      <c r="C1080" s="23" t="s">
        <v>535</v>
      </c>
      <c r="D1080" s="23" t="s">
        <v>229</v>
      </c>
      <c r="G1080" s="23">
        <v>0.7</v>
      </c>
      <c r="I1080" s="217" t="s">
        <v>2260</v>
      </c>
    </row>
    <row r="1081" spans="1:9" hidden="1">
      <c r="A1081" s="23">
        <v>1081</v>
      </c>
      <c r="B1081" s="84">
        <v>45758</v>
      </c>
      <c r="C1081" s="23" t="s">
        <v>841</v>
      </c>
      <c r="D1081" s="23" t="s">
        <v>205</v>
      </c>
      <c r="G1081" s="23" t="s">
        <v>9</v>
      </c>
      <c r="I1081" s="217" t="s">
        <v>1294</v>
      </c>
    </row>
    <row r="1082" spans="1:9" hidden="1">
      <c r="A1082" s="23">
        <v>1082</v>
      </c>
      <c r="B1082" s="84">
        <v>45758</v>
      </c>
      <c r="C1082" s="23" t="s">
        <v>425</v>
      </c>
      <c r="D1082" s="23" t="s">
        <v>232</v>
      </c>
      <c r="G1082" s="23">
        <v>0.7</v>
      </c>
      <c r="I1082" s="217" t="s">
        <v>2261</v>
      </c>
    </row>
    <row r="1083" spans="1:9" hidden="1">
      <c r="A1083" s="23">
        <v>1083</v>
      </c>
      <c r="B1083" s="84">
        <v>45758</v>
      </c>
      <c r="C1083" s="23" t="s">
        <v>197</v>
      </c>
      <c r="D1083" s="23" t="s">
        <v>236</v>
      </c>
      <c r="G1083" s="23">
        <v>0</v>
      </c>
      <c r="I1083" s="217" t="s">
        <v>2256</v>
      </c>
    </row>
    <row r="1084" spans="1:9" hidden="1">
      <c r="A1084" s="23">
        <v>1084</v>
      </c>
      <c r="B1084" s="84">
        <v>45758</v>
      </c>
      <c r="C1084" s="23" t="s">
        <v>285</v>
      </c>
      <c r="D1084" s="23" t="s">
        <v>239</v>
      </c>
      <c r="G1084" s="23">
        <v>0</v>
      </c>
      <c r="I1084" s="217" t="s">
        <v>2262</v>
      </c>
    </row>
    <row r="1085" spans="1:9" hidden="1">
      <c r="A1085" s="23">
        <v>1085</v>
      </c>
      <c r="B1085" s="84">
        <v>45758</v>
      </c>
      <c r="C1085" s="23" t="s">
        <v>639</v>
      </c>
      <c r="D1085" s="23" t="s">
        <v>335</v>
      </c>
      <c r="G1085" s="23" t="s">
        <v>9</v>
      </c>
      <c r="I1085" s="217" t="s">
        <v>2263</v>
      </c>
    </row>
    <row r="1086" spans="1:9" hidden="1">
      <c r="A1086" s="23">
        <v>1086</v>
      </c>
      <c r="B1086" s="84">
        <v>45758</v>
      </c>
      <c r="C1086" s="23" t="s">
        <v>397</v>
      </c>
      <c r="D1086" s="23" t="s">
        <v>226</v>
      </c>
      <c r="G1086" s="23">
        <v>0</v>
      </c>
      <c r="I1086" s="217" t="s">
        <v>2264</v>
      </c>
    </row>
    <row r="1087" spans="1:9" hidden="1">
      <c r="A1087" s="23">
        <v>1087</v>
      </c>
      <c r="B1087" s="84">
        <v>45758</v>
      </c>
      <c r="C1087" s="23" t="s">
        <v>845</v>
      </c>
      <c r="D1087" s="23" t="s">
        <v>234</v>
      </c>
      <c r="G1087" s="23">
        <v>0.7</v>
      </c>
      <c r="I1087" s="217" t="s">
        <v>2265</v>
      </c>
    </row>
    <row r="1088" spans="1:9" hidden="1">
      <c r="A1088" s="23">
        <v>1089</v>
      </c>
      <c r="B1088" s="84">
        <v>45758</v>
      </c>
      <c r="C1088" s="23" t="s">
        <v>278</v>
      </c>
      <c r="D1088" s="23" t="s">
        <v>245</v>
      </c>
      <c r="G1088" s="23">
        <v>0</v>
      </c>
      <c r="I1088" s="217" t="s">
        <v>2266</v>
      </c>
    </row>
    <row r="1089" spans="1:9" hidden="1">
      <c r="A1089" s="23">
        <v>1090</v>
      </c>
      <c r="B1089" s="84">
        <v>45758</v>
      </c>
      <c r="C1089" s="23" t="s">
        <v>846</v>
      </c>
      <c r="D1089" s="23" t="s">
        <v>245</v>
      </c>
      <c r="G1089" s="23">
        <v>0.7</v>
      </c>
      <c r="I1089" s="217" t="s">
        <v>1294</v>
      </c>
    </row>
    <row r="1090" spans="1:9" hidden="1">
      <c r="A1090" s="23">
        <v>1091</v>
      </c>
      <c r="B1090" s="84">
        <v>45758</v>
      </c>
      <c r="C1090" s="23" t="s">
        <v>846</v>
      </c>
      <c r="D1090" s="23" t="s">
        <v>226</v>
      </c>
      <c r="G1090" s="23">
        <v>0.7</v>
      </c>
      <c r="I1090" s="217" t="s">
        <v>1294</v>
      </c>
    </row>
    <row r="1091" spans="1:9" hidden="1">
      <c r="A1091" s="23">
        <v>1092</v>
      </c>
      <c r="B1091" s="84">
        <v>45758</v>
      </c>
      <c r="C1091" s="23" t="s">
        <v>846</v>
      </c>
      <c r="D1091" s="23" t="s">
        <v>239</v>
      </c>
      <c r="G1091" s="23">
        <v>0.7</v>
      </c>
      <c r="I1091" s="217" t="s">
        <v>1294</v>
      </c>
    </row>
    <row r="1092" spans="1:9" hidden="1">
      <c r="A1092" s="23">
        <v>1093</v>
      </c>
      <c r="B1092" s="84">
        <v>45758</v>
      </c>
      <c r="C1092" s="23" t="s">
        <v>840</v>
      </c>
      <c r="D1092" s="23" t="s">
        <v>229</v>
      </c>
      <c r="G1092" s="23">
        <v>0</v>
      </c>
      <c r="I1092" s="217" t="s">
        <v>2267</v>
      </c>
    </row>
    <row r="1093" spans="1:9" hidden="1">
      <c r="A1093" s="23">
        <v>1094</v>
      </c>
      <c r="B1093" s="84">
        <v>45758</v>
      </c>
      <c r="C1093" s="23" t="s">
        <v>287</v>
      </c>
      <c r="D1093" s="23" t="s">
        <v>229</v>
      </c>
      <c r="G1093" s="23">
        <v>0.7</v>
      </c>
      <c r="I1093" s="217" t="s">
        <v>1294</v>
      </c>
    </row>
    <row r="1094" spans="1:9" hidden="1">
      <c r="A1094" s="23">
        <v>1095</v>
      </c>
      <c r="B1094" s="84">
        <v>45758</v>
      </c>
      <c r="C1094" s="23" t="s">
        <v>845</v>
      </c>
      <c r="D1094" s="23" t="s">
        <v>236</v>
      </c>
      <c r="G1094" s="23">
        <v>0.7</v>
      </c>
      <c r="I1094" s="217" t="s">
        <v>2268</v>
      </c>
    </row>
    <row r="1095" spans="1:9" hidden="1">
      <c r="A1095" s="23">
        <v>1096</v>
      </c>
      <c r="B1095" s="84">
        <v>45758</v>
      </c>
      <c r="C1095" s="23" t="s">
        <v>843</v>
      </c>
      <c r="D1095" s="23" t="s">
        <v>335</v>
      </c>
      <c r="G1095" s="23">
        <v>0.3</v>
      </c>
      <c r="H1095" s="23" t="s">
        <v>2269</v>
      </c>
      <c r="I1095" s="217" t="s">
        <v>2270</v>
      </c>
    </row>
    <row r="1096" spans="1:9" hidden="1">
      <c r="A1096" s="23">
        <v>1097</v>
      </c>
      <c r="B1096" s="84">
        <v>45758</v>
      </c>
      <c r="C1096" s="23" t="s">
        <v>848</v>
      </c>
      <c r="D1096" s="23" t="s">
        <v>335</v>
      </c>
      <c r="G1096" s="23">
        <v>0</v>
      </c>
      <c r="H1096" s="23" t="s">
        <v>2271</v>
      </c>
      <c r="I1096" s="217" t="s">
        <v>2270</v>
      </c>
    </row>
    <row r="1097" spans="1:9" hidden="1">
      <c r="A1097" s="23">
        <v>1098</v>
      </c>
      <c r="B1097" s="84">
        <v>45758</v>
      </c>
      <c r="C1097" s="23" t="s">
        <v>836</v>
      </c>
      <c r="D1097" s="23" t="s">
        <v>189</v>
      </c>
      <c r="G1097" s="23">
        <v>0</v>
      </c>
      <c r="H1097" s="23" t="s">
        <v>851</v>
      </c>
      <c r="I1097" s="217" t="s">
        <v>2272</v>
      </c>
    </row>
    <row r="1098" spans="1:9" hidden="1">
      <c r="A1098" s="23">
        <v>1099</v>
      </c>
      <c r="B1098" s="84">
        <v>45758</v>
      </c>
      <c r="C1098" s="23" t="s">
        <v>836</v>
      </c>
      <c r="D1098" s="23" t="s">
        <v>189</v>
      </c>
      <c r="G1098" s="23">
        <v>4</v>
      </c>
      <c r="H1098" s="23" t="s">
        <v>851</v>
      </c>
      <c r="I1098" s="217" t="s">
        <v>1294</v>
      </c>
    </row>
    <row r="1099" spans="1:9" hidden="1">
      <c r="A1099" s="23">
        <v>1100</v>
      </c>
      <c r="B1099" s="84">
        <v>45758</v>
      </c>
      <c r="C1099" s="23" t="s">
        <v>413</v>
      </c>
      <c r="D1099" s="23" t="s">
        <v>234</v>
      </c>
      <c r="G1099" s="23">
        <v>0</v>
      </c>
      <c r="I1099" s="217" t="s">
        <v>2273</v>
      </c>
    </row>
    <row r="1100" spans="1:9" hidden="1">
      <c r="A1100" s="23">
        <v>1101</v>
      </c>
      <c r="B1100" s="84">
        <v>45758</v>
      </c>
      <c r="C1100" s="23" t="s">
        <v>297</v>
      </c>
      <c r="D1100" s="23" t="s">
        <v>199</v>
      </c>
      <c r="G1100" s="23">
        <v>0</v>
      </c>
      <c r="I1100" s="217" t="s">
        <v>2274</v>
      </c>
    </row>
    <row r="1101" spans="1:9" hidden="1">
      <c r="A1101" s="23">
        <v>1102</v>
      </c>
      <c r="B1101" s="84">
        <v>45758</v>
      </c>
      <c r="C1101" s="23" t="s">
        <v>297</v>
      </c>
      <c r="D1101" s="23" t="s">
        <v>202</v>
      </c>
      <c r="G1101" s="23">
        <v>0</v>
      </c>
      <c r="I1101" s="217" t="s">
        <v>2275</v>
      </c>
    </row>
    <row r="1102" spans="1:9" hidden="1">
      <c r="A1102" s="23">
        <v>1103</v>
      </c>
      <c r="B1102" s="84">
        <v>45758</v>
      </c>
      <c r="C1102" s="23" t="s">
        <v>842</v>
      </c>
      <c r="D1102" s="23" t="s">
        <v>232</v>
      </c>
      <c r="G1102" s="23">
        <v>0</v>
      </c>
      <c r="I1102" s="217" t="s">
        <v>2276</v>
      </c>
    </row>
    <row r="1103" spans="1:9" hidden="1">
      <c r="A1103" s="23">
        <v>1104</v>
      </c>
      <c r="B1103" s="84">
        <v>45758</v>
      </c>
      <c r="C1103" s="23" t="s">
        <v>842</v>
      </c>
      <c r="D1103" s="23" t="s">
        <v>236</v>
      </c>
      <c r="G1103" s="23">
        <v>0</v>
      </c>
      <c r="I1103" s="217" t="s">
        <v>2277</v>
      </c>
    </row>
    <row r="1104" spans="1:9" hidden="1">
      <c r="A1104" s="23">
        <v>1105</v>
      </c>
      <c r="B1104" s="84">
        <v>45758</v>
      </c>
      <c r="C1104" s="23" t="s">
        <v>337</v>
      </c>
      <c r="D1104" s="23" t="s">
        <v>239</v>
      </c>
      <c r="G1104" s="23">
        <v>0</v>
      </c>
      <c r="I1104" s="217" t="s">
        <v>2278</v>
      </c>
    </row>
    <row r="1105" spans="1:9" hidden="1">
      <c r="A1105" s="23">
        <v>1106</v>
      </c>
      <c r="B1105" s="84">
        <v>45758</v>
      </c>
      <c r="C1105" s="23" t="s">
        <v>852</v>
      </c>
      <c r="D1105" s="23" t="s">
        <v>391</v>
      </c>
      <c r="G1105" s="23">
        <v>0.7</v>
      </c>
      <c r="I1105" s="217" t="s">
        <v>2279</v>
      </c>
    </row>
    <row r="1106" spans="1:9" hidden="1">
      <c r="A1106" s="23">
        <v>1107</v>
      </c>
      <c r="B1106" s="84">
        <v>45758</v>
      </c>
      <c r="C1106" s="23" t="s">
        <v>337</v>
      </c>
      <c r="D1106" s="23" t="s">
        <v>391</v>
      </c>
      <c r="G1106" s="23">
        <v>0</v>
      </c>
      <c r="I1106" s="217" t="s">
        <v>2279</v>
      </c>
    </row>
    <row r="1107" spans="1:9" hidden="1">
      <c r="A1107" s="23">
        <v>1107</v>
      </c>
      <c r="B1107" s="84">
        <v>45758</v>
      </c>
      <c r="C1107" s="23" t="s">
        <v>847</v>
      </c>
      <c r="D1107" s="23" t="s">
        <v>226</v>
      </c>
      <c r="G1107" s="23">
        <v>0</v>
      </c>
      <c r="I1107" s="217" t="s">
        <v>2280</v>
      </c>
    </row>
    <row r="1108" spans="1:9" hidden="1">
      <c r="A1108" s="23">
        <v>1108</v>
      </c>
      <c r="B1108" s="84">
        <v>45758</v>
      </c>
      <c r="C1108" s="23" t="s">
        <v>847</v>
      </c>
      <c r="D1108" s="23" t="s">
        <v>245</v>
      </c>
      <c r="G1108" s="23">
        <v>0</v>
      </c>
      <c r="I1108" s="217" t="s">
        <v>2281</v>
      </c>
    </row>
    <row r="1109" spans="1:9" hidden="1">
      <c r="A1109" s="23">
        <v>1109</v>
      </c>
      <c r="B1109" s="84">
        <v>45758</v>
      </c>
      <c r="C1109" s="23" t="s">
        <v>672</v>
      </c>
      <c r="D1109" s="23" t="s">
        <v>229</v>
      </c>
      <c r="G1109" s="23">
        <v>0</v>
      </c>
      <c r="I1109" s="217" t="s">
        <v>2282</v>
      </c>
    </row>
    <row r="1110" spans="1:9" hidden="1">
      <c r="A1110" s="23">
        <v>1110</v>
      </c>
      <c r="B1110" s="84">
        <v>45758</v>
      </c>
      <c r="C1110" s="23" t="s">
        <v>348</v>
      </c>
      <c r="D1110" s="23" t="s">
        <v>220</v>
      </c>
      <c r="G1110" s="23">
        <v>0.5</v>
      </c>
      <c r="I1110" s="217" t="s">
        <v>2283</v>
      </c>
    </row>
    <row r="1111" spans="1:9" hidden="1">
      <c r="A1111" s="23">
        <v>1111</v>
      </c>
      <c r="B1111" s="84">
        <v>45758</v>
      </c>
      <c r="C1111" s="23" t="s">
        <v>823</v>
      </c>
      <c r="D1111" s="23" t="s">
        <v>183</v>
      </c>
      <c r="G1111" s="23">
        <v>0</v>
      </c>
      <c r="I1111" s="217" t="s">
        <v>2284</v>
      </c>
    </row>
    <row r="1112" spans="1:9" hidden="1">
      <c r="A1112" s="23">
        <v>1112</v>
      </c>
      <c r="B1112" s="84">
        <v>45758</v>
      </c>
      <c r="C1112" s="23" t="s">
        <v>449</v>
      </c>
      <c r="D1112" s="23" t="s">
        <v>186</v>
      </c>
      <c r="G1112" s="23">
        <v>0</v>
      </c>
      <c r="I1112" s="217" t="s">
        <v>2285</v>
      </c>
    </row>
    <row r="1113" spans="1:9" hidden="1">
      <c r="A1113" s="23">
        <v>1113</v>
      </c>
      <c r="B1113" s="84">
        <v>45759</v>
      </c>
      <c r="C1113" s="23">
        <v>31</v>
      </c>
      <c r="D1113" s="23" t="s">
        <v>242</v>
      </c>
      <c r="G1113" s="23">
        <v>0</v>
      </c>
      <c r="I1113" s="217" t="s">
        <v>2286</v>
      </c>
    </row>
    <row r="1114" spans="1:9" hidden="1">
      <c r="A1114" s="23">
        <v>1114</v>
      </c>
      <c r="B1114" s="84">
        <v>45759</v>
      </c>
      <c r="C1114" s="23" t="s">
        <v>813</v>
      </c>
      <c r="D1114" s="23" t="s">
        <v>232</v>
      </c>
      <c r="G1114" s="23">
        <v>0.7</v>
      </c>
      <c r="I1114" s="217" t="s">
        <v>2287</v>
      </c>
    </row>
    <row r="1115" spans="1:9" hidden="1">
      <c r="A1115" s="23">
        <v>1115</v>
      </c>
      <c r="B1115" s="84">
        <v>45759</v>
      </c>
      <c r="C1115" s="23" t="s">
        <v>813</v>
      </c>
      <c r="D1115" s="23" t="s">
        <v>239</v>
      </c>
      <c r="G1115" s="23">
        <v>0.7</v>
      </c>
      <c r="I1115" s="217" t="s">
        <v>2288</v>
      </c>
    </row>
    <row r="1116" spans="1:9" hidden="1">
      <c r="A1116" s="23">
        <v>1116</v>
      </c>
      <c r="B1116" s="84">
        <v>45759</v>
      </c>
      <c r="C1116" s="23" t="s">
        <v>813</v>
      </c>
      <c r="D1116" s="23" t="s">
        <v>234</v>
      </c>
      <c r="G1116" s="23">
        <v>0.7</v>
      </c>
      <c r="I1116" s="217" t="s">
        <v>2289</v>
      </c>
    </row>
    <row r="1117" spans="1:9" hidden="1">
      <c r="A1117" s="23">
        <v>1117</v>
      </c>
      <c r="B1117" s="84">
        <v>45759</v>
      </c>
      <c r="C1117" s="23" t="s">
        <v>813</v>
      </c>
      <c r="D1117" s="23" t="s">
        <v>236</v>
      </c>
      <c r="G1117" s="23">
        <v>0.7</v>
      </c>
      <c r="I1117" s="217" t="s">
        <v>2290</v>
      </c>
    </row>
    <row r="1118" spans="1:9">
      <c r="A1118" s="23">
        <v>1118</v>
      </c>
      <c r="B1118" s="84">
        <v>45759</v>
      </c>
      <c r="C1118" s="23" t="s">
        <v>813</v>
      </c>
      <c r="D1118" s="23" t="s">
        <v>248</v>
      </c>
      <c r="G1118" s="23">
        <v>0</v>
      </c>
      <c r="I1118" s="217" t="s">
        <v>2291</v>
      </c>
    </row>
    <row r="1119" spans="1:9" hidden="1">
      <c r="A1119" s="23">
        <v>1119</v>
      </c>
      <c r="B1119" s="84">
        <v>45759</v>
      </c>
      <c r="C1119" s="23" t="s">
        <v>853</v>
      </c>
      <c r="D1119" s="23" t="s">
        <v>232</v>
      </c>
      <c r="G1119" s="23">
        <v>0</v>
      </c>
      <c r="I1119" s="217" t="s">
        <v>2287</v>
      </c>
    </row>
    <row r="1120" spans="1:9" hidden="1">
      <c r="A1120" s="23">
        <v>1120</v>
      </c>
      <c r="B1120" s="84">
        <v>45759</v>
      </c>
      <c r="C1120" s="23" t="s">
        <v>308</v>
      </c>
      <c r="D1120" s="23" t="s">
        <v>234</v>
      </c>
      <c r="G1120" s="23">
        <v>0</v>
      </c>
      <c r="I1120" s="217" t="s">
        <v>2289</v>
      </c>
    </row>
    <row r="1121" spans="1:9" hidden="1">
      <c r="A1121" s="23">
        <v>1121</v>
      </c>
      <c r="B1121" s="84">
        <v>45759</v>
      </c>
      <c r="C1121" s="23" t="s">
        <v>854</v>
      </c>
      <c r="D1121" s="23" t="s">
        <v>234</v>
      </c>
      <c r="G1121" s="23">
        <v>0.7</v>
      </c>
      <c r="I1121" s="217" t="s">
        <v>1294</v>
      </c>
    </row>
    <row r="1122" spans="1:9" hidden="1">
      <c r="A1122" s="23">
        <v>1122</v>
      </c>
      <c r="B1122" s="84">
        <v>45759</v>
      </c>
      <c r="C1122" s="23" t="s">
        <v>437</v>
      </c>
      <c r="D1122" s="23" t="s">
        <v>183</v>
      </c>
      <c r="G1122" s="23">
        <v>2</v>
      </c>
      <c r="I1122" s="217" t="s">
        <v>2292</v>
      </c>
    </row>
    <row r="1123" spans="1:9" hidden="1">
      <c r="A1123" s="23">
        <v>1123</v>
      </c>
      <c r="B1123" s="84">
        <v>45759</v>
      </c>
      <c r="C1123" s="23" t="s">
        <v>855</v>
      </c>
      <c r="D1123" s="23" t="s">
        <v>234</v>
      </c>
      <c r="G1123" s="23">
        <v>0</v>
      </c>
      <c r="I1123" s="217" t="s">
        <v>2293</v>
      </c>
    </row>
    <row r="1124" spans="1:9" hidden="1">
      <c r="A1124" s="23">
        <v>1124</v>
      </c>
      <c r="B1124" s="84">
        <v>45759</v>
      </c>
      <c r="C1124" s="23" t="s">
        <v>594</v>
      </c>
      <c r="D1124" s="23" t="s">
        <v>236</v>
      </c>
      <c r="G1124" s="23">
        <v>0</v>
      </c>
      <c r="I1124" s="217" t="s">
        <v>2294</v>
      </c>
    </row>
    <row r="1125" spans="1:9" hidden="1">
      <c r="A1125" s="23">
        <v>1125</v>
      </c>
      <c r="B1125" s="84">
        <v>45759</v>
      </c>
      <c r="C1125" s="23" t="s">
        <v>443</v>
      </c>
      <c r="D1125" s="23" t="s">
        <v>239</v>
      </c>
      <c r="G1125" s="23">
        <v>0</v>
      </c>
      <c r="I1125" s="217" t="s">
        <v>2295</v>
      </c>
    </row>
    <row r="1126" spans="1:9" hidden="1">
      <c r="A1126" s="23">
        <v>1126</v>
      </c>
      <c r="B1126" s="84">
        <v>45759</v>
      </c>
      <c r="C1126" s="23" t="s">
        <v>857</v>
      </c>
      <c r="D1126" s="23" t="s">
        <v>245</v>
      </c>
      <c r="G1126" s="23">
        <v>0.7</v>
      </c>
      <c r="I1126" s="217" t="s">
        <v>2296</v>
      </c>
    </row>
    <row r="1127" spans="1:9">
      <c r="A1127" s="23">
        <v>1127</v>
      </c>
      <c r="B1127" s="84">
        <v>45759</v>
      </c>
      <c r="C1127" s="23" t="s">
        <v>293</v>
      </c>
      <c r="D1127" s="23" t="s">
        <v>177</v>
      </c>
      <c r="G1127" s="23">
        <v>0.5</v>
      </c>
      <c r="I1127" s="217" t="s">
        <v>2297</v>
      </c>
    </row>
    <row r="1128" spans="1:9" hidden="1">
      <c r="A1128" s="23">
        <v>1128</v>
      </c>
      <c r="B1128" s="84">
        <v>45759</v>
      </c>
      <c r="C1128" s="23" t="s">
        <v>355</v>
      </c>
      <c r="D1128" s="23" t="s">
        <v>226</v>
      </c>
      <c r="G1128" s="23">
        <v>0.7</v>
      </c>
      <c r="I1128" s="217" t="s">
        <v>2298</v>
      </c>
    </row>
    <row r="1129" spans="1:9" hidden="1">
      <c r="A1129" s="23">
        <v>1129</v>
      </c>
      <c r="B1129" s="84">
        <v>45759</v>
      </c>
      <c r="C1129" s="23" t="s">
        <v>732</v>
      </c>
      <c r="D1129" s="23" t="s">
        <v>229</v>
      </c>
      <c r="G1129" s="23">
        <v>0.7</v>
      </c>
      <c r="I1129" s="217" t="s">
        <v>2299</v>
      </c>
    </row>
    <row r="1130" spans="1:9" hidden="1">
      <c r="A1130" s="23">
        <v>1130</v>
      </c>
      <c r="B1130" s="84">
        <v>45759</v>
      </c>
      <c r="C1130" s="23" t="s">
        <v>218</v>
      </c>
      <c r="D1130" s="23" t="s">
        <v>225</v>
      </c>
      <c r="G1130" s="23">
        <v>0.78</v>
      </c>
      <c r="I1130" s="217" t="s">
        <v>2300</v>
      </c>
    </row>
    <row r="1131" spans="1:9" hidden="1">
      <c r="A1131" s="23">
        <v>1131</v>
      </c>
      <c r="B1131" s="84">
        <v>45759</v>
      </c>
      <c r="C1131" s="23" t="s">
        <v>213</v>
      </c>
      <c r="D1131" s="23" t="s">
        <v>217</v>
      </c>
      <c r="G1131" s="23">
        <v>0</v>
      </c>
      <c r="I1131" s="217" t="s">
        <v>2301</v>
      </c>
    </row>
    <row r="1132" spans="1:9">
      <c r="A1132" s="23">
        <v>1132</v>
      </c>
      <c r="B1132" s="84">
        <v>45759</v>
      </c>
      <c r="C1132" s="23" t="s">
        <v>678</v>
      </c>
      <c r="D1132" s="23" t="s">
        <v>177</v>
      </c>
      <c r="G1132" s="23">
        <v>0</v>
      </c>
      <c r="I1132" s="217" t="s">
        <v>2302</v>
      </c>
    </row>
    <row r="1133" spans="1:9">
      <c r="A1133" s="23">
        <v>1133</v>
      </c>
      <c r="B1133" s="84">
        <v>45759</v>
      </c>
      <c r="C1133" s="23" t="s">
        <v>678</v>
      </c>
      <c r="D1133" s="23" t="s">
        <v>177</v>
      </c>
      <c r="G1133" s="23" t="s">
        <v>9</v>
      </c>
      <c r="I1133" s="217" t="s">
        <v>1294</v>
      </c>
    </row>
    <row r="1134" spans="1:9" hidden="1">
      <c r="A1134" s="23">
        <v>1134</v>
      </c>
      <c r="B1134" s="84">
        <v>45759</v>
      </c>
      <c r="C1134" s="23" t="s">
        <v>858</v>
      </c>
      <c r="D1134" s="23" t="s">
        <v>245</v>
      </c>
      <c r="G1134" s="23">
        <v>0</v>
      </c>
      <c r="I1134" s="217" t="s">
        <v>2303</v>
      </c>
    </row>
    <row r="1135" spans="1:9" hidden="1">
      <c r="A1135" s="23">
        <v>1135</v>
      </c>
      <c r="B1135" s="84">
        <v>45759</v>
      </c>
      <c r="C1135" s="23" t="s">
        <v>540</v>
      </c>
      <c r="D1135" s="23" t="s">
        <v>232</v>
      </c>
      <c r="G1135" s="23">
        <v>0.7</v>
      </c>
      <c r="I1135" s="217" t="s">
        <v>2304</v>
      </c>
    </row>
    <row r="1136" spans="1:9" hidden="1">
      <c r="A1136" s="23">
        <v>1136</v>
      </c>
      <c r="B1136" s="84">
        <v>45759</v>
      </c>
      <c r="C1136" s="23" t="s">
        <v>517</v>
      </c>
      <c r="D1136" s="23" t="s">
        <v>186</v>
      </c>
      <c r="G1136" s="23">
        <v>3.8</v>
      </c>
      <c r="I1136" s="217" t="s">
        <v>2305</v>
      </c>
    </row>
    <row r="1137" spans="1:9" hidden="1">
      <c r="A1137" s="23">
        <v>1137</v>
      </c>
      <c r="B1137" s="84">
        <v>45759</v>
      </c>
      <c r="C1137" s="23" t="s">
        <v>859</v>
      </c>
      <c r="D1137" s="23" t="s">
        <v>226</v>
      </c>
      <c r="G1137" s="23">
        <v>0</v>
      </c>
      <c r="I1137" s="217" t="s">
        <v>2306</v>
      </c>
    </row>
    <row r="1138" spans="1:9" hidden="1">
      <c r="A1138" s="23">
        <v>1138</v>
      </c>
      <c r="B1138" s="84">
        <v>45759</v>
      </c>
      <c r="C1138" s="23" t="s">
        <v>860</v>
      </c>
      <c r="D1138" s="23" t="s">
        <v>229</v>
      </c>
      <c r="G1138" s="23">
        <v>0</v>
      </c>
      <c r="I1138" s="217" t="s">
        <v>2307</v>
      </c>
    </row>
    <row r="1139" spans="1:9" hidden="1">
      <c r="A1139" s="23">
        <v>1139</v>
      </c>
      <c r="B1139" s="84">
        <v>45759</v>
      </c>
      <c r="C1139" s="23" t="s">
        <v>596</v>
      </c>
      <c r="D1139" s="23" t="s">
        <v>232</v>
      </c>
      <c r="G1139" s="23">
        <v>0</v>
      </c>
      <c r="I1139" s="217" t="s">
        <v>2304</v>
      </c>
    </row>
    <row r="1140" spans="1:9" hidden="1">
      <c r="A1140" s="23">
        <v>1140</v>
      </c>
      <c r="B1140" s="84">
        <v>45759</v>
      </c>
      <c r="C1140" s="23" t="s">
        <v>862</v>
      </c>
      <c r="D1140" s="23" t="s">
        <v>242</v>
      </c>
      <c r="G1140" s="23">
        <v>3.8</v>
      </c>
      <c r="I1140" s="217" t="s">
        <v>2308</v>
      </c>
    </row>
    <row r="1141" spans="1:9" hidden="1">
      <c r="A1141" s="23">
        <v>1141</v>
      </c>
      <c r="B1141" s="84">
        <v>45759</v>
      </c>
      <c r="C1141" s="23" t="s">
        <v>255</v>
      </c>
      <c r="D1141" s="23" t="s">
        <v>234</v>
      </c>
      <c r="G1141" s="23">
        <v>0.7</v>
      </c>
      <c r="I1141" s="217" t="s">
        <v>2309</v>
      </c>
    </row>
    <row r="1142" spans="1:9" hidden="1">
      <c r="A1142" s="23">
        <v>1142</v>
      </c>
      <c r="B1142" s="84">
        <v>45759</v>
      </c>
      <c r="C1142" s="23" t="s">
        <v>863</v>
      </c>
      <c r="D1142" s="23" t="s">
        <v>236</v>
      </c>
      <c r="G1142" s="23">
        <v>0.7</v>
      </c>
      <c r="I1142" s="217" t="s">
        <v>2310</v>
      </c>
    </row>
    <row r="1143" spans="1:9" hidden="1">
      <c r="A1143" s="23">
        <v>1143</v>
      </c>
      <c r="B1143" s="84">
        <v>45759</v>
      </c>
      <c r="C1143" s="23" t="s">
        <v>461</v>
      </c>
      <c r="D1143" s="23" t="s">
        <v>239</v>
      </c>
      <c r="G1143" s="23">
        <v>0.7</v>
      </c>
      <c r="I1143" s="217" t="s">
        <v>2311</v>
      </c>
    </row>
    <row r="1144" spans="1:9">
      <c r="A1144" s="23">
        <v>1144</v>
      </c>
      <c r="B1144" s="84">
        <v>45759</v>
      </c>
      <c r="C1144" s="23" t="s">
        <v>865</v>
      </c>
      <c r="D1144" s="23" t="s">
        <v>248</v>
      </c>
      <c r="G1144" s="23">
        <v>6.8</v>
      </c>
      <c r="I1144" s="217" t="s">
        <v>2312</v>
      </c>
    </row>
    <row r="1145" spans="1:9" hidden="1">
      <c r="A1145" s="23">
        <v>1145</v>
      </c>
      <c r="B1145" s="84">
        <v>45759</v>
      </c>
      <c r="C1145" s="23" t="s">
        <v>656</v>
      </c>
      <c r="D1145" s="23" t="s">
        <v>245</v>
      </c>
      <c r="G1145" s="23">
        <v>0.7</v>
      </c>
      <c r="I1145" s="217" t="s">
        <v>2313</v>
      </c>
    </row>
    <row r="1146" spans="1:9" hidden="1">
      <c r="A1146" s="23">
        <v>1146</v>
      </c>
      <c r="B1146" s="84">
        <v>45759</v>
      </c>
      <c r="C1146" s="23" t="s">
        <v>472</v>
      </c>
      <c r="D1146" s="23" t="s">
        <v>226</v>
      </c>
      <c r="G1146" s="23">
        <v>0.7</v>
      </c>
      <c r="I1146" s="217" t="s">
        <v>2314</v>
      </c>
    </row>
    <row r="1147" spans="1:9" hidden="1">
      <c r="A1147" s="23">
        <v>1147</v>
      </c>
      <c r="B1147" s="84">
        <v>45759</v>
      </c>
      <c r="C1147" s="23" t="s">
        <v>470</v>
      </c>
      <c r="D1147" s="23" t="s">
        <v>242</v>
      </c>
      <c r="G1147" s="23">
        <v>0</v>
      </c>
      <c r="I1147" s="217" t="s">
        <v>2315</v>
      </c>
    </row>
    <row r="1148" spans="1:9" hidden="1">
      <c r="A1148" s="23">
        <v>1148</v>
      </c>
      <c r="B1148" s="84">
        <v>45759</v>
      </c>
      <c r="C1148" s="23" t="s">
        <v>470</v>
      </c>
      <c r="D1148" s="23" t="s">
        <v>242</v>
      </c>
      <c r="G1148" s="23" t="s">
        <v>9</v>
      </c>
      <c r="H1148" s="23" t="s">
        <v>870</v>
      </c>
      <c r="I1148" s="217" t="s">
        <v>1294</v>
      </c>
    </row>
    <row r="1149" spans="1:9">
      <c r="A1149" s="23">
        <v>1149</v>
      </c>
      <c r="B1149" s="84">
        <v>45759</v>
      </c>
      <c r="C1149" s="23" t="s">
        <v>470</v>
      </c>
      <c r="D1149" s="23" t="s">
        <v>177</v>
      </c>
      <c r="G1149" s="23">
        <v>0</v>
      </c>
      <c r="I1149" s="217" t="s">
        <v>2316</v>
      </c>
    </row>
    <row r="1150" spans="1:9">
      <c r="A1150" s="23">
        <v>1150</v>
      </c>
      <c r="B1150" s="84">
        <v>45759</v>
      </c>
      <c r="C1150" s="23" t="s">
        <v>470</v>
      </c>
      <c r="D1150" s="23" t="s">
        <v>177</v>
      </c>
      <c r="G1150" s="23">
        <v>1.5</v>
      </c>
      <c r="I1150" s="217" t="s">
        <v>1294</v>
      </c>
    </row>
    <row r="1151" spans="1:9" hidden="1">
      <c r="A1151" s="23">
        <v>1151</v>
      </c>
      <c r="B1151" s="84">
        <v>45759</v>
      </c>
      <c r="C1151" s="37" t="s">
        <v>872</v>
      </c>
      <c r="D1151" s="23" t="s">
        <v>335</v>
      </c>
      <c r="G1151" s="23">
        <v>3</v>
      </c>
      <c r="I1151" s="217" t="s">
        <v>2317</v>
      </c>
    </row>
    <row r="1152" spans="1:9" hidden="1">
      <c r="A1152" s="23">
        <v>1152</v>
      </c>
      <c r="B1152" s="84">
        <v>45759</v>
      </c>
      <c r="C1152" s="23" t="s">
        <v>825</v>
      </c>
      <c r="D1152" s="23" t="s">
        <v>234</v>
      </c>
      <c r="G1152" s="23">
        <v>0</v>
      </c>
      <c r="I1152" s="217" t="s">
        <v>2318</v>
      </c>
    </row>
    <row r="1153" spans="1:9" hidden="1">
      <c r="A1153" s="23">
        <v>1153</v>
      </c>
      <c r="B1153" s="84">
        <v>45759</v>
      </c>
      <c r="C1153" s="23" t="s">
        <v>869</v>
      </c>
      <c r="D1153" s="23" t="s">
        <v>242</v>
      </c>
      <c r="G1153" s="23">
        <v>0</v>
      </c>
      <c r="I1153" s="217" t="s">
        <v>2319</v>
      </c>
    </row>
    <row r="1154" spans="1:9" hidden="1">
      <c r="A1154" s="23">
        <v>1154</v>
      </c>
      <c r="B1154" s="84">
        <v>45759</v>
      </c>
      <c r="C1154" s="23" t="s">
        <v>747</v>
      </c>
      <c r="D1154" s="23" t="s">
        <v>242</v>
      </c>
      <c r="G1154" s="23">
        <v>3.8</v>
      </c>
      <c r="I1154" s="217" t="s">
        <v>1294</v>
      </c>
    </row>
    <row r="1155" spans="1:9" hidden="1">
      <c r="A1155" s="23">
        <v>1155</v>
      </c>
      <c r="B1155" s="84">
        <v>45759</v>
      </c>
      <c r="C1155" s="23" t="s">
        <v>367</v>
      </c>
      <c r="D1155" s="23" t="s">
        <v>192</v>
      </c>
      <c r="G1155" s="23">
        <v>0</v>
      </c>
      <c r="I1155" s="217" t="s">
        <v>2320</v>
      </c>
    </row>
    <row r="1156" spans="1:9" ht="28.15" hidden="1">
      <c r="A1156" s="23">
        <v>1156</v>
      </c>
      <c r="B1156" s="84">
        <v>45759</v>
      </c>
      <c r="C1156" s="23" t="s">
        <v>367</v>
      </c>
      <c r="D1156" s="23" t="s">
        <v>192</v>
      </c>
      <c r="G1156" s="23" t="s">
        <v>9</v>
      </c>
      <c r="H1156" s="457" t="s">
        <v>874</v>
      </c>
      <c r="I1156" s="217" t="s">
        <v>1294</v>
      </c>
    </row>
    <row r="1157" spans="1:9" hidden="1">
      <c r="A1157" s="23">
        <v>1157</v>
      </c>
      <c r="B1157" s="84">
        <v>45759</v>
      </c>
      <c r="C1157" s="23" t="s">
        <v>267</v>
      </c>
      <c r="D1157" s="23" t="s">
        <v>236</v>
      </c>
      <c r="G1157" s="23">
        <v>0</v>
      </c>
      <c r="I1157" s="217" t="s">
        <v>2321</v>
      </c>
    </row>
    <row r="1158" spans="1:9" hidden="1">
      <c r="A1158" s="23">
        <v>1158</v>
      </c>
      <c r="B1158" s="84">
        <v>45759</v>
      </c>
      <c r="C1158" s="23" t="s">
        <v>864</v>
      </c>
      <c r="D1158" s="23" t="s">
        <v>239</v>
      </c>
      <c r="G1158" s="23">
        <v>0</v>
      </c>
      <c r="I1158" s="217" t="s">
        <v>2322</v>
      </c>
    </row>
    <row r="1159" spans="1:9" hidden="1">
      <c r="A1159" s="23">
        <v>1159</v>
      </c>
      <c r="B1159" s="84">
        <v>45759</v>
      </c>
      <c r="C1159" s="23" t="s">
        <v>875</v>
      </c>
      <c r="D1159" s="23" t="s">
        <v>199</v>
      </c>
      <c r="G1159" s="23">
        <v>0.7</v>
      </c>
      <c r="I1159" s="217" t="s">
        <v>2323</v>
      </c>
    </row>
    <row r="1160" spans="1:9" hidden="1">
      <c r="A1160" s="23">
        <v>1160</v>
      </c>
      <c r="B1160" s="84">
        <v>45759</v>
      </c>
      <c r="C1160" s="23" t="s">
        <v>876</v>
      </c>
      <c r="D1160" s="23" t="s">
        <v>202</v>
      </c>
      <c r="G1160" s="23">
        <v>0.7</v>
      </c>
      <c r="I1160" s="217" t="s">
        <v>2324</v>
      </c>
    </row>
    <row r="1161" spans="1:9" hidden="1">
      <c r="A1161" s="23">
        <v>1161</v>
      </c>
      <c r="B1161" s="84">
        <v>45759</v>
      </c>
      <c r="C1161" s="23" t="s">
        <v>867</v>
      </c>
      <c r="D1161" s="23" t="s">
        <v>245</v>
      </c>
      <c r="G1161" s="23">
        <v>0</v>
      </c>
      <c r="I1161" s="217" t="s">
        <v>2325</v>
      </c>
    </row>
    <row r="1162" spans="1:9" hidden="1">
      <c r="A1162" s="23">
        <v>1162</v>
      </c>
      <c r="B1162" s="84">
        <v>45759</v>
      </c>
      <c r="C1162" s="23" t="s">
        <v>877</v>
      </c>
      <c r="D1162" s="23" t="s">
        <v>229</v>
      </c>
      <c r="G1162" s="23">
        <v>0.7</v>
      </c>
      <c r="I1162" s="217" t="s">
        <v>2326</v>
      </c>
    </row>
    <row r="1163" spans="1:9">
      <c r="A1163" s="23">
        <v>1163</v>
      </c>
      <c r="B1163" s="84">
        <v>45759</v>
      </c>
      <c r="C1163" s="23" t="s">
        <v>477</v>
      </c>
      <c r="D1163" s="23" t="s">
        <v>177</v>
      </c>
      <c r="G1163" s="23">
        <v>0</v>
      </c>
      <c r="I1163" s="217" t="s">
        <v>2327</v>
      </c>
    </row>
    <row r="1164" spans="1:9" hidden="1">
      <c r="A1164" s="23">
        <v>1164</v>
      </c>
      <c r="B1164" s="84">
        <v>45759</v>
      </c>
      <c r="C1164" s="23" t="s">
        <v>613</v>
      </c>
      <c r="D1164" s="23" t="s">
        <v>232</v>
      </c>
      <c r="G1164" s="23">
        <v>0.7</v>
      </c>
      <c r="I1164" s="217" t="s">
        <v>2328</v>
      </c>
    </row>
    <row r="1165" spans="1:9" hidden="1">
      <c r="A1165" s="23">
        <v>1165</v>
      </c>
      <c r="B1165" s="84">
        <v>45759</v>
      </c>
      <c r="C1165" s="23" t="s">
        <v>868</v>
      </c>
      <c r="D1165" s="23" t="s">
        <v>226</v>
      </c>
      <c r="G1165" s="23">
        <v>0</v>
      </c>
      <c r="I1165" s="217" t="s">
        <v>2329</v>
      </c>
    </row>
    <row r="1166" spans="1:9" hidden="1">
      <c r="A1166" s="23">
        <v>1166</v>
      </c>
      <c r="B1166" s="84">
        <v>45759</v>
      </c>
      <c r="C1166" s="23" t="s">
        <v>734</v>
      </c>
      <c r="D1166" s="23" t="s">
        <v>229</v>
      </c>
      <c r="G1166" s="23">
        <v>0</v>
      </c>
      <c r="I1166" s="217" t="s">
        <v>2330</v>
      </c>
    </row>
    <row r="1167" spans="1:9" hidden="1">
      <c r="A1167" s="23">
        <v>1167</v>
      </c>
      <c r="B1167" s="84">
        <v>45759</v>
      </c>
      <c r="C1167" s="23" t="s">
        <v>878</v>
      </c>
      <c r="D1167" s="23" t="s">
        <v>234</v>
      </c>
      <c r="G1167" s="23">
        <v>0.7</v>
      </c>
      <c r="I1167" s="217" t="s">
        <v>2331</v>
      </c>
    </row>
    <row r="1168" spans="1:9" hidden="1">
      <c r="A1168" s="23">
        <v>1168</v>
      </c>
      <c r="B1168" s="84">
        <v>45759</v>
      </c>
      <c r="C1168" s="23" t="s">
        <v>620</v>
      </c>
      <c r="D1168" s="23" t="s">
        <v>236</v>
      </c>
      <c r="G1168" s="23">
        <v>0.8</v>
      </c>
      <c r="I1168" s="217" t="s">
        <v>2332</v>
      </c>
    </row>
    <row r="1169" spans="1:9" hidden="1">
      <c r="A1169" s="23">
        <v>1169</v>
      </c>
      <c r="B1169" s="84">
        <v>45759</v>
      </c>
      <c r="C1169" s="23" t="s">
        <v>619</v>
      </c>
      <c r="D1169" s="23" t="s">
        <v>239</v>
      </c>
      <c r="G1169" s="23">
        <v>0.7</v>
      </c>
      <c r="I1169" s="217" t="s">
        <v>2333</v>
      </c>
    </row>
    <row r="1170" spans="1:9" hidden="1">
      <c r="A1170" s="23">
        <v>1170</v>
      </c>
      <c r="B1170" s="84">
        <v>45759</v>
      </c>
      <c r="C1170" s="23" t="s">
        <v>880</v>
      </c>
      <c r="D1170" s="23" t="s">
        <v>245</v>
      </c>
      <c r="G1170" s="23">
        <v>0.8</v>
      </c>
      <c r="I1170" s="217" t="s">
        <v>2334</v>
      </c>
    </row>
    <row r="1171" spans="1:9" hidden="1">
      <c r="A1171" s="23">
        <v>1171</v>
      </c>
      <c r="B1171" s="84">
        <v>45759</v>
      </c>
      <c r="C1171" s="23" t="s">
        <v>505</v>
      </c>
      <c r="D1171" s="23" t="s">
        <v>226</v>
      </c>
      <c r="G1171" s="23">
        <v>0.7</v>
      </c>
      <c r="I1171" s="217" t="s">
        <v>2335</v>
      </c>
    </row>
    <row r="1172" spans="1:9" hidden="1">
      <c r="A1172" s="23">
        <v>1172</v>
      </c>
      <c r="B1172" s="84">
        <v>45759</v>
      </c>
      <c r="C1172" s="23" t="s">
        <v>696</v>
      </c>
      <c r="D1172" s="23" t="s">
        <v>164</v>
      </c>
      <c r="G1172" s="23">
        <v>0.5</v>
      </c>
      <c r="H1172" s="23" t="s">
        <v>354</v>
      </c>
      <c r="I1172" s="217" t="s">
        <v>2336</v>
      </c>
    </row>
    <row r="1173" spans="1:9" hidden="1">
      <c r="A1173" s="23">
        <v>1173</v>
      </c>
      <c r="B1173" s="84">
        <v>45759</v>
      </c>
      <c r="C1173" s="23" t="s">
        <v>833</v>
      </c>
      <c r="D1173" s="23" t="s">
        <v>232</v>
      </c>
      <c r="G1173" s="23">
        <v>0</v>
      </c>
      <c r="I1173" s="217" t="s">
        <v>2337</v>
      </c>
    </row>
    <row r="1174" spans="1:9" hidden="1">
      <c r="A1174" s="23">
        <v>1174</v>
      </c>
      <c r="B1174" s="84">
        <v>45759</v>
      </c>
      <c r="C1174" s="23" t="s">
        <v>882</v>
      </c>
      <c r="D1174" s="23" t="s">
        <v>229</v>
      </c>
      <c r="G1174" s="23">
        <v>0.7</v>
      </c>
      <c r="I1174" s="217" t="s">
        <v>2338</v>
      </c>
    </row>
    <row r="1175" spans="1:9" hidden="1">
      <c r="A1175" s="23">
        <v>1175</v>
      </c>
      <c r="B1175" s="84">
        <v>45759</v>
      </c>
      <c r="C1175" s="23" t="s">
        <v>516</v>
      </c>
      <c r="D1175" s="23" t="s">
        <v>164</v>
      </c>
      <c r="G1175" s="23">
        <v>0</v>
      </c>
      <c r="I1175" s="217" t="s">
        <v>2336</v>
      </c>
    </row>
    <row r="1176" spans="1:9" hidden="1">
      <c r="A1176" s="23">
        <v>1176</v>
      </c>
      <c r="B1176" s="84">
        <v>45759</v>
      </c>
      <c r="C1176" s="23" t="s">
        <v>694</v>
      </c>
      <c r="D1176" s="23" t="s">
        <v>232</v>
      </c>
      <c r="G1176" s="23">
        <v>0.7</v>
      </c>
      <c r="I1176" s="217" t="s">
        <v>1294</v>
      </c>
    </row>
    <row r="1177" spans="1:9" hidden="1">
      <c r="A1177" s="23">
        <v>1177</v>
      </c>
      <c r="B1177" s="84">
        <v>45759</v>
      </c>
      <c r="C1177" s="23" t="s">
        <v>802</v>
      </c>
      <c r="D1177" s="23" t="s">
        <v>232</v>
      </c>
      <c r="G1177" s="23">
        <v>0</v>
      </c>
      <c r="I1177" s="217" t="s">
        <v>2339</v>
      </c>
    </row>
    <row r="1178" spans="1:9" hidden="1">
      <c r="A1178" s="23">
        <v>1178</v>
      </c>
      <c r="B1178" s="84">
        <v>45759</v>
      </c>
      <c r="C1178" s="23" t="s">
        <v>879</v>
      </c>
      <c r="D1178" s="23" t="s">
        <v>234</v>
      </c>
      <c r="G1178" s="23">
        <v>0</v>
      </c>
      <c r="I1178" s="217" t="s">
        <v>2340</v>
      </c>
    </row>
    <row r="1179" spans="1:9" hidden="1">
      <c r="A1179" s="23">
        <v>1179</v>
      </c>
      <c r="B1179" s="84">
        <v>45759</v>
      </c>
      <c r="C1179" s="23" t="s">
        <v>512</v>
      </c>
      <c r="D1179" s="23" t="s">
        <v>236</v>
      </c>
      <c r="G1179" s="23">
        <v>0</v>
      </c>
      <c r="I1179" s="217" t="s">
        <v>2341</v>
      </c>
    </row>
    <row r="1180" spans="1:9" hidden="1">
      <c r="A1180" s="23">
        <v>1180</v>
      </c>
      <c r="B1180" s="84">
        <v>45759</v>
      </c>
      <c r="C1180" s="23" t="s">
        <v>514</v>
      </c>
      <c r="D1180" s="23" t="s">
        <v>239</v>
      </c>
      <c r="G1180" s="23">
        <v>0</v>
      </c>
      <c r="I1180" s="217" t="s">
        <v>2342</v>
      </c>
    </row>
    <row r="1181" spans="1:9" hidden="1">
      <c r="A1181" s="23">
        <v>1181</v>
      </c>
      <c r="B1181" s="84">
        <v>45759</v>
      </c>
      <c r="C1181" s="23" t="s">
        <v>883</v>
      </c>
      <c r="D1181" s="23" t="s">
        <v>232</v>
      </c>
      <c r="G1181" s="23">
        <v>0.7</v>
      </c>
      <c r="I1181" s="217" t="s">
        <v>2343</v>
      </c>
    </row>
    <row r="1182" spans="1:9" hidden="1">
      <c r="A1182" s="23">
        <v>1182</v>
      </c>
      <c r="B1182" s="84">
        <v>45759</v>
      </c>
      <c r="C1182" s="23" t="s">
        <v>881</v>
      </c>
      <c r="D1182" s="23" t="s">
        <v>245</v>
      </c>
      <c r="G1182" s="23">
        <v>0</v>
      </c>
      <c r="I1182" s="217" t="s">
        <v>2344</v>
      </c>
    </row>
    <row r="1183" spans="1:9" hidden="1">
      <c r="A1183" s="23">
        <v>1183</v>
      </c>
      <c r="B1183" s="84">
        <v>45759</v>
      </c>
      <c r="C1183" s="23" t="s">
        <v>571</v>
      </c>
      <c r="D1183" s="23" t="s">
        <v>226</v>
      </c>
      <c r="G1183" s="23">
        <v>0</v>
      </c>
      <c r="I1183" s="217" t="s">
        <v>2345</v>
      </c>
    </row>
    <row r="1184" spans="1:9" hidden="1">
      <c r="A1184" s="23">
        <v>1184</v>
      </c>
      <c r="B1184" s="84">
        <v>45759</v>
      </c>
      <c r="C1184" s="23" t="s">
        <v>793</v>
      </c>
      <c r="D1184" s="23" t="s">
        <v>229</v>
      </c>
      <c r="G1184" s="23">
        <v>0</v>
      </c>
      <c r="I1184" s="217" t="s">
        <v>2346</v>
      </c>
    </row>
    <row r="1185" spans="1:9" hidden="1">
      <c r="A1185" s="23">
        <v>1185</v>
      </c>
      <c r="B1185" s="84">
        <v>45759</v>
      </c>
      <c r="C1185" s="23" t="s">
        <v>884</v>
      </c>
      <c r="D1185" s="23" t="s">
        <v>232</v>
      </c>
      <c r="G1185" s="23">
        <v>0</v>
      </c>
      <c r="I1185" s="217" t="s">
        <v>2347</v>
      </c>
    </row>
    <row r="1186" spans="1:9">
      <c r="A1186" s="23">
        <v>1186</v>
      </c>
      <c r="B1186" s="84">
        <v>45759</v>
      </c>
      <c r="C1186" s="23" t="s">
        <v>885</v>
      </c>
      <c r="D1186" s="23" t="s">
        <v>177</v>
      </c>
      <c r="G1186" s="23">
        <v>1.5</v>
      </c>
      <c r="I1186" s="217" t="s">
        <v>2348</v>
      </c>
    </row>
    <row r="1187" spans="1:9" hidden="1">
      <c r="A1187" s="23">
        <v>1187</v>
      </c>
      <c r="B1187" s="84">
        <v>45759</v>
      </c>
      <c r="C1187" s="23" t="s">
        <v>886</v>
      </c>
      <c r="D1187" s="23" t="s">
        <v>234</v>
      </c>
      <c r="G1187" s="23">
        <v>0.7</v>
      </c>
      <c r="I1187" s="217" t="s">
        <v>2349</v>
      </c>
    </row>
    <row r="1188" spans="1:9" hidden="1">
      <c r="A1188" s="23">
        <v>1188</v>
      </c>
      <c r="B1188" s="84">
        <v>45759</v>
      </c>
      <c r="C1188" s="23" t="s">
        <v>888</v>
      </c>
      <c r="D1188" s="23" t="s">
        <v>236</v>
      </c>
      <c r="G1188" s="23">
        <v>0.7</v>
      </c>
      <c r="I1188" s="217" t="s">
        <v>2350</v>
      </c>
    </row>
    <row r="1189" spans="1:9" hidden="1">
      <c r="A1189" s="23">
        <v>1189</v>
      </c>
      <c r="B1189" s="84">
        <v>45759</v>
      </c>
      <c r="C1189" s="23" t="s">
        <v>341</v>
      </c>
      <c r="D1189" s="23" t="s">
        <v>164</v>
      </c>
      <c r="G1189" s="23">
        <v>0.7</v>
      </c>
      <c r="I1189" s="217" t="s">
        <v>2351</v>
      </c>
    </row>
    <row r="1190" spans="1:9">
      <c r="A1190" s="23">
        <v>1190</v>
      </c>
      <c r="B1190" s="84">
        <v>45759</v>
      </c>
      <c r="C1190" s="23" t="s">
        <v>343</v>
      </c>
      <c r="D1190" s="23" t="s">
        <v>177</v>
      </c>
      <c r="G1190" s="23">
        <v>0</v>
      </c>
      <c r="I1190" s="217" t="s">
        <v>2348</v>
      </c>
    </row>
    <row r="1191" spans="1:9" hidden="1">
      <c r="A1191" s="23">
        <v>1191</v>
      </c>
      <c r="B1191" s="84">
        <v>45759</v>
      </c>
      <c r="C1191" s="23" t="s">
        <v>636</v>
      </c>
      <c r="D1191" s="23" t="s">
        <v>245</v>
      </c>
      <c r="G1191" s="23">
        <v>0.7</v>
      </c>
      <c r="I1191" s="217" t="s">
        <v>2352</v>
      </c>
    </row>
    <row r="1192" spans="1:9" hidden="1">
      <c r="A1192" s="23">
        <v>1192</v>
      </c>
      <c r="B1192" s="84">
        <v>45759</v>
      </c>
      <c r="C1192" s="23" t="s">
        <v>887</v>
      </c>
      <c r="D1192" s="23" t="s">
        <v>234</v>
      </c>
      <c r="G1192" s="23">
        <v>0</v>
      </c>
      <c r="I1192" s="217" t="s">
        <v>2353</v>
      </c>
    </row>
    <row r="1193" spans="1:9" hidden="1">
      <c r="A1193" s="23">
        <v>1193</v>
      </c>
      <c r="B1193" s="84">
        <v>45759</v>
      </c>
      <c r="C1193" s="23" t="s">
        <v>889</v>
      </c>
      <c r="D1193" s="23" t="s">
        <v>236</v>
      </c>
      <c r="G1193" s="23">
        <v>0</v>
      </c>
      <c r="I1193" s="217" t="s">
        <v>2354</v>
      </c>
    </row>
    <row r="1194" spans="1:9" hidden="1">
      <c r="A1194" s="23">
        <v>1194</v>
      </c>
      <c r="B1194" s="84">
        <v>45759</v>
      </c>
      <c r="C1194" s="23" t="s">
        <v>852</v>
      </c>
      <c r="D1194" s="23" t="s">
        <v>164</v>
      </c>
      <c r="G1194" s="23">
        <v>0</v>
      </c>
      <c r="I1194" s="217" t="s">
        <v>2355</v>
      </c>
    </row>
    <row r="1195" spans="1:9" hidden="1">
      <c r="A1195" s="23">
        <v>1195</v>
      </c>
      <c r="B1195" s="84">
        <v>45759</v>
      </c>
      <c r="C1195" s="23" t="s">
        <v>836</v>
      </c>
      <c r="D1195" s="23" t="s">
        <v>245</v>
      </c>
      <c r="G1195" s="23">
        <v>0</v>
      </c>
      <c r="I1195" s="217" t="s">
        <v>2356</v>
      </c>
    </row>
    <row r="1196" spans="1:9" hidden="1">
      <c r="A1196" s="23">
        <v>1196</v>
      </c>
      <c r="B1196" s="84">
        <v>45759</v>
      </c>
      <c r="C1196" s="23" t="s">
        <v>212</v>
      </c>
      <c r="D1196" s="23" t="s">
        <v>217</v>
      </c>
      <c r="G1196" s="23">
        <v>0.95</v>
      </c>
      <c r="I1196" s="217" t="s">
        <v>2357</v>
      </c>
    </row>
    <row r="1197" spans="1:9" hidden="1">
      <c r="A1197" s="23">
        <v>1197</v>
      </c>
      <c r="B1197" s="84">
        <v>45759</v>
      </c>
      <c r="C1197" s="23" t="s">
        <v>222</v>
      </c>
      <c r="D1197" s="23" t="s">
        <v>225</v>
      </c>
      <c r="G1197" s="23">
        <v>0</v>
      </c>
      <c r="I1197" s="217" t="s">
        <v>2358</v>
      </c>
    </row>
    <row r="1198" spans="1:9">
      <c r="A1198" s="23">
        <v>1198</v>
      </c>
      <c r="B1198" s="84">
        <v>45759</v>
      </c>
      <c r="C1198" s="23" t="s">
        <v>890</v>
      </c>
      <c r="D1198" s="23" t="s">
        <v>177</v>
      </c>
      <c r="G1198" s="23">
        <v>1.5</v>
      </c>
      <c r="I1198" s="217" t="s">
        <v>2359</v>
      </c>
    </row>
    <row r="1199" spans="1:9">
      <c r="A1199" s="23">
        <v>1199</v>
      </c>
      <c r="B1199" s="84">
        <v>45759</v>
      </c>
      <c r="C1199" s="23" t="s">
        <v>771</v>
      </c>
      <c r="D1199" s="23" t="s">
        <v>180</v>
      </c>
      <c r="G1199" s="23">
        <v>0</v>
      </c>
      <c r="I1199" s="217" t="s">
        <v>2360</v>
      </c>
    </row>
    <row r="1200" spans="1:9" hidden="1">
      <c r="A1200" s="23">
        <v>1200</v>
      </c>
      <c r="B1200" s="84">
        <v>45759</v>
      </c>
      <c r="C1200" s="23" t="s">
        <v>583</v>
      </c>
      <c r="D1200" s="23" t="s">
        <v>335</v>
      </c>
      <c r="G1200" s="23">
        <v>0</v>
      </c>
      <c r="I1200" s="217" t="s">
        <v>2361</v>
      </c>
    </row>
    <row r="1201" spans="1:9" hidden="1">
      <c r="A1201" s="23">
        <v>1201</v>
      </c>
      <c r="B1201" s="84">
        <v>45759</v>
      </c>
      <c r="C1201" s="23" t="s">
        <v>873</v>
      </c>
      <c r="D1201" s="23" t="s">
        <v>242</v>
      </c>
      <c r="G1201" s="23">
        <v>0</v>
      </c>
      <c r="I1201" s="217" t="s">
        <v>2362</v>
      </c>
    </row>
    <row r="1202" spans="1:9" hidden="1">
      <c r="A1202" s="23">
        <v>1202</v>
      </c>
      <c r="B1202" s="84">
        <v>45760</v>
      </c>
      <c r="C1202" s="23" t="s">
        <v>856</v>
      </c>
      <c r="D1202" s="23" t="s">
        <v>183</v>
      </c>
      <c r="G1202" s="23">
        <v>0</v>
      </c>
      <c r="I1202" s="217" t="s">
        <v>2363</v>
      </c>
    </row>
    <row r="1203" spans="1:9" hidden="1">
      <c r="A1203" s="23">
        <v>1203</v>
      </c>
      <c r="B1203" s="84">
        <v>45760</v>
      </c>
      <c r="C1203" s="23" t="s">
        <v>892</v>
      </c>
      <c r="D1203" s="23" t="s">
        <v>229</v>
      </c>
      <c r="G1203" s="23">
        <v>0.7</v>
      </c>
      <c r="I1203" s="217" t="s">
        <v>2364</v>
      </c>
    </row>
    <row r="1204" spans="1:9" hidden="1">
      <c r="A1204" s="23">
        <v>1204</v>
      </c>
      <c r="B1204" s="84">
        <v>45760</v>
      </c>
      <c r="C1204" s="23" t="s">
        <v>892</v>
      </c>
      <c r="D1204" s="23" t="s">
        <v>226</v>
      </c>
      <c r="G1204" s="23">
        <v>0.7</v>
      </c>
      <c r="I1204" s="217" t="s">
        <v>2365</v>
      </c>
    </row>
    <row r="1205" spans="1:9" hidden="1">
      <c r="A1205" s="23">
        <v>1205</v>
      </c>
      <c r="B1205" s="84">
        <v>45760</v>
      </c>
      <c r="C1205" s="23" t="s">
        <v>861</v>
      </c>
      <c r="D1205" s="23" t="s">
        <v>232</v>
      </c>
      <c r="G1205" s="23">
        <v>0.7</v>
      </c>
      <c r="I1205" s="217" t="s">
        <v>2366</v>
      </c>
    </row>
    <row r="1206" spans="1:9" hidden="1">
      <c r="A1206" s="23">
        <v>1206</v>
      </c>
      <c r="B1206" s="84">
        <v>45760</v>
      </c>
      <c r="C1206" s="23" t="s">
        <v>861</v>
      </c>
      <c r="D1206" s="23" t="s">
        <v>186</v>
      </c>
      <c r="G1206" s="23">
        <v>0</v>
      </c>
      <c r="I1206" s="217" t="s">
        <v>2367</v>
      </c>
    </row>
    <row r="1207" spans="1:9" hidden="1">
      <c r="A1207" s="23">
        <v>1207</v>
      </c>
      <c r="B1207" s="84">
        <v>45760</v>
      </c>
      <c r="C1207" s="23" t="s">
        <v>894</v>
      </c>
      <c r="D1207" s="23" t="s">
        <v>226</v>
      </c>
      <c r="G1207" s="23">
        <v>0</v>
      </c>
      <c r="I1207" s="217" t="s">
        <v>2368</v>
      </c>
    </row>
    <row r="1208" spans="1:9" hidden="1">
      <c r="A1208" s="23">
        <v>1208</v>
      </c>
      <c r="B1208" s="84">
        <v>45760</v>
      </c>
      <c r="C1208" s="23" t="s">
        <v>893</v>
      </c>
      <c r="D1208" s="23" t="s">
        <v>229</v>
      </c>
      <c r="G1208" s="23">
        <v>0</v>
      </c>
      <c r="I1208" s="217" t="s">
        <v>2369</v>
      </c>
    </row>
    <row r="1209" spans="1:9" hidden="1">
      <c r="A1209" s="23">
        <v>1209</v>
      </c>
      <c r="B1209" s="84">
        <v>45760</v>
      </c>
      <c r="C1209" s="23" t="s">
        <v>592</v>
      </c>
      <c r="D1209" s="23" t="s">
        <v>232</v>
      </c>
      <c r="G1209" s="23">
        <v>0</v>
      </c>
      <c r="I1209" s="217" t="s">
        <v>2370</v>
      </c>
    </row>
    <row r="1210" spans="1:9">
      <c r="A1210" s="23">
        <v>1210</v>
      </c>
      <c r="B1210" s="84">
        <v>45760</v>
      </c>
      <c r="C1210" s="23" t="s">
        <v>723</v>
      </c>
      <c r="D1210" s="23" t="s">
        <v>180</v>
      </c>
      <c r="G1210" s="23">
        <v>1.5</v>
      </c>
      <c r="I1210" s="217" t="s">
        <v>2371</v>
      </c>
    </row>
    <row r="1211" spans="1:9">
      <c r="A1211" s="23">
        <v>1211</v>
      </c>
      <c r="B1211" s="84">
        <v>45760</v>
      </c>
      <c r="C1211" s="23" t="s">
        <v>866</v>
      </c>
      <c r="D1211" s="23" t="s">
        <v>248</v>
      </c>
      <c r="G1211" s="23">
        <v>0</v>
      </c>
      <c r="I1211" s="217" t="s">
        <v>2372</v>
      </c>
    </row>
    <row r="1212" spans="1:9" hidden="1">
      <c r="A1212" s="23">
        <v>1212</v>
      </c>
      <c r="B1212" s="84">
        <v>45760</v>
      </c>
      <c r="C1212" s="23" t="s">
        <v>895</v>
      </c>
      <c r="D1212" s="23" t="s">
        <v>234</v>
      </c>
      <c r="G1212" s="23">
        <v>0.7</v>
      </c>
      <c r="I1212" s="217" t="s">
        <v>2373</v>
      </c>
    </row>
    <row r="1213" spans="1:9" hidden="1">
      <c r="A1213" s="23">
        <v>1213</v>
      </c>
      <c r="B1213" s="84">
        <v>45760</v>
      </c>
      <c r="C1213" s="23" t="s">
        <v>218</v>
      </c>
      <c r="D1213" s="23" t="s">
        <v>225</v>
      </c>
      <c r="G1213" s="23">
        <v>0.74</v>
      </c>
      <c r="I1213" s="217" t="s">
        <v>2374</v>
      </c>
    </row>
    <row r="1214" spans="1:9" hidden="1">
      <c r="A1214" s="23">
        <v>1214</v>
      </c>
      <c r="B1214" s="84">
        <v>45760</v>
      </c>
      <c r="C1214" s="23" t="s">
        <v>213</v>
      </c>
      <c r="D1214" s="23" t="s">
        <v>217</v>
      </c>
      <c r="G1214" s="23">
        <v>0</v>
      </c>
      <c r="I1214" s="217" t="s">
        <v>2375</v>
      </c>
    </row>
    <row r="1215" spans="1:9" hidden="1">
      <c r="A1215" s="23">
        <v>1215</v>
      </c>
      <c r="B1215" s="84">
        <v>45760</v>
      </c>
      <c r="C1215" s="23" t="s">
        <v>737</v>
      </c>
      <c r="D1215" s="23" t="s">
        <v>183</v>
      </c>
      <c r="G1215" s="23">
        <v>2.8</v>
      </c>
      <c r="I1215" s="217" t="s">
        <v>2376</v>
      </c>
    </row>
    <row r="1216" spans="1:9" hidden="1">
      <c r="A1216" s="23">
        <v>1216</v>
      </c>
      <c r="B1216" s="84">
        <v>45760</v>
      </c>
      <c r="C1216" s="23" t="s">
        <v>735</v>
      </c>
      <c r="D1216" s="23" t="s">
        <v>234</v>
      </c>
      <c r="G1216" s="23">
        <v>0</v>
      </c>
      <c r="I1216" s="217" t="s">
        <v>2377</v>
      </c>
    </row>
    <row r="1217" spans="1:9" hidden="1">
      <c r="A1217" s="23">
        <v>1217</v>
      </c>
      <c r="B1217" s="84">
        <v>45760</v>
      </c>
      <c r="C1217" s="23" t="s">
        <v>686</v>
      </c>
      <c r="D1217" s="23" t="s">
        <v>186</v>
      </c>
      <c r="G1217" s="23">
        <v>0.5</v>
      </c>
      <c r="I1217" s="217" t="s">
        <v>2378</v>
      </c>
    </row>
    <row r="1218" spans="1:9" hidden="1">
      <c r="A1218" s="23">
        <v>1218</v>
      </c>
      <c r="B1218" s="84">
        <v>45760</v>
      </c>
      <c r="C1218" s="23" t="s">
        <v>743</v>
      </c>
      <c r="D1218" s="23" t="s">
        <v>236</v>
      </c>
      <c r="G1218" s="23">
        <v>0.7</v>
      </c>
      <c r="I1218" s="217" t="s">
        <v>2379</v>
      </c>
    </row>
    <row r="1219" spans="1:9" hidden="1">
      <c r="A1219" s="23">
        <v>1219</v>
      </c>
      <c r="B1219" s="84">
        <v>45760</v>
      </c>
      <c r="C1219" s="23" t="s">
        <v>603</v>
      </c>
      <c r="D1219" s="23" t="s">
        <v>164</v>
      </c>
      <c r="G1219" s="23">
        <v>0.7</v>
      </c>
      <c r="I1219" s="217" t="s">
        <v>2380</v>
      </c>
    </row>
    <row r="1220" spans="1:9" hidden="1">
      <c r="A1220" s="23">
        <v>1220</v>
      </c>
      <c r="B1220" s="84">
        <v>45760</v>
      </c>
      <c r="C1220" s="23" t="s">
        <v>783</v>
      </c>
      <c r="D1220" s="23" t="s">
        <v>239</v>
      </c>
      <c r="G1220" s="23">
        <v>0.7</v>
      </c>
      <c r="I1220" s="217" t="s">
        <v>2381</v>
      </c>
    </row>
    <row r="1221" spans="1:9" hidden="1">
      <c r="A1221" s="23">
        <v>1221</v>
      </c>
      <c r="B1221" s="84">
        <v>45760</v>
      </c>
      <c r="C1221" s="23" t="s">
        <v>321</v>
      </c>
      <c r="D1221" s="23" t="s">
        <v>232</v>
      </c>
      <c r="G1221" s="23">
        <v>0.7</v>
      </c>
      <c r="I1221" s="217" t="s">
        <v>2382</v>
      </c>
    </row>
    <row r="1222" spans="1:9" hidden="1">
      <c r="A1222" s="23">
        <v>1222</v>
      </c>
      <c r="B1222" s="84">
        <v>45760</v>
      </c>
      <c r="C1222" s="23" t="s">
        <v>688</v>
      </c>
      <c r="D1222" s="23" t="s">
        <v>242</v>
      </c>
      <c r="G1222" s="23" t="s">
        <v>9</v>
      </c>
      <c r="I1222" s="217" t="s">
        <v>2383</v>
      </c>
    </row>
    <row r="1223" spans="1:9" hidden="1">
      <c r="A1223" s="23">
        <v>1223</v>
      </c>
      <c r="B1223" s="84">
        <v>45760</v>
      </c>
      <c r="C1223" s="23" t="s">
        <v>323</v>
      </c>
      <c r="D1223" s="23" t="s">
        <v>391</v>
      </c>
      <c r="G1223" s="23">
        <v>0.7</v>
      </c>
      <c r="I1223" s="217" t="s">
        <v>2384</v>
      </c>
    </row>
    <row r="1224" spans="1:9" hidden="1">
      <c r="A1224" s="23">
        <v>1224</v>
      </c>
      <c r="B1224" s="84">
        <v>45760</v>
      </c>
      <c r="C1224" s="23" t="s">
        <v>324</v>
      </c>
      <c r="D1224" s="23" t="s">
        <v>229</v>
      </c>
      <c r="G1224" s="23">
        <v>0.7</v>
      </c>
      <c r="I1224" s="217" t="s">
        <v>2385</v>
      </c>
    </row>
    <row r="1225" spans="1:9" hidden="1">
      <c r="A1225" s="23">
        <v>1225</v>
      </c>
      <c r="B1225" s="84">
        <v>45760</v>
      </c>
      <c r="C1225" s="23" t="s">
        <v>559</v>
      </c>
      <c r="D1225" s="23" t="s">
        <v>232</v>
      </c>
      <c r="G1225" s="23">
        <v>0</v>
      </c>
      <c r="I1225" s="217" t="s">
        <v>2382</v>
      </c>
    </row>
    <row r="1226" spans="1:9" hidden="1">
      <c r="A1226" s="23">
        <v>1226</v>
      </c>
      <c r="B1226" s="84">
        <v>45760</v>
      </c>
      <c r="C1226" s="23" t="s">
        <v>559</v>
      </c>
      <c r="D1226" s="23" t="s">
        <v>232</v>
      </c>
      <c r="G1226" s="23" t="s">
        <v>9</v>
      </c>
      <c r="H1226" s="23" t="s">
        <v>897</v>
      </c>
      <c r="I1226" s="217" t="s">
        <v>1294</v>
      </c>
    </row>
    <row r="1227" spans="1:9" hidden="1">
      <c r="A1227" s="23">
        <v>1227</v>
      </c>
      <c r="B1227" s="84">
        <v>45760</v>
      </c>
      <c r="C1227" s="23" t="s">
        <v>258</v>
      </c>
      <c r="D1227" s="23" t="s">
        <v>335</v>
      </c>
      <c r="G1227" s="23">
        <v>3</v>
      </c>
      <c r="I1227" s="217" t="s">
        <v>2386</v>
      </c>
    </row>
    <row r="1228" spans="1:9" hidden="1">
      <c r="A1228" s="23">
        <v>1228</v>
      </c>
      <c r="B1228" s="84">
        <v>45760</v>
      </c>
      <c r="C1228" s="23" t="s">
        <v>782</v>
      </c>
      <c r="D1228" s="23" t="s">
        <v>236</v>
      </c>
      <c r="G1228" s="23">
        <v>0</v>
      </c>
      <c r="I1228" s="217" t="s">
        <v>2387</v>
      </c>
    </row>
    <row r="1229" spans="1:9" hidden="1">
      <c r="A1229" s="23">
        <v>1229</v>
      </c>
      <c r="B1229" s="84">
        <v>45760</v>
      </c>
      <c r="C1229" s="23" t="s">
        <v>896</v>
      </c>
      <c r="D1229" s="23" t="s">
        <v>239</v>
      </c>
      <c r="G1229" s="23">
        <v>0</v>
      </c>
      <c r="I1229" s="217" t="s">
        <v>2388</v>
      </c>
    </row>
    <row r="1230" spans="1:9" hidden="1">
      <c r="A1230" s="23">
        <v>1230</v>
      </c>
      <c r="B1230" s="84">
        <v>45760</v>
      </c>
      <c r="C1230" s="23" t="s">
        <v>269</v>
      </c>
      <c r="D1230" s="23" t="s">
        <v>164</v>
      </c>
      <c r="G1230" s="23">
        <v>0</v>
      </c>
      <c r="I1230" s="217" t="s">
        <v>2389</v>
      </c>
    </row>
    <row r="1231" spans="1:9" hidden="1">
      <c r="A1231" s="23">
        <v>1231</v>
      </c>
      <c r="B1231" s="84">
        <v>45760</v>
      </c>
      <c r="C1231" s="23" t="s">
        <v>428</v>
      </c>
      <c r="D1231" s="23" t="s">
        <v>229</v>
      </c>
      <c r="G1231" s="23">
        <v>0</v>
      </c>
      <c r="I1231" s="217" t="s">
        <v>2390</v>
      </c>
    </row>
    <row r="1232" spans="1:9" hidden="1">
      <c r="A1232" s="23">
        <v>1232</v>
      </c>
      <c r="B1232" s="84">
        <v>45760</v>
      </c>
      <c r="C1232" s="23" t="s">
        <v>271</v>
      </c>
      <c r="D1232" s="23" t="s">
        <v>391</v>
      </c>
      <c r="G1232" s="23">
        <v>0</v>
      </c>
      <c r="I1232" s="217" t="s">
        <v>2391</v>
      </c>
    </row>
    <row r="1233" spans="1:9">
      <c r="A1233" s="23">
        <v>1233</v>
      </c>
      <c r="B1233" s="84">
        <v>45760</v>
      </c>
      <c r="C1233" s="23" t="s">
        <v>493</v>
      </c>
      <c r="D1233" s="23" t="s">
        <v>248</v>
      </c>
      <c r="G1233" s="23">
        <v>2</v>
      </c>
      <c r="I1233" s="217" t="s">
        <v>2392</v>
      </c>
    </row>
    <row r="1234" spans="1:9" hidden="1">
      <c r="A1234" s="23">
        <v>1234</v>
      </c>
      <c r="B1234" s="84">
        <v>45760</v>
      </c>
      <c r="C1234" s="23" t="s">
        <v>891</v>
      </c>
      <c r="D1234" s="23" t="s">
        <v>242</v>
      </c>
      <c r="G1234" s="23">
        <v>0</v>
      </c>
      <c r="I1234" s="217" t="s">
        <v>2393</v>
      </c>
    </row>
    <row r="1235" spans="1:9" hidden="1">
      <c r="A1235" s="23">
        <v>1235</v>
      </c>
      <c r="B1235" s="84">
        <v>45760</v>
      </c>
      <c r="C1235" s="23" t="s">
        <v>891</v>
      </c>
      <c r="D1235" s="23" t="s">
        <v>242</v>
      </c>
      <c r="G1235" s="23">
        <v>1.5</v>
      </c>
      <c r="I1235" s="217" t="s">
        <v>1294</v>
      </c>
    </row>
    <row r="1236" spans="1:9">
      <c r="A1236" s="23">
        <v>1236</v>
      </c>
      <c r="B1236" s="84">
        <v>45760</v>
      </c>
      <c r="C1236" s="23" t="s">
        <v>891</v>
      </c>
      <c r="D1236" s="23" t="s">
        <v>177</v>
      </c>
      <c r="G1236" s="23">
        <v>0</v>
      </c>
      <c r="I1236" s="217" t="s">
        <v>2394</v>
      </c>
    </row>
    <row r="1237" spans="1:9">
      <c r="A1237" s="23">
        <v>1237</v>
      </c>
      <c r="B1237" s="84">
        <v>45760</v>
      </c>
      <c r="C1237" s="23" t="s">
        <v>891</v>
      </c>
      <c r="D1237" s="23" t="s">
        <v>177</v>
      </c>
      <c r="G1237" s="23" t="s">
        <v>9</v>
      </c>
      <c r="H1237" s="23" t="s">
        <v>903</v>
      </c>
      <c r="I1237" s="217" t="s">
        <v>1294</v>
      </c>
    </row>
    <row r="1238" spans="1:9" hidden="1">
      <c r="A1238" s="23">
        <v>1238</v>
      </c>
      <c r="B1238" s="84">
        <v>45760</v>
      </c>
      <c r="C1238" s="23" t="s">
        <v>904</v>
      </c>
      <c r="D1238" s="23" t="s">
        <v>279</v>
      </c>
      <c r="G1238" s="23">
        <v>0.3</v>
      </c>
      <c r="I1238" s="217" t="s">
        <v>2395</v>
      </c>
    </row>
    <row r="1239" spans="1:9" hidden="1">
      <c r="A1239" s="23">
        <v>1239</v>
      </c>
      <c r="B1239" s="84">
        <v>45760</v>
      </c>
      <c r="C1239" s="23" t="s">
        <v>330</v>
      </c>
      <c r="D1239" s="23" t="s">
        <v>279</v>
      </c>
      <c r="G1239" s="23">
        <v>0</v>
      </c>
      <c r="I1239" s="217" t="s">
        <v>2396</v>
      </c>
    </row>
    <row r="1240" spans="1:9">
      <c r="A1240" s="23">
        <v>1240</v>
      </c>
      <c r="B1240" s="84">
        <v>45760</v>
      </c>
      <c r="C1240" s="23" t="s">
        <v>902</v>
      </c>
      <c r="D1240" s="23" t="s">
        <v>177</v>
      </c>
      <c r="G1240" s="23">
        <v>0</v>
      </c>
      <c r="I1240" s="217" t="s">
        <v>2397</v>
      </c>
    </row>
    <row r="1241" spans="1:9">
      <c r="A1241" s="23">
        <v>1241</v>
      </c>
      <c r="B1241" s="84">
        <v>45760</v>
      </c>
      <c r="C1241" s="23" t="s">
        <v>902</v>
      </c>
      <c r="D1241" s="23" t="s">
        <v>177</v>
      </c>
      <c r="G1241" s="23">
        <v>1.5</v>
      </c>
      <c r="I1241" s="217" t="s">
        <v>1294</v>
      </c>
    </row>
    <row r="1242" spans="1:9">
      <c r="A1242" s="23">
        <v>1242</v>
      </c>
      <c r="B1242" s="84">
        <v>45760</v>
      </c>
      <c r="C1242" s="23" t="s">
        <v>899</v>
      </c>
      <c r="D1242" s="23" t="s">
        <v>248</v>
      </c>
      <c r="G1242" s="23">
        <v>0</v>
      </c>
      <c r="H1242" s="23" t="s">
        <v>900</v>
      </c>
      <c r="I1242" s="217" t="s">
        <v>2398</v>
      </c>
    </row>
    <row r="1243" spans="1:9">
      <c r="A1243" s="23">
        <v>1243</v>
      </c>
      <c r="B1243" s="84">
        <v>45760</v>
      </c>
      <c r="C1243" s="23" t="s">
        <v>899</v>
      </c>
      <c r="D1243" s="23" t="s">
        <v>177</v>
      </c>
      <c r="G1243" s="23">
        <v>0</v>
      </c>
      <c r="H1243" s="23" t="s">
        <v>851</v>
      </c>
      <c r="I1243" s="217" t="s">
        <v>2399</v>
      </c>
    </row>
    <row r="1244" spans="1:9">
      <c r="A1244" s="23">
        <v>1244</v>
      </c>
      <c r="B1244" s="84">
        <v>45760</v>
      </c>
      <c r="C1244" s="23" t="s">
        <v>899</v>
      </c>
      <c r="D1244" s="23" t="s">
        <v>177</v>
      </c>
      <c r="G1244" s="23">
        <v>6.7</v>
      </c>
      <c r="H1244" s="23" t="s">
        <v>905</v>
      </c>
      <c r="I1244" s="217" t="s">
        <v>1294</v>
      </c>
    </row>
    <row r="1245" spans="1:9" hidden="1">
      <c r="A1245" s="23">
        <v>1245</v>
      </c>
      <c r="B1245" s="84">
        <v>45760</v>
      </c>
      <c r="C1245" s="23" t="s">
        <v>406</v>
      </c>
      <c r="D1245" s="23" t="s">
        <v>229</v>
      </c>
      <c r="G1245" s="23">
        <v>0.7</v>
      </c>
      <c r="I1245" s="217" t="s">
        <v>2400</v>
      </c>
    </row>
    <row r="1246" spans="1:9" hidden="1">
      <c r="A1246" s="23">
        <v>1246</v>
      </c>
      <c r="B1246" s="84">
        <v>45760</v>
      </c>
      <c r="C1246" s="23" t="s">
        <v>222</v>
      </c>
      <c r="D1246" s="23" t="s">
        <v>217</v>
      </c>
      <c r="G1246" s="23">
        <v>0.6</v>
      </c>
      <c r="I1246" s="217" t="s">
        <v>2401</v>
      </c>
    </row>
    <row r="1247" spans="1:9" hidden="1">
      <c r="A1247" s="23">
        <v>1247</v>
      </c>
      <c r="B1247" s="84">
        <v>45760</v>
      </c>
      <c r="C1247" s="23" t="s">
        <v>244</v>
      </c>
      <c r="D1247" s="23" t="s">
        <v>225</v>
      </c>
      <c r="G1247" s="23">
        <v>0</v>
      </c>
      <c r="I1247" s="217" t="s">
        <v>2402</v>
      </c>
    </row>
    <row r="1248" spans="1:9" hidden="1">
      <c r="A1248" s="23">
        <v>1248</v>
      </c>
      <c r="B1248" s="84">
        <v>45760</v>
      </c>
      <c r="C1248" s="23" t="s">
        <v>412</v>
      </c>
      <c r="D1248" s="23" t="s">
        <v>279</v>
      </c>
      <c r="G1248" s="23">
        <v>1</v>
      </c>
      <c r="I1248" s="217" t="s">
        <v>2403</v>
      </c>
    </row>
    <row r="1249" spans="1:9" hidden="1">
      <c r="A1249" s="23">
        <v>1249</v>
      </c>
      <c r="B1249" s="84">
        <v>45760</v>
      </c>
      <c r="C1249" s="23" t="s">
        <v>906</v>
      </c>
      <c r="D1249" s="23" t="s">
        <v>279</v>
      </c>
      <c r="G1249" s="23">
        <v>0</v>
      </c>
      <c r="I1249" s="217" t="s">
        <v>2403</v>
      </c>
    </row>
    <row r="1250" spans="1:9" hidden="1">
      <c r="A1250" s="23">
        <v>1250</v>
      </c>
      <c r="B1250" s="84">
        <v>45760</v>
      </c>
      <c r="C1250" s="23" t="s">
        <v>669</v>
      </c>
      <c r="D1250" s="23" t="s">
        <v>232</v>
      </c>
      <c r="G1250" s="23">
        <v>0.7</v>
      </c>
      <c r="I1250" s="217" t="s">
        <v>2404</v>
      </c>
    </row>
    <row r="1251" spans="1:9" hidden="1">
      <c r="A1251" s="23">
        <v>1251</v>
      </c>
      <c r="B1251" s="84">
        <v>45760</v>
      </c>
      <c r="C1251" s="23" t="s">
        <v>907</v>
      </c>
      <c r="D1251" s="23" t="s">
        <v>234</v>
      </c>
      <c r="G1251" s="23">
        <v>0.7</v>
      </c>
      <c r="I1251" s="217" t="s">
        <v>2405</v>
      </c>
    </row>
    <row r="1252" spans="1:9" hidden="1">
      <c r="A1252" s="23">
        <v>1252</v>
      </c>
      <c r="B1252" s="84">
        <v>45760</v>
      </c>
      <c r="C1252" s="23" t="s">
        <v>636</v>
      </c>
      <c r="D1252" s="23" t="s">
        <v>202</v>
      </c>
      <c r="G1252" s="23" t="s">
        <v>9</v>
      </c>
      <c r="H1252" s="23" t="s">
        <v>908</v>
      </c>
      <c r="I1252" s="217" t="s">
        <v>2406</v>
      </c>
    </row>
    <row r="1253" spans="1:9" hidden="1">
      <c r="A1253" s="23">
        <v>1253</v>
      </c>
      <c r="B1253" s="84">
        <v>45760</v>
      </c>
      <c r="C1253" s="23" t="s">
        <v>909</v>
      </c>
      <c r="D1253" s="23" t="s">
        <v>236</v>
      </c>
      <c r="G1253" s="23">
        <v>0.7</v>
      </c>
      <c r="I1253" s="217" t="s">
        <v>2407</v>
      </c>
    </row>
    <row r="1254" spans="1:9" hidden="1">
      <c r="A1254" s="23">
        <v>1254</v>
      </c>
      <c r="B1254" s="84">
        <v>45760</v>
      </c>
      <c r="C1254" s="23" t="s">
        <v>342</v>
      </c>
      <c r="D1254" s="23" t="s">
        <v>229</v>
      </c>
      <c r="G1254" s="23">
        <v>0</v>
      </c>
      <c r="I1254" s="217" t="s">
        <v>2408</v>
      </c>
    </row>
    <row r="1255" spans="1:9" hidden="1">
      <c r="A1255" s="23">
        <v>1255</v>
      </c>
      <c r="B1255" s="84">
        <v>45760</v>
      </c>
      <c r="C1255" s="23" t="s">
        <v>760</v>
      </c>
      <c r="D1255" s="23" t="s">
        <v>232</v>
      </c>
      <c r="G1255" s="23">
        <v>0</v>
      </c>
      <c r="I1255" s="217" t="s">
        <v>2409</v>
      </c>
    </row>
    <row r="1256" spans="1:9" hidden="1">
      <c r="A1256" s="23">
        <v>1256</v>
      </c>
      <c r="B1256" s="84">
        <v>45760</v>
      </c>
      <c r="C1256" s="23" t="s">
        <v>527</v>
      </c>
      <c r="D1256" s="23" t="s">
        <v>234</v>
      </c>
      <c r="G1256" s="23">
        <v>0</v>
      </c>
      <c r="I1256" s="217" t="s">
        <v>2410</v>
      </c>
    </row>
    <row r="1257" spans="1:9" hidden="1">
      <c r="A1257" s="23">
        <v>1257</v>
      </c>
      <c r="B1257" s="84">
        <v>45760</v>
      </c>
      <c r="C1257" s="23" t="s">
        <v>910</v>
      </c>
      <c r="D1257" s="23" t="s">
        <v>236</v>
      </c>
      <c r="G1257" s="23">
        <v>0</v>
      </c>
      <c r="I1257" s="217" t="s">
        <v>2411</v>
      </c>
    </row>
    <row r="1258" spans="1:9" hidden="1">
      <c r="A1258" s="23">
        <v>1258</v>
      </c>
      <c r="B1258" s="84">
        <v>45760</v>
      </c>
      <c r="C1258" s="23" t="s">
        <v>291</v>
      </c>
      <c r="D1258" s="23" t="s">
        <v>229</v>
      </c>
      <c r="G1258" s="23">
        <v>0.7</v>
      </c>
      <c r="I1258" s="217" t="s">
        <v>2412</v>
      </c>
    </row>
    <row r="1259" spans="1:9" hidden="1">
      <c r="A1259" s="23">
        <v>1259</v>
      </c>
      <c r="B1259" s="84">
        <v>45760</v>
      </c>
      <c r="C1259" s="23" t="s">
        <v>291</v>
      </c>
      <c r="D1259" s="23" t="s">
        <v>234</v>
      </c>
      <c r="G1259" s="23">
        <v>0.7</v>
      </c>
      <c r="I1259" s="217" t="s">
        <v>2413</v>
      </c>
    </row>
    <row r="1260" spans="1:9" hidden="1">
      <c r="A1260" s="23">
        <v>1260</v>
      </c>
      <c r="B1260" s="84">
        <v>45760</v>
      </c>
      <c r="C1260" s="23" t="s">
        <v>291</v>
      </c>
      <c r="D1260" s="23" t="s">
        <v>245</v>
      </c>
      <c r="G1260" s="23">
        <v>0.7</v>
      </c>
      <c r="I1260" s="217" t="s">
        <v>2414</v>
      </c>
    </row>
    <row r="1261" spans="1:9" hidden="1">
      <c r="A1261" s="23">
        <v>1261</v>
      </c>
      <c r="B1261" s="84">
        <v>45760</v>
      </c>
      <c r="C1261" s="23" t="s">
        <v>291</v>
      </c>
      <c r="D1261" s="23" t="s">
        <v>232</v>
      </c>
      <c r="G1261" s="23">
        <v>0.7</v>
      </c>
      <c r="I1261" s="217" t="s">
        <v>2415</v>
      </c>
    </row>
    <row r="1262" spans="1:9" hidden="1">
      <c r="A1262" s="23">
        <v>1262</v>
      </c>
      <c r="B1262" s="84">
        <v>45760</v>
      </c>
      <c r="C1262" s="23" t="s">
        <v>711</v>
      </c>
      <c r="D1262" s="23" t="s">
        <v>236</v>
      </c>
      <c r="G1262" s="23">
        <v>0.7</v>
      </c>
      <c r="I1262" s="217" t="s">
        <v>2416</v>
      </c>
    </row>
    <row r="1263" spans="1:9" hidden="1">
      <c r="A1263" s="23">
        <v>1263</v>
      </c>
      <c r="B1263" s="84">
        <v>45760</v>
      </c>
      <c r="C1263" s="23" t="s">
        <v>850</v>
      </c>
      <c r="D1263" s="23" t="s">
        <v>189</v>
      </c>
      <c r="G1263" s="23" t="s">
        <v>9</v>
      </c>
      <c r="H1263" s="23" t="s">
        <v>915</v>
      </c>
      <c r="I1263" s="217" t="s">
        <v>2417</v>
      </c>
    </row>
    <row r="1264" spans="1:9" hidden="1">
      <c r="A1264" s="23">
        <v>1264</v>
      </c>
      <c r="B1264" s="84">
        <v>45760</v>
      </c>
      <c r="C1264" s="23" t="s">
        <v>911</v>
      </c>
      <c r="D1264" s="23" t="s">
        <v>245</v>
      </c>
      <c r="G1264" s="23">
        <v>0</v>
      </c>
      <c r="I1264" s="217" t="s">
        <v>2414</v>
      </c>
    </row>
    <row r="1265" spans="1:9" hidden="1">
      <c r="A1265" s="23">
        <v>1265</v>
      </c>
      <c r="B1265" s="84">
        <v>45760</v>
      </c>
      <c r="C1265" s="23" t="s">
        <v>337</v>
      </c>
      <c r="D1265" s="23" t="s">
        <v>229</v>
      </c>
      <c r="G1265" s="23">
        <v>0</v>
      </c>
      <c r="I1265" s="217" t="s">
        <v>2412</v>
      </c>
    </row>
    <row r="1266" spans="1:9" hidden="1">
      <c r="A1266" s="23">
        <v>1266</v>
      </c>
      <c r="B1266" s="84">
        <v>45760</v>
      </c>
      <c r="C1266" s="23" t="s">
        <v>912</v>
      </c>
      <c r="D1266" s="23" t="s">
        <v>232</v>
      </c>
      <c r="G1266" s="23">
        <v>0</v>
      </c>
      <c r="I1266" s="217" t="s">
        <v>2415</v>
      </c>
    </row>
    <row r="1267" spans="1:9">
      <c r="A1267" s="23">
        <v>1267</v>
      </c>
      <c r="B1267" s="84">
        <v>45760</v>
      </c>
      <c r="C1267" s="23" t="s">
        <v>912</v>
      </c>
      <c r="D1267" s="23" t="s">
        <v>248</v>
      </c>
      <c r="G1267" s="23">
        <v>6.8</v>
      </c>
      <c r="I1267" s="217" t="s">
        <v>2418</v>
      </c>
    </row>
    <row r="1268" spans="1:9" hidden="1">
      <c r="A1268" s="23">
        <v>1268</v>
      </c>
      <c r="B1268" s="84">
        <v>45760</v>
      </c>
      <c r="C1268" s="23" t="s">
        <v>847</v>
      </c>
      <c r="D1268" s="23" t="s">
        <v>234</v>
      </c>
      <c r="G1268" s="23">
        <v>0</v>
      </c>
      <c r="I1268" s="217" t="s">
        <v>2413</v>
      </c>
    </row>
    <row r="1269" spans="1:9">
      <c r="A1269" s="23">
        <v>1269</v>
      </c>
      <c r="B1269" s="84">
        <v>45760</v>
      </c>
      <c r="C1269" s="23" t="s">
        <v>431</v>
      </c>
      <c r="D1269" s="23" t="s">
        <v>180</v>
      </c>
      <c r="G1269" s="23">
        <v>0</v>
      </c>
      <c r="I1269" s="217" t="s">
        <v>2419</v>
      </c>
    </row>
    <row r="1270" spans="1:9" hidden="1">
      <c r="A1270" s="23">
        <v>1270</v>
      </c>
      <c r="B1270" s="84">
        <v>45760</v>
      </c>
      <c r="C1270" s="23" t="s">
        <v>913</v>
      </c>
      <c r="D1270" s="23" t="s">
        <v>236</v>
      </c>
      <c r="G1270" s="23">
        <v>0</v>
      </c>
      <c r="I1270" s="217" t="s">
        <v>2420</v>
      </c>
    </row>
    <row r="1271" spans="1:9" hidden="1">
      <c r="A1271" s="23">
        <v>1271</v>
      </c>
      <c r="B1271" s="84">
        <v>45760</v>
      </c>
      <c r="C1271" s="23" t="s">
        <v>299</v>
      </c>
      <c r="D1271" s="23" t="s">
        <v>199</v>
      </c>
      <c r="G1271" s="23">
        <v>0</v>
      </c>
      <c r="I1271" s="217" t="s">
        <v>2421</v>
      </c>
    </row>
    <row r="1272" spans="1:9" hidden="1">
      <c r="A1272" s="23">
        <v>1272</v>
      </c>
      <c r="B1272" s="84">
        <v>45760</v>
      </c>
      <c r="C1272" s="23" t="s">
        <v>828</v>
      </c>
      <c r="D1272" s="23" t="s">
        <v>245</v>
      </c>
      <c r="G1272" s="23">
        <v>0.7</v>
      </c>
      <c r="I1272" s="217" t="s">
        <v>2422</v>
      </c>
    </row>
    <row r="1273" spans="1:9">
      <c r="A1273" s="23">
        <v>1273</v>
      </c>
      <c r="B1273" s="84">
        <v>45761</v>
      </c>
      <c r="C1273" s="23" t="s">
        <v>828</v>
      </c>
      <c r="D1273" s="23" t="s">
        <v>174</v>
      </c>
      <c r="G1273" s="23">
        <v>0</v>
      </c>
      <c r="I1273" s="217" t="s">
        <v>2423</v>
      </c>
    </row>
    <row r="1274" spans="1:9" hidden="1">
      <c r="A1274" s="23">
        <v>1274</v>
      </c>
      <c r="B1274" s="84">
        <v>45761</v>
      </c>
      <c r="C1274" s="23" t="s">
        <v>917</v>
      </c>
      <c r="D1274" s="23" t="s">
        <v>245</v>
      </c>
      <c r="G1274" s="23">
        <v>0</v>
      </c>
      <c r="I1274" s="217" t="s">
        <v>2424</v>
      </c>
    </row>
    <row r="1275" spans="1:9" hidden="1">
      <c r="A1275" s="23">
        <v>1275</v>
      </c>
      <c r="B1275" s="84">
        <v>45761</v>
      </c>
      <c r="C1275" s="23" t="s">
        <v>914</v>
      </c>
      <c r="D1275" s="23" t="s">
        <v>189</v>
      </c>
      <c r="G1275" s="23">
        <v>1.5</v>
      </c>
      <c r="I1275" s="217" t="s">
        <v>2425</v>
      </c>
    </row>
    <row r="1276" spans="1:9">
      <c r="A1276" s="23">
        <v>1276</v>
      </c>
      <c r="B1276" s="84">
        <v>45761</v>
      </c>
      <c r="C1276" s="23" t="s">
        <v>798</v>
      </c>
      <c r="D1276" s="23" t="s">
        <v>177</v>
      </c>
      <c r="G1276" s="23" t="s">
        <v>9</v>
      </c>
      <c r="I1276" s="217" t="s">
        <v>2426</v>
      </c>
    </row>
    <row r="1277" spans="1:9">
      <c r="A1277" s="23">
        <v>1277</v>
      </c>
      <c r="B1277" s="84">
        <v>45761</v>
      </c>
      <c r="C1277" s="23" t="s">
        <v>916</v>
      </c>
      <c r="D1277" s="23" t="s">
        <v>248</v>
      </c>
      <c r="G1277" s="23" t="s">
        <v>9</v>
      </c>
      <c r="I1277" s="217" t="s">
        <v>2427</v>
      </c>
    </row>
    <row r="1278" spans="1:9" hidden="1">
      <c r="A1278" s="23">
        <v>1278</v>
      </c>
      <c r="B1278" s="84">
        <v>45761</v>
      </c>
      <c r="C1278" s="23" t="s">
        <v>923</v>
      </c>
      <c r="D1278" s="23" t="s">
        <v>245</v>
      </c>
      <c r="G1278" s="23">
        <v>0.7</v>
      </c>
      <c r="I1278" s="217" t="s">
        <v>2428</v>
      </c>
    </row>
    <row r="1279" spans="1:9" hidden="1">
      <c r="A1279" s="23">
        <v>1280</v>
      </c>
      <c r="B1279" s="84">
        <v>45761</v>
      </c>
      <c r="C1279" s="23" t="s">
        <v>923</v>
      </c>
      <c r="D1279" s="23" t="s">
        <v>236</v>
      </c>
      <c r="G1279" s="23">
        <v>0.7</v>
      </c>
      <c r="I1279" s="217" t="s">
        <v>2429</v>
      </c>
    </row>
    <row r="1280" spans="1:9" hidden="1">
      <c r="A1280" s="23">
        <v>1281</v>
      </c>
      <c r="B1280" s="84">
        <v>45761</v>
      </c>
      <c r="C1280" s="23" t="s">
        <v>921</v>
      </c>
      <c r="D1280" s="23" t="s">
        <v>234</v>
      </c>
      <c r="G1280" s="23">
        <v>0.7</v>
      </c>
      <c r="I1280" s="217" t="s">
        <v>2430</v>
      </c>
    </row>
    <row r="1281" spans="1:9" hidden="1">
      <c r="A1281" s="23">
        <v>1282</v>
      </c>
      <c r="B1281" s="84">
        <v>45761</v>
      </c>
      <c r="C1281" s="23" t="s">
        <v>923</v>
      </c>
      <c r="D1281" s="23" t="s">
        <v>232</v>
      </c>
      <c r="G1281" s="23">
        <v>0.7</v>
      </c>
      <c r="I1281" s="217" t="s">
        <v>2431</v>
      </c>
    </row>
    <row r="1282" spans="1:9" hidden="1">
      <c r="A1282" s="23">
        <v>1283</v>
      </c>
      <c r="B1282" s="84">
        <v>45761</v>
      </c>
      <c r="C1282" s="23" t="s">
        <v>923</v>
      </c>
      <c r="D1282" s="23" t="s">
        <v>239</v>
      </c>
      <c r="G1282" s="23">
        <v>0.7</v>
      </c>
      <c r="I1282" s="217" t="s">
        <v>2432</v>
      </c>
    </row>
    <row r="1283" spans="1:9">
      <c r="A1283" s="23">
        <v>1284</v>
      </c>
      <c r="B1283" s="84">
        <v>45761</v>
      </c>
      <c r="C1283" s="23" t="s">
        <v>922</v>
      </c>
      <c r="D1283" s="23" t="s">
        <v>248</v>
      </c>
      <c r="G1283" s="23">
        <v>1.5</v>
      </c>
      <c r="I1283" s="217" t="s">
        <v>2433</v>
      </c>
    </row>
    <row r="1284" spans="1:9" hidden="1">
      <c r="A1284" s="23">
        <v>1285</v>
      </c>
      <c r="B1284" s="84">
        <v>45761</v>
      </c>
      <c r="C1284" s="23" t="s">
        <v>925</v>
      </c>
      <c r="D1284" s="23" t="s">
        <v>239</v>
      </c>
      <c r="G1284" s="23">
        <v>0</v>
      </c>
      <c r="I1284" s="217" t="s">
        <v>2434</v>
      </c>
    </row>
    <row r="1285" spans="1:9">
      <c r="A1285" s="23">
        <v>1286</v>
      </c>
      <c r="B1285" s="84">
        <v>45761</v>
      </c>
      <c r="C1285" s="23" t="s">
        <v>919</v>
      </c>
      <c r="D1285" s="23" t="s">
        <v>177</v>
      </c>
      <c r="G1285" s="23">
        <v>0</v>
      </c>
      <c r="I1285" s="217" t="s">
        <v>2435</v>
      </c>
    </row>
    <row r="1286" spans="1:9" hidden="1">
      <c r="A1286" s="23">
        <v>1288</v>
      </c>
      <c r="B1286" s="84">
        <v>45761</v>
      </c>
      <c r="C1286" s="23" t="s">
        <v>923</v>
      </c>
      <c r="D1286" s="23" t="s">
        <v>229</v>
      </c>
      <c r="G1286" s="23">
        <v>0.7</v>
      </c>
      <c r="I1286" s="217" t="s">
        <v>2436</v>
      </c>
    </row>
    <row r="1287" spans="1:9">
      <c r="A1287" s="23">
        <v>1287</v>
      </c>
      <c r="B1287" s="84">
        <v>45761</v>
      </c>
      <c r="C1287" s="23" t="s">
        <v>924</v>
      </c>
      <c r="D1287" s="23" t="s">
        <v>177</v>
      </c>
      <c r="G1287" s="23">
        <v>1.5</v>
      </c>
      <c r="I1287" s="217" t="s">
        <v>2437</v>
      </c>
    </row>
    <row r="1288" spans="1:9" hidden="1">
      <c r="A1288" s="23">
        <v>1288</v>
      </c>
      <c r="B1288" s="84">
        <v>45761</v>
      </c>
      <c r="C1288" s="23" t="s">
        <v>924</v>
      </c>
      <c r="D1288" s="23" t="s">
        <v>245</v>
      </c>
      <c r="G1288" s="23">
        <v>0</v>
      </c>
      <c r="I1288" s="217" t="s">
        <v>2438</v>
      </c>
    </row>
    <row r="1289" spans="1:9" hidden="1">
      <c r="A1289" s="23">
        <v>1289</v>
      </c>
      <c r="B1289" s="84">
        <v>45761</v>
      </c>
      <c r="C1289" s="23" t="s">
        <v>924</v>
      </c>
      <c r="D1289" s="23" t="s">
        <v>229</v>
      </c>
      <c r="G1289" s="23">
        <v>0</v>
      </c>
      <c r="I1289" s="217" t="s">
        <v>2439</v>
      </c>
    </row>
    <row r="1290" spans="1:9" hidden="1">
      <c r="A1290" s="23">
        <v>1290</v>
      </c>
      <c r="B1290" s="84">
        <v>45761</v>
      </c>
      <c r="C1290" s="23" t="s">
        <v>353</v>
      </c>
      <c r="D1290" s="23" t="s">
        <v>232</v>
      </c>
      <c r="G1290" s="23">
        <v>0</v>
      </c>
      <c r="I1290" s="217" t="s">
        <v>2440</v>
      </c>
    </row>
    <row r="1291" spans="1:9" hidden="1">
      <c r="A1291" s="23">
        <v>1291</v>
      </c>
      <c r="B1291" s="84">
        <v>45761</v>
      </c>
      <c r="C1291" s="23" t="s">
        <v>353</v>
      </c>
      <c r="D1291" s="23" t="s">
        <v>234</v>
      </c>
      <c r="G1291" s="23">
        <v>0</v>
      </c>
      <c r="I1291" s="217" t="s">
        <v>2441</v>
      </c>
    </row>
    <row r="1292" spans="1:9" hidden="1">
      <c r="A1292" s="23">
        <v>1292</v>
      </c>
      <c r="B1292" s="84">
        <v>45761</v>
      </c>
      <c r="C1292" s="23" t="s">
        <v>353</v>
      </c>
      <c r="D1292" s="23" t="s">
        <v>236</v>
      </c>
      <c r="G1292" s="23">
        <v>0</v>
      </c>
      <c r="I1292" s="217" t="s">
        <v>2442</v>
      </c>
    </row>
    <row r="1293" spans="1:9" hidden="1">
      <c r="A1293" s="23">
        <v>1293</v>
      </c>
      <c r="B1293" s="84">
        <v>45761</v>
      </c>
      <c r="C1293" s="23" t="s">
        <v>901</v>
      </c>
      <c r="D1293" s="23" t="s">
        <v>242</v>
      </c>
      <c r="G1293" s="23" t="s">
        <v>9</v>
      </c>
      <c r="I1293" s="217" t="s">
        <v>2443</v>
      </c>
    </row>
    <row r="1294" spans="1:9" hidden="1">
      <c r="A1294" s="23">
        <v>1294</v>
      </c>
      <c r="B1294" s="84">
        <v>45761</v>
      </c>
      <c r="C1294" s="23" t="s">
        <v>898</v>
      </c>
      <c r="D1294" s="23" t="s">
        <v>335</v>
      </c>
      <c r="G1294" s="23">
        <v>0</v>
      </c>
      <c r="I1294" s="217" t="s">
        <v>2444</v>
      </c>
    </row>
    <row r="1295" spans="1:9" hidden="1">
      <c r="A1295" s="23">
        <v>1295</v>
      </c>
      <c r="B1295" s="84">
        <v>45761</v>
      </c>
      <c r="C1295" s="23" t="s">
        <v>595</v>
      </c>
      <c r="D1295" s="23" t="s">
        <v>229</v>
      </c>
      <c r="G1295" s="23">
        <v>0.7</v>
      </c>
      <c r="I1295" s="217" t="s">
        <v>2445</v>
      </c>
    </row>
    <row r="1296" spans="1:9" hidden="1">
      <c r="A1296" s="23">
        <v>1296</v>
      </c>
      <c r="B1296" s="84">
        <v>45761</v>
      </c>
      <c r="C1296" s="23" t="s">
        <v>930</v>
      </c>
      <c r="D1296" s="23" t="s">
        <v>199</v>
      </c>
      <c r="G1296" s="23">
        <v>0.8</v>
      </c>
      <c r="I1296" s="217" t="s">
        <v>2446</v>
      </c>
    </row>
    <row r="1297" spans="1:9">
      <c r="A1297" s="23">
        <v>1297</v>
      </c>
      <c r="B1297" s="84">
        <v>45761</v>
      </c>
      <c r="C1297" s="23" t="s">
        <v>857</v>
      </c>
      <c r="D1297" s="23" t="s">
        <v>174</v>
      </c>
      <c r="G1297" s="23">
        <v>1.5</v>
      </c>
      <c r="I1297" s="217" t="s">
        <v>2447</v>
      </c>
    </row>
    <row r="1298" spans="1:9" hidden="1">
      <c r="A1298" s="23">
        <v>1298</v>
      </c>
      <c r="B1298" s="84">
        <v>45761</v>
      </c>
      <c r="C1298" s="23" t="s">
        <v>929</v>
      </c>
      <c r="D1298" s="23" t="s">
        <v>229</v>
      </c>
      <c r="G1298" s="23">
        <v>0</v>
      </c>
      <c r="I1298" s="217" t="s">
        <v>2445</v>
      </c>
    </row>
    <row r="1299" spans="1:9" hidden="1">
      <c r="A1299" s="23">
        <v>1299</v>
      </c>
      <c r="B1299" s="84">
        <v>45761</v>
      </c>
      <c r="C1299" s="23" t="s">
        <v>648</v>
      </c>
      <c r="D1299" s="23" t="s">
        <v>183</v>
      </c>
      <c r="G1299" s="23">
        <v>0</v>
      </c>
      <c r="I1299" s="217" t="s">
        <v>2448</v>
      </c>
    </row>
    <row r="1300" spans="1:9" hidden="1">
      <c r="A1300" s="23">
        <v>1300</v>
      </c>
      <c r="B1300" s="84">
        <v>45761</v>
      </c>
      <c r="C1300" s="23" t="s">
        <v>165</v>
      </c>
      <c r="D1300" s="23" t="s">
        <v>242</v>
      </c>
      <c r="G1300" s="23">
        <v>0</v>
      </c>
      <c r="I1300" s="217" t="s">
        <v>2449</v>
      </c>
    </row>
    <row r="1301" spans="1:9" hidden="1">
      <c r="A1301" s="23">
        <v>1301</v>
      </c>
      <c r="B1301" s="84">
        <v>45761</v>
      </c>
      <c r="C1301" s="23" t="s">
        <v>546</v>
      </c>
      <c r="D1301" s="23" t="s">
        <v>229</v>
      </c>
      <c r="G1301" s="23">
        <v>0.7</v>
      </c>
      <c r="I1301" s="217" t="s">
        <v>2450</v>
      </c>
    </row>
    <row r="1302" spans="1:9" hidden="1">
      <c r="A1302" s="23">
        <v>1302</v>
      </c>
      <c r="B1302" s="84">
        <v>45761</v>
      </c>
      <c r="C1302" s="23" t="s">
        <v>932</v>
      </c>
      <c r="D1302" s="23" t="s">
        <v>242</v>
      </c>
      <c r="G1302" s="23">
        <v>3.8</v>
      </c>
      <c r="I1302" s="217" t="s">
        <v>2451</v>
      </c>
    </row>
    <row r="1303" spans="1:9" hidden="1">
      <c r="A1303" s="23">
        <v>1303</v>
      </c>
      <c r="B1303" s="84">
        <v>45761</v>
      </c>
      <c r="C1303" s="23" t="s">
        <v>686</v>
      </c>
      <c r="D1303" s="23" t="s">
        <v>183</v>
      </c>
      <c r="G1303" s="23">
        <v>2.8</v>
      </c>
      <c r="I1303" s="217" t="s">
        <v>2452</v>
      </c>
    </row>
    <row r="1304" spans="1:9" hidden="1">
      <c r="A1304" s="23">
        <v>1304</v>
      </c>
      <c r="B1304" s="84">
        <v>45761</v>
      </c>
      <c r="C1304" s="23" t="s">
        <v>257</v>
      </c>
      <c r="D1304" s="23" t="s">
        <v>232</v>
      </c>
      <c r="G1304" s="23">
        <v>0.7</v>
      </c>
      <c r="I1304" s="217" t="s">
        <v>2453</v>
      </c>
    </row>
    <row r="1305" spans="1:9" hidden="1">
      <c r="A1305" s="23">
        <v>1305</v>
      </c>
      <c r="B1305" s="84">
        <v>45761</v>
      </c>
      <c r="C1305" s="23" t="s">
        <v>863</v>
      </c>
      <c r="D1305" s="23" t="s">
        <v>335</v>
      </c>
      <c r="G1305" s="23">
        <v>5</v>
      </c>
      <c r="I1305" s="217" t="s">
        <v>2454</v>
      </c>
    </row>
    <row r="1306" spans="1:9" hidden="1">
      <c r="A1306" s="23">
        <v>1306</v>
      </c>
      <c r="B1306" s="84">
        <v>45761</v>
      </c>
      <c r="C1306" s="23" t="s">
        <v>374</v>
      </c>
      <c r="D1306" s="23" t="s">
        <v>234</v>
      </c>
      <c r="G1306" s="23">
        <v>0.7</v>
      </c>
      <c r="I1306" s="217" t="s">
        <v>2455</v>
      </c>
    </row>
    <row r="1307" spans="1:9" hidden="1">
      <c r="A1307" s="23">
        <v>1307</v>
      </c>
      <c r="B1307" s="84">
        <v>45761</v>
      </c>
      <c r="C1307" s="23" t="s">
        <v>365</v>
      </c>
      <c r="D1307" s="23" t="s">
        <v>236</v>
      </c>
      <c r="G1307" s="23">
        <v>0.7</v>
      </c>
      <c r="I1307" s="217" t="s">
        <v>2456</v>
      </c>
    </row>
    <row r="1308" spans="1:9" hidden="1">
      <c r="A1308" s="23">
        <v>1308</v>
      </c>
      <c r="B1308" s="84">
        <v>45761</v>
      </c>
      <c r="C1308" s="23" t="s">
        <v>262</v>
      </c>
      <c r="D1308" s="23" t="s">
        <v>245</v>
      </c>
      <c r="G1308" s="23">
        <v>0.7</v>
      </c>
      <c r="I1308" s="217" t="s">
        <v>2457</v>
      </c>
    </row>
    <row r="1309" spans="1:9" hidden="1">
      <c r="A1309" s="23">
        <v>1309</v>
      </c>
      <c r="B1309" s="84">
        <v>45761</v>
      </c>
      <c r="C1309" s="23" t="s">
        <v>254</v>
      </c>
      <c r="D1309" s="23" t="s">
        <v>239</v>
      </c>
      <c r="G1309" s="23">
        <v>0.7</v>
      </c>
      <c r="I1309" s="217" t="s">
        <v>2458</v>
      </c>
    </row>
    <row r="1310" spans="1:9">
      <c r="A1310" s="23">
        <v>1310</v>
      </c>
      <c r="B1310" s="84">
        <v>45761</v>
      </c>
      <c r="C1310" s="23" t="s">
        <v>258</v>
      </c>
      <c r="D1310" s="23" t="s">
        <v>180</v>
      </c>
      <c r="G1310" s="23">
        <v>6.8</v>
      </c>
      <c r="I1310" s="217" t="s">
        <v>2459</v>
      </c>
    </row>
    <row r="1311" spans="1:9" hidden="1">
      <c r="A1311" s="23">
        <v>1311</v>
      </c>
      <c r="B1311" s="84">
        <v>45761</v>
      </c>
      <c r="C1311" s="23" t="s">
        <v>780</v>
      </c>
      <c r="D1311" s="23" t="s">
        <v>229</v>
      </c>
      <c r="G1311" s="23">
        <v>0</v>
      </c>
      <c r="I1311" s="217" t="s">
        <v>2460</v>
      </c>
    </row>
    <row r="1312" spans="1:9" hidden="1">
      <c r="A1312" s="23">
        <v>1312</v>
      </c>
      <c r="B1312" s="84">
        <v>45761</v>
      </c>
      <c r="C1312" s="23" t="s">
        <v>780</v>
      </c>
      <c r="D1312" s="23" t="s">
        <v>232</v>
      </c>
      <c r="G1312" s="23">
        <v>0</v>
      </c>
      <c r="I1312" s="217" t="s">
        <v>2461</v>
      </c>
    </row>
    <row r="1313" spans="1:9" hidden="1">
      <c r="A1313" s="23">
        <v>1313</v>
      </c>
      <c r="B1313" s="84">
        <v>45761</v>
      </c>
      <c r="C1313" s="23" t="s">
        <v>666</v>
      </c>
      <c r="D1313" s="23" t="s">
        <v>234</v>
      </c>
      <c r="G1313" s="23">
        <v>0</v>
      </c>
      <c r="I1313" s="217" t="s">
        <v>2455</v>
      </c>
    </row>
    <row r="1314" spans="1:9" hidden="1">
      <c r="A1314" s="23">
        <v>1314</v>
      </c>
      <c r="B1314" s="84">
        <v>45761</v>
      </c>
      <c r="C1314" s="23" t="s">
        <v>666</v>
      </c>
      <c r="D1314" s="23" t="s">
        <v>236</v>
      </c>
      <c r="G1314" s="23">
        <v>0</v>
      </c>
      <c r="I1314" s="217" t="s">
        <v>2456</v>
      </c>
    </row>
    <row r="1315" spans="1:9" hidden="1">
      <c r="A1315" s="23">
        <v>1315</v>
      </c>
      <c r="B1315" s="84">
        <v>45761</v>
      </c>
      <c r="C1315" s="23" t="s">
        <v>269</v>
      </c>
      <c r="D1315" s="23" t="s">
        <v>239</v>
      </c>
      <c r="G1315" s="23">
        <v>0</v>
      </c>
      <c r="I1315" s="217" t="s">
        <v>2462</v>
      </c>
    </row>
    <row r="1316" spans="1:9" hidden="1">
      <c r="A1316" s="23">
        <v>1316</v>
      </c>
      <c r="B1316" s="84">
        <v>45761</v>
      </c>
      <c r="C1316" s="23" t="s">
        <v>934</v>
      </c>
      <c r="D1316" s="23" t="s">
        <v>245</v>
      </c>
      <c r="G1316" s="23">
        <v>0</v>
      </c>
      <c r="I1316" s="217" t="s">
        <v>2463</v>
      </c>
    </row>
    <row r="1317" spans="1:9" hidden="1">
      <c r="A1317" s="23">
        <v>1317</v>
      </c>
      <c r="B1317" s="84">
        <v>45761</v>
      </c>
      <c r="C1317" s="23" t="s">
        <v>935</v>
      </c>
      <c r="D1317" s="23" t="s">
        <v>245</v>
      </c>
      <c r="G1317" s="23">
        <v>0.7</v>
      </c>
      <c r="I1317" s="217" t="s">
        <v>1294</v>
      </c>
    </row>
    <row r="1318" spans="1:9" hidden="1">
      <c r="A1318" s="23">
        <v>1318</v>
      </c>
      <c r="B1318" s="84">
        <v>45761</v>
      </c>
      <c r="C1318" s="23" t="s">
        <v>936</v>
      </c>
      <c r="D1318" s="23" t="s">
        <v>229</v>
      </c>
      <c r="G1318" s="23">
        <v>0.7</v>
      </c>
      <c r="I1318" s="217" t="s">
        <v>2464</v>
      </c>
    </row>
    <row r="1319" spans="1:9" hidden="1">
      <c r="A1319" s="23">
        <v>1319</v>
      </c>
      <c r="B1319" s="84">
        <v>45761</v>
      </c>
      <c r="C1319" s="23" t="s">
        <v>693</v>
      </c>
      <c r="D1319" s="23" t="s">
        <v>232</v>
      </c>
      <c r="G1319" s="23">
        <v>0.7</v>
      </c>
      <c r="I1319" s="217" t="s">
        <v>2465</v>
      </c>
    </row>
    <row r="1320" spans="1:9" hidden="1">
      <c r="A1320" s="23">
        <v>1320</v>
      </c>
      <c r="B1320" s="84">
        <v>45761</v>
      </c>
      <c r="C1320" s="23" t="s">
        <v>505</v>
      </c>
      <c r="D1320" s="23" t="s">
        <v>234</v>
      </c>
      <c r="G1320" s="23">
        <v>0.7</v>
      </c>
      <c r="I1320" s="217" t="s">
        <v>2466</v>
      </c>
    </row>
    <row r="1321" spans="1:9" hidden="1">
      <c r="A1321" s="23">
        <v>1321</v>
      </c>
      <c r="B1321" s="84">
        <v>45761</v>
      </c>
      <c r="C1321" s="23" t="s">
        <v>940</v>
      </c>
      <c r="D1321" s="23" t="s">
        <v>236</v>
      </c>
      <c r="G1321" s="23">
        <v>0.7</v>
      </c>
      <c r="I1321" s="217" t="s">
        <v>2467</v>
      </c>
    </row>
    <row r="1322" spans="1:9" hidden="1">
      <c r="A1322" s="23">
        <v>1322</v>
      </c>
      <c r="B1322" s="84">
        <v>45761</v>
      </c>
      <c r="C1322" s="23" t="s">
        <v>572</v>
      </c>
      <c r="D1322" s="23" t="s">
        <v>245</v>
      </c>
      <c r="G1322" s="23">
        <v>0</v>
      </c>
      <c r="I1322" s="217" t="s">
        <v>2468</v>
      </c>
    </row>
    <row r="1323" spans="1:9" hidden="1">
      <c r="A1323" s="23">
        <v>1323</v>
      </c>
      <c r="B1323" s="84">
        <v>45761</v>
      </c>
      <c r="C1323" s="23" t="s">
        <v>937</v>
      </c>
      <c r="D1323" s="23" t="s">
        <v>229</v>
      </c>
      <c r="G1323" s="23">
        <v>0</v>
      </c>
      <c r="I1323" s="217" t="s">
        <v>2469</v>
      </c>
    </row>
    <row r="1324" spans="1:9" hidden="1">
      <c r="A1324" s="23">
        <v>1324</v>
      </c>
      <c r="B1324" s="84">
        <v>45761</v>
      </c>
      <c r="C1324" s="23" t="s">
        <v>938</v>
      </c>
      <c r="D1324" s="23" t="s">
        <v>232</v>
      </c>
      <c r="G1324" s="23">
        <v>0</v>
      </c>
      <c r="I1324" s="217" t="s">
        <v>2470</v>
      </c>
    </row>
    <row r="1325" spans="1:9" hidden="1">
      <c r="A1325" s="23">
        <v>1325</v>
      </c>
      <c r="B1325" s="84">
        <v>45761</v>
      </c>
      <c r="C1325" s="23" t="s">
        <v>939</v>
      </c>
      <c r="D1325" s="23" t="s">
        <v>234</v>
      </c>
      <c r="G1325" s="23">
        <v>0</v>
      </c>
      <c r="I1325" s="217" t="s">
        <v>2471</v>
      </c>
    </row>
    <row r="1326" spans="1:9" hidden="1">
      <c r="A1326" s="23">
        <v>1326</v>
      </c>
      <c r="B1326" s="84">
        <v>45761</v>
      </c>
      <c r="C1326" s="23" t="s">
        <v>941</v>
      </c>
      <c r="D1326" s="23" t="s">
        <v>236</v>
      </c>
      <c r="G1326" s="23">
        <v>0</v>
      </c>
      <c r="I1326" s="217" t="s">
        <v>2472</v>
      </c>
    </row>
    <row r="1327" spans="1:9" hidden="1">
      <c r="A1327" s="23">
        <v>1327</v>
      </c>
      <c r="B1327" s="84">
        <v>45761</v>
      </c>
      <c r="C1327" s="23" t="s">
        <v>213</v>
      </c>
      <c r="D1327" s="23" t="s">
        <v>225</v>
      </c>
      <c r="G1327" s="23">
        <v>0.73</v>
      </c>
      <c r="I1327" s="217" t="s">
        <v>2473</v>
      </c>
    </row>
    <row r="1328" spans="1:9" hidden="1">
      <c r="A1328" s="23">
        <v>1328</v>
      </c>
      <c r="B1328" s="84">
        <v>45761</v>
      </c>
      <c r="C1328" s="23" t="s">
        <v>238</v>
      </c>
      <c r="D1328" s="23" t="s">
        <v>217</v>
      </c>
      <c r="G1328" s="23">
        <v>0</v>
      </c>
      <c r="I1328" s="217" t="s">
        <v>2474</v>
      </c>
    </row>
    <row r="1329" spans="1:9" hidden="1">
      <c r="A1329" s="23">
        <v>1329</v>
      </c>
      <c r="B1329" s="84">
        <v>45761</v>
      </c>
      <c r="C1329" s="23" t="s">
        <v>212</v>
      </c>
      <c r="D1329" s="23" t="s">
        <v>217</v>
      </c>
      <c r="G1329" s="23">
        <v>0.87</v>
      </c>
      <c r="I1329" s="217" t="s">
        <v>2475</v>
      </c>
    </row>
    <row r="1330" spans="1:9" hidden="1">
      <c r="A1330" s="23">
        <v>1330</v>
      </c>
      <c r="B1330" s="84">
        <v>45761</v>
      </c>
      <c r="C1330" s="23" t="s">
        <v>222</v>
      </c>
      <c r="D1330" s="23" t="s">
        <v>225</v>
      </c>
      <c r="G1330" s="23">
        <v>0</v>
      </c>
      <c r="I1330" s="217" t="s">
        <v>2476</v>
      </c>
    </row>
    <row r="1331" spans="1:9" hidden="1">
      <c r="A1331" s="23">
        <v>1331</v>
      </c>
      <c r="B1331" s="84">
        <v>45761</v>
      </c>
      <c r="C1331" s="23" t="s">
        <v>432</v>
      </c>
      <c r="D1331" s="23" t="s">
        <v>164</v>
      </c>
      <c r="G1331" s="23">
        <v>0.7</v>
      </c>
      <c r="I1331" s="217" t="s">
        <v>2477</v>
      </c>
    </row>
    <row r="1332" spans="1:9">
      <c r="A1332" s="23">
        <v>1332</v>
      </c>
      <c r="B1332" s="84">
        <v>45761</v>
      </c>
      <c r="C1332" s="23" t="s">
        <v>927</v>
      </c>
      <c r="D1332" s="23" t="s">
        <v>177</v>
      </c>
      <c r="G1332" s="23">
        <v>0</v>
      </c>
      <c r="I1332" s="217" t="s">
        <v>2478</v>
      </c>
    </row>
    <row r="1333" spans="1:9" hidden="1">
      <c r="A1333" s="23">
        <v>1333</v>
      </c>
      <c r="B1333" s="84">
        <v>45761</v>
      </c>
      <c r="C1333" s="23" t="s">
        <v>942</v>
      </c>
      <c r="D1333" s="23" t="s">
        <v>245</v>
      </c>
      <c r="G1333" s="23">
        <v>0.7</v>
      </c>
      <c r="I1333" s="217" t="s">
        <v>2479</v>
      </c>
    </row>
    <row r="1334" spans="1:9" hidden="1">
      <c r="A1334" s="23">
        <v>1334</v>
      </c>
      <c r="B1334" s="84">
        <v>45761</v>
      </c>
      <c r="C1334" s="23" t="s">
        <v>944</v>
      </c>
      <c r="D1334" s="23" t="s">
        <v>229</v>
      </c>
      <c r="G1334" s="23">
        <v>0.7</v>
      </c>
      <c r="I1334" s="217" t="s">
        <v>2480</v>
      </c>
    </row>
    <row r="1335" spans="1:9" hidden="1">
      <c r="A1335" s="23">
        <v>1335</v>
      </c>
      <c r="B1335" s="84">
        <v>45761</v>
      </c>
      <c r="C1335" s="23" t="s">
        <v>945</v>
      </c>
      <c r="D1335" s="23" t="s">
        <v>279</v>
      </c>
      <c r="G1335" s="23">
        <v>1</v>
      </c>
      <c r="I1335" s="217" t="s">
        <v>2481</v>
      </c>
    </row>
    <row r="1336" spans="1:9" hidden="1">
      <c r="A1336" s="23">
        <v>1336</v>
      </c>
      <c r="B1336" s="84">
        <v>45761</v>
      </c>
      <c r="C1336" s="23" t="s">
        <v>946</v>
      </c>
      <c r="D1336" s="23" t="s">
        <v>279</v>
      </c>
      <c r="G1336" s="23">
        <v>0</v>
      </c>
      <c r="I1336" s="217" t="s">
        <v>2481</v>
      </c>
    </row>
    <row r="1337" spans="1:9" hidden="1">
      <c r="A1337" s="23">
        <v>1337</v>
      </c>
      <c r="B1337" s="84">
        <v>45761</v>
      </c>
      <c r="C1337" s="23" t="s">
        <v>708</v>
      </c>
      <c r="D1337" s="23" t="s">
        <v>164</v>
      </c>
      <c r="G1337" s="23">
        <v>0</v>
      </c>
      <c r="I1337" s="217" t="s">
        <v>2477</v>
      </c>
    </row>
    <row r="1338" spans="1:9" hidden="1">
      <c r="A1338" s="23">
        <v>1338</v>
      </c>
      <c r="B1338" s="84">
        <v>45761</v>
      </c>
      <c r="C1338" s="23" t="s">
        <v>765</v>
      </c>
      <c r="D1338" s="23" t="s">
        <v>229</v>
      </c>
      <c r="G1338" s="23">
        <v>0</v>
      </c>
      <c r="I1338" s="217" t="s">
        <v>2480</v>
      </c>
    </row>
    <row r="1339" spans="1:9" hidden="1">
      <c r="A1339" s="23">
        <v>1339</v>
      </c>
      <c r="B1339" s="84">
        <v>45761</v>
      </c>
      <c r="C1339" s="23" t="s">
        <v>943</v>
      </c>
      <c r="D1339" s="23" t="s">
        <v>245</v>
      </c>
      <c r="G1339" s="23">
        <v>0</v>
      </c>
      <c r="I1339" s="217" t="s">
        <v>2479</v>
      </c>
    </row>
    <row r="1340" spans="1:9" hidden="1">
      <c r="A1340" s="23">
        <v>1340</v>
      </c>
      <c r="B1340" s="84">
        <v>45761</v>
      </c>
      <c r="C1340" s="23" t="s">
        <v>771</v>
      </c>
      <c r="D1340" s="23" t="s">
        <v>192</v>
      </c>
      <c r="G1340" s="23">
        <v>1.5</v>
      </c>
      <c r="I1340" s="217" t="s">
        <v>2482</v>
      </c>
    </row>
    <row r="1341" spans="1:9" hidden="1">
      <c r="A1341" s="23">
        <v>1341</v>
      </c>
      <c r="B1341" s="84">
        <v>45761</v>
      </c>
      <c r="C1341" s="23" t="s">
        <v>582</v>
      </c>
      <c r="D1341" s="23" t="s">
        <v>335</v>
      </c>
      <c r="G1341" s="23">
        <v>0</v>
      </c>
      <c r="I1341" s="217" t="s">
        <v>2483</v>
      </c>
    </row>
    <row r="1342" spans="1:9" hidden="1">
      <c r="A1342" s="23">
        <v>1342</v>
      </c>
      <c r="B1342" s="84">
        <v>45761</v>
      </c>
      <c r="C1342" s="23" t="s">
        <v>301</v>
      </c>
      <c r="D1342" s="23" t="s">
        <v>183</v>
      </c>
      <c r="G1342" s="23">
        <v>0</v>
      </c>
      <c r="I1342" s="217" t="s">
        <v>2484</v>
      </c>
    </row>
    <row r="1343" spans="1:9" hidden="1">
      <c r="A1343" s="23">
        <v>1343</v>
      </c>
      <c r="B1343" s="84">
        <v>45761</v>
      </c>
      <c r="C1343" s="23" t="s">
        <v>250</v>
      </c>
      <c r="D1343" s="23" t="s">
        <v>199</v>
      </c>
      <c r="G1343" s="23">
        <v>0</v>
      </c>
      <c r="I1343" s="217" t="s">
        <v>2485</v>
      </c>
    </row>
    <row r="1344" spans="1:9" hidden="1">
      <c r="A1344" s="23">
        <v>1344</v>
      </c>
      <c r="B1344" s="84">
        <v>45761</v>
      </c>
      <c r="C1344" s="23" t="s">
        <v>947</v>
      </c>
      <c r="D1344" s="23" t="s">
        <v>232</v>
      </c>
      <c r="G1344" s="23">
        <v>0.7</v>
      </c>
      <c r="I1344" s="217" t="s">
        <v>2486</v>
      </c>
    </row>
    <row r="1345" spans="1:9" hidden="1">
      <c r="A1345" s="23">
        <v>1345</v>
      </c>
      <c r="B1345" s="84">
        <v>45761</v>
      </c>
      <c r="C1345" s="23" t="s">
        <v>947</v>
      </c>
      <c r="D1345" s="23" t="s">
        <v>226</v>
      </c>
      <c r="G1345" s="23">
        <v>0.7</v>
      </c>
      <c r="I1345" s="217" t="s">
        <v>2487</v>
      </c>
    </row>
    <row r="1346" spans="1:9" hidden="1">
      <c r="A1346" s="23">
        <v>1346</v>
      </c>
      <c r="B1346" s="84">
        <v>45761</v>
      </c>
      <c r="C1346" s="23" t="s">
        <v>947</v>
      </c>
      <c r="D1346" s="23" t="s">
        <v>234</v>
      </c>
      <c r="G1346" s="23">
        <v>0.7</v>
      </c>
      <c r="I1346" s="217" t="s">
        <v>2488</v>
      </c>
    </row>
    <row r="1347" spans="1:9" hidden="1">
      <c r="A1347" s="23">
        <v>1347</v>
      </c>
      <c r="B1347" s="84">
        <v>45761</v>
      </c>
      <c r="C1347" s="23" t="s">
        <v>947</v>
      </c>
      <c r="D1347" s="23" t="s">
        <v>236</v>
      </c>
      <c r="G1347" s="23">
        <v>0.7</v>
      </c>
      <c r="I1347" s="217" t="s">
        <v>2489</v>
      </c>
    </row>
    <row r="1348" spans="1:9" hidden="1">
      <c r="A1348" s="23">
        <v>1348</v>
      </c>
      <c r="B1348" s="84">
        <v>45761</v>
      </c>
      <c r="C1348" s="23" t="s">
        <v>947</v>
      </c>
      <c r="D1348" s="23" t="s">
        <v>245</v>
      </c>
      <c r="G1348" s="23">
        <v>0.7</v>
      </c>
      <c r="I1348" s="217" t="s">
        <v>2490</v>
      </c>
    </row>
    <row r="1349" spans="1:9" hidden="1">
      <c r="A1349" s="23">
        <v>1349</v>
      </c>
      <c r="B1349" s="84">
        <v>45761</v>
      </c>
      <c r="C1349" s="23" t="s">
        <v>948</v>
      </c>
      <c r="D1349" s="23" t="s">
        <v>226</v>
      </c>
      <c r="G1349" s="23">
        <v>0</v>
      </c>
      <c r="I1349" s="217" t="s">
        <v>2487</v>
      </c>
    </row>
    <row r="1350" spans="1:9" hidden="1">
      <c r="A1350" s="23">
        <v>1350</v>
      </c>
      <c r="B1350" s="84">
        <v>45761</v>
      </c>
      <c r="C1350" s="23" t="s">
        <v>948</v>
      </c>
      <c r="D1350" s="23" t="s">
        <v>232</v>
      </c>
      <c r="G1350" s="23">
        <v>0</v>
      </c>
      <c r="I1350" s="217" t="s">
        <v>2486</v>
      </c>
    </row>
    <row r="1351" spans="1:9" hidden="1">
      <c r="A1351" s="23">
        <v>1351</v>
      </c>
      <c r="B1351" s="84">
        <v>45761</v>
      </c>
      <c r="C1351" s="23" t="s">
        <v>608</v>
      </c>
      <c r="D1351" s="23" t="s">
        <v>186</v>
      </c>
      <c r="G1351" s="23" t="s">
        <v>9</v>
      </c>
      <c r="I1351" s="217" t="s">
        <v>2491</v>
      </c>
    </row>
    <row r="1352" spans="1:9" hidden="1">
      <c r="A1352" s="23">
        <v>1352</v>
      </c>
      <c r="B1352" s="84">
        <v>45761</v>
      </c>
      <c r="C1352" s="23" t="s">
        <v>949</v>
      </c>
      <c r="D1352" s="23" t="s">
        <v>245</v>
      </c>
      <c r="G1352" s="23">
        <v>0</v>
      </c>
      <c r="I1352" s="217" t="s">
        <v>2490</v>
      </c>
    </row>
    <row r="1353" spans="1:9" hidden="1">
      <c r="A1353" s="23">
        <v>1353</v>
      </c>
      <c r="B1353" s="84">
        <v>45761</v>
      </c>
      <c r="C1353" s="23" t="s">
        <v>949</v>
      </c>
      <c r="D1353" s="23" t="s">
        <v>234</v>
      </c>
      <c r="G1353" s="23">
        <v>0</v>
      </c>
      <c r="I1353" s="217" t="s">
        <v>2488</v>
      </c>
    </row>
    <row r="1354" spans="1:9" hidden="1">
      <c r="A1354" s="23">
        <v>1354</v>
      </c>
      <c r="B1354" s="84">
        <v>45761</v>
      </c>
      <c r="C1354" s="23" t="s">
        <v>950</v>
      </c>
      <c r="D1354" s="23" t="s">
        <v>236</v>
      </c>
      <c r="G1354" s="23">
        <v>0</v>
      </c>
      <c r="I1354" s="217" t="s">
        <v>2489</v>
      </c>
    </row>
    <row r="1355" spans="1:9" hidden="1">
      <c r="A1355" s="23">
        <v>1355</v>
      </c>
      <c r="B1355" s="84">
        <v>45762</v>
      </c>
      <c r="C1355" s="23" t="s">
        <v>933</v>
      </c>
      <c r="D1355" s="23" t="s">
        <v>242</v>
      </c>
      <c r="G1355" s="23">
        <v>0</v>
      </c>
      <c r="I1355" s="217" t="s">
        <v>2492</v>
      </c>
    </row>
    <row r="1356" spans="1:9" hidden="1">
      <c r="A1356" s="23">
        <v>1356</v>
      </c>
      <c r="B1356" s="84">
        <v>45762</v>
      </c>
      <c r="C1356" s="23" t="s">
        <v>951</v>
      </c>
      <c r="D1356" s="23" t="s">
        <v>186</v>
      </c>
      <c r="G1356" s="23">
        <v>0</v>
      </c>
      <c r="I1356" s="217" t="s">
        <v>2493</v>
      </c>
    </row>
    <row r="1357" spans="1:9" hidden="1">
      <c r="A1357" s="23">
        <v>1357</v>
      </c>
      <c r="B1357" s="84">
        <v>45762</v>
      </c>
      <c r="C1357" s="23" t="s">
        <v>953</v>
      </c>
      <c r="D1357" s="23" t="s">
        <v>229</v>
      </c>
      <c r="G1357" s="23">
        <v>0.7</v>
      </c>
      <c r="I1357" s="217" t="s">
        <v>2494</v>
      </c>
    </row>
    <row r="1358" spans="1:9" hidden="1">
      <c r="A1358" s="23">
        <v>1358</v>
      </c>
      <c r="B1358" s="84">
        <v>45762</v>
      </c>
      <c r="C1358" s="23" t="s">
        <v>953</v>
      </c>
      <c r="D1358" s="23" t="s">
        <v>232</v>
      </c>
      <c r="G1358" s="23">
        <v>0.7</v>
      </c>
      <c r="I1358" s="217" t="s">
        <v>2495</v>
      </c>
    </row>
    <row r="1359" spans="1:9" hidden="1">
      <c r="A1359" s="23">
        <v>1359</v>
      </c>
      <c r="B1359" s="84">
        <v>45762</v>
      </c>
      <c r="C1359" s="23" t="s">
        <v>953</v>
      </c>
      <c r="D1359" s="23" t="s">
        <v>234</v>
      </c>
      <c r="G1359" s="23">
        <v>0.7</v>
      </c>
      <c r="I1359" s="217" t="s">
        <v>2496</v>
      </c>
    </row>
    <row r="1360" spans="1:9" hidden="1">
      <c r="A1360" s="23">
        <v>1360</v>
      </c>
      <c r="B1360" s="84">
        <v>45762</v>
      </c>
      <c r="C1360" s="23" t="s">
        <v>953</v>
      </c>
      <c r="D1360" s="23" t="s">
        <v>236</v>
      </c>
      <c r="G1360" s="23">
        <v>0.7</v>
      </c>
      <c r="I1360" s="217" t="s">
        <v>2497</v>
      </c>
    </row>
    <row r="1361" spans="1:9">
      <c r="A1361" s="23">
        <v>1361</v>
      </c>
      <c r="B1361" s="84">
        <v>45762</v>
      </c>
      <c r="C1361" s="23" t="s">
        <v>921</v>
      </c>
      <c r="D1361" s="23" t="s">
        <v>180</v>
      </c>
      <c r="G1361" s="23">
        <v>0</v>
      </c>
      <c r="I1361" s="217" t="s">
        <v>2498</v>
      </c>
    </row>
    <row r="1362" spans="1:9" hidden="1">
      <c r="A1362" s="23">
        <v>1362</v>
      </c>
      <c r="B1362" s="84">
        <v>45762</v>
      </c>
      <c r="C1362" s="23" t="s">
        <v>954</v>
      </c>
      <c r="D1362" s="23" t="s">
        <v>229</v>
      </c>
      <c r="G1362" s="23">
        <v>0</v>
      </c>
      <c r="I1362" s="217" t="s">
        <v>2499</v>
      </c>
    </row>
    <row r="1363" spans="1:9" hidden="1">
      <c r="A1363" s="23">
        <v>1363</v>
      </c>
      <c r="B1363" s="84">
        <v>45762</v>
      </c>
      <c r="C1363" s="23" t="s">
        <v>347</v>
      </c>
      <c r="D1363" s="23" t="s">
        <v>220</v>
      </c>
      <c r="G1363" s="23">
        <v>0</v>
      </c>
      <c r="I1363" s="217" t="s">
        <v>2500</v>
      </c>
    </row>
    <row r="1364" spans="1:9" hidden="1">
      <c r="A1364" s="23">
        <v>1364</v>
      </c>
      <c r="B1364" s="84">
        <v>45762</v>
      </c>
      <c r="C1364" s="23" t="s">
        <v>347</v>
      </c>
      <c r="D1364" s="23" t="s">
        <v>211</v>
      </c>
      <c r="G1364" s="23">
        <v>0</v>
      </c>
      <c r="I1364" s="217" t="s">
        <v>2501</v>
      </c>
    </row>
    <row r="1365" spans="1:9" hidden="1">
      <c r="A1365" s="23">
        <v>1365</v>
      </c>
      <c r="B1365" s="84">
        <v>45762</v>
      </c>
      <c r="C1365" s="23" t="s">
        <v>929</v>
      </c>
      <c r="D1365" s="23" t="s">
        <v>164</v>
      </c>
      <c r="G1365" s="23">
        <v>0.7</v>
      </c>
      <c r="I1365" s="217" t="s">
        <v>2502</v>
      </c>
    </row>
    <row r="1366" spans="1:9" hidden="1">
      <c r="A1366" s="23">
        <v>1366</v>
      </c>
      <c r="B1366" s="84">
        <v>45762</v>
      </c>
      <c r="C1366" s="23" t="s">
        <v>955</v>
      </c>
      <c r="D1366" s="23" t="s">
        <v>245</v>
      </c>
      <c r="G1366" s="23">
        <v>0.7</v>
      </c>
      <c r="I1366" s="217" t="s">
        <v>2503</v>
      </c>
    </row>
    <row r="1367" spans="1:9" hidden="1">
      <c r="A1367" s="23">
        <v>1367</v>
      </c>
      <c r="B1367" s="84">
        <v>45762</v>
      </c>
      <c r="C1367" s="23" t="s">
        <v>956</v>
      </c>
      <c r="D1367" s="23" t="s">
        <v>211</v>
      </c>
      <c r="G1367" s="23">
        <v>0.44</v>
      </c>
      <c r="I1367" s="217" t="s">
        <v>2504</v>
      </c>
    </row>
    <row r="1368" spans="1:9" hidden="1">
      <c r="A1368" s="23">
        <v>1368</v>
      </c>
      <c r="B1368" s="84">
        <v>45762</v>
      </c>
      <c r="C1368" s="23" t="s">
        <v>447</v>
      </c>
      <c r="D1368" s="23" t="s">
        <v>242</v>
      </c>
      <c r="G1368" s="23">
        <v>1.5</v>
      </c>
      <c r="I1368" s="217" t="s">
        <v>2505</v>
      </c>
    </row>
    <row r="1369" spans="1:9" hidden="1">
      <c r="A1369" s="23">
        <v>1369</v>
      </c>
      <c r="B1369" s="84">
        <v>45762</v>
      </c>
      <c r="C1369" s="23" t="s">
        <v>240</v>
      </c>
      <c r="D1369" s="23" t="s">
        <v>232</v>
      </c>
      <c r="G1369" s="23">
        <v>0</v>
      </c>
      <c r="I1369" s="217" t="s">
        <v>2506</v>
      </c>
    </row>
    <row r="1370" spans="1:9" hidden="1">
      <c r="A1370" s="23">
        <v>1370</v>
      </c>
      <c r="B1370" s="84">
        <v>45762</v>
      </c>
      <c r="C1370" s="23" t="s">
        <v>441</v>
      </c>
      <c r="D1370" s="23" t="s">
        <v>234</v>
      </c>
      <c r="G1370" s="23">
        <v>0</v>
      </c>
      <c r="I1370" s="217" t="s">
        <v>2507</v>
      </c>
    </row>
    <row r="1371" spans="1:9" hidden="1">
      <c r="A1371" s="23">
        <v>1371</v>
      </c>
      <c r="B1371" s="84">
        <v>45762</v>
      </c>
      <c r="C1371" s="23" t="s">
        <v>356</v>
      </c>
      <c r="D1371" s="23" t="s">
        <v>236</v>
      </c>
      <c r="G1371" s="23">
        <v>0</v>
      </c>
      <c r="I1371" s="217" t="s">
        <v>2508</v>
      </c>
    </row>
    <row r="1372" spans="1:9" hidden="1">
      <c r="A1372" s="23">
        <v>1372</v>
      </c>
      <c r="B1372" s="84">
        <v>45762</v>
      </c>
      <c r="C1372" s="23" t="s">
        <v>732</v>
      </c>
      <c r="D1372" s="23" t="s">
        <v>164</v>
      </c>
      <c r="G1372" s="23">
        <v>0</v>
      </c>
      <c r="I1372" s="217" t="s">
        <v>2502</v>
      </c>
    </row>
    <row r="1373" spans="1:9" hidden="1">
      <c r="A1373" s="23">
        <v>1373</v>
      </c>
      <c r="B1373" s="84">
        <v>45762</v>
      </c>
      <c r="C1373" s="23" t="s">
        <v>958</v>
      </c>
      <c r="D1373" s="23" t="s">
        <v>220</v>
      </c>
      <c r="G1373" s="23" t="s">
        <v>9</v>
      </c>
      <c r="I1373" s="217" t="s">
        <v>2509</v>
      </c>
    </row>
    <row r="1374" spans="1:9" hidden="1">
      <c r="A1374" s="23">
        <v>1374</v>
      </c>
      <c r="B1374" s="84">
        <v>45762</v>
      </c>
      <c r="C1374" s="23" t="s">
        <v>858</v>
      </c>
      <c r="D1374" s="23" t="s">
        <v>245</v>
      </c>
      <c r="G1374" s="23">
        <v>0</v>
      </c>
      <c r="I1374" s="217" t="s">
        <v>2510</v>
      </c>
    </row>
    <row r="1375" spans="1:9">
      <c r="A1375" s="23">
        <v>1375</v>
      </c>
      <c r="B1375" s="84">
        <v>45762</v>
      </c>
      <c r="C1375" s="23" t="s">
        <v>737</v>
      </c>
      <c r="D1375" s="23" t="s">
        <v>180</v>
      </c>
      <c r="G1375" s="23">
        <v>6.7</v>
      </c>
      <c r="I1375" s="217" t="s">
        <v>2511</v>
      </c>
    </row>
    <row r="1376" spans="1:9" hidden="1">
      <c r="A1376" s="23">
        <v>1376</v>
      </c>
      <c r="B1376" s="84">
        <v>45762</v>
      </c>
      <c r="C1376" s="23" t="s">
        <v>253</v>
      </c>
      <c r="D1376" s="23" t="s">
        <v>186</v>
      </c>
      <c r="G1376" s="23">
        <v>3.8</v>
      </c>
      <c r="I1376" s="217" t="s">
        <v>2512</v>
      </c>
    </row>
    <row r="1377" spans="1:9" hidden="1">
      <c r="A1377" s="23">
        <v>1377</v>
      </c>
      <c r="B1377" s="84">
        <v>45762</v>
      </c>
      <c r="C1377" s="23" t="s">
        <v>658</v>
      </c>
      <c r="D1377" s="23" t="s">
        <v>183</v>
      </c>
      <c r="G1377" s="23">
        <v>3.8</v>
      </c>
      <c r="I1377" s="217" t="s">
        <v>2513</v>
      </c>
    </row>
    <row r="1378" spans="1:9" hidden="1">
      <c r="A1378" s="23">
        <v>1378</v>
      </c>
      <c r="B1378" s="84">
        <v>45762</v>
      </c>
      <c r="C1378" s="23" t="s">
        <v>552</v>
      </c>
      <c r="D1378" s="23" t="s">
        <v>229</v>
      </c>
      <c r="G1378" s="23">
        <v>0.8</v>
      </c>
      <c r="I1378" s="217" t="s">
        <v>2514</v>
      </c>
    </row>
    <row r="1379" spans="1:9" hidden="1">
      <c r="A1379" s="23">
        <v>1379</v>
      </c>
      <c r="B1379" s="84">
        <v>45762</v>
      </c>
      <c r="C1379" s="23" t="s">
        <v>962</v>
      </c>
      <c r="D1379" s="23" t="s">
        <v>232</v>
      </c>
      <c r="G1379" s="23">
        <v>0.8</v>
      </c>
      <c r="I1379" s="217" t="s">
        <v>2515</v>
      </c>
    </row>
    <row r="1380" spans="1:9" hidden="1">
      <c r="A1380" s="23">
        <v>1380</v>
      </c>
      <c r="B1380" s="84">
        <v>45762</v>
      </c>
      <c r="C1380" s="23" t="s">
        <v>251</v>
      </c>
      <c r="D1380" s="23" t="s">
        <v>225</v>
      </c>
      <c r="G1380" s="23">
        <v>0.82</v>
      </c>
      <c r="I1380" s="217" t="s">
        <v>2516</v>
      </c>
    </row>
    <row r="1381" spans="1:9" hidden="1">
      <c r="A1381" s="23">
        <v>1381</v>
      </c>
      <c r="B1381" s="84">
        <v>45762</v>
      </c>
      <c r="C1381" s="23" t="s">
        <v>561</v>
      </c>
      <c r="D1381" s="23" t="s">
        <v>217</v>
      </c>
      <c r="G1381" s="23">
        <v>0</v>
      </c>
      <c r="I1381" s="217" t="s">
        <v>2517</v>
      </c>
    </row>
    <row r="1382" spans="1:9" hidden="1">
      <c r="A1382" s="23">
        <v>1382</v>
      </c>
      <c r="B1382" s="84">
        <v>45762</v>
      </c>
      <c r="C1382" s="23" t="s">
        <v>321</v>
      </c>
      <c r="D1382" s="23" t="s">
        <v>245</v>
      </c>
      <c r="G1382" s="23">
        <v>0.8</v>
      </c>
      <c r="I1382" s="217" t="s">
        <v>2518</v>
      </c>
    </row>
    <row r="1383" spans="1:9" hidden="1">
      <c r="A1383" s="23">
        <v>1383</v>
      </c>
      <c r="B1383" s="84">
        <v>45762</v>
      </c>
      <c r="C1383" s="23" t="s">
        <v>785</v>
      </c>
      <c r="D1383" s="23" t="s">
        <v>335</v>
      </c>
      <c r="G1383" s="23">
        <v>2</v>
      </c>
      <c r="I1383" s="217" t="s">
        <v>2519</v>
      </c>
    </row>
    <row r="1384" spans="1:9">
      <c r="A1384" s="23">
        <v>1384</v>
      </c>
      <c r="B1384" s="84">
        <v>45762</v>
      </c>
      <c r="C1384" s="23" t="s">
        <v>829</v>
      </c>
      <c r="D1384" s="23" t="s">
        <v>177</v>
      </c>
      <c r="G1384" s="23">
        <v>1.5</v>
      </c>
      <c r="I1384" s="217" t="s">
        <v>2520</v>
      </c>
    </row>
    <row r="1385" spans="1:9" hidden="1">
      <c r="A1385" s="23">
        <v>1385</v>
      </c>
      <c r="B1385" s="84">
        <v>45762</v>
      </c>
      <c r="C1385" s="23" t="s">
        <v>826</v>
      </c>
      <c r="D1385" s="23" t="s">
        <v>232</v>
      </c>
      <c r="G1385" s="23">
        <v>0</v>
      </c>
      <c r="I1385" s="217" t="s">
        <v>2521</v>
      </c>
    </row>
    <row r="1386" spans="1:9" hidden="1">
      <c r="A1386" s="23">
        <v>1386</v>
      </c>
      <c r="B1386" s="84">
        <v>45762</v>
      </c>
      <c r="C1386" s="23" t="s">
        <v>270</v>
      </c>
      <c r="D1386" s="23" t="s">
        <v>245</v>
      </c>
      <c r="G1386" s="23">
        <v>0</v>
      </c>
      <c r="I1386" s="217" t="s">
        <v>2522</v>
      </c>
    </row>
    <row r="1387" spans="1:9" hidden="1">
      <c r="A1387" s="23">
        <v>1387</v>
      </c>
      <c r="B1387" s="84">
        <v>45762</v>
      </c>
      <c r="C1387" s="23" t="s">
        <v>382</v>
      </c>
      <c r="D1387" s="23" t="s">
        <v>229</v>
      </c>
      <c r="G1387" s="23">
        <v>0</v>
      </c>
      <c r="I1387" s="217" t="s">
        <v>2523</v>
      </c>
    </row>
    <row r="1388" spans="1:9" hidden="1">
      <c r="A1388" s="23">
        <v>1388</v>
      </c>
      <c r="B1388" s="84">
        <v>45762</v>
      </c>
      <c r="C1388" s="23" t="s">
        <v>926</v>
      </c>
      <c r="D1388" s="23" t="s">
        <v>232</v>
      </c>
      <c r="G1388" s="23">
        <v>0.7</v>
      </c>
      <c r="I1388" s="217" t="s">
        <v>2524</v>
      </c>
    </row>
    <row r="1389" spans="1:9" hidden="1">
      <c r="A1389" s="23">
        <v>1389</v>
      </c>
      <c r="B1389" s="84">
        <v>45762</v>
      </c>
      <c r="C1389" s="23" t="s">
        <v>926</v>
      </c>
      <c r="D1389" s="23" t="s">
        <v>236</v>
      </c>
      <c r="G1389" s="23">
        <v>0.7</v>
      </c>
      <c r="I1389" s="217" t="s">
        <v>2525</v>
      </c>
    </row>
    <row r="1390" spans="1:9">
      <c r="A1390" s="23">
        <v>1390</v>
      </c>
      <c r="B1390" s="84">
        <v>45762</v>
      </c>
      <c r="C1390" s="23" t="s">
        <v>926</v>
      </c>
      <c r="D1390" s="23" t="s">
        <v>248</v>
      </c>
      <c r="G1390" s="23">
        <v>0</v>
      </c>
      <c r="I1390" s="217" t="s">
        <v>2526</v>
      </c>
    </row>
    <row r="1391" spans="1:9" hidden="1">
      <c r="A1391" s="23">
        <v>1391</v>
      </c>
      <c r="B1391" s="84">
        <v>45762</v>
      </c>
      <c r="C1391" s="23" t="s">
        <v>490</v>
      </c>
      <c r="D1391" s="23" t="s">
        <v>164</v>
      </c>
      <c r="G1391" s="23">
        <v>0.7</v>
      </c>
      <c r="I1391" s="217" t="s">
        <v>2527</v>
      </c>
    </row>
    <row r="1392" spans="1:9" hidden="1">
      <c r="A1392" s="23">
        <v>1392</v>
      </c>
      <c r="B1392" s="84">
        <v>45762</v>
      </c>
      <c r="C1392" s="23" t="s">
        <v>332</v>
      </c>
      <c r="D1392" s="23" t="s">
        <v>229</v>
      </c>
      <c r="G1392" s="23">
        <v>0.7</v>
      </c>
      <c r="I1392" s="217" t="s">
        <v>2528</v>
      </c>
    </row>
    <row r="1393" spans="1:9" hidden="1">
      <c r="A1393" s="23">
        <v>1393</v>
      </c>
      <c r="B1393" s="84">
        <v>45762</v>
      </c>
      <c r="C1393" s="23" t="s">
        <v>799</v>
      </c>
      <c r="D1393" s="23" t="s">
        <v>245</v>
      </c>
      <c r="G1393" s="23">
        <v>0.7</v>
      </c>
      <c r="I1393" s="217" t="s">
        <v>2529</v>
      </c>
    </row>
    <row r="1394" spans="1:9" hidden="1">
      <c r="A1394" s="23">
        <v>1394</v>
      </c>
      <c r="B1394" s="84">
        <v>45762</v>
      </c>
      <c r="C1394" s="23" t="s">
        <v>964</v>
      </c>
      <c r="D1394" s="23" t="s">
        <v>232</v>
      </c>
      <c r="G1394" s="23">
        <v>0</v>
      </c>
      <c r="I1394" s="217" t="s">
        <v>2530</v>
      </c>
    </row>
    <row r="1395" spans="1:9" hidden="1">
      <c r="A1395" s="23">
        <v>1395</v>
      </c>
      <c r="B1395" s="84">
        <v>45762</v>
      </c>
      <c r="C1395" s="23" t="s">
        <v>966</v>
      </c>
      <c r="D1395" s="23" t="s">
        <v>232</v>
      </c>
      <c r="G1395" s="23">
        <v>0.8</v>
      </c>
      <c r="I1395" s="217" t="s">
        <v>1294</v>
      </c>
    </row>
    <row r="1396" spans="1:9" hidden="1">
      <c r="A1396" s="23">
        <v>1396</v>
      </c>
      <c r="B1396" s="84">
        <v>45762</v>
      </c>
      <c r="C1396" s="23" t="s">
        <v>967</v>
      </c>
      <c r="D1396" s="23" t="s">
        <v>398</v>
      </c>
      <c r="G1396" s="23">
        <v>0.8</v>
      </c>
      <c r="I1396" s="217" t="s">
        <v>2531</v>
      </c>
    </row>
    <row r="1397" spans="1:9" hidden="1">
      <c r="A1397" s="23">
        <v>1397</v>
      </c>
      <c r="B1397" s="84">
        <v>45762</v>
      </c>
      <c r="C1397" s="23" t="s">
        <v>959</v>
      </c>
      <c r="D1397" s="23" t="s">
        <v>220</v>
      </c>
      <c r="G1397" s="23">
        <v>0.5</v>
      </c>
      <c r="I1397" s="217" t="s">
        <v>2532</v>
      </c>
    </row>
    <row r="1398" spans="1:9" hidden="1">
      <c r="A1398" s="23">
        <v>1398</v>
      </c>
      <c r="B1398" s="84">
        <v>45762</v>
      </c>
      <c r="C1398" s="23" t="s">
        <v>544</v>
      </c>
      <c r="D1398" s="23" t="s">
        <v>220</v>
      </c>
      <c r="G1398" s="23">
        <v>0</v>
      </c>
      <c r="I1398" s="217" t="s">
        <v>2533</v>
      </c>
    </row>
    <row r="1399" spans="1:9" hidden="1">
      <c r="A1399" s="23">
        <v>1399</v>
      </c>
      <c r="B1399" s="84">
        <v>45762</v>
      </c>
      <c r="C1399" s="23" t="s">
        <v>544</v>
      </c>
      <c r="D1399" s="23" t="s">
        <v>211</v>
      </c>
      <c r="G1399" s="23">
        <v>0</v>
      </c>
      <c r="I1399" s="217" t="s">
        <v>2534</v>
      </c>
    </row>
    <row r="1400" spans="1:9" hidden="1">
      <c r="A1400" s="23">
        <v>1400</v>
      </c>
      <c r="B1400" s="84">
        <v>45762</v>
      </c>
      <c r="C1400" s="23" t="s">
        <v>969</v>
      </c>
      <c r="D1400" s="23" t="s">
        <v>220</v>
      </c>
      <c r="G1400" s="23">
        <v>0.3</v>
      </c>
      <c r="I1400" s="217" t="s">
        <v>1294</v>
      </c>
    </row>
    <row r="1401" spans="1:9" hidden="1">
      <c r="A1401" s="23">
        <v>1401</v>
      </c>
      <c r="B1401" s="84">
        <v>45762</v>
      </c>
      <c r="C1401" s="23" t="s">
        <v>969</v>
      </c>
      <c r="D1401" s="23" t="s">
        <v>211</v>
      </c>
      <c r="G1401" s="23">
        <v>0.3</v>
      </c>
      <c r="I1401" s="217" t="s">
        <v>1294</v>
      </c>
    </row>
    <row r="1402" spans="1:9" hidden="1">
      <c r="A1402" s="23">
        <v>1402</v>
      </c>
      <c r="B1402" s="84">
        <v>45762</v>
      </c>
      <c r="C1402" s="23" t="s">
        <v>938</v>
      </c>
      <c r="D1402" s="23" t="s">
        <v>232</v>
      </c>
      <c r="G1402" s="23">
        <v>0</v>
      </c>
      <c r="I1402" s="217" t="s">
        <v>2535</v>
      </c>
    </row>
    <row r="1403" spans="1:9" hidden="1">
      <c r="A1403" s="23">
        <v>1403</v>
      </c>
      <c r="B1403" s="84">
        <v>45762</v>
      </c>
      <c r="C1403" s="23" t="s">
        <v>752</v>
      </c>
      <c r="D1403" s="23" t="s">
        <v>220</v>
      </c>
      <c r="G1403" s="23">
        <v>0</v>
      </c>
      <c r="I1403" s="217" t="s">
        <v>2536</v>
      </c>
    </row>
    <row r="1404" spans="1:9" hidden="1">
      <c r="A1404" s="23">
        <v>1404</v>
      </c>
      <c r="B1404" s="84">
        <v>45762</v>
      </c>
      <c r="C1404" s="23" t="s">
        <v>752</v>
      </c>
      <c r="D1404" s="23" t="s">
        <v>211</v>
      </c>
      <c r="G1404" s="23">
        <v>0</v>
      </c>
      <c r="I1404" s="217" t="s">
        <v>2537</v>
      </c>
    </row>
    <row r="1405" spans="1:9" hidden="1">
      <c r="A1405" s="23">
        <v>1405</v>
      </c>
      <c r="B1405" s="84">
        <v>45762</v>
      </c>
      <c r="C1405" s="23" t="s">
        <v>970</v>
      </c>
      <c r="D1405" s="23" t="s">
        <v>279</v>
      </c>
      <c r="G1405" s="23">
        <v>0.5</v>
      </c>
      <c r="H1405" s="23" t="s">
        <v>647</v>
      </c>
      <c r="I1405" s="217" t="s">
        <v>2538</v>
      </c>
    </row>
    <row r="1406" spans="1:9" hidden="1">
      <c r="A1406" s="23">
        <v>1406</v>
      </c>
      <c r="B1406" s="84">
        <v>45762</v>
      </c>
      <c r="C1406" s="23" t="s">
        <v>968</v>
      </c>
      <c r="D1406" s="23" t="s">
        <v>398</v>
      </c>
      <c r="G1406" s="23">
        <v>0</v>
      </c>
      <c r="I1406" s="217" t="s">
        <v>2539</v>
      </c>
    </row>
    <row r="1407" spans="1:9" hidden="1">
      <c r="A1407" s="23">
        <v>1407</v>
      </c>
      <c r="B1407" s="84">
        <v>45762</v>
      </c>
      <c r="C1407" s="23" t="s">
        <v>939</v>
      </c>
      <c r="D1407" s="23" t="s">
        <v>220</v>
      </c>
      <c r="G1407" s="23">
        <v>0.4</v>
      </c>
      <c r="I1407" s="217" t="s">
        <v>1294</v>
      </c>
    </row>
    <row r="1408" spans="1:9" hidden="1">
      <c r="A1408" s="23">
        <v>1408</v>
      </c>
      <c r="B1408" s="84">
        <v>45762</v>
      </c>
      <c r="C1408" s="23" t="s">
        <v>939</v>
      </c>
      <c r="D1408" s="23" t="s">
        <v>211</v>
      </c>
      <c r="G1408" s="23">
        <v>0.4</v>
      </c>
      <c r="I1408" s="217" t="s">
        <v>1294</v>
      </c>
    </row>
    <row r="1409" spans="1:9" hidden="1">
      <c r="A1409" s="23">
        <v>1409</v>
      </c>
      <c r="B1409" s="84">
        <v>45762</v>
      </c>
      <c r="C1409" s="23" t="s">
        <v>410</v>
      </c>
      <c r="D1409" s="23" t="s">
        <v>245</v>
      </c>
      <c r="G1409" s="23">
        <v>0</v>
      </c>
      <c r="I1409" s="217" t="s">
        <v>2540</v>
      </c>
    </row>
    <row r="1410" spans="1:9" hidden="1">
      <c r="A1410" s="23">
        <v>1410</v>
      </c>
      <c r="B1410" s="84">
        <v>45762</v>
      </c>
      <c r="C1410" s="23" t="s">
        <v>386</v>
      </c>
      <c r="D1410" s="23" t="s">
        <v>236</v>
      </c>
      <c r="G1410" s="23">
        <v>0</v>
      </c>
      <c r="I1410" s="217" t="s">
        <v>2541</v>
      </c>
    </row>
    <row r="1411" spans="1:9" hidden="1">
      <c r="A1411" s="23">
        <v>1411</v>
      </c>
      <c r="B1411" s="84">
        <v>45762</v>
      </c>
      <c r="C1411" s="23" t="s">
        <v>471</v>
      </c>
      <c r="D1411" s="23" t="s">
        <v>229</v>
      </c>
      <c r="G1411" s="23">
        <v>0</v>
      </c>
      <c r="I1411" s="217" t="s">
        <v>2542</v>
      </c>
    </row>
    <row r="1412" spans="1:9" hidden="1">
      <c r="A1412" s="23">
        <v>1412</v>
      </c>
      <c r="B1412" s="84">
        <v>45762</v>
      </c>
      <c r="C1412" s="23" t="s">
        <v>965</v>
      </c>
      <c r="D1412" s="23" t="s">
        <v>164</v>
      </c>
      <c r="G1412" s="23">
        <v>0</v>
      </c>
      <c r="I1412" s="217" t="s">
        <v>2543</v>
      </c>
    </row>
    <row r="1413" spans="1:9" hidden="1">
      <c r="A1413" s="23">
        <v>1413</v>
      </c>
      <c r="B1413" s="84">
        <v>45762</v>
      </c>
      <c r="C1413" s="23" t="s">
        <v>971</v>
      </c>
      <c r="D1413" s="23" t="s">
        <v>279</v>
      </c>
      <c r="G1413" s="23">
        <v>0</v>
      </c>
      <c r="H1413" s="23" t="s">
        <v>2544</v>
      </c>
      <c r="I1413" s="217" t="s">
        <v>2545</v>
      </c>
    </row>
    <row r="1414" spans="1:9" hidden="1">
      <c r="A1414" s="23">
        <v>1414</v>
      </c>
      <c r="B1414" s="84">
        <v>45762</v>
      </c>
      <c r="C1414" s="23" t="s">
        <v>973</v>
      </c>
      <c r="D1414" s="23" t="s">
        <v>279</v>
      </c>
      <c r="G1414" s="23">
        <v>0.5</v>
      </c>
      <c r="H1414" s="23" t="s">
        <v>2546</v>
      </c>
      <c r="I1414" s="217" t="s">
        <v>1294</v>
      </c>
    </row>
    <row r="1415" spans="1:9" hidden="1">
      <c r="A1415" s="23">
        <v>1415</v>
      </c>
      <c r="B1415" s="84">
        <v>45762</v>
      </c>
      <c r="C1415" s="23" t="s">
        <v>839</v>
      </c>
      <c r="D1415" s="23" t="s">
        <v>279</v>
      </c>
      <c r="G1415" s="23">
        <v>0</v>
      </c>
      <c r="H1415" s="23" t="s">
        <v>2547</v>
      </c>
      <c r="I1415" s="217" t="s">
        <v>2548</v>
      </c>
    </row>
    <row r="1416" spans="1:9" hidden="1">
      <c r="A1416" s="23">
        <v>1416</v>
      </c>
      <c r="B1416" s="84">
        <v>45762</v>
      </c>
      <c r="C1416" s="23" t="s">
        <v>975</v>
      </c>
      <c r="D1416" s="23" t="s">
        <v>232</v>
      </c>
      <c r="G1416" s="23">
        <v>0.7</v>
      </c>
      <c r="I1416" s="217" t="s">
        <v>2549</v>
      </c>
    </row>
    <row r="1417" spans="1:9" hidden="1">
      <c r="A1417" s="23">
        <v>1417</v>
      </c>
      <c r="B1417" s="84">
        <v>45762</v>
      </c>
      <c r="C1417" s="23" t="s">
        <v>976</v>
      </c>
      <c r="D1417" s="23" t="s">
        <v>229</v>
      </c>
      <c r="G1417" s="23">
        <v>0.75</v>
      </c>
      <c r="I1417" s="217" t="s">
        <v>2550</v>
      </c>
    </row>
    <row r="1418" spans="1:9" hidden="1">
      <c r="A1418" s="23">
        <v>1418</v>
      </c>
      <c r="B1418" s="84">
        <v>45762</v>
      </c>
      <c r="C1418" s="23" t="s">
        <v>668</v>
      </c>
      <c r="D1418" s="23" t="s">
        <v>232</v>
      </c>
      <c r="G1418" s="23">
        <v>0</v>
      </c>
      <c r="I1418" s="217" t="s">
        <v>2551</v>
      </c>
    </row>
    <row r="1419" spans="1:9" hidden="1">
      <c r="A1419" s="23">
        <v>1419</v>
      </c>
      <c r="B1419" s="84">
        <v>45762</v>
      </c>
      <c r="C1419" s="23" t="s">
        <v>977</v>
      </c>
      <c r="D1419" s="23" t="s">
        <v>229</v>
      </c>
      <c r="G1419" s="23">
        <v>0</v>
      </c>
      <c r="I1419" s="217" t="s">
        <v>2552</v>
      </c>
    </row>
    <row r="1420" spans="1:9" hidden="1">
      <c r="A1420" s="23">
        <v>1420</v>
      </c>
      <c r="B1420" s="84">
        <v>45762</v>
      </c>
      <c r="C1420" s="23" t="s">
        <v>286</v>
      </c>
      <c r="D1420" s="23" t="s">
        <v>217</v>
      </c>
      <c r="G1420" s="23">
        <v>0.94</v>
      </c>
      <c r="I1420" s="217" t="s">
        <v>2553</v>
      </c>
    </row>
    <row r="1421" spans="1:9" hidden="1">
      <c r="A1421" s="23">
        <v>1421</v>
      </c>
      <c r="B1421" s="84">
        <v>45762</v>
      </c>
      <c r="C1421" s="23" t="s">
        <v>963</v>
      </c>
      <c r="D1421" s="23" t="s">
        <v>225</v>
      </c>
      <c r="G1421" s="23">
        <v>0</v>
      </c>
      <c r="I1421" s="217" t="s">
        <v>2554</v>
      </c>
    </row>
    <row r="1422" spans="1:9" hidden="1">
      <c r="A1422" s="23">
        <v>1422</v>
      </c>
      <c r="B1422" s="84">
        <v>45762</v>
      </c>
      <c r="C1422" s="23" t="s">
        <v>945</v>
      </c>
      <c r="D1422" s="23" t="s">
        <v>236</v>
      </c>
      <c r="G1422" s="23">
        <v>0.75</v>
      </c>
      <c r="I1422" s="217" t="s">
        <v>2555</v>
      </c>
    </row>
    <row r="1423" spans="1:9" hidden="1">
      <c r="A1423" s="23">
        <v>1423</v>
      </c>
      <c r="B1423" s="84">
        <v>45762</v>
      </c>
      <c r="C1423" s="23" t="s">
        <v>945</v>
      </c>
      <c r="D1423" s="23" t="s">
        <v>164</v>
      </c>
      <c r="G1423" s="23">
        <v>0.75</v>
      </c>
      <c r="I1423" s="217" t="s">
        <v>2556</v>
      </c>
    </row>
    <row r="1424" spans="1:9" hidden="1">
      <c r="A1424" s="23">
        <v>1424</v>
      </c>
      <c r="B1424" s="84">
        <v>45762</v>
      </c>
      <c r="C1424" s="23" t="s">
        <v>413</v>
      </c>
      <c r="D1424" s="23" t="s">
        <v>232</v>
      </c>
      <c r="G1424" s="23">
        <v>0.75</v>
      </c>
      <c r="I1424" s="217" t="s">
        <v>2557</v>
      </c>
    </row>
    <row r="1425" spans="1:9" hidden="1">
      <c r="A1425" s="23">
        <v>1425</v>
      </c>
      <c r="B1425" s="84">
        <v>45762</v>
      </c>
      <c r="C1425" s="23" t="s">
        <v>413</v>
      </c>
      <c r="D1425" s="23" t="s">
        <v>245</v>
      </c>
      <c r="G1425" s="23">
        <v>0.75</v>
      </c>
      <c r="I1425" s="217" t="s">
        <v>2558</v>
      </c>
    </row>
    <row r="1426" spans="1:9" hidden="1">
      <c r="A1426" s="23">
        <v>1426</v>
      </c>
      <c r="B1426" s="84">
        <v>45762</v>
      </c>
      <c r="C1426" s="23" t="s">
        <v>708</v>
      </c>
      <c r="D1426" s="23" t="s">
        <v>245</v>
      </c>
      <c r="G1426" s="23">
        <v>0</v>
      </c>
      <c r="I1426" s="217" t="s">
        <v>2558</v>
      </c>
    </row>
    <row r="1427" spans="1:9" hidden="1">
      <c r="A1427" s="23">
        <v>1427</v>
      </c>
      <c r="B1427" s="84">
        <v>45762</v>
      </c>
      <c r="C1427" s="23" t="s">
        <v>416</v>
      </c>
      <c r="D1427" s="23" t="s">
        <v>232</v>
      </c>
      <c r="G1427" s="23">
        <v>0</v>
      </c>
      <c r="I1427" s="217" t="s">
        <v>2557</v>
      </c>
    </row>
    <row r="1428" spans="1:9" hidden="1">
      <c r="A1428" s="23">
        <v>1428</v>
      </c>
      <c r="B1428" s="84">
        <v>45762</v>
      </c>
      <c r="C1428" s="23" t="s">
        <v>317</v>
      </c>
      <c r="D1428" s="23" t="s">
        <v>335</v>
      </c>
      <c r="G1428" s="23">
        <v>0</v>
      </c>
      <c r="I1428" s="217" t="s">
        <v>2559</v>
      </c>
    </row>
    <row r="1429" spans="1:9" hidden="1">
      <c r="A1429" s="23">
        <v>1429</v>
      </c>
      <c r="B1429" s="84">
        <v>45762</v>
      </c>
      <c r="C1429" s="23" t="s">
        <v>317</v>
      </c>
      <c r="D1429" s="23" t="s">
        <v>245</v>
      </c>
      <c r="G1429" s="23">
        <v>0.75</v>
      </c>
      <c r="I1429" s="217" t="s">
        <v>1294</v>
      </c>
    </row>
    <row r="1430" spans="1:9" hidden="1">
      <c r="A1430" s="23">
        <v>1430</v>
      </c>
      <c r="B1430" s="84">
        <v>45762</v>
      </c>
      <c r="C1430" s="23" t="s">
        <v>317</v>
      </c>
      <c r="D1430" s="23" t="s">
        <v>391</v>
      </c>
      <c r="G1430" s="23">
        <v>0.75</v>
      </c>
      <c r="I1430" s="217" t="s">
        <v>2560</v>
      </c>
    </row>
    <row r="1431" spans="1:9" hidden="1">
      <c r="A1431" s="23">
        <v>1431</v>
      </c>
      <c r="B1431" s="84">
        <v>45762</v>
      </c>
      <c r="C1431" s="23" t="s">
        <v>943</v>
      </c>
      <c r="D1431" s="23" t="s">
        <v>232</v>
      </c>
      <c r="G1431" s="23">
        <v>0.8</v>
      </c>
      <c r="I1431" s="217" t="s">
        <v>2561</v>
      </c>
    </row>
    <row r="1432" spans="1:9" hidden="1">
      <c r="A1432" s="23">
        <v>1432</v>
      </c>
      <c r="B1432" s="84">
        <v>45762</v>
      </c>
      <c r="C1432" s="23" t="s">
        <v>291</v>
      </c>
      <c r="D1432" s="23" t="s">
        <v>232</v>
      </c>
      <c r="G1432" s="23">
        <v>0</v>
      </c>
      <c r="I1432" s="217" t="s">
        <v>2561</v>
      </c>
    </row>
    <row r="1433" spans="1:9" hidden="1">
      <c r="A1433" s="23">
        <v>1433</v>
      </c>
      <c r="B1433" s="84">
        <v>45762</v>
      </c>
      <c r="C1433" s="23" t="s">
        <v>421</v>
      </c>
      <c r="D1433" s="23" t="s">
        <v>245</v>
      </c>
      <c r="G1433" s="23">
        <v>0</v>
      </c>
      <c r="I1433" s="217" t="s">
        <v>2562</v>
      </c>
    </row>
    <row r="1434" spans="1:9" hidden="1">
      <c r="A1434" s="23">
        <v>1434</v>
      </c>
      <c r="B1434" s="84">
        <v>45762</v>
      </c>
      <c r="C1434" s="23" t="s">
        <v>297</v>
      </c>
      <c r="D1434" s="23" t="s">
        <v>236</v>
      </c>
      <c r="G1434" s="23">
        <v>0</v>
      </c>
      <c r="I1434" s="217" t="s">
        <v>2563</v>
      </c>
    </row>
    <row r="1435" spans="1:9" hidden="1">
      <c r="A1435" s="23">
        <v>1435</v>
      </c>
      <c r="B1435" s="84">
        <v>45762</v>
      </c>
      <c r="C1435" s="23" t="s">
        <v>978</v>
      </c>
      <c r="D1435" s="23" t="s">
        <v>164</v>
      </c>
      <c r="G1435" s="23">
        <v>0</v>
      </c>
      <c r="I1435" s="217" t="s">
        <v>2564</v>
      </c>
    </row>
    <row r="1436" spans="1:9" hidden="1">
      <c r="A1436" s="23">
        <v>1436</v>
      </c>
      <c r="B1436" s="84">
        <v>45762</v>
      </c>
      <c r="C1436" s="23" t="s">
        <v>890</v>
      </c>
      <c r="D1436" s="23" t="s">
        <v>232</v>
      </c>
      <c r="G1436" s="23">
        <v>0.8</v>
      </c>
      <c r="I1436" s="217" t="s">
        <v>1294</v>
      </c>
    </row>
    <row r="1437" spans="1:9" hidden="1">
      <c r="A1437" s="23">
        <v>1437</v>
      </c>
      <c r="B1437" s="84">
        <v>45762</v>
      </c>
      <c r="C1437" s="23" t="s">
        <v>890</v>
      </c>
      <c r="D1437" s="23" t="s">
        <v>245</v>
      </c>
      <c r="G1437" s="23">
        <v>0.8</v>
      </c>
      <c r="I1437" s="217" t="s">
        <v>1294</v>
      </c>
    </row>
    <row r="1438" spans="1:9" hidden="1">
      <c r="A1438" s="23">
        <v>1438</v>
      </c>
      <c r="B1438" s="84">
        <v>45762</v>
      </c>
      <c r="C1438" s="23" t="s">
        <v>807</v>
      </c>
      <c r="D1438" s="23" t="s">
        <v>391</v>
      </c>
      <c r="G1438" s="23">
        <v>0</v>
      </c>
      <c r="I1438" s="217" t="s">
        <v>2565</v>
      </c>
    </row>
    <row r="1439" spans="1:9" hidden="1">
      <c r="A1439" s="23">
        <v>1439</v>
      </c>
      <c r="B1439" s="84">
        <v>45762</v>
      </c>
      <c r="C1439" s="23" t="s">
        <v>664</v>
      </c>
      <c r="D1439" s="23" t="s">
        <v>232</v>
      </c>
      <c r="G1439" s="23">
        <v>0</v>
      </c>
      <c r="I1439" s="217" t="s">
        <v>2561</v>
      </c>
    </row>
    <row r="1440" spans="1:9" hidden="1">
      <c r="A1440" s="23">
        <v>1440</v>
      </c>
      <c r="B1440" s="84">
        <v>45762</v>
      </c>
      <c r="C1440" s="23" t="s">
        <v>979</v>
      </c>
      <c r="D1440" s="23" t="s">
        <v>245</v>
      </c>
      <c r="G1440" s="23">
        <v>0</v>
      </c>
      <c r="I1440" s="217" t="s">
        <v>2562</v>
      </c>
    </row>
    <row r="1441" spans="1:9" hidden="1">
      <c r="A1441" s="23">
        <v>1441</v>
      </c>
      <c r="B1441" s="84">
        <v>45762</v>
      </c>
      <c r="C1441" s="23" t="s">
        <v>961</v>
      </c>
      <c r="D1441" s="23" t="s">
        <v>186</v>
      </c>
      <c r="G1441" s="23">
        <v>0</v>
      </c>
      <c r="I1441" s="217" t="s">
        <v>2566</v>
      </c>
    </row>
    <row r="1442" spans="1:9" hidden="1">
      <c r="A1442" s="23">
        <v>1442</v>
      </c>
      <c r="B1442" s="84">
        <v>45762</v>
      </c>
      <c r="C1442" s="23" t="s">
        <v>948</v>
      </c>
      <c r="D1442" s="23" t="s">
        <v>236</v>
      </c>
      <c r="G1442" s="23">
        <v>0.7</v>
      </c>
      <c r="I1442" s="217" t="s">
        <v>2567</v>
      </c>
    </row>
    <row r="1443" spans="1:9" hidden="1">
      <c r="A1443" s="23">
        <v>1443</v>
      </c>
      <c r="B1443" s="84">
        <v>45762</v>
      </c>
      <c r="C1443" s="23" t="s">
        <v>948</v>
      </c>
      <c r="D1443" s="23" t="s">
        <v>183</v>
      </c>
      <c r="G1443" s="23">
        <v>0</v>
      </c>
      <c r="I1443" s="217" t="s">
        <v>2568</v>
      </c>
    </row>
    <row r="1444" spans="1:9" hidden="1">
      <c r="A1444" s="23">
        <v>1444</v>
      </c>
      <c r="B1444" s="84">
        <v>45762</v>
      </c>
      <c r="C1444" s="23" t="s">
        <v>980</v>
      </c>
      <c r="D1444" s="23" t="s">
        <v>236</v>
      </c>
      <c r="G1444" s="23">
        <v>0</v>
      </c>
      <c r="I1444" s="217" t="s">
        <v>2567</v>
      </c>
    </row>
    <row r="1445" spans="1:9">
      <c r="A1445" s="23">
        <v>1445</v>
      </c>
      <c r="B1445" s="84">
        <v>45763</v>
      </c>
      <c r="C1445" s="23" t="s">
        <v>981</v>
      </c>
      <c r="D1445" s="23" t="s">
        <v>248</v>
      </c>
      <c r="G1445" s="23">
        <v>6.7</v>
      </c>
      <c r="I1445" s="217" t="s">
        <v>2569</v>
      </c>
    </row>
    <row r="1446" spans="1:9">
      <c r="A1446" s="23">
        <v>1446</v>
      </c>
      <c r="B1446" s="84">
        <v>45763</v>
      </c>
      <c r="C1446" s="23" t="s">
        <v>931</v>
      </c>
      <c r="D1446" s="23" t="s">
        <v>174</v>
      </c>
      <c r="G1446" s="23">
        <v>0</v>
      </c>
      <c r="I1446" s="217" t="s">
        <v>2570</v>
      </c>
    </row>
    <row r="1447" spans="1:9" hidden="1">
      <c r="A1447" s="23">
        <v>1447</v>
      </c>
      <c r="B1447" s="84">
        <v>45763</v>
      </c>
      <c r="C1447" s="23" t="s">
        <v>957</v>
      </c>
      <c r="D1447" s="23" t="s">
        <v>242</v>
      </c>
      <c r="G1447" s="23">
        <v>0</v>
      </c>
      <c r="I1447" s="217" t="s">
        <v>2571</v>
      </c>
    </row>
    <row r="1448" spans="1:9">
      <c r="A1448" s="23">
        <v>1448</v>
      </c>
      <c r="B1448" s="84">
        <v>45763</v>
      </c>
      <c r="C1448" s="23" t="s">
        <v>231</v>
      </c>
      <c r="D1448" s="23" t="s">
        <v>177</v>
      </c>
      <c r="G1448" s="23">
        <v>0</v>
      </c>
      <c r="I1448" s="217" t="s">
        <v>2572</v>
      </c>
    </row>
    <row r="1449" spans="1:9" hidden="1">
      <c r="A1449" s="23">
        <v>1449</v>
      </c>
      <c r="B1449" s="84">
        <v>45763</v>
      </c>
      <c r="C1449" s="23" t="s">
        <v>983</v>
      </c>
      <c r="D1449" s="23" t="s">
        <v>391</v>
      </c>
      <c r="G1449" s="23">
        <v>0.7</v>
      </c>
      <c r="I1449" s="217" t="s">
        <v>2573</v>
      </c>
    </row>
    <row r="1450" spans="1:9" hidden="1">
      <c r="A1450" s="23">
        <v>1450</v>
      </c>
      <c r="B1450" s="84">
        <v>45763</v>
      </c>
      <c r="C1450" s="23" t="s">
        <v>983</v>
      </c>
      <c r="D1450" s="23" t="s">
        <v>164</v>
      </c>
      <c r="G1450" s="23">
        <v>0.7</v>
      </c>
      <c r="I1450" s="217" t="s">
        <v>2574</v>
      </c>
    </row>
    <row r="1451" spans="1:9" hidden="1">
      <c r="A1451" s="23">
        <v>1451</v>
      </c>
      <c r="B1451" s="84">
        <v>45763</v>
      </c>
      <c r="C1451" s="23" t="s">
        <v>984</v>
      </c>
      <c r="D1451" s="23" t="s">
        <v>391</v>
      </c>
      <c r="G1451" s="23">
        <v>0</v>
      </c>
      <c r="I1451" s="217" t="s">
        <v>2575</v>
      </c>
    </row>
    <row r="1452" spans="1:9" hidden="1">
      <c r="A1452" s="23">
        <v>1452</v>
      </c>
      <c r="B1452" s="84">
        <v>45763</v>
      </c>
      <c r="C1452" s="23" t="s">
        <v>985</v>
      </c>
      <c r="D1452" s="23" t="s">
        <v>232</v>
      </c>
      <c r="G1452" s="23">
        <v>0.7</v>
      </c>
      <c r="I1452" s="217" t="s">
        <v>2576</v>
      </c>
    </row>
    <row r="1453" spans="1:9" hidden="1">
      <c r="A1453" s="23">
        <v>1453</v>
      </c>
      <c r="B1453" s="84">
        <v>45763</v>
      </c>
      <c r="C1453" s="23" t="s">
        <v>987</v>
      </c>
      <c r="D1453" s="23" t="s">
        <v>245</v>
      </c>
      <c r="G1453" s="23">
        <v>0.7</v>
      </c>
      <c r="I1453" s="217" t="s">
        <v>2577</v>
      </c>
    </row>
    <row r="1454" spans="1:9" hidden="1">
      <c r="A1454" s="23">
        <v>1454</v>
      </c>
      <c r="B1454" s="84">
        <v>45763</v>
      </c>
      <c r="C1454" s="23" t="s">
        <v>355</v>
      </c>
      <c r="D1454" s="23" t="s">
        <v>236</v>
      </c>
      <c r="G1454" s="23">
        <v>0.7</v>
      </c>
      <c r="I1454" s="217" t="s">
        <v>2578</v>
      </c>
    </row>
    <row r="1455" spans="1:9" hidden="1">
      <c r="A1455" s="23">
        <v>1455</v>
      </c>
      <c r="B1455" s="84">
        <v>45763</v>
      </c>
      <c r="C1455" s="23" t="s">
        <v>988</v>
      </c>
      <c r="D1455" s="23" t="s">
        <v>245</v>
      </c>
      <c r="G1455" s="23">
        <v>0</v>
      </c>
      <c r="I1455" s="217" t="s">
        <v>2577</v>
      </c>
    </row>
    <row r="1456" spans="1:9" hidden="1">
      <c r="A1456" s="23">
        <v>1456</v>
      </c>
      <c r="B1456" s="84">
        <v>45763</v>
      </c>
      <c r="C1456" s="23" t="s">
        <v>989</v>
      </c>
      <c r="D1456" s="23" t="s">
        <v>242</v>
      </c>
      <c r="G1456" s="23">
        <v>1.5</v>
      </c>
      <c r="I1456" s="217" t="s">
        <v>2579</v>
      </c>
    </row>
    <row r="1457" spans="1:9" hidden="1">
      <c r="A1457" s="23">
        <v>1457</v>
      </c>
      <c r="B1457" s="84">
        <v>45763</v>
      </c>
      <c r="C1457" s="23" t="s">
        <v>895</v>
      </c>
      <c r="D1457" s="23" t="s">
        <v>164</v>
      </c>
      <c r="G1457" s="23">
        <v>0</v>
      </c>
      <c r="I1457" s="217" t="s">
        <v>2580</v>
      </c>
    </row>
    <row r="1458" spans="1:9" hidden="1">
      <c r="A1458" s="23">
        <v>1458</v>
      </c>
      <c r="B1458" s="84">
        <v>45763</v>
      </c>
      <c r="C1458" s="23" t="s">
        <v>986</v>
      </c>
      <c r="D1458" s="23" t="s">
        <v>232</v>
      </c>
      <c r="G1458" s="23">
        <v>0</v>
      </c>
      <c r="I1458" s="217" t="s">
        <v>2581</v>
      </c>
    </row>
    <row r="1459" spans="1:9" hidden="1">
      <c r="A1459" s="23">
        <v>1459</v>
      </c>
      <c r="B1459" s="84">
        <v>45763</v>
      </c>
      <c r="C1459" s="23" t="s">
        <v>213</v>
      </c>
      <c r="D1459" s="23" t="s">
        <v>225</v>
      </c>
      <c r="G1459" s="23">
        <v>0.75</v>
      </c>
      <c r="I1459" s="217" t="s">
        <v>2582</v>
      </c>
    </row>
    <row r="1460" spans="1:9" hidden="1">
      <c r="A1460" s="23">
        <v>1460</v>
      </c>
      <c r="B1460" s="84">
        <v>45763</v>
      </c>
      <c r="C1460" s="23" t="s">
        <v>238</v>
      </c>
      <c r="D1460" s="23" t="s">
        <v>217</v>
      </c>
      <c r="G1460" s="23">
        <v>0</v>
      </c>
      <c r="I1460" s="217" t="s">
        <v>2583</v>
      </c>
    </row>
    <row r="1461" spans="1:9" hidden="1">
      <c r="A1461" s="23">
        <v>1461</v>
      </c>
      <c r="B1461" s="84">
        <v>45763</v>
      </c>
      <c r="C1461" s="23" t="s">
        <v>543</v>
      </c>
      <c r="D1461" s="23" t="s">
        <v>236</v>
      </c>
      <c r="G1461" s="23">
        <v>0</v>
      </c>
      <c r="I1461" s="217" t="s">
        <v>2584</v>
      </c>
    </row>
    <row r="1462" spans="1:9" hidden="1">
      <c r="A1462" s="23">
        <v>1462</v>
      </c>
      <c r="B1462" s="84">
        <v>45763</v>
      </c>
      <c r="C1462" s="23" t="s">
        <v>992</v>
      </c>
      <c r="D1462" s="23" t="s">
        <v>232</v>
      </c>
      <c r="G1462" s="23">
        <v>0.8</v>
      </c>
      <c r="I1462" s="217" t="s">
        <v>2585</v>
      </c>
    </row>
    <row r="1463" spans="1:9" hidden="1">
      <c r="A1463" s="23">
        <v>1463</v>
      </c>
      <c r="B1463" s="84">
        <v>45763</v>
      </c>
      <c r="C1463" s="23" t="s">
        <v>862</v>
      </c>
      <c r="D1463" s="23" t="s">
        <v>186</v>
      </c>
      <c r="G1463" s="23">
        <v>3.8</v>
      </c>
      <c r="I1463" s="217" t="s">
        <v>2586</v>
      </c>
    </row>
    <row r="1464" spans="1:9" hidden="1">
      <c r="A1464" s="23">
        <v>1464</v>
      </c>
      <c r="B1464" s="84">
        <v>45763</v>
      </c>
      <c r="C1464" s="23" t="s">
        <v>993</v>
      </c>
      <c r="D1464" s="23" t="s">
        <v>232</v>
      </c>
      <c r="G1464" s="23">
        <v>0</v>
      </c>
      <c r="I1464" s="217" t="s">
        <v>2585</v>
      </c>
    </row>
    <row r="1465" spans="1:9" hidden="1">
      <c r="A1465" s="23">
        <v>1465</v>
      </c>
      <c r="B1465" s="84">
        <v>45763</v>
      </c>
      <c r="C1465" s="23" t="s">
        <v>686</v>
      </c>
      <c r="D1465" s="23" t="s">
        <v>164</v>
      </c>
      <c r="G1465" s="23">
        <v>0.8</v>
      </c>
      <c r="I1465" s="217" t="s">
        <v>2587</v>
      </c>
    </row>
    <row r="1466" spans="1:9" hidden="1">
      <c r="A1466" s="23">
        <v>1466</v>
      </c>
      <c r="B1466" s="84">
        <v>45763</v>
      </c>
      <c r="C1466" s="23" t="s">
        <v>530</v>
      </c>
      <c r="D1466" s="23" t="s">
        <v>391</v>
      </c>
      <c r="G1466" s="23">
        <v>0.8</v>
      </c>
      <c r="I1466" s="217" t="s">
        <v>2588</v>
      </c>
    </row>
    <row r="1467" spans="1:9" hidden="1">
      <c r="A1467" s="23">
        <v>1467</v>
      </c>
      <c r="B1467" s="84">
        <v>45763</v>
      </c>
      <c r="C1467" s="23" t="s">
        <v>994</v>
      </c>
      <c r="D1467" s="23" t="s">
        <v>232</v>
      </c>
      <c r="G1467" s="23">
        <v>0.8</v>
      </c>
      <c r="I1467" s="217" t="s">
        <v>2589</v>
      </c>
    </row>
    <row r="1468" spans="1:9" hidden="1">
      <c r="A1468" s="23">
        <v>1468</v>
      </c>
      <c r="B1468" s="84">
        <v>45763</v>
      </c>
      <c r="C1468" s="23" t="s">
        <v>255</v>
      </c>
      <c r="D1468" s="23" t="s">
        <v>234</v>
      </c>
      <c r="G1468" s="23">
        <v>0.8</v>
      </c>
      <c r="I1468" s="217" t="s">
        <v>2590</v>
      </c>
    </row>
    <row r="1469" spans="1:9" hidden="1">
      <c r="A1469" s="23">
        <v>1469</v>
      </c>
      <c r="B1469" s="84">
        <v>45763</v>
      </c>
      <c r="C1469" s="23" t="s">
        <v>257</v>
      </c>
      <c r="D1469" s="23" t="s">
        <v>236</v>
      </c>
      <c r="G1469" s="23">
        <v>0.8</v>
      </c>
      <c r="I1469" s="217" t="s">
        <v>2591</v>
      </c>
    </row>
    <row r="1470" spans="1:9">
      <c r="A1470" s="23">
        <v>1470</v>
      </c>
      <c r="B1470" s="84">
        <v>45763</v>
      </c>
      <c r="C1470" s="23" t="s">
        <v>366</v>
      </c>
      <c r="D1470" s="23" t="s">
        <v>174</v>
      </c>
      <c r="G1470" s="23">
        <v>6.8</v>
      </c>
      <c r="I1470" s="217" t="s">
        <v>2592</v>
      </c>
    </row>
    <row r="1471" spans="1:9" hidden="1">
      <c r="A1471" s="23">
        <v>1471</v>
      </c>
      <c r="B1471" s="84">
        <v>45763</v>
      </c>
      <c r="C1471" s="23" t="s">
        <v>260</v>
      </c>
      <c r="D1471" s="23" t="s">
        <v>164</v>
      </c>
      <c r="G1471" s="23">
        <v>0</v>
      </c>
      <c r="I1471" s="217" t="s">
        <v>2593</v>
      </c>
    </row>
    <row r="1472" spans="1:9" hidden="1">
      <c r="A1472" s="23">
        <v>1472</v>
      </c>
      <c r="B1472" s="84">
        <v>45763</v>
      </c>
      <c r="C1472" s="23" t="s">
        <v>260</v>
      </c>
      <c r="D1472" s="23" t="s">
        <v>391</v>
      </c>
      <c r="G1472" s="23">
        <v>0</v>
      </c>
      <c r="I1472" s="217" t="s">
        <v>2588</v>
      </c>
    </row>
    <row r="1473" spans="1:9" hidden="1">
      <c r="A1473" s="23">
        <v>1473</v>
      </c>
      <c r="B1473" s="84">
        <v>45763</v>
      </c>
      <c r="C1473" s="23" t="s">
        <v>468</v>
      </c>
      <c r="D1473" s="23" t="s">
        <v>232</v>
      </c>
      <c r="G1473" s="23">
        <v>0</v>
      </c>
      <c r="I1473" s="217" t="s">
        <v>2589</v>
      </c>
    </row>
    <row r="1474" spans="1:9" hidden="1">
      <c r="A1474" s="23">
        <v>1474</v>
      </c>
      <c r="B1474" s="84">
        <v>45763</v>
      </c>
      <c r="C1474" s="23" t="s">
        <v>662</v>
      </c>
      <c r="D1474" s="23" t="s">
        <v>234</v>
      </c>
      <c r="G1474" s="23">
        <v>0</v>
      </c>
      <c r="I1474" s="217" t="s">
        <v>2590</v>
      </c>
    </row>
    <row r="1475" spans="1:9" hidden="1">
      <c r="A1475" s="23">
        <v>1475</v>
      </c>
      <c r="B1475" s="84">
        <v>45763</v>
      </c>
      <c r="C1475" s="23" t="s">
        <v>659</v>
      </c>
      <c r="D1475" s="23" t="s">
        <v>391</v>
      </c>
      <c r="G1475" s="23">
        <v>0.8</v>
      </c>
      <c r="I1475" s="217" t="s">
        <v>1294</v>
      </c>
    </row>
    <row r="1476" spans="1:9" hidden="1">
      <c r="A1476" s="23">
        <v>1476</v>
      </c>
      <c r="B1476" s="84">
        <v>45763</v>
      </c>
      <c r="C1476" s="23" t="s">
        <v>321</v>
      </c>
      <c r="D1476" s="23" t="s">
        <v>232</v>
      </c>
      <c r="G1476" s="23">
        <v>0.8</v>
      </c>
      <c r="I1476" s="217" t="s">
        <v>2594</v>
      </c>
    </row>
    <row r="1477" spans="1:9" hidden="1">
      <c r="A1477" s="23">
        <v>1477</v>
      </c>
      <c r="B1477" s="84">
        <v>45763</v>
      </c>
      <c r="C1477" s="23" t="s">
        <v>251</v>
      </c>
      <c r="D1477" s="23" t="s">
        <v>164</v>
      </c>
      <c r="G1477" s="23">
        <v>0.8</v>
      </c>
      <c r="I1477" s="217" t="s">
        <v>2595</v>
      </c>
    </row>
    <row r="1478" spans="1:9" hidden="1">
      <c r="A1478" s="23">
        <v>1478</v>
      </c>
      <c r="B1478" s="84">
        <v>45763</v>
      </c>
      <c r="C1478" s="23" t="s">
        <v>824</v>
      </c>
      <c r="D1478" s="23" t="s">
        <v>183</v>
      </c>
      <c r="G1478" s="23">
        <v>2.8</v>
      </c>
      <c r="I1478" s="217" t="s">
        <v>2596</v>
      </c>
    </row>
    <row r="1479" spans="1:9" hidden="1">
      <c r="A1479" s="23">
        <v>1479</v>
      </c>
      <c r="B1479" s="84">
        <v>45763</v>
      </c>
      <c r="C1479" s="23" t="s">
        <v>996</v>
      </c>
      <c r="D1479" s="23" t="s">
        <v>232</v>
      </c>
      <c r="G1479" s="23">
        <v>0</v>
      </c>
      <c r="I1479" s="217" t="s">
        <v>2594</v>
      </c>
    </row>
    <row r="1480" spans="1:9" hidden="1">
      <c r="A1480" s="23">
        <v>1480</v>
      </c>
      <c r="B1480" s="84">
        <v>45763</v>
      </c>
      <c r="C1480" s="23" t="s">
        <v>784</v>
      </c>
      <c r="D1480" s="23" t="s">
        <v>236</v>
      </c>
      <c r="G1480" s="23">
        <v>0</v>
      </c>
      <c r="I1480" s="217" t="s">
        <v>2597</v>
      </c>
    </row>
    <row r="1481" spans="1:9" hidden="1">
      <c r="A1481" s="23">
        <v>1481</v>
      </c>
      <c r="B1481" s="84">
        <v>45763</v>
      </c>
      <c r="C1481" s="23" t="s">
        <v>376</v>
      </c>
      <c r="D1481" s="23" t="s">
        <v>164</v>
      </c>
      <c r="G1481" s="23">
        <v>0</v>
      </c>
      <c r="I1481" s="217" t="s">
        <v>2595</v>
      </c>
    </row>
    <row r="1482" spans="1:9" hidden="1">
      <c r="A1482" s="23">
        <v>1482</v>
      </c>
      <c r="B1482" s="84">
        <v>45763</v>
      </c>
      <c r="C1482" s="23" t="s">
        <v>998</v>
      </c>
      <c r="D1482" s="23" t="s">
        <v>335</v>
      </c>
      <c r="G1482" s="23">
        <v>4.07</v>
      </c>
      <c r="I1482" s="217" t="s">
        <v>2598</v>
      </c>
    </row>
    <row r="1483" spans="1:9" hidden="1">
      <c r="A1483" s="23">
        <v>1483</v>
      </c>
      <c r="B1483" s="84">
        <v>45763</v>
      </c>
      <c r="C1483" s="23" t="s">
        <v>734</v>
      </c>
      <c r="D1483" s="23" t="s">
        <v>391</v>
      </c>
      <c r="G1483" s="23">
        <v>0</v>
      </c>
      <c r="I1483" s="217" t="s">
        <v>2599</v>
      </c>
    </row>
    <row r="1484" spans="1:9" hidden="1">
      <c r="A1484" s="23">
        <v>1484</v>
      </c>
      <c r="B1484" s="84">
        <v>45763</v>
      </c>
      <c r="C1484" s="23" t="s">
        <v>991</v>
      </c>
      <c r="D1484" s="23" t="s">
        <v>225</v>
      </c>
      <c r="G1484" s="23">
        <v>0</v>
      </c>
      <c r="I1484" s="217" t="s">
        <v>2600</v>
      </c>
    </row>
    <row r="1485" spans="1:9" hidden="1">
      <c r="A1485" s="23">
        <v>1485</v>
      </c>
      <c r="B1485" s="84">
        <v>45763</v>
      </c>
      <c r="C1485" s="23" t="s">
        <v>880</v>
      </c>
      <c r="D1485" s="23" t="s">
        <v>232</v>
      </c>
      <c r="G1485" s="23">
        <v>0.7</v>
      </c>
      <c r="I1485" s="217" t="s">
        <v>2601</v>
      </c>
    </row>
    <row r="1486" spans="1:9" hidden="1">
      <c r="A1486" s="23">
        <v>1486</v>
      </c>
      <c r="B1486" s="84">
        <v>45763</v>
      </c>
      <c r="C1486" s="23" t="s">
        <v>505</v>
      </c>
      <c r="D1486" s="23" t="s">
        <v>234</v>
      </c>
      <c r="G1486" s="23">
        <v>0.7</v>
      </c>
      <c r="I1486" s="217" t="s">
        <v>2602</v>
      </c>
    </row>
    <row r="1487" spans="1:9" hidden="1">
      <c r="A1487" s="23">
        <v>1487</v>
      </c>
      <c r="B1487" s="84">
        <v>45763</v>
      </c>
      <c r="C1487" s="23" t="s">
        <v>776</v>
      </c>
      <c r="D1487" s="23" t="s">
        <v>214</v>
      </c>
      <c r="G1487" s="23">
        <v>0.74</v>
      </c>
      <c r="H1487" s="23" t="s">
        <v>2603</v>
      </c>
      <c r="I1487" s="217" t="s">
        <v>2604</v>
      </c>
    </row>
    <row r="1488" spans="1:9" hidden="1">
      <c r="A1488" s="23">
        <v>1488</v>
      </c>
      <c r="B1488" s="84">
        <v>45763</v>
      </c>
      <c r="C1488" s="23" t="s">
        <v>882</v>
      </c>
      <c r="D1488" s="23" t="s">
        <v>236</v>
      </c>
      <c r="G1488" s="23">
        <v>0.8</v>
      </c>
      <c r="I1488" s="217" t="s">
        <v>2605</v>
      </c>
    </row>
    <row r="1489" spans="1:9" hidden="1">
      <c r="A1489" s="23">
        <v>1489</v>
      </c>
      <c r="B1489" s="84">
        <v>45763</v>
      </c>
      <c r="C1489" s="23" t="s">
        <v>1001</v>
      </c>
      <c r="D1489" s="23" t="s">
        <v>225</v>
      </c>
      <c r="G1489" s="23">
        <v>0.4</v>
      </c>
      <c r="I1489" s="217" t="s">
        <v>2606</v>
      </c>
    </row>
    <row r="1490" spans="1:9" hidden="1">
      <c r="A1490" s="23">
        <v>1490</v>
      </c>
      <c r="B1490" s="84">
        <v>45763</v>
      </c>
      <c r="C1490" s="23" t="s">
        <v>1001</v>
      </c>
      <c r="D1490" s="23" t="s">
        <v>217</v>
      </c>
      <c r="G1490" s="23">
        <v>0.4</v>
      </c>
      <c r="I1490" s="217" t="s">
        <v>2607</v>
      </c>
    </row>
    <row r="1491" spans="1:9" hidden="1">
      <c r="A1491" s="23">
        <v>1491</v>
      </c>
      <c r="B1491" s="84">
        <v>45763</v>
      </c>
      <c r="C1491" s="23" t="s">
        <v>940</v>
      </c>
      <c r="D1491" s="23" t="s">
        <v>217</v>
      </c>
      <c r="G1491" s="23">
        <v>0</v>
      </c>
      <c r="I1491" s="217" t="s">
        <v>2607</v>
      </c>
    </row>
    <row r="1492" spans="1:9" hidden="1">
      <c r="A1492" s="23">
        <v>1492</v>
      </c>
      <c r="B1492" s="84">
        <v>45763</v>
      </c>
      <c r="C1492" s="23" t="s">
        <v>574</v>
      </c>
      <c r="D1492" s="23" t="s">
        <v>211</v>
      </c>
      <c r="G1492" s="23">
        <v>0</v>
      </c>
      <c r="I1492" s="217" t="s">
        <v>2608</v>
      </c>
    </row>
    <row r="1493" spans="1:9" hidden="1">
      <c r="A1493" s="23">
        <v>1493</v>
      </c>
      <c r="B1493" s="84">
        <v>45763</v>
      </c>
      <c r="C1493" s="23" t="s">
        <v>574</v>
      </c>
      <c r="D1493" s="23" t="s">
        <v>214</v>
      </c>
      <c r="G1493" s="23">
        <v>0</v>
      </c>
      <c r="H1493" s="23" t="s">
        <v>2609</v>
      </c>
      <c r="I1493" s="217" t="s">
        <v>2610</v>
      </c>
    </row>
    <row r="1494" spans="1:9" hidden="1">
      <c r="A1494" s="23">
        <v>1494</v>
      </c>
      <c r="B1494" s="84">
        <v>45763</v>
      </c>
      <c r="C1494" s="23" t="s">
        <v>574</v>
      </c>
      <c r="D1494" s="23" t="s">
        <v>214</v>
      </c>
      <c r="G1494" s="23">
        <v>0.47</v>
      </c>
      <c r="H1494" s="23" t="s">
        <v>2609</v>
      </c>
      <c r="I1494" s="217" t="s">
        <v>1294</v>
      </c>
    </row>
    <row r="1495" spans="1:9" hidden="1">
      <c r="A1495" s="23">
        <v>1495</v>
      </c>
      <c r="B1495" s="84">
        <v>45763</v>
      </c>
      <c r="C1495" s="23" t="s">
        <v>497</v>
      </c>
      <c r="D1495" s="23" t="s">
        <v>279</v>
      </c>
      <c r="G1495" s="23">
        <v>0.35</v>
      </c>
      <c r="I1495" s="217" t="s">
        <v>2611</v>
      </c>
    </row>
    <row r="1496" spans="1:9" hidden="1">
      <c r="A1496" s="23">
        <v>1496</v>
      </c>
      <c r="B1496" s="84">
        <v>45763</v>
      </c>
      <c r="C1496" s="23" t="s">
        <v>702</v>
      </c>
      <c r="D1496" s="23" t="s">
        <v>234</v>
      </c>
      <c r="G1496" s="23">
        <v>0</v>
      </c>
      <c r="I1496" s="217" t="s">
        <v>2612</v>
      </c>
    </row>
    <row r="1497" spans="1:9" hidden="1">
      <c r="A1497" s="23">
        <v>1497</v>
      </c>
      <c r="B1497" s="84">
        <v>45763</v>
      </c>
      <c r="C1497" s="23" t="s">
        <v>1000</v>
      </c>
      <c r="D1497" s="23" t="s">
        <v>232</v>
      </c>
      <c r="G1497" s="23">
        <v>0</v>
      </c>
      <c r="I1497" s="217" t="s">
        <v>2613</v>
      </c>
    </row>
    <row r="1498" spans="1:9" hidden="1">
      <c r="A1498" s="23">
        <v>1498</v>
      </c>
      <c r="B1498" s="84">
        <v>45763</v>
      </c>
      <c r="C1498" s="23" t="s">
        <v>473</v>
      </c>
      <c r="D1498" s="23" t="s">
        <v>236</v>
      </c>
      <c r="G1498" s="23">
        <v>0</v>
      </c>
      <c r="I1498" s="217" t="s">
        <v>2614</v>
      </c>
    </row>
    <row r="1499" spans="1:9" hidden="1">
      <c r="A1499" s="23">
        <v>1499</v>
      </c>
      <c r="B1499" s="84">
        <v>45763</v>
      </c>
      <c r="C1499" s="23" t="s">
        <v>415</v>
      </c>
      <c r="D1499" s="23" t="s">
        <v>279</v>
      </c>
      <c r="G1499" s="23">
        <v>0</v>
      </c>
      <c r="I1499" s="217" t="s">
        <v>2615</v>
      </c>
    </row>
    <row r="1500" spans="1:9" hidden="1">
      <c r="A1500" s="23">
        <v>1500</v>
      </c>
      <c r="B1500" s="84">
        <v>45763</v>
      </c>
      <c r="C1500" s="23" t="s">
        <v>212</v>
      </c>
      <c r="D1500" s="23" t="s">
        <v>217</v>
      </c>
      <c r="G1500" s="23">
        <v>0.85</v>
      </c>
      <c r="I1500" s="217" t="s">
        <v>2616</v>
      </c>
    </row>
    <row r="1501" spans="1:9" hidden="1">
      <c r="A1501" s="23">
        <v>1501</v>
      </c>
      <c r="B1501" s="84">
        <v>45763</v>
      </c>
      <c r="C1501" s="23" t="s">
        <v>222</v>
      </c>
      <c r="D1501" s="23" t="s">
        <v>225</v>
      </c>
      <c r="G1501" s="23">
        <v>0</v>
      </c>
      <c r="I1501" s="217" t="s">
        <v>2617</v>
      </c>
    </row>
    <row r="1502" spans="1:9" hidden="1">
      <c r="A1502" s="23">
        <v>1502</v>
      </c>
      <c r="B1502" s="84">
        <v>45763</v>
      </c>
      <c r="C1502" s="23" t="s">
        <v>426</v>
      </c>
      <c r="D1502" s="23" t="s">
        <v>211</v>
      </c>
      <c r="G1502" s="23">
        <v>0.3</v>
      </c>
      <c r="I1502" s="217" t="s">
        <v>2618</v>
      </c>
    </row>
    <row r="1503" spans="1:9" hidden="1">
      <c r="A1503" s="23">
        <v>1503</v>
      </c>
      <c r="B1503" s="84">
        <v>45763</v>
      </c>
      <c r="C1503" s="23" t="s">
        <v>535</v>
      </c>
      <c r="D1503" s="23" t="s">
        <v>232</v>
      </c>
      <c r="G1503" s="23">
        <v>0.7</v>
      </c>
      <c r="I1503" s="217" t="s">
        <v>2619</v>
      </c>
    </row>
    <row r="1504" spans="1:9" hidden="1">
      <c r="A1504" s="23">
        <v>1504</v>
      </c>
      <c r="B1504" s="84">
        <v>45763</v>
      </c>
      <c r="C1504" s="23" t="s">
        <v>707</v>
      </c>
      <c r="D1504" s="23" t="s">
        <v>234</v>
      </c>
      <c r="G1504" s="23">
        <v>0.7</v>
      </c>
      <c r="I1504" s="217" t="s">
        <v>2620</v>
      </c>
    </row>
    <row r="1505" spans="1:9" hidden="1">
      <c r="A1505" s="23">
        <v>1505</v>
      </c>
      <c r="B1505" s="84">
        <v>45763</v>
      </c>
      <c r="C1505" s="23" t="s">
        <v>1003</v>
      </c>
      <c r="D1505" s="23" t="s">
        <v>232</v>
      </c>
      <c r="G1505" s="23">
        <v>0</v>
      </c>
      <c r="I1505" s="217" t="s">
        <v>2621</v>
      </c>
    </row>
    <row r="1506" spans="1:9" hidden="1">
      <c r="A1506" s="23">
        <v>1506</v>
      </c>
      <c r="B1506" s="84">
        <v>45763</v>
      </c>
      <c r="C1506" s="23" t="s">
        <v>527</v>
      </c>
      <c r="D1506" s="23" t="s">
        <v>236</v>
      </c>
      <c r="G1506" s="23">
        <v>0.7</v>
      </c>
      <c r="I1506" s="217" t="s">
        <v>2622</v>
      </c>
    </row>
    <row r="1507" spans="1:9" hidden="1">
      <c r="A1507" s="23">
        <v>1507</v>
      </c>
      <c r="B1507" s="84">
        <v>45763</v>
      </c>
      <c r="C1507" s="23" t="s">
        <v>1002</v>
      </c>
      <c r="D1507" s="23" t="s">
        <v>211</v>
      </c>
      <c r="G1507" s="23">
        <v>0</v>
      </c>
      <c r="I1507" s="217" t="s">
        <v>2623</v>
      </c>
    </row>
    <row r="1508" spans="1:9" hidden="1">
      <c r="A1508" s="23">
        <v>1508</v>
      </c>
      <c r="B1508" s="84">
        <v>45763</v>
      </c>
      <c r="C1508" s="23" t="s">
        <v>533</v>
      </c>
      <c r="D1508" s="23" t="s">
        <v>234</v>
      </c>
      <c r="G1508" s="23">
        <v>0</v>
      </c>
      <c r="I1508" s="217" t="s">
        <v>2624</v>
      </c>
    </row>
    <row r="1509" spans="1:9" hidden="1">
      <c r="A1509" s="23">
        <v>1509</v>
      </c>
      <c r="B1509" s="84">
        <v>45763</v>
      </c>
      <c r="C1509" s="23" t="s">
        <v>836</v>
      </c>
      <c r="D1509" s="23" t="s">
        <v>236</v>
      </c>
      <c r="G1509" s="23">
        <v>0</v>
      </c>
      <c r="I1509" s="217" t="s">
        <v>2625</v>
      </c>
    </row>
    <row r="1510" spans="1:9">
      <c r="A1510" s="23">
        <v>1510</v>
      </c>
      <c r="B1510" s="84">
        <v>45763</v>
      </c>
      <c r="C1510" s="23" t="s">
        <v>1004</v>
      </c>
      <c r="D1510" s="23" t="s">
        <v>177</v>
      </c>
      <c r="G1510" s="23">
        <v>0.5</v>
      </c>
      <c r="I1510" s="217" t="s">
        <v>2626</v>
      </c>
    </row>
    <row r="1511" spans="1:9">
      <c r="A1511" s="23">
        <v>1511</v>
      </c>
      <c r="B1511" s="84">
        <v>45763</v>
      </c>
      <c r="C1511" s="23" t="s">
        <v>995</v>
      </c>
      <c r="D1511" s="23" t="s">
        <v>174</v>
      </c>
      <c r="G1511" s="23">
        <v>0</v>
      </c>
      <c r="I1511" s="217" t="s">
        <v>2627</v>
      </c>
    </row>
    <row r="1512" spans="1:9" hidden="1">
      <c r="A1512" s="23">
        <v>1512</v>
      </c>
      <c r="B1512" s="84">
        <v>45763</v>
      </c>
      <c r="C1512" s="23" t="s">
        <v>999</v>
      </c>
      <c r="D1512" s="23" t="s">
        <v>164</v>
      </c>
      <c r="G1512" s="23">
        <v>0.8</v>
      </c>
      <c r="I1512" s="217" t="s">
        <v>2628</v>
      </c>
    </row>
    <row r="1513" spans="1:9" hidden="1">
      <c r="A1513" s="23">
        <v>1513</v>
      </c>
      <c r="B1513" s="84">
        <v>45763</v>
      </c>
      <c r="C1513" s="23" t="s">
        <v>664</v>
      </c>
      <c r="D1513" s="23" t="s">
        <v>164</v>
      </c>
      <c r="G1513" s="23">
        <v>0</v>
      </c>
      <c r="I1513" s="217" t="s">
        <v>2628</v>
      </c>
    </row>
    <row r="1514" spans="1:9" hidden="1">
      <c r="A1514" s="23">
        <v>1514</v>
      </c>
      <c r="B1514" s="84">
        <v>45763</v>
      </c>
      <c r="C1514" s="23" t="s">
        <v>999</v>
      </c>
      <c r="D1514" s="23" t="s">
        <v>335</v>
      </c>
      <c r="G1514" s="23">
        <v>0</v>
      </c>
      <c r="I1514" s="217" t="s">
        <v>2629</v>
      </c>
    </row>
    <row r="1515" spans="1:9" hidden="1">
      <c r="A1515" s="23">
        <v>1515</v>
      </c>
      <c r="B1515" s="84">
        <v>45763</v>
      </c>
      <c r="C1515" s="23" t="s">
        <v>537</v>
      </c>
      <c r="D1515" s="23" t="s">
        <v>186</v>
      </c>
      <c r="G1515" s="23">
        <v>0</v>
      </c>
      <c r="I1515" s="217" t="s">
        <v>2630</v>
      </c>
    </row>
    <row r="1516" spans="1:9" hidden="1">
      <c r="A1516" s="23">
        <v>1516</v>
      </c>
      <c r="B1516" s="84">
        <v>45763</v>
      </c>
      <c r="C1516" s="23" t="s">
        <v>997</v>
      </c>
      <c r="D1516" s="23" t="s">
        <v>183</v>
      </c>
      <c r="G1516" s="23">
        <v>0</v>
      </c>
      <c r="I1516" s="217" t="s">
        <v>2631</v>
      </c>
    </row>
    <row r="1517" spans="1:9" hidden="1">
      <c r="A1517" s="23">
        <v>1517</v>
      </c>
      <c r="B1517" s="84">
        <v>45764</v>
      </c>
      <c r="C1517" s="23" t="s">
        <v>990</v>
      </c>
      <c r="D1517" s="23" t="s">
        <v>242</v>
      </c>
      <c r="G1517" s="23">
        <v>0</v>
      </c>
      <c r="I1517" s="217" t="s">
        <v>2632</v>
      </c>
    </row>
    <row r="1518" spans="1:9" hidden="1">
      <c r="A1518" s="23">
        <v>1518</v>
      </c>
      <c r="B1518" s="84">
        <v>45764</v>
      </c>
      <c r="C1518" s="23" t="s">
        <v>1006</v>
      </c>
      <c r="D1518" s="23" t="s">
        <v>232</v>
      </c>
      <c r="G1518" s="23">
        <v>0.7</v>
      </c>
      <c r="I1518" s="217" t="s">
        <v>2633</v>
      </c>
    </row>
    <row r="1519" spans="1:9" hidden="1">
      <c r="A1519" s="23">
        <v>1519</v>
      </c>
      <c r="B1519" s="84">
        <v>45764</v>
      </c>
      <c r="C1519" s="23" t="s">
        <v>1006</v>
      </c>
      <c r="D1519" s="23" t="s">
        <v>234</v>
      </c>
      <c r="G1519" s="23">
        <v>0.7</v>
      </c>
      <c r="I1519" s="217" t="s">
        <v>2634</v>
      </c>
    </row>
    <row r="1520" spans="1:9" hidden="1">
      <c r="A1520" s="23">
        <v>1520</v>
      </c>
      <c r="B1520" s="84">
        <v>45764</v>
      </c>
      <c r="C1520" s="23" t="s">
        <v>1006</v>
      </c>
      <c r="D1520" s="23" t="s">
        <v>236</v>
      </c>
      <c r="G1520" s="23">
        <v>0.7</v>
      </c>
      <c r="I1520" s="217" t="s">
        <v>2635</v>
      </c>
    </row>
    <row r="1521" spans="1:9">
      <c r="A1521" s="23">
        <v>1521</v>
      </c>
      <c r="B1521" s="84">
        <v>45764</v>
      </c>
      <c r="C1521" s="23" t="s">
        <v>960</v>
      </c>
      <c r="D1521" s="23" t="s">
        <v>180</v>
      </c>
      <c r="G1521" s="23">
        <v>0</v>
      </c>
      <c r="I1521" s="217" t="s">
        <v>2636</v>
      </c>
    </row>
    <row r="1522" spans="1:9" hidden="1">
      <c r="A1522" s="23">
        <v>1522</v>
      </c>
      <c r="B1522" s="84">
        <v>45764</v>
      </c>
      <c r="C1522" s="23" t="s">
        <v>960</v>
      </c>
      <c r="D1522" s="23" t="s">
        <v>164</v>
      </c>
      <c r="G1522" s="23">
        <v>0.7</v>
      </c>
      <c r="I1522" s="217" t="s">
        <v>2637</v>
      </c>
    </row>
    <row r="1523" spans="1:9" hidden="1">
      <c r="A1523" s="23">
        <v>1523</v>
      </c>
      <c r="B1523" s="84">
        <v>45764</v>
      </c>
      <c r="C1523" s="23" t="s">
        <v>1007</v>
      </c>
      <c r="D1523" s="23" t="s">
        <v>232</v>
      </c>
      <c r="G1523" s="23">
        <v>0</v>
      </c>
      <c r="I1523" s="217" t="s">
        <v>2633</v>
      </c>
    </row>
    <row r="1524" spans="1:9" hidden="1">
      <c r="A1524" s="23">
        <v>1524</v>
      </c>
      <c r="B1524" s="84">
        <v>45764</v>
      </c>
      <c r="C1524" s="23" t="s">
        <v>1008</v>
      </c>
      <c r="D1524" s="23" t="s">
        <v>234</v>
      </c>
      <c r="G1524" s="23">
        <v>0</v>
      </c>
      <c r="I1524" s="217" t="s">
        <v>2638</v>
      </c>
    </row>
    <row r="1525" spans="1:9" hidden="1">
      <c r="A1525" s="23">
        <v>1525</v>
      </c>
      <c r="B1525" s="84">
        <v>45764</v>
      </c>
      <c r="C1525" s="23" t="s">
        <v>1009</v>
      </c>
      <c r="D1525" s="23" t="s">
        <v>236</v>
      </c>
      <c r="G1525" s="23">
        <v>0</v>
      </c>
      <c r="I1525" s="217" t="s">
        <v>2639</v>
      </c>
    </row>
    <row r="1526" spans="1:9" hidden="1">
      <c r="A1526" s="23">
        <v>1526</v>
      </c>
      <c r="B1526" s="84">
        <v>45764</v>
      </c>
      <c r="C1526" s="23" t="s">
        <v>1010</v>
      </c>
      <c r="D1526" s="23" t="s">
        <v>164</v>
      </c>
      <c r="G1526" s="23">
        <v>0</v>
      </c>
      <c r="I1526" s="217" t="s">
        <v>2640</v>
      </c>
    </row>
    <row r="1527" spans="1:9" hidden="1">
      <c r="A1527" s="23">
        <v>1527</v>
      </c>
      <c r="B1527" s="84">
        <v>45764</v>
      </c>
      <c r="C1527" s="23" t="s">
        <v>1011</v>
      </c>
      <c r="D1527" s="23" t="s">
        <v>242</v>
      </c>
      <c r="G1527" s="23">
        <v>1.5</v>
      </c>
      <c r="I1527" s="217" t="s">
        <v>2641</v>
      </c>
    </row>
    <row r="1528" spans="1:9" hidden="1">
      <c r="A1528" s="23">
        <v>1528</v>
      </c>
      <c r="B1528" s="84">
        <v>45764</v>
      </c>
      <c r="C1528" s="23" t="s">
        <v>684</v>
      </c>
      <c r="D1528" s="23" t="s">
        <v>232</v>
      </c>
      <c r="G1528" s="23">
        <v>0.7</v>
      </c>
      <c r="I1528" s="217" t="s">
        <v>2642</v>
      </c>
    </row>
    <row r="1529" spans="1:9" hidden="1">
      <c r="A1529" s="23">
        <v>1529</v>
      </c>
      <c r="B1529" s="84">
        <v>45764</v>
      </c>
      <c r="C1529" s="23" t="s">
        <v>654</v>
      </c>
      <c r="D1529" s="23" t="s">
        <v>234</v>
      </c>
      <c r="G1529" s="23">
        <v>0.7</v>
      </c>
      <c r="I1529" s="217" t="s">
        <v>2643</v>
      </c>
    </row>
    <row r="1530" spans="1:9">
      <c r="A1530" s="23">
        <v>1530</v>
      </c>
      <c r="B1530" s="84">
        <v>45764</v>
      </c>
      <c r="C1530" s="23" t="s">
        <v>1013</v>
      </c>
      <c r="D1530" s="23" t="s">
        <v>174</v>
      </c>
      <c r="G1530" s="23">
        <v>1</v>
      </c>
      <c r="I1530" s="217" t="s">
        <v>2644</v>
      </c>
    </row>
    <row r="1531" spans="1:9" hidden="1">
      <c r="A1531" s="23">
        <v>1531</v>
      </c>
      <c r="B1531" s="84">
        <v>45764</v>
      </c>
      <c r="C1531" s="23" t="s">
        <v>1014</v>
      </c>
      <c r="D1531" s="23" t="s">
        <v>236</v>
      </c>
      <c r="G1531" s="23">
        <v>0.75</v>
      </c>
      <c r="I1531" s="217" t="s">
        <v>2645</v>
      </c>
    </row>
    <row r="1532" spans="1:9">
      <c r="A1532" s="23">
        <v>1532</v>
      </c>
      <c r="B1532" s="84">
        <v>45764</v>
      </c>
      <c r="C1532" s="23" t="s">
        <v>468</v>
      </c>
      <c r="D1532" s="23" t="s">
        <v>180</v>
      </c>
      <c r="G1532" s="23">
        <v>6.5</v>
      </c>
      <c r="I1532" s="217" t="s">
        <v>2646</v>
      </c>
    </row>
    <row r="1533" spans="1:9">
      <c r="A1533" s="23">
        <v>1533</v>
      </c>
      <c r="B1533" s="84">
        <v>45764</v>
      </c>
      <c r="C1533" s="23" t="s">
        <v>470</v>
      </c>
      <c r="D1533" s="23" t="s">
        <v>174</v>
      </c>
      <c r="G1533" s="23" t="s">
        <v>9</v>
      </c>
      <c r="H1533" s="23" t="s">
        <v>1015</v>
      </c>
      <c r="I1533" s="217" t="s">
        <v>2647</v>
      </c>
    </row>
    <row r="1534" spans="1:9" hidden="1">
      <c r="A1534" s="23">
        <v>1534</v>
      </c>
      <c r="B1534" s="84">
        <v>45764</v>
      </c>
      <c r="C1534" s="23" t="s">
        <v>372</v>
      </c>
      <c r="D1534" s="23" t="s">
        <v>232</v>
      </c>
      <c r="G1534" s="23">
        <v>0</v>
      </c>
      <c r="I1534" s="217" t="s">
        <v>2648</v>
      </c>
    </row>
    <row r="1535" spans="1:9" hidden="1">
      <c r="A1535" s="23">
        <v>1535</v>
      </c>
      <c r="B1535" s="84">
        <v>45764</v>
      </c>
      <c r="C1535" s="23" t="s">
        <v>659</v>
      </c>
      <c r="D1535" s="23" t="s">
        <v>234</v>
      </c>
      <c r="G1535" s="23">
        <v>0</v>
      </c>
      <c r="I1535" s="217" t="s">
        <v>2649</v>
      </c>
    </row>
    <row r="1536" spans="1:9" hidden="1">
      <c r="A1536" s="23">
        <v>1536</v>
      </c>
      <c r="B1536" s="84">
        <v>45764</v>
      </c>
      <c r="C1536" s="23" t="s">
        <v>603</v>
      </c>
      <c r="D1536" s="23" t="s">
        <v>236</v>
      </c>
      <c r="G1536" s="23">
        <v>0</v>
      </c>
      <c r="I1536" s="217" t="s">
        <v>2645</v>
      </c>
    </row>
    <row r="1537" spans="1:9" hidden="1">
      <c r="A1537" s="23">
        <v>1537</v>
      </c>
      <c r="B1537" s="84">
        <v>45764</v>
      </c>
      <c r="C1537" s="23" t="s">
        <v>1016</v>
      </c>
      <c r="D1537" s="23" t="s">
        <v>391</v>
      </c>
      <c r="G1537" s="23">
        <v>0.7</v>
      </c>
      <c r="I1537" s="217" t="s">
        <v>2650</v>
      </c>
    </row>
    <row r="1538" spans="1:9" hidden="1">
      <c r="A1538" s="23">
        <v>1538</v>
      </c>
      <c r="B1538" s="84">
        <v>45764</v>
      </c>
      <c r="C1538" s="23" t="s">
        <v>323</v>
      </c>
      <c r="D1538" s="23" t="s">
        <v>183</v>
      </c>
      <c r="G1538" s="23">
        <v>2</v>
      </c>
      <c r="I1538" s="217" t="s">
        <v>2651</v>
      </c>
    </row>
    <row r="1539" spans="1:9" hidden="1">
      <c r="A1539" s="23">
        <v>1539</v>
      </c>
      <c r="B1539" s="84">
        <v>45764</v>
      </c>
      <c r="C1539" s="23" t="s">
        <v>559</v>
      </c>
      <c r="D1539" s="23" t="s">
        <v>391</v>
      </c>
      <c r="G1539" s="23">
        <v>0</v>
      </c>
      <c r="I1539" s="217" t="s">
        <v>2650</v>
      </c>
    </row>
    <row r="1540" spans="1:9" hidden="1">
      <c r="A1540" s="23">
        <v>1540</v>
      </c>
      <c r="B1540" s="84">
        <v>45764</v>
      </c>
      <c r="C1540" s="23" t="s">
        <v>867</v>
      </c>
      <c r="D1540" s="23" t="s">
        <v>391</v>
      </c>
      <c r="G1540" s="23">
        <v>0.7</v>
      </c>
      <c r="I1540" s="217" t="s">
        <v>2652</v>
      </c>
    </row>
    <row r="1541" spans="1:9">
      <c r="A1541" s="23">
        <v>1541</v>
      </c>
      <c r="B1541" s="84">
        <v>45764</v>
      </c>
      <c r="C1541" s="23" t="s">
        <v>612</v>
      </c>
      <c r="D1541" s="23" t="s">
        <v>174</v>
      </c>
      <c r="G1541" s="23">
        <v>1.5</v>
      </c>
      <c r="I1541" s="217" t="s">
        <v>2653</v>
      </c>
    </row>
    <row r="1542" spans="1:9" hidden="1">
      <c r="A1542" s="23">
        <v>1542</v>
      </c>
      <c r="B1542" s="84">
        <v>45764</v>
      </c>
      <c r="C1542" s="23" t="s">
        <v>750</v>
      </c>
      <c r="D1542" s="23" t="s">
        <v>164</v>
      </c>
      <c r="G1542" s="23">
        <v>0.7</v>
      </c>
      <c r="I1542" s="217" t="s">
        <v>2654</v>
      </c>
    </row>
    <row r="1543" spans="1:9">
      <c r="A1543" s="23">
        <v>1543</v>
      </c>
      <c r="B1543" s="84">
        <v>45764</v>
      </c>
      <c r="C1543" s="23" t="s">
        <v>273</v>
      </c>
      <c r="D1543" s="23" t="s">
        <v>180</v>
      </c>
      <c r="G1543" s="23">
        <v>0</v>
      </c>
      <c r="I1543" s="217" t="s">
        <v>2655</v>
      </c>
    </row>
    <row r="1544" spans="1:9" hidden="1">
      <c r="A1544" s="23">
        <v>1544</v>
      </c>
      <c r="B1544" s="84">
        <v>45764</v>
      </c>
      <c r="C1544" s="23" t="s">
        <v>1020</v>
      </c>
      <c r="D1544" s="23" t="s">
        <v>232</v>
      </c>
      <c r="G1544" s="23">
        <v>0.7</v>
      </c>
      <c r="I1544" s="217" t="s">
        <v>2656</v>
      </c>
    </row>
    <row r="1545" spans="1:9" hidden="1">
      <c r="A1545" s="23">
        <v>1545</v>
      </c>
      <c r="B1545" s="84">
        <v>45763</v>
      </c>
      <c r="C1545" s="23" t="s">
        <v>589</v>
      </c>
      <c r="D1545" s="23" t="s">
        <v>211</v>
      </c>
      <c r="G1545" s="23">
        <v>0.56000000000000005</v>
      </c>
      <c r="I1545" s="217" t="s">
        <v>2657</v>
      </c>
    </row>
    <row r="1546" spans="1:9" hidden="1">
      <c r="A1546" s="23">
        <v>1546</v>
      </c>
      <c r="B1546" s="84">
        <v>45763</v>
      </c>
      <c r="C1546" s="23" t="s">
        <v>564</v>
      </c>
      <c r="D1546" s="23" t="s">
        <v>220</v>
      </c>
      <c r="G1546" s="23">
        <v>0</v>
      </c>
      <c r="I1546" s="217" t="s">
        <v>2658</v>
      </c>
    </row>
    <row r="1547" spans="1:9" hidden="1">
      <c r="A1547" s="23">
        <v>1547</v>
      </c>
      <c r="B1547" s="84">
        <v>45764</v>
      </c>
      <c r="C1547" s="23" t="s">
        <v>595</v>
      </c>
      <c r="D1547" s="23" t="s">
        <v>220</v>
      </c>
      <c r="G1547" s="23">
        <v>0.47</v>
      </c>
      <c r="I1547" s="217" t="s">
        <v>2659</v>
      </c>
    </row>
    <row r="1548" spans="1:9" hidden="1">
      <c r="A1548" s="23">
        <v>1548</v>
      </c>
      <c r="B1548" s="84">
        <v>45764</v>
      </c>
      <c r="C1548" s="23" t="s">
        <v>590</v>
      </c>
      <c r="D1548" s="23" t="s">
        <v>214</v>
      </c>
      <c r="G1548" s="23">
        <v>0</v>
      </c>
      <c r="I1548" s="217" t="s">
        <v>2660</v>
      </c>
    </row>
    <row r="1549" spans="1:9" hidden="1">
      <c r="A1549" s="23">
        <v>1549</v>
      </c>
      <c r="B1549" s="84">
        <v>45764</v>
      </c>
      <c r="C1549" s="23" t="s">
        <v>274</v>
      </c>
      <c r="D1549" s="23" t="s">
        <v>214</v>
      </c>
      <c r="G1549" s="23">
        <v>0.66</v>
      </c>
      <c r="I1549" s="217" t="s">
        <v>2661</v>
      </c>
    </row>
    <row r="1550" spans="1:9" hidden="1">
      <c r="A1550" s="23">
        <v>1550</v>
      </c>
      <c r="B1550" s="84">
        <v>45764</v>
      </c>
      <c r="C1550" s="23" t="s">
        <v>224</v>
      </c>
      <c r="D1550" s="23" t="s">
        <v>211</v>
      </c>
      <c r="G1550" s="23">
        <v>0</v>
      </c>
      <c r="I1550" s="217" t="s">
        <v>2662</v>
      </c>
    </row>
    <row r="1551" spans="1:9" hidden="1">
      <c r="A1551" s="23">
        <v>1551</v>
      </c>
      <c r="B1551" s="84">
        <v>45764</v>
      </c>
      <c r="C1551" s="23" t="s">
        <v>1022</v>
      </c>
      <c r="D1551" s="23" t="s">
        <v>234</v>
      </c>
      <c r="G1551" s="23">
        <v>0.7</v>
      </c>
      <c r="I1551" s="217" t="s">
        <v>2663</v>
      </c>
    </row>
    <row r="1552" spans="1:9" hidden="1">
      <c r="A1552" s="23">
        <v>1552</v>
      </c>
      <c r="B1552" s="84">
        <v>45764</v>
      </c>
      <c r="C1552" s="23" t="s">
        <v>1023</v>
      </c>
      <c r="D1552" s="23" t="s">
        <v>186</v>
      </c>
      <c r="G1552" s="23">
        <v>1</v>
      </c>
      <c r="I1552" s="217" t="s">
        <v>2664</v>
      </c>
    </row>
    <row r="1553" spans="1:9" hidden="1">
      <c r="A1553" s="23">
        <v>1553</v>
      </c>
      <c r="B1553" s="84">
        <v>45764</v>
      </c>
      <c r="C1553" s="23" t="s">
        <v>1017</v>
      </c>
      <c r="D1553" s="23" t="s">
        <v>391</v>
      </c>
      <c r="G1553" s="23">
        <v>0</v>
      </c>
      <c r="I1553" s="217" t="s">
        <v>2665</v>
      </c>
    </row>
    <row r="1554" spans="1:9" hidden="1">
      <c r="A1554" s="23">
        <v>1554</v>
      </c>
      <c r="B1554" s="84">
        <v>45764</v>
      </c>
      <c r="C1554" s="23" t="s">
        <v>1019</v>
      </c>
      <c r="D1554" s="23" t="s">
        <v>164</v>
      </c>
      <c r="G1554" s="23">
        <v>0</v>
      </c>
      <c r="I1554" s="217" t="s">
        <v>2666</v>
      </c>
    </row>
    <row r="1555" spans="1:9" hidden="1">
      <c r="A1555" s="23">
        <v>1555</v>
      </c>
      <c r="B1555" s="84">
        <v>45764</v>
      </c>
      <c r="C1555" s="23" t="s">
        <v>1024</v>
      </c>
      <c r="D1555" s="23" t="s">
        <v>236</v>
      </c>
      <c r="G1555" s="23">
        <v>0.7</v>
      </c>
      <c r="I1555" s="217" t="s">
        <v>2667</v>
      </c>
    </row>
    <row r="1556" spans="1:9" hidden="1">
      <c r="A1556" s="23">
        <v>1556</v>
      </c>
      <c r="B1556" s="84">
        <v>45764</v>
      </c>
      <c r="C1556" s="23" t="s">
        <v>1021</v>
      </c>
      <c r="D1556" s="23" t="s">
        <v>232</v>
      </c>
      <c r="G1556" s="23">
        <v>0</v>
      </c>
      <c r="I1556" s="217" t="s">
        <v>2668</v>
      </c>
    </row>
    <row r="1557" spans="1:9" hidden="1">
      <c r="A1557" s="23">
        <v>1557</v>
      </c>
      <c r="B1557" s="84">
        <v>45764</v>
      </c>
      <c r="C1557" s="23" t="s">
        <v>939</v>
      </c>
      <c r="D1557" s="23" t="s">
        <v>234</v>
      </c>
      <c r="G1557" s="23">
        <v>0</v>
      </c>
      <c r="I1557" s="217" t="s">
        <v>2669</v>
      </c>
    </row>
    <row r="1558" spans="1:9" hidden="1">
      <c r="A1558" s="23">
        <v>1558</v>
      </c>
      <c r="B1558" s="84">
        <v>45764</v>
      </c>
      <c r="C1558" s="23" t="s">
        <v>1025</v>
      </c>
      <c r="D1558" s="23" t="s">
        <v>236</v>
      </c>
      <c r="G1558" s="23">
        <v>0</v>
      </c>
      <c r="I1558" s="217" t="s">
        <v>2670</v>
      </c>
    </row>
    <row r="1559" spans="1:9" hidden="1">
      <c r="A1559" s="23">
        <v>1559</v>
      </c>
      <c r="B1559" s="84">
        <v>45764</v>
      </c>
      <c r="C1559" s="23" t="s">
        <v>218</v>
      </c>
      <c r="D1559" s="23" t="s">
        <v>225</v>
      </c>
      <c r="G1559" s="23">
        <v>0.72</v>
      </c>
      <c r="I1559" s="217" t="s">
        <v>2671</v>
      </c>
    </row>
    <row r="1560" spans="1:9" hidden="1">
      <c r="A1560" s="23">
        <v>1560</v>
      </c>
      <c r="B1560" s="84">
        <v>45764</v>
      </c>
      <c r="C1560" s="23" t="s">
        <v>213</v>
      </c>
      <c r="D1560" s="23" t="s">
        <v>217</v>
      </c>
      <c r="G1560" s="23">
        <v>0</v>
      </c>
      <c r="I1560" s="217" t="s">
        <v>2672</v>
      </c>
    </row>
    <row r="1561" spans="1:9" hidden="1">
      <c r="A1561" s="23">
        <v>1561</v>
      </c>
      <c r="B1561" s="84">
        <v>45764</v>
      </c>
      <c r="C1561" s="23" t="s">
        <v>212</v>
      </c>
      <c r="D1561" s="23" t="s">
        <v>217</v>
      </c>
      <c r="G1561" s="23">
        <v>0.85</v>
      </c>
      <c r="I1561" s="217" t="s">
        <v>2673</v>
      </c>
    </row>
    <row r="1562" spans="1:9" hidden="1">
      <c r="A1562" s="23">
        <v>1562</v>
      </c>
      <c r="B1562" s="84">
        <v>45764</v>
      </c>
      <c r="C1562" s="23" t="s">
        <v>222</v>
      </c>
      <c r="D1562" s="23" t="s">
        <v>225</v>
      </c>
      <c r="G1562" s="23">
        <v>0</v>
      </c>
      <c r="I1562" s="217" t="s">
        <v>2674</v>
      </c>
    </row>
    <row r="1563" spans="1:9" hidden="1">
      <c r="A1563" s="23">
        <v>1563</v>
      </c>
      <c r="B1563" s="84">
        <v>45764</v>
      </c>
      <c r="C1563" s="23" t="s">
        <v>212</v>
      </c>
      <c r="D1563" s="23" t="s">
        <v>211</v>
      </c>
      <c r="G1563" s="23">
        <v>0.66</v>
      </c>
      <c r="I1563" s="217" t="s">
        <v>2675</v>
      </c>
    </row>
    <row r="1564" spans="1:9" hidden="1">
      <c r="A1564" s="23">
        <v>1564</v>
      </c>
      <c r="B1564" s="84">
        <v>45764</v>
      </c>
      <c r="C1564" s="23" t="s">
        <v>222</v>
      </c>
      <c r="D1564" s="23" t="s">
        <v>220</v>
      </c>
      <c r="G1564" s="23">
        <v>0</v>
      </c>
      <c r="I1564" s="217" t="s">
        <v>2676</v>
      </c>
    </row>
    <row r="1565" spans="1:9" hidden="1">
      <c r="A1565" s="23">
        <v>1565</v>
      </c>
      <c r="B1565" s="84">
        <v>45764</v>
      </c>
      <c r="C1565" s="23" t="s">
        <v>888</v>
      </c>
      <c r="D1565" s="23" t="s">
        <v>391</v>
      </c>
      <c r="G1565" s="23">
        <v>0.7</v>
      </c>
      <c r="I1565" s="217" t="s">
        <v>2677</v>
      </c>
    </row>
    <row r="1566" spans="1:9" hidden="1">
      <c r="A1566" s="23">
        <v>1566</v>
      </c>
      <c r="B1566" s="84">
        <v>45764</v>
      </c>
      <c r="C1566" s="23" t="s">
        <v>759</v>
      </c>
      <c r="D1566" s="23" t="s">
        <v>164</v>
      </c>
      <c r="G1566" s="23">
        <v>0.7</v>
      </c>
      <c r="I1566" s="217" t="s">
        <v>2678</v>
      </c>
    </row>
    <row r="1567" spans="1:9" hidden="1">
      <c r="A1567" s="23">
        <v>1567</v>
      </c>
      <c r="B1567" s="84">
        <v>45764</v>
      </c>
      <c r="C1567" s="23" t="s">
        <v>499</v>
      </c>
      <c r="D1567" s="23" t="s">
        <v>236</v>
      </c>
      <c r="G1567" s="23">
        <v>0.7</v>
      </c>
      <c r="I1567" s="217" t="s">
        <v>2679</v>
      </c>
    </row>
    <row r="1568" spans="1:9" hidden="1">
      <c r="A1568" s="23">
        <v>1568</v>
      </c>
      <c r="B1568" s="84">
        <v>45764</v>
      </c>
      <c r="C1568" s="23" t="s">
        <v>1028</v>
      </c>
      <c r="D1568" s="23" t="s">
        <v>236</v>
      </c>
      <c r="G1568" s="23">
        <v>0</v>
      </c>
      <c r="I1568" s="217" t="s">
        <v>2679</v>
      </c>
    </row>
    <row r="1569" spans="1:9" hidden="1">
      <c r="A1569" s="23">
        <v>1569</v>
      </c>
      <c r="B1569" s="84">
        <v>45764</v>
      </c>
      <c r="C1569" s="23" t="s">
        <v>1027</v>
      </c>
      <c r="D1569" s="23" t="s">
        <v>164</v>
      </c>
      <c r="G1569" s="23">
        <v>0</v>
      </c>
      <c r="I1569" s="217" t="s">
        <v>2678</v>
      </c>
    </row>
    <row r="1570" spans="1:9" hidden="1">
      <c r="A1570" s="23">
        <v>1570</v>
      </c>
      <c r="B1570" s="84">
        <v>45764</v>
      </c>
      <c r="C1570" s="23" t="s">
        <v>1027</v>
      </c>
      <c r="D1570" s="23" t="s">
        <v>391</v>
      </c>
      <c r="G1570" s="23">
        <v>0</v>
      </c>
      <c r="I1570" s="217" t="s">
        <v>2677</v>
      </c>
    </row>
    <row r="1571" spans="1:9" hidden="1">
      <c r="A1571" s="23">
        <v>1571</v>
      </c>
      <c r="B1571" s="84">
        <v>45764</v>
      </c>
      <c r="C1571" s="23" t="s">
        <v>578</v>
      </c>
      <c r="D1571" s="23" t="s">
        <v>183</v>
      </c>
      <c r="G1571" s="23">
        <v>0</v>
      </c>
      <c r="I1571" s="217" t="s">
        <v>2680</v>
      </c>
    </row>
    <row r="1572" spans="1:9" hidden="1">
      <c r="A1572" s="23">
        <v>1572</v>
      </c>
      <c r="B1572" s="84">
        <v>45764</v>
      </c>
      <c r="C1572" s="23" t="s">
        <v>579</v>
      </c>
      <c r="D1572" s="23" t="s">
        <v>186</v>
      </c>
      <c r="G1572" s="23">
        <v>0</v>
      </c>
      <c r="I1572" s="217" t="s">
        <v>2681</v>
      </c>
    </row>
    <row r="1573" spans="1:9" hidden="1">
      <c r="A1573" s="23">
        <v>1573</v>
      </c>
      <c r="B1573" s="84">
        <v>45765</v>
      </c>
      <c r="C1573" s="23" t="s">
        <v>223</v>
      </c>
      <c r="D1573" s="23" t="s">
        <v>220</v>
      </c>
      <c r="G1573" s="23">
        <v>0.56000000000000005</v>
      </c>
      <c r="I1573" s="217" t="s">
        <v>2682</v>
      </c>
    </row>
    <row r="1574" spans="1:9" hidden="1">
      <c r="A1574" s="23">
        <v>1574</v>
      </c>
      <c r="B1574" s="84">
        <v>45765</v>
      </c>
      <c r="C1574" s="23" t="s">
        <v>216</v>
      </c>
      <c r="D1574" s="23" t="s">
        <v>214</v>
      </c>
      <c r="G1574" s="23">
        <v>0</v>
      </c>
      <c r="I1574" s="217" t="s">
        <v>2683</v>
      </c>
    </row>
    <row r="1575" spans="1:9" hidden="1">
      <c r="A1575" s="23">
        <v>1575</v>
      </c>
      <c r="B1575" s="84">
        <v>45765</v>
      </c>
      <c r="C1575" s="23" t="s">
        <v>1012</v>
      </c>
      <c r="D1575" s="23" t="s">
        <v>242</v>
      </c>
      <c r="G1575" s="23">
        <v>0</v>
      </c>
      <c r="I1575" s="217" t="s">
        <v>2684</v>
      </c>
    </row>
    <row r="1576" spans="1:9" hidden="1">
      <c r="A1576" s="23">
        <v>1576</v>
      </c>
      <c r="B1576" s="84">
        <v>45765</v>
      </c>
      <c r="C1576" s="23" t="s">
        <v>459</v>
      </c>
      <c r="D1576" s="23" t="s">
        <v>232</v>
      </c>
      <c r="G1576" s="23">
        <v>0.7</v>
      </c>
      <c r="I1576" s="217" t="s">
        <v>2685</v>
      </c>
    </row>
    <row r="1577" spans="1:9" hidden="1">
      <c r="A1577" s="23">
        <v>1577</v>
      </c>
      <c r="B1577" s="84">
        <v>45765</v>
      </c>
      <c r="C1577" s="23" t="s">
        <v>459</v>
      </c>
      <c r="D1577" s="23" t="s">
        <v>234</v>
      </c>
      <c r="G1577" s="23">
        <v>0.7</v>
      </c>
      <c r="I1577" s="217" t="s">
        <v>2686</v>
      </c>
    </row>
    <row r="1578" spans="1:9" hidden="1">
      <c r="A1578" s="23">
        <v>1578</v>
      </c>
      <c r="B1578" s="84">
        <v>45765</v>
      </c>
      <c r="C1578" s="23" t="s">
        <v>459</v>
      </c>
      <c r="D1578" s="23" t="s">
        <v>164</v>
      </c>
      <c r="G1578" s="23">
        <v>0.7</v>
      </c>
      <c r="I1578" s="217" t="s">
        <v>2687</v>
      </c>
    </row>
    <row r="1579" spans="1:9" hidden="1">
      <c r="A1579" s="23">
        <v>1579</v>
      </c>
      <c r="B1579" s="84">
        <v>45765</v>
      </c>
      <c r="C1579" s="23" t="s">
        <v>459</v>
      </c>
      <c r="D1579" s="23" t="s">
        <v>236</v>
      </c>
      <c r="G1579" s="23">
        <v>0.7</v>
      </c>
      <c r="I1579" s="217" t="s">
        <v>2688</v>
      </c>
    </row>
    <row r="1580" spans="1:9">
      <c r="A1580" s="23">
        <v>1580</v>
      </c>
      <c r="B1580" s="84">
        <v>45765</v>
      </c>
      <c r="C1580" s="23" t="s">
        <v>1018</v>
      </c>
      <c r="D1580" s="23" t="s">
        <v>174</v>
      </c>
      <c r="G1580" s="23">
        <v>0</v>
      </c>
      <c r="I1580" s="217" t="s">
        <v>2689</v>
      </c>
    </row>
    <row r="1581" spans="1:9" hidden="1">
      <c r="A1581" s="23">
        <v>1581</v>
      </c>
      <c r="B1581" s="84">
        <v>45765</v>
      </c>
      <c r="C1581" s="23" t="s">
        <v>1029</v>
      </c>
      <c r="D1581" s="23" t="s">
        <v>232</v>
      </c>
      <c r="G1581" s="23">
        <v>0</v>
      </c>
      <c r="I1581" s="217" t="s">
        <v>2690</v>
      </c>
    </row>
    <row r="1582" spans="1:9" hidden="1">
      <c r="A1582" s="23">
        <v>1582</v>
      </c>
      <c r="B1582" s="84">
        <v>45765</v>
      </c>
      <c r="C1582" s="23" t="s">
        <v>1030</v>
      </c>
      <c r="D1582" s="23" t="s">
        <v>234</v>
      </c>
      <c r="G1582" s="23">
        <v>0</v>
      </c>
      <c r="I1582" s="217" t="s">
        <v>2691</v>
      </c>
    </row>
    <row r="1583" spans="1:9" hidden="1">
      <c r="A1583" s="23">
        <v>1583</v>
      </c>
      <c r="B1583" s="84">
        <v>45765</v>
      </c>
      <c r="C1583" s="23" t="s">
        <v>1032</v>
      </c>
      <c r="D1583" s="23" t="s">
        <v>236</v>
      </c>
      <c r="G1583" s="23">
        <v>0</v>
      </c>
      <c r="I1583" s="217" t="s">
        <v>2692</v>
      </c>
    </row>
    <row r="1584" spans="1:9" hidden="1">
      <c r="A1584" s="23">
        <v>1584</v>
      </c>
      <c r="B1584" s="84">
        <v>45765</v>
      </c>
      <c r="C1584" s="23" t="s">
        <v>218</v>
      </c>
      <c r="D1584" s="23" t="s">
        <v>214</v>
      </c>
      <c r="G1584" s="23">
        <v>0.44500000000000001</v>
      </c>
      <c r="I1584" s="217" t="s">
        <v>2693</v>
      </c>
    </row>
    <row r="1585" spans="1:9" hidden="1">
      <c r="A1585" s="23">
        <v>1585</v>
      </c>
      <c r="B1585" s="84">
        <v>45765</v>
      </c>
      <c r="C1585" s="23" t="s">
        <v>213</v>
      </c>
      <c r="D1585" s="23" t="s">
        <v>211</v>
      </c>
      <c r="G1585" s="23">
        <v>0</v>
      </c>
      <c r="I1585" s="217" t="s">
        <v>2694</v>
      </c>
    </row>
    <row r="1586" spans="1:9" hidden="1">
      <c r="A1586" s="23">
        <v>1586</v>
      </c>
      <c r="B1586" s="84">
        <v>45765</v>
      </c>
      <c r="C1586" s="23" t="s">
        <v>1031</v>
      </c>
      <c r="D1586" s="23" t="s">
        <v>164</v>
      </c>
      <c r="G1586" s="23">
        <v>0</v>
      </c>
      <c r="I1586" s="217" t="s">
        <v>2695</v>
      </c>
    </row>
    <row r="1587" spans="1:9" hidden="1">
      <c r="A1587" s="23">
        <v>1587</v>
      </c>
      <c r="B1587" s="84">
        <v>45765</v>
      </c>
      <c r="C1587" s="23" t="s">
        <v>360</v>
      </c>
      <c r="D1587" s="23" t="s">
        <v>232</v>
      </c>
      <c r="G1587" s="23">
        <v>0.7</v>
      </c>
      <c r="I1587" s="217" t="s">
        <v>2696</v>
      </c>
    </row>
    <row r="1588" spans="1:9" hidden="1">
      <c r="A1588" s="23">
        <v>1588</v>
      </c>
      <c r="B1588" s="84">
        <v>45765</v>
      </c>
      <c r="C1588" s="23" t="s">
        <v>316</v>
      </c>
      <c r="D1588" s="23" t="s">
        <v>234</v>
      </c>
      <c r="G1588" s="23">
        <v>0.8</v>
      </c>
      <c r="I1588" s="217" t="s">
        <v>2697</v>
      </c>
    </row>
    <row r="1589" spans="1:9" hidden="1">
      <c r="A1589" s="23">
        <v>1589</v>
      </c>
      <c r="B1589" s="84">
        <v>45765</v>
      </c>
      <c r="C1589" s="23" t="s">
        <v>364</v>
      </c>
      <c r="D1589" s="23" t="s">
        <v>236</v>
      </c>
      <c r="G1589" s="23">
        <v>0.8</v>
      </c>
      <c r="I1589" s="217" t="s">
        <v>2698</v>
      </c>
    </row>
    <row r="1590" spans="1:9" hidden="1">
      <c r="A1590" s="23">
        <v>1590</v>
      </c>
      <c r="B1590" s="84">
        <v>45765</v>
      </c>
      <c r="C1590" s="23" t="s">
        <v>259</v>
      </c>
      <c r="D1590" s="23" t="s">
        <v>242</v>
      </c>
      <c r="G1590" s="23">
        <v>3.8</v>
      </c>
      <c r="I1590" s="217" t="s">
        <v>2699</v>
      </c>
    </row>
    <row r="1591" spans="1:9" hidden="1">
      <c r="A1591" s="23">
        <v>1591</v>
      </c>
      <c r="B1591" s="84">
        <v>45765</v>
      </c>
      <c r="C1591" s="23" t="s">
        <v>549</v>
      </c>
      <c r="D1591" s="23" t="s">
        <v>232</v>
      </c>
      <c r="G1591" s="23">
        <v>0</v>
      </c>
      <c r="I1591" s="217" t="s">
        <v>2700</v>
      </c>
    </row>
    <row r="1592" spans="1:9" hidden="1">
      <c r="A1592" s="23">
        <v>1592</v>
      </c>
      <c r="B1592" s="84">
        <v>45765</v>
      </c>
      <c r="C1592" s="23" t="s">
        <v>476</v>
      </c>
      <c r="D1592" s="23" t="s">
        <v>234</v>
      </c>
      <c r="G1592" s="23">
        <v>0</v>
      </c>
      <c r="I1592" s="217" t="s">
        <v>2697</v>
      </c>
    </row>
    <row r="1593" spans="1:9" hidden="1">
      <c r="A1593" s="23">
        <v>1593</v>
      </c>
      <c r="B1593" s="84">
        <v>45765</v>
      </c>
      <c r="C1593" s="23" t="s">
        <v>470</v>
      </c>
      <c r="D1593" s="23" t="s">
        <v>236</v>
      </c>
      <c r="G1593" s="23">
        <v>0</v>
      </c>
      <c r="I1593" s="217" t="s">
        <v>2698</v>
      </c>
    </row>
    <row r="1594" spans="1:9" hidden="1">
      <c r="A1594" s="23">
        <v>1594</v>
      </c>
      <c r="B1594" s="84">
        <v>45765</v>
      </c>
      <c r="C1594" s="23" t="s">
        <v>561</v>
      </c>
      <c r="D1594" s="23" t="s">
        <v>225</v>
      </c>
      <c r="G1594" s="23">
        <v>0.75</v>
      </c>
      <c r="I1594" s="217" t="s">
        <v>2701</v>
      </c>
    </row>
    <row r="1595" spans="1:9" hidden="1">
      <c r="A1595" s="23">
        <v>1595</v>
      </c>
      <c r="B1595" s="84">
        <v>45765</v>
      </c>
      <c r="C1595" s="23" t="s">
        <v>1026</v>
      </c>
      <c r="D1595" s="23" t="s">
        <v>217</v>
      </c>
      <c r="G1595" s="23">
        <v>0</v>
      </c>
      <c r="I1595" s="217" t="s">
        <v>2702</v>
      </c>
    </row>
    <row r="1596" spans="1:9" hidden="1">
      <c r="A1596" s="23">
        <v>1596</v>
      </c>
      <c r="B1596" s="84">
        <v>45765</v>
      </c>
      <c r="C1596" s="23" t="s">
        <v>896</v>
      </c>
      <c r="D1596" s="23" t="s">
        <v>391</v>
      </c>
      <c r="G1596" s="23">
        <v>0.8</v>
      </c>
      <c r="I1596" s="217" t="s">
        <v>2703</v>
      </c>
    </row>
    <row r="1597" spans="1:9" hidden="1">
      <c r="A1597" s="23">
        <v>1597</v>
      </c>
      <c r="B1597" s="84">
        <v>45765</v>
      </c>
      <c r="C1597" s="23" t="s">
        <v>1035</v>
      </c>
      <c r="D1597" s="23" t="s">
        <v>164</v>
      </c>
      <c r="G1597" s="23">
        <v>0.7</v>
      </c>
      <c r="I1597" s="217" t="s">
        <v>2704</v>
      </c>
    </row>
    <row r="1598" spans="1:9" hidden="1">
      <c r="A1598" s="23">
        <v>1598</v>
      </c>
      <c r="B1598" s="84">
        <v>45765</v>
      </c>
      <c r="C1598" s="23" t="s">
        <v>1036</v>
      </c>
      <c r="D1598" s="23" t="s">
        <v>232</v>
      </c>
      <c r="G1598" s="23">
        <v>0.7</v>
      </c>
      <c r="I1598" s="217" t="s">
        <v>2705</v>
      </c>
    </row>
    <row r="1599" spans="1:9" hidden="1">
      <c r="A1599" s="23">
        <v>1599</v>
      </c>
      <c r="B1599" s="84">
        <v>45765</v>
      </c>
      <c r="C1599" s="23" t="s">
        <v>273</v>
      </c>
      <c r="D1599" s="23" t="s">
        <v>183</v>
      </c>
      <c r="G1599" s="23">
        <v>1</v>
      </c>
      <c r="I1599" s="217" t="s">
        <v>2706</v>
      </c>
    </row>
    <row r="1600" spans="1:9" hidden="1">
      <c r="A1600" s="23">
        <v>1600</v>
      </c>
      <c r="B1600" s="84">
        <v>45765</v>
      </c>
      <c r="C1600" s="23" t="s">
        <v>1034</v>
      </c>
      <c r="D1600" s="23" t="s">
        <v>391</v>
      </c>
      <c r="G1600" s="23">
        <v>0</v>
      </c>
      <c r="I1600" s="217" t="s">
        <v>2707</v>
      </c>
    </row>
    <row r="1601" spans="1:9" hidden="1">
      <c r="A1601" s="23">
        <v>1601</v>
      </c>
      <c r="B1601" s="84">
        <v>45765</v>
      </c>
      <c r="C1601" s="23" t="s">
        <v>484</v>
      </c>
      <c r="D1601" s="23" t="s">
        <v>164</v>
      </c>
      <c r="G1601" s="23">
        <v>0</v>
      </c>
      <c r="I1601" s="217" t="s">
        <v>2708</v>
      </c>
    </row>
    <row r="1602" spans="1:9" hidden="1">
      <c r="A1602" s="23">
        <v>1602</v>
      </c>
      <c r="B1602" s="84">
        <v>45765</v>
      </c>
      <c r="C1602" s="23" t="s">
        <v>1037</v>
      </c>
      <c r="D1602" s="23" t="s">
        <v>232</v>
      </c>
      <c r="G1602" s="23">
        <v>0</v>
      </c>
      <c r="I1602" s="217" t="s">
        <v>2709</v>
      </c>
    </row>
    <row r="1603" spans="1:9" hidden="1">
      <c r="A1603" s="23">
        <v>1603</v>
      </c>
      <c r="B1603" s="84">
        <v>45765</v>
      </c>
      <c r="C1603" s="23" t="s">
        <v>330</v>
      </c>
      <c r="D1603" s="23" t="s">
        <v>234</v>
      </c>
      <c r="G1603" s="23">
        <v>0.7</v>
      </c>
      <c r="I1603" s="217" t="s">
        <v>2710</v>
      </c>
    </row>
    <row r="1604" spans="1:9" hidden="1">
      <c r="A1604" s="23">
        <v>1604</v>
      </c>
      <c r="B1604" s="84">
        <v>45765</v>
      </c>
      <c r="C1604" s="23" t="s">
        <v>868</v>
      </c>
      <c r="D1604" s="23" t="s">
        <v>236</v>
      </c>
      <c r="G1604" s="23">
        <v>0.7</v>
      </c>
      <c r="I1604" s="217" t="s">
        <v>2711</v>
      </c>
    </row>
    <row r="1605" spans="1:9" hidden="1">
      <c r="A1605" s="23">
        <v>1605</v>
      </c>
      <c r="B1605" s="84">
        <v>45765</v>
      </c>
      <c r="C1605" s="23" t="s">
        <v>274</v>
      </c>
      <c r="D1605" s="23" t="s">
        <v>211</v>
      </c>
      <c r="G1605" s="23">
        <v>0.59</v>
      </c>
      <c r="I1605" s="217" t="s">
        <v>2712</v>
      </c>
    </row>
    <row r="1606" spans="1:9" hidden="1">
      <c r="A1606" s="23">
        <v>1606</v>
      </c>
      <c r="B1606" s="84">
        <v>45765</v>
      </c>
      <c r="C1606" s="23" t="s">
        <v>224</v>
      </c>
      <c r="D1606" s="23" t="s">
        <v>220</v>
      </c>
      <c r="G1606" s="23">
        <v>0</v>
      </c>
      <c r="I1606" s="217" t="s">
        <v>2713</v>
      </c>
    </row>
    <row r="1607" spans="1:9" hidden="1">
      <c r="A1607" s="23">
        <v>1607</v>
      </c>
      <c r="B1607" s="84">
        <v>45765</v>
      </c>
      <c r="C1607" s="23" t="s">
        <v>1038</v>
      </c>
      <c r="D1607" s="23" t="s">
        <v>234</v>
      </c>
      <c r="G1607" s="23">
        <v>0</v>
      </c>
      <c r="I1607" s="217" t="s">
        <v>2710</v>
      </c>
    </row>
    <row r="1608" spans="1:9" hidden="1">
      <c r="A1608" s="23">
        <v>1608</v>
      </c>
      <c r="B1608" s="84">
        <v>45765</v>
      </c>
      <c r="C1608" s="23" t="s">
        <v>1022</v>
      </c>
      <c r="D1608" s="23" t="s">
        <v>391</v>
      </c>
      <c r="G1608" s="23">
        <v>0.7</v>
      </c>
      <c r="I1608" s="217" t="s">
        <v>2714</v>
      </c>
    </row>
    <row r="1609" spans="1:9" hidden="1">
      <c r="A1609" s="23">
        <v>1609</v>
      </c>
      <c r="B1609" s="84">
        <v>45765</v>
      </c>
      <c r="C1609" s="23" t="s">
        <v>1040</v>
      </c>
      <c r="D1609" s="23" t="s">
        <v>164</v>
      </c>
      <c r="G1609" s="23">
        <v>0.7</v>
      </c>
      <c r="I1609" s="217" t="s">
        <v>2715</v>
      </c>
    </row>
    <row r="1610" spans="1:9" hidden="1">
      <c r="A1610" s="23">
        <v>1610</v>
      </c>
      <c r="B1610" s="84">
        <v>45765</v>
      </c>
      <c r="C1610" s="23" t="s">
        <v>490</v>
      </c>
      <c r="D1610" s="23" t="s">
        <v>236</v>
      </c>
      <c r="G1610" s="23">
        <v>0</v>
      </c>
      <c r="I1610" s="217" t="s">
        <v>2716</v>
      </c>
    </row>
    <row r="1611" spans="1:9" hidden="1">
      <c r="A1611" s="23">
        <v>1611</v>
      </c>
      <c r="B1611" s="84">
        <v>45765</v>
      </c>
      <c r="C1611" s="23" t="s">
        <v>1039</v>
      </c>
      <c r="D1611" s="23" t="s">
        <v>391</v>
      </c>
      <c r="G1611" s="23">
        <v>0</v>
      </c>
      <c r="I1611" s="217" t="s">
        <v>2717</v>
      </c>
    </row>
    <row r="1612" spans="1:9" hidden="1">
      <c r="A1612" s="23">
        <v>1612</v>
      </c>
      <c r="B1612" s="84">
        <v>45765</v>
      </c>
      <c r="C1612" s="23" t="s">
        <v>389</v>
      </c>
      <c r="D1612" s="23" t="s">
        <v>164</v>
      </c>
      <c r="G1612" s="23">
        <v>0</v>
      </c>
      <c r="I1612" s="217" t="s">
        <v>2718</v>
      </c>
    </row>
    <row r="1613" spans="1:9" hidden="1">
      <c r="A1613" s="23">
        <v>1613</v>
      </c>
      <c r="B1613" s="84">
        <v>45765</v>
      </c>
      <c r="C1613" s="23" t="s">
        <v>799</v>
      </c>
      <c r="D1613" s="23" t="s">
        <v>232</v>
      </c>
      <c r="G1613" s="23">
        <v>0.7</v>
      </c>
      <c r="I1613" s="217" t="s">
        <v>2719</v>
      </c>
    </row>
    <row r="1614" spans="1:9" hidden="1">
      <c r="A1614" s="23">
        <v>1614</v>
      </c>
      <c r="B1614" s="84">
        <v>45765</v>
      </c>
      <c r="C1614" s="23" t="s">
        <v>799</v>
      </c>
      <c r="D1614" s="23" t="s">
        <v>234</v>
      </c>
      <c r="G1614" s="23">
        <v>0.7</v>
      </c>
      <c r="I1614" s="217" t="s">
        <v>2720</v>
      </c>
    </row>
    <row r="1615" spans="1:9" hidden="1">
      <c r="A1615" s="23">
        <v>1615</v>
      </c>
      <c r="B1615" s="84">
        <v>45765</v>
      </c>
      <c r="C1615" s="23" t="s">
        <v>516</v>
      </c>
      <c r="D1615" s="23" t="s">
        <v>236</v>
      </c>
      <c r="G1615" s="23">
        <v>0.7</v>
      </c>
      <c r="I1615" s="217" t="s">
        <v>1294</v>
      </c>
    </row>
    <row r="1616" spans="1:9" hidden="1">
      <c r="A1616" s="23">
        <v>1616</v>
      </c>
      <c r="B1616" s="84">
        <v>45765</v>
      </c>
      <c r="C1616" s="23" t="s">
        <v>1043</v>
      </c>
      <c r="D1616" s="23" t="s">
        <v>391</v>
      </c>
      <c r="G1616" s="23">
        <v>0.7</v>
      </c>
      <c r="I1616" s="217" t="s">
        <v>1294</v>
      </c>
    </row>
    <row r="1617" spans="1:9" hidden="1">
      <c r="A1617" s="23">
        <v>1617</v>
      </c>
      <c r="B1617" s="84">
        <v>45765</v>
      </c>
      <c r="C1617" s="23" t="s">
        <v>1044</v>
      </c>
      <c r="D1617" s="23" t="s">
        <v>164</v>
      </c>
      <c r="G1617" s="23">
        <v>0.7</v>
      </c>
      <c r="I1617" s="217" t="s">
        <v>1294</v>
      </c>
    </row>
    <row r="1618" spans="1:9" hidden="1">
      <c r="A1618" s="23">
        <v>1618</v>
      </c>
      <c r="B1618" s="84">
        <v>45765</v>
      </c>
      <c r="C1618" s="23" t="s">
        <v>1045</v>
      </c>
      <c r="D1618" s="23" t="s">
        <v>186</v>
      </c>
      <c r="G1618" s="23">
        <v>1</v>
      </c>
      <c r="I1618" s="217" t="s">
        <v>2721</v>
      </c>
    </row>
    <row r="1619" spans="1:9" hidden="1">
      <c r="A1619" s="23">
        <v>1619</v>
      </c>
      <c r="B1619" s="84">
        <v>45765</v>
      </c>
      <c r="C1619" s="23" t="s">
        <v>1033</v>
      </c>
      <c r="D1619" s="23" t="s">
        <v>242</v>
      </c>
      <c r="G1619" s="23">
        <v>0</v>
      </c>
      <c r="I1619" s="217" t="s">
        <v>2722</v>
      </c>
    </row>
    <row r="1620" spans="1:9" hidden="1">
      <c r="A1620" s="23">
        <v>1620</v>
      </c>
      <c r="B1620" s="84">
        <v>45765</v>
      </c>
      <c r="C1620" s="23" t="s">
        <v>1033</v>
      </c>
      <c r="D1620" s="23" t="s">
        <v>242</v>
      </c>
      <c r="G1620" s="23" t="s">
        <v>9</v>
      </c>
      <c r="H1620" s="23" t="s">
        <v>2723</v>
      </c>
      <c r="I1620" s="217" t="s">
        <v>1294</v>
      </c>
    </row>
    <row r="1621" spans="1:9" hidden="1">
      <c r="A1621" s="23">
        <v>1621</v>
      </c>
      <c r="B1621" s="84">
        <v>45765</v>
      </c>
      <c r="C1621" s="23" t="s">
        <v>163</v>
      </c>
      <c r="D1621" s="23" t="s">
        <v>232</v>
      </c>
      <c r="G1621" s="23">
        <v>0</v>
      </c>
      <c r="I1621" s="217" t="s">
        <v>2724</v>
      </c>
    </row>
    <row r="1622" spans="1:9" hidden="1">
      <c r="A1622" s="23">
        <v>1622</v>
      </c>
      <c r="B1622" s="84">
        <v>45765</v>
      </c>
      <c r="C1622" s="23" t="s">
        <v>1041</v>
      </c>
      <c r="D1622" s="23" t="s">
        <v>234</v>
      </c>
      <c r="G1622" s="23">
        <v>0</v>
      </c>
      <c r="I1622" s="217" t="s">
        <v>2725</v>
      </c>
    </row>
    <row r="1623" spans="1:9" hidden="1">
      <c r="A1623" s="23">
        <v>1623</v>
      </c>
      <c r="B1623" s="84">
        <v>45765</v>
      </c>
      <c r="C1623" s="23" t="s">
        <v>1042</v>
      </c>
      <c r="D1623" s="23" t="s">
        <v>236</v>
      </c>
      <c r="G1623" s="23">
        <v>0</v>
      </c>
      <c r="I1623" s="217" t="s">
        <v>2726</v>
      </c>
    </row>
    <row r="1624" spans="1:9" hidden="1">
      <c r="A1624" s="23">
        <v>1624</v>
      </c>
      <c r="B1624" s="84">
        <v>45765</v>
      </c>
      <c r="C1624" s="23" t="s">
        <v>471</v>
      </c>
      <c r="D1624" s="23" t="s">
        <v>391</v>
      </c>
      <c r="G1624" s="23">
        <v>0</v>
      </c>
      <c r="I1624" s="217" t="s">
        <v>2727</v>
      </c>
    </row>
    <row r="1625" spans="1:9" hidden="1">
      <c r="A1625" s="23">
        <v>1625</v>
      </c>
      <c r="B1625" s="84">
        <v>45765</v>
      </c>
      <c r="C1625" s="23" t="s">
        <v>338</v>
      </c>
      <c r="D1625" s="23" t="s">
        <v>232</v>
      </c>
      <c r="G1625" s="23">
        <v>0.8</v>
      </c>
      <c r="I1625" s="217" t="s">
        <v>2728</v>
      </c>
    </row>
    <row r="1626" spans="1:9" hidden="1">
      <c r="A1626" s="23">
        <v>1626</v>
      </c>
      <c r="B1626" s="84">
        <v>45765</v>
      </c>
      <c r="C1626" s="23" t="s">
        <v>212</v>
      </c>
      <c r="D1626" s="23" t="s">
        <v>234</v>
      </c>
      <c r="G1626" s="23">
        <v>0.8</v>
      </c>
      <c r="I1626" s="217" t="s">
        <v>2729</v>
      </c>
    </row>
    <row r="1627" spans="1:9" hidden="1">
      <c r="A1627" s="23">
        <v>1627</v>
      </c>
      <c r="B1627" s="84">
        <v>45765</v>
      </c>
      <c r="C1627" s="23" t="s">
        <v>1047</v>
      </c>
      <c r="D1627" s="23" t="s">
        <v>236</v>
      </c>
      <c r="G1627" s="23">
        <v>0.8</v>
      </c>
      <c r="I1627" s="217" t="s">
        <v>2730</v>
      </c>
    </row>
    <row r="1628" spans="1:9">
      <c r="A1628" s="23">
        <v>1628</v>
      </c>
      <c r="B1628" s="84">
        <v>45765</v>
      </c>
      <c r="C1628" s="23" t="s">
        <v>417</v>
      </c>
      <c r="D1628" s="23" t="s">
        <v>174</v>
      </c>
      <c r="G1628" s="23">
        <v>6.5</v>
      </c>
      <c r="I1628" s="217" t="s">
        <v>2731</v>
      </c>
    </row>
    <row r="1629" spans="1:9" hidden="1">
      <c r="A1629" s="23">
        <v>1629</v>
      </c>
      <c r="B1629" s="84">
        <v>45765</v>
      </c>
      <c r="C1629" s="23" t="s">
        <v>212</v>
      </c>
      <c r="D1629" s="23" t="s">
        <v>217</v>
      </c>
      <c r="G1629" s="23">
        <v>0.78</v>
      </c>
      <c r="I1629" s="217" t="s">
        <v>2732</v>
      </c>
    </row>
    <row r="1630" spans="1:9" hidden="1">
      <c r="A1630" s="23">
        <v>1630</v>
      </c>
      <c r="B1630" s="84">
        <v>45765</v>
      </c>
      <c r="C1630" s="23" t="s">
        <v>222</v>
      </c>
      <c r="D1630" s="23" t="s">
        <v>225</v>
      </c>
      <c r="G1630" s="23">
        <v>0</v>
      </c>
      <c r="I1630" s="217" t="s">
        <v>2733</v>
      </c>
    </row>
    <row r="1631" spans="1:9" hidden="1">
      <c r="A1631" s="23">
        <v>1631</v>
      </c>
      <c r="B1631" s="84">
        <v>45765</v>
      </c>
      <c r="C1631" s="23" t="s">
        <v>212</v>
      </c>
      <c r="D1631" s="23" t="s">
        <v>220</v>
      </c>
      <c r="G1631" s="23">
        <v>0.6</v>
      </c>
      <c r="I1631" s="217" t="s">
        <v>2734</v>
      </c>
    </row>
    <row r="1632" spans="1:9" hidden="1">
      <c r="A1632" s="23">
        <v>1632</v>
      </c>
      <c r="B1632" s="84">
        <v>45765</v>
      </c>
      <c r="C1632" s="23" t="s">
        <v>222</v>
      </c>
      <c r="D1632" s="23" t="s">
        <v>214</v>
      </c>
      <c r="G1632" s="23">
        <v>0</v>
      </c>
      <c r="I1632" s="217" t="s">
        <v>2735</v>
      </c>
    </row>
    <row r="1633" spans="1:9" hidden="1">
      <c r="A1633" s="23">
        <v>1633</v>
      </c>
      <c r="B1633" s="84">
        <v>45765</v>
      </c>
      <c r="C1633" s="23" t="s">
        <v>528</v>
      </c>
      <c r="D1633" s="23" t="s">
        <v>391</v>
      </c>
      <c r="G1633" s="23">
        <v>0.8</v>
      </c>
      <c r="I1633" s="217" t="s">
        <v>2736</v>
      </c>
    </row>
    <row r="1634" spans="1:9" hidden="1">
      <c r="A1634" s="23">
        <v>1634</v>
      </c>
      <c r="B1634" s="84">
        <v>45765</v>
      </c>
      <c r="C1634" s="23" t="s">
        <v>886</v>
      </c>
      <c r="D1634" s="23" t="s">
        <v>164</v>
      </c>
      <c r="G1634" s="23">
        <v>0</v>
      </c>
      <c r="I1634" s="217" t="s">
        <v>2737</v>
      </c>
    </row>
    <row r="1635" spans="1:9" hidden="1">
      <c r="A1635" s="23">
        <v>1635</v>
      </c>
      <c r="B1635" s="84">
        <v>45765</v>
      </c>
      <c r="C1635" s="23" t="s">
        <v>886</v>
      </c>
      <c r="D1635" s="23" t="s">
        <v>164</v>
      </c>
      <c r="G1635" s="23" t="s">
        <v>9</v>
      </c>
      <c r="H1635" s="23" t="s">
        <v>1050</v>
      </c>
      <c r="I1635" s="217" t="s">
        <v>1294</v>
      </c>
    </row>
    <row r="1636" spans="1:9" hidden="1">
      <c r="A1636" s="23">
        <v>1636</v>
      </c>
      <c r="B1636" s="84">
        <v>45765</v>
      </c>
      <c r="C1636" s="23" t="s">
        <v>420</v>
      </c>
      <c r="D1636" s="23" t="s">
        <v>232</v>
      </c>
      <c r="G1636" s="23">
        <v>0</v>
      </c>
      <c r="I1636" s="217" t="s">
        <v>2738</v>
      </c>
    </row>
    <row r="1637" spans="1:9" hidden="1">
      <c r="A1637" s="23">
        <v>1637</v>
      </c>
      <c r="B1637" s="84">
        <v>45765</v>
      </c>
      <c r="C1637" s="23" t="s">
        <v>420</v>
      </c>
      <c r="D1637" s="23" t="s">
        <v>391</v>
      </c>
      <c r="G1637" s="23">
        <v>0</v>
      </c>
      <c r="I1637" s="217" t="s">
        <v>2736</v>
      </c>
    </row>
    <row r="1638" spans="1:9" hidden="1">
      <c r="A1638" s="23">
        <v>1638</v>
      </c>
      <c r="B1638" s="84">
        <v>45765</v>
      </c>
      <c r="C1638" s="23" t="s">
        <v>406</v>
      </c>
      <c r="D1638" s="23" t="s">
        <v>234</v>
      </c>
      <c r="G1638" s="23">
        <v>0</v>
      </c>
      <c r="I1638" s="217" t="s">
        <v>2729</v>
      </c>
    </row>
    <row r="1639" spans="1:9" hidden="1">
      <c r="A1639" s="23">
        <v>1639</v>
      </c>
      <c r="B1639" s="84">
        <v>45765</v>
      </c>
      <c r="C1639" s="23" t="s">
        <v>637</v>
      </c>
      <c r="D1639" s="23" t="s">
        <v>391</v>
      </c>
      <c r="G1639" s="23">
        <v>0.8</v>
      </c>
      <c r="I1639" s="217" t="s">
        <v>1294</v>
      </c>
    </row>
    <row r="1640" spans="1:9" hidden="1">
      <c r="A1640" s="23">
        <v>1640</v>
      </c>
      <c r="B1640" s="84">
        <v>45765</v>
      </c>
      <c r="C1640" s="23" t="s">
        <v>757</v>
      </c>
      <c r="D1640" s="23" t="s">
        <v>234</v>
      </c>
      <c r="G1640" s="23">
        <v>0.7</v>
      </c>
      <c r="I1640" s="217" t="s">
        <v>2739</v>
      </c>
    </row>
    <row r="1641" spans="1:9" hidden="1">
      <c r="A1641" s="23">
        <v>1641</v>
      </c>
      <c r="B1641" s="84">
        <v>45765</v>
      </c>
      <c r="C1641" s="23" t="s">
        <v>843</v>
      </c>
      <c r="D1641" s="23" t="s">
        <v>391</v>
      </c>
      <c r="G1641" s="23">
        <v>0</v>
      </c>
      <c r="I1641" s="217" t="s">
        <v>2740</v>
      </c>
    </row>
    <row r="1642" spans="1:9" hidden="1">
      <c r="A1642" s="23">
        <v>1642</v>
      </c>
      <c r="B1642" s="84">
        <v>45765</v>
      </c>
      <c r="C1642" s="23" t="s">
        <v>1052</v>
      </c>
      <c r="D1642" s="23" t="s">
        <v>391</v>
      </c>
      <c r="G1642" s="23">
        <v>0.7</v>
      </c>
      <c r="I1642" s="217" t="s">
        <v>1294</v>
      </c>
    </row>
    <row r="1643" spans="1:9" hidden="1">
      <c r="A1643" s="23">
        <v>1643</v>
      </c>
      <c r="B1643" s="84">
        <v>45765</v>
      </c>
      <c r="C1643" s="23" t="s">
        <v>1051</v>
      </c>
      <c r="D1643" s="23" t="s">
        <v>234</v>
      </c>
      <c r="G1643" s="23">
        <v>0</v>
      </c>
      <c r="I1643" s="217" t="s">
        <v>2741</v>
      </c>
    </row>
    <row r="1644" spans="1:9" hidden="1">
      <c r="A1644" s="23">
        <v>1644</v>
      </c>
      <c r="B1644" s="84">
        <v>45765</v>
      </c>
      <c r="C1644" s="23" t="s">
        <v>1048</v>
      </c>
      <c r="D1644" s="23" t="s">
        <v>236</v>
      </c>
      <c r="G1644" s="23">
        <v>0</v>
      </c>
      <c r="I1644" s="217" t="s">
        <v>2742</v>
      </c>
    </row>
    <row r="1645" spans="1:9" hidden="1">
      <c r="A1645" s="23">
        <v>1645</v>
      </c>
      <c r="B1645" s="84">
        <v>45765</v>
      </c>
      <c r="C1645" s="23" t="s">
        <v>1053</v>
      </c>
      <c r="D1645" s="23" t="s">
        <v>391</v>
      </c>
      <c r="G1645" s="23">
        <v>0</v>
      </c>
      <c r="I1645" s="217" t="s">
        <v>2743</v>
      </c>
    </row>
    <row r="1646" spans="1:9" hidden="1">
      <c r="A1646" s="23">
        <v>1646</v>
      </c>
      <c r="B1646" s="84">
        <v>45765</v>
      </c>
      <c r="C1646" s="23" t="s">
        <v>1046</v>
      </c>
      <c r="D1646" s="23" t="s">
        <v>186</v>
      </c>
      <c r="G1646" s="23">
        <v>0</v>
      </c>
      <c r="I1646" s="217" t="s">
        <v>2744</v>
      </c>
    </row>
    <row r="1647" spans="1:9" hidden="1">
      <c r="A1647" s="23">
        <v>1647</v>
      </c>
      <c r="B1647" s="84">
        <v>45766</v>
      </c>
      <c r="C1647" s="23" t="s">
        <v>223</v>
      </c>
      <c r="D1647" s="23" t="s">
        <v>214</v>
      </c>
      <c r="G1647" s="23">
        <v>0.55000000000000004</v>
      </c>
      <c r="I1647" s="217" t="s">
        <v>2745</v>
      </c>
    </row>
    <row r="1648" spans="1:9" hidden="1">
      <c r="A1648" s="23">
        <v>1648</v>
      </c>
      <c r="B1648" s="84">
        <v>45766</v>
      </c>
      <c r="C1648" s="23" t="s">
        <v>216</v>
      </c>
      <c r="D1648" s="23" t="s">
        <v>211</v>
      </c>
      <c r="G1648" s="23">
        <v>0</v>
      </c>
      <c r="I1648" s="217" t="s">
        <v>2746</v>
      </c>
    </row>
    <row r="1649" spans="1:9" hidden="1">
      <c r="A1649" s="23">
        <v>1649</v>
      </c>
      <c r="B1649" s="84">
        <v>45766</v>
      </c>
      <c r="C1649" s="23" t="s">
        <v>588</v>
      </c>
      <c r="D1649" s="23" t="s">
        <v>183</v>
      </c>
      <c r="G1649" s="23">
        <v>0</v>
      </c>
      <c r="I1649" s="217" t="s">
        <v>2747</v>
      </c>
    </row>
    <row r="1650" spans="1:9" hidden="1">
      <c r="A1650" s="23">
        <v>1650</v>
      </c>
      <c r="B1650" s="84">
        <v>45766</v>
      </c>
      <c r="C1650" s="23" t="s">
        <v>797</v>
      </c>
      <c r="D1650" s="23" t="s">
        <v>232</v>
      </c>
      <c r="G1650" s="23">
        <v>0.7</v>
      </c>
      <c r="I1650" s="217" t="s">
        <v>2748</v>
      </c>
    </row>
    <row r="1651" spans="1:9" hidden="1">
      <c r="A1651" s="23">
        <v>1651</v>
      </c>
      <c r="B1651" s="84">
        <v>45766</v>
      </c>
      <c r="C1651" s="23" t="s">
        <v>797</v>
      </c>
      <c r="D1651" s="23" t="s">
        <v>234</v>
      </c>
      <c r="G1651" s="23">
        <v>0.7</v>
      </c>
      <c r="I1651" s="217" t="s">
        <v>2749</v>
      </c>
    </row>
    <row r="1652" spans="1:9" hidden="1">
      <c r="A1652" s="23">
        <v>1652</v>
      </c>
      <c r="B1652" s="84">
        <v>45766</v>
      </c>
      <c r="C1652" s="23" t="s">
        <v>797</v>
      </c>
      <c r="D1652" s="23" t="s">
        <v>236</v>
      </c>
      <c r="G1652" s="23">
        <v>0.7</v>
      </c>
      <c r="I1652" s="217" t="s">
        <v>2750</v>
      </c>
    </row>
    <row r="1653" spans="1:9">
      <c r="A1653" s="23">
        <v>1653</v>
      </c>
      <c r="B1653" s="84">
        <v>45766</v>
      </c>
      <c r="C1653" s="23" t="s">
        <v>982</v>
      </c>
      <c r="D1653" s="23" t="s">
        <v>248</v>
      </c>
      <c r="G1653" s="23">
        <v>0</v>
      </c>
      <c r="I1653" s="217" t="s">
        <v>2751</v>
      </c>
    </row>
    <row r="1654" spans="1:9">
      <c r="A1654" s="23">
        <v>1654</v>
      </c>
      <c r="B1654" s="84">
        <v>45766</v>
      </c>
      <c r="C1654" s="23" t="s">
        <v>1055</v>
      </c>
      <c r="D1654" s="23" t="s">
        <v>248</v>
      </c>
      <c r="G1654" s="23">
        <v>1.5</v>
      </c>
      <c r="I1654" s="217" t="s">
        <v>2752</v>
      </c>
    </row>
    <row r="1655" spans="1:9" hidden="1">
      <c r="A1655" s="23">
        <v>1655</v>
      </c>
      <c r="B1655" s="84">
        <v>45766</v>
      </c>
      <c r="C1655" s="23" t="s">
        <v>1054</v>
      </c>
      <c r="D1655" s="23" t="s">
        <v>232</v>
      </c>
      <c r="G1655" s="23">
        <v>0</v>
      </c>
      <c r="I1655" s="217" t="s">
        <v>2753</v>
      </c>
    </row>
    <row r="1656" spans="1:9">
      <c r="A1656" s="23">
        <v>1656</v>
      </c>
      <c r="B1656" s="84">
        <v>45766</v>
      </c>
      <c r="C1656" s="23" t="s">
        <v>1049</v>
      </c>
      <c r="D1656" s="23" t="s">
        <v>174</v>
      </c>
      <c r="G1656" s="23">
        <v>0</v>
      </c>
      <c r="I1656" s="217" t="s">
        <v>2754</v>
      </c>
    </row>
    <row r="1657" spans="1:9" hidden="1">
      <c r="A1657" s="23">
        <v>1657</v>
      </c>
      <c r="B1657" s="84">
        <v>45766</v>
      </c>
      <c r="C1657" s="23" t="s">
        <v>1057</v>
      </c>
      <c r="D1657" s="23" t="s">
        <v>391</v>
      </c>
      <c r="G1657" s="23">
        <v>0.73</v>
      </c>
      <c r="I1657" s="217" t="s">
        <v>2755</v>
      </c>
    </row>
    <row r="1658" spans="1:9" hidden="1">
      <c r="A1658" s="23">
        <v>1658</v>
      </c>
      <c r="B1658" s="84">
        <v>45766</v>
      </c>
      <c r="C1658" s="23" t="s">
        <v>955</v>
      </c>
      <c r="D1658" s="23" t="s">
        <v>242</v>
      </c>
      <c r="G1658" s="23">
        <v>3</v>
      </c>
      <c r="I1658" s="217" t="s">
        <v>2756</v>
      </c>
    </row>
    <row r="1659" spans="1:9" hidden="1">
      <c r="A1659" s="23">
        <v>1659</v>
      </c>
      <c r="B1659" s="84">
        <v>45766</v>
      </c>
      <c r="C1659" s="23" t="s">
        <v>240</v>
      </c>
      <c r="D1659" s="23" t="s">
        <v>234</v>
      </c>
      <c r="G1659" s="23">
        <v>0</v>
      </c>
      <c r="I1659" s="217" t="s">
        <v>2757</v>
      </c>
    </row>
    <row r="1660" spans="1:9" hidden="1">
      <c r="A1660" s="23">
        <v>1660</v>
      </c>
      <c r="B1660" s="84">
        <v>45766</v>
      </c>
      <c r="C1660" s="23" t="s">
        <v>441</v>
      </c>
      <c r="D1660" s="23" t="s">
        <v>236</v>
      </c>
      <c r="G1660" s="23">
        <v>0</v>
      </c>
      <c r="I1660" s="217" t="s">
        <v>2758</v>
      </c>
    </row>
    <row r="1661" spans="1:9" hidden="1">
      <c r="A1661" s="23">
        <v>1661</v>
      </c>
      <c r="B1661" s="84">
        <v>45766</v>
      </c>
      <c r="C1661" s="23" t="s">
        <v>314</v>
      </c>
      <c r="D1661" s="23" t="s">
        <v>391</v>
      </c>
      <c r="G1661" s="23">
        <v>0</v>
      </c>
      <c r="I1661" s="217" t="s">
        <v>2759</v>
      </c>
    </row>
    <row r="1662" spans="1:9" hidden="1">
      <c r="A1662" s="23">
        <v>1662</v>
      </c>
      <c r="B1662" s="84">
        <v>45766</v>
      </c>
      <c r="C1662" s="23" t="s">
        <v>218</v>
      </c>
      <c r="D1662" s="23" t="s">
        <v>225</v>
      </c>
      <c r="G1662" s="23">
        <v>0.7</v>
      </c>
      <c r="I1662" s="217" t="s">
        <v>2760</v>
      </c>
    </row>
    <row r="1663" spans="1:9" hidden="1">
      <c r="A1663" s="23">
        <v>1663</v>
      </c>
      <c r="B1663" s="84">
        <v>45766</v>
      </c>
      <c r="C1663" s="23" t="s">
        <v>213</v>
      </c>
      <c r="D1663" s="23" t="s">
        <v>217</v>
      </c>
      <c r="G1663" s="23">
        <v>0</v>
      </c>
      <c r="I1663" s="217" t="s">
        <v>2761</v>
      </c>
    </row>
    <row r="1664" spans="1:9" hidden="1">
      <c r="A1664" s="23">
        <v>1664</v>
      </c>
      <c r="B1664" s="84">
        <v>45766</v>
      </c>
      <c r="C1664" s="23" t="s">
        <v>755</v>
      </c>
      <c r="D1664" s="23" t="s">
        <v>211</v>
      </c>
      <c r="G1664" s="23">
        <v>0.41</v>
      </c>
      <c r="I1664" s="217" t="s">
        <v>2762</v>
      </c>
    </row>
    <row r="1665" spans="1:9" hidden="1">
      <c r="A1665" s="23">
        <v>1665</v>
      </c>
      <c r="B1665" s="84">
        <v>45766</v>
      </c>
      <c r="C1665" s="23" t="s">
        <v>358</v>
      </c>
      <c r="D1665" s="23" t="s">
        <v>220</v>
      </c>
      <c r="G1665" s="23">
        <v>0</v>
      </c>
      <c r="I1665" s="217" t="s">
        <v>2763</v>
      </c>
    </row>
    <row r="1666" spans="1:9" hidden="1">
      <c r="A1666" s="23">
        <v>1666</v>
      </c>
      <c r="B1666" s="84">
        <v>45766</v>
      </c>
      <c r="C1666" s="23" t="s">
        <v>821</v>
      </c>
      <c r="D1666" s="23" t="s">
        <v>164</v>
      </c>
      <c r="G1666" s="23">
        <v>0.7</v>
      </c>
      <c r="I1666" s="217" t="s">
        <v>2764</v>
      </c>
    </row>
    <row r="1667" spans="1:9" hidden="1">
      <c r="A1667" s="23">
        <v>1667</v>
      </c>
      <c r="B1667" s="84">
        <v>45766</v>
      </c>
      <c r="C1667" s="23" t="s">
        <v>684</v>
      </c>
      <c r="D1667" s="23" t="s">
        <v>232</v>
      </c>
      <c r="G1667" s="23">
        <v>0.7</v>
      </c>
      <c r="I1667" s="217" t="s">
        <v>2765</v>
      </c>
    </row>
    <row r="1668" spans="1:9" hidden="1">
      <c r="A1668" s="23">
        <v>1668</v>
      </c>
      <c r="B1668" s="84">
        <v>45766</v>
      </c>
      <c r="C1668" s="23" t="s">
        <v>654</v>
      </c>
      <c r="D1668" s="23" t="s">
        <v>164</v>
      </c>
      <c r="G1668" s="23">
        <v>0</v>
      </c>
      <c r="I1668" s="217" t="s">
        <v>2764</v>
      </c>
    </row>
    <row r="1669" spans="1:9" hidden="1">
      <c r="A1669" s="23">
        <v>1669</v>
      </c>
      <c r="B1669" s="84">
        <v>45766</v>
      </c>
      <c r="C1669" s="23" t="s">
        <v>1013</v>
      </c>
      <c r="D1669" s="23" t="s">
        <v>164</v>
      </c>
      <c r="G1669" s="23">
        <v>0.7</v>
      </c>
      <c r="I1669" s="217" t="s">
        <v>1294</v>
      </c>
    </row>
    <row r="1670" spans="1:9" hidden="1">
      <c r="A1670" s="23">
        <v>1670</v>
      </c>
      <c r="B1670" s="84">
        <v>45766</v>
      </c>
      <c r="C1670" s="23" t="s">
        <v>779</v>
      </c>
      <c r="D1670" s="23" t="s">
        <v>234</v>
      </c>
      <c r="G1670" s="23">
        <v>0.7</v>
      </c>
      <c r="I1670" s="217" t="s">
        <v>2766</v>
      </c>
    </row>
    <row r="1671" spans="1:9" hidden="1">
      <c r="A1671" s="23">
        <v>1671</v>
      </c>
      <c r="B1671" s="84">
        <v>45766</v>
      </c>
      <c r="C1671" s="23" t="s">
        <v>1059</v>
      </c>
      <c r="D1671" s="23" t="s">
        <v>236</v>
      </c>
      <c r="G1671" s="23">
        <v>0.7</v>
      </c>
      <c r="I1671" s="217" t="s">
        <v>2767</v>
      </c>
    </row>
    <row r="1672" spans="1:9" hidden="1">
      <c r="A1672" s="23">
        <v>1672</v>
      </c>
      <c r="B1672" s="84">
        <v>45766</v>
      </c>
      <c r="C1672" s="23" t="s">
        <v>1060</v>
      </c>
      <c r="D1672" s="23" t="s">
        <v>391</v>
      </c>
      <c r="G1672" s="23">
        <v>0.7</v>
      </c>
      <c r="I1672" s="217" t="s">
        <v>2768</v>
      </c>
    </row>
    <row r="1673" spans="1:9">
      <c r="A1673" s="23">
        <v>1673</v>
      </c>
      <c r="B1673" s="84">
        <v>45766</v>
      </c>
      <c r="C1673" s="23" t="s">
        <v>744</v>
      </c>
      <c r="D1673" s="23" t="s">
        <v>180</v>
      </c>
      <c r="G1673" s="23">
        <v>1.5</v>
      </c>
      <c r="I1673" s="217" t="s">
        <v>2769</v>
      </c>
    </row>
    <row r="1674" spans="1:9" hidden="1">
      <c r="A1674" s="23">
        <v>1674</v>
      </c>
      <c r="B1674" s="84">
        <v>45766</v>
      </c>
      <c r="C1674" s="23" t="s">
        <v>472</v>
      </c>
      <c r="D1674" s="23" t="s">
        <v>164</v>
      </c>
      <c r="G1674" s="23">
        <v>0</v>
      </c>
      <c r="I1674" s="217" t="s">
        <v>2770</v>
      </c>
    </row>
    <row r="1675" spans="1:9" hidden="1">
      <c r="A1675" s="23">
        <v>1675</v>
      </c>
      <c r="B1675" s="84">
        <v>45766</v>
      </c>
      <c r="C1675" s="23" t="s">
        <v>472</v>
      </c>
      <c r="D1675" s="23" t="s">
        <v>391</v>
      </c>
      <c r="G1675" s="23">
        <v>0</v>
      </c>
      <c r="I1675" s="217" t="s">
        <v>2768</v>
      </c>
    </row>
    <row r="1676" spans="1:9" hidden="1">
      <c r="A1676" s="23">
        <v>1676</v>
      </c>
      <c r="B1676" s="84">
        <v>45766</v>
      </c>
      <c r="C1676" s="23" t="s">
        <v>365</v>
      </c>
      <c r="D1676" s="23" t="s">
        <v>232</v>
      </c>
      <c r="G1676" s="23">
        <v>0</v>
      </c>
      <c r="I1676" s="217" t="s">
        <v>2771</v>
      </c>
    </row>
    <row r="1677" spans="1:9" hidden="1">
      <c r="A1677" s="23">
        <v>1677</v>
      </c>
      <c r="B1677" s="84">
        <v>45766</v>
      </c>
      <c r="C1677" s="23" t="s">
        <v>320</v>
      </c>
      <c r="D1677" s="23" t="s">
        <v>391</v>
      </c>
      <c r="G1677" s="23">
        <v>0.7</v>
      </c>
      <c r="I1677" s="217" t="s">
        <v>2772</v>
      </c>
    </row>
    <row r="1678" spans="1:9" hidden="1">
      <c r="A1678" s="23">
        <v>1678</v>
      </c>
      <c r="B1678" s="84">
        <v>45766</v>
      </c>
      <c r="C1678" s="23" t="s">
        <v>780</v>
      </c>
      <c r="D1678" s="23" t="s">
        <v>234</v>
      </c>
      <c r="G1678" s="23">
        <v>0</v>
      </c>
      <c r="I1678" s="217" t="s">
        <v>2773</v>
      </c>
    </row>
    <row r="1679" spans="1:9" hidden="1">
      <c r="A1679" s="23">
        <v>1679</v>
      </c>
      <c r="B1679" s="84">
        <v>45766</v>
      </c>
      <c r="C1679" s="23" t="s">
        <v>483</v>
      </c>
      <c r="D1679" s="23" t="s">
        <v>236</v>
      </c>
      <c r="G1679" s="23">
        <v>0</v>
      </c>
      <c r="I1679" s="217" t="s">
        <v>2774</v>
      </c>
    </row>
    <row r="1680" spans="1:9" hidden="1">
      <c r="A1680" s="23">
        <v>1680</v>
      </c>
      <c r="B1680" s="84">
        <v>45766</v>
      </c>
      <c r="C1680" s="23" t="s">
        <v>369</v>
      </c>
      <c r="D1680" s="23" t="s">
        <v>186</v>
      </c>
      <c r="G1680" s="23">
        <v>2.5</v>
      </c>
      <c r="I1680" s="217" t="s">
        <v>2775</v>
      </c>
    </row>
    <row r="1681" spans="1:9" hidden="1">
      <c r="A1681" s="23">
        <v>1681</v>
      </c>
      <c r="B1681" s="84">
        <v>45766</v>
      </c>
      <c r="C1681" s="23" t="s">
        <v>318</v>
      </c>
      <c r="D1681" s="23" t="s">
        <v>391</v>
      </c>
      <c r="G1681" s="23">
        <v>0</v>
      </c>
      <c r="I1681" s="217" t="s">
        <v>2772</v>
      </c>
    </row>
    <row r="1682" spans="1:9" hidden="1">
      <c r="A1682" s="23">
        <v>1682</v>
      </c>
      <c r="B1682" s="84">
        <v>45766</v>
      </c>
      <c r="C1682" s="23" t="s">
        <v>487</v>
      </c>
      <c r="D1682" s="23" t="s">
        <v>164</v>
      </c>
      <c r="G1682" s="23">
        <v>0.7</v>
      </c>
      <c r="I1682" s="217" t="s">
        <v>2776</v>
      </c>
    </row>
    <row r="1683" spans="1:9" hidden="1">
      <c r="A1683" s="23">
        <v>1683</v>
      </c>
      <c r="B1683" s="84">
        <v>45766</v>
      </c>
      <c r="C1683" s="23" t="s">
        <v>495</v>
      </c>
      <c r="D1683" s="23" t="s">
        <v>232</v>
      </c>
      <c r="G1683" s="23">
        <v>0.7</v>
      </c>
      <c r="I1683" s="217" t="s">
        <v>2777</v>
      </c>
    </row>
    <row r="1684" spans="1:9" hidden="1">
      <c r="A1684" s="23">
        <v>1684</v>
      </c>
      <c r="B1684" s="84">
        <v>45766</v>
      </c>
      <c r="C1684" s="23" t="s">
        <v>1063</v>
      </c>
      <c r="D1684" s="23" t="s">
        <v>234</v>
      </c>
      <c r="G1684" s="23">
        <v>0.7</v>
      </c>
      <c r="I1684" s="217" t="s">
        <v>2778</v>
      </c>
    </row>
    <row r="1685" spans="1:9" hidden="1">
      <c r="A1685" s="23">
        <v>1685</v>
      </c>
      <c r="B1685" s="84">
        <v>45766</v>
      </c>
      <c r="C1685" s="23" t="s">
        <v>463</v>
      </c>
      <c r="D1685" s="23" t="s">
        <v>183</v>
      </c>
      <c r="G1685" s="23">
        <v>2.8</v>
      </c>
      <c r="I1685" s="217" t="s">
        <v>2779</v>
      </c>
    </row>
    <row r="1686" spans="1:9" hidden="1">
      <c r="A1686" s="23">
        <v>1686</v>
      </c>
      <c r="B1686" s="84">
        <v>45766</v>
      </c>
      <c r="C1686" s="23" t="s">
        <v>1062</v>
      </c>
      <c r="D1686" s="23" t="s">
        <v>164</v>
      </c>
      <c r="G1686" s="23">
        <v>0</v>
      </c>
      <c r="I1686" s="217" t="s">
        <v>2780</v>
      </c>
    </row>
    <row r="1687" spans="1:9" hidden="1">
      <c r="A1687" s="23">
        <v>1687</v>
      </c>
      <c r="B1687" s="84">
        <v>45766</v>
      </c>
      <c r="C1687" s="23" t="s">
        <v>1022</v>
      </c>
      <c r="D1687" s="23" t="s">
        <v>232</v>
      </c>
      <c r="G1687" s="23">
        <v>0</v>
      </c>
      <c r="I1687" s="217" t="s">
        <v>2781</v>
      </c>
    </row>
    <row r="1688" spans="1:9" hidden="1">
      <c r="A1688" s="23">
        <v>1688</v>
      </c>
      <c r="B1688" s="84">
        <v>45766</v>
      </c>
      <c r="C1688" s="23" t="s">
        <v>795</v>
      </c>
      <c r="D1688" s="23" t="s">
        <v>236</v>
      </c>
      <c r="G1688" s="23">
        <v>0.8</v>
      </c>
      <c r="I1688" s="217" t="s">
        <v>2782</v>
      </c>
    </row>
    <row r="1689" spans="1:9" hidden="1">
      <c r="A1689" s="23">
        <v>1689</v>
      </c>
      <c r="B1689" s="84">
        <v>45766</v>
      </c>
      <c r="C1689" s="23" t="s">
        <v>833</v>
      </c>
      <c r="D1689" s="23" t="s">
        <v>391</v>
      </c>
      <c r="G1689" s="23">
        <v>0.8</v>
      </c>
      <c r="I1689" s="217" t="s">
        <v>2783</v>
      </c>
    </row>
    <row r="1690" spans="1:9" hidden="1">
      <c r="A1690" s="23">
        <v>1690</v>
      </c>
      <c r="B1690" s="84">
        <v>45766</v>
      </c>
      <c r="C1690" s="23" t="s">
        <v>516</v>
      </c>
      <c r="D1690" s="23" t="s">
        <v>164</v>
      </c>
      <c r="G1690" s="23">
        <v>0.8</v>
      </c>
      <c r="I1690" s="217" t="s">
        <v>2784</v>
      </c>
    </row>
    <row r="1691" spans="1:9" hidden="1">
      <c r="A1691" s="23">
        <v>1691</v>
      </c>
      <c r="B1691" s="84">
        <v>45766</v>
      </c>
      <c r="C1691" s="23" t="s">
        <v>407</v>
      </c>
      <c r="D1691" s="23" t="s">
        <v>164</v>
      </c>
      <c r="G1691" s="23">
        <v>0</v>
      </c>
      <c r="I1691" s="217" t="s">
        <v>2784</v>
      </c>
    </row>
    <row r="1692" spans="1:9">
      <c r="A1692" s="23">
        <v>1692</v>
      </c>
      <c r="B1692" s="84">
        <v>45766</v>
      </c>
      <c r="C1692" s="23" t="s">
        <v>1065</v>
      </c>
      <c r="D1692" s="23" t="s">
        <v>174</v>
      </c>
      <c r="G1692" s="23">
        <v>6.7</v>
      </c>
      <c r="I1692" s="217" t="s">
        <v>2785</v>
      </c>
    </row>
    <row r="1693" spans="1:9">
      <c r="A1693" s="23">
        <v>1693</v>
      </c>
      <c r="B1693" s="84">
        <v>45766</v>
      </c>
      <c r="C1693" s="23" t="s">
        <v>1005</v>
      </c>
      <c r="D1693" s="23" t="s">
        <v>177</v>
      </c>
      <c r="G1693" s="23">
        <v>0</v>
      </c>
      <c r="I1693" s="217" t="s">
        <v>2786</v>
      </c>
    </row>
    <row r="1694" spans="1:9" hidden="1">
      <c r="A1694" s="23">
        <v>1694</v>
      </c>
      <c r="B1694" s="84">
        <v>45766</v>
      </c>
      <c r="C1694" s="23" t="s">
        <v>793</v>
      </c>
      <c r="D1694" s="23" t="s">
        <v>391</v>
      </c>
      <c r="G1694" s="23">
        <v>0</v>
      </c>
      <c r="I1694" s="217" t="s">
        <v>2787</v>
      </c>
    </row>
    <row r="1695" spans="1:9" hidden="1">
      <c r="A1695" s="23">
        <v>1695</v>
      </c>
      <c r="B1695" s="84">
        <v>45766</v>
      </c>
      <c r="C1695" s="23" t="s">
        <v>274</v>
      </c>
      <c r="D1695" s="23" t="s">
        <v>220</v>
      </c>
      <c r="G1695" s="23">
        <v>0.57999999999999996</v>
      </c>
      <c r="I1695" s="217" t="s">
        <v>2788</v>
      </c>
    </row>
    <row r="1696" spans="1:9" hidden="1">
      <c r="A1696" s="23">
        <v>1696</v>
      </c>
      <c r="B1696" s="84">
        <v>45766</v>
      </c>
      <c r="C1696" s="23" t="s">
        <v>306</v>
      </c>
      <c r="D1696" s="23" t="s">
        <v>214</v>
      </c>
      <c r="G1696" s="23">
        <v>0</v>
      </c>
      <c r="I1696" s="217" t="s">
        <v>2789</v>
      </c>
    </row>
    <row r="1697" spans="1:9" hidden="1">
      <c r="A1697" s="23">
        <v>1697</v>
      </c>
      <c r="B1697" s="84">
        <v>45766</v>
      </c>
      <c r="C1697" s="23" t="s">
        <v>410</v>
      </c>
      <c r="D1697" s="23" t="s">
        <v>234</v>
      </c>
      <c r="G1697" s="23">
        <v>0</v>
      </c>
      <c r="I1697" s="217" t="s">
        <v>2790</v>
      </c>
    </row>
    <row r="1698" spans="1:9" hidden="1">
      <c r="A1698" s="23">
        <v>1698</v>
      </c>
      <c r="B1698" s="84">
        <v>45766</v>
      </c>
      <c r="C1698" s="23" t="s">
        <v>788</v>
      </c>
      <c r="D1698" s="23" t="s">
        <v>232</v>
      </c>
      <c r="G1698" s="23">
        <v>0.8</v>
      </c>
      <c r="I1698" s="217" t="s">
        <v>2791</v>
      </c>
    </row>
    <row r="1699" spans="1:9" hidden="1">
      <c r="A1699" s="23">
        <v>1699</v>
      </c>
      <c r="B1699" s="84">
        <v>45766</v>
      </c>
      <c r="C1699" s="23" t="s">
        <v>212</v>
      </c>
      <c r="D1699" s="23" t="s">
        <v>217</v>
      </c>
      <c r="G1699" s="23">
        <v>0.82</v>
      </c>
      <c r="I1699" s="217" t="s">
        <v>2792</v>
      </c>
    </row>
    <row r="1700" spans="1:9" hidden="1">
      <c r="A1700" s="23">
        <v>1700</v>
      </c>
      <c r="B1700" s="84">
        <v>45766</v>
      </c>
      <c r="C1700" s="23" t="s">
        <v>222</v>
      </c>
      <c r="D1700" s="23" t="s">
        <v>225</v>
      </c>
      <c r="G1700" s="23">
        <v>0</v>
      </c>
      <c r="I1700" s="217" t="s">
        <v>2793</v>
      </c>
    </row>
    <row r="1701" spans="1:9" hidden="1">
      <c r="A1701" s="23">
        <v>1701</v>
      </c>
      <c r="B1701" s="84">
        <v>45766</v>
      </c>
      <c r="C1701" s="23" t="s">
        <v>212</v>
      </c>
      <c r="D1701" s="23" t="s">
        <v>214</v>
      </c>
      <c r="G1701" s="23">
        <v>0.67</v>
      </c>
      <c r="I1701" s="217" t="s">
        <v>2794</v>
      </c>
    </row>
    <row r="1702" spans="1:9" hidden="1">
      <c r="A1702" s="23">
        <v>1702</v>
      </c>
      <c r="B1702" s="84">
        <v>45766</v>
      </c>
      <c r="C1702" s="23" t="s">
        <v>222</v>
      </c>
      <c r="D1702" s="23" t="s">
        <v>211</v>
      </c>
      <c r="G1702" s="23">
        <v>0</v>
      </c>
      <c r="I1702" s="217" t="s">
        <v>2795</v>
      </c>
    </row>
    <row r="1703" spans="1:9" hidden="1">
      <c r="A1703" s="23">
        <v>1703</v>
      </c>
      <c r="B1703" s="84">
        <v>45766</v>
      </c>
      <c r="C1703" s="23" t="s">
        <v>886</v>
      </c>
      <c r="D1703" s="23" t="s">
        <v>391</v>
      </c>
      <c r="G1703" s="23">
        <v>0.75</v>
      </c>
      <c r="I1703" s="217" t="s">
        <v>2796</v>
      </c>
    </row>
    <row r="1704" spans="1:9" hidden="1">
      <c r="A1704" s="23">
        <v>1704</v>
      </c>
      <c r="B1704" s="84">
        <v>45766</v>
      </c>
      <c r="C1704" s="23" t="s">
        <v>1067</v>
      </c>
      <c r="D1704" s="23" t="s">
        <v>164</v>
      </c>
      <c r="G1704" s="23">
        <v>0.75</v>
      </c>
      <c r="I1704" s="217" t="s">
        <v>2797</v>
      </c>
    </row>
    <row r="1705" spans="1:9" hidden="1">
      <c r="A1705" s="23">
        <v>1705</v>
      </c>
      <c r="B1705" s="84">
        <v>45766</v>
      </c>
      <c r="C1705" s="23" t="s">
        <v>1067</v>
      </c>
      <c r="D1705" s="23" t="s">
        <v>234</v>
      </c>
      <c r="G1705" s="23">
        <v>0.75</v>
      </c>
      <c r="I1705" s="217" t="s">
        <v>2798</v>
      </c>
    </row>
    <row r="1706" spans="1:9" hidden="1">
      <c r="A1706" s="23">
        <v>1706</v>
      </c>
      <c r="B1706" s="84">
        <v>45766</v>
      </c>
      <c r="C1706" s="23" t="s">
        <v>762</v>
      </c>
      <c r="D1706" s="23" t="s">
        <v>335</v>
      </c>
      <c r="G1706" s="23">
        <v>5</v>
      </c>
      <c r="I1706" s="217" t="s">
        <v>2799</v>
      </c>
    </row>
    <row r="1707" spans="1:9" hidden="1">
      <c r="A1707" s="23">
        <v>1707</v>
      </c>
      <c r="B1707" s="84">
        <v>45766</v>
      </c>
      <c r="C1707" s="23" t="s">
        <v>669</v>
      </c>
      <c r="D1707" s="23" t="s">
        <v>232</v>
      </c>
      <c r="G1707" s="23">
        <v>0</v>
      </c>
      <c r="I1707" s="217" t="s">
        <v>2800</v>
      </c>
    </row>
    <row r="1708" spans="1:9" hidden="1">
      <c r="A1708" s="23">
        <v>1708</v>
      </c>
      <c r="B1708" s="84">
        <v>45766</v>
      </c>
      <c r="C1708" s="23" t="s">
        <v>277</v>
      </c>
      <c r="D1708" s="23" t="s">
        <v>234</v>
      </c>
      <c r="G1708" s="23">
        <v>0</v>
      </c>
      <c r="I1708" s="217" t="s">
        <v>2798</v>
      </c>
    </row>
    <row r="1709" spans="1:9" hidden="1">
      <c r="A1709" s="23">
        <v>1709</v>
      </c>
      <c r="B1709" s="84">
        <v>45766</v>
      </c>
      <c r="C1709" s="23" t="s">
        <v>1064</v>
      </c>
      <c r="D1709" s="23" t="s">
        <v>236</v>
      </c>
      <c r="G1709" s="23">
        <v>0</v>
      </c>
      <c r="I1709" s="217" t="s">
        <v>2801</v>
      </c>
    </row>
    <row r="1710" spans="1:9" hidden="1">
      <c r="A1710" s="23">
        <v>1710</v>
      </c>
      <c r="B1710" s="84">
        <v>45766</v>
      </c>
      <c r="C1710" s="23" t="s">
        <v>525</v>
      </c>
      <c r="D1710" s="23" t="s">
        <v>391</v>
      </c>
      <c r="G1710" s="23">
        <v>0</v>
      </c>
      <c r="I1710" s="217" t="s">
        <v>2802</v>
      </c>
    </row>
    <row r="1711" spans="1:9" hidden="1">
      <c r="A1711" s="23">
        <v>1711</v>
      </c>
      <c r="B1711" s="84">
        <v>45766</v>
      </c>
      <c r="C1711" s="23" t="s">
        <v>633</v>
      </c>
      <c r="D1711" s="23" t="s">
        <v>164</v>
      </c>
      <c r="G1711" s="23">
        <v>0</v>
      </c>
      <c r="I1711" s="217" t="s">
        <v>2803</v>
      </c>
    </row>
    <row r="1712" spans="1:9" hidden="1">
      <c r="A1712" s="23">
        <v>1712</v>
      </c>
      <c r="B1712" s="84">
        <v>45766</v>
      </c>
      <c r="C1712" s="23" t="s">
        <v>1069</v>
      </c>
      <c r="D1712" s="23" t="s">
        <v>211</v>
      </c>
      <c r="G1712" s="23">
        <v>0.83</v>
      </c>
      <c r="I1712" s="217" t="s">
        <v>2804</v>
      </c>
    </row>
    <row r="1713" spans="1:9" hidden="1">
      <c r="A1713" s="23">
        <v>1713</v>
      </c>
      <c r="B1713" s="84">
        <v>45766</v>
      </c>
      <c r="C1713" s="23" t="s">
        <v>419</v>
      </c>
      <c r="D1713" s="23" t="s">
        <v>211</v>
      </c>
      <c r="G1713" s="23">
        <v>0</v>
      </c>
      <c r="I1713" s="217" t="s">
        <v>2805</v>
      </c>
    </row>
    <row r="1714" spans="1:9" hidden="1">
      <c r="A1714" s="23">
        <v>1714</v>
      </c>
      <c r="B1714" s="84">
        <v>45766</v>
      </c>
      <c r="C1714" s="23" t="s">
        <v>842</v>
      </c>
      <c r="D1714" s="23" t="s">
        <v>232</v>
      </c>
      <c r="G1714" s="23">
        <v>0.7</v>
      </c>
      <c r="I1714" s="217" t="s">
        <v>2806</v>
      </c>
    </row>
    <row r="1715" spans="1:9" hidden="1">
      <c r="A1715" s="23">
        <v>1715</v>
      </c>
      <c r="B1715" s="84">
        <v>45766</v>
      </c>
      <c r="C1715" s="23" t="s">
        <v>842</v>
      </c>
      <c r="D1715" s="23" t="s">
        <v>234</v>
      </c>
      <c r="G1715" s="23">
        <v>0.7</v>
      </c>
      <c r="I1715" s="217" t="s">
        <v>2807</v>
      </c>
    </row>
    <row r="1716" spans="1:9" hidden="1">
      <c r="A1716" s="23">
        <v>1716</v>
      </c>
      <c r="B1716" s="84">
        <v>45766</v>
      </c>
      <c r="C1716" s="23" t="s">
        <v>1068</v>
      </c>
      <c r="D1716" s="23" t="s">
        <v>335</v>
      </c>
      <c r="G1716" s="23">
        <v>0</v>
      </c>
      <c r="I1716" s="217" t="s">
        <v>2808</v>
      </c>
    </row>
    <row r="1717" spans="1:9" hidden="1">
      <c r="A1717" s="23">
        <v>1717</v>
      </c>
      <c r="B1717" s="84">
        <v>45766</v>
      </c>
      <c r="C1717" s="23" t="s">
        <v>337</v>
      </c>
      <c r="D1717" s="23" t="s">
        <v>232</v>
      </c>
      <c r="G1717" s="23">
        <v>0</v>
      </c>
      <c r="I1717" s="217" t="s">
        <v>2806</v>
      </c>
    </row>
    <row r="1718" spans="1:9" hidden="1">
      <c r="A1718" s="23">
        <v>1718</v>
      </c>
      <c r="B1718" s="84">
        <v>45766</v>
      </c>
      <c r="C1718" s="23" t="s">
        <v>1070</v>
      </c>
      <c r="D1718" s="23" t="s">
        <v>234</v>
      </c>
      <c r="G1718" s="23">
        <v>0</v>
      </c>
      <c r="I1718" s="217" t="s">
        <v>2807</v>
      </c>
    </row>
    <row r="1719" spans="1:9" hidden="1">
      <c r="A1719" s="23">
        <v>1719</v>
      </c>
      <c r="B1719" s="84">
        <v>45766</v>
      </c>
      <c r="C1719" s="23" t="s">
        <v>582</v>
      </c>
      <c r="D1719" s="23" t="s">
        <v>183</v>
      </c>
      <c r="G1719" s="23">
        <v>0</v>
      </c>
      <c r="I1719" s="217" t="s">
        <v>2809</v>
      </c>
    </row>
    <row r="1720" spans="1:9" hidden="1">
      <c r="A1720" s="23">
        <v>1720</v>
      </c>
      <c r="B1720" s="84">
        <v>45766</v>
      </c>
      <c r="C1720" s="23" t="s">
        <v>538</v>
      </c>
      <c r="D1720" s="23" t="s">
        <v>186</v>
      </c>
      <c r="G1720" s="23">
        <v>0</v>
      </c>
      <c r="I1720" s="217" t="s">
        <v>2810</v>
      </c>
    </row>
    <row r="1721" spans="1:9" hidden="1">
      <c r="A1721" s="23">
        <v>1721</v>
      </c>
      <c r="B1721" s="84">
        <v>45766</v>
      </c>
      <c r="C1721" s="23" t="s">
        <v>1071</v>
      </c>
      <c r="D1721" s="23" t="s">
        <v>236</v>
      </c>
      <c r="G1721" s="23">
        <v>0.7</v>
      </c>
      <c r="I1721" s="217" t="s">
        <v>2811</v>
      </c>
    </row>
    <row r="1722" spans="1:9" hidden="1">
      <c r="A1722" s="23">
        <v>1722</v>
      </c>
      <c r="B1722" s="84">
        <v>45766</v>
      </c>
      <c r="C1722" s="23" t="s">
        <v>538</v>
      </c>
      <c r="D1722" s="23" t="s">
        <v>391</v>
      </c>
      <c r="G1722" s="23">
        <v>0.7</v>
      </c>
      <c r="I1722" s="217" t="s">
        <v>2812</v>
      </c>
    </row>
    <row r="1723" spans="1:9" hidden="1">
      <c r="A1723" s="23">
        <v>1723</v>
      </c>
      <c r="B1723" s="84">
        <v>45766</v>
      </c>
      <c r="C1723" s="23" t="s">
        <v>1071</v>
      </c>
      <c r="D1723" s="23" t="s">
        <v>164</v>
      </c>
      <c r="G1723" s="23">
        <v>0.7</v>
      </c>
      <c r="I1723" s="217" t="s">
        <v>2813</v>
      </c>
    </row>
    <row r="1724" spans="1:9" hidden="1">
      <c r="A1724" s="23">
        <v>1724</v>
      </c>
      <c r="B1724" s="84">
        <v>45766</v>
      </c>
      <c r="C1724" s="23" t="s">
        <v>542</v>
      </c>
      <c r="D1724" s="23" t="s">
        <v>236</v>
      </c>
      <c r="G1724" s="23">
        <v>0</v>
      </c>
      <c r="I1724" s="217" t="s">
        <v>2811</v>
      </c>
    </row>
    <row r="1725" spans="1:9" hidden="1">
      <c r="A1725" s="23">
        <v>1725</v>
      </c>
      <c r="B1725" s="84">
        <v>45766</v>
      </c>
      <c r="C1725" s="23" t="s">
        <v>188</v>
      </c>
      <c r="D1725" s="23" t="s">
        <v>391</v>
      </c>
      <c r="G1725" s="23">
        <v>0</v>
      </c>
      <c r="I1725" s="217" t="s">
        <v>2812</v>
      </c>
    </row>
    <row r="1726" spans="1:9" hidden="1">
      <c r="A1726" s="23">
        <v>1726</v>
      </c>
      <c r="B1726" s="84">
        <v>45766</v>
      </c>
      <c r="C1726" s="23" t="s">
        <v>424</v>
      </c>
      <c r="D1726" s="23" t="s">
        <v>164</v>
      </c>
      <c r="G1726" s="23">
        <v>0</v>
      </c>
      <c r="I1726" s="217" t="s">
        <v>2813</v>
      </c>
    </row>
    <row r="1727" spans="1:9" hidden="1">
      <c r="A1727" s="23">
        <v>1727</v>
      </c>
      <c r="B1727" s="84">
        <v>45767</v>
      </c>
      <c r="C1727" s="23" t="s">
        <v>1072</v>
      </c>
      <c r="D1727" s="23" t="s">
        <v>232</v>
      </c>
      <c r="G1727" s="23">
        <v>0.7</v>
      </c>
      <c r="I1727" s="217" t="s">
        <v>2814</v>
      </c>
    </row>
    <row r="1728" spans="1:9" hidden="1">
      <c r="A1728" s="23">
        <v>1728</v>
      </c>
      <c r="B1728" s="84">
        <v>45767</v>
      </c>
      <c r="C1728" s="23" t="s">
        <v>1058</v>
      </c>
      <c r="D1728" s="23" t="s">
        <v>234</v>
      </c>
      <c r="G1728" s="23">
        <v>0.7</v>
      </c>
      <c r="I1728" s="217" t="s">
        <v>2815</v>
      </c>
    </row>
    <row r="1729" spans="1:9" hidden="1">
      <c r="A1729" s="23">
        <v>1729</v>
      </c>
      <c r="B1729" s="84">
        <v>45767</v>
      </c>
      <c r="C1729" s="23" t="s">
        <v>1058</v>
      </c>
      <c r="D1729" s="23" t="s">
        <v>242</v>
      </c>
      <c r="G1729" s="23">
        <v>0</v>
      </c>
      <c r="I1729" s="217" t="s">
        <v>2816</v>
      </c>
    </row>
    <row r="1730" spans="1:9" hidden="1">
      <c r="A1730" s="23">
        <v>1730</v>
      </c>
      <c r="B1730" s="84">
        <v>45767</v>
      </c>
      <c r="C1730" s="23" t="s">
        <v>216</v>
      </c>
      <c r="D1730" s="23" t="s">
        <v>220</v>
      </c>
      <c r="G1730" s="23">
        <v>0</v>
      </c>
      <c r="I1730" s="217" t="s">
        <v>2817</v>
      </c>
    </row>
    <row r="1731" spans="1:9" hidden="1">
      <c r="A1731" s="23">
        <v>1731</v>
      </c>
      <c r="B1731" s="84">
        <v>45767</v>
      </c>
      <c r="C1731" s="23" t="s">
        <v>216</v>
      </c>
      <c r="D1731" s="23" t="s">
        <v>211</v>
      </c>
      <c r="G1731" s="23">
        <v>0.7</v>
      </c>
      <c r="I1731" s="217" t="s">
        <v>2818</v>
      </c>
    </row>
    <row r="1732" spans="1:9" hidden="1">
      <c r="A1732" s="23">
        <v>1732</v>
      </c>
      <c r="B1732" s="84">
        <v>45767</v>
      </c>
      <c r="C1732" s="23" t="s">
        <v>1073</v>
      </c>
      <c r="D1732" s="23" t="s">
        <v>232</v>
      </c>
      <c r="G1732" s="23">
        <v>0</v>
      </c>
      <c r="I1732" s="217" t="s">
        <v>2819</v>
      </c>
    </row>
    <row r="1733" spans="1:9" hidden="1">
      <c r="A1733" s="23">
        <v>1733</v>
      </c>
      <c r="B1733" s="84">
        <v>45767</v>
      </c>
      <c r="C1733" s="23" t="s">
        <v>1074</v>
      </c>
      <c r="D1733" s="23" t="s">
        <v>234</v>
      </c>
      <c r="G1733" s="23">
        <v>0</v>
      </c>
      <c r="I1733" s="217" t="s">
        <v>2820</v>
      </c>
    </row>
    <row r="1734" spans="1:9">
      <c r="A1734" s="23">
        <v>1734</v>
      </c>
      <c r="B1734" s="84">
        <v>45767</v>
      </c>
      <c r="C1734" s="23" t="s">
        <v>853</v>
      </c>
      <c r="D1734" s="23" t="s">
        <v>177</v>
      </c>
      <c r="G1734" s="23">
        <v>6.5</v>
      </c>
      <c r="I1734" s="217" t="s">
        <v>2821</v>
      </c>
    </row>
    <row r="1735" spans="1:9">
      <c r="A1735" s="23">
        <v>1735</v>
      </c>
      <c r="B1735" s="84">
        <v>45767</v>
      </c>
      <c r="C1735" s="23" t="s">
        <v>1056</v>
      </c>
      <c r="D1735" s="23" t="s">
        <v>248</v>
      </c>
      <c r="G1735" s="23">
        <v>0</v>
      </c>
      <c r="I1735" s="217" t="s">
        <v>2822</v>
      </c>
    </row>
    <row r="1736" spans="1:9" hidden="1">
      <c r="A1736" s="23">
        <v>1736</v>
      </c>
      <c r="B1736" s="84">
        <v>45767</v>
      </c>
      <c r="C1736" s="23" t="s">
        <v>723</v>
      </c>
      <c r="D1736" s="23" t="s">
        <v>220</v>
      </c>
      <c r="G1736" s="23">
        <v>0.505</v>
      </c>
      <c r="I1736" s="217" t="s">
        <v>2823</v>
      </c>
    </row>
    <row r="1737" spans="1:9" hidden="1">
      <c r="A1737" s="23">
        <v>1737</v>
      </c>
      <c r="B1737" s="84">
        <v>45767</v>
      </c>
      <c r="C1737" s="23" t="s">
        <v>1066</v>
      </c>
      <c r="D1737" s="23" t="s">
        <v>214</v>
      </c>
      <c r="G1737" s="23">
        <v>0</v>
      </c>
      <c r="I1737" s="217" t="s">
        <v>2824</v>
      </c>
    </row>
    <row r="1738" spans="1:9" ht="28.15" hidden="1">
      <c r="A1738" s="23">
        <v>1738</v>
      </c>
      <c r="B1738" s="84">
        <v>45767</v>
      </c>
      <c r="C1738" s="23" t="s">
        <v>898</v>
      </c>
      <c r="D1738" s="23" t="s">
        <v>217</v>
      </c>
      <c r="G1738" s="23">
        <v>0</v>
      </c>
      <c r="H1738" s="457" t="s">
        <v>2825</v>
      </c>
      <c r="I1738" s="217" t="s">
        <v>2826</v>
      </c>
    </row>
    <row r="1739" spans="1:9">
      <c r="A1739" s="23">
        <v>1739</v>
      </c>
      <c r="B1739" s="84">
        <v>45767</v>
      </c>
      <c r="C1739" s="23" t="s">
        <v>1076</v>
      </c>
      <c r="D1739" s="23" t="s">
        <v>248</v>
      </c>
      <c r="G1739" s="23">
        <v>6.4</v>
      </c>
      <c r="I1739" s="217" t="s">
        <v>2827</v>
      </c>
    </row>
    <row r="1740" spans="1:9">
      <c r="A1740" s="23">
        <v>1740</v>
      </c>
      <c r="B1740" s="84">
        <v>45767</v>
      </c>
      <c r="C1740" s="23" t="s">
        <v>653</v>
      </c>
      <c r="D1740" s="23" t="s">
        <v>248</v>
      </c>
      <c r="G1740" s="23">
        <v>0</v>
      </c>
      <c r="I1740" s="217" t="s">
        <v>2828</v>
      </c>
    </row>
    <row r="1741" spans="1:9" hidden="1">
      <c r="A1741" s="23">
        <v>1741</v>
      </c>
      <c r="B1741" s="84">
        <v>45767</v>
      </c>
      <c r="C1741" s="23" t="s">
        <v>683</v>
      </c>
      <c r="D1741" s="23" t="s">
        <v>236</v>
      </c>
      <c r="G1741" s="23">
        <v>0.8</v>
      </c>
      <c r="I1741" s="217" t="s">
        <v>2829</v>
      </c>
    </row>
    <row r="1742" spans="1:9" hidden="1">
      <c r="A1742" s="23">
        <v>1742</v>
      </c>
      <c r="B1742" s="84">
        <v>45767</v>
      </c>
      <c r="C1742" s="23" t="s">
        <v>466</v>
      </c>
      <c r="D1742" s="23" t="s">
        <v>225</v>
      </c>
      <c r="G1742" s="23">
        <v>0.8</v>
      </c>
      <c r="I1742" s="217" t="s">
        <v>2830</v>
      </c>
    </row>
    <row r="1743" spans="1:9" hidden="1">
      <c r="A1743" s="23">
        <v>1743</v>
      </c>
      <c r="B1743" s="84">
        <v>45767</v>
      </c>
      <c r="C1743" s="23" t="s">
        <v>466</v>
      </c>
      <c r="D1743" s="23" t="s">
        <v>217</v>
      </c>
      <c r="G1743" s="23">
        <v>0.8</v>
      </c>
      <c r="I1743" s="217" t="s">
        <v>2831</v>
      </c>
    </row>
    <row r="1744" spans="1:9" hidden="1">
      <c r="A1744" s="23">
        <v>1744</v>
      </c>
      <c r="B1744" s="84">
        <v>45767</v>
      </c>
      <c r="C1744" s="23" t="s">
        <v>257</v>
      </c>
      <c r="D1744" s="23" t="s">
        <v>217</v>
      </c>
      <c r="G1744" s="23">
        <v>0</v>
      </c>
      <c r="I1744" s="217" t="s">
        <v>2831</v>
      </c>
    </row>
    <row r="1745" spans="1:9" hidden="1">
      <c r="A1745" s="23">
        <v>1745</v>
      </c>
      <c r="B1745" s="84">
        <v>45767</v>
      </c>
      <c r="C1745" s="23" t="s">
        <v>604</v>
      </c>
      <c r="D1745" s="23" t="s">
        <v>239</v>
      </c>
      <c r="G1745" s="23">
        <v>0.8</v>
      </c>
      <c r="I1745" s="217" t="s">
        <v>2832</v>
      </c>
    </row>
    <row r="1746" spans="1:9" hidden="1">
      <c r="A1746" s="23">
        <v>1746</v>
      </c>
      <c r="B1746" s="84">
        <v>45767</v>
      </c>
      <c r="C1746" s="23" t="s">
        <v>1077</v>
      </c>
      <c r="D1746" s="23" t="s">
        <v>164</v>
      </c>
      <c r="G1746" s="23">
        <v>0.7</v>
      </c>
      <c r="I1746" s="217" t="s">
        <v>2833</v>
      </c>
    </row>
    <row r="1747" spans="1:9" hidden="1">
      <c r="A1747" s="23">
        <v>1747</v>
      </c>
      <c r="B1747" s="84">
        <v>45767</v>
      </c>
      <c r="C1747" s="23" t="s">
        <v>662</v>
      </c>
      <c r="D1747" s="23" t="s">
        <v>232</v>
      </c>
      <c r="G1747" s="23">
        <v>0.7</v>
      </c>
      <c r="I1747" s="217" t="s">
        <v>2834</v>
      </c>
    </row>
    <row r="1748" spans="1:9" hidden="1">
      <c r="A1748" s="23">
        <v>1748</v>
      </c>
      <c r="B1748" s="84">
        <v>45767</v>
      </c>
      <c r="C1748" s="23" t="s">
        <v>662</v>
      </c>
      <c r="D1748" s="23" t="s">
        <v>242</v>
      </c>
      <c r="G1748" s="23">
        <v>3.8</v>
      </c>
      <c r="I1748" s="217" t="s">
        <v>2835</v>
      </c>
    </row>
    <row r="1749" spans="1:9" hidden="1">
      <c r="A1749" s="23">
        <v>1749</v>
      </c>
      <c r="B1749" s="84">
        <v>45767</v>
      </c>
      <c r="C1749" s="23" t="s">
        <v>962</v>
      </c>
      <c r="D1749" s="23" t="s">
        <v>236</v>
      </c>
      <c r="G1749" s="23">
        <v>0</v>
      </c>
      <c r="I1749" s="217" t="s">
        <v>2836</v>
      </c>
    </row>
    <row r="1750" spans="1:9" hidden="1">
      <c r="A1750" s="23">
        <v>1750</v>
      </c>
      <c r="B1750" s="84">
        <v>45767</v>
      </c>
      <c r="C1750" s="23" t="s">
        <v>1079</v>
      </c>
      <c r="D1750" s="23" t="s">
        <v>186</v>
      </c>
      <c r="G1750" s="23">
        <v>3.8</v>
      </c>
      <c r="I1750" s="217" t="s">
        <v>2837</v>
      </c>
    </row>
    <row r="1751" spans="1:9" hidden="1">
      <c r="A1751" s="23">
        <v>1751</v>
      </c>
      <c r="B1751" s="84">
        <v>45767</v>
      </c>
      <c r="C1751" s="23" t="s">
        <v>558</v>
      </c>
      <c r="D1751" s="23" t="s">
        <v>239</v>
      </c>
      <c r="G1751" s="23">
        <v>0</v>
      </c>
      <c r="I1751" s="217" t="s">
        <v>2838</v>
      </c>
    </row>
    <row r="1752" spans="1:9" hidden="1">
      <c r="A1752" s="23">
        <v>1752</v>
      </c>
      <c r="B1752" s="84">
        <v>45767</v>
      </c>
      <c r="C1752" s="23" t="s">
        <v>323</v>
      </c>
      <c r="D1752" s="23" t="s">
        <v>164</v>
      </c>
      <c r="G1752" s="23">
        <v>0</v>
      </c>
      <c r="I1752" s="217" t="s">
        <v>2839</v>
      </c>
    </row>
    <row r="1753" spans="1:9" hidden="1">
      <c r="A1753" s="23">
        <v>1753</v>
      </c>
      <c r="B1753" s="84">
        <v>45767</v>
      </c>
      <c r="C1753" s="23" t="s">
        <v>548</v>
      </c>
      <c r="D1753" s="23" t="s">
        <v>232</v>
      </c>
      <c r="G1753" s="23">
        <v>0</v>
      </c>
      <c r="I1753" s="217" t="s">
        <v>2840</v>
      </c>
    </row>
    <row r="1754" spans="1:9" hidden="1">
      <c r="A1754" s="23">
        <v>1754</v>
      </c>
      <c r="B1754" s="84">
        <v>45767</v>
      </c>
      <c r="C1754" s="23" t="s">
        <v>1080</v>
      </c>
      <c r="D1754" s="23" t="s">
        <v>232</v>
      </c>
      <c r="G1754" s="23">
        <v>0.7</v>
      </c>
      <c r="I1754" s="217" t="s">
        <v>2841</v>
      </c>
    </row>
    <row r="1755" spans="1:9" hidden="1">
      <c r="A1755" s="23">
        <v>1755</v>
      </c>
      <c r="B1755" s="84">
        <v>45767</v>
      </c>
      <c r="C1755" s="23" t="s">
        <v>876</v>
      </c>
      <c r="D1755" s="23" t="s">
        <v>234</v>
      </c>
      <c r="G1755" s="23">
        <v>0.7</v>
      </c>
      <c r="I1755" s="217" t="s">
        <v>2842</v>
      </c>
    </row>
    <row r="1756" spans="1:9" hidden="1">
      <c r="A1756" s="23">
        <v>1756</v>
      </c>
      <c r="B1756" s="84">
        <v>45767</v>
      </c>
      <c r="C1756" s="23" t="s">
        <v>1082</v>
      </c>
      <c r="D1756" s="23" t="s">
        <v>183</v>
      </c>
      <c r="G1756" s="23">
        <v>1</v>
      </c>
      <c r="I1756" s="217" t="s">
        <v>2843</v>
      </c>
    </row>
    <row r="1757" spans="1:9" hidden="1">
      <c r="A1757" s="23">
        <v>1757</v>
      </c>
      <c r="B1757" s="84">
        <v>45767</v>
      </c>
      <c r="C1757" s="23" t="s">
        <v>1081</v>
      </c>
      <c r="D1757" s="23" t="s">
        <v>232</v>
      </c>
      <c r="G1757" s="23">
        <v>0</v>
      </c>
      <c r="I1757" s="217" t="s">
        <v>2841</v>
      </c>
    </row>
    <row r="1758" spans="1:9" hidden="1">
      <c r="A1758" s="23">
        <v>1758</v>
      </c>
      <c r="B1758" s="84">
        <v>45767</v>
      </c>
      <c r="C1758" s="23" t="s">
        <v>612</v>
      </c>
      <c r="D1758" s="23" t="s">
        <v>234</v>
      </c>
      <c r="G1758" s="23">
        <v>0</v>
      </c>
      <c r="I1758" s="217" t="s">
        <v>2842</v>
      </c>
    </row>
    <row r="1759" spans="1:9" hidden="1">
      <c r="A1759" s="23">
        <v>1759</v>
      </c>
      <c r="B1759" s="84">
        <v>45767</v>
      </c>
      <c r="C1759" s="23" t="s">
        <v>267</v>
      </c>
      <c r="D1759" s="23" t="s">
        <v>214</v>
      </c>
      <c r="G1759" s="23">
        <v>0.55000000000000004</v>
      </c>
      <c r="I1759" s="217" t="s">
        <v>2844</v>
      </c>
    </row>
    <row r="1760" spans="1:9" hidden="1">
      <c r="A1760" s="23">
        <v>1760</v>
      </c>
      <c r="B1760" s="84">
        <v>45767</v>
      </c>
      <c r="C1760" s="23" t="s">
        <v>896</v>
      </c>
      <c r="D1760" s="23" t="s">
        <v>211</v>
      </c>
      <c r="G1760" s="23">
        <v>0</v>
      </c>
      <c r="I1760" s="217" t="s">
        <v>2845</v>
      </c>
    </row>
    <row r="1761" spans="1:9" hidden="1">
      <c r="A1761" s="23">
        <v>1761</v>
      </c>
      <c r="B1761" s="84">
        <v>45767</v>
      </c>
      <c r="C1761" s="23" t="s">
        <v>1083</v>
      </c>
      <c r="D1761" s="23" t="s">
        <v>236</v>
      </c>
      <c r="G1761" s="23">
        <v>0.7</v>
      </c>
      <c r="I1761" s="217" t="s">
        <v>2846</v>
      </c>
    </row>
    <row r="1762" spans="1:9" hidden="1">
      <c r="A1762" s="23">
        <v>1762</v>
      </c>
      <c r="B1762" s="84">
        <v>45767</v>
      </c>
      <c r="C1762" s="23" t="s">
        <v>1033</v>
      </c>
      <c r="D1762" s="23" t="s">
        <v>391</v>
      </c>
      <c r="G1762" s="23">
        <v>0.8</v>
      </c>
      <c r="I1762" s="217" t="s">
        <v>2847</v>
      </c>
    </row>
    <row r="1763" spans="1:9" hidden="1">
      <c r="A1763" s="23">
        <v>1763</v>
      </c>
      <c r="B1763" s="84">
        <v>45767</v>
      </c>
      <c r="C1763" s="23" t="s">
        <v>1084</v>
      </c>
      <c r="D1763" s="23" t="s">
        <v>236</v>
      </c>
      <c r="G1763" s="23">
        <v>0</v>
      </c>
      <c r="I1763" s="217" t="s">
        <v>2848</v>
      </c>
    </row>
    <row r="1764" spans="1:9" hidden="1">
      <c r="A1764" s="23">
        <v>1764</v>
      </c>
      <c r="B1764" s="84">
        <v>45767</v>
      </c>
      <c r="C1764" s="23" t="s">
        <v>469</v>
      </c>
      <c r="D1764" s="23" t="s">
        <v>391</v>
      </c>
      <c r="G1764" s="23">
        <v>0</v>
      </c>
      <c r="I1764" s="217" t="s">
        <v>2849</v>
      </c>
    </row>
    <row r="1765" spans="1:9" hidden="1">
      <c r="A1765" s="23">
        <v>1765</v>
      </c>
      <c r="B1765" s="84">
        <v>45767</v>
      </c>
      <c r="C1765" s="23" t="s">
        <v>526</v>
      </c>
      <c r="D1765" s="23" t="s">
        <v>164</v>
      </c>
      <c r="G1765" s="23">
        <v>0.8</v>
      </c>
      <c r="I1765" s="217" t="s">
        <v>2850</v>
      </c>
    </row>
    <row r="1766" spans="1:9" hidden="1">
      <c r="A1766" s="23">
        <v>1766</v>
      </c>
      <c r="B1766" s="84">
        <v>45767</v>
      </c>
      <c r="C1766" s="23" t="s">
        <v>222</v>
      </c>
      <c r="D1766" s="23" t="s">
        <v>232</v>
      </c>
      <c r="G1766" s="23">
        <v>0.8</v>
      </c>
      <c r="I1766" s="217" t="s">
        <v>2851</v>
      </c>
    </row>
    <row r="1767" spans="1:9" hidden="1">
      <c r="A1767" s="23">
        <v>1767</v>
      </c>
      <c r="B1767" s="84">
        <v>45767</v>
      </c>
      <c r="C1767" s="23" t="s">
        <v>1085</v>
      </c>
      <c r="D1767" s="23" t="s">
        <v>234</v>
      </c>
      <c r="G1767" s="23">
        <v>0.8</v>
      </c>
      <c r="I1767" s="217" t="s">
        <v>2852</v>
      </c>
    </row>
    <row r="1768" spans="1:9" hidden="1">
      <c r="A1768" s="23">
        <v>1768</v>
      </c>
      <c r="B1768" s="84">
        <v>45767</v>
      </c>
      <c r="C1768" s="23" t="s">
        <v>212</v>
      </c>
      <c r="D1768" s="23" t="s">
        <v>217</v>
      </c>
      <c r="G1768" s="23">
        <v>0.84</v>
      </c>
      <c r="I1768" s="217" t="s">
        <v>2853</v>
      </c>
    </row>
    <row r="1769" spans="1:9" hidden="1">
      <c r="A1769" s="23">
        <v>1769</v>
      </c>
      <c r="B1769" s="84">
        <v>45767</v>
      </c>
      <c r="C1769" s="23" t="s">
        <v>222</v>
      </c>
      <c r="D1769" s="23" t="s">
        <v>225</v>
      </c>
      <c r="G1769" s="23">
        <v>0</v>
      </c>
      <c r="I1769" s="217" t="s">
        <v>2854</v>
      </c>
    </row>
    <row r="1770" spans="1:9" hidden="1">
      <c r="A1770" s="23">
        <v>1770</v>
      </c>
      <c r="B1770" s="84">
        <v>45767</v>
      </c>
      <c r="C1770" s="23" t="s">
        <v>1086</v>
      </c>
      <c r="D1770" s="23" t="s">
        <v>236</v>
      </c>
      <c r="G1770" s="23">
        <v>0.8</v>
      </c>
      <c r="I1770" s="217" t="s">
        <v>2855</v>
      </c>
    </row>
    <row r="1771" spans="1:9" hidden="1">
      <c r="A1771" s="23">
        <v>1771</v>
      </c>
      <c r="B1771" s="84">
        <v>45767</v>
      </c>
      <c r="C1771" s="23" t="s">
        <v>412</v>
      </c>
      <c r="D1771" s="23" t="s">
        <v>391</v>
      </c>
      <c r="G1771" s="23">
        <v>0.8</v>
      </c>
      <c r="I1771" s="217" t="s">
        <v>2856</v>
      </c>
    </row>
    <row r="1772" spans="1:9" hidden="1">
      <c r="A1772" s="23">
        <v>1772</v>
      </c>
      <c r="B1772" s="84">
        <v>45767</v>
      </c>
      <c r="C1772" s="23" t="s">
        <v>426</v>
      </c>
      <c r="D1772" s="23" t="s">
        <v>335</v>
      </c>
      <c r="G1772" s="23">
        <v>3</v>
      </c>
      <c r="I1772" s="217" t="s">
        <v>2857</v>
      </c>
    </row>
    <row r="1773" spans="1:9" hidden="1">
      <c r="A1773" s="23">
        <v>1773</v>
      </c>
      <c r="B1773" s="84">
        <v>45767</v>
      </c>
      <c r="C1773" s="23" t="s">
        <v>206</v>
      </c>
      <c r="D1773" s="23" t="s">
        <v>164</v>
      </c>
      <c r="G1773" s="23">
        <v>0</v>
      </c>
      <c r="I1773" s="217" t="s">
        <v>2858</v>
      </c>
    </row>
    <row r="1774" spans="1:9" hidden="1">
      <c r="A1774" s="23">
        <v>1774</v>
      </c>
      <c r="B1774" s="84">
        <v>45767</v>
      </c>
      <c r="C1774" s="23" t="s">
        <v>1087</v>
      </c>
      <c r="D1774" s="23" t="s">
        <v>391</v>
      </c>
      <c r="G1774" s="23">
        <v>0</v>
      </c>
      <c r="I1774" s="217" t="s">
        <v>2859</v>
      </c>
    </row>
    <row r="1775" spans="1:9" hidden="1">
      <c r="A1775" s="23">
        <v>1775</v>
      </c>
      <c r="B1775" s="84">
        <v>45767</v>
      </c>
      <c r="C1775" s="23" t="s">
        <v>1003</v>
      </c>
      <c r="D1775" s="23" t="s">
        <v>232</v>
      </c>
      <c r="G1775" s="23">
        <v>0</v>
      </c>
      <c r="I1775" s="217" t="s">
        <v>2860</v>
      </c>
    </row>
    <row r="1776" spans="1:9" hidden="1">
      <c r="A1776" s="23">
        <v>1776</v>
      </c>
      <c r="B1776" s="84">
        <v>45767</v>
      </c>
      <c r="C1776" s="23" t="s">
        <v>278</v>
      </c>
      <c r="D1776" s="23" t="s">
        <v>234</v>
      </c>
      <c r="G1776" s="23">
        <v>0</v>
      </c>
      <c r="I1776" s="217" t="s">
        <v>2861</v>
      </c>
    </row>
    <row r="1777" spans="1:9" hidden="1">
      <c r="A1777" s="23">
        <v>1777</v>
      </c>
      <c r="B1777" s="84">
        <v>45767</v>
      </c>
      <c r="C1777" s="23" t="s">
        <v>977</v>
      </c>
      <c r="D1777" s="23" t="s">
        <v>236</v>
      </c>
      <c r="G1777" s="23">
        <v>0</v>
      </c>
      <c r="I1777" s="217" t="s">
        <v>2862</v>
      </c>
    </row>
    <row r="1778" spans="1:9">
      <c r="A1778" s="23">
        <v>1778</v>
      </c>
      <c r="B1778" s="84">
        <v>45767</v>
      </c>
      <c r="C1778" s="23" t="s">
        <v>1061</v>
      </c>
      <c r="D1778" s="23" t="s">
        <v>180</v>
      </c>
      <c r="G1778" s="23">
        <v>0</v>
      </c>
      <c r="I1778" s="217" t="s">
        <v>2863</v>
      </c>
    </row>
    <row r="1779" spans="1:9">
      <c r="A1779" s="23">
        <v>1779</v>
      </c>
      <c r="B1779" s="84">
        <v>45768</v>
      </c>
      <c r="C1779" s="23" t="s">
        <v>931</v>
      </c>
      <c r="D1779" s="23" t="s">
        <v>177</v>
      </c>
      <c r="G1779" s="23">
        <v>0</v>
      </c>
      <c r="I1779" s="217" t="s">
        <v>2864</v>
      </c>
    </row>
    <row r="1780" spans="1:9" hidden="1">
      <c r="A1780" s="23">
        <v>1780</v>
      </c>
      <c r="B1780" s="84">
        <v>45768</v>
      </c>
      <c r="C1780" s="23" t="s">
        <v>1089</v>
      </c>
      <c r="D1780" s="23" t="s">
        <v>232</v>
      </c>
      <c r="G1780" s="23">
        <v>0.8</v>
      </c>
      <c r="I1780" s="217" t="s">
        <v>2865</v>
      </c>
    </row>
    <row r="1781" spans="1:9" hidden="1">
      <c r="A1781" s="23">
        <v>1781</v>
      </c>
      <c r="B1781" s="84">
        <v>45768</v>
      </c>
      <c r="C1781" s="23" t="s">
        <v>1089</v>
      </c>
      <c r="D1781" s="23" t="s">
        <v>234</v>
      </c>
      <c r="G1781" s="23">
        <v>0.8</v>
      </c>
      <c r="I1781" s="217" t="s">
        <v>2866</v>
      </c>
    </row>
    <row r="1782" spans="1:9" hidden="1">
      <c r="A1782" s="23">
        <v>1782</v>
      </c>
      <c r="B1782" s="84">
        <v>45768</v>
      </c>
      <c r="C1782" s="23" t="s">
        <v>1089</v>
      </c>
      <c r="D1782" s="23" t="s">
        <v>164</v>
      </c>
      <c r="G1782" s="23">
        <v>0.8</v>
      </c>
      <c r="I1782" s="217" t="s">
        <v>2867</v>
      </c>
    </row>
    <row r="1783" spans="1:9" hidden="1">
      <c r="A1783" s="23">
        <v>1783</v>
      </c>
      <c r="B1783" s="84">
        <v>45768</v>
      </c>
      <c r="C1783" s="23" t="s">
        <v>1089</v>
      </c>
      <c r="D1783" s="23" t="s">
        <v>391</v>
      </c>
      <c r="G1783" s="23">
        <v>0.8</v>
      </c>
      <c r="I1783" s="217" t="s">
        <v>2868</v>
      </c>
    </row>
    <row r="1784" spans="1:9" hidden="1">
      <c r="A1784" s="23">
        <v>1784</v>
      </c>
      <c r="B1784" s="84">
        <v>45768</v>
      </c>
      <c r="C1784" s="23" t="s">
        <v>1089</v>
      </c>
      <c r="D1784" s="23" t="s">
        <v>236</v>
      </c>
      <c r="G1784" s="23">
        <v>0.8</v>
      </c>
      <c r="I1784" s="217" t="s">
        <v>2869</v>
      </c>
    </row>
    <row r="1785" spans="1:9">
      <c r="A1785" s="23">
        <v>1785</v>
      </c>
      <c r="B1785" s="84">
        <v>45768</v>
      </c>
      <c r="C1785" s="23" t="s">
        <v>861</v>
      </c>
      <c r="D1785" s="23" t="s">
        <v>174</v>
      </c>
      <c r="G1785" s="23">
        <v>0</v>
      </c>
      <c r="I1785" s="217" t="s">
        <v>2870</v>
      </c>
    </row>
    <row r="1786" spans="1:9">
      <c r="A1786" s="23">
        <v>1786</v>
      </c>
      <c r="B1786" s="84">
        <v>45768</v>
      </c>
      <c r="C1786" s="23" t="s">
        <v>459</v>
      </c>
      <c r="D1786" s="23" t="s">
        <v>174</v>
      </c>
      <c r="G1786" s="23">
        <v>1.5</v>
      </c>
      <c r="I1786" s="217" t="s">
        <v>1294</v>
      </c>
    </row>
    <row r="1787" spans="1:9">
      <c r="A1787" s="23">
        <v>1787</v>
      </c>
      <c r="B1787" s="84">
        <v>45768</v>
      </c>
      <c r="C1787" s="23" t="s">
        <v>1092</v>
      </c>
      <c r="D1787" s="23" t="s">
        <v>180</v>
      </c>
      <c r="G1787" s="23">
        <v>1.5</v>
      </c>
      <c r="I1787" s="217" t="s">
        <v>2871</v>
      </c>
    </row>
    <row r="1788" spans="1:9" hidden="1">
      <c r="A1788" s="23">
        <v>1788</v>
      </c>
      <c r="B1788" s="84">
        <v>45768</v>
      </c>
      <c r="C1788" s="23" t="s">
        <v>894</v>
      </c>
      <c r="D1788" s="23" t="s">
        <v>232</v>
      </c>
      <c r="G1788" s="23">
        <v>0</v>
      </c>
      <c r="I1788" s="217" t="s">
        <v>2872</v>
      </c>
    </row>
    <row r="1789" spans="1:9" hidden="1">
      <c r="A1789" s="23">
        <v>1789</v>
      </c>
      <c r="B1789" s="84">
        <v>45768</v>
      </c>
      <c r="C1789" s="23" t="s">
        <v>894</v>
      </c>
      <c r="D1789" s="23" t="s">
        <v>234</v>
      </c>
      <c r="G1789" s="23">
        <v>0</v>
      </c>
      <c r="I1789" s="217" t="s">
        <v>2873</v>
      </c>
    </row>
    <row r="1790" spans="1:9" hidden="1">
      <c r="A1790" s="23">
        <v>1790</v>
      </c>
      <c r="B1790" s="84">
        <v>45768</v>
      </c>
      <c r="C1790" s="23" t="s">
        <v>1090</v>
      </c>
      <c r="D1790" s="23" t="s">
        <v>164</v>
      </c>
      <c r="G1790" s="23">
        <v>0</v>
      </c>
      <c r="I1790" s="217" t="s">
        <v>2874</v>
      </c>
    </row>
    <row r="1791" spans="1:9" hidden="1">
      <c r="A1791" s="23">
        <v>1791</v>
      </c>
      <c r="B1791" s="84">
        <v>45768</v>
      </c>
      <c r="C1791" s="23" t="s">
        <v>1090</v>
      </c>
      <c r="D1791" s="23" t="s">
        <v>391</v>
      </c>
      <c r="G1791" s="23">
        <v>0</v>
      </c>
      <c r="I1791" s="217" t="s">
        <v>2875</v>
      </c>
    </row>
    <row r="1792" spans="1:9" hidden="1">
      <c r="A1792" s="23">
        <v>1792</v>
      </c>
      <c r="B1792" s="84">
        <v>45768</v>
      </c>
      <c r="C1792" s="23" t="s">
        <v>193</v>
      </c>
      <c r="D1792" s="23" t="s">
        <v>236</v>
      </c>
      <c r="G1792" s="23">
        <v>0</v>
      </c>
      <c r="I1792" s="217" t="s">
        <v>2876</v>
      </c>
    </row>
    <row r="1793" spans="1:9" hidden="1">
      <c r="A1793" s="23">
        <v>1793</v>
      </c>
      <c r="B1793" s="84">
        <v>45768</v>
      </c>
      <c r="C1793" s="23" t="s">
        <v>982</v>
      </c>
      <c r="D1793" s="23" t="s">
        <v>186</v>
      </c>
      <c r="G1793" s="23">
        <v>0</v>
      </c>
      <c r="I1793" s="217" t="s">
        <v>2877</v>
      </c>
    </row>
    <row r="1794" spans="1:9" hidden="1">
      <c r="A1794" s="23">
        <v>1794</v>
      </c>
      <c r="B1794" s="84">
        <v>45768</v>
      </c>
      <c r="C1794" s="23" t="s">
        <v>1030</v>
      </c>
      <c r="D1794" s="23" t="s">
        <v>183</v>
      </c>
      <c r="G1794" s="23">
        <v>0</v>
      </c>
      <c r="I1794" s="217" t="s">
        <v>2878</v>
      </c>
    </row>
    <row r="1795" spans="1:9" hidden="1">
      <c r="A1795" s="23">
        <v>1795</v>
      </c>
      <c r="B1795" s="84">
        <v>45768</v>
      </c>
      <c r="C1795" s="23" t="s">
        <v>798</v>
      </c>
      <c r="D1795" s="23" t="s">
        <v>236</v>
      </c>
      <c r="G1795" s="23">
        <v>0.7</v>
      </c>
      <c r="I1795" s="217" t="s">
        <v>1294</v>
      </c>
    </row>
    <row r="1796" spans="1:9" hidden="1">
      <c r="A1796" s="23">
        <v>1796</v>
      </c>
      <c r="B1796" s="84">
        <v>45768</v>
      </c>
      <c r="C1796" s="23" t="s">
        <v>1088</v>
      </c>
      <c r="D1796" s="23" t="s">
        <v>335</v>
      </c>
      <c r="G1796" s="23">
        <v>0</v>
      </c>
      <c r="I1796" s="217" t="s">
        <v>2879</v>
      </c>
    </row>
    <row r="1797" spans="1:9" hidden="1">
      <c r="A1797" s="23">
        <v>1797</v>
      </c>
      <c r="B1797" s="84">
        <v>45768</v>
      </c>
      <c r="C1797" s="23" t="s">
        <v>1093</v>
      </c>
      <c r="D1797" s="23" t="s">
        <v>236</v>
      </c>
      <c r="G1797" s="23">
        <v>0</v>
      </c>
      <c r="I1797" s="217" t="s">
        <v>2880</v>
      </c>
    </row>
    <row r="1798" spans="1:9" hidden="1">
      <c r="A1798" s="23">
        <v>1798</v>
      </c>
      <c r="B1798" s="84">
        <v>45768</v>
      </c>
      <c r="C1798" s="23" t="s">
        <v>955</v>
      </c>
      <c r="D1798" s="23" t="s">
        <v>391</v>
      </c>
      <c r="G1798" s="23">
        <v>0.8</v>
      </c>
      <c r="I1798" s="217" t="s">
        <v>2881</v>
      </c>
    </row>
    <row r="1799" spans="1:9" hidden="1">
      <c r="A1799" s="23">
        <v>1799</v>
      </c>
      <c r="B1799" s="84">
        <v>45768</v>
      </c>
      <c r="C1799" s="23" t="s">
        <v>623</v>
      </c>
      <c r="D1799" s="23" t="s">
        <v>164</v>
      </c>
      <c r="G1799" s="23">
        <v>0.8</v>
      </c>
      <c r="I1799" s="217" t="s">
        <v>2882</v>
      </c>
    </row>
    <row r="1800" spans="1:9" hidden="1">
      <c r="A1800" s="23">
        <v>1800</v>
      </c>
      <c r="B1800" s="84">
        <v>45768</v>
      </c>
      <c r="C1800" s="23" t="s">
        <v>453</v>
      </c>
      <c r="D1800" s="23" t="s">
        <v>232</v>
      </c>
      <c r="G1800" s="23">
        <v>0.8</v>
      </c>
      <c r="I1800" s="217" t="s">
        <v>2883</v>
      </c>
    </row>
    <row r="1801" spans="1:9" hidden="1">
      <c r="A1801" s="23">
        <v>1801</v>
      </c>
      <c r="B1801" s="84">
        <v>45768</v>
      </c>
      <c r="C1801" s="23" t="s">
        <v>218</v>
      </c>
      <c r="D1801" s="23" t="s">
        <v>211</v>
      </c>
      <c r="G1801" s="23" t="s">
        <v>9</v>
      </c>
      <c r="I1801" s="217" t="s">
        <v>2884</v>
      </c>
    </row>
    <row r="1802" spans="1:9" hidden="1">
      <c r="A1802" s="23">
        <v>1802</v>
      </c>
      <c r="B1802" s="84">
        <v>45768</v>
      </c>
      <c r="C1802" s="23" t="s">
        <v>1095</v>
      </c>
      <c r="D1802" s="23" t="s">
        <v>186</v>
      </c>
      <c r="G1802" s="23">
        <v>3.8</v>
      </c>
      <c r="I1802" s="217" t="s">
        <v>2885</v>
      </c>
    </row>
    <row r="1803" spans="1:9" hidden="1">
      <c r="A1803" s="23">
        <v>1803</v>
      </c>
      <c r="B1803" s="84">
        <v>45768</v>
      </c>
      <c r="C1803" s="23" t="s">
        <v>213</v>
      </c>
      <c r="D1803" s="23" t="s">
        <v>225</v>
      </c>
      <c r="G1803" s="23">
        <v>0.83</v>
      </c>
      <c r="I1803" s="217" t="s">
        <v>2886</v>
      </c>
    </row>
    <row r="1804" spans="1:9" hidden="1">
      <c r="A1804" s="23">
        <v>1804</v>
      </c>
      <c r="B1804" s="84">
        <v>45768</v>
      </c>
      <c r="C1804" s="23" t="s">
        <v>238</v>
      </c>
      <c r="D1804" s="23" t="s">
        <v>217</v>
      </c>
      <c r="G1804" s="23">
        <v>0</v>
      </c>
      <c r="I1804" s="217" t="s">
        <v>2887</v>
      </c>
    </row>
    <row r="1805" spans="1:9" hidden="1">
      <c r="A1805" s="23">
        <v>1805</v>
      </c>
      <c r="B1805" s="84">
        <v>45768</v>
      </c>
      <c r="C1805" s="23" t="s">
        <v>451</v>
      </c>
      <c r="D1805" s="23" t="s">
        <v>164</v>
      </c>
      <c r="G1805" s="23">
        <v>0</v>
      </c>
      <c r="I1805" s="217" t="s">
        <v>2888</v>
      </c>
    </row>
    <row r="1806" spans="1:9" hidden="1">
      <c r="A1806" s="23">
        <v>1806</v>
      </c>
      <c r="B1806" s="84">
        <v>45768</v>
      </c>
      <c r="C1806" s="23" t="s">
        <v>1094</v>
      </c>
      <c r="D1806" s="23" t="s">
        <v>391</v>
      </c>
      <c r="G1806" s="23">
        <v>0</v>
      </c>
      <c r="I1806" s="217" t="s">
        <v>2889</v>
      </c>
    </row>
    <row r="1807" spans="1:9" hidden="1">
      <c r="A1807" s="23">
        <v>1807</v>
      </c>
      <c r="B1807" s="84">
        <v>45768</v>
      </c>
      <c r="C1807" s="23" t="s">
        <v>454</v>
      </c>
      <c r="D1807" s="23" t="s">
        <v>232</v>
      </c>
      <c r="G1807" s="23">
        <v>0</v>
      </c>
      <c r="I1807" s="217" t="s">
        <v>2890</v>
      </c>
    </row>
    <row r="1808" spans="1:9" hidden="1">
      <c r="A1808" s="23">
        <v>1808</v>
      </c>
      <c r="B1808" s="84">
        <v>45768</v>
      </c>
      <c r="C1808" s="23" t="s">
        <v>730</v>
      </c>
      <c r="D1808" s="23" t="s">
        <v>214</v>
      </c>
      <c r="G1808" s="23">
        <v>0</v>
      </c>
      <c r="I1808" s="217" t="s">
        <v>2891</v>
      </c>
    </row>
    <row r="1809" spans="1:9" hidden="1">
      <c r="A1809" s="23">
        <v>1809</v>
      </c>
      <c r="B1809" s="84">
        <v>45768</v>
      </c>
      <c r="C1809" s="23" t="s">
        <v>737</v>
      </c>
      <c r="D1809" s="23" t="s">
        <v>234</v>
      </c>
      <c r="G1809" s="23">
        <v>0.7</v>
      </c>
      <c r="I1809" s="217" t="s">
        <v>2892</v>
      </c>
    </row>
    <row r="1810" spans="1:9" hidden="1">
      <c r="A1810" s="23">
        <v>1810</v>
      </c>
      <c r="B1810" s="84">
        <v>45768</v>
      </c>
      <c r="C1810" s="23" t="s">
        <v>1097</v>
      </c>
      <c r="D1810" s="23" t="s">
        <v>236</v>
      </c>
      <c r="G1810" s="23">
        <v>0.7</v>
      </c>
      <c r="I1810" s="217" t="s">
        <v>2893</v>
      </c>
    </row>
    <row r="1811" spans="1:9" hidden="1">
      <c r="A1811" s="23">
        <v>1811</v>
      </c>
      <c r="B1811" s="84">
        <v>45768</v>
      </c>
      <c r="C1811" s="23" t="s">
        <v>600</v>
      </c>
      <c r="D1811" s="23" t="s">
        <v>391</v>
      </c>
      <c r="G1811" s="23">
        <v>0.7</v>
      </c>
      <c r="I1811" s="217" t="s">
        <v>2894</v>
      </c>
    </row>
    <row r="1812" spans="1:9" hidden="1">
      <c r="A1812" s="23">
        <v>1812</v>
      </c>
      <c r="B1812" s="84">
        <v>45768</v>
      </c>
      <c r="C1812" s="23" t="s">
        <v>597</v>
      </c>
      <c r="D1812" s="23" t="s">
        <v>164</v>
      </c>
      <c r="G1812" s="23">
        <v>0.7</v>
      </c>
      <c r="I1812" s="217" t="s">
        <v>2895</v>
      </c>
    </row>
    <row r="1813" spans="1:9" hidden="1">
      <c r="A1813" s="23">
        <v>1813</v>
      </c>
      <c r="B1813" s="84">
        <v>45768</v>
      </c>
      <c r="C1813" s="23" t="s">
        <v>685</v>
      </c>
      <c r="D1813" s="23" t="s">
        <v>232</v>
      </c>
      <c r="G1813" s="23">
        <v>0.7</v>
      </c>
      <c r="I1813" s="217" t="s">
        <v>2896</v>
      </c>
    </row>
    <row r="1814" spans="1:9">
      <c r="A1814" s="23">
        <v>1814</v>
      </c>
      <c r="B1814" s="84">
        <v>45768</v>
      </c>
      <c r="C1814" s="23" t="s">
        <v>1099</v>
      </c>
      <c r="D1814" s="23" t="s">
        <v>177</v>
      </c>
      <c r="G1814" s="23">
        <v>6.7</v>
      </c>
      <c r="I1814" s="217" t="s">
        <v>2897</v>
      </c>
    </row>
    <row r="1815" spans="1:9" hidden="1">
      <c r="A1815" s="23">
        <v>1815</v>
      </c>
      <c r="B1815" s="84">
        <v>45768</v>
      </c>
      <c r="C1815" s="23" t="s">
        <v>654</v>
      </c>
      <c r="D1815" s="23" t="s">
        <v>234</v>
      </c>
      <c r="G1815" s="23">
        <v>0</v>
      </c>
      <c r="I1815" s="217" t="s">
        <v>2892</v>
      </c>
    </row>
    <row r="1816" spans="1:9" hidden="1">
      <c r="A1816" s="23">
        <v>1816</v>
      </c>
      <c r="B1816" s="84">
        <v>45768</v>
      </c>
      <c r="C1816" s="23" t="s">
        <v>458</v>
      </c>
      <c r="D1816" s="23" t="s">
        <v>214</v>
      </c>
      <c r="G1816" s="23">
        <v>0.55000000000000004</v>
      </c>
      <c r="I1816" s="217" t="s">
        <v>2898</v>
      </c>
    </row>
    <row r="1817" spans="1:9" hidden="1">
      <c r="A1817" s="23">
        <v>1817</v>
      </c>
      <c r="B1817" s="84">
        <v>45768</v>
      </c>
      <c r="C1817" s="23" t="s">
        <v>259</v>
      </c>
      <c r="D1817" s="23" t="s">
        <v>183</v>
      </c>
      <c r="G1817" s="23">
        <v>2.8</v>
      </c>
      <c r="I1817" s="217" t="s">
        <v>2899</v>
      </c>
    </row>
    <row r="1818" spans="1:9" hidden="1">
      <c r="A1818" s="23">
        <v>1818</v>
      </c>
      <c r="B1818" s="84">
        <v>45768</v>
      </c>
      <c r="C1818" s="23" t="s">
        <v>604</v>
      </c>
      <c r="D1818" s="23" t="s">
        <v>234</v>
      </c>
      <c r="G1818" s="23">
        <v>0.8</v>
      </c>
      <c r="I1818" s="217" t="s">
        <v>2900</v>
      </c>
    </row>
    <row r="1819" spans="1:9" hidden="1">
      <c r="A1819" s="23">
        <v>1819</v>
      </c>
      <c r="B1819" s="84">
        <v>45768</v>
      </c>
      <c r="C1819" s="23" t="s">
        <v>554</v>
      </c>
      <c r="D1819" s="23" t="s">
        <v>335</v>
      </c>
      <c r="G1819" s="23">
        <v>3.8</v>
      </c>
      <c r="I1819" s="217" t="s">
        <v>2901</v>
      </c>
    </row>
    <row r="1820" spans="1:9" hidden="1">
      <c r="A1820" s="23">
        <v>1820</v>
      </c>
      <c r="B1820" s="84">
        <v>45768</v>
      </c>
      <c r="C1820" s="23" t="s">
        <v>1098</v>
      </c>
      <c r="D1820" s="23" t="s">
        <v>236</v>
      </c>
      <c r="G1820" s="23">
        <v>0</v>
      </c>
      <c r="I1820" s="217" t="s">
        <v>2902</v>
      </c>
    </row>
    <row r="1821" spans="1:9" hidden="1">
      <c r="A1821" s="23">
        <v>1821</v>
      </c>
      <c r="B1821" s="84">
        <v>45768</v>
      </c>
      <c r="C1821" s="23" t="s">
        <v>251</v>
      </c>
      <c r="D1821" s="23" t="s">
        <v>391</v>
      </c>
      <c r="G1821" s="23">
        <v>0</v>
      </c>
      <c r="I1821" s="217" t="s">
        <v>2903</v>
      </c>
    </row>
    <row r="1822" spans="1:9" hidden="1">
      <c r="A1822" s="23">
        <v>1822</v>
      </c>
      <c r="B1822" s="84">
        <v>45768</v>
      </c>
      <c r="C1822" s="23" t="s">
        <v>376</v>
      </c>
      <c r="D1822" s="23" t="s">
        <v>236</v>
      </c>
      <c r="G1822" s="23">
        <v>0.75</v>
      </c>
      <c r="I1822" s="217" t="s">
        <v>2904</v>
      </c>
    </row>
    <row r="1823" spans="1:9" hidden="1">
      <c r="A1823" s="23">
        <v>1823</v>
      </c>
      <c r="B1823" s="84">
        <v>45768</v>
      </c>
      <c r="C1823" s="23" t="s">
        <v>270</v>
      </c>
      <c r="D1823" s="23" t="s">
        <v>391</v>
      </c>
      <c r="G1823" s="23">
        <v>0.7</v>
      </c>
      <c r="I1823" s="217" t="s">
        <v>2905</v>
      </c>
    </row>
    <row r="1824" spans="1:9">
      <c r="A1824" s="23">
        <v>1824</v>
      </c>
      <c r="B1824" s="84">
        <v>45768</v>
      </c>
      <c r="C1824" s="23" t="s">
        <v>612</v>
      </c>
      <c r="D1824" s="23" t="s">
        <v>248</v>
      </c>
      <c r="G1824" s="23">
        <v>1</v>
      </c>
      <c r="I1824" s="217" t="s">
        <v>2906</v>
      </c>
    </row>
    <row r="1825" spans="1:9" hidden="1">
      <c r="A1825" s="23">
        <v>1825</v>
      </c>
      <c r="B1825" s="84">
        <v>45768</v>
      </c>
      <c r="C1825" s="23" t="s">
        <v>393</v>
      </c>
      <c r="D1825" s="23" t="s">
        <v>164</v>
      </c>
      <c r="G1825" s="23">
        <v>0</v>
      </c>
      <c r="I1825" s="217" t="s">
        <v>2907</v>
      </c>
    </row>
    <row r="1826" spans="1:9" hidden="1">
      <c r="A1826" s="23">
        <v>1826</v>
      </c>
      <c r="B1826" s="84">
        <v>45768</v>
      </c>
      <c r="C1826" s="23" t="s">
        <v>493</v>
      </c>
      <c r="D1826" s="23" t="s">
        <v>232</v>
      </c>
      <c r="G1826" s="23">
        <v>0</v>
      </c>
      <c r="I1826" s="217" t="s">
        <v>2908</v>
      </c>
    </row>
    <row r="1827" spans="1:9" hidden="1">
      <c r="A1827" s="23">
        <v>1827</v>
      </c>
      <c r="B1827" s="84">
        <v>45768</v>
      </c>
      <c r="C1827" s="23" t="s">
        <v>1105</v>
      </c>
      <c r="D1827" s="23" t="s">
        <v>232</v>
      </c>
      <c r="G1827" s="23">
        <v>0.7</v>
      </c>
      <c r="I1827" s="217" t="s">
        <v>2909</v>
      </c>
    </row>
    <row r="1828" spans="1:9" hidden="1">
      <c r="A1828" s="23">
        <v>1828</v>
      </c>
      <c r="B1828" s="84">
        <v>45768</v>
      </c>
      <c r="C1828" s="23" t="s">
        <v>1101</v>
      </c>
      <c r="D1828" s="23" t="s">
        <v>335</v>
      </c>
      <c r="G1828" s="23" t="s">
        <v>9</v>
      </c>
      <c r="I1828" s="217" t="s">
        <v>2910</v>
      </c>
    </row>
    <row r="1829" spans="1:9" hidden="1">
      <c r="A1829" s="23">
        <v>1829</v>
      </c>
      <c r="B1829" s="84">
        <v>45768</v>
      </c>
      <c r="C1829" s="23" t="s">
        <v>336</v>
      </c>
      <c r="D1829" s="23" t="s">
        <v>164</v>
      </c>
      <c r="G1829" s="23">
        <v>0.7</v>
      </c>
      <c r="I1829" s="217" t="s">
        <v>2911</v>
      </c>
    </row>
    <row r="1830" spans="1:9" hidden="1">
      <c r="A1830" s="23">
        <v>1830</v>
      </c>
      <c r="B1830" s="84">
        <v>45768</v>
      </c>
      <c r="C1830" s="23" t="s">
        <v>329</v>
      </c>
      <c r="D1830" s="23" t="s">
        <v>199</v>
      </c>
      <c r="G1830" s="23">
        <v>1</v>
      </c>
      <c r="I1830" s="217" t="s">
        <v>2912</v>
      </c>
    </row>
    <row r="1831" spans="1:9" hidden="1">
      <c r="A1831" s="23">
        <v>1831</v>
      </c>
      <c r="B1831" s="84">
        <v>45768</v>
      </c>
      <c r="C1831" s="23" t="s">
        <v>509</v>
      </c>
      <c r="D1831" s="23" t="s">
        <v>205</v>
      </c>
      <c r="G1831" s="23">
        <v>1</v>
      </c>
      <c r="I1831" s="217" t="s">
        <v>2913</v>
      </c>
    </row>
    <row r="1832" spans="1:9" hidden="1">
      <c r="A1832" s="23">
        <v>1832</v>
      </c>
      <c r="B1832" s="84">
        <v>45768</v>
      </c>
      <c r="C1832" s="23" t="s">
        <v>560</v>
      </c>
      <c r="D1832" s="23" t="s">
        <v>398</v>
      </c>
      <c r="G1832" s="23">
        <v>0.8</v>
      </c>
      <c r="I1832" s="217" t="s">
        <v>2914</v>
      </c>
    </row>
    <row r="1833" spans="1:9" hidden="1">
      <c r="A1833" s="23">
        <v>1833</v>
      </c>
      <c r="B1833" s="84">
        <v>45768</v>
      </c>
      <c r="C1833" s="23" t="s">
        <v>1106</v>
      </c>
      <c r="D1833" s="23" t="s">
        <v>335</v>
      </c>
      <c r="G1833" s="23">
        <v>0</v>
      </c>
      <c r="I1833" s="217" t="s">
        <v>2915</v>
      </c>
    </row>
    <row r="1834" spans="1:9" ht="28.15" hidden="1">
      <c r="A1834" s="23">
        <v>1834</v>
      </c>
      <c r="B1834" s="84">
        <v>45768</v>
      </c>
      <c r="C1834" s="23" t="s">
        <v>1106</v>
      </c>
      <c r="D1834" s="23" t="s">
        <v>335</v>
      </c>
      <c r="G1834" s="23">
        <v>2.7</v>
      </c>
      <c r="H1834" s="457" t="s">
        <v>1107</v>
      </c>
      <c r="I1834" s="217" t="s">
        <v>1294</v>
      </c>
    </row>
    <row r="1835" spans="1:9" hidden="1">
      <c r="A1835" s="23">
        <v>1835</v>
      </c>
      <c r="B1835" s="84">
        <v>45768</v>
      </c>
      <c r="C1835" s="23" t="s">
        <v>1109</v>
      </c>
      <c r="D1835" s="23" t="s">
        <v>335</v>
      </c>
      <c r="G1835" s="23">
        <v>0</v>
      </c>
      <c r="I1835" s="217" t="s">
        <v>2915</v>
      </c>
    </row>
    <row r="1836" spans="1:9" hidden="1">
      <c r="A1836" s="23">
        <v>1836</v>
      </c>
      <c r="B1836" s="84">
        <v>45768</v>
      </c>
      <c r="C1836" s="23" t="s">
        <v>1109</v>
      </c>
      <c r="D1836" s="23" t="s">
        <v>335</v>
      </c>
      <c r="G1836" s="23" t="s">
        <v>9</v>
      </c>
      <c r="H1836" s="23" t="s">
        <v>1110</v>
      </c>
      <c r="I1836" s="217" t="s">
        <v>1294</v>
      </c>
    </row>
    <row r="1837" spans="1:9" hidden="1">
      <c r="A1837" s="23">
        <v>1837</v>
      </c>
      <c r="B1837" s="84">
        <v>45768</v>
      </c>
      <c r="C1837" s="23" t="s">
        <v>521</v>
      </c>
      <c r="D1837" s="23" t="s">
        <v>335</v>
      </c>
      <c r="G1837" s="23">
        <v>0</v>
      </c>
      <c r="I1837" s="217" t="s">
        <v>2916</v>
      </c>
    </row>
    <row r="1838" spans="1:9" hidden="1">
      <c r="A1838" s="23">
        <v>1838</v>
      </c>
      <c r="B1838" s="84">
        <v>45768</v>
      </c>
      <c r="C1838" s="23" t="s">
        <v>939</v>
      </c>
      <c r="D1838" s="23" t="s">
        <v>335</v>
      </c>
      <c r="G1838" s="23">
        <v>3</v>
      </c>
      <c r="H1838" s="457" t="s">
        <v>1111</v>
      </c>
      <c r="I1838" s="217" t="s">
        <v>1294</v>
      </c>
    </row>
    <row r="1839" spans="1:9" hidden="1">
      <c r="A1839" s="23">
        <v>1839</v>
      </c>
      <c r="B1839" s="84">
        <v>45768</v>
      </c>
      <c r="C1839" s="23" t="s">
        <v>1108</v>
      </c>
      <c r="D1839" s="23" t="s">
        <v>398</v>
      </c>
      <c r="G1839" s="23">
        <v>0</v>
      </c>
      <c r="I1839" s="217" t="s">
        <v>2917</v>
      </c>
    </row>
    <row r="1840" spans="1:9" hidden="1">
      <c r="A1840" s="23">
        <v>1840</v>
      </c>
      <c r="B1840" s="84">
        <v>45768</v>
      </c>
      <c r="C1840" s="23" t="s">
        <v>363</v>
      </c>
      <c r="D1840" s="23" t="s">
        <v>232</v>
      </c>
      <c r="G1840" s="23">
        <v>0</v>
      </c>
      <c r="I1840" s="217" t="s">
        <v>2918</v>
      </c>
    </row>
    <row r="1841" spans="1:9" hidden="1">
      <c r="A1841" s="23">
        <v>1841</v>
      </c>
      <c r="B1841" s="84">
        <v>45768</v>
      </c>
      <c r="C1841" s="23" t="s">
        <v>379</v>
      </c>
      <c r="D1841" s="23" t="s">
        <v>164</v>
      </c>
      <c r="G1841" s="23">
        <v>0</v>
      </c>
      <c r="I1841" s="217" t="s">
        <v>2919</v>
      </c>
    </row>
    <row r="1842" spans="1:9" hidden="1">
      <c r="A1842" s="23">
        <v>1842</v>
      </c>
      <c r="B1842" s="84">
        <v>45768</v>
      </c>
      <c r="C1842" s="23" t="s">
        <v>410</v>
      </c>
      <c r="D1842" s="23" t="s">
        <v>234</v>
      </c>
      <c r="G1842" s="23">
        <v>0</v>
      </c>
      <c r="I1842" s="217" t="s">
        <v>2920</v>
      </c>
    </row>
    <row r="1843" spans="1:9" hidden="1">
      <c r="A1843" s="23">
        <v>1843</v>
      </c>
      <c r="B1843" s="84">
        <v>45768</v>
      </c>
      <c r="C1843" s="23" t="s">
        <v>1102</v>
      </c>
      <c r="D1843" s="23" t="s">
        <v>236</v>
      </c>
      <c r="G1843" s="23">
        <v>0</v>
      </c>
      <c r="I1843" s="217" t="s">
        <v>2921</v>
      </c>
    </row>
    <row r="1844" spans="1:9" hidden="1">
      <c r="A1844" s="23">
        <v>1844</v>
      </c>
      <c r="B1844" s="84">
        <v>45768</v>
      </c>
      <c r="C1844" s="23" t="s">
        <v>1103</v>
      </c>
      <c r="D1844" s="23" t="s">
        <v>391</v>
      </c>
      <c r="G1844" s="23">
        <v>0</v>
      </c>
      <c r="I1844" s="217" t="s">
        <v>2922</v>
      </c>
    </row>
    <row r="1845" spans="1:9" hidden="1">
      <c r="A1845" s="23">
        <v>1845</v>
      </c>
      <c r="B1845" s="84">
        <v>45768</v>
      </c>
      <c r="C1845" s="23" t="s">
        <v>212</v>
      </c>
      <c r="D1845" s="23" t="s">
        <v>217</v>
      </c>
      <c r="G1845" s="23">
        <v>0.92</v>
      </c>
      <c r="I1845" s="217" t="s">
        <v>2923</v>
      </c>
    </row>
    <row r="1846" spans="1:9" hidden="1">
      <c r="A1846" s="23">
        <v>1846</v>
      </c>
      <c r="B1846" s="84">
        <v>45768</v>
      </c>
      <c r="C1846" s="23" t="s">
        <v>222</v>
      </c>
      <c r="D1846" s="23" t="s">
        <v>225</v>
      </c>
      <c r="G1846" s="23">
        <v>0</v>
      </c>
      <c r="I1846" s="217" t="s">
        <v>2924</v>
      </c>
    </row>
    <row r="1847" spans="1:9" hidden="1">
      <c r="A1847" s="23">
        <v>1847</v>
      </c>
      <c r="B1847" s="84">
        <v>45768</v>
      </c>
      <c r="C1847" s="23" t="s">
        <v>640</v>
      </c>
      <c r="D1847" s="23" t="s">
        <v>205</v>
      </c>
      <c r="G1847" s="23">
        <v>0</v>
      </c>
      <c r="I1847" s="217" t="s">
        <v>2925</v>
      </c>
    </row>
    <row r="1848" spans="1:9" hidden="1">
      <c r="A1848" s="23">
        <v>1848</v>
      </c>
      <c r="B1848" s="84">
        <v>45768</v>
      </c>
      <c r="C1848" s="23" t="s">
        <v>640</v>
      </c>
      <c r="D1848" s="23" t="s">
        <v>205</v>
      </c>
      <c r="G1848" s="23" t="s">
        <v>9</v>
      </c>
      <c r="H1848" s="23" t="s">
        <v>1112</v>
      </c>
      <c r="I1848" s="217" t="s">
        <v>1294</v>
      </c>
    </row>
    <row r="1849" spans="1:9" hidden="1">
      <c r="A1849" s="23">
        <v>1849</v>
      </c>
      <c r="B1849" s="84">
        <v>45768</v>
      </c>
      <c r="C1849" s="23" t="s">
        <v>843</v>
      </c>
      <c r="D1849" s="23" t="s">
        <v>335</v>
      </c>
      <c r="G1849" s="23">
        <v>0</v>
      </c>
      <c r="I1849" s="217" t="s">
        <v>2926</v>
      </c>
    </row>
    <row r="1850" spans="1:9" hidden="1">
      <c r="A1850" s="23">
        <v>1850</v>
      </c>
      <c r="B1850" s="84">
        <v>45768</v>
      </c>
      <c r="C1850" s="23" t="s">
        <v>264</v>
      </c>
      <c r="D1850" s="23" t="s">
        <v>232</v>
      </c>
      <c r="G1850" s="23">
        <v>0.8</v>
      </c>
      <c r="I1850" s="217" t="s">
        <v>2927</v>
      </c>
    </row>
    <row r="1851" spans="1:9" hidden="1">
      <c r="A1851" s="23">
        <v>1851</v>
      </c>
      <c r="B1851" s="84">
        <v>45768</v>
      </c>
      <c r="C1851" s="23" t="s">
        <v>373</v>
      </c>
      <c r="D1851" s="23" t="s">
        <v>199</v>
      </c>
      <c r="G1851" s="23">
        <v>0</v>
      </c>
      <c r="I1851" s="217" t="s">
        <v>2928</v>
      </c>
    </row>
    <row r="1852" spans="1:9" hidden="1">
      <c r="A1852" s="23">
        <v>1852</v>
      </c>
      <c r="B1852" s="84">
        <v>45768</v>
      </c>
      <c r="C1852" s="23" t="s">
        <v>373</v>
      </c>
      <c r="D1852" s="23" t="s">
        <v>199</v>
      </c>
      <c r="G1852" s="23" t="s">
        <v>9</v>
      </c>
      <c r="H1852" s="23" t="s">
        <v>1114</v>
      </c>
      <c r="I1852" s="217" t="s">
        <v>1294</v>
      </c>
    </row>
    <row r="1853" spans="1:9" hidden="1">
      <c r="A1853" s="23">
        <v>1853</v>
      </c>
      <c r="B1853" s="84">
        <v>45768</v>
      </c>
      <c r="C1853" s="23" t="s">
        <v>1113</v>
      </c>
      <c r="D1853" s="23" t="s">
        <v>232</v>
      </c>
      <c r="G1853" s="23">
        <v>0</v>
      </c>
      <c r="I1853" s="217" t="s">
        <v>2929</v>
      </c>
    </row>
    <row r="1854" spans="1:9" hidden="1">
      <c r="A1854" s="23">
        <v>1854</v>
      </c>
      <c r="B1854" s="84">
        <v>45768</v>
      </c>
      <c r="C1854" s="23" t="s">
        <v>913</v>
      </c>
      <c r="D1854" s="23" t="s">
        <v>232</v>
      </c>
      <c r="G1854" s="23">
        <v>0.7</v>
      </c>
      <c r="I1854" s="217" t="s">
        <v>2930</v>
      </c>
    </row>
    <row r="1855" spans="1:9" hidden="1">
      <c r="A1855" s="23">
        <v>1855</v>
      </c>
      <c r="B1855" s="84">
        <v>45768</v>
      </c>
      <c r="C1855" s="23" t="s">
        <v>913</v>
      </c>
      <c r="D1855" s="23" t="s">
        <v>236</v>
      </c>
      <c r="G1855" s="23">
        <v>0.7</v>
      </c>
      <c r="I1855" s="217" t="s">
        <v>2931</v>
      </c>
    </row>
    <row r="1856" spans="1:9" hidden="1">
      <c r="A1856" s="23">
        <v>1856</v>
      </c>
      <c r="B1856" s="84">
        <v>45768</v>
      </c>
      <c r="C1856" s="23" t="s">
        <v>433</v>
      </c>
      <c r="D1856" s="23" t="s">
        <v>391</v>
      </c>
      <c r="G1856" s="23">
        <v>0.7</v>
      </c>
      <c r="I1856" s="217" t="s">
        <v>2932</v>
      </c>
    </row>
    <row r="1857" spans="1:9">
      <c r="A1857" s="23">
        <v>1857</v>
      </c>
      <c r="B1857" s="84">
        <v>45768</v>
      </c>
      <c r="C1857" s="23" t="s">
        <v>1091</v>
      </c>
      <c r="D1857" s="23" t="s">
        <v>174</v>
      </c>
      <c r="G1857" s="23">
        <v>0</v>
      </c>
      <c r="I1857" s="217" t="s">
        <v>2933</v>
      </c>
    </row>
    <row r="1858" spans="1:9" hidden="1">
      <c r="A1858" s="23">
        <v>1858</v>
      </c>
      <c r="B1858" s="84">
        <v>45768</v>
      </c>
      <c r="C1858" s="23" t="s">
        <v>375</v>
      </c>
      <c r="D1858" s="23" t="s">
        <v>232</v>
      </c>
      <c r="G1858" s="23">
        <v>0</v>
      </c>
      <c r="I1858" s="217" t="s">
        <v>2930</v>
      </c>
    </row>
    <row r="1859" spans="1:9" hidden="1">
      <c r="A1859" s="23">
        <v>1859</v>
      </c>
      <c r="B1859" s="84">
        <v>45768</v>
      </c>
      <c r="C1859" s="23" t="s">
        <v>1115</v>
      </c>
      <c r="D1859" s="23" t="s">
        <v>236</v>
      </c>
      <c r="G1859" s="23">
        <v>0</v>
      </c>
      <c r="I1859" s="217" t="s">
        <v>2931</v>
      </c>
    </row>
    <row r="1860" spans="1:9" hidden="1">
      <c r="A1860" s="23">
        <v>1860</v>
      </c>
      <c r="B1860" s="84">
        <v>45768</v>
      </c>
      <c r="C1860" s="23" t="s">
        <v>1116</v>
      </c>
      <c r="D1860" s="23" t="s">
        <v>391</v>
      </c>
      <c r="G1860" s="23">
        <v>0</v>
      </c>
      <c r="I1860" s="217" t="s">
        <v>2932</v>
      </c>
    </row>
    <row r="1861" spans="1:9" hidden="1">
      <c r="A1861" s="23">
        <v>1861</v>
      </c>
      <c r="B1861" s="84">
        <v>45768</v>
      </c>
      <c r="C1861" s="23" t="s">
        <v>1100</v>
      </c>
      <c r="D1861" s="23" t="s">
        <v>183</v>
      </c>
      <c r="G1861" s="23">
        <v>0</v>
      </c>
      <c r="I1861" s="217" t="s">
        <v>2934</v>
      </c>
    </row>
    <row r="1862" spans="1:9" hidden="1">
      <c r="A1862" s="23">
        <v>1862</v>
      </c>
      <c r="B1862" s="84">
        <v>45769</v>
      </c>
      <c r="C1862" s="23" t="s">
        <v>1078</v>
      </c>
      <c r="D1862" s="23" t="s">
        <v>242</v>
      </c>
      <c r="G1862" s="23">
        <v>0</v>
      </c>
      <c r="I1862" s="217" t="s">
        <v>2935</v>
      </c>
    </row>
    <row r="1863" spans="1:9" hidden="1">
      <c r="A1863" s="23">
        <v>1863</v>
      </c>
      <c r="B1863" s="84">
        <v>45769</v>
      </c>
      <c r="C1863" s="23" t="s">
        <v>1096</v>
      </c>
      <c r="D1863" s="23" t="s">
        <v>164</v>
      </c>
      <c r="G1863" s="23">
        <v>0.7</v>
      </c>
      <c r="I1863" s="217" t="s">
        <v>2936</v>
      </c>
    </row>
    <row r="1864" spans="1:9" hidden="1">
      <c r="A1864" s="23">
        <v>1864</v>
      </c>
      <c r="B1864" s="84">
        <v>45769</v>
      </c>
      <c r="C1864" s="23" t="s">
        <v>1096</v>
      </c>
      <c r="D1864" s="23" t="s">
        <v>391</v>
      </c>
      <c r="G1864" s="23">
        <v>0.7</v>
      </c>
      <c r="I1864" s="217" t="s">
        <v>2937</v>
      </c>
    </row>
    <row r="1865" spans="1:9" hidden="1">
      <c r="A1865" s="23">
        <v>1865</v>
      </c>
      <c r="B1865" s="84">
        <v>45769</v>
      </c>
      <c r="C1865" s="23" t="s">
        <v>1096</v>
      </c>
      <c r="D1865" s="23" t="s">
        <v>186</v>
      </c>
      <c r="G1865" s="23">
        <v>0</v>
      </c>
      <c r="I1865" s="217" t="s">
        <v>2938</v>
      </c>
    </row>
    <row r="1866" spans="1:9" hidden="1">
      <c r="A1866" s="23">
        <v>1866</v>
      </c>
      <c r="B1866" s="84">
        <v>45769</v>
      </c>
      <c r="C1866" s="23" t="s">
        <v>1117</v>
      </c>
      <c r="D1866" s="23" t="s">
        <v>391</v>
      </c>
      <c r="G1866" s="23">
        <v>0</v>
      </c>
      <c r="I1866" s="217" t="s">
        <v>2937</v>
      </c>
    </row>
    <row r="1867" spans="1:9" hidden="1">
      <c r="A1867" s="23">
        <v>1867</v>
      </c>
      <c r="B1867" s="84">
        <v>45769</v>
      </c>
      <c r="C1867" s="23" t="s">
        <v>562</v>
      </c>
      <c r="D1867" s="23" t="s">
        <v>164</v>
      </c>
      <c r="G1867" s="23">
        <v>0</v>
      </c>
      <c r="I1867" s="217" t="s">
        <v>2936</v>
      </c>
    </row>
    <row r="1868" spans="1:9">
      <c r="A1868" s="23">
        <v>1868</v>
      </c>
      <c r="B1868" s="84">
        <v>45769</v>
      </c>
      <c r="C1868" s="23" t="s">
        <v>1118</v>
      </c>
      <c r="D1868" s="23" t="s">
        <v>174</v>
      </c>
      <c r="G1868" s="23">
        <v>6.8</v>
      </c>
      <c r="I1868" s="217" t="s">
        <v>2939</v>
      </c>
    </row>
    <row r="1869" spans="1:9">
      <c r="A1869" s="23">
        <v>1869</v>
      </c>
      <c r="B1869" s="84">
        <v>45769</v>
      </c>
      <c r="C1869" s="23" t="s">
        <v>1104</v>
      </c>
      <c r="D1869" s="23" t="s">
        <v>248</v>
      </c>
      <c r="G1869" s="23">
        <v>0</v>
      </c>
      <c r="I1869" s="217" t="s">
        <v>2940</v>
      </c>
    </row>
    <row r="1870" spans="1:9" hidden="1">
      <c r="A1870" s="23">
        <v>1870</v>
      </c>
      <c r="B1870" s="84">
        <v>45769</v>
      </c>
      <c r="C1870" s="23" t="s">
        <v>732</v>
      </c>
      <c r="D1870" s="23" t="s">
        <v>232</v>
      </c>
      <c r="G1870" s="23">
        <v>0.7</v>
      </c>
      <c r="I1870" s="217" t="s">
        <v>2941</v>
      </c>
    </row>
    <row r="1871" spans="1:9">
      <c r="A1871" s="23">
        <v>1871</v>
      </c>
      <c r="B1871" s="84">
        <v>45769</v>
      </c>
      <c r="C1871" s="23" t="s">
        <v>895</v>
      </c>
      <c r="D1871" s="23" t="s">
        <v>248</v>
      </c>
      <c r="G1871" s="23">
        <v>1.5</v>
      </c>
      <c r="I1871" s="217" t="s">
        <v>2942</v>
      </c>
    </row>
    <row r="1872" spans="1:9" hidden="1">
      <c r="A1872" s="23">
        <v>1872</v>
      </c>
      <c r="B1872" s="84">
        <v>45769</v>
      </c>
      <c r="C1872" s="23" t="s">
        <v>213</v>
      </c>
      <c r="D1872" s="23" t="s">
        <v>225</v>
      </c>
      <c r="G1872" s="23">
        <v>0.81</v>
      </c>
      <c r="I1872" s="217" t="s">
        <v>2943</v>
      </c>
    </row>
    <row r="1873" spans="1:9" hidden="1">
      <c r="A1873" s="23">
        <v>1873</v>
      </c>
      <c r="B1873" s="84">
        <v>45769</v>
      </c>
      <c r="C1873" s="23" t="s">
        <v>238</v>
      </c>
      <c r="D1873" s="23" t="s">
        <v>217</v>
      </c>
      <c r="G1873" s="23">
        <v>0</v>
      </c>
      <c r="I1873" s="217" t="s">
        <v>2944</v>
      </c>
    </row>
    <row r="1874" spans="1:9">
      <c r="A1874" s="23">
        <v>1874</v>
      </c>
      <c r="B1874" s="84">
        <v>45769</v>
      </c>
      <c r="C1874" s="23" t="s">
        <v>817</v>
      </c>
      <c r="D1874" s="23" t="s">
        <v>248</v>
      </c>
      <c r="G1874" s="23">
        <v>0</v>
      </c>
      <c r="I1874" s="217" t="s">
        <v>2945</v>
      </c>
    </row>
    <row r="1875" spans="1:9" hidden="1">
      <c r="A1875" s="23">
        <v>1875</v>
      </c>
      <c r="B1875" s="84">
        <v>45769</v>
      </c>
      <c r="C1875" s="23" t="s">
        <v>1120</v>
      </c>
      <c r="D1875" s="23" t="s">
        <v>232</v>
      </c>
      <c r="G1875" s="23">
        <v>0</v>
      </c>
      <c r="I1875" s="217" t="s">
        <v>2946</v>
      </c>
    </row>
    <row r="1876" spans="1:9" hidden="1">
      <c r="A1876" s="23">
        <v>1876</v>
      </c>
      <c r="B1876" s="84">
        <v>45769</v>
      </c>
      <c r="C1876" s="23" t="s">
        <v>630</v>
      </c>
      <c r="D1876" s="23" t="s">
        <v>234</v>
      </c>
      <c r="G1876" s="23">
        <v>0.7</v>
      </c>
      <c r="I1876" s="217" t="s">
        <v>2947</v>
      </c>
    </row>
    <row r="1877" spans="1:9" hidden="1">
      <c r="A1877" s="23">
        <v>1877</v>
      </c>
      <c r="B1877" s="84">
        <v>45769</v>
      </c>
      <c r="C1877" s="23" t="s">
        <v>540</v>
      </c>
      <c r="D1877" s="23" t="s">
        <v>236</v>
      </c>
      <c r="G1877" s="23">
        <v>0.7</v>
      </c>
      <c r="I1877" s="217" t="s">
        <v>2948</v>
      </c>
    </row>
    <row r="1878" spans="1:9" hidden="1">
      <c r="A1878" s="23">
        <v>1878</v>
      </c>
      <c r="B1878" s="84">
        <v>45769</v>
      </c>
      <c r="C1878" s="23" t="s">
        <v>1121</v>
      </c>
      <c r="D1878" s="23" t="s">
        <v>242</v>
      </c>
      <c r="G1878" s="23">
        <v>3.8</v>
      </c>
      <c r="I1878" s="217" t="s">
        <v>2949</v>
      </c>
    </row>
    <row r="1879" spans="1:9" hidden="1">
      <c r="A1879" s="23">
        <v>1879</v>
      </c>
      <c r="B1879" s="84">
        <v>45769</v>
      </c>
      <c r="C1879" s="23" t="s">
        <v>684</v>
      </c>
      <c r="D1879" s="23" t="s">
        <v>164</v>
      </c>
      <c r="G1879" s="23">
        <v>0.7</v>
      </c>
      <c r="I1879" s="217" t="s">
        <v>2950</v>
      </c>
    </row>
    <row r="1880" spans="1:9" hidden="1">
      <c r="A1880" s="23">
        <v>1880</v>
      </c>
      <c r="B1880" s="84">
        <v>45769</v>
      </c>
      <c r="C1880" s="23" t="s">
        <v>1124</v>
      </c>
      <c r="D1880" s="23" t="s">
        <v>391</v>
      </c>
      <c r="G1880" s="23">
        <v>0.7</v>
      </c>
      <c r="I1880" s="217" t="s">
        <v>2951</v>
      </c>
    </row>
    <row r="1881" spans="1:9" hidden="1">
      <c r="A1881" s="23">
        <v>1881</v>
      </c>
      <c r="B1881" s="84">
        <v>45769</v>
      </c>
      <c r="C1881" s="23" t="s">
        <v>654</v>
      </c>
      <c r="D1881" s="23" t="s">
        <v>232</v>
      </c>
      <c r="G1881" s="23">
        <v>0.7</v>
      </c>
      <c r="I1881" s="217" t="s">
        <v>2952</v>
      </c>
    </row>
    <row r="1882" spans="1:9" hidden="1">
      <c r="A1882" s="23">
        <v>1882</v>
      </c>
      <c r="B1882" s="84">
        <v>45769</v>
      </c>
      <c r="C1882" s="23" t="s">
        <v>822</v>
      </c>
      <c r="D1882" s="23" t="s">
        <v>183</v>
      </c>
      <c r="G1882" s="23">
        <v>2.8</v>
      </c>
      <c r="I1882" s="217" t="s">
        <v>2953</v>
      </c>
    </row>
    <row r="1883" spans="1:9" hidden="1">
      <c r="A1883" s="23">
        <v>1883</v>
      </c>
      <c r="B1883" s="84">
        <v>45769</v>
      </c>
      <c r="C1883" s="23" t="s">
        <v>1014</v>
      </c>
      <c r="D1883" s="23" t="s">
        <v>186</v>
      </c>
      <c r="G1883" s="23">
        <v>3.8</v>
      </c>
      <c r="I1883" s="217" t="s">
        <v>2954</v>
      </c>
    </row>
    <row r="1884" spans="1:9" hidden="1">
      <c r="A1884" s="23">
        <v>1884</v>
      </c>
      <c r="B1884" s="84">
        <v>45769</v>
      </c>
      <c r="C1884" s="23" t="s">
        <v>257</v>
      </c>
      <c r="D1884" s="23" t="s">
        <v>335</v>
      </c>
      <c r="G1884" s="23">
        <v>8.8000000000000007</v>
      </c>
      <c r="I1884" s="217" t="s">
        <v>2955</v>
      </c>
    </row>
    <row r="1885" spans="1:9" hidden="1">
      <c r="A1885" s="23">
        <v>1885</v>
      </c>
      <c r="B1885" s="84">
        <v>45769</v>
      </c>
      <c r="C1885" s="23" t="s">
        <v>655</v>
      </c>
      <c r="D1885" s="23" t="s">
        <v>234</v>
      </c>
      <c r="G1885" s="23">
        <v>0</v>
      </c>
      <c r="I1885" s="217" t="s">
        <v>2947</v>
      </c>
    </row>
    <row r="1886" spans="1:9">
      <c r="A1886" s="23">
        <v>1886</v>
      </c>
      <c r="B1886" s="84">
        <v>45769</v>
      </c>
      <c r="C1886" s="23" t="s">
        <v>998</v>
      </c>
      <c r="D1886" s="23" t="s">
        <v>248</v>
      </c>
      <c r="G1886" s="23">
        <v>6.7</v>
      </c>
      <c r="I1886" s="217" t="s">
        <v>2956</v>
      </c>
    </row>
    <row r="1887" spans="1:9" hidden="1">
      <c r="A1887" s="23">
        <v>1887</v>
      </c>
      <c r="B1887" s="84">
        <v>45769</v>
      </c>
      <c r="C1887" s="23" t="s">
        <v>780</v>
      </c>
      <c r="D1887" s="23" t="s">
        <v>236</v>
      </c>
      <c r="G1887" s="23">
        <v>0</v>
      </c>
      <c r="I1887" s="217" t="s">
        <v>2957</v>
      </c>
    </row>
    <row r="1888" spans="1:9" hidden="1">
      <c r="A1888" s="23">
        <v>1888</v>
      </c>
      <c r="B1888" s="84">
        <v>45769</v>
      </c>
      <c r="C1888" s="23" t="s">
        <v>782</v>
      </c>
      <c r="D1888" s="23" t="s">
        <v>391</v>
      </c>
      <c r="G1888" s="23">
        <v>0</v>
      </c>
      <c r="I1888" s="217" t="s">
        <v>2958</v>
      </c>
    </row>
    <row r="1889" spans="1:9" hidden="1">
      <c r="A1889" s="23">
        <v>1889</v>
      </c>
      <c r="B1889" s="84">
        <v>45769</v>
      </c>
      <c r="C1889" s="23" t="s">
        <v>1123</v>
      </c>
      <c r="D1889" s="23" t="s">
        <v>232</v>
      </c>
      <c r="G1889" s="23">
        <v>0</v>
      </c>
      <c r="I1889" s="217" t="s">
        <v>2959</v>
      </c>
    </row>
    <row r="1890" spans="1:9" hidden="1">
      <c r="A1890" s="23">
        <v>1890</v>
      </c>
      <c r="B1890" s="84">
        <v>45769</v>
      </c>
      <c r="C1890" s="23" t="s">
        <v>1123</v>
      </c>
      <c r="D1890" s="23" t="s">
        <v>164</v>
      </c>
      <c r="G1890" s="23">
        <v>0</v>
      </c>
      <c r="I1890" s="217" t="s">
        <v>2960</v>
      </c>
    </row>
    <row r="1891" spans="1:9" hidden="1">
      <c r="A1891" s="23">
        <v>1891</v>
      </c>
      <c r="B1891" s="84">
        <v>45769</v>
      </c>
      <c r="C1891" s="23" t="s">
        <v>787</v>
      </c>
      <c r="D1891" s="23" t="s">
        <v>234</v>
      </c>
      <c r="G1891" s="23">
        <v>0.6</v>
      </c>
      <c r="I1891" s="217" t="s">
        <v>2961</v>
      </c>
    </row>
    <row r="1892" spans="1:9" hidden="1">
      <c r="A1892" s="23">
        <v>1892</v>
      </c>
      <c r="B1892" s="84">
        <v>45769</v>
      </c>
      <c r="C1892" s="23" t="s">
        <v>485</v>
      </c>
      <c r="D1892" s="23" t="s">
        <v>234</v>
      </c>
      <c r="G1892" s="23">
        <v>0</v>
      </c>
      <c r="I1892" s="217" t="s">
        <v>2962</v>
      </c>
    </row>
    <row r="1893" spans="1:9" hidden="1">
      <c r="A1893" s="23">
        <v>1893</v>
      </c>
      <c r="B1893" s="84">
        <v>45769</v>
      </c>
      <c r="C1893" s="23" t="s">
        <v>607</v>
      </c>
      <c r="D1893" s="23" t="s">
        <v>211</v>
      </c>
      <c r="G1893" s="23">
        <v>0.72</v>
      </c>
      <c r="I1893" s="217" t="s">
        <v>2963</v>
      </c>
    </row>
    <row r="1894" spans="1:9" hidden="1">
      <c r="A1894" s="23">
        <v>1894</v>
      </c>
      <c r="B1894" s="84">
        <v>45769</v>
      </c>
      <c r="C1894" s="23" t="s">
        <v>891</v>
      </c>
      <c r="D1894" s="23" t="s">
        <v>232</v>
      </c>
      <c r="G1894" s="23">
        <v>0.7</v>
      </c>
      <c r="I1894" s="217" t="s">
        <v>2964</v>
      </c>
    </row>
    <row r="1895" spans="1:9" hidden="1">
      <c r="A1895" s="23">
        <v>1895</v>
      </c>
      <c r="B1895" s="84">
        <v>45769</v>
      </c>
      <c r="C1895" s="23" t="s">
        <v>891</v>
      </c>
      <c r="D1895" s="23" t="s">
        <v>236</v>
      </c>
      <c r="G1895" s="23">
        <v>0.7</v>
      </c>
      <c r="I1895" s="217" t="s">
        <v>2965</v>
      </c>
    </row>
    <row r="1896" spans="1:9" hidden="1">
      <c r="A1896" s="23">
        <v>1896</v>
      </c>
      <c r="B1896" s="84">
        <v>45769</v>
      </c>
      <c r="C1896" s="23" t="s">
        <v>891</v>
      </c>
      <c r="D1896" s="23" t="s">
        <v>234</v>
      </c>
      <c r="G1896" s="23">
        <v>0.7</v>
      </c>
      <c r="I1896" s="217" t="s">
        <v>2966</v>
      </c>
    </row>
    <row r="1897" spans="1:9" hidden="1">
      <c r="A1897" s="23">
        <v>1897</v>
      </c>
      <c r="B1897" s="84">
        <v>45769</v>
      </c>
      <c r="C1897" s="23" t="s">
        <v>891</v>
      </c>
      <c r="D1897" s="23" t="s">
        <v>164</v>
      </c>
      <c r="G1897" s="23">
        <v>0.7</v>
      </c>
      <c r="I1897" s="217" t="s">
        <v>2967</v>
      </c>
    </row>
    <row r="1898" spans="1:9" hidden="1">
      <c r="A1898" s="23">
        <v>1898</v>
      </c>
      <c r="B1898" s="84">
        <v>45769</v>
      </c>
      <c r="C1898" s="23" t="s">
        <v>1127</v>
      </c>
      <c r="D1898" s="23" t="s">
        <v>391</v>
      </c>
      <c r="G1898" s="23">
        <v>0.7</v>
      </c>
      <c r="I1898" s="217" t="s">
        <v>2968</v>
      </c>
    </row>
    <row r="1899" spans="1:9" hidden="1">
      <c r="A1899" s="23">
        <v>1899</v>
      </c>
      <c r="B1899" s="84">
        <v>45769</v>
      </c>
      <c r="C1899" s="23" t="s">
        <v>1125</v>
      </c>
      <c r="D1899" s="23" t="s">
        <v>183</v>
      </c>
      <c r="G1899" s="23" t="s">
        <v>9</v>
      </c>
      <c r="H1899" s="94" t="s">
        <v>1129</v>
      </c>
      <c r="I1899" s="217" t="s">
        <v>2969</v>
      </c>
    </row>
    <row r="1900" spans="1:9" ht="28.15" hidden="1">
      <c r="A1900" s="23">
        <v>1900</v>
      </c>
      <c r="B1900" s="84">
        <v>45769</v>
      </c>
      <c r="C1900" s="23" t="s">
        <v>1128</v>
      </c>
      <c r="D1900" s="23" t="s">
        <v>183</v>
      </c>
      <c r="G1900" s="23">
        <v>1</v>
      </c>
      <c r="H1900" s="457" t="s">
        <v>1131</v>
      </c>
      <c r="I1900" s="217" t="s">
        <v>2970</v>
      </c>
    </row>
    <row r="1901" spans="1:9" hidden="1">
      <c r="A1901" s="23">
        <v>1901</v>
      </c>
      <c r="B1901" s="84">
        <v>45769</v>
      </c>
      <c r="C1901" s="23" t="s">
        <v>675</v>
      </c>
      <c r="D1901" s="23" t="s">
        <v>211</v>
      </c>
      <c r="G1901" s="23">
        <v>0</v>
      </c>
      <c r="I1901" s="217" t="s">
        <v>2971</v>
      </c>
    </row>
    <row r="1902" spans="1:9" hidden="1">
      <c r="A1902" s="23">
        <v>1902</v>
      </c>
      <c r="B1902" s="84">
        <v>45769</v>
      </c>
      <c r="C1902" s="23" t="s">
        <v>918</v>
      </c>
      <c r="D1902" s="23" t="s">
        <v>189</v>
      </c>
      <c r="G1902" s="23" t="s">
        <v>9</v>
      </c>
      <c r="I1902" s="217" t="s">
        <v>2972</v>
      </c>
    </row>
    <row r="1903" spans="1:9" hidden="1">
      <c r="A1903" s="23">
        <v>1903</v>
      </c>
      <c r="B1903" s="84">
        <v>45769</v>
      </c>
      <c r="C1903" s="23" t="s">
        <v>802</v>
      </c>
      <c r="D1903" s="23" t="s">
        <v>205</v>
      </c>
      <c r="G1903" s="23">
        <v>1</v>
      </c>
      <c r="I1903" s="217" t="s">
        <v>2973</v>
      </c>
    </row>
    <row r="1904" spans="1:9" hidden="1">
      <c r="A1904" s="23">
        <v>1904</v>
      </c>
      <c r="B1904" s="84">
        <v>45769</v>
      </c>
      <c r="C1904" s="23" t="s">
        <v>802</v>
      </c>
      <c r="D1904" s="23" t="s">
        <v>211</v>
      </c>
      <c r="G1904" s="23">
        <v>0.52</v>
      </c>
      <c r="I1904" s="217" t="s">
        <v>2974</v>
      </c>
    </row>
    <row r="1905" spans="1:9" hidden="1">
      <c r="A1905" s="23">
        <v>1905</v>
      </c>
      <c r="B1905" s="84">
        <v>45769</v>
      </c>
      <c r="C1905" s="23" t="s">
        <v>1132</v>
      </c>
      <c r="D1905" s="23" t="s">
        <v>189</v>
      </c>
      <c r="G1905" s="23">
        <v>0</v>
      </c>
      <c r="I1905" s="217" t="s">
        <v>2975</v>
      </c>
    </row>
    <row r="1906" spans="1:9" hidden="1">
      <c r="A1906" s="23">
        <v>1906</v>
      </c>
      <c r="B1906" s="84">
        <v>45769</v>
      </c>
      <c r="C1906" s="23" t="s">
        <v>1132</v>
      </c>
      <c r="D1906" s="23" t="s">
        <v>189</v>
      </c>
      <c r="G1906" s="23">
        <v>4</v>
      </c>
      <c r="I1906" s="217" t="s">
        <v>1294</v>
      </c>
    </row>
    <row r="1907" spans="1:9" hidden="1">
      <c r="A1907" s="23">
        <v>1907</v>
      </c>
      <c r="B1907" s="84">
        <v>45769</v>
      </c>
      <c r="C1907" s="23" t="s">
        <v>937</v>
      </c>
      <c r="D1907" s="23" t="s">
        <v>232</v>
      </c>
      <c r="G1907" s="23">
        <v>0</v>
      </c>
      <c r="I1907" s="217" t="s">
        <v>2976</v>
      </c>
    </row>
    <row r="1908" spans="1:9" hidden="1">
      <c r="A1908" s="23">
        <v>1908</v>
      </c>
      <c r="B1908" s="84">
        <v>45769</v>
      </c>
      <c r="C1908" s="23" t="s">
        <v>1126</v>
      </c>
      <c r="D1908" s="23" t="s">
        <v>234</v>
      </c>
      <c r="G1908" s="23">
        <v>0</v>
      </c>
      <c r="I1908" s="217" t="s">
        <v>2977</v>
      </c>
    </row>
    <row r="1909" spans="1:9" hidden="1">
      <c r="A1909" s="23">
        <v>1909</v>
      </c>
      <c r="B1909" s="84">
        <v>45769</v>
      </c>
      <c r="C1909" s="23" t="s">
        <v>1075</v>
      </c>
      <c r="D1909" s="23" t="s">
        <v>220</v>
      </c>
      <c r="G1909" s="23">
        <v>0</v>
      </c>
      <c r="I1909" s="217" t="s">
        <v>2978</v>
      </c>
    </row>
    <row r="1910" spans="1:9" hidden="1">
      <c r="A1910" s="23">
        <v>1910</v>
      </c>
      <c r="B1910" s="84">
        <v>45769</v>
      </c>
      <c r="C1910" s="23" t="s">
        <v>408</v>
      </c>
      <c r="D1910" s="23" t="s">
        <v>211</v>
      </c>
      <c r="G1910" s="23">
        <v>0</v>
      </c>
      <c r="H1910" s="23" t="s">
        <v>2979</v>
      </c>
      <c r="I1910" s="217" t="s">
        <v>2980</v>
      </c>
    </row>
    <row r="1911" spans="1:9" hidden="1">
      <c r="A1911" s="23">
        <v>1911</v>
      </c>
      <c r="B1911" s="84">
        <v>45769</v>
      </c>
      <c r="C1911" s="23" t="s">
        <v>408</v>
      </c>
      <c r="D1911" s="23" t="s">
        <v>214</v>
      </c>
      <c r="G1911" s="23">
        <v>0</v>
      </c>
      <c r="H1911" s="23" t="s">
        <v>2979</v>
      </c>
      <c r="I1911" s="217" t="s">
        <v>2981</v>
      </c>
    </row>
    <row r="1912" spans="1:9" hidden="1">
      <c r="A1912" s="23">
        <v>1912</v>
      </c>
      <c r="B1912" s="84">
        <v>45769</v>
      </c>
      <c r="C1912" s="23" t="s">
        <v>444</v>
      </c>
      <c r="D1912" s="23" t="s">
        <v>220</v>
      </c>
      <c r="G1912" s="23">
        <v>0.52</v>
      </c>
      <c r="I1912" s="217" t="s">
        <v>1294</v>
      </c>
    </row>
    <row r="1913" spans="1:9" hidden="1">
      <c r="A1913" s="23">
        <v>1913</v>
      </c>
      <c r="B1913" s="84">
        <v>45769</v>
      </c>
      <c r="C1913" s="23" t="s">
        <v>444</v>
      </c>
      <c r="D1913" s="23" t="s">
        <v>214</v>
      </c>
      <c r="G1913" s="23">
        <v>0.52</v>
      </c>
      <c r="I1913" s="217" t="s">
        <v>1294</v>
      </c>
    </row>
    <row r="1914" spans="1:9" hidden="1">
      <c r="A1914" s="23">
        <v>1914</v>
      </c>
      <c r="B1914" s="84">
        <v>45769</v>
      </c>
      <c r="C1914" s="23" t="s">
        <v>1135</v>
      </c>
      <c r="D1914" s="23" t="s">
        <v>211</v>
      </c>
      <c r="G1914" s="23">
        <v>0.52</v>
      </c>
      <c r="I1914" s="217" t="s">
        <v>1294</v>
      </c>
    </row>
    <row r="1915" spans="1:9" hidden="1">
      <c r="A1915" s="23">
        <v>1915</v>
      </c>
      <c r="B1915" s="84">
        <v>45769</v>
      </c>
      <c r="C1915" s="23" t="s">
        <v>1134</v>
      </c>
      <c r="D1915" s="23" t="s">
        <v>220</v>
      </c>
      <c r="G1915" s="23">
        <v>0</v>
      </c>
      <c r="I1915" s="217" t="s">
        <v>2978</v>
      </c>
    </row>
    <row r="1916" spans="1:9" hidden="1">
      <c r="A1916" s="23">
        <v>1916</v>
      </c>
      <c r="B1916" s="84">
        <v>45769</v>
      </c>
      <c r="C1916" s="23" t="s">
        <v>701</v>
      </c>
      <c r="D1916" s="23" t="s">
        <v>236</v>
      </c>
      <c r="G1916" s="23">
        <v>0</v>
      </c>
      <c r="I1916" s="217" t="s">
        <v>2982</v>
      </c>
    </row>
    <row r="1917" spans="1:9" hidden="1">
      <c r="A1917" s="23">
        <v>1917</v>
      </c>
      <c r="B1917" s="84">
        <v>45769</v>
      </c>
      <c r="C1917" s="23" t="s">
        <v>1102</v>
      </c>
      <c r="D1917" s="23" t="s">
        <v>391</v>
      </c>
      <c r="G1917" s="23">
        <v>0</v>
      </c>
      <c r="I1917" s="217" t="s">
        <v>2983</v>
      </c>
    </row>
    <row r="1918" spans="1:9" hidden="1">
      <c r="A1918" s="23">
        <v>1918</v>
      </c>
      <c r="B1918" s="84">
        <v>45769</v>
      </c>
      <c r="C1918" s="23" t="s">
        <v>1000</v>
      </c>
      <c r="D1918" s="23" t="s">
        <v>164</v>
      </c>
      <c r="G1918" s="23">
        <v>0</v>
      </c>
      <c r="I1918" s="217" t="s">
        <v>2984</v>
      </c>
    </row>
    <row r="1919" spans="1:9" hidden="1">
      <c r="A1919" s="23">
        <v>1919</v>
      </c>
      <c r="B1919" s="84">
        <v>45769</v>
      </c>
      <c r="C1919" s="23" t="s">
        <v>359</v>
      </c>
      <c r="D1919" s="23" t="s">
        <v>211</v>
      </c>
      <c r="G1919" s="23">
        <v>0</v>
      </c>
      <c r="I1919" s="217" t="s">
        <v>2985</v>
      </c>
    </row>
    <row r="1920" spans="1:9" hidden="1">
      <c r="A1920" s="23">
        <v>1920</v>
      </c>
      <c r="B1920" s="84">
        <v>45769</v>
      </c>
      <c r="C1920" s="23" t="s">
        <v>359</v>
      </c>
      <c r="D1920" s="23" t="s">
        <v>211</v>
      </c>
      <c r="G1920" s="23" t="s">
        <v>9</v>
      </c>
      <c r="H1920" s="94" t="s">
        <v>1136</v>
      </c>
      <c r="I1920" s="217" t="s">
        <v>1294</v>
      </c>
    </row>
    <row r="1921" spans="1:9" hidden="1">
      <c r="A1921" s="23">
        <v>1921</v>
      </c>
      <c r="B1921" s="84">
        <v>45769</v>
      </c>
      <c r="C1921" s="23" t="s">
        <v>359</v>
      </c>
      <c r="D1921" s="23" t="s">
        <v>214</v>
      </c>
      <c r="G1921" s="23">
        <v>0</v>
      </c>
      <c r="H1921" s="23" t="s">
        <v>2986</v>
      </c>
      <c r="I1921" s="217" t="s">
        <v>2987</v>
      </c>
    </row>
    <row r="1922" spans="1:9" hidden="1">
      <c r="A1922" s="23">
        <v>1922</v>
      </c>
      <c r="B1922" s="84">
        <v>45769</v>
      </c>
      <c r="C1922" s="23" t="s">
        <v>1137</v>
      </c>
      <c r="D1922" s="23" t="s">
        <v>220</v>
      </c>
      <c r="G1922" s="23">
        <v>0.7</v>
      </c>
      <c r="I1922" s="217" t="s">
        <v>2988</v>
      </c>
    </row>
    <row r="1923" spans="1:9" hidden="1">
      <c r="A1923" s="23">
        <v>1923</v>
      </c>
      <c r="B1923" s="84">
        <v>45769</v>
      </c>
      <c r="C1923" s="23" t="s">
        <v>1137</v>
      </c>
      <c r="D1923" s="23" t="s">
        <v>214</v>
      </c>
      <c r="G1923" s="23">
        <v>0.7</v>
      </c>
      <c r="I1923" s="217" t="s">
        <v>1294</v>
      </c>
    </row>
    <row r="1924" spans="1:9" hidden="1">
      <c r="A1924" s="23">
        <v>1924</v>
      </c>
      <c r="B1924" s="84">
        <v>45769</v>
      </c>
      <c r="C1924" s="23" t="s">
        <v>212</v>
      </c>
      <c r="D1924" s="23" t="s">
        <v>217</v>
      </c>
      <c r="G1924" s="23">
        <v>0.87</v>
      </c>
      <c r="I1924" s="217" t="s">
        <v>2989</v>
      </c>
    </row>
    <row r="1925" spans="1:9" hidden="1">
      <c r="A1925" s="23">
        <v>1925</v>
      </c>
      <c r="B1925" s="84">
        <v>45769</v>
      </c>
      <c r="C1925" s="23" t="s">
        <v>222</v>
      </c>
      <c r="D1925" s="23" t="s">
        <v>225</v>
      </c>
      <c r="G1925" s="23">
        <v>0</v>
      </c>
      <c r="I1925" s="217" t="s">
        <v>2990</v>
      </c>
    </row>
    <row r="1926" spans="1:9" hidden="1">
      <c r="A1926" s="23">
        <v>1926</v>
      </c>
      <c r="B1926" s="84">
        <v>45769</v>
      </c>
      <c r="C1926" s="23" t="s">
        <v>203</v>
      </c>
      <c r="D1926" s="23" t="s">
        <v>211</v>
      </c>
      <c r="G1926" s="23">
        <v>0</v>
      </c>
      <c r="I1926" s="217" t="s">
        <v>2991</v>
      </c>
    </row>
    <row r="1927" spans="1:9" hidden="1">
      <c r="A1927" s="23">
        <v>1927</v>
      </c>
      <c r="B1927" s="84">
        <v>45769</v>
      </c>
      <c r="C1927" s="23" t="s">
        <v>203</v>
      </c>
      <c r="D1927" s="23" t="s">
        <v>211</v>
      </c>
      <c r="G1927" s="23">
        <v>0.65</v>
      </c>
      <c r="H1927" s="94" t="s">
        <v>1139</v>
      </c>
      <c r="I1927" s="217" t="s">
        <v>1294</v>
      </c>
    </row>
    <row r="1928" spans="1:9" hidden="1">
      <c r="A1928" s="23">
        <v>1928</v>
      </c>
      <c r="B1928" s="84">
        <v>45769</v>
      </c>
      <c r="C1928" s="23" t="s">
        <v>1138</v>
      </c>
      <c r="D1928" s="23" t="s">
        <v>211</v>
      </c>
      <c r="G1928" s="23">
        <v>0</v>
      </c>
      <c r="I1928" s="217" t="s">
        <v>2991</v>
      </c>
    </row>
    <row r="1929" spans="1:9" hidden="1">
      <c r="A1929" s="23">
        <v>1929</v>
      </c>
      <c r="B1929" s="84">
        <v>45769</v>
      </c>
      <c r="C1929" s="23" t="s">
        <v>1138</v>
      </c>
      <c r="D1929" s="23" t="s">
        <v>211</v>
      </c>
      <c r="G1929" s="23" t="s">
        <v>9</v>
      </c>
      <c r="H1929" s="23" t="s">
        <v>1140</v>
      </c>
      <c r="I1929" s="217" t="s">
        <v>1294</v>
      </c>
    </row>
    <row r="1930" spans="1:9" hidden="1">
      <c r="A1930" s="23">
        <v>1930</v>
      </c>
      <c r="B1930" s="84">
        <v>45769</v>
      </c>
      <c r="C1930" s="23" t="s">
        <v>430</v>
      </c>
      <c r="D1930" s="23" t="s">
        <v>211</v>
      </c>
      <c r="G1930" s="23">
        <v>0</v>
      </c>
      <c r="I1930" s="217" t="s">
        <v>2992</v>
      </c>
    </row>
    <row r="1931" spans="1:9" hidden="1">
      <c r="A1931" s="23">
        <v>1931</v>
      </c>
      <c r="B1931" s="84">
        <v>45769</v>
      </c>
      <c r="C1931" s="23" t="s">
        <v>430</v>
      </c>
      <c r="D1931" s="23" t="s">
        <v>211</v>
      </c>
      <c r="G1931" s="23">
        <v>0.8</v>
      </c>
      <c r="I1931" s="217" t="s">
        <v>1294</v>
      </c>
    </row>
    <row r="1932" spans="1:9" hidden="1">
      <c r="A1932" s="23">
        <v>1932</v>
      </c>
      <c r="B1932" s="84">
        <v>45769</v>
      </c>
      <c r="C1932" s="23" t="s">
        <v>887</v>
      </c>
      <c r="D1932" s="23" t="s">
        <v>220</v>
      </c>
      <c r="G1932" s="23">
        <v>0</v>
      </c>
      <c r="I1932" s="217" t="s">
        <v>2993</v>
      </c>
    </row>
    <row r="1933" spans="1:9" hidden="1">
      <c r="A1933" s="23">
        <v>1933</v>
      </c>
      <c r="B1933" s="84">
        <v>45769</v>
      </c>
      <c r="C1933" s="23" t="s">
        <v>1002</v>
      </c>
      <c r="D1933" s="23" t="s">
        <v>232</v>
      </c>
      <c r="G1933" s="23">
        <v>0.7</v>
      </c>
      <c r="I1933" s="217" t="s">
        <v>2994</v>
      </c>
    </row>
    <row r="1934" spans="1:9" hidden="1">
      <c r="A1934" s="23">
        <v>1934</v>
      </c>
      <c r="B1934" s="84">
        <v>45769</v>
      </c>
      <c r="C1934" s="23" t="s">
        <v>432</v>
      </c>
      <c r="D1934" s="23" t="s">
        <v>205</v>
      </c>
      <c r="G1934" s="23">
        <v>0</v>
      </c>
      <c r="I1934" s="217" t="s">
        <v>2995</v>
      </c>
    </row>
    <row r="1935" spans="1:9" hidden="1">
      <c r="A1935" s="23">
        <v>1935</v>
      </c>
      <c r="B1935" s="84">
        <v>45769</v>
      </c>
      <c r="C1935" s="23" t="s">
        <v>432</v>
      </c>
      <c r="D1935" s="23" t="s">
        <v>205</v>
      </c>
      <c r="G1935" s="23" t="s">
        <v>9</v>
      </c>
      <c r="H1935" s="23" t="s">
        <v>2996</v>
      </c>
      <c r="I1935" s="217" t="s">
        <v>1294</v>
      </c>
    </row>
    <row r="1936" spans="1:9" hidden="1">
      <c r="A1936" s="23">
        <v>1936</v>
      </c>
      <c r="B1936" s="84">
        <v>45769</v>
      </c>
      <c r="C1936" s="23" t="s">
        <v>373</v>
      </c>
      <c r="D1936" s="23" t="s">
        <v>220</v>
      </c>
      <c r="G1936" s="23">
        <v>0.79</v>
      </c>
      <c r="I1936" s="217" t="s">
        <v>2997</v>
      </c>
    </row>
    <row r="1937" spans="1:9" hidden="1">
      <c r="A1937" s="23">
        <v>1937</v>
      </c>
      <c r="B1937" s="84">
        <v>45769</v>
      </c>
      <c r="C1937" s="23" t="s">
        <v>405</v>
      </c>
      <c r="D1937" s="23" t="s">
        <v>335</v>
      </c>
      <c r="G1937" s="23">
        <v>0</v>
      </c>
      <c r="I1937" s="217" t="s">
        <v>2998</v>
      </c>
    </row>
    <row r="1938" spans="1:9" hidden="1">
      <c r="A1938" s="23">
        <v>1938</v>
      </c>
      <c r="B1938" s="84">
        <v>45769</v>
      </c>
      <c r="C1938" s="23" t="s">
        <v>292</v>
      </c>
      <c r="D1938" s="23" t="s">
        <v>232</v>
      </c>
      <c r="G1938" s="23">
        <v>0</v>
      </c>
      <c r="I1938" s="217" t="s">
        <v>2994</v>
      </c>
    </row>
    <row r="1939" spans="1:9" hidden="1">
      <c r="A1939" s="23">
        <v>1939</v>
      </c>
      <c r="B1939" s="84">
        <v>45769</v>
      </c>
      <c r="C1939" s="23" t="s">
        <v>1142</v>
      </c>
      <c r="D1939" s="23" t="s">
        <v>234</v>
      </c>
      <c r="G1939" s="23">
        <v>0.7</v>
      </c>
      <c r="I1939" s="217" t="s">
        <v>2999</v>
      </c>
    </row>
    <row r="1940" spans="1:9" hidden="1">
      <c r="A1940" s="23">
        <v>1940</v>
      </c>
      <c r="B1940" s="84">
        <v>45769</v>
      </c>
      <c r="C1940" s="23" t="s">
        <v>1142</v>
      </c>
      <c r="D1940" s="23" t="s">
        <v>236</v>
      </c>
      <c r="G1940" s="23">
        <v>0.7</v>
      </c>
      <c r="I1940" s="217" t="s">
        <v>3000</v>
      </c>
    </row>
    <row r="1941" spans="1:9">
      <c r="A1941" s="23">
        <v>1941</v>
      </c>
      <c r="B1941" s="84">
        <v>45769</v>
      </c>
      <c r="C1941" s="23" t="s">
        <v>435</v>
      </c>
      <c r="D1941" s="23" t="s">
        <v>177</v>
      </c>
      <c r="G1941" s="23">
        <v>0</v>
      </c>
      <c r="I1941" s="217" t="s">
        <v>3001</v>
      </c>
    </row>
    <row r="1942" spans="1:9" hidden="1">
      <c r="A1942" s="23">
        <v>1942</v>
      </c>
      <c r="B1942" s="84">
        <v>45769</v>
      </c>
      <c r="C1942" s="23" t="s">
        <v>537</v>
      </c>
      <c r="D1942" s="23" t="s">
        <v>234</v>
      </c>
      <c r="G1942" s="23">
        <v>0</v>
      </c>
      <c r="I1942" s="217" t="s">
        <v>2999</v>
      </c>
    </row>
    <row r="1943" spans="1:9" hidden="1">
      <c r="A1943" s="23">
        <v>1943</v>
      </c>
      <c r="B1943" s="84">
        <v>45769</v>
      </c>
      <c r="C1943" s="23" t="s">
        <v>539</v>
      </c>
      <c r="D1943" s="23" t="s">
        <v>236</v>
      </c>
      <c r="G1943" s="23">
        <v>0</v>
      </c>
      <c r="I1943" s="217" t="s">
        <v>3000</v>
      </c>
    </row>
    <row r="1944" spans="1:9" hidden="1">
      <c r="A1944" s="23">
        <v>1944</v>
      </c>
      <c r="B1944" s="84">
        <v>45769</v>
      </c>
      <c r="C1944" s="23" t="s">
        <v>1130</v>
      </c>
      <c r="D1944" s="23" t="s">
        <v>183</v>
      </c>
      <c r="G1944" s="23">
        <v>0</v>
      </c>
      <c r="I1944" s="217" t="s">
        <v>3002</v>
      </c>
    </row>
    <row r="1945" spans="1:9" hidden="1">
      <c r="A1945" s="23">
        <v>1945</v>
      </c>
      <c r="B1945" s="84">
        <v>45770</v>
      </c>
      <c r="C1945" s="23" t="s">
        <v>716</v>
      </c>
      <c r="D1945" s="23" t="s">
        <v>186</v>
      </c>
      <c r="G1945" s="23">
        <v>0</v>
      </c>
      <c r="I1945" s="217" t="s">
        <v>3003</v>
      </c>
    </row>
    <row r="1946" spans="1:9" hidden="1">
      <c r="A1946" s="23">
        <v>1946</v>
      </c>
      <c r="B1946" s="84">
        <v>45770</v>
      </c>
      <c r="C1946" s="23" t="s">
        <v>1122</v>
      </c>
      <c r="D1946" s="23" t="s">
        <v>242</v>
      </c>
      <c r="G1946" s="23">
        <v>0</v>
      </c>
      <c r="I1946" s="217" t="s">
        <v>3004</v>
      </c>
    </row>
    <row r="1947" spans="1:9" hidden="1">
      <c r="A1947" s="23">
        <v>1947</v>
      </c>
      <c r="B1947" s="84">
        <v>45769</v>
      </c>
      <c r="C1947" s="23" t="s">
        <v>711</v>
      </c>
      <c r="D1947" s="23" t="s">
        <v>211</v>
      </c>
      <c r="G1947" s="23">
        <v>0</v>
      </c>
      <c r="I1947" s="217" t="s">
        <v>3005</v>
      </c>
    </row>
    <row r="1948" spans="1:9" hidden="1">
      <c r="A1948" s="23">
        <v>1948</v>
      </c>
      <c r="B1948" s="84">
        <v>45770</v>
      </c>
      <c r="C1948" s="23" t="s">
        <v>895</v>
      </c>
      <c r="D1948" s="23" t="s">
        <v>391</v>
      </c>
      <c r="G1948" s="23">
        <v>0.7</v>
      </c>
      <c r="I1948" s="217" t="s">
        <v>3006</v>
      </c>
    </row>
    <row r="1949" spans="1:9" hidden="1">
      <c r="A1949" s="23">
        <v>1949</v>
      </c>
      <c r="B1949" s="84">
        <v>45770</v>
      </c>
      <c r="C1949" s="23" t="s">
        <v>755</v>
      </c>
      <c r="D1949" s="23" t="s">
        <v>183</v>
      </c>
      <c r="G1949" s="23">
        <v>2.5</v>
      </c>
      <c r="I1949" s="217" t="s">
        <v>3007</v>
      </c>
    </row>
    <row r="1950" spans="1:9" hidden="1">
      <c r="A1950" s="23">
        <v>1950</v>
      </c>
      <c r="B1950" s="84">
        <v>45770</v>
      </c>
      <c r="C1950" s="23" t="s">
        <v>456</v>
      </c>
      <c r="D1950" s="23" t="s">
        <v>391</v>
      </c>
      <c r="G1950" s="23">
        <v>0</v>
      </c>
      <c r="I1950" s="217" t="s">
        <v>3008</v>
      </c>
    </row>
    <row r="1951" spans="1:9">
      <c r="A1951" s="23">
        <v>1951</v>
      </c>
      <c r="B1951" s="84">
        <v>45770</v>
      </c>
      <c r="C1951" s="23" t="s">
        <v>451</v>
      </c>
      <c r="D1951" s="23" t="s">
        <v>177</v>
      </c>
      <c r="G1951" s="23">
        <v>6.7</v>
      </c>
      <c r="I1951" s="217" t="s">
        <v>3009</v>
      </c>
    </row>
    <row r="1952" spans="1:9">
      <c r="A1952" s="23">
        <v>1952</v>
      </c>
      <c r="B1952" s="84">
        <v>45770</v>
      </c>
      <c r="C1952" s="23" t="s">
        <v>733</v>
      </c>
      <c r="D1952" s="23" t="s">
        <v>180</v>
      </c>
      <c r="G1952" s="23">
        <v>0</v>
      </c>
      <c r="I1952" s="217" t="s">
        <v>3010</v>
      </c>
    </row>
    <row r="1953" spans="1:9" hidden="1">
      <c r="A1953" s="23">
        <v>1953</v>
      </c>
      <c r="B1953" s="84">
        <v>45770</v>
      </c>
      <c r="C1953" s="23" t="s">
        <v>736</v>
      </c>
      <c r="D1953" s="23" t="s">
        <v>242</v>
      </c>
      <c r="G1953" s="23">
        <v>3.8</v>
      </c>
      <c r="I1953" s="217" t="s">
        <v>3011</v>
      </c>
    </row>
    <row r="1954" spans="1:9" hidden="1">
      <c r="A1954" s="23">
        <v>1954</v>
      </c>
      <c r="B1954" s="84">
        <v>45770</v>
      </c>
      <c r="C1954" s="23" t="s">
        <v>740</v>
      </c>
      <c r="D1954" s="23" t="s">
        <v>186</v>
      </c>
      <c r="G1954" s="23">
        <v>3.8</v>
      </c>
      <c r="I1954" s="217" t="s">
        <v>3012</v>
      </c>
    </row>
    <row r="1955" spans="1:9" hidden="1">
      <c r="A1955" s="23">
        <v>1955</v>
      </c>
      <c r="B1955" s="84">
        <v>45770</v>
      </c>
      <c r="C1955" s="23" t="s">
        <v>458</v>
      </c>
      <c r="D1955" s="23" t="s">
        <v>164</v>
      </c>
      <c r="G1955" s="23">
        <v>0.7</v>
      </c>
      <c r="I1955" s="217" t="s">
        <v>3013</v>
      </c>
    </row>
    <row r="1956" spans="1:9" hidden="1">
      <c r="A1956" s="23">
        <v>1956</v>
      </c>
      <c r="B1956" s="84">
        <v>45770</v>
      </c>
      <c r="C1956" s="23" t="s">
        <v>779</v>
      </c>
      <c r="D1956" s="23" t="s">
        <v>232</v>
      </c>
      <c r="G1956" s="23">
        <v>0.7</v>
      </c>
      <c r="I1956" s="217" t="s">
        <v>3014</v>
      </c>
    </row>
    <row r="1957" spans="1:9" hidden="1">
      <c r="A1957" s="23">
        <v>1957</v>
      </c>
      <c r="B1957" s="84">
        <v>45770</v>
      </c>
      <c r="C1957" s="23" t="s">
        <v>316</v>
      </c>
      <c r="D1957" s="23" t="s">
        <v>234</v>
      </c>
      <c r="G1957" s="23">
        <v>0.7</v>
      </c>
      <c r="I1957" s="217" t="s">
        <v>3015</v>
      </c>
    </row>
    <row r="1958" spans="1:9" hidden="1">
      <c r="A1958" s="23">
        <v>1958</v>
      </c>
      <c r="B1958" s="84">
        <v>45770</v>
      </c>
      <c r="C1958" s="23" t="s">
        <v>994</v>
      </c>
      <c r="D1958" s="23" t="s">
        <v>236</v>
      </c>
      <c r="G1958" s="23">
        <v>0.7</v>
      </c>
      <c r="I1958" s="217" t="s">
        <v>3016</v>
      </c>
    </row>
    <row r="1959" spans="1:9" hidden="1">
      <c r="A1959" s="23">
        <v>1959</v>
      </c>
      <c r="B1959" s="84">
        <v>45770</v>
      </c>
      <c r="C1959" s="23" t="s">
        <v>550</v>
      </c>
      <c r="D1959" s="23" t="s">
        <v>391</v>
      </c>
      <c r="G1959" s="23">
        <v>0.7</v>
      </c>
      <c r="I1959" s="217" t="s">
        <v>3017</v>
      </c>
    </row>
    <row r="1960" spans="1:9" hidden="1">
      <c r="A1960" s="23">
        <v>1960</v>
      </c>
      <c r="B1960" s="84">
        <v>45770</v>
      </c>
      <c r="C1960" s="23" t="s">
        <v>656</v>
      </c>
      <c r="D1960" s="23" t="s">
        <v>335</v>
      </c>
      <c r="G1960" s="23">
        <v>1.8</v>
      </c>
      <c r="I1960" s="217" t="s">
        <v>3018</v>
      </c>
    </row>
    <row r="1961" spans="1:9">
      <c r="A1961" s="23">
        <v>1961</v>
      </c>
      <c r="B1961" s="84">
        <v>45770</v>
      </c>
      <c r="C1961" s="23" t="s">
        <v>1145</v>
      </c>
      <c r="D1961" s="23" t="s">
        <v>180</v>
      </c>
      <c r="G1961" s="23">
        <v>6.7</v>
      </c>
      <c r="I1961" s="217" t="s">
        <v>3019</v>
      </c>
    </row>
    <row r="1962" spans="1:9" hidden="1">
      <c r="A1962" s="23">
        <v>1962</v>
      </c>
      <c r="B1962" s="84">
        <v>45770</v>
      </c>
      <c r="C1962" s="23" t="s">
        <v>829</v>
      </c>
      <c r="D1962" s="23" t="s">
        <v>164</v>
      </c>
      <c r="G1962" s="23">
        <v>0</v>
      </c>
      <c r="I1962" s="217" t="s">
        <v>3020</v>
      </c>
    </row>
    <row r="1963" spans="1:9" hidden="1">
      <c r="A1963" s="23">
        <v>1963</v>
      </c>
      <c r="B1963" s="84">
        <v>45770</v>
      </c>
      <c r="C1963" s="23" t="s">
        <v>1144</v>
      </c>
      <c r="D1963" s="23" t="s">
        <v>232</v>
      </c>
      <c r="G1963" s="23">
        <v>0</v>
      </c>
      <c r="I1963" s="217" t="s">
        <v>3021</v>
      </c>
    </row>
    <row r="1964" spans="1:9" hidden="1">
      <c r="A1964" s="23">
        <v>1964</v>
      </c>
      <c r="B1964" s="84">
        <v>45770</v>
      </c>
      <c r="C1964" s="23" t="s">
        <v>1146</v>
      </c>
      <c r="D1964" s="23" t="s">
        <v>164</v>
      </c>
      <c r="G1964" s="23">
        <v>0.76666666666666661</v>
      </c>
      <c r="I1964" s="217" t="s">
        <v>3022</v>
      </c>
    </row>
    <row r="1965" spans="1:9" hidden="1">
      <c r="A1965" s="23">
        <v>1965</v>
      </c>
      <c r="B1965" s="84">
        <v>45770</v>
      </c>
      <c r="C1965" s="23" t="s">
        <v>880</v>
      </c>
      <c r="D1965" s="23" t="s">
        <v>232</v>
      </c>
      <c r="G1965" s="23">
        <v>0.77500000000000002</v>
      </c>
      <c r="I1965" s="217" t="s">
        <v>3023</v>
      </c>
    </row>
    <row r="1966" spans="1:9" hidden="1">
      <c r="A1966" s="23">
        <v>1966</v>
      </c>
      <c r="B1966" s="84">
        <v>45770</v>
      </c>
      <c r="C1966" s="23" t="s">
        <v>803</v>
      </c>
      <c r="D1966" s="23" t="s">
        <v>234</v>
      </c>
      <c r="G1966" s="23">
        <v>0</v>
      </c>
      <c r="I1966" s="217" t="s">
        <v>3024</v>
      </c>
    </row>
    <row r="1967" spans="1:9" hidden="1">
      <c r="A1967" s="23">
        <v>1967</v>
      </c>
      <c r="B1967" s="84">
        <v>45770</v>
      </c>
      <c r="C1967" s="23" t="s">
        <v>803</v>
      </c>
      <c r="D1967" s="23" t="s">
        <v>220</v>
      </c>
      <c r="G1967" s="23" t="s">
        <v>9</v>
      </c>
      <c r="I1967" s="217" t="s">
        <v>3025</v>
      </c>
    </row>
    <row r="1968" spans="1:9" hidden="1">
      <c r="A1968" s="23">
        <v>1968</v>
      </c>
      <c r="B1968" s="84">
        <v>45770</v>
      </c>
      <c r="C1968" s="23" t="s">
        <v>803</v>
      </c>
      <c r="D1968" s="23" t="s">
        <v>214</v>
      </c>
      <c r="G1968" s="23" t="s">
        <v>9</v>
      </c>
      <c r="I1968" s="217" t="s">
        <v>3026</v>
      </c>
    </row>
    <row r="1969" spans="1:9" hidden="1">
      <c r="A1969" s="23">
        <v>1969</v>
      </c>
      <c r="B1969" s="84">
        <v>45770</v>
      </c>
      <c r="C1969" s="23" t="s">
        <v>1148</v>
      </c>
      <c r="D1969" s="23" t="s">
        <v>234</v>
      </c>
      <c r="G1969" s="23">
        <v>0.7</v>
      </c>
      <c r="I1969" s="217" t="s">
        <v>3027</v>
      </c>
    </row>
    <row r="1970" spans="1:9" hidden="1">
      <c r="A1970" s="23">
        <v>1970</v>
      </c>
      <c r="B1970" s="84">
        <v>45770</v>
      </c>
      <c r="C1970" s="23" t="s">
        <v>1141</v>
      </c>
      <c r="D1970" s="23" t="s">
        <v>205</v>
      </c>
      <c r="G1970" s="23">
        <v>1</v>
      </c>
      <c r="I1970" s="217" t="s">
        <v>3028</v>
      </c>
    </row>
    <row r="1971" spans="1:9" hidden="1">
      <c r="A1971" s="23">
        <v>1971</v>
      </c>
      <c r="B1971" s="84">
        <v>45770</v>
      </c>
      <c r="C1971" s="23" t="s">
        <v>359</v>
      </c>
      <c r="D1971" s="23" t="s">
        <v>236</v>
      </c>
      <c r="G1971" s="23">
        <v>0</v>
      </c>
      <c r="I1971" s="217" t="s">
        <v>3029</v>
      </c>
    </row>
    <row r="1972" spans="1:9" hidden="1">
      <c r="A1972" s="23">
        <v>1972</v>
      </c>
      <c r="B1972" s="84">
        <v>45770</v>
      </c>
      <c r="C1972" s="23" t="s">
        <v>383</v>
      </c>
      <c r="D1972" s="23" t="s">
        <v>391</v>
      </c>
      <c r="G1972" s="23">
        <v>0</v>
      </c>
      <c r="I1972" s="217" t="s">
        <v>3030</v>
      </c>
    </row>
    <row r="1973" spans="1:9" hidden="1">
      <c r="A1973" s="23">
        <v>1973</v>
      </c>
      <c r="B1973" s="84">
        <v>45770</v>
      </c>
      <c r="C1973" s="23" t="s">
        <v>971</v>
      </c>
      <c r="D1973" s="23" t="s">
        <v>232</v>
      </c>
      <c r="G1973" s="23">
        <v>0</v>
      </c>
      <c r="I1973" s="217" t="s">
        <v>3031</v>
      </c>
    </row>
    <row r="1974" spans="1:9" hidden="1">
      <c r="A1974" s="23">
        <v>1974</v>
      </c>
      <c r="B1974" s="84">
        <v>45770</v>
      </c>
      <c r="C1974" s="23" t="s">
        <v>1149</v>
      </c>
      <c r="D1974" s="23" t="s">
        <v>234</v>
      </c>
      <c r="G1974" s="23">
        <v>0</v>
      </c>
      <c r="I1974" s="217" t="s">
        <v>3032</v>
      </c>
    </row>
    <row r="1975" spans="1:9" hidden="1">
      <c r="A1975" s="23">
        <v>1975</v>
      </c>
      <c r="B1975" s="84">
        <v>45770</v>
      </c>
      <c r="C1975" s="23" t="s">
        <v>383</v>
      </c>
      <c r="D1975" s="23" t="s">
        <v>164</v>
      </c>
      <c r="G1975" s="23">
        <v>0</v>
      </c>
      <c r="I1975" s="217" t="s">
        <v>3033</v>
      </c>
    </row>
    <row r="1976" spans="1:9" hidden="1">
      <c r="A1976" s="23">
        <v>1976</v>
      </c>
      <c r="B1976" s="84">
        <v>45770</v>
      </c>
      <c r="C1976" s="23" t="s">
        <v>222</v>
      </c>
      <c r="D1976" s="23" t="s">
        <v>225</v>
      </c>
      <c r="G1976" s="23">
        <v>0.87</v>
      </c>
      <c r="I1976" s="217" t="s">
        <v>3034</v>
      </c>
    </row>
    <row r="1977" spans="1:9" hidden="1">
      <c r="A1977" s="23">
        <v>1977</v>
      </c>
      <c r="B1977" s="84">
        <v>45770</v>
      </c>
      <c r="C1977" s="23" t="s">
        <v>244</v>
      </c>
      <c r="D1977" s="23" t="s">
        <v>217</v>
      </c>
      <c r="G1977" s="23">
        <v>0</v>
      </c>
      <c r="I1977" s="217" t="s">
        <v>3035</v>
      </c>
    </row>
    <row r="1978" spans="1:9" hidden="1">
      <c r="A1978" s="23">
        <v>1978</v>
      </c>
      <c r="B1978" s="84">
        <v>45770</v>
      </c>
      <c r="C1978" s="23" t="s">
        <v>528</v>
      </c>
      <c r="D1978" s="23" t="s">
        <v>232</v>
      </c>
      <c r="G1978" s="23">
        <v>0.8</v>
      </c>
      <c r="I1978" s="217" t="s">
        <v>3036</v>
      </c>
    </row>
    <row r="1979" spans="1:9" hidden="1">
      <c r="A1979" s="23">
        <v>1979</v>
      </c>
      <c r="B1979" s="84">
        <v>45770</v>
      </c>
      <c r="C1979" s="23" t="s">
        <v>762</v>
      </c>
      <c r="D1979" s="23" t="s">
        <v>279</v>
      </c>
      <c r="G1979" s="23">
        <v>1</v>
      </c>
      <c r="I1979" s="217" t="s">
        <v>3037</v>
      </c>
    </row>
    <row r="1980" spans="1:9" hidden="1">
      <c r="A1980" s="23">
        <v>1980</v>
      </c>
      <c r="B1980" s="84">
        <v>45770</v>
      </c>
      <c r="C1980" s="23" t="s">
        <v>634</v>
      </c>
      <c r="D1980" s="23" t="s">
        <v>279</v>
      </c>
      <c r="G1980" s="23">
        <v>0</v>
      </c>
      <c r="I1980" s="217" t="s">
        <v>3037</v>
      </c>
    </row>
    <row r="1981" spans="1:9" hidden="1">
      <c r="A1981" s="23">
        <v>1981</v>
      </c>
      <c r="B1981" s="84">
        <v>45770</v>
      </c>
      <c r="C1981" s="23" t="s">
        <v>499</v>
      </c>
      <c r="D1981" s="23" t="s">
        <v>234</v>
      </c>
      <c r="G1981" s="23">
        <v>0.7</v>
      </c>
      <c r="I1981" s="217" t="s">
        <v>3038</v>
      </c>
    </row>
    <row r="1982" spans="1:9" hidden="1">
      <c r="A1982" s="23">
        <v>1982</v>
      </c>
      <c r="B1982" s="84">
        <v>45770</v>
      </c>
      <c r="C1982" s="23" t="s">
        <v>206</v>
      </c>
      <c r="D1982" s="23" t="s">
        <v>232</v>
      </c>
      <c r="G1982" s="23">
        <v>0</v>
      </c>
      <c r="I1982" s="217" t="s">
        <v>3039</v>
      </c>
    </row>
    <row r="1983" spans="1:9" hidden="1">
      <c r="A1983" s="23">
        <v>1983</v>
      </c>
      <c r="B1983" s="84">
        <v>45770</v>
      </c>
      <c r="C1983" s="23" t="s">
        <v>325</v>
      </c>
      <c r="D1983" s="23" t="s">
        <v>234</v>
      </c>
      <c r="G1983" s="23">
        <v>0</v>
      </c>
      <c r="I1983" s="217" t="s">
        <v>3040</v>
      </c>
    </row>
    <row r="1984" spans="1:9" hidden="1">
      <c r="A1984" s="23">
        <v>1984</v>
      </c>
      <c r="B1984" s="84">
        <v>45770</v>
      </c>
      <c r="C1984" s="23" t="s">
        <v>430</v>
      </c>
      <c r="D1984" s="23" t="s">
        <v>220</v>
      </c>
      <c r="G1984" s="23">
        <v>0.8</v>
      </c>
      <c r="I1984" s="217" t="s">
        <v>3041</v>
      </c>
    </row>
    <row r="1985" spans="1:9" hidden="1">
      <c r="A1985" s="23">
        <v>1985</v>
      </c>
      <c r="B1985" s="84">
        <v>45770</v>
      </c>
      <c r="C1985" s="23" t="s">
        <v>430</v>
      </c>
      <c r="D1985" s="23" t="s">
        <v>214</v>
      </c>
      <c r="G1985" s="23">
        <v>0.8</v>
      </c>
      <c r="I1985" s="217" t="s">
        <v>3042</v>
      </c>
    </row>
    <row r="1986" spans="1:9" hidden="1">
      <c r="A1986" s="23">
        <v>1986</v>
      </c>
      <c r="B1986" s="84">
        <v>45770</v>
      </c>
      <c r="C1986" s="23" t="s">
        <v>1152</v>
      </c>
      <c r="D1986" s="23" t="s">
        <v>211</v>
      </c>
      <c r="G1986" s="23">
        <v>0.8</v>
      </c>
      <c r="I1986" s="217" t="s">
        <v>3043</v>
      </c>
    </row>
    <row r="1987" spans="1:9" hidden="1">
      <c r="A1987" s="23">
        <v>1987</v>
      </c>
      <c r="B1987" s="84">
        <v>45770</v>
      </c>
      <c r="C1987" s="23" t="s">
        <v>845</v>
      </c>
      <c r="D1987" s="23" t="s">
        <v>279</v>
      </c>
      <c r="G1987" s="23">
        <v>0.3</v>
      </c>
      <c r="I1987" s="217" t="s">
        <v>3044</v>
      </c>
    </row>
    <row r="1988" spans="1:9" hidden="1">
      <c r="A1988" s="23">
        <v>1988</v>
      </c>
      <c r="B1988" s="84">
        <v>45770</v>
      </c>
      <c r="C1988" s="23" t="s">
        <v>1002</v>
      </c>
      <c r="D1988" s="23" t="s">
        <v>335</v>
      </c>
      <c r="G1988" s="23">
        <v>0</v>
      </c>
      <c r="I1988" s="217" t="s">
        <v>3045</v>
      </c>
    </row>
    <row r="1989" spans="1:9" hidden="1">
      <c r="A1989" s="23">
        <v>1989</v>
      </c>
      <c r="B1989" s="84">
        <v>45770</v>
      </c>
      <c r="C1989" s="23" t="s">
        <v>315</v>
      </c>
      <c r="D1989" s="23" t="s">
        <v>189</v>
      </c>
      <c r="G1989" s="23">
        <v>0</v>
      </c>
      <c r="I1989" s="217" t="s">
        <v>3046</v>
      </c>
    </row>
    <row r="1990" spans="1:9" hidden="1">
      <c r="A1990" s="23">
        <v>1990</v>
      </c>
      <c r="B1990" s="84">
        <v>45770</v>
      </c>
      <c r="C1990" s="23" t="s">
        <v>315</v>
      </c>
      <c r="D1990" s="23" t="s">
        <v>189</v>
      </c>
      <c r="G1990" s="23" t="s">
        <v>9</v>
      </c>
      <c r="I1990" s="217" t="s">
        <v>1294</v>
      </c>
    </row>
    <row r="1991" spans="1:9" hidden="1">
      <c r="A1991" s="23">
        <v>1991</v>
      </c>
      <c r="B1991" s="84">
        <v>45770</v>
      </c>
      <c r="C1991" s="23" t="s">
        <v>1151</v>
      </c>
      <c r="D1991" s="23" t="s">
        <v>214</v>
      </c>
      <c r="G1991" s="23">
        <v>0</v>
      </c>
      <c r="I1991" s="217" t="s">
        <v>3047</v>
      </c>
    </row>
    <row r="1992" spans="1:9" hidden="1">
      <c r="A1992" s="23">
        <v>1992</v>
      </c>
      <c r="B1992" s="84">
        <v>45770</v>
      </c>
      <c r="C1992" s="23" t="s">
        <v>808</v>
      </c>
      <c r="D1992" s="23" t="s">
        <v>279</v>
      </c>
      <c r="G1992" s="23">
        <v>0</v>
      </c>
      <c r="I1992" s="217" t="s">
        <v>3048</v>
      </c>
    </row>
    <row r="1993" spans="1:9" hidden="1">
      <c r="A1993" s="23">
        <v>1993</v>
      </c>
      <c r="B1993" s="84">
        <v>45770</v>
      </c>
      <c r="C1993" s="23" t="s">
        <v>809</v>
      </c>
      <c r="D1993" s="23" t="s">
        <v>236</v>
      </c>
      <c r="G1993" s="23">
        <v>0.8</v>
      </c>
      <c r="I1993" s="217" t="s">
        <v>3049</v>
      </c>
    </row>
    <row r="1994" spans="1:9">
      <c r="A1994" s="23">
        <v>1994</v>
      </c>
      <c r="B1994" s="84">
        <v>45770</v>
      </c>
      <c r="C1994" s="23" t="s">
        <v>357</v>
      </c>
      <c r="D1994" s="23" t="s">
        <v>248</v>
      </c>
      <c r="G1994" s="23">
        <v>0</v>
      </c>
      <c r="I1994" s="217" t="s">
        <v>3050</v>
      </c>
    </row>
    <row r="1995" spans="1:9" hidden="1">
      <c r="A1995" s="23">
        <v>1995</v>
      </c>
      <c r="B1995" s="84">
        <v>45770</v>
      </c>
      <c r="C1995" s="23" t="s">
        <v>1154</v>
      </c>
      <c r="D1995" s="23" t="s">
        <v>236</v>
      </c>
      <c r="G1995" s="23">
        <v>0</v>
      </c>
      <c r="I1995" s="217" t="s">
        <v>3051</v>
      </c>
    </row>
    <row r="1996" spans="1:9" hidden="1">
      <c r="A1996" s="23">
        <v>1996</v>
      </c>
      <c r="B1996" s="84">
        <v>45771</v>
      </c>
      <c r="C1996" s="23" t="s">
        <v>1143</v>
      </c>
      <c r="D1996" s="23" t="s">
        <v>242</v>
      </c>
      <c r="G1996" s="23">
        <v>0</v>
      </c>
      <c r="I1996" s="217" t="s">
        <v>3052</v>
      </c>
    </row>
    <row r="1997" spans="1:9" hidden="1">
      <c r="A1997" s="23">
        <v>1997</v>
      </c>
      <c r="B1997" s="84">
        <v>45771</v>
      </c>
      <c r="C1997" s="23" t="s">
        <v>1143</v>
      </c>
      <c r="D1997" s="23" t="s">
        <v>242</v>
      </c>
      <c r="G1997" s="23" t="s">
        <v>9</v>
      </c>
      <c r="H1997" s="94" t="s">
        <v>3053</v>
      </c>
      <c r="I1997" s="217" t="s">
        <v>1294</v>
      </c>
    </row>
    <row r="1998" spans="1:9" hidden="1">
      <c r="A1998" s="23">
        <v>1998</v>
      </c>
      <c r="B1998" s="84">
        <v>45771</v>
      </c>
      <c r="C1998" s="23" t="s">
        <v>591</v>
      </c>
      <c r="D1998" s="23" t="s">
        <v>183</v>
      </c>
      <c r="G1998" s="23">
        <v>0</v>
      </c>
      <c r="I1998" s="217" t="s">
        <v>3054</v>
      </c>
    </row>
    <row r="1999" spans="1:9" hidden="1">
      <c r="A1999" s="23">
        <v>1999</v>
      </c>
      <c r="B1999" s="84">
        <v>45771</v>
      </c>
      <c r="C1999" s="23" t="s">
        <v>591</v>
      </c>
      <c r="D1999" s="23" t="s">
        <v>183</v>
      </c>
      <c r="G1999" s="23" t="s">
        <v>9</v>
      </c>
      <c r="H1999" s="94" t="s">
        <v>1156</v>
      </c>
      <c r="I1999" s="217" t="s">
        <v>1294</v>
      </c>
    </row>
    <row r="2000" spans="1:9">
      <c r="A2000" s="23">
        <v>2000</v>
      </c>
      <c r="B2000" s="84">
        <v>45771</v>
      </c>
      <c r="C2000" s="23" t="s">
        <v>228</v>
      </c>
      <c r="D2000" s="23" t="s">
        <v>248</v>
      </c>
      <c r="G2000" s="23">
        <v>0.5</v>
      </c>
      <c r="I2000" s="217" t="s">
        <v>3055</v>
      </c>
    </row>
    <row r="2001" spans="1:9">
      <c r="A2001" s="23">
        <v>2001</v>
      </c>
      <c r="B2001" s="84">
        <v>45771</v>
      </c>
      <c r="C2001" s="23" t="s">
        <v>1119</v>
      </c>
      <c r="D2001" s="23" t="s">
        <v>174</v>
      </c>
      <c r="G2001" s="23">
        <v>0</v>
      </c>
      <c r="I2001" s="217" t="s">
        <v>3056</v>
      </c>
    </row>
    <row r="2002" spans="1:9" hidden="1">
      <c r="A2002" s="23">
        <v>2002</v>
      </c>
      <c r="B2002" s="84">
        <v>45771</v>
      </c>
      <c r="C2002" s="23" t="s">
        <v>1150</v>
      </c>
      <c r="D2002" s="23" t="s">
        <v>205</v>
      </c>
      <c r="G2002" s="23">
        <v>0</v>
      </c>
      <c r="I2002" s="217" t="s">
        <v>3057</v>
      </c>
    </row>
    <row r="2003" spans="1:9" hidden="1">
      <c r="A2003" s="23">
        <v>2003</v>
      </c>
      <c r="B2003" s="84">
        <v>45771</v>
      </c>
      <c r="C2003" s="23" t="s">
        <v>590</v>
      </c>
      <c r="D2003" s="23" t="s">
        <v>189</v>
      </c>
      <c r="G2003" s="23">
        <v>0.5</v>
      </c>
      <c r="H2003" s="23" t="s">
        <v>2603</v>
      </c>
      <c r="I2003" s="217" t="s">
        <v>3058</v>
      </c>
    </row>
    <row r="2004" spans="1:9" hidden="1">
      <c r="A2004" s="23">
        <v>2004</v>
      </c>
      <c r="B2004" s="84">
        <v>45771</v>
      </c>
      <c r="C2004" s="23" t="s">
        <v>1158</v>
      </c>
      <c r="D2004" s="23" t="s">
        <v>189</v>
      </c>
      <c r="G2004" s="23">
        <v>0</v>
      </c>
      <c r="H2004" s="94" t="s">
        <v>1159</v>
      </c>
      <c r="I2004" s="217" t="s">
        <v>3059</v>
      </c>
    </row>
    <row r="2005" spans="1:9" hidden="1">
      <c r="A2005" s="23">
        <v>2005</v>
      </c>
      <c r="B2005" s="84">
        <v>45771</v>
      </c>
      <c r="C2005" s="23" t="s">
        <v>1158</v>
      </c>
      <c r="D2005" s="23" t="s">
        <v>189</v>
      </c>
      <c r="G2005" s="23">
        <v>0.5</v>
      </c>
      <c r="H2005" s="94" t="s">
        <v>1159</v>
      </c>
      <c r="I2005" s="217" t="s">
        <v>1294</v>
      </c>
    </row>
    <row r="2006" spans="1:9" hidden="1">
      <c r="A2006" s="23">
        <v>2006</v>
      </c>
      <c r="B2006" s="84">
        <v>45771</v>
      </c>
      <c r="C2006" s="23" t="s">
        <v>929</v>
      </c>
      <c r="D2006" s="23" t="s">
        <v>242</v>
      </c>
      <c r="G2006" s="23">
        <v>0</v>
      </c>
      <c r="H2006" s="94" t="s">
        <v>3060</v>
      </c>
      <c r="I2006" s="217" t="s">
        <v>3061</v>
      </c>
    </row>
    <row r="2007" spans="1:9" hidden="1">
      <c r="A2007" s="23">
        <v>2007</v>
      </c>
      <c r="B2007" s="84">
        <v>45771</v>
      </c>
      <c r="C2007" s="23" t="s">
        <v>595</v>
      </c>
      <c r="D2007" s="23" t="s">
        <v>214</v>
      </c>
      <c r="G2007" s="23">
        <v>0.46500000000000002</v>
      </c>
      <c r="I2007" s="217" t="s">
        <v>3062</v>
      </c>
    </row>
    <row r="2008" spans="1:9" hidden="1">
      <c r="A2008" s="23">
        <v>2008</v>
      </c>
      <c r="B2008" s="84">
        <v>45771</v>
      </c>
      <c r="C2008" s="23" t="s">
        <v>590</v>
      </c>
      <c r="D2008" s="23" t="s">
        <v>220</v>
      </c>
      <c r="G2008" s="23">
        <v>0</v>
      </c>
      <c r="I2008" s="217" t="s">
        <v>3063</v>
      </c>
    </row>
    <row r="2009" spans="1:9" hidden="1">
      <c r="A2009" s="23">
        <v>2009</v>
      </c>
      <c r="B2009" s="84">
        <v>45771</v>
      </c>
      <c r="C2009" s="23" t="s">
        <v>1124</v>
      </c>
      <c r="D2009" s="23" t="s">
        <v>164</v>
      </c>
      <c r="G2009" s="23">
        <v>0.7</v>
      </c>
      <c r="I2009" s="217" t="s">
        <v>3064</v>
      </c>
    </row>
    <row r="2010" spans="1:9" hidden="1">
      <c r="A2010" s="23">
        <v>2010</v>
      </c>
      <c r="B2010" s="84">
        <v>45771</v>
      </c>
      <c r="C2010" s="23" t="s">
        <v>1124</v>
      </c>
      <c r="D2010" s="23" t="s">
        <v>391</v>
      </c>
      <c r="G2010" s="23">
        <v>0.7</v>
      </c>
      <c r="I2010" s="217" t="s">
        <v>3065</v>
      </c>
    </row>
    <row r="2011" spans="1:9" hidden="1">
      <c r="A2011" s="23">
        <v>2011</v>
      </c>
      <c r="B2011" s="84">
        <v>45771</v>
      </c>
      <c r="C2011" s="23" t="s">
        <v>1013</v>
      </c>
      <c r="D2011" s="23" t="s">
        <v>234</v>
      </c>
      <c r="G2011" s="23">
        <v>0.7</v>
      </c>
      <c r="I2011" s="217" t="s">
        <v>3066</v>
      </c>
    </row>
    <row r="2012" spans="1:9" hidden="1">
      <c r="A2012" s="23">
        <v>2012</v>
      </c>
      <c r="B2012" s="84">
        <v>45771</v>
      </c>
      <c r="C2012" s="23" t="s">
        <v>411</v>
      </c>
      <c r="D2012" s="23" t="s">
        <v>236</v>
      </c>
      <c r="G2012" s="23">
        <v>0.7</v>
      </c>
      <c r="I2012" s="217" t="s">
        <v>3067</v>
      </c>
    </row>
    <row r="2013" spans="1:9" hidden="1">
      <c r="A2013" s="23">
        <v>2013</v>
      </c>
      <c r="B2013" s="84">
        <v>45771</v>
      </c>
      <c r="C2013" s="23" t="s">
        <v>994</v>
      </c>
      <c r="D2013" s="23" t="s">
        <v>242</v>
      </c>
      <c r="G2013" s="23">
        <v>1</v>
      </c>
      <c r="I2013" s="217" t="s">
        <v>3068</v>
      </c>
    </row>
    <row r="2014" spans="1:9">
      <c r="A2014" s="23">
        <v>2014</v>
      </c>
      <c r="B2014" s="84">
        <v>45771</v>
      </c>
      <c r="C2014" s="23" t="s">
        <v>253</v>
      </c>
      <c r="D2014" s="23" t="s">
        <v>174</v>
      </c>
      <c r="G2014" s="23">
        <v>1</v>
      </c>
      <c r="I2014" s="217" t="s">
        <v>3069</v>
      </c>
    </row>
    <row r="2015" spans="1:9" hidden="1">
      <c r="A2015" s="23">
        <v>2015</v>
      </c>
      <c r="B2015" s="84">
        <v>45771</v>
      </c>
      <c r="C2015" s="23" t="s">
        <v>606</v>
      </c>
      <c r="D2015" s="23" t="s">
        <v>164</v>
      </c>
      <c r="G2015" s="23">
        <v>0</v>
      </c>
      <c r="I2015" s="217" t="s">
        <v>3070</v>
      </c>
    </row>
    <row r="2016" spans="1:9" hidden="1">
      <c r="A2016" s="23">
        <v>2016</v>
      </c>
      <c r="B2016" s="84">
        <v>45771</v>
      </c>
      <c r="C2016" s="23" t="s">
        <v>659</v>
      </c>
      <c r="D2016" s="23" t="s">
        <v>164</v>
      </c>
      <c r="G2016" s="23">
        <v>0.7</v>
      </c>
      <c r="I2016" s="217" t="s">
        <v>1294</v>
      </c>
    </row>
    <row r="2017" spans="1:9" hidden="1">
      <c r="A2017" s="23">
        <v>2017</v>
      </c>
      <c r="B2017" s="84">
        <v>45771</v>
      </c>
      <c r="C2017" s="23" t="s">
        <v>744</v>
      </c>
      <c r="D2017" s="23" t="s">
        <v>232</v>
      </c>
      <c r="G2017" s="23">
        <v>0.7</v>
      </c>
      <c r="I2017" s="217" t="s">
        <v>3071</v>
      </c>
    </row>
    <row r="2018" spans="1:9" hidden="1">
      <c r="A2018" s="23">
        <v>2018</v>
      </c>
      <c r="B2018" s="84">
        <v>45771</v>
      </c>
      <c r="C2018" s="23" t="s">
        <v>603</v>
      </c>
      <c r="D2018" s="23" t="s">
        <v>242</v>
      </c>
      <c r="G2018" s="23">
        <v>0</v>
      </c>
      <c r="I2018" s="217" t="s">
        <v>3068</v>
      </c>
    </row>
    <row r="2019" spans="1:9" hidden="1">
      <c r="A2019" s="23">
        <v>2019</v>
      </c>
      <c r="B2019" s="84">
        <v>45771</v>
      </c>
      <c r="C2019" s="23" t="s">
        <v>743</v>
      </c>
      <c r="D2019" s="23" t="s">
        <v>183</v>
      </c>
      <c r="G2019" s="23">
        <v>0</v>
      </c>
      <c r="I2019" s="217" t="s">
        <v>3072</v>
      </c>
    </row>
    <row r="2020" spans="1:9" hidden="1">
      <c r="A2020" s="23">
        <v>2020</v>
      </c>
      <c r="B2020" s="84">
        <v>45771</v>
      </c>
      <c r="C2020" s="23" t="s">
        <v>743</v>
      </c>
      <c r="D2020" s="23" t="s">
        <v>183</v>
      </c>
      <c r="G2020" s="23">
        <v>2.9</v>
      </c>
      <c r="I2020" s="217" t="s">
        <v>1294</v>
      </c>
    </row>
    <row r="2021" spans="1:9" hidden="1">
      <c r="A2021" s="23">
        <v>2021</v>
      </c>
      <c r="B2021" s="84">
        <v>45771</v>
      </c>
      <c r="C2021" s="23" t="s">
        <v>603</v>
      </c>
      <c r="D2021" s="23" t="s">
        <v>242</v>
      </c>
      <c r="G2021" s="23" t="s">
        <v>9</v>
      </c>
      <c r="I2021" s="217" t="s">
        <v>1294</v>
      </c>
    </row>
    <row r="2022" spans="1:9" hidden="1">
      <c r="A2022" s="23">
        <v>2022</v>
      </c>
      <c r="B2022" s="84">
        <v>45771</v>
      </c>
      <c r="C2022" s="23" t="s">
        <v>262</v>
      </c>
      <c r="D2022" s="23" t="s">
        <v>335</v>
      </c>
      <c r="G2022" s="23">
        <v>2.8</v>
      </c>
      <c r="I2022" s="217" t="s">
        <v>3073</v>
      </c>
    </row>
    <row r="2023" spans="1:9" hidden="1">
      <c r="A2023" s="23">
        <v>2023</v>
      </c>
      <c r="B2023" s="84">
        <v>45771</v>
      </c>
      <c r="C2023" s="23" t="s">
        <v>1145</v>
      </c>
      <c r="D2023" s="23" t="s">
        <v>205</v>
      </c>
      <c r="G2023" s="23">
        <v>0.78</v>
      </c>
      <c r="I2023" s="217" t="s">
        <v>3074</v>
      </c>
    </row>
    <row r="2024" spans="1:9" hidden="1">
      <c r="A2024" s="23">
        <v>2024</v>
      </c>
      <c r="B2024" s="84">
        <v>45771</v>
      </c>
      <c r="C2024" s="23" t="s">
        <v>780</v>
      </c>
      <c r="D2024" s="23" t="s">
        <v>192</v>
      </c>
      <c r="G2024" s="23">
        <v>0</v>
      </c>
      <c r="I2024" s="217" t="s">
        <v>3075</v>
      </c>
    </row>
    <row r="2025" spans="1:9" hidden="1">
      <c r="A2025" s="23">
        <v>2025</v>
      </c>
      <c r="B2025" s="84">
        <v>45771</v>
      </c>
      <c r="C2025" s="23" t="s">
        <v>780</v>
      </c>
      <c r="D2025" s="23" t="s">
        <v>192</v>
      </c>
      <c r="G2025" s="23" t="s">
        <v>9</v>
      </c>
      <c r="I2025" s="217" t="s">
        <v>1294</v>
      </c>
    </row>
    <row r="2026" spans="1:9" hidden="1">
      <c r="A2026" s="23">
        <v>2026</v>
      </c>
      <c r="B2026" s="84">
        <v>45771</v>
      </c>
      <c r="C2026" s="23" t="s">
        <v>896</v>
      </c>
      <c r="D2026" s="23" t="s">
        <v>220</v>
      </c>
      <c r="G2026" s="23">
        <v>0.755</v>
      </c>
      <c r="I2026" s="217" t="s">
        <v>3076</v>
      </c>
    </row>
    <row r="2027" spans="1:9" hidden="1">
      <c r="A2027" s="23">
        <v>2027</v>
      </c>
      <c r="B2027" s="84">
        <v>45771</v>
      </c>
      <c r="C2027" s="23" t="s">
        <v>867</v>
      </c>
      <c r="D2027" s="23" t="s">
        <v>202</v>
      </c>
      <c r="G2027" s="23">
        <v>0</v>
      </c>
      <c r="I2027" s="217" t="s">
        <v>3077</v>
      </c>
    </row>
    <row r="2028" spans="1:9" hidden="1">
      <c r="A2028" s="23">
        <v>2028</v>
      </c>
      <c r="B2028" s="84">
        <v>45771</v>
      </c>
      <c r="C2028" s="23" t="s">
        <v>867</v>
      </c>
      <c r="D2028" s="23" t="s">
        <v>202</v>
      </c>
      <c r="G2028" s="23">
        <v>0.83333333333333337</v>
      </c>
      <c r="I2028" s="217" t="s">
        <v>1294</v>
      </c>
    </row>
    <row r="2029" spans="1:9" hidden="1">
      <c r="A2029" s="23">
        <v>2029</v>
      </c>
      <c r="B2029" s="84">
        <v>45771</v>
      </c>
      <c r="C2029" s="23" t="s">
        <v>1081</v>
      </c>
      <c r="D2029" s="23" t="s">
        <v>398</v>
      </c>
      <c r="G2029" s="23">
        <v>0.8</v>
      </c>
      <c r="I2029" s="217" t="s">
        <v>3078</v>
      </c>
    </row>
    <row r="2030" spans="1:9" hidden="1">
      <c r="A2030" s="23">
        <v>2030</v>
      </c>
      <c r="B2030" s="84">
        <v>45771</v>
      </c>
      <c r="C2030" s="23" t="s">
        <v>877</v>
      </c>
      <c r="D2030" s="23" t="s">
        <v>398</v>
      </c>
      <c r="G2030" s="23" t="s">
        <v>9</v>
      </c>
      <c r="I2030" s="217" t="s">
        <v>3079</v>
      </c>
    </row>
    <row r="2031" spans="1:9" hidden="1">
      <c r="A2031" s="23">
        <v>2031</v>
      </c>
      <c r="B2031" s="84">
        <v>45771</v>
      </c>
      <c r="C2031" s="23" t="s">
        <v>484</v>
      </c>
      <c r="D2031" s="23" t="s">
        <v>196</v>
      </c>
      <c r="G2031" s="23">
        <v>0.8</v>
      </c>
      <c r="I2031" s="217" t="s">
        <v>3080</v>
      </c>
    </row>
    <row r="2032" spans="1:9" hidden="1">
      <c r="A2032" s="23">
        <v>2032</v>
      </c>
      <c r="B2032" s="84">
        <v>45771</v>
      </c>
      <c r="C2032" s="23" t="s">
        <v>306</v>
      </c>
      <c r="D2032" s="23" t="s">
        <v>391</v>
      </c>
      <c r="G2032" s="23">
        <v>0</v>
      </c>
      <c r="I2032" s="217" t="s">
        <v>3081</v>
      </c>
    </row>
    <row r="2033" spans="1:9" hidden="1">
      <c r="A2033" s="23">
        <v>2033</v>
      </c>
      <c r="B2033" s="84">
        <v>45771</v>
      </c>
      <c r="C2033" s="23" t="s">
        <v>381</v>
      </c>
      <c r="D2033" s="23" t="s">
        <v>391</v>
      </c>
      <c r="G2033" s="23">
        <v>0.8</v>
      </c>
      <c r="I2033" s="217" t="s">
        <v>1294</v>
      </c>
    </row>
    <row r="2034" spans="1:9" hidden="1">
      <c r="A2034" s="23">
        <v>2034</v>
      </c>
      <c r="B2034" s="84">
        <v>45771</v>
      </c>
      <c r="C2034" s="23" t="s">
        <v>1163</v>
      </c>
      <c r="D2034" s="23" t="s">
        <v>242</v>
      </c>
      <c r="G2034" s="23">
        <v>1.5</v>
      </c>
      <c r="I2034" s="217" t="s">
        <v>3082</v>
      </c>
    </row>
    <row r="2035" spans="1:9" hidden="1">
      <c r="A2035" s="23">
        <v>2035</v>
      </c>
      <c r="B2035" s="84">
        <v>45771</v>
      </c>
      <c r="C2035" s="23" t="s">
        <v>1019</v>
      </c>
      <c r="D2035" s="23" t="s">
        <v>232</v>
      </c>
      <c r="G2035" s="23">
        <v>0</v>
      </c>
      <c r="I2035" s="217" t="s">
        <v>3083</v>
      </c>
    </row>
    <row r="2036" spans="1:9" hidden="1">
      <c r="A2036" s="23">
        <v>2036</v>
      </c>
      <c r="B2036" s="84">
        <v>45771</v>
      </c>
      <c r="C2036" s="23" t="s">
        <v>918</v>
      </c>
      <c r="D2036" s="23" t="s">
        <v>232</v>
      </c>
      <c r="G2036" s="23">
        <v>0.8</v>
      </c>
      <c r="I2036" s="217" t="s">
        <v>3084</v>
      </c>
    </row>
    <row r="2037" spans="1:9" hidden="1">
      <c r="A2037" s="23">
        <v>2037</v>
      </c>
      <c r="B2037" s="84">
        <v>45771</v>
      </c>
      <c r="C2037" s="23" t="s">
        <v>1160</v>
      </c>
      <c r="D2037" s="23" t="s">
        <v>234</v>
      </c>
      <c r="G2037" s="23">
        <v>0</v>
      </c>
      <c r="I2037" s="217" t="s">
        <v>3085</v>
      </c>
    </row>
    <row r="2038" spans="1:9" hidden="1">
      <c r="A2038" s="23">
        <v>2038</v>
      </c>
      <c r="B2038" s="84">
        <v>45771</v>
      </c>
      <c r="C2038" s="23" t="s">
        <v>1161</v>
      </c>
      <c r="D2038" s="23" t="s">
        <v>236</v>
      </c>
      <c r="G2038" s="23">
        <v>0</v>
      </c>
      <c r="I2038" s="217" t="s">
        <v>3086</v>
      </c>
    </row>
    <row r="2039" spans="1:9" hidden="1">
      <c r="A2039" s="23">
        <v>2039</v>
      </c>
      <c r="B2039" s="84">
        <v>45771</v>
      </c>
      <c r="C2039" s="23" t="s">
        <v>1161</v>
      </c>
      <c r="D2039" s="23" t="s">
        <v>279</v>
      </c>
      <c r="G2039" s="23">
        <v>1</v>
      </c>
      <c r="I2039" s="217" t="s">
        <v>3087</v>
      </c>
    </row>
    <row r="2040" spans="1:9" hidden="1">
      <c r="A2040" s="23">
        <v>2040</v>
      </c>
      <c r="B2040" s="84">
        <v>45771</v>
      </c>
      <c r="C2040" s="23" t="s">
        <v>899</v>
      </c>
      <c r="D2040" s="23" t="s">
        <v>192</v>
      </c>
      <c r="G2040" s="23">
        <v>4</v>
      </c>
      <c r="I2040" s="217" t="s">
        <v>3088</v>
      </c>
    </row>
    <row r="2041" spans="1:9" hidden="1">
      <c r="A2041" s="23">
        <v>2041</v>
      </c>
      <c r="B2041" s="84">
        <v>45771</v>
      </c>
      <c r="C2041" s="23" t="s">
        <v>1170</v>
      </c>
      <c r="D2041" s="23" t="s">
        <v>279</v>
      </c>
      <c r="G2041" s="23">
        <v>0</v>
      </c>
      <c r="I2041" s="217" t="s">
        <v>3089</v>
      </c>
    </row>
    <row r="2042" spans="1:9" hidden="1">
      <c r="A2042" s="23">
        <v>2042</v>
      </c>
      <c r="B2042" s="84">
        <v>45771</v>
      </c>
      <c r="C2042" s="23" t="s">
        <v>1162</v>
      </c>
      <c r="D2042" s="23" t="s">
        <v>164</v>
      </c>
      <c r="G2042" s="23">
        <v>0</v>
      </c>
      <c r="I2042" s="217" t="s">
        <v>3090</v>
      </c>
    </row>
    <row r="2043" spans="1:9" hidden="1">
      <c r="A2043" s="23">
        <v>2043</v>
      </c>
      <c r="B2043" s="84">
        <v>45771</v>
      </c>
      <c r="C2043" s="23" t="s">
        <v>1168</v>
      </c>
      <c r="D2043" s="23" t="s">
        <v>391</v>
      </c>
      <c r="G2043" s="23">
        <v>0</v>
      </c>
      <c r="I2043" s="217" t="s">
        <v>3091</v>
      </c>
    </row>
    <row r="2044" spans="1:9" hidden="1">
      <c r="A2044" s="23">
        <v>2044</v>
      </c>
      <c r="B2044" s="84">
        <v>45771</v>
      </c>
      <c r="C2044" s="23" t="s">
        <v>480</v>
      </c>
      <c r="D2044" s="23" t="s">
        <v>279</v>
      </c>
      <c r="G2044" s="23">
        <v>0.7</v>
      </c>
      <c r="I2044" s="217" t="s">
        <v>1294</v>
      </c>
    </row>
    <row r="2045" spans="1:9" hidden="1">
      <c r="A2045" s="23">
        <v>2045</v>
      </c>
      <c r="B2045" s="84">
        <v>45771</v>
      </c>
      <c r="C2045" s="23" t="s">
        <v>1171</v>
      </c>
      <c r="D2045" s="23" t="s">
        <v>279</v>
      </c>
      <c r="G2045" s="23">
        <v>0</v>
      </c>
      <c r="I2045" s="217" t="s">
        <v>3089</v>
      </c>
    </row>
    <row r="2046" spans="1:9" hidden="1">
      <c r="A2046" s="23">
        <v>2046</v>
      </c>
      <c r="B2046" s="84">
        <v>45771</v>
      </c>
      <c r="C2046" s="23" t="s">
        <v>410</v>
      </c>
      <c r="D2046" s="23" t="s">
        <v>232</v>
      </c>
      <c r="G2046" s="23">
        <v>0</v>
      </c>
      <c r="I2046" s="217" t="s">
        <v>3092</v>
      </c>
    </row>
    <row r="2047" spans="1:9" hidden="1">
      <c r="A2047" s="23">
        <v>2047</v>
      </c>
      <c r="B2047" s="84">
        <v>45771</v>
      </c>
      <c r="C2047" s="23" t="s">
        <v>1000</v>
      </c>
      <c r="D2047" s="23" t="s">
        <v>205</v>
      </c>
      <c r="G2047" s="23">
        <v>0</v>
      </c>
      <c r="I2047" s="217" t="s">
        <v>3093</v>
      </c>
    </row>
    <row r="2048" spans="1:9" hidden="1">
      <c r="A2048" s="23">
        <v>2048</v>
      </c>
      <c r="B2048" s="84">
        <v>45771</v>
      </c>
      <c r="C2048" s="23" t="s">
        <v>359</v>
      </c>
      <c r="D2048" s="23" t="s">
        <v>211</v>
      </c>
      <c r="G2048" s="23">
        <v>0</v>
      </c>
      <c r="I2048" s="217" t="s">
        <v>3094</v>
      </c>
    </row>
    <row r="2049" spans="1:9" hidden="1">
      <c r="A2049" s="23">
        <v>2049</v>
      </c>
      <c r="B2049" s="84">
        <v>45771</v>
      </c>
      <c r="C2049" s="23" t="s">
        <v>1172</v>
      </c>
      <c r="D2049" s="23" t="s">
        <v>279</v>
      </c>
      <c r="G2049" s="23">
        <v>0.3</v>
      </c>
      <c r="I2049" s="217" t="s">
        <v>3095</v>
      </c>
    </row>
    <row r="2050" spans="1:9" hidden="1">
      <c r="A2050" s="23">
        <v>2050</v>
      </c>
      <c r="B2050" s="84">
        <v>45771</v>
      </c>
      <c r="C2050" s="23" t="s">
        <v>1173</v>
      </c>
      <c r="D2050" s="23" t="s">
        <v>279</v>
      </c>
      <c r="G2050" s="23">
        <v>0</v>
      </c>
      <c r="I2050" s="217" t="s">
        <v>3095</v>
      </c>
    </row>
    <row r="2051" spans="1:9" hidden="1">
      <c r="A2051" s="23">
        <v>2051</v>
      </c>
      <c r="B2051" s="84">
        <v>45771</v>
      </c>
      <c r="C2051" s="23" t="s">
        <v>759</v>
      </c>
      <c r="D2051" s="23" t="s">
        <v>196</v>
      </c>
      <c r="G2051" s="23">
        <v>0</v>
      </c>
      <c r="I2051" s="217" t="s">
        <v>3096</v>
      </c>
    </row>
    <row r="2052" spans="1:9" hidden="1">
      <c r="A2052" s="23">
        <v>2052</v>
      </c>
      <c r="B2052" s="84">
        <v>45771</v>
      </c>
      <c r="C2052" s="23" t="s">
        <v>1174</v>
      </c>
      <c r="D2052" s="23" t="s">
        <v>211</v>
      </c>
      <c r="G2052" s="23">
        <v>0.48</v>
      </c>
      <c r="I2052" s="217" t="s">
        <v>3097</v>
      </c>
    </row>
    <row r="2053" spans="1:9" hidden="1">
      <c r="A2053" s="23">
        <v>2053</v>
      </c>
      <c r="B2053" s="84">
        <v>45771</v>
      </c>
      <c r="C2053" s="23" t="s">
        <v>197</v>
      </c>
      <c r="D2053" s="23" t="s">
        <v>202</v>
      </c>
      <c r="G2053" s="23">
        <v>0</v>
      </c>
      <c r="I2053" s="217" t="s">
        <v>3098</v>
      </c>
    </row>
    <row r="2054" spans="1:9" hidden="1">
      <c r="A2054" s="23">
        <v>2054</v>
      </c>
      <c r="B2054" s="84">
        <v>45771</v>
      </c>
      <c r="C2054" s="23" t="s">
        <v>945</v>
      </c>
      <c r="D2054" s="23" t="s">
        <v>335</v>
      </c>
      <c r="G2054" s="23">
        <v>0</v>
      </c>
      <c r="I2054" s="217" t="s">
        <v>3099</v>
      </c>
    </row>
    <row r="2055" spans="1:9" hidden="1">
      <c r="A2055" s="23">
        <v>2055</v>
      </c>
      <c r="B2055" s="84">
        <v>45771</v>
      </c>
      <c r="C2055" s="23" t="s">
        <v>418</v>
      </c>
      <c r="D2055" s="23" t="s">
        <v>211</v>
      </c>
      <c r="G2055" s="23">
        <v>0</v>
      </c>
      <c r="I2055" s="217" t="s">
        <v>3100</v>
      </c>
    </row>
    <row r="2056" spans="1:9" hidden="1">
      <c r="A2056" s="23">
        <v>2056</v>
      </c>
      <c r="B2056" s="84">
        <v>45771</v>
      </c>
      <c r="C2056" s="23" t="s">
        <v>664</v>
      </c>
      <c r="D2056" s="23" t="s">
        <v>186</v>
      </c>
      <c r="G2056" s="23" t="s">
        <v>9</v>
      </c>
      <c r="H2056" s="23" t="s">
        <v>3101</v>
      </c>
      <c r="I2056" s="217" t="s">
        <v>3102</v>
      </c>
    </row>
    <row r="2057" spans="1:9" hidden="1">
      <c r="A2057" s="23">
        <v>2057</v>
      </c>
      <c r="B2057" s="84">
        <v>45771</v>
      </c>
      <c r="C2057" s="23" t="s">
        <v>250</v>
      </c>
      <c r="D2057" s="23" t="s">
        <v>232</v>
      </c>
      <c r="G2057" s="23">
        <v>0.7</v>
      </c>
      <c r="I2057" s="217" t="s">
        <v>3103</v>
      </c>
    </row>
    <row r="2058" spans="1:9" hidden="1">
      <c r="A2058" s="23">
        <v>2058</v>
      </c>
      <c r="B2058" s="84">
        <v>45771</v>
      </c>
      <c r="C2058" s="23" t="s">
        <v>250</v>
      </c>
      <c r="D2058" s="23" t="s">
        <v>234</v>
      </c>
      <c r="G2058" s="23">
        <v>0.7</v>
      </c>
      <c r="I2058" s="217" t="s">
        <v>3104</v>
      </c>
    </row>
    <row r="2059" spans="1:9" hidden="1">
      <c r="A2059" s="23">
        <v>2059</v>
      </c>
      <c r="B2059" s="84">
        <v>45771</v>
      </c>
      <c r="C2059" s="23" t="s">
        <v>250</v>
      </c>
      <c r="D2059" s="23" t="s">
        <v>236</v>
      </c>
      <c r="G2059" s="23">
        <v>0.7</v>
      </c>
      <c r="I2059" s="217" t="s">
        <v>3105</v>
      </c>
    </row>
    <row r="2060" spans="1:9" hidden="1">
      <c r="A2060" s="23">
        <v>2060</v>
      </c>
      <c r="B2060" s="84">
        <v>45771</v>
      </c>
      <c r="C2060" s="23" t="s">
        <v>536</v>
      </c>
      <c r="D2060" s="23" t="s">
        <v>391</v>
      </c>
      <c r="G2060" s="23">
        <v>0.7</v>
      </c>
      <c r="I2060" s="217" t="s">
        <v>3106</v>
      </c>
    </row>
    <row r="2061" spans="1:9">
      <c r="A2061" s="23">
        <v>2061</v>
      </c>
      <c r="B2061" s="84">
        <v>45771</v>
      </c>
      <c r="C2061" s="23" t="s">
        <v>301</v>
      </c>
      <c r="D2061" s="23" t="s">
        <v>180</v>
      </c>
      <c r="G2061" s="23">
        <v>0</v>
      </c>
      <c r="I2061" s="217" t="s">
        <v>3107</v>
      </c>
    </row>
    <row r="2062" spans="1:9" hidden="1">
      <c r="A2062" s="23">
        <v>2062</v>
      </c>
      <c r="B2062" s="84">
        <v>45771</v>
      </c>
      <c r="C2062" s="23" t="s">
        <v>1176</v>
      </c>
      <c r="D2062" s="23" t="s">
        <v>234</v>
      </c>
      <c r="G2062" s="23">
        <v>0</v>
      </c>
      <c r="I2062" s="217" t="s">
        <v>3108</v>
      </c>
    </row>
    <row r="2063" spans="1:9" hidden="1">
      <c r="A2063" s="23">
        <v>2063</v>
      </c>
      <c r="B2063" s="84">
        <v>45771</v>
      </c>
      <c r="C2063" s="23" t="s">
        <v>1175</v>
      </c>
      <c r="D2063" s="23" t="s">
        <v>232</v>
      </c>
      <c r="G2063" s="23">
        <v>0</v>
      </c>
      <c r="I2063" s="217" t="s">
        <v>3109</v>
      </c>
    </row>
    <row r="2064" spans="1:9" hidden="1">
      <c r="A2064" s="23">
        <v>2064</v>
      </c>
      <c r="B2064" s="84">
        <v>45771</v>
      </c>
      <c r="C2064" s="23" t="s">
        <v>1177</v>
      </c>
      <c r="D2064" s="23" t="s">
        <v>236</v>
      </c>
      <c r="G2064" s="23">
        <v>0</v>
      </c>
      <c r="I2064" s="217" t="s">
        <v>3110</v>
      </c>
    </row>
    <row r="2065" spans="1:9" hidden="1">
      <c r="A2065" s="23">
        <v>2065</v>
      </c>
      <c r="B2065" s="84">
        <v>45771</v>
      </c>
      <c r="C2065" s="23" t="s">
        <v>586</v>
      </c>
      <c r="D2065" s="23" t="s">
        <v>391</v>
      </c>
      <c r="G2065" s="23">
        <v>0</v>
      </c>
      <c r="I2065" s="217" t="s">
        <v>3111</v>
      </c>
    </row>
    <row r="2066" spans="1:9" hidden="1">
      <c r="A2066" s="23">
        <v>2066</v>
      </c>
      <c r="B2066" s="84">
        <v>45772</v>
      </c>
      <c r="C2066" s="23" t="s">
        <v>856</v>
      </c>
      <c r="D2066" s="23" t="s">
        <v>183</v>
      </c>
      <c r="G2066" s="23">
        <v>0</v>
      </c>
      <c r="I2066" s="217" t="s">
        <v>3112</v>
      </c>
    </row>
    <row r="2067" spans="1:9" hidden="1">
      <c r="A2067" s="23">
        <v>2067</v>
      </c>
      <c r="B2067" s="84">
        <v>45772</v>
      </c>
      <c r="C2067" s="23" t="s">
        <v>1169</v>
      </c>
      <c r="D2067" s="23" t="s">
        <v>242</v>
      </c>
      <c r="G2067" s="23">
        <v>0</v>
      </c>
      <c r="I2067" s="217" t="s">
        <v>3113</v>
      </c>
    </row>
    <row r="2068" spans="1:9">
      <c r="A2068" s="23">
        <v>2068</v>
      </c>
      <c r="B2068" s="84">
        <v>45772</v>
      </c>
      <c r="C2068" s="23" t="s">
        <v>1178</v>
      </c>
      <c r="D2068" s="23" t="s">
        <v>180</v>
      </c>
      <c r="G2068" s="23" t="s">
        <v>9</v>
      </c>
      <c r="H2068" s="23" t="s">
        <v>1179</v>
      </c>
      <c r="I2068" s="217" t="s">
        <v>3114</v>
      </c>
    </row>
    <row r="2069" spans="1:9">
      <c r="A2069" s="23">
        <v>2069</v>
      </c>
      <c r="B2069" s="84">
        <v>45772</v>
      </c>
      <c r="C2069" s="23" t="s">
        <v>221</v>
      </c>
      <c r="D2069" s="23" t="s">
        <v>180</v>
      </c>
      <c r="G2069" s="23">
        <v>1.6</v>
      </c>
      <c r="H2069" s="94" t="s">
        <v>354</v>
      </c>
      <c r="I2069" s="217" t="s">
        <v>3115</v>
      </c>
    </row>
    <row r="2070" spans="1:9">
      <c r="A2070" s="23">
        <v>2070</v>
      </c>
      <c r="B2070" s="84">
        <v>45772</v>
      </c>
      <c r="C2070" s="23" t="s">
        <v>309</v>
      </c>
      <c r="D2070" s="23" t="s">
        <v>180</v>
      </c>
      <c r="G2070" s="23">
        <v>0</v>
      </c>
      <c r="I2070" s="217" t="s">
        <v>3115</v>
      </c>
    </row>
    <row r="2071" spans="1:9">
      <c r="A2071" s="23">
        <v>2071</v>
      </c>
      <c r="B2071" s="84">
        <v>45772</v>
      </c>
      <c r="C2071" s="23" t="s">
        <v>309</v>
      </c>
      <c r="D2071" s="23" t="s">
        <v>180</v>
      </c>
      <c r="G2071" s="23">
        <v>6.7</v>
      </c>
      <c r="I2071" s="217" t="s">
        <v>1294</v>
      </c>
    </row>
    <row r="2072" spans="1:9">
      <c r="A2072" s="23">
        <v>2072</v>
      </c>
      <c r="B2072" s="84">
        <v>45772</v>
      </c>
      <c r="C2072" s="23" t="s">
        <v>309</v>
      </c>
      <c r="D2072" s="23" t="s">
        <v>177</v>
      </c>
      <c r="G2072" s="23">
        <v>0</v>
      </c>
      <c r="I2072" s="217" t="s">
        <v>3116</v>
      </c>
    </row>
    <row r="2073" spans="1:9" hidden="1">
      <c r="A2073" s="23">
        <v>2073</v>
      </c>
      <c r="B2073" s="84">
        <v>45772</v>
      </c>
      <c r="C2073" s="23" t="s">
        <v>922</v>
      </c>
      <c r="D2073" s="23" t="s">
        <v>186</v>
      </c>
      <c r="G2073" s="23">
        <v>0</v>
      </c>
      <c r="I2073" s="217" t="s">
        <v>3117</v>
      </c>
    </row>
    <row r="2074" spans="1:9" hidden="1">
      <c r="A2074" s="23">
        <v>2074</v>
      </c>
      <c r="B2074" s="84">
        <v>45772</v>
      </c>
      <c r="C2074" s="23" t="s">
        <v>723</v>
      </c>
      <c r="D2074" s="23" t="s">
        <v>211</v>
      </c>
      <c r="G2074" s="23">
        <v>0.49</v>
      </c>
      <c r="I2074" s="217" t="s">
        <v>3118</v>
      </c>
    </row>
    <row r="2075" spans="1:9" hidden="1">
      <c r="A2075" s="23">
        <v>2075</v>
      </c>
      <c r="B2075" s="84">
        <v>45772</v>
      </c>
      <c r="C2075" s="23" t="s">
        <v>1066</v>
      </c>
      <c r="D2075" s="23" t="s">
        <v>214</v>
      </c>
      <c r="G2075" s="23">
        <v>0</v>
      </c>
      <c r="I2075" s="217" t="s">
        <v>3119</v>
      </c>
    </row>
    <row r="2076" spans="1:9" hidden="1">
      <c r="A2076" s="23">
        <v>2076</v>
      </c>
      <c r="B2076" s="84">
        <v>45771</v>
      </c>
      <c r="C2076" s="23" t="s">
        <v>212</v>
      </c>
      <c r="D2076" s="23" t="s">
        <v>217</v>
      </c>
      <c r="G2076" s="23">
        <v>0.97</v>
      </c>
      <c r="I2076" s="217" t="s">
        <v>3120</v>
      </c>
    </row>
    <row r="2077" spans="1:9" hidden="1">
      <c r="A2077" s="23">
        <v>2077</v>
      </c>
      <c r="B2077" s="84">
        <v>45771</v>
      </c>
      <c r="C2077" s="23" t="s">
        <v>222</v>
      </c>
      <c r="D2077" s="23" t="s">
        <v>225</v>
      </c>
      <c r="G2077" s="23">
        <v>0</v>
      </c>
      <c r="I2077" s="217" t="s">
        <v>3121</v>
      </c>
    </row>
    <row r="2078" spans="1:9" hidden="1">
      <c r="A2078" s="23">
        <v>2078</v>
      </c>
      <c r="B2078" s="84">
        <v>45772</v>
      </c>
      <c r="C2078" s="23" t="s">
        <v>517</v>
      </c>
      <c r="D2078" s="23" t="s">
        <v>183</v>
      </c>
      <c r="G2078" s="23">
        <v>1</v>
      </c>
      <c r="I2078" s="217" t="s">
        <v>3122</v>
      </c>
    </row>
    <row r="2079" spans="1:9" hidden="1">
      <c r="A2079" s="23">
        <v>2079</v>
      </c>
      <c r="B2079" s="84">
        <v>45772</v>
      </c>
      <c r="C2079" s="23" t="s">
        <v>992</v>
      </c>
      <c r="D2079" s="23" t="s">
        <v>186</v>
      </c>
      <c r="G2079" s="23">
        <v>1</v>
      </c>
      <c r="I2079" s="217" t="s">
        <v>3123</v>
      </c>
    </row>
    <row r="2080" spans="1:9" hidden="1">
      <c r="A2080" s="23">
        <v>2080</v>
      </c>
      <c r="B2080" s="84">
        <v>45772</v>
      </c>
      <c r="C2080" s="23" t="s">
        <v>530</v>
      </c>
      <c r="D2080" s="23" t="s">
        <v>164</v>
      </c>
      <c r="G2080" s="23">
        <v>0.7</v>
      </c>
      <c r="I2080" s="217" t="s">
        <v>3124</v>
      </c>
    </row>
    <row r="2081" spans="1:9" hidden="1">
      <c r="A2081" s="23">
        <v>2081</v>
      </c>
      <c r="B2081" s="84">
        <v>45772</v>
      </c>
      <c r="C2081" s="23" t="s">
        <v>822</v>
      </c>
      <c r="D2081" s="23" t="s">
        <v>232</v>
      </c>
      <c r="G2081" s="23">
        <v>0.7</v>
      </c>
      <c r="I2081" s="217" t="s">
        <v>3125</v>
      </c>
    </row>
    <row r="2082" spans="1:9">
      <c r="A2082" s="23">
        <v>2082</v>
      </c>
      <c r="B2082" s="84">
        <v>45772</v>
      </c>
      <c r="C2082" s="23" t="s">
        <v>994</v>
      </c>
      <c r="D2082" s="23" t="s">
        <v>177</v>
      </c>
      <c r="G2082" s="23">
        <v>1</v>
      </c>
      <c r="I2082" s="217" t="s">
        <v>3126</v>
      </c>
    </row>
    <row r="2083" spans="1:9" hidden="1">
      <c r="A2083" s="23">
        <v>2083</v>
      </c>
      <c r="B2083" s="84">
        <v>45772</v>
      </c>
      <c r="C2083" s="23" t="s">
        <v>362</v>
      </c>
      <c r="D2083" s="23" t="s">
        <v>234</v>
      </c>
      <c r="G2083" s="23">
        <v>0.7</v>
      </c>
      <c r="I2083" s="217" t="s">
        <v>3127</v>
      </c>
    </row>
    <row r="2084" spans="1:9" hidden="1">
      <c r="A2084" s="23">
        <v>2084</v>
      </c>
      <c r="B2084" s="84">
        <v>45772</v>
      </c>
      <c r="C2084" s="23" t="s">
        <v>741</v>
      </c>
      <c r="D2084" s="23" t="s">
        <v>242</v>
      </c>
      <c r="G2084" s="23">
        <v>3.8</v>
      </c>
      <c r="I2084" s="217" t="s">
        <v>3128</v>
      </c>
    </row>
    <row r="2085" spans="1:9" hidden="1">
      <c r="A2085" s="23">
        <v>2085</v>
      </c>
      <c r="B2085" s="84">
        <v>45772</v>
      </c>
      <c r="C2085" s="23" t="s">
        <v>364</v>
      </c>
      <c r="D2085" s="23" t="s">
        <v>335</v>
      </c>
      <c r="G2085" s="23">
        <v>0.6</v>
      </c>
      <c r="I2085" s="217" t="s">
        <v>3129</v>
      </c>
    </row>
    <row r="2086" spans="1:9" hidden="1">
      <c r="A2086" s="23">
        <v>2086</v>
      </c>
      <c r="B2086" s="84">
        <v>45772</v>
      </c>
      <c r="C2086" s="23" t="s">
        <v>370</v>
      </c>
      <c r="D2086" s="23" t="s">
        <v>164</v>
      </c>
      <c r="G2086" s="23">
        <v>0</v>
      </c>
      <c r="I2086" s="217" t="s">
        <v>3124</v>
      </c>
    </row>
    <row r="2087" spans="1:9" hidden="1">
      <c r="A2087" s="23">
        <v>2087</v>
      </c>
      <c r="B2087" s="84">
        <v>45772</v>
      </c>
      <c r="C2087" s="23" t="s">
        <v>744</v>
      </c>
      <c r="D2087" s="23" t="s">
        <v>232</v>
      </c>
      <c r="G2087" s="23">
        <v>0</v>
      </c>
      <c r="I2087" s="217" t="s">
        <v>3125</v>
      </c>
    </row>
    <row r="2088" spans="1:9" hidden="1">
      <c r="A2088" s="23">
        <v>2088</v>
      </c>
      <c r="B2088" s="84">
        <v>45772</v>
      </c>
      <c r="C2088" s="23" t="s">
        <v>262</v>
      </c>
      <c r="D2088" s="23" t="s">
        <v>236</v>
      </c>
      <c r="G2088" s="23">
        <v>0.8</v>
      </c>
      <c r="I2088" s="217" t="s">
        <v>3130</v>
      </c>
    </row>
    <row r="2089" spans="1:9" hidden="1">
      <c r="A2089" s="23">
        <v>2089</v>
      </c>
      <c r="B2089" s="84">
        <v>45772</v>
      </c>
      <c r="C2089" s="23" t="s">
        <v>1185</v>
      </c>
      <c r="D2089" s="23" t="s">
        <v>391</v>
      </c>
      <c r="G2089" s="23">
        <v>0.8</v>
      </c>
      <c r="I2089" s="217" t="s">
        <v>3131</v>
      </c>
    </row>
    <row r="2090" spans="1:9" hidden="1">
      <c r="A2090" s="23">
        <v>2090</v>
      </c>
      <c r="B2090" s="84">
        <v>45772</v>
      </c>
      <c r="C2090" s="23" t="s">
        <v>254</v>
      </c>
      <c r="D2090" s="23" t="s">
        <v>164</v>
      </c>
      <c r="G2090" s="23">
        <v>0.8</v>
      </c>
      <c r="I2090" s="217" t="s">
        <v>3132</v>
      </c>
    </row>
    <row r="2091" spans="1:9" hidden="1">
      <c r="A2091" s="23">
        <v>2091</v>
      </c>
      <c r="B2091" s="84">
        <v>45772</v>
      </c>
      <c r="C2091" s="23" t="s">
        <v>258</v>
      </c>
      <c r="D2091" s="23" t="s">
        <v>232</v>
      </c>
      <c r="G2091" s="23">
        <v>0.8</v>
      </c>
      <c r="I2091" s="217" t="s">
        <v>3133</v>
      </c>
    </row>
    <row r="2092" spans="1:9">
      <c r="A2092" s="23">
        <v>2092</v>
      </c>
      <c r="B2092" s="84">
        <v>45772</v>
      </c>
      <c r="C2092" s="23" t="s">
        <v>1181</v>
      </c>
      <c r="D2092" s="23" t="s">
        <v>177</v>
      </c>
      <c r="G2092" s="23" t="s">
        <v>9</v>
      </c>
      <c r="I2092" s="217" t="s">
        <v>3134</v>
      </c>
    </row>
    <row r="2093" spans="1:9" hidden="1">
      <c r="A2093" s="23">
        <v>2093</v>
      </c>
      <c r="B2093" s="84">
        <v>45772</v>
      </c>
      <c r="C2093" s="23" t="s">
        <v>1181</v>
      </c>
      <c r="D2093" s="23" t="s">
        <v>205</v>
      </c>
      <c r="G2093" s="23">
        <v>0.8</v>
      </c>
      <c r="I2093" s="217" t="s">
        <v>3135</v>
      </c>
    </row>
    <row r="2094" spans="1:9">
      <c r="A2094" s="23">
        <v>2094</v>
      </c>
      <c r="B2094" s="84">
        <v>45772</v>
      </c>
      <c r="C2094" s="23" t="s">
        <v>1186</v>
      </c>
      <c r="D2094" s="23" t="s">
        <v>177</v>
      </c>
      <c r="G2094" s="23">
        <v>3</v>
      </c>
      <c r="I2094" s="217" t="s">
        <v>3134</v>
      </c>
    </row>
    <row r="2095" spans="1:9" hidden="1">
      <c r="A2095" s="23">
        <v>2095</v>
      </c>
      <c r="B2095" s="84">
        <v>45772</v>
      </c>
      <c r="C2095" s="23" t="s">
        <v>1188</v>
      </c>
      <c r="D2095" s="23" t="s">
        <v>205</v>
      </c>
      <c r="G2095" s="23" t="s">
        <v>9</v>
      </c>
      <c r="I2095" s="217" t="s">
        <v>3135</v>
      </c>
    </row>
    <row r="2096" spans="1:9" hidden="1">
      <c r="A2096" s="23">
        <v>2096</v>
      </c>
      <c r="B2096" s="84">
        <v>45772</v>
      </c>
      <c r="C2096" s="23" t="s">
        <v>1182</v>
      </c>
      <c r="D2096" s="23" t="s">
        <v>234</v>
      </c>
      <c r="G2096" s="23">
        <v>0</v>
      </c>
      <c r="I2096" s="217" t="s">
        <v>3136</v>
      </c>
    </row>
    <row r="2097" spans="1:9" hidden="1">
      <c r="A2097" s="23">
        <v>2097</v>
      </c>
      <c r="B2097" s="84">
        <v>45772</v>
      </c>
      <c r="C2097" s="23" t="s">
        <v>1184</v>
      </c>
      <c r="D2097" s="23" t="s">
        <v>236</v>
      </c>
      <c r="G2097" s="23">
        <v>0</v>
      </c>
      <c r="I2097" s="217" t="s">
        <v>3137</v>
      </c>
    </row>
    <row r="2098" spans="1:9" hidden="1">
      <c r="A2098" s="23">
        <v>2098</v>
      </c>
      <c r="B2098" s="84">
        <v>45772</v>
      </c>
      <c r="C2098" s="23" t="s">
        <v>330</v>
      </c>
      <c r="D2098" s="23" t="s">
        <v>391</v>
      </c>
      <c r="G2098" s="23">
        <v>0</v>
      </c>
      <c r="I2098" s="217" t="s">
        <v>3138</v>
      </c>
    </row>
    <row r="2099" spans="1:9" hidden="1">
      <c r="A2099" s="23">
        <v>2099</v>
      </c>
      <c r="B2099" s="84">
        <v>45772</v>
      </c>
      <c r="C2099" s="23" t="s">
        <v>330</v>
      </c>
      <c r="D2099" s="23" t="s">
        <v>164</v>
      </c>
      <c r="G2099" s="23">
        <v>0</v>
      </c>
      <c r="I2099" s="217" t="s">
        <v>3139</v>
      </c>
    </row>
    <row r="2100" spans="1:9" hidden="1">
      <c r="A2100" s="23">
        <v>2100</v>
      </c>
      <c r="B2100" s="84">
        <v>45772</v>
      </c>
      <c r="C2100" s="23" t="s">
        <v>1038</v>
      </c>
      <c r="D2100" s="23" t="s">
        <v>232</v>
      </c>
      <c r="G2100" s="23">
        <v>0</v>
      </c>
      <c r="I2100" s="217" t="s">
        <v>3140</v>
      </c>
    </row>
    <row r="2101" spans="1:9" hidden="1">
      <c r="A2101" s="23">
        <v>2101</v>
      </c>
      <c r="B2101" s="84">
        <v>45772</v>
      </c>
      <c r="C2101" s="23" t="s">
        <v>509</v>
      </c>
      <c r="D2101" s="23" t="s">
        <v>234</v>
      </c>
      <c r="G2101" s="23">
        <v>0.7</v>
      </c>
      <c r="I2101" s="217" t="s">
        <v>3141</v>
      </c>
    </row>
    <row r="2102" spans="1:9" hidden="1">
      <c r="A2102" s="23">
        <v>2102</v>
      </c>
      <c r="B2102" s="84">
        <v>45772</v>
      </c>
      <c r="C2102" s="23" t="s">
        <v>509</v>
      </c>
      <c r="D2102" s="23" t="s">
        <v>236</v>
      </c>
      <c r="G2102" s="23">
        <v>0.7</v>
      </c>
      <c r="I2102" s="217" t="s">
        <v>3142</v>
      </c>
    </row>
    <row r="2103" spans="1:9" hidden="1">
      <c r="A2103" s="23">
        <v>2103</v>
      </c>
      <c r="B2103" s="84">
        <v>45772</v>
      </c>
      <c r="C2103" s="23" t="s">
        <v>792</v>
      </c>
      <c r="D2103" s="23" t="s">
        <v>234</v>
      </c>
      <c r="G2103" s="23">
        <v>0</v>
      </c>
      <c r="I2103" s="217" t="s">
        <v>3141</v>
      </c>
    </row>
    <row r="2104" spans="1:9" hidden="1">
      <c r="A2104" s="23">
        <v>2104</v>
      </c>
      <c r="B2104" s="84">
        <v>45772</v>
      </c>
      <c r="C2104" s="23" t="s">
        <v>396</v>
      </c>
      <c r="D2104" s="23" t="s">
        <v>236</v>
      </c>
      <c r="G2104" s="23">
        <v>0</v>
      </c>
      <c r="I2104" s="217" t="s">
        <v>3142</v>
      </c>
    </row>
    <row r="2105" spans="1:9" hidden="1">
      <c r="A2105" s="23">
        <v>2105</v>
      </c>
      <c r="B2105" s="84">
        <v>45772</v>
      </c>
      <c r="C2105" s="23" t="s">
        <v>572</v>
      </c>
      <c r="D2105" s="23" t="s">
        <v>164</v>
      </c>
      <c r="G2105" s="23">
        <v>0.7</v>
      </c>
      <c r="I2105" s="217" t="s">
        <v>3143</v>
      </c>
    </row>
    <row r="2106" spans="1:9" hidden="1">
      <c r="A2106" s="23">
        <v>2106</v>
      </c>
      <c r="B2106" s="84">
        <v>45772</v>
      </c>
      <c r="C2106" s="23" t="s">
        <v>1183</v>
      </c>
      <c r="D2106" s="23" t="s">
        <v>335</v>
      </c>
      <c r="G2106" s="23">
        <v>0</v>
      </c>
      <c r="I2106" s="217" t="s">
        <v>3144</v>
      </c>
    </row>
    <row r="2107" spans="1:9" hidden="1">
      <c r="A2107" s="23">
        <v>2107</v>
      </c>
      <c r="B2107" s="84">
        <v>45772</v>
      </c>
      <c r="C2107" s="23" t="s">
        <v>1191</v>
      </c>
      <c r="D2107" s="23" t="s">
        <v>232</v>
      </c>
      <c r="G2107" s="23">
        <v>0.7</v>
      </c>
      <c r="I2107" s="217" t="s">
        <v>3145</v>
      </c>
    </row>
    <row r="2108" spans="1:9" hidden="1">
      <c r="A2108" s="23">
        <v>2108</v>
      </c>
      <c r="B2108" s="84">
        <v>45772</v>
      </c>
      <c r="C2108" s="23" t="s">
        <v>1191</v>
      </c>
      <c r="D2108" s="23" t="s">
        <v>391</v>
      </c>
      <c r="G2108" s="23">
        <v>0.7</v>
      </c>
      <c r="I2108" s="217" t="s">
        <v>3146</v>
      </c>
    </row>
    <row r="2109" spans="1:9" hidden="1">
      <c r="A2109" s="23">
        <v>2109</v>
      </c>
      <c r="B2109" s="84">
        <v>45772</v>
      </c>
      <c r="C2109" s="23" t="s">
        <v>1193</v>
      </c>
      <c r="D2109" s="23" t="s">
        <v>335</v>
      </c>
      <c r="G2109" s="23">
        <v>1.5</v>
      </c>
      <c r="I2109" s="217" t="s">
        <v>3147</v>
      </c>
    </row>
    <row r="2110" spans="1:9" hidden="1">
      <c r="A2110" s="23">
        <v>2110</v>
      </c>
      <c r="B2110" s="84">
        <v>45772</v>
      </c>
      <c r="C2110" s="23" t="s">
        <v>1192</v>
      </c>
      <c r="D2110" s="23" t="s">
        <v>232</v>
      </c>
      <c r="G2110" s="23">
        <v>0</v>
      </c>
      <c r="I2110" s="217" t="s">
        <v>3148</v>
      </c>
    </row>
    <row r="2111" spans="1:9" hidden="1">
      <c r="A2111" s="23">
        <v>2111</v>
      </c>
      <c r="B2111" s="84">
        <v>45772</v>
      </c>
      <c r="C2111" s="23" t="s">
        <v>1171</v>
      </c>
      <c r="D2111" s="23" t="s">
        <v>391</v>
      </c>
      <c r="G2111" s="23">
        <v>0</v>
      </c>
      <c r="I2111" s="217" t="s">
        <v>3149</v>
      </c>
    </row>
    <row r="2112" spans="1:9" hidden="1">
      <c r="A2112" s="23">
        <v>2112</v>
      </c>
      <c r="B2112" s="84">
        <v>45772</v>
      </c>
      <c r="C2112" s="23" t="s">
        <v>1108</v>
      </c>
      <c r="D2112" s="23" t="s">
        <v>164</v>
      </c>
      <c r="G2112" s="23">
        <v>0</v>
      </c>
      <c r="I2112" s="217" t="s">
        <v>3150</v>
      </c>
    </row>
    <row r="2113" spans="1:9" hidden="1">
      <c r="A2113" s="23">
        <v>2113</v>
      </c>
      <c r="B2113" s="84">
        <v>45772</v>
      </c>
      <c r="C2113" s="23" t="s">
        <v>1194</v>
      </c>
      <c r="D2113" s="23" t="s">
        <v>335</v>
      </c>
      <c r="G2113" s="23">
        <v>0</v>
      </c>
      <c r="I2113" s="217" t="s">
        <v>3151</v>
      </c>
    </row>
    <row r="2114" spans="1:9" hidden="1">
      <c r="A2114" s="23">
        <v>2114</v>
      </c>
      <c r="B2114" s="84">
        <v>45772</v>
      </c>
      <c r="C2114" s="23" t="s">
        <v>1086</v>
      </c>
      <c r="D2114" s="23" t="s">
        <v>232</v>
      </c>
      <c r="G2114" s="23">
        <v>0.8</v>
      </c>
      <c r="I2114" s="217" t="s">
        <v>3152</v>
      </c>
    </row>
    <row r="2115" spans="1:9" hidden="1">
      <c r="A2115" s="23">
        <v>2115</v>
      </c>
      <c r="B2115" s="84">
        <v>45772</v>
      </c>
      <c r="C2115" s="23" t="s">
        <v>412</v>
      </c>
      <c r="D2115" s="23" t="s">
        <v>234</v>
      </c>
      <c r="G2115" s="23">
        <v>0.8</v>
      </c>
      <c r="I2115" s="217" t="s">
        <v>3153</v>
      </c>
    </row>
    <row r="2116" spans="1:9" hidden="1">
      <c r="A2116" s="23">
        <v>2116</v>
      </c>
      <c r="B2116" s="84">
        <v>45772</v>
      </c>
      <c r="C2116" s="23" t="s">
        <v>422</v>
      </c>
      <c r="D2116" s="23" t="s">
        <v>232</v>
      </c>
      <c r="G2116" s="23">
        <v>0</v>
      </c>
      <c r="I2116" s="217" t="s">
        <v>3152</v>
      </c>
    </row>
    <row r="2117" spans="1:9" hidden="1">
      <c r="A2117" s="23">
        <v>2117</v>
      </c>
      <c r="B2117" s="84">
        <v>45772</v>
      </c>
      <c r="C2117" s="23" t="s">
        <v>277</v>
      </c>
      <c r="D2117" s="23" t="s">
        <v>232</v>
      </c>
      <c r="G2117" s="23">
        <v>0.8</v>
      </c>
      <c r="I2117" s="217" t="s">
        <v>1294</v>
      </c>
    </row>
    <row r="2118" spans="1:9" hidden="1">
      <c r="A2118" s="23">
        <v>2118</v>
      </c>
      <c r="B2118" s="84">
        <v>45772</v>
      </c>
      <c r="C2118" s="23" t="s">
        <v>218</v>
      </c>
      <c r="D2118" s="23" t="s">
        <v>225</v>
      </c>
      <c r="G2118" s="23">
        <v>0.77</v>
      </c>
      <c r="I2118" s="217" t="s">
        <v>3154</v>
      </c>
    </row>
    <row r="2119" spans="1:9" hidden="1">
      <c r="A2119" s="23">
        <v>2119</v>
      </c>
      <c r="B2119" s="84">
        <v>45772</v>
      </c>
      <c r="C2119" s="23" t="s">
        <v>213</v>
      </c>
      <c r="D2119" s="23" t="s">
        <v>217</v>
      </c>
      <c r="G2119" s="23">
        <v>0</v>
      </c>
      <c r="I2119" s="217" t="s">
        <v>3155</v>
      </c>
    </row>
    <row r="2120" spans="1:9" hidden="1">
      <c r="A2120" s="23">
        <v>2120</v>
      </c>
      <c r="B2120" s="84">
        <v>45772</v>
      </c>
      <c r="C2120" s="23" t="s">
        <v>212</v>
      </c>
      <c r="D2120" s="23" t="s">
        <v>217</v>
      </c>
      <c r="G2120" s="23">
        <v>0.88</v>
      </c>
      <c r="I2120" s="217" t="s">
        <v>3156</v>
      </c>
    </row>
    <row r="2121" spans="1:9" hidden="1">
      <c r="A2121" s="23">
        <v>2121</v>
      </c>
      <c r="B2121" s="84">
        <v>45772</v>
      </c>
      <c r="C2121" s="23" t="s">
        <v>222</v>
      </c>
      <c r="D2121" s="23" t="s">
        <v>225</v>
      </c>
      <c r="G2121" s="23">
        <v>0</v>
      </c>
      <c r="I2121" s="217" t="s">
        <v>3157</v>
      </c>
    </row>
    <row r="2122" spans="1:9" hidden="1">
      <c r="A2122" s="23">
        <v>2122</v>
      </c>
      <c r="B2122" s="84">
        <v>45772</v>
      </c>
      <c r="C2122" s="23" t="s">
        <v>1195</v>
      </c>
      <c r="D2122" s="23" t="s">
        <v>234</v>
      </c>
      <c r="G2122" s="23">
        <v>0</v>
      </c>
      <c r="I2122" s="217" t="s">
        <v>3158</v>
      </c>
    </row>
    <row r="2123" spans="1:9" hidden="1">
      <c r="A2123" s="23">
        <v>2123</v>
      </c>
      <c r="B2123" s="84">
        <v>45772</v>
      </c>
      <c r="C2123" s="23" t="s">
        <v>1196</v>
      </c>
      <c r="D2123" s="23" t="s">
        <v>232</v>
      </c>
      <c r="G2123" s="23">
        <v>0</v>
      </c>
      <c r="I2123" s="217" t="s">
        <v>3159</v>
      </c>
    </row>
    <row r="2124" spans="1:9" hidden="1">
      <c r="A2124" s="23">
        <v>2124</v>
      </c>
      <c r="B2124" s="84">
        <v>45772</v>
      </c>
      <c r="C2124" s="23" t="s">
        <v>224</v>
      </c>
      <c r="D2124" s="23" t="s">
        <v>214</v>
      </c>
      <c r="G2124" s="23">
        <v>0.75</v>
      </c>
      <c r="I2124" s="217" t="s">
        <v>3160</v>
      </c>
    </row>
    <row r="2125" spans="1:9" hidden="1">
      <c r="A2125" s="23">
        <v>2125</v>
      </c>
      <c r="B2125" s="84">
        <v>45772</v>
      </c>
      <c r="C2125" s="23" t="s">
        <v>510</v>
      </c>
      <c r="D2125" s="23" t="s">
        <v>211</v>
      </c>
      <c r="G2125" s="23">
        <v>0</v>
      </c>
      <c r="I2125" s="217" t="s">
        <v>3161</v>
      </c>
    </row>
    <row r="2126" spans="1:9" hidden="1">
      <c r="A2126" s="23">
        <v>2126</v>
      </c>
      <c r="B2126" s="84">
        <v>45772</v>
      </c>
      <c r="C2126" s="23" t="s">
        <v>343</v>
      </c>
      <c r="D2126" s="23" t="s">
        <v>211</v>
      </c>
      <c r="G2126" s="23">
        <v>0.5</v>
      </c>
      <c r="I2126" s="217" t="s">
        <v>3162</v>
      </c>
    </row>
    <row r="2127" spans="1:9" hidden="1">
      <c r="A2127" s="23">
        <v>2128</v>
      </c>
      <c r="B2127" s="84">
        <v>45772</v>
      </c>
      <c r="C2127" s="23" t="s">
        <v>1051</v>
      </c>
      <c r="D2127" s="23" t="s">
        <v>234</v>
      </c>
      <c r="G2127" s="23">
        <v>0.75</v>
      </c>
      <c r="I2127" s="217" t="s">
        <v>3163</v>
      </c>
    </row>
    <row r="2128" spans="1:9" hidden="1">
      <c r="A2128" s="23">
        <v>2129</v>
      </c>
      <c r="B2128" s="84">
        <v>45772</v>
      </c>
      <c r="C2128" s="23" t="s">
        <v>1051</v>
      </c>
      <c r="D2128" s="23" t="s">
        <v>236</v>
      </c>
      <c r="G2128" s="23">
        <v>0.75</v>
      </c>
      <c r="I2128" s="217" t="s">
        <v>3164</v>
      </c>
    </row>
    <row r="2129" spans="1:9" hidden="1">
      <c r="A2129" s="23">
        <v>2130</v>
      </c>
      <c r="B2129" s="84">
        <v>45772</v>
      </c>
      <c r="C2129" s="23" t="s">
        <v>1051</v>
      </c>
      <c r="D2129" s="23" t="s">
        <v>164</v>
      </c>
      <c r="G2129" s="23">
        <v>0.75</v>
      </c>
      <c r="I2129" s="217" t="s">
        <v>3165</v>
      </c>
    </row>
    <row r="2130" spans="1:9" hidden="1">
      <c r="A2130" s="23">
        <v>2131</v>
      </c>
      <c r="B2130" s="84">
        <v>45772</v>
      </c>
      <c r="C2130" s="23" t="s">
        <v>1051</v>
      </c>
      <c r="D2130" s="23" t="s">
        <v>391</v>
      </c>
      <c r="G2130" s="23">
        <v>0.75</v>
      </c>
      <c r="I2130" s="217" t="s">
        <v>3166</v>
      </c>
    </row>
    <row r="2131" spans="1:9">
      <c r="A2131" s="23">
        <v>2132</v>
      </c>
      <c r="B2131" s="84">
        <v>45772</v>
      </c>
      <c r="C2131" s="23" t="s">
        <v>771</v>
      </c>
      <c r="D2131" s="23" t="s">
        <v>248</v>
      </c>
      <c r="G2131" s="23">
        <v>0</v>
      </c>
      <c r="I2131" s="217" t="s">
        <v>3167</v>
      </c>
    </row>
    <row r="2132" spans="1:9" hidden="1">
      <c r="A2132" s="23">
        <v>2133</v>
      </c>
      <c r="B2132" s="84">
        <v>45772</v>
      </c>
      <c r="C2132" s="23" t="s">
        <v>1151</v>
      </c>
      <c r="D2132" s="23" t="s">
        <v>236</v>
      </c>
      <c r="G2132" s="23">
        <v>0</v>
      </c>
      <c r="I2132" s="217" t="s">
        <v>3168</v>
      </c>
    </row>
    <row r="2133" spans="1:9" hidden="1">
      <c r="A2133" s="23">
        <v>2134</v>
      </c>
      <c r="B2133" s="84">
        <v>45772</v>
      </c>
      <c r="C2133" s="23" t="s">
        <v>1197</v>
      </c>
      <c r="D2133" s="23" t="s">
        <v>234</v>
      </c>
      <c r="G2133" s="23">
        <v>0</v>
      </c>
      <c r="I2133" s="217" t="s">
        <v>3169</v>
      </c>
    </row>
    <row r="2134" spans="1:9" hidden="1">
      <c r="A2134" s="23">
        <v>2135</v>
      </c>
      <c r="B2134" s="84">
        <v>45772</v>
      </c>
      <c r="C2134" s="23" t="s">
        <v>1053</v>
      </c>
      <c r="D2134" s="23" t="s">
        <v>391</v>
      </c>
      <c r="G2134" s="23">
        <v>0</v>
      </c>
      <c r="I2134" s="217" t="s">
        <v>3170</v>
      </c>
    </row>
    <row r="2135" spans="1:9" hidden="1">
      <c r="A2135" s="23">
        <v>2136</v>
      </c>
      <c r="B2135" s="84">
        <v>45772</v>
      </c>
      <c r="C2135" s="23" t="s">
        <v>1198</v>
      </c>
      <c r="D2135" s="23" t="s">
        <v>164</v>
      </c>
      <c r="G2135" s="23">
        <v>0</v>
      </c>
      <c r="I2135" s="217" t="s">
        <v>3171</v>
      </c>
    </row>
    <row r="2136" spans="1:9" hidden="1">
      <c r="A2136" s="23">
        <v>2137</v>
      </c>
      <c r="B2136" s="84">
        <v>45772</v>
      </c>
      <c r="C2136" s="23" t="s">
        <v>948</v>
      </c>
      <c r="D2136" s="23" t="s">
        <v>183</v>
      </c>
      <c r="G2136" s="23">
        <v>0</v>
      </c>
      <c r="I2136" s="217" t="s">
        <v>3172</v>
      </c>
    </row>
    <row r="2137" spans="1:9" hidden="1">
      <c r="A2137" s="23">
        <v>2138</v>
      </c>
      <c r="B2137" s="84">
        <v>45773</v>
      </c>
      <c r="C2137" s="23" t="s">
        <v>1157</v>
      </c>
      <c r="D2137" s="23" t="s">
        <v>186</v>
      </c>
      <c r="G2137" s="23">
        <v>0</v>
      </c>
      <c r="I2137" s="217" t="s">
        <v>3173</v>
      </c>
    </row>
    <row r="2138" spans="1:9" hidden="1">
      <c r="A2138" s="23">
        <v>2139</v>
      </c>
      <c r="B2138" s="84">
        <v>45772</v>
      </c>
      <c r="C2138" s="23" t="s">
        <v>840</v>
      </c>
      <c r="D2138" s="23" t="s">
        <v>220</v>
      </c>
      <c r="G2138" s="23">
        <v>0</v>
      </c>
      <c r="I2138" s="217" t="s">
        <v>3174</v>
      </c>
    </row>
    <row r="2139" spans="1:9" hidden="1">
      <c r="A2139" s="23">
        <v>2139</v>
      </c>
      <c r="B2139" s="84">
        <v>45773</v>
      </c>
      <c r="C2139" s="23" t="s">
        <v>201</v>
      </c>
      <c r="D2139" s="23" t="s">
        <v>242</v>
      </c>
      <c r="G2139" s="23">
        <v>0</v>
      </c>
      <c r="I2139" s="217" t="s">
        <v>3175</v>
      </c>
    </row>
    <row r="2140" spans="1:9" hidden="1">
      <c r="A2140" s="23">
        <v>2140</v>
      </c>
      <c r="B2140" s="84">
        <v>45773</v>
      </c>
      <c r="C2140" s="23" t="s">
        <v>223</v>
      </c>
      <c r="D2140" s="23" t="s">
        <v>220</v>
      </c>
      <c r="G2140" s="23">
        <v>0.58499999999999996</v>
      </c>
      <c r="I2140" s="217" t="s">
        <v>3176</v>
      </c>
    </row>
    <row r="2141" spans="1:9" hidden="1">
      <c r="A2141" s="23">
        <v>2141</v>
      </c>
      <c r="B2141" s="84">
        <v>45773</v>
      </c>
      <c r="C2141" s="23" t="s">
        <v>216</v>
      </c>
      <c r="D2141" s="23" t="s">
        <v>211</v>
      </c>
      <c r="G2141" s="23">
        <v>0</v>
      </c>
      <c r="I2141" s="217" t="s">
        <v>3177</v>
      </c>
    </row>
    <row r="2142" spans="1:9">
      <c r="A2142" s="23">
        <v>2142</v>
      </c>
      <c r="B2142" s="84">
        <v>45773</v>
      </c>
      <c r="C2142" s="23" t="s">
        <v>857</v>
      </c>
      <c r="D2142" s="23" t="s">
        <v>248</v>
      </c>
      <c r="G2142" s="23">
        <v>1.5</v>
      </c>
      <c r="I2142" s="217" t="s">
        <v>3178</v>
      </c>
    </row>
    <row r="2143" spans="1:9">
      <c r="A2143" s="23">
        <v>2143</v>
      </c>
      <c r="B2143" s="84">
        <v>45773</v>
      </c>
      <c r="C2143" s="23" t="s">
        <v>1199</v>
      </c>
      <c r="D2143" s="23" t="s">
        <v>248</v>
      </c>
      <c r="G2143" s="23">
        <v>0</v>
      </c>
      <c r="I2143" s="217" t="s">
        <v>3178</v>
      </c>
    </row>
    <row r="2144" spans="1:9">
      <c r="A2144" s="23">
        <v>2144</v>
      </c>
      <c r="B2144" s="84">
        <v>45773</v>
      </c>
      <c r="C2144" s="23" t="s">
        <v>1199</v>
      </c>
      <c r="D2144" s="23" t="s">
        <v>248</v>
      </c>
      <c r="G2144" s="23" t="s">
        <v>9</v>
      </c>
      <c r="I2144" s="217" t="s">
        <v>1294</v>
      </c>
    </row>
    <row r="2145" spans="1:9" hidden="1">
      <c r="A2145" s="23">
        <v>2145</v>
      </c>
      <c r="B2145" s="84">
        <v>45773</v>
      </c>
      <c r="C2145" s="23" t="s">
        <v>218</v>
      </c>
      <c r="D2145" s="23" t="s">
        <v>225</v>
      </c>
      <c r="G2145" s="23">
        <v>0.8</v>
      </c>
      <c r="I2145" s="217" t="s">
        <v>3179</v>
      </c>
    </row>
    <row r="2146" spans="1:9" hidden="1">
      <c r="A2146" s="23">
        <v>2146</v>
      </c>
      <c r="B2146" s="84">
        <v>45773</v>
      </c>
      <c r="C2146" s="23" t="s">
        <v>213</v>
      </c>
      <c r="D2146" s="23" t="s">
        <v>217</v>
      </c>
      <c r="G2146" s="23">
        <v>0</v>
      </c>
      <c r="I2146" s="217" t="s">
        <v>3180</v>
      </c>
    </row>
    <row r="2147" spans="1:9" hidden="1">
      <c r="A2147" s="23">
        <v>2147</v>
      </c>
      <c r="B2147" s="84">
        <v>45773</v>
      </c>
      <c r="C2147" s="23" t="s">
        <v>218</v>
      </c>
      <c r="D2147" s="23" t="s">
        <v>211</v>
      </c>
      <c r="G2147" s="23">
        <v>0.47</v>
      </c>
      <c r="I2147" s="217" t="s">
        <v>3181</v>
      </c>
    </row>
    <row r="2148" spans="1:9" hidden="1">
      <c r="A2148" s="23">
        <v>2148</v>
      </c>
      <c r="B2148" s="84">
        <v>45773</v>
      </c>
      <c r="C2148" s="23" t="s">
        <v>213</v>
      </c>
      <c r="D2148" s="23" t="s">
        <v>214</v>
      </c>
      <c r="G2148" s="23">
        <v>0</v>
      </c>
      <c r="I2148" s="217" t="s">
        <v>3182</v>
      </c>
    </row>
    <row r="2149" spans="1:9">
      <c r="A2149" s="23">
        <v>2149</v>
      </c>
      <c r="B2149" s="84">
        <v>45773</v>
      </c>
      <c r="C2149" s="23" t="s">
        <v>1201</v>
      </c>
      <c r="D2149" s="23" t="s">
        <v>248</v>
      </c>
      <c r="G2149" s="23">
        <v>1.5</v>
      </c>
      <c r="I2149" s="217" t="s">
        <v>3183</v>
      </c>
    </row>
    <row r="2150" spans="1:9" hidden="1">
      <c r="A2150" s="23">
        <v>2150</v>
      </c>
      <c r="B2150" s="84">
        <v>45773</v>
      </c>
      <c r="C2150" s="23" t="s">
        <v>676</v>
      </c>
      <c r="D2150" s="23" t="s">
        <v>232</v>
      </c>
      <c r="G2150" s="23">
        <v>0.7</v>
      </c>
      <c r="I2150" s="217" t="s">
        <v>3184</v>
      </c>
    </row>
    <row r="2151" spans="1:9" hidden="1">
      <c r="A2151" s="23">
        <v>2151</v>
      </c>
      <c r="B2151" s="84">
        <v>45773</v>
      </c>
      <c r="C2151" s="23" t="s">
        <v>1204</v>
      </c>
      <c r="D2151" s="23" t="s">
        <v>232</v>
      </c>
      <c r="G2151" s="23">
        <v>0</v>
      </c>
      <c r="I2151" s="217" t="s">
        <v>3185</v>
      </c>
    </row>
    <row r="2152" spans="1:9">
      <c r="A2152" s="23">
        <v>2152</v>
      </c>
      <c r="B2152" s="84">
        <v>45773</v>
      </c>
      <c r="C2152" s="23" t="s">
        <v>1189</v>
      </c>
      <c r="D2152" s="23" t="s">
        <v>177</v>
      </c>
      <c r="G2152" s="23">
        <v>0</v>
      </c>
      <c r="I2152" s="217" t="s">
        <v>3186</v>
      </c>
    </row>
    <row r="2153" spans="1:9" hidden="1">
      <c r="A2153" s="23">
        <v>2153</v>
      </c>
      <c r="B2153" s="84">
        <v>45773</v>
      </c>
      <c r="C2153" s="23" t="s">
        <v>805</v>
      </c>
      <c r="D2153" s="23" t="s">
        <v>242</v>
      </c>
      <c r="G2153" s="23">
        <v>1.5</v>
      </c>
      <c r="I2153" s="217" t="s">
        <v>3187</v>
      </c>
    </row>
    <row r="2154" spans="1:9" hidden="1">
      <c r="A2154" s="23">
        <v>2154</v>
      </c>
      <c r="B2154" s="84">
        <v>45773</v>
      </c>
      <c r="C2154" s="23" t="s">
        <v>257</v>
      </c>
      <c r="D2154" s="23" t="s">
        <v>186</v>
      </c>
      <c r="G2154" s="23">
        <v>1.5</v>
      </c>
      <c r="I2154" s="217" t="s">
        <v>3188</v>
      </c>
    </row>
    <row r="2155" spans="1:9" hidden="1">
      <c r="A2155" s="23">
        <v>2155</v>
      </c>
      <c r="B2155" s="84">
        <v>45773</v>
      </c>
      <c r="C2155" s="23" t="s">
        <v>470</v>
      </c>
      <c r="D2155" s="23" t="s">
        <v>234</v>
      </c>
      <c r="G2155" s="23">
        <v>0.7</v>
      </c>
      <c r="I2155" s="217" t="s">
        <v>3189</v>
      </c>
    </row>
    <row r="2156" spans="1:9" hidden="1">
      <c r="A2156" s="23">
        <v>2156</v>
      </c>
      <c r="B2156" s="84">
        <v>45773</v>
      </c>
      <c r="C2156" s="23" t="s">
        <v>962</v>
      </c>
      <c r="D2156" s="23" t="s">
        <v>236</v>
      </c>
      <c r="G2156" s="23">
        <v>0.7</v>
      </c>
      <c r="I2156" s="217" t="s">
        <v>3190</v>
      </c>
    </row>
    <row r="2157" spans="1:9">
      <c r="A2157" s="23">
        <v>2157</v>
      </c>
      <c r="B2157" s="84">
        <v>45773</v>
      </c>
      <c r="C2157" s="23" t="s">
        <v>659</v>
      </c>
      <c r="D2157" s="23" t="s">
        <v>177</v>
      </c>
      <c r="G2157" s="23">
        <v>1.5</v>
      </c>
      <c r="I2157" s="217" t="s">
        <v>3191</v>
      </c>
    </row>
    <row r="2158" spans="1:9" hidden="1">
      <c r="A2158" s="23">
        <v>2158</v>
      </c>
      <c r="B2158" s="84">
        <v>45773</v>
      </c>
      <c r="C2158" s="23" t="s">
        <v>321</v>
      </c>
      <c r="D2158" s="23" t="s">
        <v>391</v>
      </c>
      <c r="G2158" s="23">
        <v>0.7</v>
      </c>
      <c r="I2158" s="217" t="s">
        <v>3192</v>
      </c>
    </row>
    <row r="2159" spans="1:9" hidden="1">
      <c r="A2159" s="23">
        <v>2159</v>
      </c>
      <c r="B2159" s="84">
        <v>45773</v>
      </c>
      <c r="C2159" s="23" t="s">
        <v>558</v>
      </c>
      <c r="D2159" s="23" t="s">
        <v>164</v>
      </c>
      <c r="G2159" s="23">
        <v>0.7</v>
      </c>
      <c r="I2159" s="217" t="s">
        <v>3193</v>
      </c>
    </row>
    <row r="2160" spans="1:9" hidden="1">
      <c r="A2160" s="23">
        <v>2160</v>
      </c>
      <c r="B2160" s="84">
        <v>45773</v>
      </c>
      <c r="C2160" s="23" t="s">
        <v>548</v>
      </c>
      <c r="D2160" s="23" t="s">
        <v>232</v>
      </c>
      <c r="G2160" s="23">
        <v>0.75</v>
      </c>
      <c r="I2160" s="217" t="s">
        <v>3194</v>
      </c>
    </row>
    <row r="2161" spans="1:9" hidden="1">
      <c r="A2161" s="23">
        <v>2161</v>
      </c>
      <c r="B2161" s="84">
        <v>45773</v>
      </c>
      <c r="C2161" s="23" t="s">
        <v>1207</v>
      </c>
      <c r="D2161" s="23" t="s">
        <v>234</v>
      </c>
      <c r="G2161" s="23">
        <v>0</v>
      </c>
      <c r="I2161" s="217" t="s">
        <v>3195</v>
      </c>
    </row>
    <row r="2162" spans="1:9" hidden="1">
      <c r="A2162" s="23">
        <v>2162</v>
      </c>
      <c r="B2162" s="84">
        <v>45773</v>
      </c>
      <c r="C2162" s="23" t="s">
        <v>1207</v>
      </c>
      <c r="D2162" s="23" t="s">
        <v>236</v>
      </c>
      <c r="G2162" s="23">
        <v>0</v>
      </c>
      <c r="I2162" s="217" t="s">
        <v>3196</v>
      </c>
    </row>
    <row r="2163" spans="1:9" hidden="1">
      <c r="A2163" s="23">
        <v>2163</v>
      </c>
      <c r="B2163" s="84">
        <v>45773</v>
      </c>
      <c r="C2163" s="23" t="s">
        <v>782</v>
      </c>
      <c r="D2163" s="23" t="s">
        <v>164</v>
      </c>
      <c r="G2163" s="23">
        <v>0</v>
      </c>
      <c r="I2163" s="217" t="s">
        <v>3193</v>
      </c>
    </row>
    <row r="2164" spans="1:9" hidden="1">
      <c r="A2164" s="23">
        <v>2164</v>
      </c>
      <c r="B2164" s="84">
        <v>45773</v>
      </c>
      <c r="C2164" s="23" t="s">
        <v>782</v>
      </c>
      <c r="D2164" s="23" t="s">
        <v>391</v>
      </c>
      <c r="G2164" s="23">
        <v>0</v>
      </c>
      <c r="I2164" s="217" t="s">
        <v>3192</v>
      </c>
    </row>
    <row r="2165" spans="1:9" hidden="1">
      <c r="A2165" s="23">
        <v>2165</v>
      </c>
      <c r="B2165" s="84">
        <v>45773</v>
      </c>
      <c r="C2165" s="23" t="s">
        <v>1145</v>
      </c>
      <c r="D2165" s="23" t="s">
        <v>232</v>
      </c>
      <c r="G2165" s="23">
        <v>0</v>
      </c>
      <c r="I2165" s="217" t="s">
        <v>3194</v>
      </c>
    </row>
    <row r="2166" spans="1:9" hidden="1">
      <c r="A2166" s="23">
        <v>2166</v>
      </c>
      <c r="B2166" s="84">
        <v>45773</v>
      </c>
      <c r="C2166" s="23" t="s">
        <v>326</v>
      </c>
      <c r="D2166" s="23" t="s">
        <v>183</v>
      </c>
      <c r="G2166" s="23">
        <v>1.5</v>
      </c>
      <c r="I2166" s="217" t="s">
        <v>3197</v>
      </c>
    </row>
    <row r="2167" spans="1:9" hidden="1">
      <c r="A2167" s="23">
        <v>2167</v>
      </c>
      <c r="B2167" s="84">
        <v>45773</v>
      </c>
      <c r="C2167" s="23" t="s">
        <v>274</v>
      </c>
      <c r="D2167" s="23" t="s">
        <v>214</v>
      </c>
      <c r="G2167" s="23">
        <v>0.68</v>
      </c>
      <c r="I2167" s="217" t="s">
        <v>3198</v>
      </c>
    </row>
    <row r="2168" spans="1:9" hidden="1">
      <c r="A2168" s="23">
        <v>2168</v>
      </c>
      <c r="B2168" s="84">
        <v>45773</v>
      </c>
      <c r="C2168" s="23" t="s">
        <v>224</v>
      </c>
      <c r="D2168" s="23" t="s">
        <v>220</v>
      </c>
      <c r="G2168" s="23">
        <v>0</v>
      </c>
      <c r="I2168" s="217" t="s">
        <v>3199</v>
      </c>
    </row>
    <row r="2169" spans="1:9" hidden="1">
      <c r="A2169" s="23">
        <v>2169</v>
      </c>
      <c r="B2169" s="84">
        <v>45773</v>
      </c>
      <c r="C2169" s="23" t="s">
        <v>1208</v>
      </c>
      <c r="D2169" s="23" t="s">
        <v>183</v>
      </c>
      <c r="G2169" s="23">
        <v>0</v>
      </c>
      <c r="I2169" s="217" t="s">
        <v>3200</v>
      </c>
    </row>
    <row r="2170" spans="1:9" hidden="1">
      <c r="A2170" s="23">
        <v>2170</v>
      </c>
      <c r="B2170" s="84">
        <v>45773</v>
      </c>
      <c r="C2170" s="23" t="s">
        <v>751</v>
      </c>
      <c r="D2170" s="23" t="s">
        <v>234</v>
      </c>
      <c r="G2170" s="23">
        <v>0.7</v>
      </c>
      <c r="I2170" s="217" t="s">
        <v>3201</v>
      </c>
    </row>
    <row r="2171" spans="1:9" hidden="1">
      <c r="A2171" s="23">
        <v>2171</v>
      </c>
      <c r="B2171" s="84">
        <v>45773</v>
      </c>
      <c r="C2171" s="23" t="s">
        <v>1022</v>
      </c>
      <c r="D2171" s="23" t="s">
        <v>236</v>
      </c>
      <c r="G2171" s="23">
        <v>0.7</v>
      </c>
      <c r="I2171" s="217" t="s">
        <v>3202</v>
      </c>
    </row>
    <row r="2172" spans="1:9" hidden="1">
      <c r="A2172" s="23">
        <v>2172</v>
      </c>
      <c r="B2172" s="84">
        <v>45773</v>
      </c>
      <c r="C2172" s="23" t="s">
        <v>1211</v>
      </c>
      <c r="D2172" s="23" t="s">
        <v>391</v>
      </c>
      <c r="G2172" s="23">
        <v>0.7</v>
      </c>
      <c r="I2172" s="217" t="s">
        <v>3203</v>
      </c>
    </row>
    <row r="2173" spans="1:9" hidden="1">
      <c r="A2173" s="23">
        <v>2173</v>
      </c>
      <c r="B2173" s="84">
        <v>45773</v>
      </c>
      <c r="C2173" s="23" t="s">
        <v>1211</v>
      </c>
      <c r="D2173" s="23" t="s">
        <v>164</v>
      </c>
      <c r="G2173" s="23">
        <v>0.7</v>
      </c>
      <c r="I2173" s="217" t="s">
        <v>3204</v>
      </c>
    </row>
    <row r="2174" spans="1:9" hidden="1">
      <c r="A2174" s="23">
        <v>2174</v>
      </c>
      <c r="B2174" s="84">
        <v>45773</v>
      </c>
      <c r="C2174" s="23" t="s">
        <v>1210</v>
      </c>
      <c r="D2174" s="23" t="s">
        <v>234</v>
      </c>
      <c r="G2174" s="23">
        <v>0</v>
      </c>
      <c r="I2174" s="217" t="s">
        <v>3205</v>
      </c>
    </row>
    <row r="2175" spans="1:9" hidden="1">
      <c r="A2175" s="23">
        <v>2175</v>
      </c>
      <c r="B2175" s="84">
        <v>45773</v>
      </c>
      <c r="C2175" s="23" t="s">
        <v>514</v>
      </c>
      <c r="D2175" s="23" t="s">
        <v>236</v>
      </c>
      <c r="G2175" s="23">
        <v>0</v>
      </c>
      <c r="I2175" s="217" t="s">
        <v>3206</v>
      </c>
    </row>
    <row r="2176" spans="1:9" hidden="1">
      <c r="A2176" s="23">
        <v>2176</v>
      </c>
      <c r="B2176" s="84">
        <v>45773</v>
      </c>
      <c r="C2176" s="23" t="s">
        <v>1213</v>
      </c>
      <c r="D2176" s="23" t="s">
        <v>232</v>
      </c>
      <c r="G2176" s="23">
        <v>0.75</v>
      </c>
      <c r="I2176" s="217" t="s">
        <v>3207</v>
      </c>
    </row>
    <row r="2177" spans="1:9" hidden="1">
      <c r="A2177" s="23">
        <v>2177</v>
      </c>
      <c r="B2177" s="84">
        <v>45773</v>
      </c>
      <c r="C2177" s="23" t="s">
        <v>1212</v>
      </c>
      <c r="D2177" s="23" t="s">
        <v>391</v>
      </c>
      <c r="G2177" s="23">
        <v>0</v>
      </c>
      <c r="I2177" s="217" t="s">
        <v>3208</v>
      </c>
    </row>
    <row r="2178" spans="1:9" hidden="1">
      <c r="A2178" s="23">
        <v>2178</v>
      </c>
      <c r="B2178" s="84">
        <v>45773</v>
      </c>
      <c r="C2178" s="23" t="s">
        <v>702</v>
      </c>
      <c r="D2178" s="23" t="s">
        <v>164</v>
      </c>
      <c r="G2178" s="23">
        <v>0</v>
      </c>
      <c r="I2178" s="217" t="s">
        <v>3209</v>
      </c>
    </row>
    <row r="2179" spans="1:9" hidden="1">
      <c r="A2179" s="23">
        <v>2179</v>
      </c>
      <c r="B2179" s="84">
        <v>45773</v>
      </c>
      <c r="C2179" s="23" t="s">
        <v>508</v>
      </c>
      <c r="D2179" s="23" t="s">
        <v>279</v>
      </c>
      <c r="G2179" s="23">
        <v>8.8000000000000007</v>
      </c>
      <c r="I2179" s="217" t="s">
        <v>3210</v>
      </c>
    </row>
    <row r="2180" spans="1:9" hidden="1">
      <c r="A2180" s="23">
        <v>2180</v>
      </c>
      <c r="B2180" s="84">
        <v>45773</v>
      </c>
      <c r="C2180" s="23" t="s">
        <v>704</v>
      </c>
      <c r="D2180" s="23" t="s">
        <v>279</v>
      </c>
      <c r="G2180" s="23">
        <v>0</v>
      </c>
      <c r="I2180" s="217" t="s">
        <v>3211</v>
      </c>
    </row>
    <row r="2181" spans="1:9" hidden="1">
      <c r="A2181" s="23">
        <v>2181</v>
      </c>
      <c r="B2181" s="84">
        <v>45773</v>
      </c>
      <c r="C2181" s="23" t="s">
        <v>1170</v>
      </c>
      <c r="D2181" s="23" t="s">
        <v>279</v>
      </c>
      <c r="G2181" s="23">
        <v>8.8000000000000007</v>
      </c>
      <c r="I2181" s="217" t="s">
        <v>3212</v>
      </c>
    </row>
    <row r="2182" spans="1:9" hidden="1">
      <c r="A2182" s="23">
        <v>2182</v>
      </c>
      <c r="B2182" s="84">
        <v>45773</v>
      </c>
      <c r="C2182" s="23" t="s">
        <v>1214</v>
      </c>
      <c r="D2182" s="23" t="s">
        <v>279</v>
      </c>
      <c r="G2182" s="23">
        <v>0</v>
      </c>
      <c r="I2182" s="217" t="s">
        <v>3212</v>
      </c>
    </row>
    <row r="2183" spans="1:9" hidden="1">
      <c r="A2183" s="23">
        <v>2183</v>
      </c>
      <c r="B2183" s="84">
        <v>45773</v>
      </c>
      <c r="C2183" s="23" t="s">
        <v>1134</v>
      </c>
      <c r="D2183" s="23" t="s">
        <v>232</v>
      </c>
      <c r="G2183" s="23">
        <v>0</v>
      </c>
      <c r="I2183" s="217" t="s">
        <v>3213</v>
      </c>
    </row>
    <row r="2184" spans="1:9" hidden="1">
      <c r="A2184" s="23">
        <v>2184</v>
      </c>
      <c r="B2184" s="84">
        <v>45773</v>
      </c>
      <c r="C2184" s="23" t="s">
        <v>212</v>
      </c>
      <c r="D2184" s="23" t="s">
        <v>217</v>
      </c>
      <c r="G2184" s="23">
        <v>0.85</v>
      </c>
      <c r="I2184" s="217" t="s">
        <v>3214</v>
      </c>
    </row>
    <row r="2185" spans="1:9" hidden="1">
      <c r="A2185" s="23">
        <v>2185</v>
      </c>
      <c r="B2185" s="84">
        <v>45773</v>
      </c>
      <c r="C2185" s="23" t="s">
        <v>222</v>
      </c>
      <c r="D2185" s="23" t="s">
        <v>225</v>
      </c>
      <c r="G2185" s="23">
        <v>0</v>
      </c>
      <c r="I2185" s="217" t="s">
        <v>3215</v>
      </c>
    </row>
    <row r="2186" spans="1:9" hidden="1">
      <c r="A2186" s="23">
        <v>2186</v>
      </c>
      <c r="B2186" s="84">
        <v>45773</v>
      </c>
      <c r="C2186" s="23" t="s">
        <v>1067</v>
      </c>
      <c r="D2186" s="23" t="s">
        <v>234</v>
      </c>
      <c r="G2186" s="23">
        <v>0.7</v>
      </c>
      <c r="I2186" s="217" t="s">
        <v>3216</v>
      </c>
    </row>
    <row r="2187" spans="1:9" hidden="1">
      <c r="A2187" s="23">
        <v>2187</v>
      </c>
      <c r="B2187" s="84">
        <v>45773</v>
      </c>
      <c r="C2187" s="23" t="s">
        <v>422</v>
      </c>
      <c r="D2187" s="23" t="s">
        <v>236</v>
      </c>
      <c r="G2187" s="23">
        <v>0.7</v>
      </c>
      <c r="I2187" s="217" t="s">
        <v>3217</v>
      </c>
    </row>
    <row r="2188" spans="1:9" hidden="1">
      <c r="A2188" s="23">
        <v>2188</v>
      </c>
      <c r="B2188" s="84">
        <v>45773</v>
      </c>
      <c r="C2188" s="23" t="s">
        <v>639</v>
      </c>
      <c r="D2188" s="23" t="s">
        <v>391</v>
      </c>
      <c r="G2188" s="23">
        <v>0.7</v>
      </c>
      <c r="I2188" s="217" t="s">
        <v>3218</v>
      </c>
    </row>
    <row r="2189" spans="1:9" hidden="1">
      <c r="A2189" s="23">
        <v>2189</v>
      </c>
      <c r="B2189" s="84">
        <v>45773</v>
      </c>
      <c r="C2189" s="23" t="s">
        <v>206</v>
      </c>
      <c r="D2189" s="23" t="s">
        <v>220</v>
      </c>
      <c r="G2189" s="23">
        <v>0.77</v>
      </c>
      <c r="I2189" s="217" t="s">
        <v>3219</v>
      </c>
    </row>
    <row r="2190" spans="1:9" hidden="1">
      <c r="A2190" s="23">
        <v>2190</v>
      </c>
      <c r="B2190" s="84">
        <v>45773</v>
      </c>
      <c r="C2190" s="23" t="s">
        <v>525</v>
      </c>
      <c r="D2190" s="23" t="s">
        <v>211</v>
      </c>
      <c r="G2190" s="23">
        <v>0</v>
      </c>
      <c r="I2190" s="217" t="s">
        <v>3220</v>
      </c>
    </row>
    <row r="2191" spans="1:9" hidden="1">
      <c r="A2191" s="23">
        <v>2191</v>
      </c>
      <c r="B2191" s="84">
        <v>45773</v>
      </c>
      <c r="C2191" s="23" t="s">
        <v>633</v>
      </c>
      <c r="D2191" s="23" t="s">
        <v>234</v>
      </c>
      <c r="G2191" s="23">
        <v>0</v>
      </c>
      <c r="I2191" s="217" t="s">
        <v>3221</v>
      </c>
    </row>
    <row r="2192" spans="1:9" hidden="1">
      <c r="A2192" s="23">
        <v>2192</v>
      </c>
      <c r="B2192" s="84">
        <v>45773</v>
      </c>
      <c r="C2192" s="23" t="s">
        <v>534</v>
      </c>
      <c r="D2192" s="23" t="s">
        <v>236</v>
      </c>
      <c r="G2192" s="23">
        <v>0</v>
      </c>
      <c r="I2192" s="217" t="s">
        <v>3222</v>
      </c>
    </row>
    <row r="2193" spans="1:9" hidden="1">
      <c r="A2193" s="23">
        <v>2193</v>
      </c>
      <c r="B2193" s="84">
        <v>45773</v>
      </c>
      <c r="C2193" s="23" t="s">
        <v>887</v>
      </c>
      <c r="D2193" s="23" t="s">
        <v>391</v>
      </c>
      <c r="G2193" s="23">
        <v>0</v>
      </c>
      <c r="I2193" s="217" t="s">
        <v>3223</v>
      </c>
    </row>
    <row r="2194" spans="1:9" hidden="1">
      <c r="A2194" s="23">
        <v>2194</v>
      </c>
      <c r="B2194" s="84">
        <v>45773</v>
      </c>
      <c r="C2194" s="23" t="s">
        <v>890</v>
      </c>
      <c r="D2194" s="23" t="s">
        <v>232</v>
      </c>
      <c r="G2194" s="23">
        <v>0.7</v>
      </c>
      <c r="I2194" s="217" t="s">
        <v>3224</v>
      </c>
    </row>
    <row r="2195" spans="1:9" hidden="1">
      <c r="A2195" s="23">
        <v>2195</v>
      </c>
      <c r="B2195" s="84">
        <v>45773</v>
      </c>
      <c r="C2195" s="23" t="s">
        <v>890</v>
      </c>
      <c r="D2195" s="23" t="s">
        <v>164</v>
      </c>
      <c r="G2195" s="23">
        <v>0.7</v>
      </c>
      <c r="I2195" s="217" t="s">
        <v>3225</v>
      </c>
    </row>
    <row r="2196" spans="1:9" hidden="1">
      <c r="A2196" s="23">
        <v>2196</v>
      </c>
      <c r="B2196" s="84">
        <v>45773</v>
      </c>
      <c r="C2196" s="23" t="s">
        <v>890</v>
      </c>
      <c r="D2196" s="23" t="s">
        <v>234</v>
      </c>
      <c r="G2196" s="23">
        <v>0.7</v>
      </c>
      <c r="I2196" s="217" t="s">
        <v>3226</v>
      </c>
    </row>
    <row r="2197" spans="1:9">
      <c r="A2197" s="23">
        <v>2197</v>
      </c>
      <c r="B2197" s="84">
        <v>45773</v>
      </c>
      <c r="C2197" s="23" t="s">
        <v>1202</v>
      </c>
      <c r="D2197" s="23" t="s">
        <v>248</v>
      </c>
      <c r="G2197" s="23">
        <v>0</v>
      </c>
      <c r="I2197" s="217" t="s">
        <v>3227</v>
      </c>
    </row>
    <row r="2198" spans="1:9" hidden="1">
      <c r="A2198" s="23">
        <v>2198</v>
      </c>
      <c r="B2198" s="84">
        <v>45773</v>
      </c>
      <c r="C2198" s="23" t="s">
        <v>337</v>
      </c>
      <c r="D2198" s="23" t="s">
        <v>164</v>
      </c>
      <c r="G2198" s="23">
        <v>0</v>
      </c>
      <c r="I2198" s="217" t="s">
        <v>3225</v>
      </c>
    </row>
    <row r="2199" spans="1:9" hidden="1">
      <c r="A2199" s="23">
        <v>2199</v>
      </c>
      <c r="B2199" s="84">
        <v>45773</v>
      </c>
      <c r="C2199" s="23" t="s">
        <v>1215</v>
      </c>
      <c r="D2199" s="23" t="s">
        <v>234</v>
      </c>
      <c r="G2199" s="23">
        <v>0</v>
      </c>
      <c r="I2199" s="217" t="s">
        <v>3226</v>
      </c>
    </row>
    <row r="2200" spans="1:9" hidden="1">
      <c r="A2200" s="23">
        <v>2200</v>
      </c>
      <c r="B2200" s="84">
        <v>45773</v>
      </c>
      <c r="C2200" s="23" t="s">
        <v>1048</v>
      </c>
      <c r="D2200" s="23" t="s">
        <v>232</v>
      </c>
      <c r="G2200" s="23">
        <v>0</v>
      </c>
      <c r="I2200" s="217" t="s">
        <v>3228</v>
      </c>
    </row>
    <row r="2201" spans="1:9" hidden="1">
      <c r="A2201" s="23">
        <v>2201</v>
      </c>
      <c r="B2201" s="84">
        <v>45773</v>
      </c>
      <c r="C2201" s="23" t="s">
        <v>586</v>
      </c>
      <c r="D2201" s="23" t="s">
        <v>391</v>
      </c>
      <c r="G2201" s="23">
        <v>0.8</v>
      </c>
      <c r="I2201" s="217" t="s">
        <v>3229</v>
      </c>
    </row>
    <row r="2202" spans="1:9" hidden="1">
      <c r="A2202" s="23">
        <v>2202</v>
      </c>
      <c r="B2202" s="84">
        <v>45773</v>
      </c>
      <c r="C2202" s="23" t="s">
        <v>586</v>
      </c>
      <c r="D2202" s="23" t="s">
        <v>236</v>
      </c>
      <c r="G2202" s="23">
        <v>0.8</v>
      </c>
      <c r="I2202" s="217" t="s">
        <v>3230</v>
      </c>
    </row>
    <row r="2203" spans="1:9">
      <c r="A2203" s="23">
        <v>2203</v>
      </c>
      <c r="B2203" s="84">
        <v>45773</v>
      </c>
      <c r="C2203" s="23" t="s">
        <v>980</v>
      </c>
      <c r="D2203" s="23" t="s">
        <v>177</v>
      </c>
      <c r="G2203" s="23">
        <v>0</v>
      </c>
      <c r="I2203" s="217" t="s">
        <v>3231</v>
      </c>
    </row>
    <row r="2204" spans="1:9" hidden="1">
      <c r="A2204" s="23">
        <v>2204</v>
      </c>
      <c r="B2204" s="84">
        <v>45773</v>
      </c>
      <c r="C2204" s="23" t="s">
        <v>950</v>
      </c>
      <c r="D2204" s="23" t="s">
        <v>232</v>
      </c>
      <c r="G2204" s="23">
        <v>0.8</v>
      </c>
      <c r="I2204" s="217" t="s">
        <v>3232</v>
      </c>
    </row>
    <row r="2205" spans="1:9" hidden="1">
      <c r="A2205" s="23">
        <v>2205</v>
      </c>
      <c r="B2205" s="84">
        <v>45773</v>
      </c>
      <c r="C2205" s="23" t="s">
        <v>950</v>
      </c>
      <c r="D2205" s="23" t="s">
        <v>164</v>
      </c>
      <c r="G2205" s="23">
        <v>0.8</v>
      </c>
      <c r="I2205" s="217" t="s">
        <v>3233</v>
      </c>
    </row>
    <row r="2206" spans="1:9" hidden="1">
      <c r="A2206" s="23">
        <v>2206</v>
      </c>
      <c r="B2206" s="84">
        <v>45773</v>
      </c>
      <c r="C2206" s="23" t="s">
        <v>1216</v>
      </c>
      <c r="D2206" s="23" t="s">
        <v>236</v>
      </c>
      <c r="G2206" s="23">
        <v>0</v>
      </c>
      <c r="I2206" s="217" t="s">
        <v>3230</v>
      </c>
    </row>
    <row r="2207" spans="1:9">
      <c r="A2207" s="23">
        <v>2207</v>
      </c>
      <c r="B2207" s="84">
        <v>45774</v>
      </c>
      <c r="C2207" s="23" t="s">
        <v>1157</v>
      </c>
      <c r="D2207" s="23" t="s">
        <v>174</v>
      </c>
      <c r="G2207" s="23">
        <v>0</v>
      </c>
      <c r="I2207" s="217" t="s">
        <v>3234</v>
      </c>
    </row>
    <row r="2208" spans="1:9">
      <c r="A2208" s="23">
        <v>2208</v>
      </c>
      <c r="B2208" s="84">
        <v>45774</v>
      </c>
      <c r="C2208" s="23" t="s">
        <v>1180</v>
      </c>
      <c r="D2208" s="23" t="s">
        <v>180</v>
      </c>
      <c r="G2208" s="23">
        <v>0</v>
      </c>
      <c r="I2208" s="217" t="s">
        <v>3235</v>
      </c>
    </row>
    <row r="2209" spans="1:9" hidden="1">
      <c r="A2209" s="23">
        <v>2209</v>
      </c>
      <c r="B2209" s="84">
        <v>45773</v>
      </c>
      <c r="C2209" s="23" t="s">
        <v>1072</v>
      </c>
      <c r="D2209" s="23" t="s">
        <v>234</v>
      </c>
      <c r="G2209" s="23">
        <v>0.8</v>
      </c>
      <c r="I2209" s="217" t="s">
        <v>3236</v>
      </c>
    </row>
    <row r="2210" spans="1:9" hidden="1">
      <c r="A2210" s="23">
        <v>2210</v>
      </c>
      <c r="B2210" s="84">
        <v>45773</v>
      </c>
      <c r="C2210" s="23" t="s">
        <v>1072</v>
      </c>
      <c r="D2210" s="23" t="s">
        <v>236</v>
      </c>
      <c r="G2210" s="23">
        <v>0.8</v>
      </c>
      <c r="I2210" s="217" t="s">
        <v>1294</v>
      </c>
    </row>
    <row r="2211" spans="1:9" hidden="1">
      <c r="A2211" s="23">
        <v>2211</v>
      </c>
      <c r="B2211" s="84">
        <v>45774</v>
      </c>
      <c r="C2211" s="23" t="s">
        <v>1078</v>
      </c>
      <c r="D2211" s="23" t="s">
        <v>164</v>
      </c>
      <c r="G2211" s="23">
        <v>0</v>
      </c>
      <c r="I2211" s="217" t="s">
        <v>3237</v>
      </c>
    </row>
    <row r="2212" spans="1:9" hidden="1">
      <c r="A2212" s="23">
        <v>2212</v>
      </c>
      <c r="B2212" s="84">
        <v>45774</v>
      </c>
      <c r="C2212" s="23" t="s">
        <v>1078</v>
      </c>
      <c r="D2212" s="23" t="s">
        <v>391</v>
      </c>
      <c r="G2212" s="23">
        <v>0</v>
      </c>
      <c r="I2212" s="217" t="s">
        <v>3238</v>
      </c>
    </row>
    <row r="2213" spans="1:9" hidden="1">
      <c r="A2213" s="23">
        <v>2213</v>
      </c>
      <c r="B2213" s="84">
        <v>45774</v>
      </c>
      <c r="C2213" s="23" t="s">
        <v>1218</v>
      </c>
      <c r="D2213" s="23" t="s">
        <v>234</v>
      </c>
      <c r="G2213" s="23">
        <v>0</v>
      </c>
      <c r="I2213" s="217" t="s">
        <v>3239</v>
      </c>
    </row>
    <row r="2214" spans="1:9" hidden="1">
      <c r="A2214" s="23">
        <v>2214</v>
      </c>
      <c r="B2214" s="84">
        <v>45774</v>
      </c>
      <c r="C2214" s="23" t="s">
        <v>1217</v>
      </c>
      <c r="D2214" s="23" t="s">
        <v>232</v>
      </c>
      <c r="G2214" s="23">
        <v>0</v>
      </c>
      <c r="I2214" s="217" t="s">
        <v>3240</v>
      </c>
    </row>
    <row r="2215" spans="1:9" hidden="1">
      <c r="A2215" s="23">
        <v>2215</v>
      </c>
      <c r="B2215" s="84">
        <v>45774</v>
      </c>
      <c r="C2215" s="23" t="s">
        <v>1206</v>
      </c>
      <c r="D2215" s="23" t="s">
        <v>186</v>
      </c>
      <c r="G2215" s="23">
        <v>0</v>
      </c>
      <c r="I2215" s="217" t="s">
        <v>3241</v>
      </c>
    </row>
    <row r="2216" spans="1:9" hidden="1">
      <c r="A2216" s="23">
        <v>2216</v>
      </c>
      <c r="B2216" s="84">
        <v>45774</v>
      </c>
      <c r="C2216" s="23" t="s">
        <v>1219</v>
      </c>
      <c r="D2216" s="23" t="s">
        <v>236</v>
      </c>
      <c r="G2216" s="23">
        <v>0</v>
      </c>
      <c r="I2216" s="217" t="s">
        <v>3242</v>
      </c>
    </row>
    <row r="2217" spans="1:9" hidden="1">
      <c r="A2217" s="23">
        <v>2217</v>
      </c>
      <c r="B2217" s="84">
        <v>45774</v>
      </c>
      <c r="C2217" s="23" t="s">
        <v>223</v>
      </c>
      <c r="D2217" s="23" t="s">
        <v>211</v>
      </c>
      <c r="G2217" s="23">
        <v>0.505</v>
      </c>
      <c r="I2217" s="217" t="s">
        <v>3243</v>
      </c>
    </row>
    <row r="2218" spans="1:9" hidden="1">
      <c r="A2218" s="23">
        <v>2218</v>
      </c>
      <c r="B2218" s="84">
        <v>45774</v>
      </c>
      <c r="C2218" s="23" t="s">
        <v>216</v>
      </c>
      <c r="D2218" s="23" t="s">
        <v>214</v>
      </c>
      <c r="G2218" s="23">
        <v>0</v>
      </c>
      <c r="I2218" s="217" t="s">
        <v>3244</v>
      </c>
    </row>
    <row r="2219" spans="1:9" ht="28.15" hidden="1">
      <c r="A2219" s="23">
        <v>2219</v>
      </c>
      <c r="B2219" s="84">
        <v>45774</v>
      </c>
      <c r="C2219" s="23" t="s">
        <v>797</v>
      </c>
      <c r="D2219" s="23" t="s">
        <v>242</v>
      </c>
      <c r="G2219" s="23">
        <v>0</v>
      </c>
      <c r="H2219" s="457" t="s">
        <v>1205</v>
      </c>
      <c r="I2219" s="217" t="s">
        <v>3245</v>
      </c>
    </row>
    <row r="2220" spans="1:9" hidden="1">
      <c r="A2220" s="23">
        <v>2220</v>
      </c>
      <c r="B2220" s="84">
        <v>45774</v>
      </c>
      <c r="C2220" s="23" t="s">
        <v>1220</v>
      </c>
      <c r="D2220" s="23" t="s">
        <v>164</v>
      </c>
      <c r="G2220" s="23">
        <v>0.8</v>
      </c>
      <c r="I2220" s="217" t="s">
        <v>3246</v>
      </c>
    </row>
    <row r="2221" spans="1:9" hidden="1">
      <c r="A2221" s="23">
        <v>2221</v>
      </c>
      <c r="B2221" s="84">
        <v>45774</v>
      </c>
      <c r="C2221" s="23" t="s">
        <v>1220</v>
      </c>
      <c r="D2221" s="23" t="s">
        <v>391</v>
      </c>
      <c r="G2221" s="23">
        <v>0.8</v>
      </c>
      <c r="I2221" s="217" t="s">
        <v>3247</v>
      </c>
    </row>
    <row r="2222" spans="1:9" hidden="1">
      <c r="A2222" s="23">
        <v>2222</v>
      </c>
      <c r="B2222" s="84">
        <v>45774</v>
      </c>
      <c r="C2222" s="23" t="s">
        <v>1222</v>
      </c>
      <c r="D2222" s="23" t="s">
        <v>242</v>
      </c>
      <c r="G2222" s="23">
        <v>3</v>
      </c>
      <c r="I2222" s="217" t="s">
        <v>1294</v>
      </c>
    </row>
    <row r="2223" spans="1:9" hidden="1">
      <c r="A2223" s="23">
        <v>2223</v>
      </c>
      <c r="B2223" s="84">
        <v>45774</v>
      </c>
      <c r="C2223" s="23" t="s">
        <v>1178</v>
      </c>
      <c r="D2223" s="23" t="s">
        <v>232</v>
      </c>
      <c r="G2223" s="23">
        <v>0.8</v>
      </c>
      <c r="I2223" s="217" t="s">
        <v>3248</v>
      </c>
    </row>
    <row r="2224" spans="1:9" hidden="1">
      <c r="A2224" s="23">
        <v>2224</v>
      </c>
      <c r="B2224" s="84">
        <v>45774</v>
      </c>
      <c r="C2224" s="23" t="s">
        <v>1178</v>
      </c>
      <c r="D2224" s="23" t="s">
        <v>234</v>
      </c>
      <c r="G2224" s="23">
        <v>0.8</v>
      </c>
      <c r="I2224" s="217" t="s">
        <v>3249</v>
      </c>
    </row>
    <row r="2225" spans="1:9" hidden="1">
      <c r="A2225" s="23">
        <v>2225</v>
      </c>
      <c r="B2225" s="84">
        <v>45774</v>
      </c>
      <c r="C2225" s="23" t="s">
        <v>1178</v>
      </c>
      <c r="D2225" s="23" t="s">
        <v>236</v>
      </c>
      <c r="G2225" s="23">
        <v>0.8</v>
      </c>
      <c r="I2225" s="217" t="s">
        <v>3250</v>
      </c>
    </row>
    <row r="2226" spans="1:9">
      <c r="A2226" s="23">
        <v>2226</v>
      </c>
      <c r="B2226" s="84">
        <v>45774</v>
      </c>
      <c r="C2226" s="23" t="s">
        <v>221</v>
      </c>
      <c r="D2226" s="23" t="s">
        <v>174</v>
      </c>
      <c r="G2226" s="23">
        <v>6.6</v>
      </c>
      <c r="I2226" s="217" t="s">
        <v>3251</v>
      </c>
    </row>
    <row r="2227" spans="1:9">
      <c r="A2227" s="23">
        <v>2227</v>
      </c>
      <c r="B2227" s="84">
        <v>45774</v>
      </c>
      <c r="C2227" s="23" t="s">
        <v>1224</v>
      </c>
      <c r="D2227" s="23" t="s">
        <v>180</v>
      </c>
      <c r="G2227" s="23">
        <v>6.6</v>
      </c>
      <c r="I2227" s="217" t="s">
        <v>3252</v>
      </c>
    </row>
    <row r="2228" spans="1:9" hidden="1">
      <c r="A2228" s="23">
        <v>2228</v>
      </c>
      <c r="B2228" s="84">
        <v>45774</v>
      </c>
      <c r="C2228" s="23" t="s">
        <v>813</v>
      </c>
      <c r="D2228" s="23" t="s">
        <v>391</v>
      </c>
      <c r="G2228" s="23">
        <v>0</v>
      </c>
      <c r="I2228" s="217" t="s">
        <v>3253</v>
      </c>
    </row>
    <row r="2229" spans="1:9" hidden="1">
      <c r="A2229" s="23">
        <v>2229</v>
      </c>
      <c r="B2229" s="84">
        <v>45774</v>
      </c>
      <c r="C2229" s="23" t="s">
        <v>1221</v>
      </c>
      <c r="D2229" s="23" t="s">
        <v>232</v>
      </c>
      <c r="G2229" s="23">
        <v>0</v>
      </c>
      <c r="I2229" s="217" t="s">
        <v>3254</v>
      </c>
    </row>
    <row r="2230" spans="1:9" hidden="1">
      <c r="A2230" s="23">
        <v>2230</v>
      </c>
      <c r="B2230" s="84">
        <v>45774</v>
      </c>
      <c r="C2230" s="23" t="s">
        <v>1221</v>
      </c>
      <c r="D2230" s="23" t="s">
        <v>164</v>
      </c>
      <c r="G2230" s="23">
        <v>0</v>
      </c>
      <c r="I2230" s="217" t="s">
        <v>3255</v>
      </c>
    </row>
    <row r="2231" spans="1:9" hidden="1">
      <c r="A2231" s="23">
        <v>2231</v>
      </c>
      <c r="B2231" s="84">
        <v>45774</v>
      </c>
      <c r="C2231" s="23" t="s">
        <v>1223</v>
      </c>
      <c r="D2231" s="23" t="s">
        <v>234</v>
      </c>
      <c r="G2231" s="23">
        <v>0</v>
      </c>
      <c r="I2231" s="217" t="s">
        <v>3256</v>
      </c>
    </row>
    <row r="2232" spans="1:9" hidden="1">
      <c r="A2232" s="23">
        <v>2232</v>
      </c>
      <c r="B2232" s="84">
        <v>45774</v>
      </c>
      <c r="C2232" s="23" t="s">
        <v>1223</v>
      </c>
      <c r="D2232" s="23" t="s">
        <v>236</v>
      </c>
      <c r="G2232" s="23">
        <v>0</v>
      </c>
      <c r="I2232" s="217" t="s">
        <v>3257</v>
      </c>
    </row>
    <row r="2233" spans="1:9">
      <c r="A2233" s="23">
        <v>2233</v>
      </c>
      <c r="B2233" s="84">
        <v>45774</v>
      </c>
      <c r="C2233" s="23" t="s">
        <v>925</v>
      </c>
      <c r="D2233" s="23" t="s">
        <v>177</v>
      </c>
      <c r="G2233" s="23">
        <v>1.5</v>
      </c>
      <c r="H2233" s="23" t="s">
        <v>354</v>
      </c>
      <c r="I2233" s="217" t="s">
        <v>3258</v>
      </c>
    </row>
    <row r="2234" spans="1:9">
      <c r="A2234" s="23">
        <v>2234</v>
      </c>
      <c r="B2234" s="84">
        <v>45774</v>
      </c>
      <c r="C2234" s="23" t="s">
        <v>446</v>
      </c>
      <c r="D2234" s="23" t="s">
        <v>177</v>
      </c>
      <c r="G2234" s="23">
        <v>0</v>
      </c>
      <c r="I2234" s="217" t="s">
        <v>3258</v>
      </c>
    </row>
    <row r="2235" spans="1:9" hidden="1">
      <c r="A2235" s="23">
        <v>2235</v>
      </c>
      <c r="B2235" s="84">
        <v>45774</v>
      </c>
      <c r="C2235" s="23" t="s">
        <v>218</v>
      </c>
      <c r="D2235" s="23" t="s">
        <v>225</v>
      </c>
      <c r="G2235" s="23">
        <v>0.77</v>
      </c>
      <c r="I2235" s="217" t="s">
        <v>3259</v>
      </c>
    </row>
    <row r="2236" spans="1:9" hidden="1">
      <c r="A2236" s="23">
        <v>2236</v>
      </c>
      <c r="B2236" s="84">
        <v>45774</v>
      </c>
      <c r="C2236" s="23" t="s">
        <v>213</v>
      </c>
      <c r="D2236" s="23" t="s">
        <v>217</v>
      </c>
      <c r="G2236" s="23">
        <v>0</v>
      </c>
      <c r="I2236" s="217" t="s">
        <v>3260</v>
      </c>
    </row>
    <row r="2237" spans="1:9" hidden="1">
      <c r="A2237" s="23">
        <v>2237</v>
      </c>
      <c r="B2237" s="84">
        <v>45774</v>
      </c>
      <c r="C2237" s="23" t="s">
        <v>218</v>
      </c>
      <c r="D2237" s="23" t="s">
        <v>214</v>
      </c>
      <c r="G2237" s="23">
        <v>0.48499999999999999</v>
      </c>
      <c r="I2237" s="217" t="s">
        <v>3261</v>
      </c>
    </row>
    <row r="2238" spans="1:9" hidden="1">
      <c r="A2238" s="23">
        <v>2238</v>
      </c>
      <c r="B2238" s="84">
        <v>45774</v>
      </c>
      <c r="C2238" s="23" t="s">
        <v>213</v>
      </c>
      <c r="D2238" s="23" t="s">
        <v>220</v>
      </c>
      <c r="G2238" s="23">
        <v>0</v>
      </c>
      <c r="I2238" s="217" t="s">
        <v>3262</v>
      </c>
    </row>
    <row r="2239" spans="1:9">
      <c r="A2239" s="23">
        <v>2239</v>
      </c>
      <c r="B2239" s="84">
        <v>45774</v>
      </c>
      <c r="C2239" s="23" t="s">
        <v>821</v>
      </c>
      <c r="D2239" s="23" t="s">
        <v>248</v>
      </c>
      <c r="G2239" s="23">
        <v>1.5</v>
      </c>
      <c r="I2239" s="217" t="s">
        <v>3263</v>
      </c>
    </row>
    <row r="2240" spans="1:9" hidden="1">
      <c r="A2240" s="23">
        <v>2240</v>
      </c>
      <c r="B2240" s="84">
        <v>45774</v>
      </c>
      <c r="C2240" s="23" t="s">
        <v>165</v>
      </c>
      <c r="D2240" s="23" t="s">
        <v>186</v>
      </c>
      <c r="G2240" s="23" t="s">
        <v>9</v>
      </c>
      <c r="I2240" s="217" t="s">
        <v>3264</v>
      </c>
    </row>
    <row r="2241" spans="1:9" hidden="1">
      <c r="A2241" s="23">
        <v>2241</v>
      </c>
      <c r="B2241" s="84">
        <v>45774</v>
      </c>
      <c r="C2241" s="23" t="s">
        <v>785</v>
      </c>
      <c r="D2241" s="23" t="s">
        <v>391</v>
      </c>
      <c r="G2241" s="23">
        <v>0.8</v>
      </c>
      <c r="I2241" s="217" t="s">
        <v>3265</v>
      </c>
    </row>
    <row r="2242" spans="1:9" hidden="1">
      <c r="A2242" s="23">
        <v>2242</v>
      </c>
      <c r="B2242" s="84">
        <v>45774</v>
      </c>
      <c r="C2242" s="23" t="s">
        <v>780</v>
      </c>
      <c r="D2242" s="23" t="s">
        <v>183</v>
      </c>
      <c r="G2242" s="23">
        <v>2.8</v>
      </c>
      <c r="I2242" s="217" t="s">
        <v>3266</v>
      </c>
    </row>
    <row r="2243" spans="1:9" hidden="1">
      <c r="A2243" s="23">
        <v>2243</v>
      </c>
      <c r="B2243" s="84">
        <v>45774</v>
      </c>
      <c r="C2243" s="23" t="s">
        <v>782</v>
      </c>
      <c r="D2243" s="23" t="s">
        <v>391</v>
      </c>
      <c r="G2243" s="23">
        <v>0</v>
      </c>
      <c r="I2243" s="217" t="s">
        <v>3265</v>
      </c>
    </row>
    <row r="2244" spans="1:9">
      <c r="A2244" s="23">
        <v>2244</v>
      </c>
      <c r="B2244" s="84">
        <v>45774</v>
      </c>
      <c r="C2244" s="23" t="s">
        <v>1227</v>
      </c>
      <c r="D2244" s="23" t="s">
        <v>177</v>
      </c>
      <c r="G2244" s="23">
        <v>6.7</v>
      </c>
      <c r="I2244" s="217" t="s">
        <v>3267</v>
      </c>
    </row>
    <row r="2245" spans="1:9">
      <c r="A2245" s="23">
        <v>2245</v>
      </c>
      <c r="B2245" s="84">
        <v>45774</v>
      </c>
      <c r="C2245" s="23" t="s">
        <v>1225</v>
      </c>
      <c r="D2245" s="23" t="s">
        <v>180</v>
      </c>
      <c r="G2245" s="23">
        <v>0</v>
      </c>
      <c r="I2245" s="217" t="s">
        <v>3268</v>
      </c>
    </row>
    <row r="2246" spans="1:9" hidden="1">
      <c r="A2246" s="23">
        <v>2246</v>
      </c>
      <c r="B2246" s="84">
        <v>45774</v>
      </c>
      <c r="C2246" s="23" t="s">
        <v>1186</v>
      </c>
      <c r="D2246" s="23" t="s">
        <v>279</v>
      </c>
      <c r="G2246" s="23">
        <v>1</v>
      </c>
      <c r="I2246" s="217" t="s">
        <v>3269</v>
      </c>
    </row>
    <row r="2247" spans="1:9" hidden="1">
      <c r="A2247" s="23">
        <v>2247</v>
      </c>
      <c r="B2247" s="84">
        <v>45774</v>
      </c>
      <c r="C2247" s="23" t="s">
        <v>1228</v>
      </c>
      <c r="D2247" s="23" t="s">
        <v>279</v>
      </c>
      <c r="G2247" s="23">
        <v>0</v>
      </c>
      <c r="H2247" s="23" t="s">
        <v>3270</v>
      </c>
      <c r="I2247" s="217" t="s">
        <v>3269</v>
      </c>
    </row>
    <row r="2248" spans="1:9" hidden="1">
      <c r="A2248" s="23">
        <v>2248</v>
      </c>
      <c r="B2248" s="84">
        <v>45774</v>
      </c>
      <c r="C2248" s="23" t="s">
        <v>1229</v>
      </c>
      <c r="D2248" s="23" t="s">
        <v>391</v>
      </c>
      <c r="G2248" s="23">
        <v>0.75</v>
      </c>
      <c r="I2248" s="217" t="s">
        <v>3271</v>
      </c>
    </row>
    <row r="2249" spans="1:9" hidden="1">
      <c r="A2249" s="23">
        <v>2249</v>
      </c>
      <c r="B2249" s="84">
        <v>45774</v>
      </c>
      <c r="C2249" s="23" t="s">
        <v>1229</v>
      </c>
      <c r="D2249" s="23" t="s">
        <v>164</v>
      </c>
      <c r="G2249" s="23">
        <v>0.75</v>
      </c>
      <c r="I2249" s="217" t="s">
        <v>3272</v>
      </c>
    </row>
    <row r="2250" spans="1:9" hidden="1">
      <c r="A2250" s="23">
        <v>2250</v>
      </c>
      <c r="B2250" s="84">
        <v>45774</v>
      </c>
      <c r="C2250" s="23" t="s">
        <v>1230</v>
      </c>
      <c r="D2250" s="23" t="s">
        <v>236</v>
      </c>
      <c r="G2250" s="23">
        <v>0.7</v>
      </c>
      <c r="I2250" s="217" t="s">
        <v>3273</v>
      </c>
    </row>
    <row r="2251" spans="1:9" hidden="1">
      <c r="A2251" s="23">
        <v>2251</v>
      </c>
      <c r="B2251" s="84">
        <v>45774</v>
      </c>
      <c r="C2251" s="23" t="s">
        <v>327</v>
      </c>
      <c r="D2251" s="23" t="s">
        <v>242</v>
      </c>
      <c r="G2251" s="23" t="s">
        <v>9</v>
      </c>
      <c r="I2251" s="217" t="s">
        <v>3274</v>
      </c>
    </row>
    <row r="2252" spans="1:9" hidden="1">
      <c r="A2252" s="23">
        <v>2252</v>
      </c>
      <c r="B2252" s="84">
        <v>45774</v>
      </c>
      <c r="C2252" s="23" t="s">
        <v>1232</v>
      </c>
      <c r="D2252" s="23" t="s">
        <v>234</v>
      </c>
      <c r="G2252" s="23">
        <v>0.7</v>
      </c>
      <c r="I2252" s="217" t="s">
        <v>3275</v>
      </c>
    </row>
    <row r="2253" spans="1:9" hidden="1">
      <c r="A2253" s="23">
        <v>2253</v>
      </c>
      <c r="B2253" s="84">
        <v>45774</v>
      </c>
      <c r="C2253" s="23" t="s">
        <v>734</v>
      </c>
      <c r="D2253" s="23" t="s">
        <v>234</v>
      </c>
      <c r="G2253" s="23">
        <v>0</v>
      </c>
      <c r="I2253" s="217" t="s">
        <v>3276</v>
      </c>
    </row>
    <row r="2254" spans="1:9" hidden="1">
      <c r="A2254" s="23">
        <v>2254</v>
      </c>
      <c r="B2254" s="84">
        <v>45774</v>
      </c>
      <c r="C2254" s="23" t="s">
        <v>1040</v>
      </c>
      <c r="D2254" s="23" t="s">
        <v>232</v>
      </c>
      <c r="G2254" s="23">
        <v>0.7</v>
      </c>
      <c r="I2254" s="217" t="s">
        <v>3277</v>
      </c>
    </row>
    <row r="2255" spans="1:9" hidden="1">
      <c r="A2255" s="23">
        <v>2255</v>
      </c>
      <c r="B2255" s="84">
        <v>45774</v>
      </c>
      <c r="C2255" s="23" t="s">
        <v>565</v>
      </c>
      <c r="D2255" s="23" t="s">
        <v>234</v>
      </c>
      <c r="G2255" s="23">
        <v>0.8</v>
      </c>
      <c r="I2255" s="217" t="s">
        <v>3278</v>
      </c>
    </row>
    <row r="2256" spans="1:9" hidden="1">
      <c r="A2256" s="23">
        <v>2256</v>
      </c>
      <c r="B2256" s="84">
        <v>45774</v>
      </c>
      <c r="C2256" s="23" t="s">
        <v>275</v>
      </c>
      <c r="D2256" s="23" t="s">
        <v>335</v>
      </c>
      <c r="G2256" s="23">
        <v>0.8</v>
      </c>
      <c r="I2256" s="217" t="s">
        <v>3279</v>
      </c>
    </row>
    <row r="2257" spans="1:9" hidden="1">
      <c r="A2257" s="23">
        <v>2257</v>
      </c>
      <c r="B2257" s="84">
        <v>45774</v>
      </c>
      <c r="C2257" s="23" t="s">
        <v>882</v>
      </c>
      <c r="D2257" s="23" t="s">
        <v>391</v>
      </c>
      <c r="G2257" s="23">
        <v>0</v>
      </c>
      <c r="I2257" s="217" t="s">
        <v>3280</v>
      </c>
    </row>
    <row r="2258" spans="1:9" hidden="1">
      <c r="A2258" s="23">
        <v>2258</v>
      </c>
      <c r="B2258" s="84">
        <v>45774</v>
      </c>
      <c r="C2258" s="23" t="s">
        <v>490</v>
      </c>
      <c r="D2258" s="23" t="s">
        <v>164</v>
      </c>
      <c r="G2258" s="23">
        <v>0</v>
      </c>
      <c r="I2258" s="217" t="s">
        <v>3281</v>
      </c>
    </row>
    <row r="2259" spans="1:9" hidden="1">
      <c r="A2259" s="23">
        <v>2259</v>
      </c>
      <c r="B2259" s="84">
        <v>45774</v>
      </c>
      <c r="C2259" s="23" t="s">
        <v>1083</v>
      </c>
      <c r="D2259" s="23" t="s">
        <v>232</v>
      </c>
      <c r="G2259" s="23">
        <v>0</v>
      </c>
      <c r="I2259" s="217" t="s">
        <v>3282</v>
      </c>
    </row>
    <row r="2260" spans="1:9" hidden="1">
      <c r="A2260" s="23">
        <v>2260</v>
      </c>
      <c r="B2260" s="84">
        <v>45774</v>
      </c>
      <c r="C2260" s="23" t="s">
        <v>516</v>
      </c>
      <c r="D2260" s="23" t="s">
        <v>234</v>
      </c>
      <c r="G2260" s="23">
        <v>0</v>
      </c>
      <c r="I2260" s="217" t="s">
        <v>3278</v>
      </c>
    </row>
    <row r="2261" spans="1:9" hidden="1">
      <c r="A2261" s="23">
        <v>2261</v>
      </c>
      <c r="B2261" s="84">
        <v>45774</v>
      </c>
      <c r="C2261" s="23" t="s">
        <v>902</v>
      </c>
      <c r="D2261" s="23" t="s">
        <v>236</v>
      </c>
      <c r="G2261" s="23">
        <v>0</v>
      </c>
      <c r="I2261" s="217" t="s">
        <v>3283</v>
      </c>
    </row>
    <row r="2262" spans="1:9" hidden="1">
      <c r="A2262" s="23">
        <v>2262</v>
      </c>
      <c r="B2262" s="84">
        <v>45774</v>
      </c>
      <c r="C2262" s="23" t="s">
        <v>1160</v>
      </c>
      <c r="D2262" s="23" t="s">
        <v>242</v>
      </c>
      <c r="G2262" s="23">
        <v>3.8</v>
      </c>
      <c r="H2262" s="23" t="s">
        <v>1233</v>
      </c>
      <c r="I2262" s="217" t="s">
        <v>3284</v>
      </c>
    </row>
    <row r="2263" spans="1:9" hidden="1">
      <c r="A2263" s="23">
        <v>2263</v>
      </c>
      <c r="B2263" s="84">
        <v>45774</v>
      </c>
      <c r="C2263" s="23" t="s">
        <v>883</v>
      </c>
      <c r="D2263" s="23" t="s">
        <v>335</v>
      </c>
      <c r="G2263" s="23">
        <v>0</v>
      </c>
      <c r="I2263" s="217" t="s">
        <v>3285</v>
      </c>
    </row>
    <row r="2264" spans="1:9" hidden="1">
      <c r="A2264" s="23">
        <v>2264</v>
      </c>
      <c r="B2264" s="84">
        <v>45774</v>
      </c>
      <c r="C2264" s="23" t="s">
        <v>704</v>
      </c>
      <c r="D2264" s="23" t="s">
        <v>232</v>
      </c>
      <c r="G2264" s="23">
        <v>0.75</v>
      </c>
      <c r="I2264" s="217" t="s">
        <v>3286</v>
      </c>
    </row>
    <row r="2265" spans="1:9" hidden="1">
      <c r="A2265" s="23">
        <v>2265</v>
      </c>
      <c r="B2265" s="84">
        <v>45774</v>
      </c>
      <c r="C2265" s="23" t="s">
        <v>704</v>
      </c>
      <c r="D2265" s="23" t="s">
        <v>234</v>
      </c>
      <c r="G2265" s="23">
        <v>0.75</v>
      </c>
      <c r="I2265" s="217" t="s">
        <v>3287</v>
      </c>
    </row>
    <row r="2266" spans="1:9" hidden="1">
      <c r="A2266" s="23">
        <v>2266</v>
      </c>
      <c r="B2266" s="84">
        <v>45774</v>
      </c>
      <c r="C2266" s="23" t="s">
        <v>704</v>
      </c>
      <c r="D2266" s="23" t="s">
        <v>236</v>
      </c>
      <c r="G2266" s="23">
        <v>0.75</v>
      </c>
      <c r="I2266" s="217" t="s">
        <v>3288</v>
      </c>
    </row>
    <row r="2267" spans="1:9" hidden="1">
      <c r="A2267" s="23">
        <v>2267</v>
      </c>
      <c r="B2267" s="84">
        <v>45774</v>
      </c>
      <c r="C2267" s="23" t="s">
        <v>1234</v>
      </c>
      <c r="D2267" s="23" t="s">
        <v>232</v>
      </c>
      <c r="G2267" s="23">
        <v>0</v>
      </c>
      <c r="I2267" s="217" t="s">
        <v>3286</v>
      </c>
    </row>
    <row r="2268" spans="1:9" hidden="1">
      <c r="A2268" s="23">
        <v>2268</v>
      </c>
      <c r="B2268" s="84">
        <v>45774</v>
      </c>
      <c r="C2268" s="23" t="s">
        <v>1161</v>
      </c>
      <c r="D2268" s="23" t="s">
        <v>234</v>
      </c>
      <c r="G2268" s="23">
        <v>0</v>
      </c>
      <c r="I2268" s="217" t="s">
        <v>3287</v>
      </c>
    </row>
    <row r="2269" spans="1:9" hidden="1">
      <c r="A2269" s="23">
        <v>2269</v>
      </c>
      <c r="B2269" s="84">
        <v>45774</v>
      </c>
      <c r="C2269" s="23" t="s">
        <v>627</v>
      </c>
      <c r="D2269" s="23" t="s">
        <v>236</v>
      </c>
      <c r="G2269" s="23">
        <v>0</v>
      </c>
      <c r="I2269" s="217" t="s">
        <v>3288</v>
      </c>
    </row>
    <row r="2270" spans="1:9" hidden="1">
      <c r="A2270" s="23">
        <v>2270</v>
      </c>
      <c r="B2270" s="84">
        <v>45774</v>
      </c>
      <c r="C2270" s="23" t="s">
        <v>1235</v>
      </c>
      <c r="D2270" s="23" t="s">
        <v>279</v>
      </c>
      <c r="G2270" s="23">
        <v>2.0099999999999998</v>
      </c>
      <c r="I2270" s="217" t="s">
        <v>3289</v>
      </c>
    </row>
    <row r="2271" spans="1:9" hidden="1">
      <c r="A2271" s="23">
        <v>2271</v>
      </c>
      <c r="B2271" s="84">
        <v>45774</v>
      </c>
      <c r="C2271" s="23" t="s">
        <v>1237</v>
      </c>
      <c r="D2271" s="23" t="s">
        <v>391</v>
      </c>
      <c r="G2271" s="23">
        <v>0.75</v>
      </c>
      <c r="I2271" s="217" t="s">
        <v>3290</v>
      </c>
    </row>
    <row r="2272" spans="1:9" hidden="1">
      <c r="A2272" s="23">
        <v>2272</v>
      </c>
      <c r="B2272" s="84">
        <v>45774</v>
      </c>
      <c r="C2272" s="23" t="s">
        <v>1237</v>
      </c>
      <c r="D2272" s="23" t="s">
        <v>164</v>
      </c>
      <c r="G2272" s="23">
        <v>0.75</v>
      </c>
      <c r="I2272" s="217" t="s">
        <v>3291</v>
      </c>
    </row>
    <row r="2273" spans="1:9" hidden="1">
      <c r="A2273" s="23">
        <v>2273</v>
      </c>
      <c r="B2273" s="84">
        <v>45774</v>
      </c>
      <c r="C2273" s="23" t="s">
        <v>1238</v>
      </c>
      <c r="D2273" s="23" t="s">
        <v>232</v>
      </c>
      <c r="G2273" s="23">
        <v>0.75</v>
      </c>
      <c r="I2273" s="217" t="s">
        <v>3292</v>
      </c>
    </row>
    <row r="2274" spans="1:9" hidden="1">
      <c r="A2274" s="23">
        <v>2274</v>
      </c>
      <c r="B2274" s="84">
        <v>45774</v>
      </c>
      <c r="C2274" s="23" t="s">
        <v>1067</v>
      </c>
      <c r="D2274" s="23" t="s">
        <v>234</v>
      </c>
      <c r="G2274" s="23">
        <v>0.75</v>
      </c>
      <c r="I2274" s="217" t="s">
        <v>3293</v>
      </c>
    </row>
    <row r="2275" spans="1:9" hidden="1">
      <c r="A2275" s="23">
        <v>2275</v>
      </c>
      <c r="B2275" s="84">
        <v>45774</v>
      </c>
      <c r="C2275" s="23" t="s">
        <v>1067</v>
      </c>
      <c r="D2275" s="23" t="s">
        <v>335</v>
      </c>
      <c r="G2275" s="23">
        <v>8</v>
      </c>
      <c r="I2275" s="217" t="s">
        <v>3294</v>
      </c>
    </row>
    <row r="2276" spans="1:9" hidden="1">
      <c r="A2276" s="23">
        <v>2276</v>
      </c>
      <c r="B2276" s="84">
        <v>45774</v>
      </c>
      <c r="C2276" s="23" t="s">
        <v>406</v>
      </c>
      <c r="D2276" s="23" t="s">
        <v>236</v>
      </c>
      <c r="G2276" s="23">
        <v>0.75</v>
      </c>
      <c r="I2276" s="217" t="s">
        <v>3295</v>
      </c>
    </row>
    <row r="2277" spans="1:9" hidden="1">
      <c r="A2277" s="23">
        <v>2277</v>
      </c>
      <c r="B2277" s="84">
        <v>45774</v>
      </c>
      <c r="C2277" s="23" t="s">
        <v>1236</v>
      </c>
      <c r="D2277" s="23" t="s">
        <v>279</v>
      </c>
      <c r="G2277" s="23">
        <v>0</v>
      </c>
      <c r="I2277" s="217" t="s">
        <v>3296</v>
      </c>
    </row>
    <row r="2278" spans="1:9" hidden="1">
      <c r="A2278" s="23">
        <v>2278</v>
      </c>
      <c r="B2278" s="84">
        <v>45774</v>
      </c>
      <c r="C2278" s="23" t="s">
        <v>977</v>
      </c>
      <c r="D2278" s="23" t="s">
        <v>391</v>
      </c>
      <c r="G2278" s="23">
        <v>0</v>
      </c>
      <c r="I2278" s="217" t="s">
        <v>3297</v>
      </c>
    </row>
    <row r="2279" spans="1:9" hidden="1">
      <c r="A2279" s="23">
        <v>2279</v>
      </c>
      <c r="B2279" s="84">
        <v>45774</v>
      </c>
      <c r="C2279" s="23" t="s">
        <v>760</v>
      </c>
      <c r="D2279" s="23" t="s">
        <v>164</v>
      </c>
      <c r="G2279" s="23">
        <v>0</v>
      </c>
      <c r="I2279" s="217" t="s">
        <v>3298</v>
      </c>
    </row>
    <row r="2280" spans="1:9" hidden="1">
      <c r="A2280" s="23">
        <v>2280</v>
      </c>
      <c r="B2280" s="84">
        <v>45774</v>
      </c>
      <c r="C2280" s="23" t="s">
        <v>1239</v>
      </c>
      <c r="D2280" s="23" t="s">
        <v>232</v>
      </c>
      <c r="G2280" s="23">
        <v>0</v>
      </c>
      <c r="I2280" s="217" t="s">
        <v>3299</v>
      </c>
    </row>
    <row r="2281" spans="1:9" hidden="1">
      <c r="A2281" s="23">
        <v>2281</v>
      </c>
      <c r="B2281" s="84">
        <v>45774</v>
      </c>
      <c r="C2281" s="23" t="s">
        <v>397</v>
      </c>
      <c r="D2281" s="23" t="s">
        <v>234</v>
      </c>
      <c r="G2281" s="23">
        <v>0</v>
      </c>
      <c r="I2281" s="217" t="s">
        <v>3300</v>
      </c>
    </row>
    <row r="2282" spans="1:9" hidden="1">
      <c r="A2282" s="23">
        <v>2282</v>
      </c>
      <c r="B2282" s="84">
        <v>45774</v>
      </c>
      <c r="C2282" s="23" t="s">
        <v>414</v>
      </c>
      <c r="D2282" s="23" t="s">
        <v>236</v>
      </c>
      <c r="G2282" s="23">
        <v>0</v>
      </c>
      <c r="I2282" s="217" t="s">
        <v>3301</v>
      </c>
    </row>
    <row r="2283" spans="1:9" hidden="1">
      <c r="A2283" s="23">
        <v>2283</v>
      </c>
      <c r="B2283" s="84">
        <v>45774</v>
      </c>
      <c r="C2283" s="23" t="s">
        <v>620</v>
      </c>
      <c r="D2283" s="23" t="s">
        <v>220</v>
      </c>
      <c r="G2283" s="23">
        <v>0.62</v>
      </c>
      <c r="I2283" s="217" t="s">
        <v>3302</v>
      </c>
    </row>
    <row r="2284" spans="1:9" hidden="1">
      <c r="A2284" s="23">
        <v>2284</v>
      </c>
      <c r="B2284" s="84">
        <v>45774</v>
      </c>
      <c r="C2284" s="23" t="s">
        <v>675</v>
      </c>
      <c r="D2284" s="23" t="s">
        <v>211</v>
      </c>
      <c r="G2284" s="23">
        <v>0</v>
      </c>
      <c r="I2284" s="217" t="s">
        <v>3303</v>
      </c>
    </row>
    <row r="2285" spans="1:9" hidden="1">
      <c r="A2285" s="23">
        <v>2285</v>
      </c>
      <c r="B2285" s="84">
        <v>45774</v>
      </c>
      <c r="C2285" s="23" t="s">
        <v>943</v>
      </c>
      <c r="D2285" s="23" t="s">
        <v>211</v>
      </c>
      <c r="G2285" s="23">
        <v>0.6</v>
      </c>
      <c r="I2285" s="217" t="s">
        <v>3304</v>
      </c>
    </row>
    <row r="2286" spans="1:9" hidden="1">
      <c r="A2286" s="23">
        <v>2286</v>
      </c>
      <c r="B2286" s="84">
        <v>45774</v>
      </c>
      <c r="C2286" s="23" t="s">
        <v>418</v>
      </c>
      <c r="D2286" s="23" t="s">
        <v>214</v>
      </c>
      <c r="G2286" s="23">
        <v>0</v>
      </c>
      <c r="I2286" s="217" t="s">
        <v>3305</v>
      </c>
    </row>
    <row r="2287" spans="1:9" hidden="1">
      <c r="A2287" s="23">
        <v>2287</v>
      </c>
      <c r="B2287" s="84">
        <v>45774</v>
      </c>
      <c r="C2287" s="23" t="s">
        <v>711</v>
      </c>
      <c r="D2287" s="23" t="s">
        <v>335</v>
      </c>
      <c r="G2287" s="23">
        <v>0</v>
      </c>
      <c r="I2287" s="217" t="s">
        <v>3306</v>
      </c>
    </row>
    <row r="2288" spans="1:9" hidden="1">
      <c r="A2288" s="23">
        <v>2288</v>
      </c>
      <c r="B2288" s="84">
        <v>45774</v>
      </c>
      <c r="C2288" s="23" t="s">
        <v>581</v>
      </c>
      <c r="D2288" s="23" t="s">
        <v>183</v>
      </c>
      <c r="G2288" s="23">
        <v>0</v>
      </c>
      <c r="I2288" s="217" t="s">
        <v>3307</v>
      </c>
    </row>
    <row r="2289" spans="1:9" hidden="1">
      <c r="A2289" s="23">
        <v>2289</v>
      </c>
      <c r="B2289" s="84">
        <v>45774</v>
      </c>
      <c r="C2289" s="23" t="s">
        <v>538</v>
      </c>
      <c r="D2289" s="23" t="s">
        <v>242</v>
      </c>
      <c r="G2289" s="23">
        <v>0</v>
      </c>
      <c r="I2289" s="217" t="s">
        <v>3308</v>
      </c>
    </row>
    <row r="2290" spans="1:9">
      <c r="A2290" s="23">
        <v>2290</v>
      </c>
      <c r="B2290" s="84">
        <v>45775</v>
      </c>
      <c r="C2290" s="23" t="s">
        <v>457</v>
      </c>
      <c r="D2290" s="23" t="s">
        <v>180</v>
      </c>
      <c r="G2290" s="23">
        <v>1.5</v>
      </c>
      <c r="I2290" s="217" t="s">
        <v>3309</v>
      </c>
    </row>
    <row r="2291" spans="1:9">
      <c r="A2291" s="23">
        <v>2291</v>
      </c>
      <c r="B2291" s="84">
        <v>45775</v>
      </c>
      <c r="C2291" s="23" t="s">
        <v>811</v>
      </c>
      <c r="D2291" s="23" t="s">
        <v>174</v>
      </c>
      <c r="G2291" s="23">
        <v>0</v>
      </c>
      <c r="I2291" s="217" t="s">
        <v>3310</v>
      </c>
    </row>
    <row r="2292" spans="1:9">
      <c r="A2292" s="23">
        <v>2292</v>
      </c>
      <c r="B2292" s="84">
        <v>45775</v>
      </c>
      <c r="C2292" s="23" t="s">
        <v>1226</v>
      </c>
      <c r="D2292" s="23" t="s">
        <v>248</v>
      </c>
      <c r="G2292" s="23">
        <v>0</v>
      </c>
      <c r="I2292" s="217" t="s">
        <v>3311</v>
      </c>
    </row>
    <row r="2293" spans="1:9" hidden="1">
      <c r="A2293" s="23">
        <v>2293</v>
      </c>
      <c r="B2293" s="84">
        <v>45774</v>
      </c>
      <c r="C2293" s="23" t="s">
        <v>212</v>
      </c>
      <c r="D2293" s="23" t="s">
        <v>217</v>
      </c>
      <c r="G2293" s="23">
        <v>1.02</v>
      </c>
      <c r="I2293" s="217" t="s">
        <v>3312</v>
      </c>
    </row>
    <row r="2294" spans="1:9" hidden="1">
      <c r="A2294" s="23">
        <v>2294</v>
      </c>
      <c r="B2294" s="84">
        <v>45774</v>
      </c>
      <c r="C2294" s="23" t="s">
        <v>222</v>
      </c>
      <c r="D2294" s="23" t="s">
        <v>225</v>
      </c>
      <c r="G2294" s="23">
        <v>0</v>
      </c>
      <c r="I2294" s="217" t="s">
        <v>3313</v>
      </c>
    </row>
    <row r="2295" spans="1:9" hidden="1">
      <c r="A2295" s="23">
        <v>2295</v>
      </c>
      <c r="B2295" s="84">
        <v>45775</v>
      </c>
      <c r="C2295" s="23" t="s">
        <v>218</v>
      </c>
      <c r="D2295" s="23" t="s">
        <v>225</v>
      </c>
      <c r="G2295" s="23">
        <v>0.76</v>
      </c>
      <c r="I2295" s="217" t="s">
        <v>3314</v>
      </c>
    </row>
    <row r="2296" spans="1:9" hidden="1">
      <c r="A2296" s="23">
        <v>2296</v>
      </c>
      <c r="B2296" s="84">
        <v>45775</v>
      </c>
      <c r="C2296" s="23" t="s">
        <v>213</v>
      </c>
      <c r="D2296" s="23" t="s">
        <v>217</v>
      </c>
      <c r="G2296" s="23">
        <v>0</v>
      </c>
      <c r="I2296" s="217" t="s">
        <v>3315</v>
      </c>
    </row>
    <row r="2297" spans="1:9" hidden="1">
      <c r="A2297" s="23">
        <v>2297</v>
      </c>
      <c r="B2297" s="84">
        <v>45775</v>
      </c>
      <c r="C2297" s="23" t="s">
        <v>247</v>
      </c>
      <c r="D2297" s="23" t="s">
        <v>391</v>
      </c>
      <c r="G2297" s="23">
        <v>0.8</v>
      </c>
      <c r="I2297" s="217" t="s">
        <v>3316</v>
      </c>
    </row>
    <row r="2298" spans="1:9" hidden="1">
      <c r="A2298" s="23">
        <v>2298</v>
      </c>
      <c r="B2298" s="84">
        <v>45775</v>
      </c>
      <c r="C2298" s="23" t="s">
        <v>818</v>
      </c>
      <c r="D2298" s="23" t="s">
        <v>183</v>
      </c>
      <c r="G2298" s="23">
        <v>0.5</v>
      </c>
      <c r="I2298" s="217" t="s">
        <v>3317</v>
      </c>
    </row>
    <row r="2299" spans="1:9" hidden="1">
      <c r="A2299" s="23">
        <v>2299</v>
      </c>
      <c r="B2299" s="84">
        <v>45775</v>
      </c>
      <c r="C2299" s="23" t="s">
        <v>1240</v>
      </c>
      <c r="D2299" s="23" t="s">
        <v>391</v>
      </c>
      <c r="G2299" s="23">
        <v>0</v>
      </c>
      <c r="I2299" s="217" t="s">
        <v>3318</v>
      </c>
    </row>
    <row r="2300" spans="1:9" hidden="1">
      <c r="A2300" s="23">
        <v>2300</v>
      </c>
      <c r="B2300" s="84">
        <v>45775</v>
      </c>
      <c r="C2300" s="23" t="s">
        <v>862</v>
      </c>
      <c r="D2300" s="23" t="s">
        <v>164</v>
      </c>
      <c r="G2300" s="23">
        <v>0.8</v>
      </c>
      <c r="I2300" s="217" t="s">
        <v>3319</v>
      </c>
    </row>
    <row r="2301" spans="1:9" hidden="1">
      <c r="A2301" s="23">
        <v>2301</v>
      </c>
      <c r="B2301" s="84">
        <v>45775</v>
      </c>
      <c r="C2301" s="23" t="s">
        <v>687</v>
      </c>
      <c r="D2301" s="23" t="s">
        <v>232</v>
      </c>
      <c r="G2301" s="23">
        <v>0.8</v>
      </c>
      <c r="I2301" s="217" t="s">
        <v>3320</v>
      </c>
    </row>
    <row r="2302" spans="1:9" hidden="1">
      <c r="A2302" s="23">
        <v>2302</v>
      </c>
      <c r="B2302" s="84">
        <v>45775</v>
      </c>
      <c r="C2302" s="23" t="s">
        <v>687</v>
      </c>
      <c r="D2302" s="23" t="s">
        <v>234</v>
      </c>
      <c r="G2302" s="23">
        <v>0.8</v>
      </c>
      <c r="I2302" s="217" t="s">
        <v>3321</v>
      </c>
    </row>
    <row r="2303" spans="1:9" hidden="1">
      <c r="A2303" s="23">
        <v>2303</v>
      </c>
      <c r="B2303" s="84">
        <v>45775</v>
      </c>
      <c r="C2303" s="23" t="s">
        <v>1013</v>
      </c>
      <c r="D2303" s="23" t="s">
        <v>236</v>
      </c>
      <c r="G2303" s="23">
        <v>0.8</v>
      </c>
      <c r="I2303" s="217" t="s">
        <v>3322</v>
      </c>
    </row>
    <row r="2304" spans="1:9" hidden="1">
      <c r="A2304" s="23">
        <v>2304</v>
      </c>
      <c r="B2304" s="84">
        <v>45775</v>
      </c>
      <c r="C2304" s="23" t="s">
        <v>822</v>
      </c>
      <c r="D2304" s="23" t="s">
        <v>391</v>
      </c>
      <c r="G2304" s="23">
        <v>0.8</v>
      </c>
      <c r="I2304" s="217" t="s">
        <v>3323</v>
      </c>
    </row>
    <row r="2305" spans="1:9">
      <c r="A2305" s="23">
        <v>2305</v>
      </c>
      <c r="B2305" s="84">
        <v>45775</v>
      </c>
      <c r="C2305" s="23" t="s">
        <v>740</v>
      </c>
      <c r="D2305" s="23" t="s">
        <v>248</v>
      </c>
      <c r="G2305" s="23">
        <v>6.7</v>
      </c>
      <c r="I2305" s="217" t="s">
        <v>3324</v>
      </c>
    </row>
    <row r="2306" spans="1:9" hidden="1">
      <c r="A2306" s="23">
        <v>2306</v>
      </c>
      <c r="B2306" s="84">
        <v>45775</v>
      </c>
      <c r="C2306" s="23" t="s">
        <v>253</v>
      </c>
      <c r="D2306" s="23" t="s">
        <v>164</v>
      </c>
      <c r="G2306" s="23">
        <v>0</v>
      </c>
      <c r="I2306" s="217" t="s">
        <v>3325</v>
      </c>
    </row>
    <row r="2307" spans="1:9" hidden="1">
      <c r="A2307" s="23">
        <v>2307</v>
      </c>
      <c r="B2307" s="84">
        <v>45775</v>
      </c>
      <c r="C2307" s="23" t="s">
        <v>370</v>
      </c>
      <c r="D2307" s="23" t="s">
        <v>391</v>
      </c>
      <c r="G2307" s="23">
        <v>0</v>
      </c>
      <c r="I2307" s="217" t="s">
        <v>3323</v>
      </c>
    </row>
    <row r="2308" spans="1:9" hidden="1">
      <c r="A2308" s="23">
        <v>2308</v>
      </c>
      <c r="B2308" s="84">
        <v>45775</v>
      </c>
      <c r="C2308" s="23" t="s">
        <v>604</v>
      </c>
      <c r="D2308" s="23" t="s">
        <v>232</v>
      </c>
      <c r="G2308" s="23">
        <v>0</v>
      </c>
      <c r="I2308" s="217" t="s">
        <v>3326</v>
      </c>
    </row>
    <row r="2309" spans="1:9" hidden="1">
      <c r="A2309" s="23">
        <v>2309</v>
      </c>
      <c r="B2309" s="84">
        <v>45775</v>
      </c>
      <c r="C2309" s="23" t="s">
        <v>1242</v>
      </c>
      <c r="D2309" s="23" t="s">
        <v>232</v>
      </c>
      <c r="G2309" s="23">
        <v>0.8</v>
      </c>
      <c r="I2309" s="217" t="s">
        <v>1294</v>
      </c>
    </row>
    <row r="2310" spans="1:9" hidden="1">
      <c r="A2310" s="23">
        <v>2310</v>
      </c>
      <c r="B2310" s="84">
        <v>45775</v>
      </c>
      <c r="C2310" s="23" t="s">
        <v>661</v>
      </c>
      <c r="D2310" s="23" t="s">
        <v>242</v>
      </c>
      <c r="G2310" s="23">
        <v>3.8</v>
      </c>
      <c r="I2310" s="217" t="s">
        <v>3327</v>
      </c>
    </row>
    <row r="2311" spans="1:9" hidden="1">
      <c r="A2311" s="23">
        <v>2311</v>
      </c>
      <c r="B2311" s="84">
        <v>45775</v>
      </c>
      <c r="C2311" s="23" t="s">
        <v>1079</v>
      </c>
      <c r="D2311" s="23" t="s">
        <v>232</v>
      </c>
      <c r="G2311" s="23">
        <v>0</v>
      </c>
      <c r="I2311" s="217" t="s">
        <v>3328</v>
      </c>
    </row>
    <row r="2312" spans="1:9" hidden="1">
      <c r="A2312" s="23">
        <v>2312</v>
      </c>
      <c r="B2312" s="84">
        <v>45775</v>
      </c>
      <c r="C2312" s="23" t="s">
        <v>1016</v>
      </c>
      <c r="D2312" s="23" t="s">
        <v>391</v>
      </c>
      <c r="G2312" s="23">
        <v>0.76666666666666661</v>
      </c>
      <c r="I2312" s="217" t="s">
        <v>3329</v>
      </c>
    </row>
    <row r="2313" spans="1:9" hidden="1">
      <c r="A2313" s="23">
        <v>2313</v>
      </c>
      <c r="B2313" s="84">
        <v>45775</v>
      </c>
      <c r="C2313" s="23" t="s">
        <v>324</v>
      </c>
      <c r="D2313" s="23" t="s">
        <v>164</v>
      </c>
      <c r="G2313" s="23">
        <v>0.76666666666666661</v>
      </c>
      <c r="I2313" s="217" t="s">
        <v>3330</v>
      </c>
    </row>
    <row r="2314" spans="1:9" hidden="1">
      <c r="A2314" s="23">
        <v>2314</v>
      </c>
      <c r="B2314" s="84">
        <v>45775</v>
      </c>
      <c r="C2314" s="23" t="s">
        <v>747</v>
      </c>
      <c r="D2314" s="23" t="s">
        <v>232</v>
      </c>
      <c r="G2314" s="23">
        <v>0.76666666666666661</v>
      </c>
      <c r="I2314" s="217" t="s">
        <v>1294</v>
      </c>
    </row>
    <row r="2315" spans="1:9" hidden="1">
      <c r="A2315" s="23">
        <v>2315</v>
      </c>
      <c r="B2315" s="84">
        <v>45775</v>
      </c>
      <c r="C2315" s="23" t="s">
        <v>369</v>
      </c>
      <c r="D2315" s="23" t="s">
        <v>335</v>
      </c>
      <c r="G2315" s="23">
        <v>1</v>
      </c>
      <c r="I2315" s="217" t="s">
        <v>3331</v>
      </c>
    </row>
    <row r="2316" spans="1:9" hidden="1">
      <c r="A2316" s="23">
        <v>2316</v>
      </c>
      <c r="B2316" s="84">
        <v>45775</v>
      </c>
      <c r="C2316" s="23" t="s">
        <v>322</v>
      </c>
      <c r="D2316" s="23" t="s">
        <v>234</v>
      </c>
      <c r="G2316" s="23">
        <v>0</v>
      </c>
      <c r="I2316" s="217" t="s">
        <v>3332</v>
      </c>
    </row>
    <row r="2317" spans="1:9" hidden="1">
      <c r="A2317" s="23">
        <v>2317</v>
      </c>
      <c r="B2317" s="84">
        <v>45775</v>
      </c>
      <c r="C2317" s="23" t="s">
        <v>1207</v>
      </c>
      <c r="D2317" s="23" t="s">
        <v>236</v>
      </c>
      <c r="G2317" s="23">
        <v>0</v>
      </c>
      <c r="I2317" s="217" t="s">
        <v>3333</v>
      </c>
    </row>
    <row r="2318" spans="1:9" hidden="1">
      <c r="A2318" s="23">
        <v>2318</v>
      </c>
      <c r="B2318" s="84">
        <v>45775</v>
      </c>
      <c r="C2318" s="23" t="s">
        <v>780</v>
      </c>
      <c r="D2318" s="23" t="s">
        <v>164</v>
      </c>
      <c r="G2318" s="23">
        <v>0</v>
      </c>
      <c r="I2318" s="217" t="s">
        <v>3330</v>
      </c>
    </row>
    <row r="2319" spans="1:9" hidden="1">
      <c r="A2319" s="23">
        <v>2319</v>
      </c>
      <c r="B2319" s="84">
        <v>45775</v>
      </c>
      <c r="C2319" s="23" t="s">
        <v>318</v>
      </c>
      <c r="D2319" s="23" t="s">
        <v>391</v>
      </c>
      <c r="G2319" s="23">
        <v>0</v>
      </c>
      <c r="I2319" s="217" t="s">
        <v>3329</v>
      </c>
    </row>
    <row r="2320" spans="1:9" hidden="1">
      <c r="A2320" s="23">
        <v>2320</v>
      </c>
      <c r="B2320" s="84">
        <v>45775</v>
      </c>
      <c r="C2320" s="23" t="s">
        <v>786</v>
      </c>
      <c r="D2320" s="23" t="s">
        <v>232</v>
      </c>
      <c r="G2320" s="23">
        <v>0</v>
      </c>
      <c r="I2320" s="217" t="s">
        <v>3328</v>
      </c>
    </row>
    <row r="2321" spans="1:9" hidden="1">
      <c r="A2321" s="23">
        <v>2321</v>
      </c>
      <c r="B2321" s="84">
        <v>45775</v>
      </c>
      <c r="C2321" s="23" t="s">
        <v>1125</v>
      </c>
      <c r="D2321" s="23" t="s">
        <v>234</v>
      </c>
      <c r="G2321" s="23">
        <v>0.7</v>
      </c>
      <c r="I2321" s="217" t="s">
        <v>3334</v>
      </c>
    </row>
    <row r="2322" spans="1:9" hidden="1">
      <c r="A2322" s="23">
        <v>2322</v>
      </c>
      <c r="B2322" s="84">
        <v>45775</v>
      </c>
      <c r="C2322" s="23" t="s">
        <v>723</v>
      </c>
      <c r="D2322" s="23" t="s">
        <v>214</v>
      </c>
      <c r="G2322" s="23">
        <v>0.40500000000000003</v>
      </c>
      <c r="I2322" s="217" t="s">
        <v>3335</v>
      </c>
    </row>
    <row r="2323" spans="1:9" hidden="1">
      <c r="A2323" s="23">
        <v>2323</v>
      </c>
      <c r="B2323" s="84">
        <v>45775</v>
      </c>
      <c r="C2323" s="23" t="s">
        <v>1066</v>
      </c>
      <c r="D2323" s="23" t="s">
        <v>220</v>
      </c>
      <c r="G2323" s="23">
        <v>0</v>
      </c>
      <c r="I2323" s="217" t="s">
        <v>3336</v>
      </c>
    </row>
    <row r="2324" spans="1:9" hidden="1">
      <c r="A2324" s="23">
        <v>2324</v>
      </c>
      <c r="B2324" s="84">
        <v>45775</v>
      </c>
      <c r="C2324" s="23" t="s">
        <v>1181</v>
      </c>
      <c r="D2324" s="23" t="s">
        <v>220</v>
      </c>
      <c r="G2324" s="23">
        <v>0.73499999999999999</v>
      </c>
      <c r="I2324" s="217" t="s">
        <v>3337</v>
      </c>
    </row>
    <row r="2325" spans="1:9" hidden="1">
      <c r="A2325" s="23">
        <v>2325</v>
      </c>
      <c r="B2325" s="84">
        <v>45775</v>
      </c>
      <c r="C2325" s="23" t="s">
        <v>492</v>
      </c>
      <c r="D2325" s="23" t="s">
        <v>211</v>
      </c>
      <c r="G2325" s="23">
        <v>0</v>
      </c>
      <c r="I2325" s="217" t="s">
        <v>3338</v>
      </c>
    </row>
    <row r="2326" spans="1:9" hidden="1">
      <c r="A2326" s="23">
        <v>2326</v>
      </c>
      <c r="B2326" s="84">
        <v>45775</v>
      </c>
      <c r="C2326" s="23" t="s">
        <v>904</v>
      </c>
      <c r="D2326" s="23" t="s">
        <v>234</v>
      </c>
      <c r="G2326" s="23">
        <v>0</v>
      </c>
      <c r="I2326" s="217" t="s">
        <v>3334</v>
      </c>
    </row>
    <row r="2327" spans="1:9" hidden="1">
      <c r="A2327" s="23">
        <v>2327</v>
      </c>
      <c r="B2327" s="84">
        <v>45775</v>
      </c>
      <c r="C2327" s="23" t="s">
        <v>224</v>
      </c>
      <c r="D2327" s="23" t="s">
        <v>186</v>
      </c>
      <c r="G2327" s="23">
        <v>1.1000000000000001</v>
      </c>
      <c r="I2327" s="217" t="s">
        <v>3339</v>
      </c>
    </row>
    <row r="2328" spans="1:9" hidden="1">
      <c r="A2328" s="23">
        <v>2328</v>
      </c>
      <c r="B2328" s="84">
        <v>45775</v>
      </c>
      <c r="C2328" s="23" t="s">
        <v>700</v>
      </c>
      <c r="D2328" s="23" t="s">
        <v>236</v>
      </c>
      <c r="G2328" s="23">
        <v>0.8</v>
      </c>
      <c r="I2328" s="217" t="s">
        <v>3340</v>
      </c>
    </row>
    <row r="2329" spans="1:9">
      <c r="A2329" s="23">
        <v>2329</v>
      </c>
      <c r="B2329" s="84">
        <v>45775</v>
      </c>
      <c r="C2329" s="23" t="s">
        <v>700</v>
      </c>
      <c r="D2329" s="23" t="s">
        <v>174</v>
      </c>
      <c r="G2329" s="23">
        <v>1</v>
      </c>
      <c r="I2329" s="217" t="s">
        <v>3341</v>
      </c>
    </row>
    <row r="2330" spans="1:9" hidden="1">
      <c r="A2330" s="23">
        <v>2330</v>
      </c>
      <c r="B2330" s="84">
        <v>45775</v>
      </c>
      <c r="C2330" s="23" t="s">
        <v>1245</v>
      </c>
      <c r="D2330" s="23" t="s">
        <v>164</v>
      </c>
      <c r="G2330" s="23">
        <v>0.8</v>
      </c>
      <c r="I2330" s="217" t="s">
        <v>3342</v>
      </c>
    </row>
    <row r="2331" spans="1:9" hidden="1">
      <c r="A2331" s="23">
        <v>2331</v>
      </c>
      <c r="B2331" s="84">
        <v>45775</v>
      </c>
      <c r="C2331" s="23" t="s">
        <v>1245</v>
      </c>
      <c r="D2331" s="23" t="s">
        <v>391</v>
      </c>
      <c r="G2331" s="23">
        <v>0.8</v>
      </c>
      <c r="I2331" s="217" t="s">
        <v>3343</v>
      </c>
    </row>
    <row r="2332" spans="1:9" hidden="1">
      <c r="A2332" s="23">
        <v>2332</v>
      </c>
      <c r="B2332" s="84">
        <v>45775</v>
      </c>
      <c r="C2332" s="23" t="s">
        <v>899</v>
      </c>
      <c r="D2332" s="23" t="s">
        <v>232</v>
      </c>
      <c r="G2332" s="23">
        <v>0.8</v>
      </c>
      <c r="I2332" s="217" t="s">
        <v>3344</v>
      </c>
    </row>
    <row r="2333" spans="1:9" hidden="1">
      <c r="A2333" s="23">
        <v>2333</v>
      </c>
      <c r="B2333" s="84">
        <v>45775</v>
      </c>
      <c r="C2333" s="23" t="s">
        <v>1001</v>
      </c>
      <c r="D2333" s="23" t="s">
        <v>335</v>
      </c>
      <c r="G2333" s="23">
        <v>0</v>
      </c>
      <c r="H2333" s="23" t="s">
        <v>3345</v>
      </c>
      <c r="I2333" s="217" t="s">
        <v>3346</v>
      </c>
    </row>
    <row r="2334" spans="1:9" hidden="1">
      <c r="A2334" s="23">
        <v>2334</v>
      </c>
      <c r="B2334" s="84">
        <v>45775</v>
      </c>
      <c r="C2334" s="23" t="s">
        <v>624</v>
      </c>
      <c r="D2334" s="23" t="s">
        <v>236</v>
      </c>
      <c r="G2334" s="23">
        <v>0</v>
      </c>
      <c r="I2334" s="217" t="s">
        <v>3340</v>
      </c>
    </row>
    <row r="2335" spans="1:9" hidden="1">
      <c r="A2335" s="23">
        <v>2335</v>
      </c>
      <c r="B2335" s="84">
        <v>45775</v>
      </c>
      <c r="C2335" s="23" t="s">
        <v>514</v>
      </c>
      <c r="D2335" s="23" t="s">
        <v>391</v>
      </c>
      <c r="G2335" s="23">
        <v>0</v>
      </c>
      <c r="I2335" s="217" t="s">
        <v>3343</v>
      </c>
    </row>
    <row r="2336" spans="1:9" hidden="1">
      <c r="A2336" s="23">
        <v>2336</v>
      </c>
      <c r="B2336" s="84">
        <v>45775</v>
      </c>
      <c r="C2336" s="23" t="s">
        <v>163</v>
      </c>
      <c r="D2336" s="23" t="s">
        <v>164</v>
      </c>
      <c r="G2336" s="23">
        <v>0</v>
      </c>
      <c r="I2336" s="217" t="s">
        <v>3342</v>
      </c>
    </row>
    <row r="2337" spans="1:9" hidden="1">
      <c r="A2337" s="23">
        <v>2337</v>
      </c>
      <c r="B2337" s="84">
        <v>45775</v>
      </c>
      <c r="C2337" s="23" t="s">
        <v>1246</v>
      </c>
      <c r="D2337" s="23" t="s">
        <v>232</v>
      </c>
      <c r="G2337" s="23">
        <v>0</v>
      </c>
      <c r="I2337" s="217" t="s">
        <v>3344</v>
      </c>
    </row>
    <row r="2338" spans="1:9" hidden="1">
      <c r="A2338" s="23">
        <v>2338</v>
      </c>
      <c r="B2338" s="84">
        <v>45775</v>
      </c>
      <c r="C2338" s="23" t="s">
        <v>212</v>
      </c>
      <c r="D2338" s="23" t="s">
        <v>217</v>
      </c>
      <c r="G2338" s="23">
        <v>0.88</v>
      </c>
      <c r="I2338" s="217" t="s">
        <v>3347</v>
      </c>
    </row>
    <row r="2339" spans="1:9" hidden="1">
      <c r="A2339" s="23">
        <v>2339</v>
      </c>
      <c r="B2339" s="84">
        <v>45775</v>
      </c>
      <c r="C2339" s="23" t="s">
        <v>222</v>
      </c>
      <c r="D2339" s="23" t="s">
        <v>225</v>
      </c>
      <c r="G2339" s="23">
        <v>0</v>
      </c>
      <c r="I2339" s="217" t="s">
        <v>3348</v>
      </c>
    </row>
    <row r="2340" spans="1:9" hidden="1">
      <c r="A2340" s="23">
        <v>2340</v>
      </c>
      <c r="B2340" s="84">
        <v>45775</v>
      </c>
      <c r="C2340" s="23" t="s">
        <v>906</v>
      </c>
      <c r="D2340" s="23" t="s">
        <v>211</v>
      </c>
      <c r="G2340" s="23">
        <v>0.5</v>
      </c>
      <c r="I2340" s="217" t="s">
        <v>3349</v>
      </c>
    </row>
    <row r="2341" spans="1:9" hidden="1">
      <c r="A2341" s="23">
        <v>2341</v>
      </c>
      <c r="B2341" s="84">
        <v>45775</v>
      </c>
      <c r="C2341" s="23" t="s">
        <v>282</v>
      </c>
      <c r="D2341" s="23" t="s">
        <v>234</v>
      </c>
      <c r="G2341" s="23">
        <v>0.8</v>
      </c>
      <c r="I2341" s="217" t="s">
        <v>3350</v>
      </c>
    </row>
    <row r="2342" spans="1:9">
      <c r="A2342" s="23">
        <v>2342</v>
      </c>
      <c r="B2342" s="84">
        <v>45775</v>
      </c>
      <c r="C2342" s="23" t="s">
        <v>640</v>
      </c>
      <c r="D2342" s="23" t="s">
        <v>177</v>
      </c>
      <c r="G2342" s="23">
        <v>0</v>
      </c>
      <c r="I2342" s="217" t="s">
        <v>3351</v>
      </c>
    </row>
    <row r="2343" spans="1:9" hidden="1">
      <c r="A2343" s="23">
        <v>2343</v>
      </c>
      <c r="B2343" s="84">
        <v>45775</v>
      </c>
      <c r="C2343" s="23" t="s">
        <v>889</v>
      </c>
      <c r="D2343" s="23" t="s">
        <v>236</v>
      </c>
      <c r="G2343" s="23">
        <v>0.7</v>
      </c>
      <c r="I2343" s="217" t="s">
        <v>3352</v>
      </c>
    </row>
    <row r="2344" spans="1:9" hidden="1">
      <c r="A2344" s="23">
        <v>2344</v>
      </c>
      <c r="B2344" s="84">
        <v>45775</v>
      </c>
      <c r="C2344" s="23" t="s">
        <v>577</v>
      </c>
      <c r="D2344" s="23" t="s">
        <v>234</v>
      </c>
      <c r="G2344" s="23">
        <v>0</v>
      </c>
      <c r="I2344" s="217" t="s">
        <v>3353</v>
      </c>
    </row>
    <row r="2345" spans="1:9" hidden="1">
      <c r="A2345" s="23">
        <v>2345</v>
      </c>
      <c r="B2345" s="84">
        <v>45775</v>
      </c>
      <c r="C2345" s="23" t="s">
        <v>1247</v>
      </c>
      <c r="D2345" s="23" t="s">
        <v>236</v>
      </c>
      <c r="G2345" s="23">
        <v>0</v>
      </c>
      <c r="I2345" s="217" t="s">
        <v>3354</v>
      </c>
    </row>
    <row r="2346" spans="1:9" hidden="1">
      <c r="A2346" s="23">
        <v>2346</v>
      </c>
      <c r="B2346" s="84">
        <v>45775</v>
      </c>
      <c r="C2346" s="23" t="s">
        <v>963</v>
      </c>
      <c r="D2346" s="23" t="s">
        <v>214</v>
      </c>
      <c r="G2346" s="23">
        <v>0</v>
      </c>
      <c r="I2346" s="217" t="s">
        <v>3355</v>
      </c>
    </row>
    <row r="2347" spans="1:9" hidden="1">
      <c r="A2347" s="23">
        <v>2347</v>
      </c>
      <c r="B2347" s="84">
        <v>45775</v>
      </c>
      <c r="C2347" s="23" t="s">
        <v>711</v>
      </c>
      <c r="D2347" s="23" t="s">
        <v>183</v>
      </c>
      <c r="G2347" s="23">
        <v>0</v>
      </c>
      <c r="I2347" s="217" t="s">
        <v>1342</v>
      </c>
    </row>
    <row r="2348" spans="1:9" hidden="1">
      <c r="A2348" s="23">
        <v>2348</v>
      </c>
      <c r="B2348" s="84">
        <v>45775</v>
      </c>
      <c r="C2348" s="23" t="s">
        <v>250</v>
      </c>
      <c r="D2348" s="23" t="s">
        <v>186</v>
      </c>
      <c r="G2348" s="23">
        <v>0</v>
      </c>
      <c r="I2348" s="217" t="s">
        <v>3356</v>
      </c>
    </row>
    <row r="2349" spans="1:9">
      <c r="A2349" s="23">
        <v>2349</v>
      </c>
      <c r="B2349" s="84">
        <v>45775</v>
      </c>
      <c r="C2349" s="23" t="s">
        <v>301</v>
      </c>
      <c r="D2349" s="23" t="s">
        <v>177</v>
      </c>
      <c r="G2349" s="23">
        <v>6.5</v>
      </c>
      <c r="I2349" s="217" t="s">
        <v>3357</v>
      </c>
    </row>
    <row r="2350" spans="1:9">
      <c r="A2350" s="23">
        <v>2350</v>
      </c>
      <c r="B2350" s="84">
        <v>45775</v>
      </c>
      <c r="C2350" s="23" t="s">
        <v>1241</v>
      </c>
      <c r="D2350" s="23" t="s">
        <v>248</v>
      </c>
      <c r="G2350" s="23">
        <v>0</v>
      </c>
      <c r="I2350" s="217" t="s">
        <v>3358</v>
      </c>
    </row>
    <row r="2351" spans="1:9" hidden="1">
      <c r="A2351" s="23">
        <v>2351</v>
      </c>
      <c r="B2351" s="84">
        <v>45775</v>
      </c>
      <c r="C2351" s="23" t="s">
        <v>1243</v>
      </c>
      <c r="D2351" s="23" t="s">
        <v>242</v>
      </c>
      <c r="G2351" s="23">
        <v>0</v>
      </c>
      <c r="I2351" s="217" t="s">
        <v>3359</v>
      </c>
    </row>
    <row r="2352" spans="1:9" hidden="1">
      <c r="A2352" s="23">
        <v>2352</v>
      </c>
      <c r="B2352" s="84">
        <v>45776</v>
      </c>
      <c r="C2352" s="23" t="s">
        <v>1248</v>
      </c>
      <c r="D2352" s="23" t="s">
        <v>391</v>
      </c>
      <c r="G2352" s="23">
        <v>0.8</v>
      </c>
      <c r="I2352" s="217" t="s">
        <v>3360</v>
      </c>
    </row>
    <row r="2353" spans="1:9">
      <c r="A2353" s="23">
        <v>2353</v>
      </c>
      <c r="B2353" s="84">
        <v>45776</v>
      </c>
      <c r="C2353" s="23" t="s">
        <v>1244</v>
      </c>
      <c r="D2353" s="23" t="s">
        <v>174</v>
      </c>
      <c r="G2353" s="23">
        <v>0</v>
      </c>
      <c r="I2353" s="217" t="s">
        <v>3361</v>
      </c>
    </row>
    <row r="2354" spans="1:9" hidden="1">
      <c r="A2354" s="23">
        <v>2354</v>
      </c>
      <c r="B2354" s="84">
        <v>45776</v>
      </c>
      <c r="C2354" s="23" t="s">
        <v>592</v>
      </c>
      <c r="D2354" s="23" t="s">
        <v>391</v>
      </c>
      <c r="G2354" s="23">
        <v>0</v>
      </c>
      <c r="I2354" s="217" t="s">
        <v>3362</v>
      </c>
    </row>
    <row r="2355" spans="1:9" hidden="1">
      <c r="A2355" s="23">
        <v>2355</v>
      </c>
      <c r="B2355" s="84">
        <v>45776</v>
      </c>
      <c r="C2355" s="23" t="s">
        <v>724</v>
      </c>
      <c r="D2355" s="23" t="s">
        <v>164</v>
      </c>
      <c r="G2355" s="23">
        <v>0.7</v>
      </c>
      <c r="I2355" s="217" t="s">
        <v>3363</v>
      </c>
    </row>
    <row r="2356" spans="1:9" hidden="1">
      <c r="A2356" s="23">
        <v>2356</v>
      </c>
      <c r="B2356" s="84">
        <v>45776</v>
      </c>
      <c r="C2356" s="23" t="s">
        <v>723</v>
      </c>
      <c r="D2356" s="23" t="s">
        <v>214</v>
      </c>
      <c r="G2356" s="23">
        <v>0.43</v>
      </c>
      <c r="I2356" s="217" t="s">
        <v>3364</v>
      </c>
    </row>
    <row r="2357" spans="1:9" hidden="1">
      <c r="A2357" s="23">
        <v>2357</v>
      </c>
      <c r="B2357" s="84">
        <v>45776</v>
      </c>
      <c r="C2357" s="23" t="s">
        <v>1066</v>
      </c>
      <c r="D2357" s="23" t="s">
        <v>220</v>
      </c>
      <c r="G2357" s="23">
        <v>0</v>
      </c>
      <c r="I2357" s="217" t="s">
        <v>3365</v>
      </c>
    </row>
    <row r="2358" spans="1:9" hidden="1">
      <c r="A2358" s="23">
        <v>2358</v>
      </c>
      <c r="B2358" s="84">
        <v>45776</v>
      </c>
      <c r="C2358" s="23" t="s">
        <v>355</v>
      </c>
      <c r="D2358" s="23" t="s">
        <v>232</v>
      </c>
      <c r="G2358" s="23">
        <v>0.7</v>
      </c>
      <c r="I2358" s="217" t="s">
        <v>3366</v>
      </c>
    </row>
    <row r="2359" spans="1:9" hidden="1">
      <c r="A2359" s="23">
        <v>2359</v>
      </c>
      <c r="B2359" s="84">
        <v>45776</v>
      </c>
      <c r="C2359" s="23" t="s">
        <v>732</v>
      </c>
      <c r="D2359" s="23" t="s">
        <v>234</v>
      </c>
      <c r="G2359" s="23">
        <v>0.7</v>
      </c>
      <c r="I2359" s="217" t="s">
        <v>3367</v>
      </c>
    </row>
    <row r="2360" spans="1:9" hidden="1">
      <c r="A2360" s="23">
        <v>2360</v>
      </c>
      <c r="B2360" s="84">
        <v>45776</v>
      </c>
      <c r="C2360" s="23" t="s">
        <v>1249</v>
      </c>
      <c r="D2360" s="23" t="s">
        <v>236</v>
      </c>
      <c r="G2360" s="23">
        <v>0.7</v>
      </c>
      <c r="I2360" s="217" t="s">
        <v>3368</v>
      </c>
    </row>
    <row r="2361" spans="1:9" hidden="1">
      <c r="A2361" s="23">
        <v>2361</v>
      </c>
      <c r="B2361" s="84">
        <v>45776</v>
      </c>
      <c r="C2361" s="23" t="s">
        <v>642</v>
      </c>
      <c r="D2361" s="23" t="s">
        <v>234</v>
      </c>
      <c r="G2361" s="23">
        <v>0</v>
      </c>
      <c r="I2361" s="217" t="s">
        <v>3369</v>
      </c>
    </row>
    <row r="2362" spans="1:9" hidden="1">
      <c r="A2362" s="23">
        <v>2362</v>
      </c>
      <c r="B2362" s="84">
        <v>45776</v>
      </c>
      <c r="C2362" s="23" t="s">
        <v>1094</v>
      </c>
      <c r="D2362" s="23" t="s">
        <v>183</v>
      </c>
      <c r="G2362" s="23">
        <v>2.8</v>
      </c>
      <c r="I2362" s="217" t="s">
        <v>3370</v>
      </c>
    </row>
    <row r="2363" spans="1:9" hidden="1">
      <c r="A2363" s="23">
        <v>2363</v>
      </c>
      <c r="B2363" s="84">
        <v>45776</v>
      </c>
      <c r="C2363" s="23" t="s">
        <v>247</v>
      </c>
      <c r="D2363" s="23" t="s">
        <v>164</v>
      </c>
      <c r="G2363" s="23">
        <v>0</v>
      </c>
      <c r="I2363" s="217" t="s">
        <v>3371</v>
      </c>
    </row>
    <row r="2364" spans="1:9" hidden="1">
      <c r="A2364" s="23">
        <v>2364</v>
      </c>
      <c r="B2364" s="84">
        <v>45776</v>
      </c>
      <c r="C2364" s="23" t="s">
        <v>729</v>
      </c>
      <c r="D2364" s="23" t="s">
        <v>232</v>
      </c>
      <c r="G2364" s="23">
        <v>0</v>
      </c>
      <c r="I2364" s="217" t="s">
        <v>3372</v>
      </c>
    </row>
    <row r="2365" spans="1:9" hidden="1">
      <c r="A2365" s="23">
        <v>2365</v>
      </c>
      <c r="B2365" s="84">
        <v>45776</v>
      </c>
      <c r="C2365" s="23" t="s">
        <v>733</v>
      </c>
      <c r="D2365" s="23" t="s">
        <v>236</v>
      </c>
      <c r="G2365" s="23">
        <v>0</v>
      </c>
      <c r="I2365" s="217" t="s">
        <v>3373</v>
      </c>
    </row>
    <row r="2366" spans="1:9" hidden="1">
      <c r="A2366" s="23">
        <v>2366</v>
      </c>
      <c r="B2366" s="84">
        <v>45776</v>
      </c>
      <c r="C2366" s="23" t="s">
        <v>213</v>
      </c>
      <c r="D2366" s="23" t="s">
        <v>225</v>
      </c>
      <c r="G2366" s="23">
        <v>0.75</v>
      </c>
      <c r="I2366" s="217" t="s">
        <v>3374</v>
      </c>
    </row>
    <row r="2367" spans="1:9" hidden="1">
      <c r="A2367" s="23">
        <v>2367</v>
      </c>
      <c r="B2367" s="84">
        <v>45776</v>
      </c>
      <c r="C2367" s="23" t="s">
        <v>238</v>
      </c>
      <c r="D2367" s="23" t="s">
        <v>217</v>
      </c>
      <c r="G2367" s="23">
        <v>0</v>
      </c>
      <c r="I2367" s="217" t="s">
        <v>3375</v>
      </c>
    </row>
    <row r="2368" spans="1:9">
      <c r="A2368" s="23">
        <v>2368</v>
      </c>
      <c r="B2368" s="84">
        <v>45776</v>
      </c>
      <c r="C2368" s="23" t="s">
        <v>859</v>
      </c>
      <c r="D2368" s="23" t="s">
        <v>248</v>
      </c>
      <c r="G2368" s="23">
        <v>1.5</v>
      </c>
      <c r="I2368" s="217" t="s">
        <v>3376</v>
      </c>
    </row>
    <row r="2369" spans="1:9" hidden="1">
      <c r="A2369" s="23">
        <v>2369</v>
      </c>
      <c r="B2369" s="84">
        <v>45776</v>
      </c>
      <c r="C2369" s="23" t="s">
        <v>859</v>
      </c>
      <c r="D2369" s="23" t="s">
        <v>391</v>
      </c>
      <c r="G2369" s="23">
        <v>0.8</v>
      </c>
      <c r="I2369" s="217" t="s">
        <v>3377</v>
      </c>
    </row>
    <row r="2370" spans="1:9" hidden="1">
      <c r="A2370" s="23">
        <v>2370</v>
      </c>
      <c r="B2370" s="84">
        <v>45776</v>
      </c>
      <c r="C2370" s="23" t="s">
        <v>1251</v>
      </c>
      <c r="D2370" s="23" t="s">
        <v>391</v>
      </c>
      <c r="G2370" s="23">
        <v>0</v>
      </c>
      <c r="I2370" s="217" t="s">
        <v>3377</v>
      </c>
    </row>
    <row r="2371" spans="1:9" hidden="1">
      <c r="A2371" s="23">
        <v>2371</v>
      </c>
      <c r="B2371" s="84">
        <v>45776</v>
      </c>
      <c r="C2371" s="23" t="s">
        <v>739</v>
      </c>
      <c r="D2371" s="23" t="s">
        <v>164</v>
      </c>
      <c r="G2371" s="23">
        <v>0.77500000000000002</v>
      </c>
      <c r="I2371" s="217" t="s">
        <v>3378</v>
      </c>
    </row>
    <row r="2372" spans="1:9" hidden="1">
      <c r="A2372" s="23">
        <v>2372</v>
      </c>
      <c r="B2372" s="84">
        <v>45776</v>
      </c>
      <c r="C2372" s="23" t="s">
        <v>362</v>
      </c>
      <c r="D2372" s="23" t="s">
        <v>242</v>
      </c>
      <c r="G2372" s="23">
        <v>3.8</v>
      </c>
      <c r="I2372" s="217" t="s">
        <v>3379</v>
      </c>
    </row>
    <row r="2373" spans="1:9" hidden="1">
      <c r="A2373" s="23">
        <v>2373</v>
      </c>
      <c r="B2373" s="84">
        <v>45776</v>
      </c>
      <c r="C2373" s="23" t="s">
        <v>549</v>
      </c>
      <c r="D2373" s="23" t="s">
        <v>232</v>
      </c>
      <c r="G2373" s="23">
        <v>0.77500000000000002</v>
      </c>
      <c r="I2373" s="217" t="s">
        <v>3380</v>
      </c>
    </row>
    <row r="2374" spans="1:9" hidden="1">
      <c r="A2374" s="23">
        <v>2374</v>
      </c>
      <c r="B2374" s="84">
        <v>45776</v>
      </c>
      <c r="C2374" s="23" t="s">
        <v>549</v>
      </c>
      <c r="D2374" s="23" t="s">
        <v>234</v>
      </c>
      <c r="G2374" s="23">
        <v>0.77500000000000002</v>
      </c>
      <c r="I2374" s="217" t="s">
        <v>3381</v>
      </c>
    </row>
    <row r="2375" spans="1:9" hidden="1">
      <c r="A2375" s="23">
        <v>2375</v>
      </c>
      <c r="B2375" s="84">
        <v>45776</v>
      </c>
      <c r="C2375" s="23" t="s">
        <v>1077</v>
      </c>
      <c r="D2375" s="23" t="s">
        <v>236</v>
      </c>
      <c r="G2375" s="23">
        <v>0.77500000000000002</v>
      </c>
      <c r="I2375" s="217" t="s">
        <v>3382</v>
      </c>
    </row>
    <row r="2376" spans="1:9" hidden="1">
      <c r="A2376" s="23">
        <v>2376</v>
      </c>
      <c r="B2376" s="84">
        <v>45776</v>
      </c>
      <c r="C2376" s="23" t="s">
        <v>662</v>
      </c>
      <c r="D2376" s="23" t="s">
        <v>391</v>
      </c>
      <c r="G2376" s="23">
        <v>0.78</v>
      </c>
      <c r="I2376" s="217" t="s">
        <v>3383</v>
      </c>
    </row>
    <row r="2377" spans="1:9" hidden="1">
      <c r="A2377" s="23">
        <v>2377</v>
      </c>
      <c r="B2377" s="84">
        <v>45776</v>
      </c>
      <c r="C2377" s="23" t="s">
        <v>552</v>
      </c>
      <c r="D2377" s="23" t="s">
        <v>186</v>
      </c>
      <c r="G2377" s="23">
        <v>3.8</v>
      </c>
      <c r="I2377" s="217" t="s">
        <v>3384</v>
      </c>
    </row>
    <row r="2378" spans="1:9" hidden="1">
      <c r="A2378" s="23">
        <v>2378</v>
      </c>
      <c r="B2378" s="84">
        <v>45776</v>
      </c>
      <c r="C2378" s="23" t="s">
        <v>657</v>
      </c>
      <c r="D2378" s="23" t="s">
        <v>391</v>
      </c>
      <c r="G2378" s="23">
        <v>0</v>
      </c>
      <c r="I2378" s="217" t="s">
        <v>3383</v>
      </c>
    </row>
    <row r="2379" spans="1:9" hidden="1">
      <c r="A2379" s="23">
        <v>2379</v>
      </c>
      <c r="B2379" s="84">
        <v>45776</v>
      </c>
      <c r="C2379" s="23" t="s">
        <v>319</v>
      </c>
      <c r="D2379" s="23" t="s">
        <v>391</v>
      </c>
      <c r="G2379" s="23">
        <v>0.75</v>
      </c>
      <c r="I2379" s="217" t="s">
        <v>3385</v>
      </c>
    </row>
    <row r="2380" spans="1:9">
      <c r="A2380" s="23">
        <v>2380</v>
      </c>
      <c r="B2380" s="84">
        <v>45776</v>
      </c>
      <c r="C2380" s="23" t="s">
        <v>556</v>
      </c>
      <c r="D2380" s="23" t="s">
        <v>174</v>
      </c>
      <c r="G2380" s="23">
        <v>0.9</v>
      </c>
      <c r="I2380" s="217" t="s">
        <v>3386</v>
      </c>
    </row>
    <row r="2381" spans="1:9" hidden="1">
      <c r="A2381" s="23">
        <v>2381</v>
      </c>
      <c r="B2381" s="84">
        <v>45776</v>
      </c>
      <c r="C2381" s="23" t="s">
        <v>782</v>
      </c>
      <c r="D2381" s="23" t="s">
        <v>335</v>
      </c>
      <c r="G2381" s="23">
        <v>3</v>
      </c>
      <c r="I2381" s="217" t="s">
        <v>3387</v>
      </c>
    </row>
    <row r="2382" spans="1:9" hidden="1">
      <c r="A2382" s="23">
        <v>2382</v>
      </c>
      <c r="B2382" s="84">
        <v>45776</v>
      </c>
      <c r="C2382" s="23" t="s">
        <v>318</v>
      </c>
      <c r="D2382" s="23" t="s">
        <v>164</v>
      </c>
      <c r="G2382" s="23">
        <v>0</v>
      </c>
      <c r="I2382" s="217" t="s">
        <v>3388</v>
      </c>
    </row>
    <row r="2383" spans="1:9" hidden="1">
      <c r="A2383" s="23">
        <v>2383</v>
      </c>
      <c r="B2383" s="84">
        <v>45776</v>
      </c>
      <c r="C2383" s="23" t="s">
        <v>1145</v>
      </c>
      <c r="D2383" s="23" t="s">
        <v>232</v>
      </c>
      <c r="G2383" s="23">
        <v>0</v>
      </c>
      <c r="I2383" s="217" t="s">
        <v>3389</v>
      </c>
    </row>
    <row r="2384" spans="1:9" hidden="1">
      <c r="A2384" s="23">
        <v>2384</v>
      </c>
      <c r="B2384" s="84">
        <v>45776</v>
      </c>
      <c r="C2384" s="23" t="s">
        <v>1145</v>
      </c>
      <c r="D2384" s="23" t="s">
        <v>391</v>
      </c>
      <c r="G2384" s="23">
        <v>0</v>
      </c>
      <c r="I2384" s="217" t="s">
        <v>3385</v>
      </c>
    </row>
    <row r="2385" spans="1:9" hidden="1">
      <c r="A2385" s="23">
        <v>2385</v>
      </c>
      <c r="B2385" s="84">
        <v>45776</v>
      </c>
      <c r="C2385" s="23" t="s">
        <v>378</v>
      </c>
      <c r="D2385" s="23" t="s">
        <v>234</v>
      </c>
      <c r="G2385" s="23">
        <v>0</v>
      </c>
      <c r="I2385" s="217" t="s">
        <v>3390</v>
      </c>
    </row>
    <row r="2386" spans="1:9" hidden="1">
      <c r="A2386" s="23">
        <v>2386</v>
      </c>
      <c r="B2386" s="84">
        <v>45776</v>
      </c>
      <c r="C2386" s="23" t="s">
        <v>378</v>
      </c>
      <c r="D2386" s="23" t="s">
        <v>236</v>
      </c>
      <c r="G2386" s="23">
        <v>0</v>
      </c>
      <c r="I2386" s="217" t="s">
        <v>3391</v>
      </c>
    </row>
    <row r="2387" spans="1:9" hidden="1">
      <c r="A2387" s="23">
        <v>2387</v>
      </c>
      <c r="B2387" s="84">
        <v>45776</v>
      </c>
      <c r="C2387" s="23" t="s">
        <v>935</v>
      </c>
      <c r="D2387" s="23" t="s">
        <v>232</v>
      </c>
      <c r="G2387" s="23">
        <v>0.75</v>
      </c>
      <c r="I2387" s="217" t="s">
        <v>3392</v>
      </c>
    </row>
    <row r="2388" spans="1:9" hidden="1">
      <c r="A2388" s="23">
        <v>2388</v>
      </c>
      <c r="B2388" s="84">
        <v>45776</v>
      </c>
      <c r="C2388" s="23" t="s">
        <v>935</v>
      </c>
      <c r="D2388" s="23" t="s">
        <v>164</v>
      </c>
      <c r="G2388" s="23">
        <v>0.75</v>
      </c>
      <c r="I2388" s="217" t="s">
        <v>3393</v>
      </c>
    </row>
    <row r="2389" spans="1:9" hidden="1">
      <c r="A2389" s="23">
        <v>2389</v>
      </c>
      <c r="B2389" s="84">
        <v>45776</v>
      </c>
      <c r="C2389" s="23" t="s">
        <v>935</v>
      </c>
      <c r="D2389" s="23" t="s">
        <v>391</v>
      </c>
      <c r="G2389" s="23">
        <v>0.75</v>
      </c>
      <c r="I2389" s="217" t="s">
        <v>3394</v>
      </c>
    </row>
    <row r="2390" spans="1:9" hidden="1">
      <c r="A2390" s="23">
        <v>2390</v>
      </c>
      <c r="B2390" s="84">
        <v>45776</v>
      </c>
      <c r="C2390" s="23" t="s">
        <v>1229</v>
      </c>
      <c r="D2390" s="23" t="s">
        <v>335</v>
      </c>
      <c r="G2390" s="23">
        <v>0</v>
      </c>
      <c r="I2390" s="217" t="s">
        <v>3395</v>
      </c>
    </row>
    <row r="2391" spans="1:9" hidden="1">
      <c r="A2391" s="23">
        <v>2391</v>
      </c>
      <c r="B2391" s="84">
        <v>45776</v>
      </c>
      <c r="C2391" s="23" t="s">
        <v>1252</v>
      </c>
      <c r="D2391" s="23" t="s">
        <v>391</v>
      </c>
      <c r="G2391" s="23">
        <v>0</v>
      </c>
      <c r="I2391" s="217" t="s">
        <v>3394</v>
      </c>
    </row>
    <row r="2392" spans="1:9" hidden="1">
      <c r="A2392" s="23">
        <v>2392</v>
      </c>
      <c r="B2392" s="84">
        <v>45776</v>
      </c>
      <c r="C2392" s="23" t="s">
        <v>1037</v>
      </c>
      <c r="D2392" s="23" t="s">
        <v>164</v>
      </c>
      <c r="G2392" s="23">
        <v>0</v>
      </c>
      <c r="I2392" s="217" t="s">
        <v>3393</v>
      </c>
    </row>
    <row r="2393" spans="1:9" hidden="1">
      <c r="A2393" s="23">
        <v>2393</v>
      </c>
      <c r="B2393" s="84">
        <v>45776</v>
      </c>
      <c r="C2393" s="23" t="s">
        <v>327</v>
      </c>
      <c r="D2393" s="23" t="s">
        <v>234</v>
      </c>
      <c r="G2393" s="23">
        <v>0.7</v>
      </c>
      <c r="I2393" s="217" t="s">
        <v>3396</v>
      </c>
    </row>
    <row r="2394" spans="1:9" hidden="1">
      <c r="A2394" s="23">
        <v>2394</v>
      </c>
      <c r="B2394" s="84">
        <v>45776</v>
      </c>
      <c r="C2394" s="23" t="s">
        <v>274</v>
      </c>
      <c r="D2394" s="23" t="s">
        <v>220</v>
      </c>
      <c r="G2394" s="23">
        <v>0.745</v>
      </c>
      <c r="I2394" s="217" t="s">
        <v>3397</v>
      </c>
    </row>
    <row r="2395" spans="1:9" hidden="1">
      <c r="A2395" s="23">
        <v>2395</v>
      </c>
      <c r="B2395" s="84">
        <v>45776</v>
      </c>
      <c r="C2395" s="23" t="s">
        <v>224</v>
      </c>
      <c r="D2395" s="23" t="s">
        <v>211</v>
      </c>
      <c r="G2395" s="23">
        <v>0</v>
      </c>
      <c r="I2395" s="217" t="s">
        <v>3398</v>
      </c>
    </row>
    <row r="2396" spans="1:9" hidden="1">
      <c r="A2396" s="23">
        <v>2396</v>
      </c>
      <c r="B2396" s="84">
        <v>45776</v>
      </c>
      <c r="C2396" s="23" t="s">
        <v>1253</v>
      </c>
      <c r="D2396" s="23" t="s">
        <v>234</v>
      </c>
      <c r="G2396" s="23">
        <v>0</v>
      </c>
      <c r="I2396" s="217" t="s">
        <v>3399</v>
      </c>
    </row>
    <row r="2397" spans="1:9" hidden="1">
      <c r="A2397" s="23">
        <v>2397</v>
      </c>
      <c r="B2397" s="84">
        <v>45776</v>
      </c>
      <c r="C2397" s="23" t="s">
        <v>385</v>
      </c>
      <c r="D2397" s="23" t="s">
        <v>232</v>
      </c>
      <c r="G2397" s="23">
        <v>0</v>
      </c>
      <c r="I2397" s="217" t="s">
        <v>3400</v>
      </c>
    </row>
    <row r="2398" spans="1:9" hidden="1">
      <c r="A2398" s="23">
        <v>2398</v>
      </c>
      <c r="B2398" s="84">
        <v>45776</v>
      </c>
      <c r="C2398" s="23" t="s">
        <v>514</v>
      </c>
      <c r="D2398" s="23" t="s">
        <v>391</v>
      </c>
      <c r="G2398" s="23">
        <v>0.75</v>
      </c>
      <c r="I2398" s="217" t="s">
        <v>3401</v>
      </c>
    </row>
    <row r="2399" spans="1:9" hidden="1">
      <c r="A2399" s="23">
        <v>2399</v>
      </c>
      <c r="B2399" s="84">
        <v>45776</v>
      </c>
      <c r="C2399" s="23" t="s">
        <v>514</v>
      </c>
      <c r="D2399" s="23" t="s">
        <v>236</v>
      </c>
      <c r="G2399" s="23">
        <v>0.75</v>
      </c>
      <c r="I2399" s="217" t="s">
        <v>3402</v>
      </c>
    </row>
    <row r="2400" spans="1:9" hidden="1">
      <c r="A2400" s="23">
        <v>2400</v>
      </c>
      <c r="B2400" s="84">
        <v>45776</v>
      </c>
      <c r="C2400" s="23" t="s">
        <v>1255</v>
      </c>
      <c r="D2400" s="23" t="s">
        <v>236</v>
      </c>
      <c r="G2400" s="23">
        <v>0</v>
      </c>
      <c r="I2400" s="217" t="s">
        <v>3403</v>
      </c>
    </row>
    <row r="2401" spans="1:9" hidden="1">
      <c r="A2401" s="23">
        <v>2401</v>
      </c>
      <c r="B2401" s="84">
        <v>45776</v>
      </c>
      <c r="C2401" s="23" t="s">
        <v>1254</v>
      </c>
      <c r="D2401" s="23" t="s">
        <v>391</v>
      </c>
      <c r="G2401" s="23">
        <v>0</v>
      </c>
      <c r="I2401" s="217" t="s">
        <v>3404</v>
      </c>
    </row>
    <row r="2402" spans="1:9" hidden="1">
      <c r="A2402" s="23">
        <v>2402</v>
      </c>
      <c r="B2402" s="84">
        <v>45776</v>
      </c>
      <c r="C2402" s="23" t="s">
        <v>697</v>
      </c>
      <c r="D2402" s="23" t="s">
        <v>220</v>
      </c>
      <c r="G2402" s="23">
        <v>0</v>
      </c>
      <c r="I2402" s="217" t="s">
        <v>3405</v>
      </c>
    </row>
    <row r="2403" spans="1:9" hidden="1">
      <c r="A2403" s="23">
        <v>2403</v>
      </c>
      <c r="B2403" s="84">
        <v>45776</v>
      </c>
      <c r="C2403" s="23" t="s">
        <v>697</v>
      </c>
      <c r="D2403" s="23" t="s">
        <v>214</v>
      </c>
      <c r="G2403" s="23">
        <v>0</v>
      </c>
      <c r="I2403" s="217" t="s">
        <v>3406</v>
      </c>
    </row>
    <row r="2404" spans="1:9" hidden="1">
      <c r="A2404" s="23">
        <v>2404</v>
      </c>
      <c r="B2404" s="84">
        <v>45776</v>
      </c>
      <c r="C2404" s="23" t="s">
        <v>521</v>
      </c>
      <c r="D2404" s="23" t="s">
        <v>220</v>
      </c>
      <c r="G2404" s="23">
        <v>0.75</v>
      </c>
      <c r="I2404" s="217" t="s">
        <v>3407</v>
      </c>
    </row>
    <row r="2405" spans="1:9" hidden="1">
      <c r="A2405" s="23">
        <v>2405</v>
      </c>
      <c r="B2405" s="84">
        <v>45776</v>
      </c>
      <c r="C2405" s="23" t="s">
        <v>521</v>
      </c>
      <c r="D2405" s="23" t="s">
        <v>214</v>
      </c>
      <c r="G2405" s="23">
        <v>0.75</v>
      </c>
      <c r="I2405" s="217" t="s">
        <v>3408</v>
      </c>
    </row>
    <row r="2406" spans="1:9" hidden="1">
      <c r="A2406" s="23">
        <v>2406</v>
      </c>
      <c r="B2406" s="84">
        <v>45776</v>
      </c>
      <c r="C2406" s="23" t="s">
        <v>753</v>
      </c>
      <c r="D2406" s="23" t="s">
        <v>183</v>
      </c>
      <c r="G2406" s="23">
        <v>0</v>
      </c>
      <c r="I2406" s="217" t="s">
        <v>3409</v>
      </c>
    </row>
    <row r="2407" spans="1:9" hidden="1">
      <c r="A2407" s="23">
        <v>2407</v>
      </c>
      <c r="B2407" s="84">
        <v>45776</v>
      </c>
      <c r="C2407" s="23" t="s">
        <v>212</v>
      </c>
      <c r="D2407" s="23" t="s">
        <v>217</v>
      </c>
      <c r="G2407" s="23">
        <v>0.9</v>
      </c>
      <c r="I2407" s="217" t="s">
        <v>3410</v>
      </c>
    </row>
    <row r="2408" spans="1:9" hidden="1">
      <c r="A2408" s="23">
        <v>2408</v>
      </c>
      <c r="B2408" s="84">
        <v>45776</v>
      </c>
      <c r="C2408" s="23" t="s">
        <v>222</v>
      </c>
      <c r="D2408" s="23" t="s">
        <v>225</v>
      </c>
      <c r="G2408" s="23">
        <v>0</v>
      </c>
      <c r="I2408" s="217" t="s">
        <v>3411</v>
      </c>
    </row>
    <row r="2409" spans="1:9" hidden="1">
      <c r="A2409" s="23">
        <v>2409</v>
      </c>
      <c r="B2409" s="84">
        <v>45776</v>
      </c>
      <c r="C2409" s="23" t="s">
        <v>200</v>
      </c>
      <c r="D2409" s="23" t="s">
        <v>211</v>
      </c>
      <c r="G2409" s="23">
        <v>0.69</v>
      </c>
      <c r="I2409" s="217" t="s">
        <v>3412</v>
      </c>
    </row>
    <row r="2410" spans="1:9" hidden="1">
      <c r="A2410" s="23">
        <v>2410</v>
      </c>
      <c r="B2410" s="84">
        <v>45776</v>
      </c>
      <c r="C2410" s="23" t="s">
        <v>412</v>
      </c>
      <c r="D2410" s="23" t="s">
        <v>164</v>
      </c>
      <c r="G2410" s="23">
        <v>0.7</v>
      </c>
      <c r="I2410" s="217" t="s">
        <v>3413</v>
      </c>
    </row>
    <row r="2411" spans="1:9" hidden="1">
      <c r="A2411" s="23">
        <v>2411</v>
      </c>
      <c r="B2411" s="84">
        <v>45776</v>
      </c>
      <c r="C2411" s="23" t="s">
        <v>499</v>
      </c>
      <c r="D2411" s="23" t="s">
        <v>232</v>
      </c>
      <c r="G2411" s="23">
        <v>0.7</v>
      </c>
      <c r="I2411" s="217" t="s">
        <v>3414</v>
      </c>
    </row>
    <row r="2412" spans="1:9" hidden="1">
      <c r="A2412" s="23">
        <v>2412</v>
      </c>
      <c r="B2412" s="84">
        <v>45776</v>
      </c>
      <c r="C2412" s="23" t="s">
        <v>197</v>
      </c>
      <c r="D2412" s="23" t="s">
        <v>164</v>
      </c>
      <c r="G2412" s="23">
        <v>0</v>
      </c>
      <c r="I2412" s="217" t="s">
        <v>3415</v>
      </c>
    </row>
    <row r="2413" spans="1:9" hidden="1">
      <c r="A2413" s="23">
        <v>2413</v>
      </c>
      <c r="B2413" s="84">
        <v>45776</v>
      </c>
      <c r="C2413" s="23" t="s">
        <v>280</v>
      </c>
      <c r="D2413" s="23" t="s">
        <v>232</v>
      </c>
      <c r="G2413" s="23">
        <v>0</v>
      </c>
      <c r="I2413" s="217" t="s">
        <v>3416</v>
      </c>
    </row>
    <row r="2414" spans="1:9" hidden="1">
      <c r="A2414" s="23">
        <v>2414</v>
      </c>
      <c r="B2414" s="84">
        <v>45776</v>
      </c>
      <c r="C2414" s="23" t="s">
        <v>418</v>
      </c>
      <c r="D2414" s="23" t="s">
        <v>214</v>
      </c>
      <c r="G2414" s="23">
        <v>0</v>
      </c>
      <c r="I2414" s="217" t="s">
        <v>3417</v>
      </c>
    </row>
    <row r="2415" spans="1:9">
      <c r="A2415" s="23">
        <v>2415</v>
      </c>
      <c r="B2415" s="84">
        <v>45776</v>
      </c>
      <c r="C2415" s="23" t="s">
        <v>1250</v>
      </c>
      <c r="D2415" s="23" t="s">
        <v>248</v>
      </c>
      <c r="G2415" s="23">
        <v>0</v>
      </c>
      <c r="I2415" s="217" t="s">
        <v>3418</v>
      </c>
    </row>
    <row r="2416" spans="1:9" hidden="1">
      <c r="A2416" s="23">
        <v>2416</v>
      </c>
      <c r="B2416" s="84">
        <v>45776</v>
      </c>
      <c r="C2416" s="23" t="s">
        <v>300</v>
      </c>
      <c r="D2416" s="23" t="s">
        <v>186</v>
      </c>
      <c r="G2416" s="23">
        <v>0</v>
      </c>
      <c r="I2416" s="217" t="s">
        <v>3419</v>
      </c>
    </row>
    <row r="2417" spans="1:9" hidden="1">
      <c r="A2417" s="23">
        <v>2417</v>
      </c>
      <c r="B2417" s="84">
        <v>45777</v>
      </c>
      <c r="C2417" s="23" t="s">
        <v>587</v>
      </c>
      <c r="D2417" s="23" t="s">
        <v>242</v>
      </c>
      <c r="G2417" s="23">
        <v>0</v>
      </c>
      <c r="I2417" s="217" t="s">
        <v>3420</v>
      </c>
    </row>
    <row r="2418" spans="1:9">
      <c r="A2418" s="23">
        <v>2418</v>
      </c>
      <c r="B2418" s="84">
        <v>45777</v>
      </c>
      <c r="C2418" s="23" t="s">
        <v>720</v>
      </c>
      <c r="D2418" s="23" t="s">
        <v>180</v>
      </c>
      <c r="G2418" s="23">
        <v>0</v>
      </c>
      <c r="I2418" s="217" t="s">
        <v>3421</v>
      </c>
    </row>
    <row r="2419" spans="1:9" hidden="1">
      <c r="A2419" s="23">
        <v>2419</v>
      </c>
      <c r="B2419" s="84">
        <v>45777</v>
      </c>
      <c r="C2419" s="23" t="s">
        <v>1066</v>
      </c>
      <c r="D2419" s="23" t="s">
        <v>214</v>
      </c>
      <c r="G2419" s="23">
        <v>0.46</v>
      </c>
      <c r="I2419" s="217" t="s">
        <v>3422</v>
      </c>
    </row>
    <row r="2420" spans="1:9" hidden="1">
      <c r="A2420" s="23">
        <v>2420</v>
      </c>
      <c r="B2420" s="84">
        <v>45777</v>
      </c>
      <c r="C2420" s="23" t="s">
        <v>1256</v>
      </c>
      <c r="D2420" s="23" t="s">
        <v>211</v>
      </c>
      <c r="G2420" s="23">
        <v>0</v>
      </c>
      <c r="I2420" s="217" t="s">
        <v>3423</v>
      </c>
    </row>
    <row r="2421" spans="1:9" hidden="1">
      <c r="A2421" s="23">
        <v>2421</v>
      </c>
      <c r="B2421" s="84">
        <v>45777</v>
      </c>
      <c r="C2421" s="23" t="s">
        <v>440</v>
      </c>
      <c r="D2421" s="23" t="s">
        <v>236</v>
      </c>
      <c r="G2421" s="23">
        <v>0.8</v>
      </c>
      <c r="I2421" s="217" t="s">
        <v>3424</v>
      </c>
    </row>
    <row r="2422" spans="1:9" hidden="1">
      <c r="A2422" s="23">
        <v>2422</v>
      </c>
      <c r="B2422" s="84">
        <v>45777</v>
      </c>
      <c r="C2422" s="23" t="s">
        <v>355</v>
      </c>
      <c r="D2422" s="23" t="s">
        <v>234</v>
      </c>
      <c r="G2422" s="23">
        <v>0.8</v>
      </c>
      <c r="I2422" s="217" t="s">
        <v>3425</v>
      </c>
    </row>
    <row r="2423" spans="1:9" hidden="1">
      <c r="A2423" s="23">
        <v>2423</v>
      </c>
      <c r="B2423" s="84">
        <v>45777</v>
      </c>
      <c r="C2423" s="23" t="s">
        <v>1258</v>
      </c>
      <c r="D2423" s="23" t="s">
        <v>234</v>
      </c>
      <c r="G2423" s="23">
        <v>0</v>
      </c>
      <c r="I2423" s="217" t="s">
        <v>3426</v>
      </c>
    </row>
    <row r="2424" spans="1:9" hidden="1">
      <c r="A2424" s="23">
        <v>2424</v>
      </c>
      <c r="B2424" s="84">
        <v>45777</v>
      </c>
      <c r="C2424" s="23" t="s">
        <v>213</v>
      </c>
      <c r="D2424" s="23" t="s">
        <v>225</v>
      </c>
      <c r="G2424" s="23">
        <v>0.79</v>
      </c>
      <c r="I2424" s="217" t="s">
        <v>3427</v>
      </c>
    </row>
    <row r="2425" spans="1:9" hidden="1">
      <c r="A2425" s="23">
        <v>2425</v>
      </c>
      <c r="B2425" s="84">
        <v>45777</v>
      </c>
      <c r="C2425" s="23" t="s">
        <v>238</v>
      </c>
      <c r="D2425" s="23" t="s">
        <v>217</v>
      </c>
      <c r="G2425" s="23">
        <v>0</v>
      </c>
      <c r="I2425" s="217" t="s">
        <v>3428</v>
      </c>
    </row>
    <row r="2426" spans="1:9" hidden="1">
      <c r="A2426" s="23">
        <v>2426</v>
      </c>
      <c r="B2426" s="84">
        <v>45777</v>
      </c>
      <c r="C2426" s="23" t="s">
        <v>1257</v>
      </c>
      <c r="D2426" s="23" t="s">
        <v>236</v>
      </c>
      <c r="G2426" s="23">
        <v>0</v>
      </c>
      <c r="I2426" s="217" t="s">
        <v>3429</v>
      </c>
    </row>
    <row r="2427" spans="1:9" hidden="1">
      <c r="A2427" s="23">
        <v>2427</v>
      </c>
      <c r="B2427" s="84">
        <v>45777</v>
      </c>
      <c r="C2427" s="23" t="s">
        <v>218</v>
      </c>
      <c r="D2427" s="23" t="s">
        <v>183</v>
      </c>
      <c r="G2427" s="23">
        <v>2.8</v>
      </c>
      <c r="I2427" s="217" t="s">
        <v>3430</v>
      </c>
    </row>
    <row r="2428" spans="1:9" hidden="1">
      <c r="A2428" s="23">
        <v>2428</v>
      </c>
      <c r="B2428" s="84">
        <v>45777</v>
      </c>
      <c r="C2428" s="23" t="s">
        <v>1260</v>
      </c>
      <c r="D2428" s="23" t="s">
        <v>391</v>
      </c>
      <c r="G2428" s="23">
        <v>0.8</v>
      </c>
      <c r="I2428" s="217" t="s">
        <v>3431</v>
      </c>
    </row>
    <row r="2429" spans="1:9" hidden="1">
      <c r="A2429" s="23">
        <v>2429</v>
      </c>
      <c r="B2429" s="84">
        <v>45777</v>
      </c>
      <c r="C2429" s="23" t="s">
        <v>1097</v>
      </c>
      <c r="D2429" s="23" t="s">
        <v>164</v>
      </c>
      <c r="G2429" s="23">
        <v>0.8</v>
      </c>
      <c r="I2429" s="217" t="s">
        <v>3432</v>
      </c>
    </row>
    <row r="2430" spans="1:9" hidden="1">
      <c r="A2430" s="23">
        <v>2430</v>
      </c>
      <c r="B2430" s="84">
        <v>45777</v>
      </c>
      <c r="C2430" s="23" t="s">
        <v>600</v>
      </c>
      <c r="D2430" s="23" t="s">
        <v>234</v>
      </c>
      <c r="G2430" s="23">
        <v>0.8</v>
      </c>
      <c r="I2430" s="217" t="s">
        <v>3433</v>
      </c>
    </row>
    <row r="2431" spans="1:9" hidden="1">
      <c r="A2431" s="23">
        <v>2431</v>
      </c>
      <c r="B2431" s="84">
        <v>45777</v>
      </c>
      <c r="C2431" s="23" t="s">
        <v>600</v>
      </c>
      <c r="D2431" s="23" t="s">
        <v>236</v>
      </c>
      <c r="G2431" s="23">
        <v>0.8</v>
      </c>
      <c r="I2431" s="217" t="s">
        <v>3434</v>
      </c>
    </row>
    <row r="2432" spans="1:9" hidden="1">
      <c r="A2432" s="23">
        <v>2432</v>
      </c>
      <c r="B2432" s="84">
        <v>45777</v>
      </c>
      <c r="C2432" s="23" t="s">
        <v>547</v>
      </c>
      <c r="D2432" s="23" t="s">
        <v>391</v>
      </c>
      <c r="G2432" s="23">
        <v>0</v>
      </c>
      <c r="I2432" s="217" t="s">
        <v>3431</v>
      </c>
    </row>
    <row r="2433" spans="1:9">
      <c r="A2433" s="23">
        <v>2433</v>
      </c>
      <c r="B2433" s="84">
        <v>45777</v>
      </c>
      <c r="C2433" s="23" t="s">
        <v>1261</v>
      </c>
      <c r="D2433" s="23" t="s">
        <v>248</v>
      </c>
      <c r="G2433" s="23">
        <v>3.3</v>
      </c>
      <c r="I2433" s="217" t="s">
        <v>3435</v>
      </c>
    </row>
    <row r="2434" spans="1:9" hidden="1">
      <c r="A2434" s="23">
        <v>2434</v>
      </c>
      <c r="B2434" s="84">
        <v>45777</v>
      </c>
      <c r="C2434" s="23" t="s">
        <v>253</v>
      </c>
      <c r="D2434" s="23" t="s">
        <v>164</v>
      </c>
      <c r="G2434" s="23">
        <v>0</v>
      </c>
      <c r="I2434" s="217" t="s">
        <v>3436</v>
      </c>
    </row>
    <row r="2435" spans="1:9" hidden="1">
      <c r="A2435" s="23">
        <v>2435</v>
      </c>
      <c r="B2435" s="84">
        <v>45777</v>
      </c>
      <c r="C2435" s="23" t="s">
        <v>257</v>
      </c>
      <c r="D2435" s="23" t="s">
        <v>232</v>
      </c>
      <c r="G2435" s="23">
        <v>0.75</v>
      </c>
      <c r="I2435" s="217" t="s">
        <v>3437</v>
      </c>
    </row>
    <row r="2436" spans="1:9" hidden="1">
      <c r="A2436" s="23">
        <v>2436</v>
      </c>
      <c r="B2436" s="84">
        <v>45777</v>
      </c>
      <c r="C2436" s="23" t="s">
        <v>368</v>
      </c>
      <c r="D2436" s="23" t="s">
        <v>234</v>
      </c>
      <c r="G2436" s="23">
        <v>0</v>
      </c>
      <c r="I2436" s="217" t="s">
        <v>3438</v>
      </c>
    </row>
    <row r="2437" spans="1:9" hidden="1">
      <c r="A2437" s="23">
        <v>2437</v>
      </c>
      <c r="B2437" s="84">
        <v>45777</v>
      </c>
      <c r="C2437" s="23" t="s">
        <v>655</v>
      </c>
      <c r="D2437" s="23" t="s">
        <v>242</v>
      </c>
      <c r="G2437" s="23">
        <v>3.5</v>
      </c>
      <c r="I2437" s="217" t="s">
        <v>3439</v>
      </c>
    </row>
    <row r="2438" spans="1:9">
      <c r="A2438" s="23">
        <v>2438</v>
      </c>
      <c r="B2438" s="84">
        <v>45777</v>
      </c>
      <c r="C2438" s="23" t="s">
        <v>368</v>
      </c>
      <c r="D2438" s="23" t="s">
        <v>180</v>
      </c>
      <c r="G2438" s="23">
        <v>0.8</v>
      </c>
      <c r="I2438" s="217" t="s">
        <v>3440</v>
      </c>
    </row>
    <row r="2439" spans="1:9" hidden="1">
      <c r="A2439" s="23">
        <v>2439</v>
      </c>
      <c r="B2439" s="84">
        <v>45777</v>
      </c>
      <c r="C2439" s="23" t="s">
        <v>743</v>
      </c>
      <c r="D2439" s="23" t="s">
        <v>234</v>
      </c>
      <c r="G2439" s="23">
        <v>0.75</v>
      </c>
      <c r="I2439" s="217" t="s">
        <v>1294</v>
      </c>
    </row>
    <row r="2440" spans="1:9" hidden="1">
      <c r="A2440" s="23">
        <v>2440</v>
      </c>
      <c r="B2440" s="84">
        <v>45777</v>
      </c>
      <c r="C2440" s="23" t="s">
        <v>656</v>
      </c>
      <c r="D2440" s="23" t="s">
        <v>186</v>
      </c>
      <c r="G2440" s="23">
        <v>1.5</v>
      </c>
      <c r="I2440" s="217" t="s">
        <v>3441</v>
      </c>
    </row>
    <row r="2441" spans="1:9" hidden="1">
      <c r="A2441" s="23">
        <v>2441</v>
      </c>
      <c r="B2441" s="84">
        <v>45777</v>
      </c>
      <c r="C2441" s="23" t="s">
        <v>603</v>
      </c>
      <c r="D2441" s="23" t="s">
        <v>236</v>
      </c>
      <c r="G2441" s="23">
        <v>0</v>
      </c>
      <c r="I2441" s="217" t="s">
        <v>3442</v>
      </c>
    </row>
    <row r="2442" spans="1:9" hidden="1">
      <c r="A2442" s="23">
        <v>2442</v>
      </c>
      <c r="B2442" s="84">
        <v>45777</v>
      </c>
      <c r="C2442" s="23" t="s">
        <v>656</v>
      </c>
      <c r="D2442" s="23" t="s">
        <v>220</v>
      </c>
      <c r="G2442" s="23">
        <v>0</v>
      </c>
      <c r="I2442" s="217" t="s">
        <v>3443</v>
      </c>
    </row>
    <row r="2443" spans="1:9" hidden="1">
      <c r="A2443" s="23">
        <v>2443</v>
      </c>
      <c r="B2443" s="84">
        <v>45777</v>
      </c>
      <c r="C2443" s="23" t="s">
        <v>656</v>
      </c>
      <c r="D2443" s="23" t="s">
        <v>214</v>
      </c>
      <c r="G2443" s="23">
        <v>0</v>
      </c>
      <c r="I2443" s="217" t="s">
        <v>3444</v>
      </c>
    </row>
    <row r="2444" spans="1:9">
      <c r="A2444" s="23">
        <v>2444</v>
      </c>
      <c r="B2444" s="84">
        <v>45777</v>
      </c>
      <c r="C2444" s="23" t="s">
        <v>1185</v>
      </c>
      <c r="D2444" s="23" t="s">
        <v>180</v>
      </c>
      <c r="G2444" s="23">
        <v>0</v>
      </c>
      <c r="I2444" s="217" t="s">
        <v>3445</v>
      </c>
    </row>
    <row r="2445" spans="1:9" hidden="1">
      <c r="A2445" s="23">
        <v>2445</v>
      </c>
      <c r="B2445" s="84">
        <v>45777</v>
      </c>
      <c r="C2445" s="23" t="s">
        <v>825</v>
      </c>
      <c r="D2445" s="23" t="s">
        <v>391</v>
      </c>
      <c r="G2445" s="23">
        <v>0.75</v>
      </c>
      <c r="I2445" s="217" t="s">
        <v>3446</v>
      </c>
    </row>
    <row r="2446" spans="1:9" hidden="1">
      <c r="A2446" s="23">
        <v>2446</v>
      </c>
      <c r="B2446" s="84">
        <v>45777</v>
      </c>
      <c r="C2446" s="23" t="s">
        <v>367</v>
      </c>
      <c r="D2446" s="23" t="s">
        <v>164</v>
      </c>
      <c r="G2446" s="23">
        <v>0.75</v>
      </c>
      <c r="I2446" s="217" t="s">
        <v>3447</v>
      </c>
    </row>
    <row r="2447" spans="1:9" hidden="1">
      <c r="A2447" s="23">
        <v>2447</v>
      </c>
      <c r="B2447" s="84">
        <v>45777</v>
      </c>
      <c r="C2447" s="23" t="s">
        <v>320</v>
      </c>
      <c r="D2447" s="23" t="s">
        <v>236</v>
      </c>
      <c r="G2447" s="23">
        <v>0.75</v>
      </c>
      <c r="I2447" s="217" t="s">
        <v>3448</v>
      </c>
    </row>
    <row r="2448" spans="1:9">
      <c r="A2448" s="23">
        <v>2448</v>
      </c>
      <c r="B2448" s="84">
        <v>45777</v>
      </c>
      <c r="C2448" s="23" t="s">
        <v>782</v>
      </c>
      <c r="D2448" s="23" t="s">
        <v>180</v>
      </c>
      <c r="G2448" s="23">
        <v>1.5</v>
      </c>
      <c r="I2448" s="217" t="s">
        <v>1294</v>
      </c>
    </row>
    <row r="2449" spans="1:9" hidden="1">
      <c r="A2449" s="23">
        <v>2449</v>
      </c>
      <c r="B2449" s="84">
        <v>45777</v>
      </c>
      <c r="C2449" s="23" t="s">
        <v>1035</v>
      </c>
      <c r="D2449" s="23" t="s">
        <v>232</v>
      </c>
      <c r="G2449" s="23">
        <v>0</v>
      </c>
      <c r="I2449" s="217" t="s">
        <v>3449</v>
      </c>
    </row>
    <row r="2450" spans="1:9" hidden="1">
      <c r="A2450" s="23">
        <v>2450</v>
      </c>
      <c r="B2450" s="84">
        <v>45777</v>
      </c>
      <c r="C2450" s="23" t="s">
        <v>269</v>
      </c>
      <c r="D2450" s="23" t="s">
        <v>234</v>
      </c>
      <c r="G2450" s="23">
        <v>0</v>
      </c>
      <c r="I2450" s="217" t="s">
        <v>3450</v>
      </c>
    </row>
    <row r="2451" spans="1:9" hidden="1">
      <c r="A2451" s="23">
        <v>2451</v>
      </c>
      <c r="B2451" s="84">
        <v>45777</v>
      </c>
      <c r="C2451" s="23" t="s">
        <v>875</v>
      </c>
      <c r="D2451" s="23" t="s">
        <v>236</v>
      </c>
      <c r="G2451" s="23">
        <v>0</v>
      </c>
      <c r="I2451" s="217" t="s">
        <v>3451</v>
      </c>
    </row>
    <row r="2452" spans="1:9" hidden="1">
      <c r="A2452" s="23">
        <v>2452</v>
      </c>
      <c r="B2452" s="84">
        <v>45777</v>
      </c>
      <c r="C2452" s="23" t="s">
        <v>875</v>
      </c>
      <c r="D2452" s="23" t="s">
        <v>391</v>
      </c>
      <c r="G2452" s="23">
        <v>0</v>
      </c>
      <c r="I2452" s="217" t="s">
        <v>3452</v>
      </c>
    </row>
    <row r="2453" spans="1:9" hidden="1">
      <c r="A2453" s="23">
        <v>2453</v>
      </c>
      <c r="B2453" s="84">
        <v>45777</v>
      </c>
      <c r="C2453" s="23" t="s">
        <v>1263</v>
      </c>
      <c r="D2453" s="23" t="s">
        <v>164</v>
      </c>
      <c r="G2453" s="23">
        <v>0</v>
      </c>
      <c r="I2453" s="217" t="s">
        <v>3453</v>
      </c>
    </row>
    <row r="2454" spans="1:9" hidden="1">
      <c r="A2454" s="23">
        <v>2454</v>
      </c>
      <c r="B2454" s="84">
        <v>45777</v>
      </c>
      <c r="C2454" s="23" t="s">
        <v>1144</v>
      </c>
      <c r="D2454" s="23" t="s">
        <v>220</v>
      </c>
      <c r="G2454" s="23">
        <v>0.78</v>
      </c>
      <c r="I2454" s="217" t="s">
        <v>3454</v>
      </c>
    </row>
    <row r="2455" spans="1:9" hidden="1">
      <c r="A2455" s="23">
        <v>2455</v>
      </c>
      <c r="B2455" s="84">
        <v>45777</v>
      </c>
      <c r="C2455" s="23" t="s">
        <v>1144</v>
      </c>
      <c r="D2455" s="23" t="s">
        <v>214</v>
      </c>
      <c r="G2455" s="23">
        <v>0.78</v>
      </c>
      <c r="I2455" s="217" t="s">
        <v>3455</v>
      </c>
    </row>
    <row r="2456" spans="1:9" hidden="1">
      <c r="A2456" s="23">
        <v>2456</v>
      </c>
      <c r="B2456" s="84">
        <v>45777</v>
      </c>
      <c r="C2456" s="23" t="s">
        <v>1181</v>
      </c>
      <c r="D2456" s="23" t="s">
        <v>232</v>
      </c>
      <c r="G2456" s="23">
        <v>0.8</v>
      </c>
      <c r="I2456" s="217" t="s">
        <v>3456</v>
      </c>
    </row>
    <row r="2457" spans="1:9" hidden="1">
      <c r="A2457" s="23">
        <v>2457</v>
      </c>
      <c r="B2457" s="84">
        <v>45777</v>
      </c>
      <c r="C2457" s="23" t="s">
        <v>1264</v>
      </c>
      <c r="D2457" s="23" t="s">
        <v>232</v>
      </c>
      <c r="G2457" s="23">
        <v>0</v>
      </c>
      <c r="I2457" s="217" t="s">
        <v>3456</v>
      </c>
    </row>
    <row r="2458" spans="1:9" hidden="1">
      <c r="A2458" s="23">
        <v>2458</v>
      </c>
      <c r="B2458" s="84">
        <v>45777</v>
      </c>
      <c r="C2458" s="23" t="s">
        <v>936</v>
      </c>
      <c r="D2458" s="23" t="s">
        <v>234</v>
      </c>
      <c r="G2458" s="23">
        <v>0.8</v>
      </c>
      <c r="I2458" s="217" t="s">
        <v>3457</v>
      </c>
    </row>
    <row r="2459" spans="1:9" hidden="1">
      <c r="A2459" s="23">
        <v>2459</v>
      </c>
      <c r="B2459" s="84">
        <v>45777</v>
      </c>
      <c r="C2459" s="23" t="s">
        <v>1181</v>
      </c>
      <c r="D2459" s="23" t="s">
        <v>211</v>
      </c>
      <c r="G2459" s="23">
        <v>0.78</v>
      </c>
      <c r="I2459" s="217" t="s">
        <v>3458</v>
      </c>
    </row>
    <row r="2460" spans="1:9" hidden="1">
      <c r="A2460" s="23">
        <v>2460</v>
      </c>
      <c r="B2460" s="84">
        <v>45777</v>
      </c>
      <c r="C2460" s="23" t="s">
        <v>1265</v>
      </c>
      <c r="D2460" s="23" t="s">
        <v>234</v>
      </c>
      <c r="G2460" s="23">
        <v>0</v>
      </c>
      <c r="I2460" s="217" t="s">
        <v>3459</v>
      </c>
    </row>
    <row r="2461" spans="1:9" hidden="1">
      <c r="A2461" s="23">
        <v>2461</v>
      </c>
      <c r="B2461" s="84">
        <v>45777</v>
      </c>
      <c r="C2461" s="23" t="s">
        <v>270</v>
      </c>
      <c r="D2461" s="23" t="s">
        <v>279</v>
      </c>
      <c r="G2461" s="23">
        <v>0.5</v>
      </c>
      <c r="I2461" s="217" t="s">
        <v>3460</v>
      </c>
    </row>
    <row r="2462" spans="1:9" hidden="1">
      <c r="A2462" s="23">
        <v>2462</v>
      </c>
      <c r="B2462" s="84">
        <v>45777</v>
      </c>
      <c r="C2462" s="23" t="s">
        <v>207</v>
      </c>
      <c r="D2462" s="23" t="s">
        <v>279</v>
      </c>
      <c r="G2462" s="23">
        <v>0</v>
      </c>
      <c r="I2462" s="217" t="s">
        <v>3460</v>
      </c>
    </row>
    <row r="2463" spans="1:9" hidden="1">
      <c r="A2463" s="23">
        <v>2463</v>
      </c>
      <c r="B2463" s="84">
        <v>45777</v>
      </c>
      <c r="C2463" s="23" t="s">
        <v>1267</v>
      </c>
      <c r="D2463" s="23" t="s">
        <v>279</v>
      </c>
      <c r="G2463" s="23">
        <v>1</v>
      </c>
      <c r="I2463" s="217" t="s">
        <v>3461</v>
      </c>
    </row>
    <row r="2464" spans="1:9" hidden="1">
      <c r="A2464" s="23">
        <v>2464</v>
      </c>
      <c r="B2464" s="84">
        <v>45777</v>
      </c>
      <c r="C2464" s="23" t="s">
        <v>868</v>
      </c>
      <c r="D2464" s="23" t="s">
        <v>279</v>
      </c>
      <c r="G2464" s="23">
        <v>0</v>
      </c>
      <c r="I2464" s="217" t="s">
        <v>3462</v>
      </c>
    </row>
    <row r="2465" spans="1:9" hidden="1">
      <c r="A2465" s="23">
        <v>2465</v>
      </c>
      <c r="B2465" s="84">
        <v>45777</v>
      </c>
      <c r="C2465" s="23" t="s">
        <v>482</v>
      </c>
      <c r="D2465" s="23" t="s">
        <v>236</v>
      </c>
      <c r="G2465" s="23">
        <v>0.8</v>
      </c>
      <c r="I2465" s="217" t="s">
        <v>3463</v>
      </c>
    </row>
    <row r="2466" spans="1:9" hidden="1">
      <c r="A2466" s="23">
        <v>2466</v>
      </c>
      <c r="B2466" s="84">
        <v>45777</v>
      </c>
      <c r="C2466" s="23" t="s">
        <v>619</v>
      </c>
      <c r="D2466" s="23" t="s">
        <v>391</v>
      </c>
      <c r="G2466" s="23">
        <v>0.75</v>
      </c>
      <c r="I2466" s="217" t="s">
        <v>3464</v>
      </c>
    </row>
    <row r="2467" spans="1:9" hidden="1">
      <c r="A2467" s="23">
        <v>2467</v>
      </c>
      <c r="B2467" s="84">
        <v>45777</v>
      </c>
      <c r="C2467" s="23" t="s">
        <v>622</v>
      </c>
      <c r="D2467" s="23" t="s">
        <v>164</v>
      </c>
      <c r="G2467" s="23">
        <v>0.75</v>
      </c>
      <c r="I2467" s="217" t="s">
        <v>3465</v>
      </c>
    </row>
    <row r="2468" spans="1:9" hidden="1">
      <c r="A2468" s="23">
        <v>2468</v>
      </c>
      <c r="B2468" s="84">
        <v>45777</v>
      </c>
      <c r="C2468" s="23" t="s">
        <v>329</v>
      </c>
      <c r="D2468" s="23" t="s">
        <v>232</v>
      </c>
      <c r="G2468" s="23">
        <v>0.75</v>
      </c>
      <c r="I2468" s="217" t="s">
        <v>3466</v>
      </c>
    </row>
    <row r="2469" spans="1:9" hidden="1">
      <c r="A2469" s="23">
        <v>2469</v>
      </c>
      <c r="B2469" s="84">
        <v>45777</v>
      </c>
      <c r="C2469" s="23" t="s">
        <v>1269</v>
      </c>
      <c r="D2469" s="23" t="s">
        <v>234</v>
      </c>
      <c r="G2469" s="23">
        <v>0.75</v>
      </c>
      <c r="I2469" s="217" t="s">
        <v>3467</v>
      </c>
    </row>
    <row r="2470" spans="1:9" hidden="1">
      <c r="A2470" s="23">
        <v>2470</v>
      </c>
      <c r="B2470" s="84">
        <v>45777</v>
      </c>
      <c r="C2470" s="23" t="s">
        <v>513</v>
      </c>
      <c r="D2470" s="23" t="s">
        <v>335</v>
      </c>
      <c r="G2470" s="23">
        <v>1</v>
      </c>
      <c r="I2470" s="217" t="s">
        <v>3468</v>
      </c>
    </row>
    <row r="2471" spans="1:9" hidden="1">
      <c r="A2471" s="23">
        <v>2471</v>
      </c>
      <c r="B2471" s="84">
        <v>45777</v>
      </c>
      <c r="C2471" s="23" t="s">
        <v>918</v>
      </c>
      <c r="D2471" s="23" t="s">
        <v>236</v>
      </c>
      <c r="G2471" s="23">
        <v>0</v>
      </c>
      <c r="I2471" s="217" t="s">
        <v>3469</v>
      </c>
    </row>
    <row r="2472" spans="1:9" hidden="1">
      <c r="A2472" s="23">
        <v>2472</v>
      </c>
      <c r="B2472" s="84">
        <v>45777</v>
      </c>
      <c r="C2472" s="23" t="s">
        <v>516</v>
      </c>
      <c r="D2472" s="23" t="s">
        <v>391</v>
      </c>
      <c r="G2472" s="23">
        <v>0</v>
      </c>
      <c r="I2472" s="217" t="s">
        <v>3464</v>
      </c>
    </row>
    <row r="2473" spans="1:9" hidden="1">
      <c r="A2473" s="23">
        <v>2473</v>
      </c>
      <c r="B2473" s="84">
        <v>45777</v>
      </c>
      <c r="C2473" s="23" t="s">
        <v>1043</v>
      </c>
      <c r="D2473" s="23" t="s">
        <v>164</v>
      </c>
      <c r="G2473" s="23">
        <v>0</v>
      </c>
      <c r="I2473" s="217" t="s">
        <v>3465</v>
      </c>
    </row>
    <row r="2474" spans="1:9" hidden="1">
      <c r="A2474" s="23">
        <v>2474</v>
      </c>
      <c r="B2474" s="84">
        <v>45777</v>
      </c>
      <c r="C2474" s="23" t="s">
        <v>399</v>
      </c>
      <c r="D2474" s="23" t="s">
        <v>234</v>
      </c>
      <c r="G2474" s="23">
        <v>0</v>
      </c>
      <c r="I2474" s="217" t="s">
        <v>3467</v>
      </c>
    </row>
    <row r="2475" spans="1:9" hidden="1">
      <c r="A2475" s="23">
        <v>2475</v>
      </c>
      <c r="B2475" s="84">
        <v>45777</v>
      </c>
      <c r="C2475" s="23" t="s">
        <v>1268</v>
      </c>
      <c r="D2475" s="23" t="s">
        <v>232</v>
      </c>
      <c r="G2475" s="23">
        <v>0</v>
      </c>
      <c r="I2475" s="217" t="s">
        <v>3466</v>
      </c>
    </row>
    <row r="2476" spans="1:9" hidden="1">
      <c r="A2476" s="23">
        <v>2476</v>
      </c>
      <c r="B2476" s="84">
        <v>45777</v>
      </c>
      <c r="C2476" s="23" t="s">
        <v>1024</v>
      </c>
      <c r="D2476" s="23" t="s">
        <v>335</v>
      </c>
      <c r="G2476" s="23">
        <v>0</v>
      </c>
      <c r="I2476" s="217" t="s">
        <v>3470</v>
      </c>
    </row>
    <row r="2477" spans="1:9" hidden="1">
      <c r="A2477" s="23">
        <v>2477</v>
      </c>
      <c r="B2477" s="84">
        <v>45777</v>
      </c>
      <c r="C2477" s="23" t="s">
        <v>1183</v>
      </c>
      <c r="D2477" s="23" t="s">
        <v>279</v>
      </c>
      <c r="G2477" s="23">
        <v>1</v>
      </c>
      <c r="I2477" s="217" t="s">
        <v>3471</v>
      </c>
    </row>
    <row r="2478" spans="1:9" hidden="1">
      <c r="A2478" s="23">
        <v>2478</v>
      </c>
      <c r="B2478" s="84">
        <v>45777</v>
      </c>
      <c r="C2478" s="23" t="s">
        <v>1270</v>
      </c>
      <c r="D2478" s="23" t="s">
        <v>335</v>
      </c>
      <c r="G2478" s="23">
        <v>1</v>
      </c>
      <c r="I2478" s="217" t="s">
        <v>3472</v>
      </c>
    </row>
    <row r="2479" spans="1:9" hidden="1">
      <c r="A2479" s="23">
        <v>2479</v>
      </c>
      <c r="B2479" s="84">
        <v>45777</v>
      </c>
      <c r="C2479" s="23" t="s">
        <v>222</v>
      </c>
      <c r="D2479" s="23" t="s">
        <v>279</v>
      </c>
      <c r="G2479" s="23">
        <v>0</v>
      </c>
      <c r="I2479" s="217" t="s">
        <v>3473</v>
      </c>
    </row>
    <row r="2480" spans="1:9" hidden="1">
      <c r="A2480" s="23">
        <v>2480</v>
      </c>
      <c r="B2480" s="84">
        <v>45777</v>
      </c>
      <c r="C2480" s="23" t="s">
        <v>839</v>
      </c>
      <c r="D2480" s="23" t="s">
        <v>279</v>
      </c>
      <c r="G2480" s="23">
        <v>1</v>
      </c>
      <c r="I2480" s="217" t="s">
        <v>1294</v>
      </c>
    </row>
    <row r="2481" spans="1:9" hidden="1">
      <c r="A2481" s="23">
        <v>2481</v>
      </c>
      <c r="B2481" s="84">
        <v>45777</v>
      </c>
      <c r="C2481" s="23" t="s">
        <v>669</v>
      </c>
      <c r="D2481" s="23" t="s">
        <v>279</v>
      </c>
      <c r="G2481" s="23">
        <v>0</v>
      </c>
      <c r="I2481" s="217" t="s">
        <v>3473</v>
      </c>
    </row>
    <row r="2482" spans="1:9" hidden="1">
      <c r="A2482" s="23">
        <v>2482</v>
      </c>
      <c r="B2482" s="84">
        <v>45777</v>
      </c>
      <c r="C2482" s="23" t="s">
        <v>639</v>
      </c>
      <c r="D2482" s="23" t="s">
        <v>335</v>
      </c>
      <c r="G2482" s="23">
        <v>0</v>
      </c>
      <c r="I2482" s="217" t="s">
        <v>3474</v>
      </c>
    </row>
    <row r="2483" spans="1:9" hidden="1">
      <c r="A2483" s="23">
        <v>2483</v>
      </c>
      <c r="B2483" s="84">
        <v>45777</v>
      </c>
      <c r="C2483" s="23" t="s">
        <v>212</v>
      </c>
      <c r="D2483" s="23" t="s">
        <v>217</v>
      </c>
      <c r="G2483" s="23">
        <v>0.86</v>
      </c>
      <c r="I2483" s="217" t="s">
        <v>3475</v>
      </c>
    </row>
    <row r="2484" spans="1:9" hidden="1">
      <c r="A2484" s="23">
        <v>2484</v>
      </c>
      <c r="B2484" s="84">
        <v>45777</v>
      </c>
      <c r="C2484" s="23" t="s">
        <v>222</v>
      </c>
      <c r="D2484" s="23" t="s">
        <v>225</v>
      </c>
      <c r="G2484" s="23">
        <v>0</v>
      </c>
      <c r="I2484" s="217" t="s">
        <v>3476</v>
      </c>
    </row>
    <row r="2485" spans="1:9" hidden="1">
      <c r="A2485" s="23">
        <v>2485</v>
      </c>
      <c r="B2485" s="84">
        <v>45777</v>
      </c>
      <c r="C2485" s="23" t="s">
        <v>1259</v>
      </c>
      <c r="D2485" s="23" t="s">
        <v>183</v>
      </c>
      <c r="G2485" s="23">
        <v>0</v>
      </c>
      <c r="I2485" s="217" t="s">
        <v>3477</v>
      </c>
    </row>
    <row r="2486" spans="1:9">
      <c r="A2486" s="23">
        <v>2486</v>
      </c>
      <c r="B2486" s="84">
        <v>45777</v>
      </c>
      <c r="C2486" s="23" t="s">
        <v>710</v>
      </c>
      <c r="D2486" s="23" t="s">
        <v>177</v>
      </c>
      <c r="G2486" s="23">
        <v>0</v>
      </c>
      <c r="I2486" s="217" t="s">
        <v>3478</v>
      </c>
    </row>
    <row r="2487" spans="1:9" hidden="1">
      <c r="A2487" s="23">
        <v>2487</v>
      </c>
      <c r="B2487" s="84">
        <v>45777</v>
      </c>
      <c r="C2487" s="23" t="s">
        <v>710</v>
      </c>
      <c r="D2487" s="23" t="s">
        <v>164</v>
      </c>
      <c r="G2487" s="23">
        <v>0.75</v>
      </c>
      <c r="I2487" s="217" t="s">
        <v>3479</v>
      </c>
    </row>
    <row r="2488" spans="1:9" hidden="1">
      <c r="A2488" s="23">
        <v>2488</v>
      </c>
      <c r="B2488" s="84">
        <v>45777</v>
      </c>
      <c r="C2488" s="23" t="s">
        <v>710</v>
      </c>
      <c r="D2488" s="23" t="s">
        <v>391</v>
      </c>
      <c r="G2488" s="23">
        <v>0.75</v>
      </c>
      <c r="I2488" s="217" t="s">
        <v>3480</v>
      </c>
    </row>
    <row r="2489" spans="1:9" hidden="1">
      <c r="A2489" s="23">
        <v>2489</v>
      </c>
      <c r="B2489" s="84">
        <v>45777</v>
      </c>
      <c r="C2489" s="23" t="s">
        <v>418</v>
      </c>
      <c r="D2489" s="23" t="s">
        <v>164</v>
      </c>
      <c r="G2489" s="23">
        <v>0</v>
      </c>
      <c r="I2489" s="217" t="s">
        <v>3481</v>
      </c>
    </row>
    <row r="2490" spans="1:9" hidden="1">
      <c r="A2490" s="23">
        <v>2490</v>
      </c>
      <c r="B2490" s="84">
        <v>45777</v>
      </c>
      <c r="C2490" s="23" t="s">
        <v>1113</v>
      </c>
      <c r="D2490" s="23" t="s">
        <v>391</v>
      </c>
      <c r="G2490" s="23">
        <v>0</v>
      </c>
      <c r="I2490" s="217" t="s">
        <v>3482</v>
      </c>
    </row>
    <row r="2491" spans="1:9" hidden="1">
      <c r="A2491" s="23">
        <v>2491</v>
      </c>
      <c r="B2491" s="84">
        <v>45777</v>
      </c>
      <c r="C2491" s="23" t="s">
        <v>375</v>
      </c>
      <c r="D2491" s="23" t="s">
        <v>186</v>
      </c>
      <c r="G2491" s="23">
        <v>0</v>
      </c>
      <c r="I2491" s="217" t="s">
        <v>3483</v>
      </c>
    </row>
    <row r="2492" spans="1:9" hidden="1">
      <c r="A2492" s="23">
        <v>2492</v>
      </c>
      <c r="B2492" s="84">
        <v>45777</v>
      </c>
      <c r="C2492" s="23" t="s">
        <v>1262</v>
      </c>
      <c r="D2492" s="23" t="s">
        <v>242</v>
      </c>
      <c r="G2492" s="23">
        <v>0</v>
      </c>
      <c r="I2492" s="217" t="s">
        <v>3484</v>
      </c>
    </row>
    <row r="2493" spans="1:9" hidden="1">
      <c r="A2493" s="23">
        <v>2493</v>
      </c>
      <c r="B2493" s="84">
        <v>45777</v>
      </c>
      <c r="C2493" s="23" t="s">
        <v>620</v>
      </c>
      <c r="D2493" s="23" t="s">
        <v>220</v>
      </c>
      <c r="G2493" s="23">
        <v>0</v>
      </c>
      <c r="I2493" s="217" t="s">
        <v>3485</v>
      </c>
    </row>
    <row r="2494" spans="1:9" hidden="1">
      <c r="A2494" s="23">
        <v>2494</v>
      </c>
      <c r="B2494" s="84">
        <v>45777</v>
      </c>
      <c r="C2494" s="23" t="s">
        <v>422</v>
      </c>
      <c r="D2494" s="23" t="s">
        <v>220</v>
      </c>
      <c r="G2494" s="23">
        <v>0.51333333333333331</v>
      </c>
      <c r="I2494" s="217" t="s">
        <v>3486</v>
      </c>
    </row>
    <row r="2495" spans="1:9" hidden="1">
      <c r="A2495" s="23">
        <v>2495</v>
      </c>
      <c r="B2495" s="84">
        <v>45777</v>
      </c>
      <c r="C2495" s="23" t="s">
        <v>1266</v>
      </c>
      <c r="D2495" s="23" t="s">
        <v>211</v>
      </c>
      <c r="G2495" s="23">
        <v>0</v>
      </c>
      <c r="I2495" s="217" t="s">
        <v>3487</v>
      </c>
    </row>
  </sheetData>
  <autoFilter ref="A1:I2495" xr:uid="{29A9EA11-4B46-49FA-A50C-87FC0CED833C}">
    <filterColumn colId="3">
      <filters>
        <filter val="e-Delta P_Unit 1"/>
        <filter val="e-Delta P_Unit 2"/>
        <filter val="e-Delta P_Unit 3"/>
        <filter val="e-Delta P_Unit 4"/>
      </filters>
    </filterColumn>
  </autoFilter>
  <phoneticPr fontId="19" type="noConversion"/>
  <hyperlinks>
    <hyperlink ref="I52" location="'31'!$AC$13" display="$AC$13 31" xr:uid="{7C7EC344-6141-4CA3-9662-F7171DCB315F}"/>
    <hyperlink ref="I50" location="'31'!$M$14" display="$M$14 31" xr:uid="{5DEA852E-E857-415F-B92F-E4BD7894D31A}"/>
    <hyperlink ref="I49" location="'30'!$K$15" display="$K$15 30" xr:uid="{38A5DE6F-AD97-4416-A176-8786FFDC49A0}"/>
    <hyperlink ref="I51" location="'31'!$AC$16" display="$AC$16 31" xr:uid="{C3DC13EE-35FA-4056-84F9-80149101436B}"/>
    <hyperlink ref="I53" location="'31'!$W$19" display="$W$19 31" xr:uid="{CD68C268-0B97-4DEF-88DC-687337A7721F}"/>
    <hyperlink ref="I54" location="'31'!$AC$21" display="$AC$21 31" xr:uid="{A8817269-083D-44B3-A52C-B76CEDE112AA}"/>
    <hyperlink ref="I55" location="'31'!$O$24" display="$O$24 31" xr:uid="{64C3F51C-9170-4B86-A04C-C481876538E9}"/>
    <hyperlink ref="I57" location="'31'!$W$29" display="$W$29 31" xr:uid="{1BE55335-4411-4EE8-90BB-FA7AABF3012E}"/>
    <hyperlink ref="I56" location="'25'!$Y$30" display="$Y$30 25" xr:uid="{BAFDDD55-2C8F-4117-9BF2-4D7276626B9D}"/>
    <hyperlink ref="I58" location="'22'!$M$27" display="$M$27 22" xr:uid="{93574B0E-D839-4E52-A618-80B2B9693A50}"/>
    <hyperlink ref="I59" r:id="rId1" location="'29'!$I$28" xr:uid="{4EEF79F2-C7DE-4DE2-8908-249F70B7212F}"/>
    <hyperlink ref="I60" location="'31'!$Z$39" display="$Z$39 31" xr:uid="{30AD4E2F-BE0F-4EEE-A84A-09251AC325D2}"/>
    <hyperlink ref="I61" location="'31'!$Y$41" display="$Y$41 31" xr:uid="{36F00D20-C713-49E5-A8EB-509B3F74E736}"/>
    <hyperlink ref="I62" location="'31'!$Y$42" display="$Y$42 31" xr:uid="{51933DC0-3AE4-4AB6-AC3D-2B09936BE507}"/>
    <hyperlink ref="I63" location="'31'!$Z$44" display="$Z$44 31" xr:uid="{02521BBF-C386-4F7B-B46F-8918BE2430CA}"/>
    <hyperlink ref="I64" location="'12'!$M$32" display="$M$32 12" xr:uid="{D99DE2D9-AF0F-4EF7-81D2-6D2376B5A547}"/>
    <hyperlink ref="I65" location="'31'!$Y$63" display="$Y$63 31" xr:uid="{FDB2B2D7-BF7C-4B95-8DFD-74ADA7E43939}"/>
    <hyperlink ref="I66" location="'31'!$S$64" display="$S$64 31" xr:uid="{303F4FAC-2769-4949-A4CF-2ED6F4D28A92}"/>
    <hyperlink ref="I67" location="'31'!$M$79" display="$M$79 31" xr:uid="{6885DA21-9838-4C63-AB27-B0289034D277}"/>
    <hyperlink ref="I70" location="'1'!$F$24" display="$F$24 1" xr:uid="{47DDE286-CA63-421E-993D-468D5687F7E6}"/>
    <hyperlink ref="I68" location="'31'!$Y$62" display="$Y$62 31" xr:uid="{AB5EC13A-7684-41F7-854C-9236ED475F72}"/>
    <hyperlink ref="I71" location="'1'!$G$62" display="$G$62 1" xr:uid="{B1A6DF15-3A18-4485-8CFB-0124BF9D316E}"/>
    <hyperlink ref="I72" location="'1'!$G$64" display="$G$64 1" xr:uid="{535AE876-DDD0-4202-8811-BCF8AEA70951}"/>
    <hyperlink ref="I69" location="'31'!$M$78" display="$M$78 31" xr:uid="{D5EA863F-155F-453D-86E0-92DF29793C3D}"/>
    <hyperlink ref="I73" location="'1'!$G$39" display="$G$39 1" xr:uid="{4309D242-8B58-4D22-BE83-0DC51BB74D2B}"/>
    <hyperlink ref="I74" r:id="rId2" location="'1'!$G$39" xr:uid="{D1804831-EB01-4DDD-8B9A-81F8383EB951}"/>
    <hyperlink ref="I75" location="'1'!$G$49" display="$G$49 1" xr:uid="{2AFCB982-83C3-49A6-94D5-58C49BBFC4C8}"/>
    <hyperlink ref="I76" location="'1'!$H$14" display="$H$14 1" xr:uid="{9620A943-CDAF-46BA-93E8-EC97E9EF86CC}"/>
    <hyperlink ref="I77" location="'1'!$H$46" display="$H$46 1" xr:uid="{218A418D-E279-4B08-9E12-A89F991BED35}"/>
    <hyperlink ref="I78" location="'1'!$H$47" display="$H$47 1" xr:uid="{124E3C9D-1BF6-4D62-894B-A7213137B15A}"/>
    <hyperlink ref="I79" location="'1'!$H$50" display="$H$50 1" xr:uid="{FDC99ECE-2AD3-4060-9D8F-6DE8CEFB44BF}"/>
    <hyperlink ref="I80" location="'1'!$H$41" display="$H$41 1" xr:uid="{0F3383BC-2272-4895-A3A6-76EBA1EA1CED}"/>
    <hyperlink ref="I81" location="'1'!$H$42" display="$H$42 1" xr:uid="{8A142028-61CA-4C03-A297-5DEDE68DC4F1}"/>
    <hyperlink ref="I82" location="'1'!$I$49" display="$I$49 1" xr:uid="{14F7E0B1-903F-4E94-A09C-A18C106D8543}"/>
    <hyperlink ref="I83" location="'1'!$I$46" display="$I$46 1" xr:uid="{15AD433C-7442-41FC-9C60-F54FE26606D7}"/>
    <hyperlink ref="I84" location="'1'!$J$47" display="$J$47 1" xr:uid="{78BD9C20-762D-4760-928E-B05297E4864D}"/>
    <hyperlink ref="I85" location="'1'!$K$56" display="$K$56 1" xr:uid="{7CB9E56F-9B83-41E5-9FE0-F2E71D851BCB}"/>
    <hyperlink ref="I86" location="'1'!$L$48" display="$L$48 1" xr:uid="{6F21B163-9556-40EA-842A-EC8A939CCEB5}"/>
    <hyperlink ref="I87" location="'1'!$L$21" display="$L$21 1" xr:uid="{21F94EBA-7BDA-431A-B8BC-83702AD4360F}"/>
    <hyperlink ref="I88" location="'1'!$M$56" display="$M$56 1" xr:uid="{329D241E-DF0C-4577-9FB6-8D51628AC24B}"/>
    <hyperlink ref="I89" location="'1'!$M$64" display="$M$64 1" xr:uid="{E5CCAC05-A11A-40EF-B225-7C178D60EF41}"/>
    <hyperlink ref="I90" location="'1'!$M$63" display="$M$63 1" xr:uid="{4DCCF641-E0B0-4EA0-A044-7F07C4B2DBD7}"/>
    <hyperlink ref="I91" location="'1'!$M$48" display="$M$48 1" xr:uid="{BC5983BF-D31E-4ED5-8A3A-1134EB0A5CC9}"/>
    <hyperlink ref="I92" location="'1'!$M$19" display="$M$19 1" xr:uid="{69A258A0-E38A-4636-88C8-0E581CB3CBFB}"/>
    <hyperlink ref="I93" location="'1'!$L$57" display="$L$57 1" xr:uid="{B1DB3558-3AE3-4802-8F32-3814BE5F5BDD}"/>
    <hyperlink ref="I94" location="'1'!$L$50" display="$L$50 1" xr:uid="{85A15AD7-2AB7-4FED-B604-86A27FA50527}"/>
    <hyperlink ref="I95" location="'1'!$M$57" display="$M$57 1" xr:uid="{1DB27DD5-71CD-49EB-B130-940089A2330F}"/>
    <hyperlink ref="I96" location="'1'!$N$13" display="$N$13 1" xr:uid="{06109456-C4CC-4450-A8A5-D3ADF7ECF754}"/>
    <hyperlink ref="I97" location="'1'!$O$21" display="$O$21 1" xr:uid="{7993786B-EBE1-431B-B39B-A78487B21034}"/>
    <hyperlink ref="I98" location="'1'!$O$48" display="$O$48 1" xr:uid="{FF37426E-3334-4797-96A5-4DFBA0F89272}"/>
    <hyperlink ref="I99" location="'1'!$O$56" display="$O$56 1" xr:uid="{4C049770-9138-4EC9-A524-B79ABDDF5BFB}"/>
    <hyperlink ref="I100" location="'1'!$O$47" display="$O$47 1" xr:uid="{EF9E996B-4DF5-4C3B-8F03-F74FD8A4FE20}"/>
    <hyperlink ref="I101" location="'1'!$O$50" display="$O$50 1" xr:uid="{D258A3C0-552C-4F82-917A-08BFB623658B}"/>
    <hyperlink ref="I102" location="'1'!$O$46" display="$O$46 1" xr:uid="{9DFC6A7E-AEFE-4032-A17E-6A66A15B4539}"/>
    <hyperlink ref="I103" location="'1'!$O$24" display="$O$24 1" xr:uid="{3EBC0074-510C-4B3F-87CB-DC20C5204055}"/>
    <hyperlink ref="I48" location="'28'!$P$77" display="$P$77 28" xr:uid="{177FFB03-B007-443D-90D8-5CAD33B77115}"/>
    <hyperlink ref="I47" r:id="rId3" location="'28'!$AC$27" xr:uid="{38F2A30F-CCCC-45A1-B944-E131F9144DE5}"/>
    <hyperlink ref="I46" location="'28'!$AB$19" display="$AB$19 28" xr:uid="{1458A937-D18C-4EB8-9E08-C65789587FE4}"/>
    <hyperlink ref="I45" location="'28'!$Z$52" display="$Z$52 28" xr:uid="{9EC26906-19AE-41AD-ABE0-B682292AE3E0}"/>
    <hyperlink ref="I44" location="'28'!$Z$53" display="$Z$53 28" xr:uid="{568D294A-7C31-44F3-ABF0-07BE83DCD97E}"/>
    <hyperlink ref="I43" location="'28'!$Z$54" display="$Z$54 28" xr:uid="{726D3DA9-70BA-4443-8C78-CD04C646925A}"/>
    <hyperlink ref="I42" location="'28'!$Z$47" display="$Z$47 28" xr:uid="{4D10E292-CB95-4D4A-8881-83EC1F1EB657}"/>
    <hyperlink ref="I41" location="'28'!$Y$62" display="$Y$62 28" xr:uid="{E6D629AF-E21E-4E78-8CE2-B533B2D5E7F6}"/>
    <hyperlink ref="I40" location="'28'!$Y$61" display="$Y$61 28" xr:uid="{96B7A036-CD0F-4E1D-B6B8-173ED514CCD9}"/>
    <hyperlink ref="I39" location="'28'!$W$55" display="$W$55 28" xr:uid="{04C26504-C7C4-41F7-9ADB-67434D875469}"/>
    <hyperlink ref="I38" location="'28'!$W$49" display="$W$49 28" xr:uid="{FC6ACACE-B849-4592-9FEE-881EA8DC3A61}"/>
    <hyperlink ref="I37" location="'28'!$W$46" display="$W$46 28" xr:uid="{E7285D1C-D860-44B1-903F-91B04DD25C9E}"/>
    <hyperlink ref="I36" location="'28'!$V$45" display="$V$45 28" xr:uid="{A11C33DB-68E8-4E00-85EA-7C82F4C19ED7}"/>
    <hyperlink ref="I35" location="'28'!$S$48" display="$S$48 28" xr:uid="{0EC559E2-508E-4292-A0F3-14A4D98A06AD}"/>
    <hyperlink ref="I34" location="'28'!$S$56" display="$S$56 28" xr:uid="{0520147B-4D2A-4C18-A88B-7361D2B447AB}"/>
    <hyperlink ref="I33" location="'28'!$S$63" display="$S$63 28" xr:uid="{13D9E46B-5EFA-42CD-BA53-F74B66325CE9}"/>
    <hyperlink ref="I32" location="'28'!$Q$44" display="$Q$44 28" xr:uid="{BA6028CE-8A92-41D6-9F92-55E9BB15B385}"/>
    <hyperlink ref="I31" location="'28'!$P$57" display="$P$57 28" xr:uid="{026FCAAF-E6E3-40A4-9B7C-DFB2FB1121DF}"/>
    <hyperlink ref="I30" location="'28'!$P$58" display="$P$58 28" xr:uid="{DB51BACC-BE16-4A8A-9E2D-C3B2F38BAE59}"/>
    <hyperlink ref="I29" location="'28'!$P$24" display="$P$24 28" xr:uid="{B4C5B955-7A60-4482-BC5A-A644A01BD73A}"/>
    <hyperlink ref="I28" location="'28'!$O$15" display="$O$15 28" xr:uid="{B8C935A8-4E14-40DC-AAE7-8B98ABBABACE}"/>
    <hyperlink ref="I27" location="'28'!$L$21" display="$L$21 28" xr:uid="{66FBB223-DF7B-4325-8118-52A16FC73804}"/>
    <hyperlink ref="I26" location="'28'!$L$16" display="$L$16 28" xr:uid="{8BF3F6E3-CBDF-4EB2-982E-4F2F10A9F215}"/>
    <hyperlink ref="I24" location="'27'!$V$41" display="$V$41 27" xr:uid="{71CA4AD1-E6E5-41A7-A498-DA9CF72734A4}"/>
    <hyperlink ref="I23" location="'27'!$V$43" display="$V$43 27" xr:uid="{75FE2A93-E574-4E7F-8435-E27C0816563E}"/>
    <hyperlink ref="I22" location="'27'!$V$40" display="$V$40 27" xr:uid="{1AD4F95B-28E2-4E5D-ACD1-2D741ED80997}"/>
    <hyperlink ref="I21" location="'27'!$V$71" display="$V$71 27" xr:uid="{BA7B7D6C-D37C-4D77-870E-0881E0BB6070}"/>
    <hyperlink ref="I20" location="'27'!$V$70" display="$V$70 27" xr:uid="{0B8DEB24-90FC-44D4-91AE-1EF2588407EE}"/>
    <hyperlink ref="I19" location="'27'!$Q$74" display="$Q$74 27" xr:uid="{68B4CE29-431B-44A1-A80C-7A7587E17C32}"/>
    <hyperlink ref="I18" location="'27'!$Q$69" display="$Q$69 27" xr:uid="{8A9E0957-2AFD-4A91-BA4D-97DCAC53B6D2}"/>
    <hyperlink ref="I17" location="'27'!$Q$68" display="$Q$68 27" xr:uid="{22BEB2EB-ACDB-4D54-9D1D-C4B97321A146}"/>
    <hyperlink ref="I16" location="'27'!$Q$67" display="$Q$67 27" xr:uid="{60B0FD5F-D1F2-446C-92CA-C8B6C8B48B9A}"/>
    <hyperlink ref="I15" r:id="rId4" location="'26'!$Y$78" xr:uid="{4C87D150-0E55-4AD0-A492-62C36E9F4660}"/>
    <hyperlink ref="I14" location="'25'!$P$13" display="$P$13 25" xr:uid="{BFE791D8-14DC-4CBD-8F6A-452DBC2A86FD}"/>
    <hyperlink ref="I13" location="'25'!$L$28" display="$L$28 25" xr:uid="{0306A99B-4A09-4026-B91E-1CA52738F930}"/>
    <hyperlink ref="I12" location="'24'!$M$66" display="$M$66 24" xr:uid="{28E04EF9-DA05-4EDB-88F4-910139EAA102}"/>
    <hyperlink ref="I11" location="'20'!$V$32" display="$V$32 20" xr:uid="{5A383D9F-550D-4F00-A8A5-D5AE930F9B45}"/>
    <hyperlink ref="I10" location="'20'!$U$39" display="$U$39 20" xr:uid="{138ACD5D-40CE-4FED-BF35-22A402F61F60}"/>
    <hyperlink ref="I9" location="'18'!$AC$29" display="$AC$29 18" xr:uid="{3CE9D5A2-2030-4AF8-8BD8-423E417939C0}"/>
    <hyperlink ref="I8" location="'13'!$M$38" display="$M$38 13" xr:uid="{2349EEEB-F781-4FA7-A695-FE7D1B52F692}"/>
    <hyperlink ref="I7" location="'5'!$T$36" display="$T$36 5" xr:uid="{1BCCF50B-7F9F-429C-AC31-1D3A01BBB74A}"/>
    <hyperlink ref="I6" location="'5'!$T$35" display="$T$35 5" xr:uid="{2BB21F13-3EF2-433A-89F5-B56A23100812}"/>
    <hyperlink ref="I5" location="'5'!$M$41" display="$M$41 5" xr:uid="{8C29E265-3CEC-4D77-86FD-DAC6F2F02C11}"/>
    <hyperlink ref="I4" location="'5'!$M$50" display="$M$50 5" xr:uid="{69579449-7270-481D-93EF-E7FB614E1FD3}"/>
    <hyperlink ref="I3" location="'5'!$M$49" display="$M$49 5" xr:uid="{ABBFA2E6-6792-4936-A755-92A3C4F6887B}"/>
    <hyperlink ref="I104" location="'1'!$P$21" display="$P$21 1" xr:uid="{F9F45FDC-B169-4140-BD3E-414EE6F937DD}"/>
    <hyperlink ref="I105" location="'1'!$P$19" display="$P$19 1" xr:uid="{8E4A2B46-5B4E-4021-8432-4D22492F4025}"/>
    <hyperlink ref="I106" location="'1'!$P$46" display="$P$46 1" xr:uid="{F9984BAF-B24F-4091-A270-4699C678412D}"/>
    <hyperlink ref="I107" location="'1'!$P$48" display="$P$48 1" xr:uid="{68DEC6BE-4004-4781-AC93-06B895A67317}"/>
    <hyperlink ref="I108" location="'1'!$P$47" display="$P$47 1" xr:uid="{E1A7F4FC-6EBE-4C4F-BB6A-A191F415B37B}"/>
    <hyperlink ref="I109" location="'1'!$P$50" display="$P$50 1" xr:uid="{F002D76B-A03B-47D9-8AEF-34F3B4377D00}"/>
    <hyperlink ref="I110" location="'1'!$P$56" display="$P$56 1" xr:uid="{7DC17C25-416B-4EA8-9A08-74D509DFA1FC}"/>
    <hyperlink ref="I111" location="'1'!$Q$46" display="$Q$46 1" xr:uid="{02A26FB2-AAEE-4260-A272-3F69F83B4A4B}"/>
    <hyperlink ref="I112" location="'1'!$Q$57" display="$Q$57 1" xr:uid="{CF16E414-782A-4443-8652-13FBCA936320}"/>
    <hyperlink ref="I113" location="'1'!$Q$47" display="$Q$47 1" xr:uid="{5ABC1616-CA43-40AC-B374-BB66A46955A3}"/>
    <hyperlink ref="I115" location="'1'!$R$50" display="$R$50 1" xr:uid="{6B5DE957-A763-47E5-B8D9-9588452D403E}"/>
    <hyperlink ref="I116" location="'1'!$R$46" display="$R$46 1" xr:uid="{1C9BED1B-57C6-4880-A306-A5511BF05444}"/>
    <hyperlink ref="I117" location="'1'!$S$47" display="$S$47 1" xr:uid="{7B8F0446-D5E7-41BE-952E-D93B67B8D579}"/>
    <hyperlink ref="I118" location="'1'!$S$50" display="$S$50 1" xr:uid="{656C33D9-B28F-4A2A-AF31-95E67749EE8F}"/>
    <hyperlink ref="I119" location="'1'!$S$63" display="$S$63 1" xr:uid="{BAFEEFA1-1001-4F90-A4A3-5EFEC4627864}"/>
    <hyperlink ref="I120" location="'1'!$S$62" display="$S$62 1" xr:uid="{F5CF52DF-A7FB-4F27-9655-E5B67FA1C28F}"/>
    <hyperlink ref="I121" location="'1'!$T$14" display="$T$14 1" xr:uid="{37684E9A-812B-48C5-9FA0-0CF2908C7EE4}"/>
    <hyperlink ref="I122" location="'1'!$Y$56" display="$Y$56 1" xr:uid="{A6EA5F54-ECB1-4279-AC12-5B4310BEB509}"/>
    <hyperlink ref="I123" location="'1'!$Z$56" display="$Z$56 1" xr:uid="{67874518-A82C-4B2F-A5CE-F5A170ADB584}"/>
    <hyperlink ref="I124" location="'1'!$Z$30" display="$Z$30 1" xr:uid="{F6DCAAF8-A714-4919-91B6-B31FFE1C4951}"/>
    <hyperlink ref="I126" r:id="rId5" location="'1'!$Z$30" xr:uid="{1C235908-882A-4E31-9C63-4141F2146A5A}"/>
    <hyperlink ref="I128" location="'1'!$H$78" display="$H$78 1" xr:uid="{686C6818-7CDB-4B4C-89C3-3FE081BDF30E}"/>
    <hyperlink ref="I129" location="'1'!$H$79" display="$H$79 1" xr:uid="{36937EFD-77D1-43A2-94F7-F745912EF41A}"/>
    <hyperlink ref="I130" location="'1'!$Y$79" display="$Y$79 1" xr:uid="{DCE665FB-C94A-41A1-8966-50FAF8C1C6EC}"/>
    <hyperlink ref="I131" location="'1'!$Y$78" display="$Y$78 1" xr:uid="{7F67621A-A0D7-4ABF-9EBA-BE65A570D3FF}"/>
    <hyperlink ref="I132" location="'1'!$Y$62" display="$Y$62 1" xr:uid="{CB874C3F-5F75-42E8-B44E-89B0094AD829}"/>
    <hyperlink ref="I133" location="'1'!$Y$64" display="$Y$64 1" xr:uid="{19979BCC-BD81-4728-A6BA-763633BC4681}"/>
    <hyperlink ref="I134" location="'1'!$Z$64" display="$Z$64 1" xr:uid="{3C3AD224-815C-4E67-A248-94509C214E6C}"/>
    <hyperlink ref="I135" location="'1'!$AA$30" display="$AA$30 1" xr:uid="{2ABCDD41-1550-48CB-8592-2887FA42D425}"/>
    <hyperlink ref="I137" location="'1'!$AA$48" display="$AA$48 1" xr:uid="{AD0AA960-1946-4A7A-B7CB-FAE2797F5DE6}"/>
    <hyperlink ref="I138" location="'1'!$AA$49" display="$AA$49 1" xr:uid="{E9AF8831-8758-4D87-9670-A0E4E94D492A}"/>
    <hyperlink ref="I139" location="'1'!$AA$57" display="$AA$57 1" xr:uid="{7793AE6D-BEE9-4FEC-9BB8-694A87A8AA40}"/>
    <hyperlink ref="I140" location="'1'!$AA$21" display="$AA$21 1" xr:uid="{1EEA56DD-03E7-4E20-97BE-34F563A8C777}"/>
    <hyperlink ref="I141" r:id="rId6" location="'1'!$AA$21" xr:uid="{A50550BA-90E8-493F-91A4-FB1E8FCBC9CB}"/>
    <hyperlink ref="I142" location="'1'!$AA$46" display="$AA$46 1" xr:uid="{43BCBF82-E299-434B-9B8D-07072720697C}"/>
    <hyperlink ref="I143" location="'1'!$AA$47" display="$AA$47 1" xr:uid="{8B4C9769-00BD-4DF0-A5F6-74B28250FD70}"/>
    <hyperlink ref="I146" location="'1'!$AB$49" display="$AB$49 1" xr:uid="{E87D3D45-2B70-47E9-85D1-BCBA624151A1}"/>
    <hyperlink ref="I147" location="'1'!$AB$46" display="$AB$46 1" xr:uid="{9D1076C2-D871-4CCC-AC88-9EB157EFBC5F}"/>
    <hyperlink ref="I148" location="'1'!$AB$47" display="$AB$47 1" xr:uid="{709B8603-6F88-40A0-BAD4-5A701423E904}"/>
    <hyperlink ref="I149" location="'1'!$AC$47" display="$AC$47 1" xr:uid="{432C2B89-C8A4-4A40-BA84-703346F85EDF}"/>
    <hyperlink ref="I150" location="'1'!$AC$48" display="$AC$48 1" xr:uid="{DFAD9C88-5425-4EB2-A418-425147944295}"/>
    <hyperlink ref="I151" location="'1'!$AC$50" display="$AC$50 1" xr:uid="{EC3A7575-78A4-42B7-8327-AA4FFFAB598E}"/>
    <hyperlink ref="I152" location="'1'!$AC$56" display="$AC$56 1" xr:uid="{8BE946FF-BAEA-49FC-9602-2412C105F3DF}"/>
    <hyperlink ref="I153" location="'1'!$AC$13" display="$AC$13 1" xr:uid="{9C5A2660-26DF-48DE-B7D8-C30007680AAF}"/>
    <hyperlink ref="I157" location="'1'!$AA$64" display="$AA$64 1" xr:uid="{598EF1EC-929B-489D-BC74-19E5A4E0D3DA}"/>
    <hyperlink ref="I158" location="'2'!$F$56" display="$F$56 2" xr:uid="{5BC0E9A7-A57A-4E88-B19A-E2447A06C312}"/>
    <hyperlink ref="I159" location="'2'!$F$24" display="$F$24 2" xr:uid="{3AC63EE9-70B3-4982-B2E8-DA7C03222847}"/>
    <hyperlink ref="I160" r:id="rId7" location="'2'!$F$56" xr:uid="{B926148B-3467-492E-9F24-A86DDB72F625}"/>
    <hyperlink ref="I161" location="'2'!$G$56" display="$G$56 2" xr:uid="{ACC15A8D-67C3-4FD6-B0DF-89DD6FFAE8C7}"/>
    <hyperlink ref="I162" location="'2'!$G$64" display="$G$64 2" xr:uid="{D56BFEC2-C633-4FAC-9CAE-7970546F2859}"/>
    <hyperlink ref="I163" location="'2'!$G$63" display="$G$63 2" xr:uid="{3000B2CC-3300-47CF-BAEC-0467AB71E9F3}"/>
    <hyperlink ref="I164" location="'2'!$G$19" display="$G$19 2" xr:uid="{4EDD4690-5387-4149-BCB0-3347628C7669}"/>
    <hyperlink ref="I165" location="'2'!$J$50" display="$J$50 2" xr:uid="{2DBA36E7-9367-48C6-9221-61CBD0FCD1DC}"/>
    <hyperlink ref="I166" location="'2'!$J$56" display="$J$56 2" xr:uid="{76613EE8-1BCA-4D82-B2F3-B9395F0964E7}"/>
    <hyperlink ref="I167" location="'2'!$J$14" display="$J$14 2" xr:uid="{3960A4B3-62C1-4441-B65C-B43EF325951F}"/>
    <hyperlink ref="I168" location="'2'!$J$24" display="$J$24 2" xr:uid="{209F847C-D123-4AB0-B82D-2792CAF05C8B}"/>
    <hyperlink ref="I171" location="'2'!$L$56" display="$L$56 2" xr:uid="{28E897B6-7B64-4C78-9D7A-191AFD2182BF}"/>
    <hyperlink ref="I172" location="'2'!$L$48" display="$L$48 2" xr:uid="{D69B5B04-1929-4DD5-BEC4-2FBBAB1AFCC0}"/>
    <hyperlink ref="I173" location="'2'!$L$13" display="$L$13 2" xr:uid="{99637562-5C40-4B11-A9C6-0344DCD29C49}"/>
    <hyperlink ref="I174" location="'2'!$L$21" display="$L$21 2" xr:uid="{D7F2AE94-44F3-4D87-B1B5-92DC5B69034A}"/>
    <hyperlink ref="I177" location="'2'!$M$78" display="$M$78 2" xr:uid="{78519915-D4DD-42E8-A174-CCF4CA46CAAD}"/>
    <hyperlink ref="I178" location="'2'!$M$79" display="$M$79 2" xr:uid="{DC790D61-EC9A-4EDC-A6B7-687886D84273}"/>
    <hyperlink ref="I179" location="'2'!$O$21" display="$O$21 2" xr:uid="{EA586DB1-B9EC-45CE-8562-97C7267F20DC}"/>
    <hyperlink ref="I180" location="'2'!$O$19" display="$O$19 2" xr:uid="{BA4ACC2B-E0BE-43DF-B562-BB985720040C}"/>
    <hyperlink ref="I181" location="'2'!$O$57" display="$O$57 2" xr:uid="{0DFB4D6A-DDEB-4457-8474-D45D83F283A9}"/>
    <hyperlink ref="I182" location="'2'!$P$49" display="$P$49 2" xr:uid="{634A2DDE-6051-46CB-B0E8-0FA4A35C2FE7}"/>
    <hyperlink ref="I183" location="'2'!$P$47" display="$P$47 2" xr:uid="{8D6F31D5-ECC8-4AB1-8EBF-868B756171CC}"/>
    <hyperlink ref="I184" location="'2'!$P$50" display="$P$50 2" xr:uid="{BB04CE16-CEB6-4FA6-80E5-52666805ECC1}"/>
    <hyperlink ref="I185" location="'2'!$P$56" display="$P$56 2" xr:uid="{6466EC8F-413A-44EE-8B44-37C2CEE51093}"/>
    <hyperlink ref="I186" location="'2'!$P$14" display="$P$14 2" xr:uid="{30C3F9D9-EC8C-45D4-A0FF-7B9256091446}"/>
    <hyperlink ref="I191" location="'2'!$P$57" display="$P$57 2" xr:uid="{46416C79-416D-45EE-8C8D-7E34894A2607}"/>
    <hyperlink ref="I192" location="'2'!$Q$48" display="$Q$48 2" xr:uid="{F5BDC692-128F-4C08-B6F7-93BA433CF722}"/>
    <hyperlink ref="I193" location="'2'!$Q$57" display="$Q$57 2" xr:uid="{41C37243-D87A-4FC4-B8AF-4BC89CF1D656}"/>
    <hyperlink ref="I194" location="'2'!$R$48" display="$R$48 2" xr:uid="{8A62EF7F-4ABE-49C7-B5B7-397D689FE283}"/>
    <hyperlink ref="I195" location="'2'!$S$49" display="$S$49 2" xr:uid="{292D7951-9EF5-4668-B077-F2B22D18E256}"/>
    <hyperlink ref="I196" location="'2'!$M$63" display="$M$63 2" xr:uid="{A1FBFE12-3910-4444-8927-DD3AB0454FFE}"/>
    <hyperlink ref="I197" location="'2'!$M$62" display="$M$62 2" xr:uid="{E8727F16-69A7-425C-9C46-7A1C9AFFD1B9}"/>
    <hyperlink ref="I198" location="'2'!$S$62" display="$S$62 2" xr:uid="{9E59BCBF-3494-42C1-A01D-A5C5240EC2B2}"/>
    <hyperlink ref="I199" location="'2'!$S$64" display="$S$64 2" xr:uid="{C226856E-BCEE-492A-B52C-3B6FE51CA412}"/>
    <hyperlink ref="I200" location="'2'!$S$47" display="$S$47 2" xr:uid="{436E926D-D9AE-4FDE-998A-B62F0E72F23F}"/>
    <hyperlink ref="I201" location="'2'!$S$50" display="$S$50 2" xr:uid="{A655A4E4-A719-4451-AFB9-802CAFE629D6}"/>
    <hyperlink ref="I202" location="'2'!$T$29" display="$T$29 2" xr:uid="{A1BCBD94-7DFB-494E-A769-7346CC62E596}"/>
    <hyperlink ref="I203" location="'2'!$T$49" display="$T$49 2" xr:uid="{DCD6EBEE-72FF-4279-BE40-B177B9666664}"/>
    <hyperlink ref="I204" location="'2'!$T$57" display="$T$57 2" xr:uid="{D8FE5B82-F20E-4F8D-ACDA-E95D49968E9A}"/>
    <hyperlink ref="I205" location="'2'!$T$47" display="$T$47 2" xr:uid="{15FB0A59-087E-416A-BCB5-E9364BC12264}"/>
    <hyperlink ref="I206" location="'2'!$T$50" display="$T$50 2" xr:uid="{1C46F395-55D5-44F6-80FF-186FF5619957}"/>
    <hyperlink ref="I207" location="'2'!$X$30" display="$X$30 2" xr:uid="{466E3573-D547-48D5-9C82-CD68B28AF0D3}"/>
    <hyperlink ref="I209" r:id="rId8" location="'2'!$X$30" xr:uid="{BC0E0690-B227-4E01-85DE-666E1912C4AF}"/>
    <hyperlink ref="I210" location="'2'!$Y$64" display="$Y$64 2" xr:uid="{D7F40568-F1CB-42D8-B8F3-95F4F9DD281A}"/>
    <hyperlink ref="I211" location="'2'!$Y$63" display="$Y$63 2" xr:uid="{736091EC-2D3C-42BA-9D26-AD47FC1F77F7}"/>
    <hyperlink ref="I212" location="'2'!$Y$79" display="$Y$79 2" xr:uid="{B15ACABE-3F79-43E4-B4B3-4285FEB51D4C}"/>
    <hyperlink ref="I213" location="'2'!$Y$78" display="$Y$78 2" xr:uid="{DF814853-529B-4F3A-96CB-8A7644E3550D}"/>
    <hyperlink ref="I214" location="'2'!$Y$30" display="$Y$30 2" xr:uid="{88E14670-2BD6-4061-ACA1-9A878E994E8A}"/>
    <hyperlink ref="I215" r:id="rId9" location="'2'!$Y$63" xr:uid="{3C77361D-76F9-4A59-8955-7D9F2FA309E7}"/>
    <hyperlink ref="I216" location="'2'!$Z$79" display="$Z$79 2" xr:uid="{62692B67-9C95-438A-AB20-6953DE0B9A44}"/>
    <hyperlink ref="I217" location="'2'!$AA$63" display="$AA$63 2" xr:uid="{AE482F1F-6632-48F1-BC90-86C6C01002DE}"/>
    <hyperlink ref="I218" location="'2'!$AA$79" display="$AA$79 2" xr:uid="{6574DA3D-DE48-4F76-B1B2-7F2AB58B2E35}"/>
    <hyperlink ref="I219" location="'2'!$AA$19" display="$AA$19 2" xr:uid="{5BB6572B-EF39-4682-92CC-79A18B10924D}"/>
    <hyperlink ref="I220" location="'2'!$AB$29" display="$AB$29 2" xr:uid="{8893F5A4-25CD-481D-9ACD-1B8F6469A60D}"/>
    <hyperlink ref="I221" location="'2'!$AB$13" display="$AB$13 2" xr:uid="{B92DF9FF-8E57-4DFF-9E35-D5F7F675187F}"/>
    <hyperlink ref="I222" location="'2'!$AB$48" display="$AB$48 2" xr:uid="{98FFBA97-83EF-47FB-BEF8-6F6AD0202968}"/>
    <hyperlink ref="I223" location="'2'!$AB$49" display="$AB$49 2" xr:uid="{ABB39D98-6FFA-4820-9BBC-4F956CD7A8D3}"/>
    <hyperlink ref="I224" location="'2'!$AB$56" display="$AB$56 2" xr:uid="{D9F522F4-200A-4CA3-AF6A-B7846693D897}"/>
    <hyperlink ref="I225" location="'2'!$AB$57" display="$AB$57 2" xr:uid="{47A93C69-7B8F-457C-81AD-428264B1B778}"/>
    <hyperlink ref="I226" location="'2'!$AC$56" display="$AC$56 2" xr:uid="{065D9F12-F621-4B9D-B31F-A556912F70B8}"/>
    <hyperlink ref="I227" location="'2'!$AC$48" display="$AC$48 2" xr:uid="{1820C393-942D-4A87-9E6C-2137801C5100}"/>
    <hyperlink ref="I228" location="'2'!$AC$57" display="$AC$57 2" xr:uid="{AF251152-A885-4A77-8C94-C9D268C715A3}"/>
    <hyperlink ref="I229" location="'2'!$AC$49" display="$AC$49 2" xr:uid="{DF366D26-580D-4B4F-A09B-ECF99ACB259D}"/>
    <hyperlink ref="I230" location="'3'!$G$24" display="$G$24 3" xr:uid="{CF2F11EF-E0AD-4558-8EDD-4AD01E4D46A5}"/>
    <hyperlink ref="I231" location="'3'!$G$63" display="$G$63 3" xr:uid="{52F875D2-FE67-44B6-947A-6E3DB5AA965B}"/>
    <hyperlink ref="I232" location="'3'!$G$62" display="$G$62 3" xr:uid="{F25F01DD-F96B-479B-B2BC-C76EEEF2AA27}"/>
    <hyperlink ref="I233" location="'3'!$H$21" display="$H$21 3" xr:uid="{5CCD1B1D-6230-4D10-B1D2-2F478395C82C}"/>
    <hyperlink ref="I234" location="'3'!$J$13" display="$J$13 3" xr:uid="{7AAB384F-7974-40B9-A990-2CF7F07F1DBF}"/>
    <hyperlink ref="I235" location="'3'!$K$13" display="$K$13 3" xr:uid="{192E6EDC-3E99-44C4-AEE1-6D7279F5E0ED}"/>
    <hyperlink ref="I236" location="'3'!$L$57" display="$L$57 3" xr:uid="{3C65F368-7DED-4F19-BCF2-E0FA59443960}"/>
    <hyperlink ref="I237" location="'3'!$L$24" display="$L$24 3" xr:uid="{E11ED2DC-BA3C-44BB-9A4B-3BA0DA915833}"/>
    <hyperlink ref="I239" location="'3'!$M$62" display="$M$62 3" xr:uid="{50F4F6D3-133F-45F7-8E59-0594CB6C5D38}"/>
    <hyperlink ref="I240" location="'3'!$M$64" display="$M$64 3" xr:uid="{5BF57338-B10C-4291-AD4E-634CAEAE020F}"/>
    <hyperlink ref="I241" location="'3'!$M$78" display="$M$78 3" xr:uid="{392ED335-61D7-41E5-8DAC-8AEE59F38D7F}"/>
    <hyperlink ref="I242" location="'3'!$M$79" display="$M$79 3" xr:uid="{6D2E4E72-23E1-4E1A-B638-ECBB7FDDE13C}"/>
    <hyperlink ref="I243" location="'3'!$N$21" display="$N$21 3" xr:uid="{5B0C1F60-BF01-402A-B7B2-558559455B05}"/>
    <hyperlink ref="I244" location="'3'!$O$48" display="$O$48 3" xr:uid="{74600294-6315-405C-8328-AFA8226A3C3A}"/>
    <hyperlink ref="I245" location="'3'!$O$57" display="$O$57 3" xr:uid="{B848011C-6372-4E8B-935F-2F517405D551}"/>
    <hyperlink ref="I246" location="'3'!$O$47" display="$O$47 3" xr:uid="{34765CCD-0646-43F1-A9E0-2A2EF7BE88CD}"/>
    <hyperlink ref="I247" location="'3'!$O$50" display="$O$50 3" xr:uid="{72D2804F-BEB3-487B-91EF-B9A015E239FE}"/>
    <hyperlink ref="I248" location="'3'!$O$19" display="$O$19 3" xr:uid="{06F6B728-7974-4353-B006-7FCE08340CE6}"/>
    <hyperlink ref="I249" location="'3'!$O$49" display="$O$49 3" xr:uid="{36855A84-6E9E-4CFC-B748-D76BF08084C6}"/>
    <hyperlink ref="I250" location="'3'!$P$56" display="$P$56 3" xr:uid="{A343B9ED-8C86-458A-AF9B-231D3C92FECF}"/>
    <hyperlink ref="I251" location="'3'!$P$13" display="$P$13 3" xr:uid="{32E97442-B259-4202-A164-85234B19EE80}"/>
    <hyperlink ref="I252" location="'3'!$P$49" display="$P$49 3" xr:uid="{C09480EC-84D6-48B5-8816-1D7F18970015}"/>
    <hyperlink ref="I253" location="'3'!$P$57" display="$P$57 3" xr:uid="{A6936E66-55A9-447A-A83F-39D79A38F228}"/>
    <hyperlink ref="I254" location="'3'!$P$47" display="$P$47 3" xr:uid="{EFA7BDF3-336D-4CD7-B7CF-9C87759957AA}"/>
    <hyperlink ref="I255" location="'3'!$P$50" display="$P$50 3" xr:uid="{436B5F20-0009-401F-86E9-9E636A5D844F}"/>
    <hyperlink ref="I256" r:id="rId10" location="'3'!$P$57" xr:uid="{B1C64E9E-E7A0-4431-88C9-BAC16FDA2859}"/>
    <hyperlink ref="I257" r:id="rId11" location="'3'!$P$47" xr:uid="{F9B3FE8A-E1B8-4CBE-BBD8-AABF948B091B}"/>
    <hyperlink ref="I258" location="'3'!$Q$49" display="$Q$49 3" xr:uid="{2BBEDEDF-5965-43E3-A3BA-B91F9085D902}"/>
    <hyperlink ref="I259" location="'3'!$Q$50" display="$Q$50 3" xr:uid="{6430BA6F-C952-461A-AB9E-DC3FE9CB77AE}"/>
    <hyperlink ref="I260" location="'3'!$R$57" display="$R$57 3" xr:uid="{D2AB2BBB-998B-444B-9798-618FF015096B}"/>
    <hyperlink ref="I261" location="'3'!$S$49" display="$S$49 3" xr:uid="{DC5B54A2-F411-4A1A-88A5-E4A1A0B26CF1}"/>
    <hyperlink ref="I262" location="'3'!$S$63" display="$S$63 3" xr:uid="{3CEECF47-D89F-4606-9422-F0F1CC28B31E}"/>
    <hyperlink ref="I263" location="'3'!$S$64" display="$S$64 3" xr:uid="{16F788E7-03D4-4D59-8D8B-5A213EF36B4F}"/>
    <hyperlink ref="I264" location="'3'!$S$57" display="$S$57 3" xr:uid="{9249A592-93DA-4F5A-973B-E447220A60F5}"/>
    <hyperlink ref="I265" r:id="rId12" location="'3'!$S$49" xr:uid="{C30EB9B5-239A-48F3-BF4C-7EF0F5E1B109}"/>
    <hyperlink ref="I266" location="'3'!$T$46" display="$T$46 3" xr:uid="{22D93AA2-BE30-4E96-8A64-91B7CC44077E}"/>
    <hyperlink ref="I267" location="'3'!$T$55" display="$T$55 3" xr:uid="{D8CA54A9-D31E-457A-AF54-7E5AAAC25125}"/>
    <hyperlink ref="I268" location="'3'!$T$54" display="$T$54 3" xr:uid="{E9500F3F-CDE7-4035-A288-1E5D8637AA0C}"/>
    <hyperlink ref="I269" location="'3'!$Q$29" display="$Q$29 3" xr:uid="{E599A7AD-7B4F-4962-A56D-D4165478097B}"/>
    <hyperlink ref="I270" location="'3'!$T$53" display="$T$53 3" xr:uid="{7560F992-A60D-4634-AD8B-BE3FE90D2019}"/>
    <hyperlink ref="I271" location="'3'!$T$40" display="$T$40 3" xr:uid="{6DBB2275-8758-4406-AB40-DE4DAB870F8D}"/>
    <hyperlink ref="I272" location="'3'!$T$45" display="$T$45 3" xr:uid="{4C94DA3E-D7A7-46C3-A87E-70ECDC88E8CA}"/>
    <hyperlink ref="I273" location="'3'!$T$58" display="$T$58 3" xr:uid="{B947BA3B-3946-4427-A39C-A442ABF0A826}"/>
    <hyperlink ref="I274" location="'3'!$T$59" display="$T$59 3" xr:uid="{E6F1CD36-9207-47D4-A630-F64103932FA7}"/>
    <hyperlink ref="I275" location="'3'!$T$19" display="$T$19 3" xr:uid="{E1EFD103-77AC-429A-9780-460514DBB813}"/>
    <hyperlink ref="I276" location="'3'!$U$40" display="$U$40 3" xr:uid="{D8C4CC90-C1D6-47CB-B0C9-1A477E7D0779}"/>
    <hyperlink ref="I277" r:id="rId13" location="'3'!$U$40" xr:uid="{BBACF4D7-8907-4F18-AC2E-D65970441C7B}"/>
    <hyperlink ref="I278" location="'3'!$V$51" display="$V$51 3" xr:uid="{7B4B79C2-EC1F-4685-A579-5E85B5DF85E8}"/>
    <hyperlink ref="I279" location="'3'!$W$40" display="$W$40 3" xr:uid="{4EC20DE2-1B95-42B5-A856-F1F5BE5904D2}"/>
    <hyperlink ref="I280" location="'3'!$W$45" display="$W$45 3" xr:uid="{5D2D897C-B6DF-481C-9230-95E258A760DB}"/>
    <hyperlink ref="I281" location="'3'!$W$48" display="$W$48 3" xr:uid="{9CF03695-BBB6-47C5-A66B-C69996544C29}"/>
    <hyperlink ref="I282" location="'3'!$X$49" display="$X$49 3" xr:uid="{AC6970A3-7F07-4895-BFF5-73B06D608876}"/>
    <hyperlink ref="I283" location="'3'!$X$57" display="$X$57 3" xr:uid="{0F061973-D492-4519-86FF-CD2A7EA9F9E2}"/>
    <hyperlink ref="I284" location="'3'!$X$46" display="$X$46 3" xr:uid="{CEAD1379-411F-4BF7-BD15-EB3D1785EDA2}"/>
    <hyperlink ref="I285" location="'3'!$X$47" display="$X$47 3" xr:uid="{BB2B5185-0639-441E-A14B-9CF4CE399989}"/>
    <hyperlink ref="I286" location="'3'!$X$50" display="$X$50 3" xr:uid="{0A48F351-3982-4E22-9250-AFB1B2737AF0}"/>
    <hyperlink ref="I287" location="'3'!$X$79" display="$X$79 3" xr:uid="{27B6B0E7-E614-4891-855D-CDA2377D5173}"/>
    <hyperlink ref="I288" location="'3'!$X$78" display="$X$78 3" xr:uid="{FB639E9E-2C6D-43B5-9E30-A50D8DF924E7}"/>
    <hyperlink ref="I289" r:id="rId14" location="'3'!$X$29" xr:uid="{EC649096-B3FC-4B31-9844-FCC3723A099B}"/>
    <hyperlink ref="I290" location="'3'!$X$55" display="$X$55 3" xr:uid="{1B1E87A2-5B7A-436B-9609-81BEDDC2BA32}"/>
    <hyperlink ref="I291" location="'3'!$X$54" display="$X$54 3" xr:uid="{3A2EE595-FB8E-48D7-832A-7EB157A6CDE1}"/>
    <hyperlink ref="I292" location="'3'!$Y$48" display="$Y$48 3" xr:uid="{8E56B21F-FA7A-4033-AB6A-871C1B4A47B9}"/>
    <hyperlink ref="I293" location="'3'!$Y$45" display="$Y$45 3" xr:uid="{78853443-70BD-4850-949A-F461FA02F991}"/>
    <hyperlink ref="I294" location="'3'!$Y$63" display="$Y$63 3" xr:uid="{5AD87986-F8FF-44F0-B71A-957FE293EAF9}"/>
    <hyperlink ref="I295" location="'3'!$Y$62" display="$Y$62 3" xr:uid="{37B6C094-DE70-47CD-9B0D-87A64632E0FB}"/>
    <hyperlink ref="I296" location="'3'!$Y$57" display="$Y$57 3" xr:uid="{6997BDEB-878E-481F-923E-240D9C70F038}"/>
    <hyperlink ref="I297" location="'3'!$Y$49" display="$Y$49 3" xr:uid="{C27C35ED-9D0B-48C6-B1BB-410F875D8C29}"/>
    <hyperlink ref="I298" location="'3'!$Y$29" display="$Y$29 3" xr:uid="{8DD83566-2E7E-4208-B388-4A9AE0448214}"/>
    <hyperlink ref="I299" location="'3'!$Y$46" display="$Y$46 3" xr:uid="{AE675D4B-2BF4-4447-BFEB-80CA38B08874}"/>
    <hyperlink ref="I300" location="'3'!$Y$47" display="$Y$47 3" xr:uid="{1BF8FA82-D28B-4A24-B20F-8EDA9233E85E}"/>
    <hyperlink ref="I301" location="'3'!$Y$50" display="$Y$50 3" xr:uid="{08ABD2C5-B0EC-457A-9237-E1113E618CAC}"/>
    <hyperlink ref="I302" location="'3'!$Y$19" display="$Y$19 3" xr:uid="{4952ADC4-E8EB-43C3-B8DC-CEF83148B33D}"/>
    <hyperlink ref="I303" location="'3'!$Y$55" display="$Y$55 3" xr:uid="{9BB9170C-9A97-40F1-AB0A-224F252C47D3}"/>
    <hyperlink ref="I304" r:id="rId15" location="'3'!$Y$62" xr:uid="{9E7EEDE2-D9A7-452D-A2EB-4E70549BCEF2}"/>
    <hyperlink ref="I305" location="'3'!$Y$14" display="$Y$14 3" xr:uid="{D2FBCB6F-93B0-4EE6-BA3F-EB056479BFA9}"/>
    <hyperlink ref="I306" location="'3'!$Y$54" display="$Y$54 3" xr:uid="{ACF58691-6782-49BC-814A-57FF7B381463}"/>
    <hyperlink ref="I308" location="'3'!$Y$53" display="$Y$53 3" xr:uid="{37ED588E-3608-4E4C-BD98-AAF1AB76ED1D}"/>
    <hyperlink ref="I310" r:id="rId16" location="'3'!$Y$45" xr:uid="{350FA5DB-BADB-4539-A1C7-DFA0052443D2}"/>
    <hyperlink ref="I311" location="'3'!$Z$62" display="$Z$62 3" xr:uid="{8A99D403-EDAB-41F9-AFA7-D2EC54ED0885}"/>
    <hyperlink ref="I312" location="'3'!$AA$59" display="$AA$59 3" xr:uid="{6DB4A9C5-6F42-4B91-AB21-6A20C39FFE17}"/>
    <hyperlink ref="I313" location="'3'!$AA$53" display="$AA$53 3" xr:uid="{5AF6052F-5548-4AC4-86FE-806088299D72}"/>
    <hyperlink ref="I314" location="'3'!$AA$54" display="$AA$54 3" xr:uid="{CCF65633-A172-4F36-849A-FD8E544565E2}"/>
    <hyperlink ref="I315" r:id="rId17" location="'3'!$AA$59" xr:uid="{2BDB9676-8129-44AA-9162-DB48276EA8D0}"/>
    <hyperlink ref="I316" location="'3'!$AA$29" display="$AA$29 3" xr:uid="{44CE5F84-B190-40C9-958D-F8D411B78F2E}"/>
    <hyperlink ref="I317" location="'3'!$AA$58" display="$AA$58 3" xr:uid="{E8FA3E08-C4BF-407D-BA0C-DFE809A0E822}"/>
    <hyperlink ref="I318" location="'3'!$AA$56" display="$AA$56 3" xr:uid="{39D02CD6-8BF9-4957-A1A6-7F803A16C808}"/>
    <hyperlink ref="I319" location="'3'!$AA$48" display="$AA$48 3" xr:uid="{8AE75EEC-69F2-446B-B79E-574FE0A035E0}"/>
    <hyperlink ref="I320" r:id="rId18" location="'3'!$AA$58" xr:uid="{1D6AB439-7957-4522-B10C-4D070F33F9A8}"/>
    <hyperlink ref="I321" location="'3'!$AA$55" display="$AA$55 3" xr:uid="{9BD3590F-0D96-4C80-B052-B397F3D1C9FC}"/>
    <hyperlink ref="I322" location="'3'!$AA$57" display="$AA$57 3" xr:uid="{9A370A99-9745-4855-8223-4FBB160B1A99}"/>
    <hyperlink ref="I323" location="'3'!$AB$49" display="$AB$49 3" xr:uid="{9E93EF15-765D-445D-AB1F-66C3EF7FA150}"/>
    <hyperlink ref="I324" location="'3'!$AB$46" display="$AB$46 3" xr:uid="{EB66FE07-1526-41A7-AB74-39E9FCA5400B}"/>
    <hyperlink ref="I325" location="'3'!$AB$47" display="$AB$47 3" xr:uid="{F0BB005F-BCD8-42A8-91A8-842E347EB7C0}"/>
    <hyperlink ref="I326" location="'3'!$AB$28" display="$AB$28 3" xr:uid="{CC3534CF-7627-4581-8309-9BDEDACDDCE8}"/>
    <hyperlink ref="I327" location="'3'!$AB$50" display="$AB$50 3" xr:uid="{0A97ECA6-0FA7-4567-B2D9-A0FD1DD24EBE}"/>
    <hyperlink ref="I328" r:id="rId19" location="'3'!$AB$28" xr:uid="{DB2139FA-6F86-4254-9E58-A8497A71A167}"/>
    <hyperlink ref="I329" location="'3'!$AB$54" display="$AB$54 3" xr:uid="{7D84C609-1CC1-4849-995C-16F753BBC4F7}"/>
    <hyperlink ref="I330" location="'3'!$AB$53" display="$AB$53 3" xr:uid="{525A85E5-01CE-40E9-81D6-FB834781DC91}"/>
    <hyperlink ref="I331" location="'3'!$AB$59" display="$AB$59 3" xr:uid="{90975A90-38FC-4D14-9922-4125D773E4F5}"/>
    <hyperlink ref="I332" location="'3'!$AB$58" display="$AB$58 3" xr:uid="{A7AC3F75-1E4A-4699-9BF5-4365FDD202B6}"/>
    <hyperlink ref="I333" location="'3'!$AC$28" display="$AC$28 3" xr:uid="{13F06687-96A7-4CFD-86A6-74B4FD3B2309}"/>
    <hyperlink ref="I334" r:id="rId20" location="'3'!$AC$28" xr:uid="{E4E77842-DDF5-4402-9A00-5875AF32C94E}"/>
    <hyperlink ref="I335" location="'3'!$AC$24" display="$AC$24 3" xr:uid="{AAD6C14F-822D-46C4-AEF3-22CD45E05AFD}"/>
    <hyperlink ref="I336" location="'4'!$F$19" display="$F$19 4" xr:uid="{6A6A0B52-2874-49A9-AB7B-5EE5D3D8F7DA}"/>
    <hyperlink ref="I337" location="'4'!$G$21" display="$G$21 4" xr:uid="{BD1CE7B5-660F-40F3-BD15-A9443571B107}"/>
    <hyperlink ref="I338" location="'4'!$H$62" display="$H$62 4" xr:uid="{D32326A0-0F3E-4881-B15D-97A367CC45F2}"/>
    <hyperlink ref="I339" location="'4'!$H$64" display="$H$64 4" xr:uid="{D87A3AC9-E199-41AE-8ED6-108162255D42}"/>
    <hyperlink ref="I340" location="'4'!$I$46" display="$I$46 4" xr:uid="{AC0D5290-FD42-46E4-8C5B-B7C4277B07E7}"/>
    <hyperlink ref="I341" location="'4'!$I$49" display="$I$49 4" xr:uid="{1BB40DBB-DD3F-4DD1-8F26-C2DB1638C3C7}"/>
    <hyperlink ref="I342" location="'4'!$I$56" display="$I$56 4" xr:uid="{4D074A83-78CF-4D57-BD9A-9E58AF00E4E7}"/>
    <hyperlink ref="I343" location="'4'!$I$15" display="$I$15 4" xr:uid="{ECEC75D4-0531-4733-86A7-2E841AB85271}"/>
    <hyperlink ref="I344" location="'4'!$K$47" display="$K$47 4" xr:uid="{760B054D-04E9-4F6E-9D1F-9F7EEAD54969}"/>
    <hyperlink ref="I345" location="'4'!$K$48" display="$K$48 4" xr:uid="{5B2031FB-781F-4A88-8B00-380FB4EA3322}"/>
    <hyperlink ref="I346" location="'4'!$K$50" display="$K$50 4" xr:uid="{6DDBB891-FF99-4C21-9B7F-F97D489CAA70}"/>
    <hyperlink ref="I347" location="'4'!$K$27" display="$K$27 4" xr:uid="{CBC9AE33-E141-42FE-BBED-244F81129AAB}"/>
    <hyperlink ref="I348" location="'4'!$K$45" display="$K$45 4" xr:uid="{71A42E56-609E-49B2-AB4B-6D8A5253FB71}"/>
    <hyperlink ref="I349" location="'4'!$K$54" display="$K$54 4" xr:uid="{BECEC877-0FD3-46FE-BBCD-73B3B4ADAC4B}"/>
    <hyperlink ref="I350" location="'4'!$I$57" display="$I$57 4" xr:uid="{FBC93F73-43D8-4F57-9298-65DAA76FA68B}"/>
    <hyperlink ref="I351" location="'4'!$K$15" display="$K$15 4" xr:uid="{B1FF0F31-4584-4E27-B45E-537F62820F28}"/>
    <hyperlink ref="I353" location="'4'!$K$57" display="$K$57 4" xr:uid="{DA3DAB28-7AC0-42D5-B3E9-78569F74AC02}"/>
    <hyperlink ref="I354" location="'4'!$L$57" display="$L$57 4" xr:uid="{71B7CF45-7092-4FC2-8581-304BE3DE3AB5}"/>
    <hyperlink ref="I355" location="'4'!$L$54" display="$L$54 4" xr:uid="{B5DF3D45-A77D-43A4-B317-0C430539D06B}"/>
    <hyperlink ref="I356" location="'4'!$L$45" display="$L$45 4" xr:uid="{21E27D00-C174-49C1-9DFE-24DC06000312}"/>
    <hyperlink ref="I357" location="'4'!$L$49" display="$L$49 4" xr:uid="{12637B44-F2B2-440D-AC6A-092D9492A918}"/>
    <hyperlink ref="I358" location="'4'!$L$46" display="$L$46 4" xr:uid="{AD65E84F-ECE2-4313-B37F-C3C9F15C2A07}"/>
    <hyperlink ref="I359" location="'4'!$L$47" display="$L$47 4" xr:uid="{6CD34672-7944-4290-8D3E-D3207D60B6F5}"/>
    <hyperlink ref="I360" location="'4'!$L$50" display="$L$50 4" xr:uid="{FEB4A07B-35C6-48BB-BF16-442C1DE86573}"/>
    <hyperlink ref="I361" location="'4'!$L$56" display="$L$56 4" xr:uid="{047BD5C7-14B1-4AB5-AEA7-C8FFB28773D5}"/>
    <hyperlink ref="I362" r:id="rId21" location="'4'!$L$49" xr:uid="{813200A1-3488-4C7C-9F87-08C3D0BBD279}"/>
    <hyperlink ref="I363" r:id="rId22" location="'4'!$L$46" xr:uid="{5FF4EE93-7AA3-47C1-8C08-A5DF401B4DFA}"/>
    <hyperlink ref="I364" location="'4'!$M$47" display="$M$47 4" xr:uid="{1D450005-1BB8-4EC0-BCA3-67DBDC750975}"/>
    <hyperlink ref="I365" location="'4'!$M$24" display="$M$24 4" xr:uid="{C7ECF659-6D0B-4A4C-B29E-0300580B0E73}"/>
    <hyperlink ref="I366" location="'4'!$M$57" display="$M$57 4" xr:uid="{56309FC2-EE52-4CFC-ACEF-556EE42C8D7B}"/>
    <hyperlink ref="I367" location="'4'!$M$64" display="$M$64 4" xr:uid="{37B0B825-1EDB-42B8-8940-6C1237299AE8}"/>
    <hyperlink ref="I368" location="'4'!$M$63" display="$M$63 4" xr:uid="{436DA541-22CD-492D-9C93-1A7C8FF40B61}"/>
    <hyperlink ref="I369" location="'4'!$M$49" display="$M$49 4" xr:uid="{AAA43AAC-17D3-4C7D-B3C3-45CCCFC56204}"/>
    <hyperlink ref="I370" location="'4'!$M$46" display="$M$46 4" xr:uid="{A3FAC8B3-C845-4265-8A08-1E25394A2B30}"/>
    <hyperlink ref="I372" location="'4'!$N$21" display="$N$21 4" xr:uid="{F6082EDC-B7FE-4FEC-ACC1-17ACD9CFF16E}"/>
    <hyperlink ref="I373" location="'4'!$N$50" display="$N$50 4" xr:uid="{2DACFDC8-3ABB-4246-BF7C-FCBB1AC4469D}"/>
    <hyperlink ref="I374" location="'4'!$O$19" display="$O$19 4" xr:uid="{3B7A4B58-D92A-447F-88C6-9FE283BA937B}"/>
    <hyperlink ref="I375" location="'4'!$O$56" display="$O$56 4" xr:uid="{D20564A5-72C8-44CA-A452-6CA7731C0BC3}"/>
    <hyperlink ref="I376" location="'4'!$O$48" display="$O$48 4" xr:uid="{BB7D75FA-C6EA-413C-93D2-7D8ECEEEF4D1}"/>
    <hyperlink ref="I377" location="'4'!$O$57" display="$O$57 4" xr:uid="{F2426CCD-F354-4A04-B686-C78E433BEFDB}"/>
    <hyperlink ref="I378" location="'4'!$O$49" display="$O$49 4" xr:uid="{9D908D9D-294A-40D7-A8B8-B1DEE51247CA}"/>
    <hyperlink ref="I379" location="'4'!$O$46" display="$O$46 4" xr:uid="{07058214-DF12-4ADC-AFEC-7B77E1AC669D}"/>
    <hyperlink ref="I380" location="'4'!$O$47" display="$O$47 4" xr:uid="{828C3ED2-F5E3-4E9E-AD15-E06F7F0D22E6}"/>
    <hyperlink ref="I381" location="'4'!$P$55" display="$P$55 4" xr:uid="{50D55821-03EA-477C-B019-B2EDDB96E3B2}"/>
    <hyperlink ref="I382" location="'4'!$P$54" display="$P$54 4" xr:uid="{AD12EA0E-6579-44F5-8898-7EA71A87CEA9}"/>
    <hyperlink ref="I383" location="'4'!$P$53" display="$P$53 4" xr:uid="{93F76DCB-3A75-415F-9171-D41D09CD1383}"/>
    <hyperlink ref="I384" location="'4'!$O$29" display="$O$29 4" xr:uid="{DCAB54B6-6F71-4B0A-A0DF-CD922D370665}"/>
    <hyperlink ref="I385" location="'4'!$P$59" display="$P$59 4" xr:uid="{2CCD3E51-E6FB-472F-93F1-C5B6982A588F}"/>
    <hyperlink ref="I386" location="'4'!$P$58" display="$P$58 4" xr:uid="{A74C928F-EC69-48AA-9FE0-D20BBF211D15}"/>
    <hyperlink ref="I387" location="'4'!$P$55" display="$P$55 4" xr:uid="{8F80854F-C3D7-491E-A520-06C9C67A7BEC}"/>
    <hyperlink ref="I388" location="'4'!$P$55" display="$P$55 4" xr:uid="{4CC05D4E-9696-4EF9-9DD3-70CFC873FA04}"/>
    <hyperlink ref="I389" location="'4'!$P$55" display="$P$55 4" xr:uid="{D829CEBA-D321-47F6-9FB1-4530D5A90635}"/>
    <hyperlink ref="I390" location="'4'!$P$45" display="$P$45 4" xr:uid="{854D4F6D-AA1B-4C62-A57F-2FF533D5E38C}"/>
    <hyperlink ref="I391" location="'4'!$Q$40" display="$Q$40 4" xr:uid="{B1653659-4EA0-4821-8592-69E405C125CD}"/>
    <hyperlink ref="I392" location="'4'!$Q$28" display="$Q$28 4" xr:uid="{685DBDF1-3D2A-4788-8937-01443AF41BCD}"/>
    <hyperlink ref="I393" location="'4'!$Q$14" display="$Q$14 4" xr:uid="{5E32D131-B571-4B63-85E4-CE70D7ACA570}"/>
    <hyperlink ref="I394" location="'4'!$Q$41" display="$Q$41 4" xr:uid="{4C2DD05A-8D3B-4B1B-9846-0A7C0E9C954D}"/>
    <hyperlink ref="I395" location="'4'!$Q$14" display="$Q$14 4" xr:uid="{49CA537B-90D6-4C7A-AE1D-471388CCDBDA}"/>
    <hyperlink ref="I396" location="'4'!$Q$42" display="$Q$42 4" xr:uid="{4A26186A-68A7-4744-945A-6BBF4B7F94A4}"/>
    <hyperlink ref="I397" location="'4'!$Q$44" display="$Q$44 4" xr:uid="{F446124E-7945-4635-ABA4-E899C6AD9CED}"/>
    <hyperlink ref="I398" location="'4'!$Q$39" display="$Q$39 4" xr:uid="{388B740E-E687-4FD3-B08C-06A167085961}"/>
    <hyperlink ref="I402" location="'4'!$R$42" display="$R$42 4" xr:uid="{2512417C-44AD-47F4-BC8C-9EABD3670925}"/>
    <hyperlink ref="I403" location="'4'!$R$44" display="$R$44 4" xr:uid="{861F2A0A-B5F6-4A22-9239-5BBDA142DBF2}"/>
    <hyperlink ref="I404" location="'4'!$R$29" display="$R$29 4" xr:uid="{6C84F7DF-F397-49A2-906C-5CF448B2CE43}"/>
    <hyperlink ref="I405" location="'4'!$R$40" display="$R$40 4" xr:uid="{0AC7FD6A-DF19-4ACE-8486-905A059B60AD}"/>
    <hyperlink ref="I406" location="'4'!$R$45" display="$R$45 4" xr:uid="{9C072F27-6927-481B-A4F2-BE8075C4525F}"/>
    <hyperlink ref="I407" location="'4'!$R$50" display="$R$50 4" xr:uid="{B7178983-F2A3-4606-BCF2-616D83ADEDBB}"/>
    <hyperlink ref="I400" location="'4'!$Q$41" display="$Q$41 4" xr:uid="{6DD95565-AB20-4F9F-A82D-AD583540578A}"/>
    <hyperlink ref="I399" location="'4'!$Q$28" display="$Q$28 4" xr:uid="{C0162DBD-7515-45D1-8E31-BBCE0C395013}"/>
    <hyperlink ref="I401" location="'4'!$Q$39" display="$Q$39 4" xr:uid="{5301A4A1-61A1-404E-B222-EC7D9092248C}"/>
    <hyperlink ref="I408" r:id="rId23" location="'4'!$R$50" xr:uid="{93AD2F25-BCD1-42F0-9E46-CFD3B8335EF3}"/>
    <hyperlink ref="I409" r:id="rId24" location="'4'!$R$45" xr:uid="{00081648-781B-433E-B2DF-CF8E1B41DC44}"/>
    <hyperlink ref="I410" location="'4'!$S$63" display="$S$63 4" xr:uid="{ABDC2D53-A2F7-4800-9367-9CD2CB4A91A8}"/>
    <hyperlink ref="I411" location="'4'!$S$62" display="$S$62 4" xr:uid="{C167C93D-438E-4085-9826-99BB93E58E7B}"/>
    <hyperlink ref="I412" location="'4'!$S$50" display="$S$50 4" xr:uid="{4AA3DD44-4D5E-4EEF-939C-C55C38D51DB4}"/>
    <hyperlink ref="I413" location="'4'!$S$56" display="$S$56 4" xr:uid="{332B3E7E-A6F6-4970-AC3A-D19B4A24C61F}"/>
    <hyperlink ref="I414" location="'4'!$S$48" display="$S$48 4" xr:uid="{47976035-1B69-4AC5-AA52-A33A5312C291}"/>
    <hyperlink ref="I415" location="'4'!$S$57" display="$S$57 4" xr:uid="{B4BE40BD-0329-4541-A566-C8BC85C5636F}"/>
    <hyperlink ref="I416" r:id="rId25" location="'4'!$S$56" xr:uid="{63ED6909-ACC8-4BB1-B5CA-CD9BFD6C96D0}"/>
    <hyperlink ref="I417" r:id="rId26" location="'4'!$S$48" xr:uid="{E26C99BE-BAFE-4468-BF34-1CAADC9D7D95}"/>
    <hyperlink ref="I418" r:id="rId27" location="'4'!$S$50" xr:uid="{D661111C-6119-4705-8584-04FD9A06844E}"/>
    <hyperlink ref="I419" location="'4'!$S$55" display="$S$55 4" xr:uid="{20EF00DF-494A-4E7F-BD77-FD35E40A5A1B}"/>
    <hyperlink ref="I420" location="'4'!$S$54" display="$S$54 4" xr:uid="{9542E05A-C77D-4135-AE46-52B0AF87DDE6}"/>
    <hyperlink ref="I421" location="'4'!$T$14" display="$T$14 4" xr:uid="{AFFD50CE-C997-406C-932F-9370327BD789}"/>
    <hyperlink ref="I422" location="'4'!$T$55" display="$T$55 4" xr:uid="{9D80AA20-C8D5-4858-941B-373C3A13948D}"/>
    <hyperlink ref="I423" location="'4'!$T$57" display="$T$57 4" xr:uid="{38573070-6DF0-4E5A-A25C-D65A3216250E}"/>
    <hyperlink ref="I424" location="'4'!$T$54" display="$T$54 4" xr:uid="{976A7287-77E7-4DB9-BCDA-4BB723430184}"/>
    <hyperlink ref="I425" location="'4'!$T$40" display="$T$40 4" xr:uid="{E7478157-69EE-4352-B575-5C8DBBEC99E2}"/>
    <hyperlink ref="I426" location="'4'!$T$41" display="$T$41 4" xr:uid="{FCCCCAC8-DBEE-441D-A7C4-11A8AFF6A2A2}"/>
    <hyperlink ref="I427" location="'4'!$T$44" display="$T$44 4" xr:uid="{F77E3E1D-EDDC-42EF-9F50-342CBCF25A07}"/>
    <hyperlink ref="I428" location="'4'!$T$39" display="$T$39 4" xr:uid="{F4BB4CDD-F9C4-40E4-8F6A-388AEA258086}"/>
    <hyperlink ref="I429" location="'4'!$T$42" display="$T$42 4" xr:uid="{330F96F6-6332-4938-8B3A-3AF46F2ED84A}"/>
    <hyperlink ref="I430" location="'4'!$U$39" display="$U$39 4" xr:uid="{58B67522-1C97-4BDE-A8B7-F3AF4EA0544A}"/>
    <hyperlink ref="I431" location="'4'!$U$41" display="$U$41 4" xr:uid="{A855BA7F-9C1A-4255-BA68-55F4321ACF53}"/>
    <hyperlink ref="I432" location="'4'!$U$44" display="$U$44 4" xr:uid="{478DF19E-3BA8-4528-B33D-BD43CD27F3D4}"/>
    <hyperlink ref="I433" location="'4'!$V$40" display="$V$40 4" xr:uid="{24D58E47-6326-4146-ABC4-F897EA382077}"/>
    <hyperlink ref="I434" location="'4'!$V$42" display="$V$42 4" xr:uid="{06F76FF2-6F52-487E-B5A1-4A72BCAD4EE2}"/>
    <hyperlink ref="I435" location="'4'!$V$54" display="$V$54 4" xr:uid="{F9180809-E848-4841-B842-6BC60423572B}"/>
    <hyperlink ref="I436" location="'4'!$V$55" display="$V$55 4" xr:uid="{378A2C4A-764B-42C7-90B2-5749F1B44BE4}"/>
    <hyperlink ref="I437" r:id="rId28" location="'4'!$V$29" xr:uid="{67773E4D-F03A-4BEA-AB4F-23683F9B4A69}"/>
    <hyperlink ref="I438" location="'4'!$V$45" display="$V$45 4" xr:uid="{B1822541-77AD-48F7-8934-8D85A00FBB44}"/>
    <hyperlink ref="I439" location="'4'!$W$53" display="$W$53 4" xr:uid="{B7FEA5DF-FD80-4DA8-B395-46F4B111F60A}"/>
    <hyperlink ref="I440" location="'4'!$W$30" display="$W$30 4" xr:uid="{4829A538-FA18-4B8A-ABAD-FD57AB51E5B5}"/>
    <hyperlink ref="I441" location="'4'!$W$59" display="$W$59 4" xr:uid="{819EEE96-AD30-4AFD-BAAB-EA4AE1C0B915}"/>
    <hyperlink ref="I442" location="'4'!$W$58" display="$W$58 4" xr:uid="{E180D04E-E775-411A-9C97-4BDD86C4C59C}"/>
    <hyperlink ref="I444" location="'4'!$W$45" display="$W$45 4" xr:uid="{45160A87-FDCC-45BC-B990-29E598BFE645}"/>
    <hyperlink ref="I446" location="'4'!$X$57" display="$X$57 4" xr:uid="{D211A67B-0726-4996-A8A3-5F191DCC4DA0}"/>
    <hyperlink ref="I447" location="'4'!$X$49" display="$X$49 4" xr:uid="{AB284AAB-24BC-4281-AD37-EBD07080E3A6}"/>
    <hyperlink ref="I448" location="'4'!$X$46" display="$X$46 4" xr:uid="{A67A9CCB-F7A3-4CD7-880D-7F02150C85EF}"/>
    <hyperlink ref="I449" location="'4'!$X$47" display="$X$47 4" xr:uid="{4064FED4-CE07-4485-A767-3A627560791F}"/>
    <hyperlink ref="I450" location="'4'!$X$50" display="$X$50 4" xr:uid="{3F3F9D43-83E8-4DAA-95F2-A53C492D6A8D}"/>
    <hyperlink ref="I451" location="'4'!$X$55" display="$X$55 4" xr:uid="{123DDACD-DDD3-43B1-9E3A-B7ACCBCF360B}"/>
    <hyperlink ref="I452" location="'4'!$X$54" display="$X$54 4" xr:uid="{7984C97B-CA9A-46FF-B78B-496058FEC00A}"/>
    <hyperlink ref="I453" location="'4'!$Y$53" display="$Y$53 4" xr:uid="{F9E5CC72-43C2-4594-AB2E-B16F5E655763}"/>
    <hyperlink ref="I454" location="'4'!$Y$62" display="$Y$62 4" xr:uid="{03DDC176-5145-4189-88CE-9587426F9A0C}"/>
    <hyperlink ref="I455" location="'4'!$Y$64" display="$Y$64 4" xr:uid="{B69E4180-98A3-4510-ABF5-7E5093DACE9E}"/>
    <hyperlink ref="I456" location="'4'!$O$79" display="$O$79 4" xr:uid="{D07B873B-E0FD-45EA-A7E3-A1E350F698D3}"/>
    <hyperlink ref="I457" location="'4'!$O$78" display="$O$78 4" xr:uid="{ADAE48BF-6A05-41F4-A4FA-6ED55E3A295D}"/>
    <hyperlink ref="I458" location="'4'!$Y$79" display="$Y$79 4" xr:uid="{CF7BB65B-7AE7-4351-BDE5-C9B357618421}"/>
    <hyperlink ref="I459" location="'4'!$Y$78" display="$Y$78 4" xr:uid="{B2F5CFF7-6E3E-4654-9384-4E7220517763}"/>
    <hyperlink ref="I460" location="'4'!$Y$30" display="$Y$30 4" xr:uid="{0E6CC8F4-3363-416F-B58B-E5ED1517A729}"/>
    <hyperlink ref="I461" location="'4'!$Y$56" display="$Y$56 4" xr:uid="{81973751-49A1-480F-8458-09DAD76ADA2A}"/>
    <hyperlink ref="I462" location="'4'!$Z$55" display="$Z$55 4" xr:uid="{22CF1474-A114-40A8-AA4C-B99FA540B341}"/>
    <hyperlink ref="I463" location="'4'!$Z$58" display="$Z$58 4" xr:uid="{2201CD74-5149-4C66-AB6B-E40288369B6C}"/>
    <hyperlink ref="I464" location="'4'!$Z$30" display="$Z$30 4" xr:uid="{2DC56EAB-DD06-43BB-AE5A-37B7891E4295}"/>
    <hyperlink ref="I465" location="'4'!$Z$54" display="$Z$54 4" xr:uid="{D75C2E04-CBC0-4F98-A8FB-2338830D84AF}"/>
    <hyperlink ref="I466" location="'4'!$Z$59" display="$Z$59 4" xr:uid="{08E39E12-2812-48F1-B61F-A0102FAF7A26}"/>
    <hyperlink ref="I467" r:id="rId29" location="'4'!$Y$64" xr:uid="{DC7CC3AF-43D3-4909-8D57-FBE5A4406344}"/>
    <hyperlink ref="I468" location="'4'!$AA$53" display="$AA$53 4" xr:uid="{36B55DD3-6615-45BC-AB21-B1BEC5F602A5}"/>
    <hyperlink ref="I469" location="'4'!$AA$59" display="$AA$59 4" xr:uid="{155F3C7E-CF34-40A3-963F-793907731F32}"/>
    <hyperlink ref="I470" location="'4'!$AA$64" display="$AA$64 4" xr:uid="{80A2D02D-63D7-4C87-8D11-0A403D3F2917}"/>
    <hyperlink ref="I471" location="'4'!$Z$48" display="$Z$48 4" xr:uid="{26695402-5CC7-4110-B695-9980C0F4DA85}"/>
    <hyperlink ref="I472" location="'4'!$AA$58" display="$AA$58 4" xr:uid="{E07EFBF6-154F-4775-B5A3-D1DAF352EB4B}"/>
    <hyperlink ref="I473" location="'4'!$AB$19" display="$AB$19 4" xr:uid="{E027959A-17CA-491A-820B-95FA092830C2}"/>
    <hyperlink ref="I474" location="'4'!$AC$13" display="$AC$13 4" xr:uid="{CC1A91AB-C860-40E0-81E6-673355354227}"/>
    <hyperlink ref="I475" location="'4'!$AC$45" display="$AC$45 4" xr:uid="{D97D1C9E-B5B2-488C-BF92-EBBBCA727265}"/>
    <hyperlink ref="I476" location="'4'!$AC$49" display="$AC$49 4" xr:uid="{A57BA225-822D-4091-8B8C-25948608781F}"/>
    <hyperlink ref="I477" location="'4'!$AC$57" display="$AC$57 4" xr:uid="{419EFCFC-CBC6-44FA-A1D3-6BB8F6167C1C}"/>
    <hyperlink ref="I480" location="'5'!$F$49" display="$F$49 5" xr:uid="{F81D1D38-327E-4CC9-89B5-5B24E1A6F586}"/>
    <hyperlink ref="I481" location="'5'!$G$24" display="$G$24 5" xr:uid="{1A55C7FE-F6EE-4F39-8C89-E266FDED32EF}"/>
    <hyperlink ref="I482" location="'5'!$H$64" display="$H$64 5" xr:uid="{7791AB5D-A94D-458E-8C8F-E4C4C403E0B0}"/>
    <hyperlink ref="I483" location="'5'!$H$63" display="$H$63 5" xr:uid="{FBCE0A1B-2093-495C-A471-C4AC688B116B}"/>
    <hyperlink ref="I484" location="'5'!$H$21" display="$H$21 5" xr:uid="{3EDA1398-A909-478C-9692-B6C332FDCF0F}"/>
    <hyperlink ref="I485" location="'5'!$K$13" display="$K$13 5" xr:uid="{5D642989-9A93-40D4-A061-C58DF6E1FC0E}"/>
    <hyperlink ref="I486" location="'5'!$L$14" display="$L$14 5" xr:uid="{49BA204C-D571-489E-BE65-D5948E6DD7B2}"/>
    <hyperlink ref="I487" location="'5'!$M$63" display="$M$63 5" xr:uid="{363C6592-B142-4DB0-895A-FD42B50F12B7}"/>
    <hyperlink ref="I488" location="'5'!$M$62" display="$M$62 5" xr:uid="{92F815E3-C235-4F29-9AB7-0AB6D4D1E819}"/>
    <hyperlink ref="I489" location="'5'!$M$78" display="$M$78 5" xr:uid="{9341A3D2-50FF-49D4-AE62-B52170DD2DE4}"/>
    <hyperlink ref="I490" location="'5'!$M$79" display="$M$79 5" xr:uid="{DD9292CD-66C4-43AE-A232-CF53FA846255}"/>
    <hyperlink ref="I491" location="'5'!$N$46" display="$N$46 5" xr:uid="{CD158F5C-50F1-4263-93F7-E37617654F4B}"/>
    <hyperlink ref="I492" location="'5'!$N$63" display="$N$63 5" xr:uid="{6EB776EC-98DB-4406-9544-7CDA13145D4B}"/>
    <hyperlink ref="I493" location="'5'!$N$64" display="$N$64 5" xr:uid="{FF933526-22EA-48E4-8A63-622003F64EC9}"/>
    <hyperlink ref="I494" r:id="rId30" location="'5'!$N$63" xr:uid="{1C26857A-D553-4729-ADE8-4867E5FB864D}"/>
    <hyperlink ref="I495" r:id="rId31" location="'5'!$N$64" xr:uid="{84A135F5-5432-4FDD-9737-21781C0707A4}"/>
    <hyperlink ref="I496" location="'5'!$N$47" display="$N$47 5" xr:uid="{5D745B33-DE12-4D2F-9F87-31BE875349CA}"/>
    <hyperlink ref="I497" location="'5'!$N$21" display="$N$21 5" xr:uid="{2B9C1E3C-CBF7-4355-B71C-D908EBCDE4FB}"/>
    <hyperlink ref="I498" location="'5'!$O$50" display="$O$50 5" xr:uid="{AA5FC458-E31A-4B37-8B97-66E74EF62361}"/>
    <hyperlink ref="I499" location="'5'!$O$56" display="$O$56 5" xr:uid="{27895B68-33DE-4C22-AC1E-045A722A79D0}"/>
    <hyperlink ref="I500" location="'5'!$O$48" display="$O$48 5" xr:uid="{1394D6D9-6179-423C-9230-3606402F783A}"/>
    <hyperlink ref="I501" location="'5'!$O$19" display="$O$19 5" xr:uid="{2ED3FD9B-103A-4828-801D-EACBFAA9A9A2}"/>
    <hyperlink ref="I502" location="'5'!$O$57" display="$O$57 5" xr:uid="{F364440C-5935-45A3-844A-A44E2A3F818D}"/>
    <hyperlink ref="I503" location="'5'!$P$48" display="$P$48 5" xr:uid="{8E89C028-1D74-4BC4-BDDE-E03B4FA557E8}"/>
    <hyperlink ref="I504" location="'5'!$P$46" display="$P$46 5" xr:uid="{56DA29D4-BB18-403B-A50D-A51CC5114CF1}"/>
    <hyperlink ref="I505" location="'5'!$P$49" display="$P$49 5" xr:uid="{50E5B966-213B-462C-B361-685DACD18411}"/>
    <hyperlink ref="I506" r:id="rId32" location="'5'!$P$46" xr:uid="{013DFD1F-EA7E-48C7-BE67-6EC3B0291B12}"/>
    <hyperlink ref="I508" location="'5'!$P$50" display="$P$50 5" xr:uid="{A4923578-E62C-4200-8F71-E7AA18FC79EB}"/>
    <hyperlink ref="I509" location="'5'!$P$14" display="$P$14 5" xr:uid="{543D1B84-4748-4050-A51E-1EA812427635}"/>
    <hyperlink ref="I510" location="'5'!$P$24" display="$P$24 5" xr:uid="{8B00A3EB-F8B6-4BBF-899F-18C043045F4D}"/>
    <hyperlink ref="I511" location="'5'!$P$56" display="$P$56 5" xr:uid="{40B427E4-961D-4810-8CBC-43B24C2300A6}"/>
    <hyperlink ref="I512" location="'5'!$Q$57" display="$Q$57 5" xr:uid="{73F0FB8A-19AB-453F-ACD2-47F1450CE3EF}"/>
    <hyperlink ref="I513" location="'5'!$Q$49" display="$Q$49 5" xr:uid="{9C8EDD21-25AB-4E64-A66D-AC4A6EE5E5DC}"/>
    <hyperlink ref="I514" location="'5'!$Q$46" display="$Q$46 5" xr:uid="{A9A2C57F-9D9F-400C-BFE9-39A426DDC563}"/>
    <hyperlink ref="I515" location="'5'!$Q$47" display="$Q$47 5" xr:uid="{90F2C44F-715E-485E-AA87-CD4265F3ACB4}"/>
    <hyperlink ref="I516" location="'5'!$T$48" display="$T$48 5" xr:uid="{B8553263-8793-4872-931B-FBA310853829}"/>
    <hyperlink ref="I517" location="'5'!$S$62" display="$S$62 5" xr:uid="{125BAFB7-D6A6-45F4-8757-075EB138BECE}"/>
    <hyperlink ref="I518" location="'5'!$S$64" display="$S$64 5" xr:uid="{64B6AF90-7356-49BE-A3AC-CD89868C1084}"/>
    <hyperlink ref="I519" location="'5'!$T$50" display="$T$50 5" xr:uid="{BA08663E-87E2-49EE-A9DF-CD55A849E958}"/>
    <hyperlink ref="I520" location="'5'!$U$56" display="$U$56 5" xr:uid="{9DC305FB-546C-40E5-BF09-EE7BE0EA9615}"/>
    <hyperlink ref="I521" location="'5'!$U$57" display="$U$57 5" xr:uid="{A4013C8A-7EA3-491D-81AA-DE5D6D9AC679}"/>
    <hyperlink ref="I522" location="'5'!$U$49" display="$U$49 5" xr:uid="{512CE6C6-B553-4121-9921-048314C66A61}"/>
    <hyperlink ref="I523" location="'5'!$V$48" display="$V$48 5" xr:uid="{214EFA2B-2E04-48E1-AF92-5742B06AFD2A}"/>
    <hyperlink ref="I524" location="'5'!$V$79" display="$V$79 5" xr:uid="{2CFEF91A-E0EC-4F94-902C-C1BD0CEC6FD0}"/>
    <hyperlink ref="I525" location="'5'!$V$78" display="$V$78 5" xr:uid="{42F1BD4B-0059-4C7A-A45E-C94560C6DCAF}"/>
    <hyperlink ref="I526" location="'5'!$V$50" display="$V$50 5" xr:uid="{96C69677-525C-4927-A655-0F63966600A0}"/>
    <hyperlink ref="I527" location="'5'!$V$56" display="$V$56 5" xr:uid="{7307B606-9CFE-4074-8B65-F079FE9A861B}"/>
    <hyperlink ref="I528" location="'5'!$V$57" display="$V$57 5" xr:uid="{EAD69759-DFBC-4CA0-95DF-8194D8FEFB7D}"/>
    <hyperlink ref="I529" location="'5'!$W$49" display="$W$49 5" xr:uid="{C566F081-79E6-4EE0-80F9-CD22E53BBC21}"/>
    <hyperlink ref="I530" location="'5'!$Y$46" display="$Y$46 5" xr:uid="{D70B576B-6095-4429-9B35-4C08873C3C10}"/>
    <hyperlink ref="I531" location="'5'!$Y$47" display="$Y$47 5" xr:uid="{6FDC8F0B-E857-4295-A334-3A8CDCE9DF4C}"/>
    <hyperlink ref="I532" location="'5'!$Y$50" display="$Y$50 5" xr:uid="{D0373D41-D1B6-45BE-A5D7-A478AD4473C5}"/>
    <hyperlink ref="I533" location="'5'!$Z$56" display="$Z$56 5" xr:uid="{62695F4D-1DF4-4830-964B-548D3EE330C9}"/>
    <hyperlink ref="I534" location="'5'!$Z$46" display="$Z$46 5" xr:uid="{8F6BDDC9-C284-4468-B4EE-BE1020AA1C93}"/>
    <hyperlink ref="I535" location="'5'!$Z$47" display="$Z$47 5" xr:uid="{05552A28-7D4D-4291-8F40-D59F5E90A805}"/>
    <hyperlink ref="I536" location="'5'!$Z$50" display="$Z$50 5" xr:uid="{2EF87B75-04DD-48E5-AF83-C107A14872DB}"/>
    <hyperlink ref="I537" location="'5'!$AA$56" display="$AA$56 5" xr:uid="{6DE9EEFE-AB16-4644-B904-F232A13FF763}"/>
    <hyperlink ref="I538" location="'5'!$AB$30" display="$AB$30 5" xr:uid="{D9CA39E3-0364-4460-A0E2-9E0756D5DC71}"/>
    <hyperlink ref="I539" location="'5'!$AB$48" display="$AB$48 5" xr:uid="{CF81F8DA-728B-4D38-8BC2-50DF62B24CA6}"/>
    <hyperlink ref="I540" location="'5'!$AB$57" display="$AB$57 5" xr:uid="{1C873EA6-A872-4144-ADFB-E7C13E5AECB7}"/>
    <hyperlink ref="I541" location="'5'!$AB$16" display="$AB$16 5" xr:uid="{451C2A69-DC45-4D67-B38E-3DA1C2FF9FE0}"/>
    <hyperlink ref="I543" location="'5'!$AC$57" display="$AC$57 5" xr:uid="{02BCB077-FD0F-46F3-939B-ACD9ADE7D691}"/>
    <hyperlink ref="I544" location="'5'!$AC$30" display="$AC$30 5" xr:uid="{052457D5-AF72-4691-88B7-DD680FBB53E2}"/>
    <hyperlink ref="I545" location="'5'!$AC$16" display="$AC$16 5" xr:uid="{C1B8B8A9-7FB4-47CA-A2FA-B282ECC160A4}"/>
    <hyperlink ref="I546" location="'6'!$F$13" display="$F$13 6" xr:uid="{BE4C935E-AD5A-4787-A14D-72C517A4B345}"/>
    <hyperlink ref="I547" location="'6'!$F$46" display="$F$46 6" xr:uid="{11CE73E2-9EB9-4224-A833-DB4BEA1C77D5}"/>
    <hyperlink ref="I548" location="'6'!$F$47" display="$F$47 6" xr:uid="{C9E45048-38C0-4711-A5D6-88FC27FD0DAB}"/>
    <hyperlink ref="I549" location="'6'!$F$49" display="$F$49 6" xr:uid="{97E24147-633F-4E55-B016-1CDA8C5116B2}"/>
    <hyperlink ref="I550" location="'6'!$F$50" display="$F$50 6" xr:uid="{CD6FEF04-153C-471F-BCD1-4D52E4AE1C89}"/>
    <hyperlink ref="I551" location="'6'!$F$56" display="$F$56 6" xr:uid="{3F9217C6-5A2C-47F9-9399-23BA2161C42A}"/>
    <hyperlink ref="I552" location="'6'!$F$15" display="$F$15 6" xr:uid="{F37CEDCA-1990-4B65-9B22-456E6A502172}"/>
    <hyperlink ref="I555" location="'5'!$Y$64" display="$Y$64 5" xr:uid="{4EB2E8DC-882D-4A9C-A4CE-2B6B1A1E6176}"/>
    <hyperlink ref="I556" location="'5'!$Y$63" display="$Y$63 5" xr:uid="{7F4F5AFA-CC81-40BA-9150-CFD8A0612304}"/>
    <hyperlink ref="I557" location="'6'!$F$63" display="$F$63 6" xr:uid="{5DB947FA-335F-45D5-B2ED-76022EC09EF7}"/>
    <hyperlink ref="I558" location="'6'!$F$62" display="$F$62 6" xr:uid="{8531EBB0-C8B9-432D-9071-DBC9E3B47708}"/>
    <hyperlink ref="I560" location="'6'!$G$50" display="$G$50 6" xr:uid="{A5B4143D-B531-4DB5-AEF3-B0062300BB0A}"/>
    <hyperlink ref="I561" location="'6'!$G$56" display="$G$56 6" xr:uid="{9AC27096-A347-4155-A188-D97964AAA568}"/>
    <hyperlink ref="I562" location="'6'!$G$24" display="$G$24 6" xr:uid="{E0BD2A77-4815-45A2-A460-84496A565961}"/>
    <hyperlink ref="I563" location="'6'!$G$49" display="$G$49 6" xr:uid="{02F66A10-063C-4292-8470-0389CB05CBB8}"/>
    <hyperlink ref="I564" location="'6'!$G$57" display="$G$57 6" xr:uid="{49432F23-389C-42B3-9650-7EFA2757C2C2}"/>
    <hyperlink ref="I566" location="'6'!$I$49" display="$I$49 6" xr:uid="{2EA23B5E-75C7-4047-A84E-86B74EA6F190}"/>
    <hyperlink ref="I567" location="'6'!$K$13" display="$K$13 6" xr:uid="{119494B3-F532-45F3-A7DE-3884A9EBFF6D}"/>
    <hyperlink ref="I568" location="'6'!$K$19" display="$K$19 6" xr:uid="{66CBC0E8-D4B3-4B84-8241-76E521CA6B2E}"/>
    <hyperlink ref="I569" location="'6'!$L$21" display="$L$21 6" xr:uid="{E969EE75-DCCC-44F8-B662-1F195D59C1F1}"/>
    <hyperlink ref="I570" location="'6'!$L$62" display="$L$62 6" xr:uid="{83F6FC34-6DD5-4857-A32A-F389C05EC4F3}"/>
    <hyperlink ref="I571" location="'6'!$L$63" display="$L$63 6" xr:uid="{58DFB03E-07FA-4E21-BEE6-180A208AD26E}"/>
    <hyperlink ref="I572" location="'6'!$M$78" display="$M$78 6" xr:uid="{D4071717-9BBC-4B9E-80D8-EF74CD8B72AF}"/>
    <hyperlink ref="I573" location="'6'!$M$79" display="$M$79 6" xr:uid="{2220391A-9A81-4C8F-8459-F00D333A09E3}"/>
    <hyperlink ref="I574" location="'6'!$N$46" display="$N$46 6" xr:uid="{4530936E-C1A7-46FC-9753-F68BD63EE8CD}"/>
    <hyperlink ref="I575" location="'6'!$N$47" display="$N$47 6" xr:uid="{CA1744EB-A74D-467A-A892-FF9D14F7E9DE}"/>
    <hyperlink ref="I576" location="'6'!$N$21" display="$N$21 6" xr:uid="{2C970540-B9E5-430C-9DE8-FF9BD60604E4}"/>
    <hyperlink ref="I579" location="'6'!$O$45" display="$O$45 6" xr:uid="{701AF8AC-4451-41E0-AADA-D8193A28811F}"/>
    <hyperlink ref="I580" location="'6'!$O$50" display="$O$50 6" xr:uid="{0CECFB0D-4EB7-4377-ADBB-A9B671F5846D}"/>
    <hyperlink ref="I581" location="'6'!$O$56" display="$O$56 6" xr:uid="{EA760CF2-9476-4BDC-B7BD-74F03685A94C}"/>
    <hyperlink ref="I582" location="'6'!$O$48" display="$O$48 6" xr:uid="{115D2F23-8C08-48F5-8DF4-974443733065}"/>
    <hyperlink ref="I583" location="'6'!$O$57" display="$O$57 6" xr:uid="{60CF97B5-D59A-425E-88BF-F04D1C1D023B}"/>
    <hyperlink ref="I585" location="'6'!$O$19" display="$O$19 6" xr:uid="{7A608680-3A27-4A95-8314-578B333AC073}"/>
    <hyperlink ref="I586" location="'6'!$P$51" display="$P$51 6" xr:uid="{B0B32615-8DE7-4734-840F-2FBF70FC6E74}"/>
    <hyperlink ref="I587" location="'6'!$P$24" display="$P$24 6" xr:uid="{448300D6-BA19-44B4-BA6D-B3EB9B365AF3}"/>
    <hyperlink ref="I588" location="'6'!$P$56" display="$P$56 6" xr:uid="{068929D0-5B8B-4B7A-B552-473615CF6AFB}"/>
    <hyperlink ref="I589" location="'6'!$P$49" display="$P$49 6" xr:uid="{A99B235F-21FB-4D1B-8F75-65326ACBE073}"/>
    <hyperlink ref="I590" location="'6'!$Q$57" display="$Q$57 6" xr:uid="{676D3332-E018-49C9-973E-9D2190F652B3}"/>
    <hyperlink ref="I591" location="'6'!$Q$48" display="$Q$48 6" xr:uid="{A84CE897-9F4A-4220-9BCA-C52BB00EE450}"/>
    <hyperlink ref="I592" location="'6'!$Q$29" display="$Q$29 6" xr:uid="{31DC5873-FB8A-4F4C-BBBF-D40F3D85754D}"/>
    <hyperlink ref="I593" location="'6'!$Q$49" display="$Q$49 6" xr:uid="{60C2A27A-F96B-42E4-BE41-B76AF031FD0A}"/>
    <hyperlink ref="I594" location="'6'!$R$46" display="$R$46 6" xr:uid="{0C39F744-CABA-4937-86FB-222ED274A37E}"/>
    <hyperlink ref="I595" location="'6'!$R$47" display="$R$47 6" xr:uid="{1BC74C2C-5A62-4AD8-902D-C00AE99E3744}"/>
    <hyperlink ref="I596" location="'6'!$R$51" display="$R$51 6" xr:uid="{44740BC0-0477-47E0-88A6-751F088E1A7B}"/>
    <hyperlink ref="I597" location="'6'!$S$63" display="$S$63 6" xr:uid="{12A6983B-BA11-4882-8282-41AA5AFCF825}"/>
    <hyperlink ref="I598" location="'6'!$S$64" display="$S$64 6" xr:uid="{38AC3953-DB28-4F1E-A22A-D21039FB110E}"/>
    <hyperlink ref="I599" location="'6'!$S$50" display="$S$50 6" xr:uid="{DD779492-47F1-4AB0-AB2F-738FCD290986}"/>
    <hyperlink ref="I600" location="'6'!$S$56" display="$S$56 6" xr:uid="{3AA99F4E-1A89-4A1B-AECB-F6DCD1EFDD66}"/>
    <hyperlink ref="I601" location="'6'!$S$48" display="$S$48 6" xr:uid="{9BF28D02-0B0A-4A12-BD88-911020384E11}"/>
    <hyperlink ref="I602" location="'6'!$T$29" display="$T$29 6" xr:uid="{3A7C86D8-4DDF-4793-9BE9-6F164C0323DD}"/>
    <hyperlink ref="I603" location="'6'!$T$46" display="$T$46 6" xr:uid="{51912C47-01CF-450B-A635-FEF91CA24D9D}"/>
    <hyperlink ref="I604" location="'6'!$T$47" display="$T$47 6" xr:uid="{86F7E7B9-1F5F-4516-B168-F2FDDD066C00}"/>
    <hyperlink ref="I605" location="'6'!$T$50" display="$T$50 6" xr:uid="{49C200FB-0907-424F-A4A8-5B82BD024470}"/>
    <hyperlink ref="I606" location="'6'!$T$56" display="$T$56 6" xr:uid="{0ED75BA3-EAE8-4733-B918-E39A6A09FC47}"/>
    <hyperlink ref="I607" location="'6'!$T$48" display="$T$48 6" xr:uid="{AFC80728-5B24-4C0C-83A4-E1DA5772F9B9}"/>
    <hyperlink ref="I608" location="'6'!$T$15" display="$T$15 6" xr:uid="{CFA2D6E5-FFA3-4495-94FB-3A2DDE4CA516}"/>
    <hyperlink ref="I609" location="'6'!$T$14" display="$T$14 6" xr:uid="{369DB409-CCCF-4D0D-83A7-F13BC45812DC}"/>
    <hyperlink ref="I610" location="'6'!$U$57" display="$U$57 6" xr:uid="{541422C7-4969-4D2F-9196-23DF5A2C7FB3}"/>
    <hyperlink ref="I611" location="'6'!$U$49" display="$U$49 6" xr:uid="{EEA6E2F1-3401-41A7-823B-D170FAC09918}"/>
    <hyperlink ref="I612" location="'6'!$U$51" display="$U$51 6" xr:uid="{022115AE-C40A-460D-8654-1AB9F3822FBC}"/>
    <hyperlink ref="I615" location="'6'!$V$49" display="$V$49 6" xr:uid="{45A64F29-3051-466F-8F64-FDE0440DE65E}"/>
    <hyperlink ref="I616" location="'5'!$V$29" display="$V$29 5" xr:uid="{2BD0CAB0-255C-4E7C-83C2-6A65A371D585}"/>
    <hyperlink ref="I617" r:id="rId33" location="'5'!$V$29" xr:uid="{CBFBEE3F-D82C-4573-9A00-C3491ADE17DC}"/>
    <hyperlink ref="I619" location="'5'!$W$29" display="$W$29 5" xr:uid="{B8AD86A1-E98E-4357-9830-7B8E7F9787D7}"/>
    <hyperlink ref="I621" location="'6'!$V$29" display="$V$29 6" xr:uid="{E916326D-D9D1-4589-8CAA-2A2ABF9F2FDA}"/>
    <hyperlink ref="I622" location="'6'!$X$79" display="$X$79 6" xr:uid="{2347293F-C304-4918-BB5E-09206D0A54CA}"/>
    <hyperlink ref="I623" location="'6'!$X$78" display="$X$78 6" xr:uid="{124D45EB-0590-4B6A-975C-A29D4AC14AE8}"/>
    <hyperlink ref="I624" location="'6'!$Y$46" display="$Y$46 6" xr:uid="{95DE13A1-C3CB-48F7-93CC-D3A02EBCE8A0}"/>
    <hyperlink ref="I625" location="'6'!$Y$47" display="$Y$47 6" xr:uid="{97446A41-E5EE-4794-B456-81F64BADA8C2}"/>
    <hyperlink ref="I626" location="'6'!$Y$50" display="$Y$50 6" xr:uid="{8FB85730-4C00-455C-9C43-974C0C18CF13}"/>
    <hyperlink ref="I627" location="'6'!$Y$56" display="$Y$56 6" xr:uid="{309A4F24-CD4D-4665-A44D-2164FD2E3DFB}"/>
    <hyperlink ref="I628" location="'6'!$Y$48" display="$Y$48 6" xr:uid="{5A4130ED-7A9B-4000-8D8F-3290131961DF}"/>
    <hyperlink ref="I629" location="'6'!$Z$50" display="$Z$50 6" xr:uid="{958DFA2C-DD68-4142-9729-54944C25D08F}"/>
    <hyperlink ref="I630" location="'6'!$Y$57" display="$Y$57 6" xr:uid="{F4F24930-5B92-4C7C-B921-FBE0EBA9C8DD}"/>
    <hyperlink ref="I631" location="'6'!$Z$46" display="$Z$46 6" xr:uid="{BCB35C73-71FB-4C9C-8D6D-EB8DBBC0A23B}"/>
    <hyperlink ref="I632" location="'6'!$Z$56" display="$Z$56 6" xr:uid="{885BA44C-91B9-4453-A31E-4147F17FA4DE}"/>
    <hyperlink ref="I633" location="'6'!$Z$64" display="$Z$64 6" xr:uid="{B20F5B76-12CF-4D32-8E8B-7B119BBCEAB4}"/>
    <hyperlink ref="I634" location="'6'!$Z$48" display="$Z$48 6" xr:uid="{E070305B-438F-41B4-99A2-F3FF88E606EB}"/>
    <hyperlink ref="I635" location="'6'!$Z$57" display="$Z$57 6" xr:uid="{E47730A9-4969-4D84-B0FF-1EA72230AA5D}"/>
    <hyperlink ref="I636" location="'6'!$Z$47" display="$Z$47 6" xr:uid="{0A3D1CE0-7E0B-4B4C-BA97-B51E176DC1CB}"/>
    <hyperlink ref="I637" location="'6'!$AB$14" display="$AB$14 6" xr:uid="{D18502EB-1F65-4F3C-9C35-F0C918716A46}"/>
    <hyperlink ref="I638" location="'6'!$AB$13" display="$AB$13 6" xr:uid="{ED5B0DA5-30B4-49FC-8E41-C8CC02C7E485}"/>
    <hyperlink ref="I639" location="'6'!$AC$29" display="$AC$29 6" xr:uid="{02279DE9-FAFF-453F-8BC8-CF75F30906F8}"/>
    <hyperlink ref="I640" location="'6'!$AA$64" display="$AA$64 6" xr:uid="{3D86708A-D6B2-427F-8ADE-5CBE9E553FCF}"/>
    <hyperlink ref="I641" location="'7'!$F$19" display="$F$19 7" xr:uid="{055B16C5-5B7D-4637-80C1-4114427A6340}"/>
    <hyperlink ref="I642" location="'7'!$G$24" display="$G$24 7" xr:uid="{1B1B9F4B-41C3-4ADB-B0D7-FFE12901E2D4}"/>
    <hyperlink ref="I643" location="'7'!$H$21" display="$H$21 7" xr:uid="{6CEC8188-ADBE-411C-A3DD-4AFD8E3919DF}"/>
    <hyperlink ref="I644" location="'7'!$G$64" display="$G$64 7" xr:uid="{78D66168-7128-4814-9EF6-1C1D19DA8727}"/>
    <hyperlink ref="I645" location="'7'!$G$62" display="$G$62 7" xr:uid="{BCC7FCEA-4B0B-47F3-872F-59A726A1781C}"/>
    <hyperlink ref="I646" location="'7'!$I$13" display="$I$13 7" xr:uid="{1520927D-80EC-416E-A9FB-270E05CFEB9C}"/>
    <hyperlink ref="I647" location="'7'!$K$13" display="$K$13 7" xr:uid="{374256F4-791E-498B-95AA-A3597F4D00A1}"/>
    <hyperlink ref="I648" location="'7'!$L$49" display="$L$49 7" xr:uid="{093DDE13-9DAB-43B9-9146-1F66AF8C5466}"/>
    <hyperlink ref="I649" location="'7'!$L$46" display="$L$46 7" xr:uid="{4043F7BC-E137-4831-B606-AF43CC67924F}"/>
    <hyperlink ref="I650" location="'7'!$L$47" display="$L$47 7" xr:uid="{85BDD3D4-804A-4C5F-A5D9-685E518505A7}"/>
    <hyperlink ref="I651" location="'7'!$L$21" display="$L$21 7" xr:uid="{2677045C-9ABC-4767-96DC-9D6069CBA00A}"/>
    <hyperlink ref="I652" location="'7'!$L$15" display="$L$15 7" xr:uid="{9C85D74D-5499-4DF1-B198-50FC71164361}"/>
    <hyperlink ref="I656" location="'7'!$M$50" display="$M$50 7" xr:uid="{C39006C7-B2A9-413B-87E3-49A4CA16A381}"/>
    <hyperlink ref="I658" location="'7'!$N$78" display="$N$78 7" xr:uid="{B1E90C3F-D74C-4008-8BEA-126167761658}"/>
    <hyperlink ref="I659" location="'7'!$N$79" display="$N$79 7" xr:uid="{6F3507F0-8D6E-4694-A544-784C85C6D276}"/>
    <hyperlink ref="I660" location="'7'!$N$56" display="$N$56 7" xr:uid="{D4D1563B-EB4B-4F3A-95AE-CB732F6A7F76}"/>
    <hyperlink ref="I661" location="'7'!$N$24" display="$N$24 7" xr:uid="{896DC36A-5652-4EBB-B4E2-5B931871F1AE}"/>
    <hyperlink ref="I662" location="'7'!$N$19" display="$N$19 7" xr:uid="{40BCC5E5-0D16-4F60-95C5-FF0473A04260}"/>
    <hyperlink ref="I664" location="'7'!$O$48" display="$O$48 7" xr:uid="{CF2495AA-DCF4-45F2-BCBD-9F57CEF4350B}"/>
    <hyperlink ref="I665" location="'7'!$O$57" display="$O$57 7" xr:uid="{D0764A0D-087D-42D8-8B84-44E01C012B81}"/>
    <hyperlink ref="I666" location="'7'!$O$49" display="$O$49 7" xr:uid="{4F99CA97-9886-4D4F-8F25-0A5CFB38DA4B}"/>
    <hyperlink ref="I667" location="'7'!$O$46" display="$O$46 7" xr:uid="{6229FAEF-FF67-4960-B965-902FE3E4A0E6}"/>
    <hyperlink ref="I668" location="'7'!$O$47" display="$O$47 7" xr:uid="{28B4F477-724C-4C24-B67A-2BD9F633E8F1}"/>
    <hyperlink ref="I669" location="'7'!$O$56" display="$O$56 7" xr:uid="{82C1B1BA-1B22-45B0-88B8-E0C06F8E326D}"/>
    <hyperlink ref="I670" location="'7'!$O$29" display="$O$29 7" xr:uid="{41622283-AC33-4BCD-9CA9-0A932B953324}"/>
    <hyperlink ref="I674" location="'7'!$P$46" display="$P$46 7" xr:uid="{C3FE7B5A-3EE7-4673-AC2C-F2CDA73B898C}"/>
    <hyperlink ref="I675" location="'7'!$P$50" display="$P$50 7" xr:uid="{B2E244F0-9987-427D-B82F-8393175F1271}"/>
    <hyperlink ref="I676" location="'7'!$P$15" display="$P$15 7" xr:uid="{AF501533-6C4B-4230-9F55-2AFEF5B152B3}"/>
    <hyperlink ref="I677" location="'7'!$P$51" display="$P$51 7" xr:uid="{8404D2A0-E352-4281-9478-3C26CF170A1B}"/>
    <hyperlink ref="I678" location="'7'!$P$48" display="$P$48 7" xr:uid="{B5821DCA-B83A-493C-B7A9-80015ABA4F8F}"/>
    <hyperlink ref="I680" location="'7'!$Q$47" display="$Q$47 7" xr:uid="{AAC481EE-0230-4231-870F-1D03C9B63DFF}"/>
    <hyperlink ref="I681" location="'7'!$Q$50" display="$Q$50 7" xr:uid="{2F953EF2-8BB0-4B56-9001-867601B580B2}"/>
    <hyperlink ref="I682" location="'7'!$Q$48" display="$Q$48 7" xr:uid="{67C36253-AC57-4954-BAAC-170E4AF13158}"/>
    <hyperlink ref="I683" location="'7'!$Q$56" display="$Q$56 7" xr:uid="{2915A3B9-88CE-47B0-BD09-A5891159BD6F}"/>
    <hyperlink ref="I684" location="'7'!$R$57" display="$R$57 7" xr:uid="{90FBD61F-322E-48EB-A8C3-D3436E0F6BCF}"/>
    <hyperlink ref="I685" location="'7'!$S$57" display="$S$57 7" xr:uid="{22E80A7A-F191-4655-8640-6051237D915A}"/>
    <hyperlink ref="I686" location="'7'!$S$62" display="$S$62 7" xr:uid="{75132D6E-70BA-4224-BCF7-5164BFD027B9}"/>
    <hyperlink ref="I687" location="'7'!$S$63" display="$S$63 7" xr:uid="{3A851258-F7A7-425D-AE26-0B1398CA0457}"/>
    <hyperlink ref="I688" location="'7'!$X$29" display="$X$29 7" xr:uid="{1821DEB4-7C67-44AC-98F9-8451978C4F67}"/>
    <hyperlink ref="I689" location="'7'!$Y$46" display="$Y$46 7" xr:uid="{56C636AE-CCAD-4D49-9037-89AA89804900}"/>
    <hyperlink ref="I690" location="'7'!$Y$49" display="$Y$49 7" xr:uid="{CB90E890-054F-40B0-93CE-3A1E338D3F58}"/>
    <hyperlink ref="I691" location="'7'!$Y$30" display="$Y$30 7" xr:uid="{8F0BB6FC-F3FF-4FC8-BF24-C4FDA4F66114}"/>
    <hyperlink ref="I692" location="'7'!$Z$29" display="$Z$29 7" xr:uid="{0265931E-6D07-42E9-A564-3447C1102BFC}"/>
    <hyperlink ref="I693" location="'7'!$Z$49" display="$Z$49 7" xr:uid="{0E53312B-D4E0-4975-994E-5C77D0E50364}"/>
    <hyperlink ref="I694" location="'7'!$Z$46" display="$Z$46 7" xr:uid="{518AE6F2-12F7-441C-B482-C51F2B7E2CCD}"/>
    <hyperlink ref="I696" location="'7'!$Z$30" display="$Z$30 7" xr:uid="{5079B831-1F28-4CA4-AA31-598E3A049758}"/>
    <hyperlink ref="I697" location="'7'!$AA$19" display="$AA$19 7" xr:uid="{3FD279B2-30F2-4F9B-9840-1A9205CE55E4}"/>
    <hyperlink ref="I698" location="'7'!$AB$47" display="$AB$47 7" xr:uid="{57723D72-1828-425C-9275-4E980BF4CF00}"/>
    <hyperlink ref="I699" location="'7'!$AB$56" display="$AB$56 7" xr:uid="{BAFBA5BC-F79C-4CC3-8609-6C1357E51590}"/>
    <hyperlink ref="I700" location="'7'!$AB$15" display="$AB$15 7" xr:uid="{9C9C50DC-07C5-4468-A9A6-A00F9F89968D}"/>
    <hyperlink ref="I701" location="'7'!$AB$48" display="$AB$48 7" xr:uid="{6A5BF15D-EB7F-465C-B05D-E11A7D3EBAA7}"/>
    <hyperlink ref="I704" location="'7'!$AC$48" display="$AC$48 7" xr:uid="{929F9ACA-3F6F-4A48-94A4-084AC9ACD45E}"/>
    <hyperlink ref="I705" location="'8'!$F$24" display="$F$24 8" xr:uid="{96D9BE2A-1930-4E84-AF88-BA21C895627E}"/>
    <hyperlink ref="I706" location="'7'!$Y$63" display="$Y$63 7" xr:uid="{7D3A49C5-0DC4-476B-95F4-0B1BC3B9178D}"/>
    <hyperlink ref="I707" location="'7'!$Y$64" display="$Y$64 7" xr:uid="{C6588C22-3162-4C2F-A164-C598FCC15225}"/>
    <hyperlink ref="I708" location="'8'!$G$64" display="$G$64 8" xr:uid="{879B31A4-2632-45AD-8FD7-A28654EE29C4}"/>
    <hyperlink ref="I709" location="'8'!$G$62" display="$G$62 8" xr:uid="{C771443A-588C-40C5-9D4A-E4C5732AFB79}"/>
    <hyperlink ref="I710" location="'8'!$G$21" display="$G$21 8" xr:uid="{B88CAE18-66E2-46D1-A02E-61C661A3683E}"/>
    <hyperlink ref="I711" location="'8'!$K$50" display="$K$50 8" xr:uid="{3F809460-02B7-4778-BBD9-9783B08BCF3B}"/>
    <hyperlink ref="I712" location="'8'!$L$15" display="$L$15 8" xr:uid="{99213CEC-A189-4911-8378-7B00154EFF7C}"/>
    <hyperlink ref="I713" location="'8'!$L$57" display="$L$57 8" xr:uid="{5CCFD0BB-A489-4114-AD36-734C1763D6E3}"/>
    <hyperlink ref="I714" location="'8'!$L$49" display="$L$49 8" xr:uid="{63780219-A19B-4BCE-8345-6D98B73CFBFD}"/>
    <hyperlink ref="I715" location="'8'!$M$46" display="$M$46 8" xr:uid="{A6A0C701-39A5-4F2E-A63F-3834AA70223A}"/>
    <hyperlink ref="I716" location="'8'!$M$14" display="$M$14 8" xr:uid="{7CE4A8F7-DDB8-41A7-A964-D4BE7DA280EE}"/>
    <hyperlink ref="I717" location="'8'!$M$62" display="$M$62 8" xr:uid="{CDE432F9-85C3-4398-A37B-7287DC7E5D79}"/>
    <hyperlink ref="I718" location="'8'!$M$63" display="$M$63 8" xr:uid="{6B1CEB9C-CB25-453F-9885-885A1C3E9178}"/>
    <hyperlink ref="I719" location="'7'!$S$79" display="$S$79 7" xr:uid="{6809F620-B97C-4EF7-A0AE-8F43CA5F2C17}"/>
    <hyperlink ref="I720" location="'7'!$S$78" display="$S$78 7" xr:uid="{1AACA958-A52F-4E40-9AE2-F5E0EFA10C31}"/>
    <hyperlink ref="I721" location="'8'!$M$78" display="$M$78 8" xr:uid="{8538BCF2-A4B4-489C-B8CF-1FAC455A4B8A}"/>
    <hyperlink ref="I722" location="'8'!$M$79" display="$M$79 8" xr:uid="{9644659A-12D7-4D37-81D8-86A655CF7E6C}"/>
    <hyperlink ref="I724" location="'8'!$M$49" display="$M$49 8" xr:uid="{BED279CB-E3FA-4756-972C-DABD5A538FB4}"/>
    <hyperlink ref="I725" location="'8'!$M$21" display="$M$21 8" xr:uid="{441AA2B6-6A91-469C-AB62-01B0CE041E48}"/>
    <hyperlink ref="I726" location="'8'!$M$47" display="$M$47 8" xr:uid="{543EFC93-CDCD-4A73-A386-9D50CA6FC103}"/>
    <hyperlink ref="I727" location="'8'!$M$57" display="$M$57 8" xr:uid="{2DBEF944-6F38-4D48-A34A-631C3DC5A83C}"/>
    <hyperlink ref="I729" location="'8'!$M$50" display="$M$50 8" xr:uid="{4C11ACC6-CF6F-4767-907B-C76F8ACCD5BA}"/>
    <hyperlink ref="I730" location="'8'!$N$56" display="$N$56 8" xr:uid="{F2F19FFE-D157-4BBA-8130-17670834D638}"/>
    <hyperlink ref="I731" location="'8'!$N$57" display="$N$57 8" xr:uid="{6381617A-53B7-466B-B804-EE957F8C3BF8}"/>
    <hyperlink ref="I732" location="'8'!$N$51" display="$N$51 8" xr:uid="{4565BF6C-7DB2-4D83-B298-4D8902C23D50}"/>
    <hyperlink ref="I733" location="'8'!$N$19" display="$N$19 8" xr:uid="{80C0C199-6FB2-4782-A215-7E636B343EF0}"/>
    <hyperlink ref="I734" location="'8'!$N$48" display="$N$48 8" xr:uid="{7E25ADA7-B29C-44F8-B4B4-AE0773C53647}"/>
    <hyperlink ref="I735" location="'8'!$N$49" display="$N$49 8" xr:uid="{4D5631FD-8C3D-47E9-84FB-A95E3743F4BF}"/>
    <hyperlink ref="I737" location="'8'!$O$24" display="$O$24 8" xr:uid="{2A6A6D75-9CC4-4A62-876C-0F0190BFB616}"/>
    <hyperlink ref="I738" location="'8'!$O$56" display="$O$56 8" xr:uid="{4C933D57-325D-4D57-9115-BB800FF98B72}"/>
    <hyperlink ref="I739" location="'8'!$O$46" display="$O$46 8" xr:uid="{E0A721D5-1BB9-447A-8A2F-0A2E494A262A}"/>
    <hyperlink ref="I740" location="'8'!$O$48" display="$O$48 8" xr:uid="{18E01644-6C91-419A-820A-862F722176C9}"/>
    <hyperlink ref="I741" location="'8'!$O$57" display="$O$57 8" xr:uid="{7B6464EF-FE62-4692-AD91-7197384F5A54}"/>
    <hyperlink ref="I742" location="'8'!$O$49" display="$O$49 8" xr:uid="{8E787120-DA92-4B8E-81EB-B1FF37A5E2B7}"/>
    <hyperlink ref="I743" location="'8'!$O$29" display="$O$29 8" xr:uid="{CC8A1382-ED67-4A47-8F7B-3BD77E4BCADA}"/>
    <hyperlink ref="I744" location="'8'!$P$14" display="$P$14 8" xr:uid="{EC2235EF-7F24-484A-9E85-0BABAA5E4E2A}"/>
    <hyperlink ref="I745" location="'8'!$P$46" display="$P$46 8" xr:uid="{E09C8108-03BA-484A-828B-684097C11220}"/>
    <hyperlink ref="I746" location="'8'!$T$63" display="$T$63 8" xr:uid="{1AC5E64A-D73C-4598-AFD1-88A5C01EB3F8}"/>
    <hyperlink ref="I747" location="'8'!$T$64" display="$T$64 8" xr:uid="{891E165C-7763-4760-B053-F7071E71645D}"/>
    <hyperlink ref="I748" location="'8'!$T$47" display="$T$47 8" xr:uid="{1F0B5884-5CDC-4341-874F-3EE0A426A883}"/>
    <hyperlink ref="I749" location="'8'!$T$50" display="$T$50 8" xr:uid="{4C64A702-E312-4FC1-B331-837E69E2AF1B}"/>
    <hyperlink ref="I750" location="'8'!$T$56" display="$T$56 8" xr:uid="{40ACCB39-3163-43DF-8C7F-E43204E5436B}"/>
    <hyperlink ref="I752" location="'8'!$T$19" display="$T$19 8" xr:uid="{1CBC4EAF-844A-4BB3-908C-1F8E8CDBE5F5}"/>
    <hyperlink ref="I753" location="'8'!$U$49" display="$U$49 8" xr:uid="{669FCBA0-7159-41D6-8F1A-5AE4BCA85C10}"/>
    <hyperlink ref="I754" location="'8'!$U$47" display="$U$47 8" xr:uid="{3CB79081-03CD-45D1-84F2-F4705BD4475E}"/>
    <hyperlink ref="I755" location="'8'!$U$46" display="$U$46 8" xr:uid="{BA404EB6-C1F4-465F-899E-E5BC7EAD51D1}"/>
    <hyperlink ref="I756" location="'8'!$U$57" display="$U$57 8" xr:uid="{2194799C-D508-4B0B-9E16-BAE92F738371}"/>
    <hyperlink ref="I757" location="'8'!$U$48" display="$U$48 8" xr:uid="{26E28C34-6EED-4494-91E7-E62CC4A525DD}"/>
    <hyperlink ref="I758" location="'8'!$V$50" display="$V$50 8" xr:uid="{2FD75C45-E8F7-41EF-BD97-FB71EF6FD5D7}"/>
    <hyperlink ref="I759" location="'8'!$V$56" display="$V$56 8" xr:uid="{07AC013D-B626-4FB5-871B-A2ABD8EBD850}"/>
    <hyperlink ref="I760" location="'8'!$V$48" display="$V$48 8" xr:uid="{7B5B9943-CB96-4FCF-A3CB-38C48415D187}"/>
    <hyperlink ref="I761" location="'8'!$W$57" display="$W$57 8" xr:uid="{1D92DE3D-E2AD-4A4D-B9FC-C98F5861FEFE}"/>
    <hyperlink ref="I762" location="'8'!$W$49" display="$W$49 8" xr:uid="{3050A053-70AC-44B2-9688-32CD34CDEFC1}"/>
    <hyperlink ref="I763" location="'8'!$W$46" display="$W$46 8" xr:uid="{4883BF80-9955-40D1-B8FE-C7A39A37BCC4}"/>
    <hyperlink ref="I764" location="'8'!$W$47" display="$W$47 8" xr:uid="{E858839F-5E9F-4743-8757-E0DE606E8523}"/>
    <hyperlink ref="I765" location="'8'!$Y$64" display="$Y$64 8" xr:uid="{07424E4B-DFAD-4313-BD73-C8A0A14C1D9B}"/>
    <hyperlink ref="I766" location="'8'!$Y$62" display="$Y$62 8" xr:uid="{739ADAC0-EA5B-4EC6-A2CD-448759225B16}"/>
    <hyperlink ref="I767" location="'8'!$Y$78" display="$Y$78 8" xr:uid="{D4D67D38-003D-489E-8B87-59E791D1488D}"/>
    <hyperlink ref="I768" location="'8'!$Y$79" display="$Y$79 8" xr:uid="{A1F2F284-09B6-4512-BDF4-AAFFBA17DA0A}"/>
    <hyperlink ref="I769" location="'8'!$Y$47" display="$Y$47 8" xr:uid="{AC8AC8E0-BDC6-4E18-B967-8C460D3A30EC}"/>
    <hyperlink ref="I770" location="'8'!$Y$50" display="$Y$50 8" xr:uid="{C231DB63-4685-432C-9701-8AE73303C60A}"/>
    <hyperlink ref="I771" location="'8'!$Y$48" display="$Y$48 8" xr:uid="{40015BEE-EB65-43EE-A4EA-D6CC3F70D02B}"/>
    <hyperlink ref="I773" location="'8'!$Z$47" display="$Z$47 8" xr:uid="{8765EE26-4350-45EA-862B-76CDAA8A80C0}"/>
    <hyperlink ref="I774" location="'8'!$Z$48" display="$Z$48 8" xr:uid="{CF12F2E0-7C2C-4488-A83F-0A6DD0853728}"/>
    <hyperlink ref="I775" location="'8'!$Z$46" display="$Z$46 8" xr:uid="{477D1712-63C1-477E-BCD2-4C9FEA1C9833}"/>
    <hyperlink ref="I776" r:id="rId34" location="'8'!$Z$47" xr:uid="{96B24671-0760-41CC-B6A5-8C154D8E5EFA}"/>
    <hyperlink ref="I777" location="'8'!$Z$49" display="$Z$49 8" xr:uid="{F0E71727-DF06-4165-9B18-3987ED145955}"/>
    <hyperlink ref="I778" r:id="rId35" location="'8'!$Z$48" xr:uid="{27EA34E4-9358-4A2E-B88B-D38EB2800FC8}"/>
    <hyperlink ref="I779" location="'8'!$Z$50" display="$Z$50 8" xr:uid="{303E804B-4140-4CC2-A08D-18BE7B31188A}"/>
    <hyperlink ref="I780" location="'8'!$Z$57" display="$Z$57 8" xr:uid="{483D1018-6AD3-4A52-8D99-F4F76F7B824F}"/>
    <hyperlink ref="I781" location="'8'!$Z$54" display="$Z$54 8" xr:uid="{66FC9071-BB35-43E9-AC7C-2914346E8B92}"/>
    <hyperlink ref="I782" location="'8'!$Z$53" display="$Z$53 8" xr:uid="{D0B80A76-C138-4C1F-B7BB-A7C292F81056}"/>
    <hyperlink ref="I783" location="'8'!$Z$15" display="$Z$15 8" xr:uid="{CAD9368E-FAA9-4974-A608-4A5E565F1644}"/>
    <hyperlink ref="I784" location="'8'!$AA$49" display="$AA$49 8" xr:uid="{E3300ACC-A8B6-4353-A6CE-1CCE994F3461}"/>
    <hyperlink ref="I785" location="'8'!$AA$57" display="$AA$57 8" xr:uid="{F1E46DD8-AD30-48C0-AEE7-CCFB28C15DC5}"/>
    <hyperlink ref="I786" location="'8'!$AA$46" display="$AA$46 8" xr:uid="{6F64A9B6-CD15-4AD1-9A5E-C4C6B34D0B63}"/>
    <hyperlink ref="I787" location="'8'!$AA$47" display="$AA$47 8" xr:uid="{9CF6DCC8-0AAA-484C-9A68-8B3AE7837C30}"/>
    <hyperlink ref="I788" location="'8'!$AA$50" display="$AA$50 8" xr:uid="{64EA635B-1586-49AC-A150-3B6600683D90}"/>
    <hyperlink ref="I789" location="'8'!$AA$48" display="$AA$48 8" xr:uid="{0591478E-6A96-47A4-A49B-1525699BB67F}"/>
    <hyperlink ref="I790" location="'8'!$AA$54" display="$AA$54 8" xr:uid="{16A5CF99-969F-4502-8204-2DB9CE09A777}"/>
    <hyperlink ref="I791" location="'8'!$AB$53" display="$AB$53 8" xr:uid="{0AD06749-B6DF-48FB-B52B-0298C746DC1A}"/>
    <hyperlink ref="I792" location="'8'!$AB$59" display="$AB$59 8" xr:uid="{6B0C6948-AE27-4548-879D-B2CEB1E862CE}"/>
    <hyperlink ref="I794" location="'9'!$F$16" display="$F$16 9" xr:uid="{8B315B65-B93D-44DA-977E-E168D6369A5A}"/>
    <hyperlink ref="I795" location="'9'!$F$62" display="$F$62 9" xr:uid="{43A5C8E0-C0BB-4365-8783-F35E4E357E1D}"/>
    <hyperlink ref="I796" location="'9'!$F$63" display="$F$63 9" xr:uid="{C53D54C7-7383-4713-B15F-99EAC4A06702}"/>
    <hyperlink ref="I797" location="'9'!$G$78" display="$G$78 9" xr:uid="{DA8B9DB0-7867-4250-8463-D53A83C642DB}"/>
    <hyperlink ref="I798" location="'9'!$G$79" display="$G$79 9" xr:uid="{F467CF5A-0B7F-45D4-929C-DA20FA9876F1}"/>
    <hyperlink ref="I799" location="'9'!$G$49" display="$G$49 9" xr:uid="{14DF69E2-99F9-48CE-ACCF-B0749005EA23}"/>
    <hyperlink ref="I800" location="'9'!$G$57" display="$G$57 9" xr:uid="{DD0E9B16-743E-4A7F-9E04-8D92A677215A}"/>
    <hyperlink ref="I801" location="'9'!$G$58" display="$G$58 9" xr:uid="{8AFF55B4-143F-45C9-9A02-B78D71A6A0C1}"/>
    <hyperlink ref="I802" location="'9'!$G$13" display="$G$13 9" xr:uid="{BBED4E1F-B38E-46D1-B781-097FA88F28D9}"/>
    <hyperlink ref="I803" location="'9'!$G$46" display="$G$46 9" xr:uid="{962EFD1D-D9D1-4CA2-8CAE-99F6124FE561}"/>
    <hyperlink ref="I804" location="'9'!$G$47" display="$G$47 9" xr:uid="{2BA3DEDD-4BD7-41B7-8BF8-F6564258ECC5}"/>
    <hyperlink ref="I805" location="'9'!$G$50" display="$G$50 9" xr:uid="{1EF1356F-6A66-4489-B1A3-4DD2EFDC7961}"/>
    <hyperlink ref="I806" location="'9'!$G$45" display="$G$45 9" xr:uid="{7FE168F2-8FF3-4169-9F41-3873C8E545F9}"/>
    <hyperlink ref="I807" location="'9'!$G$54" display="$G$54 9" xr:uid="{AB6ED01A-ABDD-432F-B987-818FB00E7F85}"/>
    <hyperlink ref="I808" location="'9'!$G$55" display="$G$55 9" xr:uid="{E18BF5F1-5A13-4C15-BAE4-BC19751B3773}"/>
    <hyperlink ref="I809" location="'9'!$G$53" display="$G$53 9" xr:uid="{98ACE466-A54C-4E24-8FAB-92B4A296ACF7}"/>
    <hyperlink ref="I810" location="'9'!$G$59" display="$G$59 9" xr:uid="{09D85569-5AEF-453A-B1D0-59CE0100E1CD}"/>
    <hyperlink ref="I811" location="'9'!$G$48" display="$G$48 9" xr:uid="{652D2EE8-B982-4909-8108-FE18FD5CF8AD}"/>
    <hyperlink ref="I812" location="'9'!$G$14" display="$G$14 9" xr:uid="{5F337E86-8395-49F0-A563-68C567090399}"/>
    <hyperlink ref="I813" r:id="rId36" location="'9'!$G$14" xr:uid="{F52D1B13-10A0-4ED6-85F0-FF43B0701E8E}"/>
    <hyperlink ref="I814" location="'9'!$H$48" display="$H$48 9" xr:uid="{39F4FB41-3A35-4C2D-9909-EAAFD846793D}"/>
    <hyperlink ref="I815" location="'9'!$H$58" display="$H$58 9" xr:uid="{E279BF64-47D8-464D-8999-B6353501F033}"/>
    <hyperlink ref="I816" location="'9'!$H$16" display="$H$16 9" xr:uid="{B1C756E8-F3B7-4855-9488-E4ACEF6ECB04}"/>
    <hyperlink ref="I817" location="'9'!$H$45" display="$H$45 9" xr:uid="{498E1F4D-A16A-4047-8281-BE6F851CF686}"/>
    <hyperlink ref="I818" location="'9'!$H$57" display="$H$57 9" xr:uid="{E4D6BDF2-37C4-46E3-AF33-7958B58808C1}"/>
    <hyperlink ref="I819" location="'9'!$H$46" display="$H$46 9" xr:uid="{67F37575-576D-416F-97D4-EB682B08220C}"/>
    <hyperlink ref="I820" location="'9'!$H$49" display="$H$49 9" xr:uid="{790B4260-9C27-4D69-AD4C-306B41024EBE}"/>
    <hyperlink ref="I821" location="'9'!$H$47" display="$H$47 9" xr:uid="{507FEBBF-E49F-476E-8048-CFC1ABE56AB0}"/>
    <hyperlink ref="I822" location="'9'!$H$50" display="$H$50 9" xr:uid="{3D250E43-616C-4E52-A601-40A1468D235D}"/>
    <hyperlink ref="I823" location="'9'!$H$54" display="$H$54 9" xr:uid="{E8F687EE-0242-4F70-AB4C-7715A29A2F5D}"/>
    <hyperlink ref="I824" location="'9'!$H$55" display="$H$55 9" xr:uid="{AC0AA8AF-81C1-4C72-B7C8-1DE061ADFD5C}"/>
    <hyperlink ref="I825" location="'9'!$H$53" display="$H$53 9" xr:uid="{F5D2A9FD-AA3C-43F6-80B6-CDF18DAF3B04}"/>
    <hyperlink ref="I826" location="'9'!$H$59" display="$H$59 9" xr:uid="{F64B5A0E-A184-4E9D-AE14-161B0F1DF5EA}"/>
    <hyperlink ref="I827" location="'9'!$H$15" display="$H$15 9" xr:uid="{95E3CA19-2D98-49D1-AB17-281ABE077CC7}"/>
    <hyperlink ref="I828" location="'9'!$H$14" display="$H$14 9" xr:uid="{9AC2CB5F-0F6A-4A3B-8847-407AF1F74CE4}"/>
    <hyperlink ref="I829" location="'9'!$H$29" display="$H$29 9" xr:uid="{8A3429E4-513C-4A0B-B55F-61123BC68F93}"/>
    <hyperlink ref="I830" location="'9'!$J$24" display="$J$24 9" xr:uid="{A6B316F5-C389-4C7E-8001-B5344DD9CAEB}"/>
    <hyperlink ref="I831" location="'9'!$J$58" display="$J$58 9" xr:uid="{9FF901FC-F240-4F52-B80B-49B00A2D163E}"/>
    <hyperlink ref="I832" location="'9'!$K$57" display="$K$57 9" xr:uid="{6C308982-8FA2-4866-B245-BCD8412ED2EB}"/>
    <hyperlink ref="I833" location="'9'!$L$49" display="$L$49 9" xr:uid="{B4203BC9-8DBA-4535-8A54-BBD6DF617054}"/>
    <hyperlink ref="I834" location="'9'!$L$46" display="$L$46 9" xr:uid="{369F2BB2-F157-4E9F-9214-173E036F61AF}"/>
    <hyperlink ref="I835" location="'9'!$L$47" display="$L$47 9" xr:uid="{E03E8BF4-96E5-43ED-869B-578FB5C8C733}"/>
    <hyperlink ref="I836" location="'9'!$L$13" display="$L$13 9" xr:uid="{3F4BA8BD-1911-4B1E-A35F-81890577586E}"/>
    <hyperlink ref="I837" location="'9'!$L$50" display="$L$50 9" xr:uid="{AABF54E0-1362-44C9-827A-2FDC38AF2245}"/>
    <hyperlink ref="I838" location="'9'!$L$58" display="$L$58 9" xr:uid="{0BBFCAA4-7F56-4DCA-8A33-7AE5966E8261}"/>
    <hyperlink ref="I839" location="'9'!$L$57" display="$L$57 9" xr:uid="{4B8DF9EA-B3BD-4789-8F1B-8EDF88ED6E0E}"/>
    <hyperlink ref="I840" location="'9'!$M$63" display="$M$63 9" xr:uid="{0858ADBB-F8DB-4CF7-8D41-8DFDF893C745}"/>
    <hyperlink ref="I841" location="'9'!$M$64" display="$M$64 9" xr:uid="{9BF90B25-51B2-4CEB-AC1B-43A61A9C2112}"/>
    <hyperlink ref="I842" location="'9'!$M$49" display="$M$49 9" xr:uid="{8540C29B-1AEA-4B8C-9B42-BF8A26373FC7}"/>
    <hyperlink ref="I843" location="'9'!$M$46" display="$M$46 9" xr:uid="{3F760E78-CD7C-438C-AD82-950147DA992D}"/>
    <hyperlink ref="I844" location="'9'!$M$47" display="$M$47 9" xr:uid="{88861D9C-9A33-4F4B-8FF2-5591C38766AF}"/>
    <hyperlink ref="I845" location="'9'!$M$50" display="$M$50 9" xr:uid="{DD56565D-108C-489B-9EE5-9C89BE654C24}"/>
    <hyperlink ref="I846" location="'9'!$N$28" display="$N$28 9" xr:uid="{95017163-1AE3-434D-849F-37FBB051A849}"/>
    <hyperlink ref="I847" r:id="rId37" location="'9'!$N$28" xr:uid="{439541E4-3737-4633-B664-CD043F384214}"/>
    <hyperlink ref="I848" location="'9'!$N$49" display="$N$49 9" xr:uid="{38E75F93-2F27-4978-9D70-A8EA7FC85F7E}"/>
    <hyperlink ref="I849" location="'9'!$N$57" display="$N$57 9" xr:uid="{8E0A0DBF-387C-4B81-9E05-EE3289C128A4}"/>
    <hyperlink ref="I850" location="'9'!$N$24" display="$N$24 9" xr:uid="{D9892077-7734-48D2-9B10-8C8955F8E022}"/>
    <hyperlink ref="I853" location="'9'!$O$47" display="$O$47 9" xr:uid="{BA449BDF-DBEE-49FD-9F7D-0C3B04418C1A}"/>
    <hyperlink ref="I854" location="'9'!$O$50" display="$O$50 9" xr:uid="{E8113CEE-46BD-47B6-836B-8B2CA8156C25}"/>
    <hyperlink ref="I855" location="'9'!$O$56" display="$O$56 9" xr:uid="{88D69FA1-6527-4C01-A5D9-0F9EF05A094B}"/>
    <hyperlink ref="I856" location="'9'!$O$57" display="$O$57 9" xr:uid="{CB1D274F-4D86-4FE0-B8CB-C958236904D8}"/>
    <hyperlink ref="I857" location="'9'!$O$49" display="$O$49 9" xr:uid="{538E26ED-A434-4878-8FBD-687B3B22905F}"/>
    <hyperlink ref="I858" location="'9'!$O$46" display="$O$46 9" xr:uid="{CCD985E1-CB18-4199-97D3-84E4D87C6512}"/>
    <hyperlink ref="I859" location="'9'!$O$29" display="$O$29 9" xr:uid="{AFDF5632-A3C9-44F1-9D55-3099670F85D2}"/>
    <hyperlink ref="I863" r:id="rId38" location="'9'!$O$46" xr:uid="{C68C41AA-3338-46C6-9BC2-1866476D858B}"/>
    <hyperlink ref="I865" location="'9'!$P$49" display="$P$49 9" xr:uid="{0807BBF6-4140-44D1-B16B-E6A32848C91B}"/>
    <hyperlink ref="I866" location="'9'!$P$57" display="$P$57 9" xr:uid="{747C892D-D696-4979-A8DB-EEF68785CD5B}"/>
    <hyperlink ref="I867" location="'9'!$P$14" display="$P$14 9" xr:uid="{8F5EEE5E-6F7E-484E-8371-E1BC4179340B}"/>
    <hyperlink ref="I868" location="'9'!$P$50" display="$P$50 9" xr:uid="{3635E697-A3D1-4954-9795-8A34CC41212A}"/>
    <hyperlink ref="I869" location="'9'!$Q$56" display="$Q$56 9" xr:uid="{C75D2330-9B32-4A84-ABE1-66716B762365}"/>
    <hyperlink ref="I870" location="'9'!$Q$57" display="$Q$57 9" xr:uid="{2312CD40-C09A-429F-AA0C-623754F4C41E}"/>
    <hyperlink ref="I871" location="'9'!$Q$49" display="$Q$49 9" xr:uid="{AEAFF799-238C-4585-B600-A446C338A9BF}"/>
    <hyperlink ref="I872" location="'9'!$Q$46" display="$Q$46 9" xr:uid="{FCF1C0A1-B1B3-4F87-8D8A-09DF42986BBF}"/>
    <hyperlink ref="I873" location="'9'!$Q$47" display="$Q$47 9" xr:uid="{6F262F98-447D-40B8-AD2F-9BAEF9983F3C}"/>
    <hyperlink ref="I874" location="'9'!$R$50" display="$R$50 9" xr:uid="{D26FC21B-A2E9-41D3-9B9F-4D07642D993C}"/>
    <hyperlink ref="I875" location="'9'!$R$47" display="$R$47 9" xr:uid="{FB0A353E-D7C1-41F3-AB69-680EDCFB7E5B}"/>
    <hyperlink ref="I876" location="'9'!$S$64" display="$S$64 9" xr:uid="{330C13B8-6259-40B2-BCA3-6628899FC5E8}"/>
    <hyperlink ref="I877" location="'9'!$S$62" display="$S$62 9" xr:uid="{55E7AC7A-8469-4C45-9814-AC46B561D0B3}"/>
    <hyperlink ref="I878" location="'9'!$S$28" display="$S$28 9" xr:uid="{0633FD3C-568F-4D3D-BA98-564E02F306BA}"/>
    <hyperlink ref="I879" r:id="rId39" location="'9'!$S$28" xr:uid="{9FAEF509-9FE5-4F3E-B917-FC001B7786E1}"/>
    <hyperlink ref="I880" location="'9'!$S$50" display="$S$50 9" xr:uid="{A8C088B3-EC27-44DC-870F-3C22DEB7C1C2}"/>
    <hyperlink ref="I881" location="'9'!$S$19" display="$S$19 9" xr:uid="{47E12F41-4BAB-4E4B-A66B-295B9773C120}"/>
    <hyperlink ref="I882" r:id="rId40" location="'9'!$S$19" xr:uid="{23D7DF9E-DFBE-4F31-84D6-064C367C5533}"/>
    <hyperlink ref="I883" location="'9'!$T$19" display="$T$19 9" xr:uid="{18AF0FBA-BF2C-421F-8F79-AA53F6B7630C}"/>
    <hyperlink ref="I884" location="'9'!$V$13" display="$V$13 9" xr:uid="{FE04792F-6C01-40BE-9942-43E5428CD24E}"/>
    <hyperlink ref="I885" location="'9'!$W$19" display="$W$19 9" xr:uid="{B71F5DC6-468E-4DF7-901E-AFBB7D9BEE3D}"/>
    <hyperlink ref="I886" location="'9'!$X$56" display="$X$56 9" xr:uid="{25923485-4DFA-4426-AFF3-545EC4335D42}"/>
    <hyperlink ref="I887" location="'9'!$Y$48" display="$Y$48 9" xr:uid="{072F48A1-E6BE-4C15-9BFD-1570C9F889C3}"/>
    <hyperlink ref="I888" location="'9'!$Y$62" display="$Y$62 9" xr:uid="{D154AE26-A96F-4180-AC75-6BB3D429E8E7}"/>
    <hyperlink ref="I889" location="'9'!$Y$63" display="$Y$63 9" xr:uid="{96B76336-4F01-444A-BCF8-B214905AFF30}"/>
    <hyperlink ref="I890" location="'9'!$Y$79" display="$Y$79 9" xr:uid="{ED5E571E-782A-4661-8CAC-E03606AEA53C}"/>
    <hyperlink ref="I891" location="'9'!$Y$78" display="$Y$78 9" xr:uid="{6F24041B-BA3B-4108-BD8B-B2033E97C74F}"/>
    <hyperlink ref="I892" location="'9'!$Y$13" display="$Y$13 9" xr:uid="{6E08B57B-B6FD-4FFE-A925-0017A5DD6440}"/>
    <hyperlink ref="I893" location="'9'!$Y$57" display="$Y$57 9" xr:uid="{985F5D2E-AA86-471B-9DBC-C05DAC590740}"/>
    <hyperlink ref="I894" location="'9'!$Y$49" display="$Y$49 9" xr:uid="{12EDC338-64EC-4642-9C42-E45830AA6E36}"/>
    <hyperlink ref="I895" location="'9'!$Y$46" display="$Y$46 9" xr:uid="{E8183247-A330-4506-8993-D53114D80BDD}"/>
    <hyperlink ref="I896" location="'9'!$Y$47" display="$Y$47 9" xr:uid="{68E7C050-4374-42B0-A100-C607371EC0B8}"/>
    <hyperlink ref="I897" location="'9'!$Z$56" display="$Z$56 9" xr:uid="{2DA21A06-FCE2-4B35-A6CD-CE6A07E8C27E}"/>
    <hyperlink ref="I898" location="'9'!$Z$48" display="$Z$48 9" xr:uid="{44C336A1-54C1-4803-BFF7-812F138E3F0E}"/>
    <hyperlink ref="I899" location="'9'!$Z$50" display="$Z$50 9" xr:uid="{C1222060-1F23-431D-9707-74091FB15090}"/>
    <hyperlink ref="I900" r:id="rId41" location="'9'!$Z$56" xr:uid="{59E9BB8A-C090-4D74-B96C-CF1EF07346C4}"/>
    <hyperlink ref="I901" location="'9'!$Z$15" display="$Z$15 9" xr:uid="{2E269606-2A84-43C6-8950-1691348C7F70}"/>
    <hyperlink ref="I902" location="'9'!$Z$57" display="$Z$57 9" xr:uid="{FEEE7FBB-D7CD-45DB-9A99-90A6EC4F73A4}"/>
    <hyperlink ref="I903" location="'9'!$Z$49" display="$Z$49 9" xr:uid="{7A89D3AA-44B7-480F-8265-F99DE4228A96}"/>
    <hyperlink ref="I904" location="'9'!$AA$46" display="$AA$46 9" xr:uid="{97CBE8DF-C44B-403C-9C58-F3AE3DA26906}"/>
    <hyperlink ref="I905" location="'9'!$AA$47" display="$AA$47 9" xr:uid="{8844917B-AFDB-42BF-958E-FD7F166AA6F8}"/>
    <hyperlink ref="I906" location="'9'!$AA$50" display="$AA$50 9" xr:uid="{924B9C73-9AC9-4F40-9F73-E8735FB8CEB6}"/>
    <hyperlink ref="I907" location="'9'!$AB$56" display="$AB$56 9" xr:uid="{3C388028-7875-4A71-BE8A-7631AC5C711D}"/>
    <hyperlink ref="I908" location="'9'!$AC$48" display="$AC$48 9" xr:uid="{B8100825-C4B3-4473-9CB2-05FF3FEF8429}"/>
    <hyperlink ref="I909" location="'9'!$AC$29" display="$AC$29 9" xr:uid="{078B4C41-1504-4F3D-B51D-9D8E94855101}"/>
    <hyperlink ref="I910" location="'10'!$F$48" display="$F$48 10" xr:uid="{9771A3FD-35B6-4C49-A348-93DCCF486F84}"/>
    <hyperlink ref="I911" location="'10'!$F$19" display="$F$19 10" xr:uid="{3C59A098-61CB-4C2B-8034-48367F4F4E64}"/>
    <hyperlink ref="I912" location="'10'!$G$63" display="$G$63 10" xr:uid="{E640DF4D-4CCD-446F-B725-AA12AC7DE6BB}"/>
    <hyperlink ref="I913" location="'10'!$G$64" display="$G$64 10" xr:uid="{0E07EC1B-385A-4DFC-87DE-E552B964B8C3}"/>
    <hyperlink ref="I914" location="'10'!$G$24" display="$G$24 10" xr:uid="{A83487E6-5283-4CEB-85CF-E6CAB6DE93AD}"/>
    <hyperlink ref="I915" location="'10'!$G$15" display="$G$15 10" xr:uid="{19A9F862-36F4-4FBE-BF31-7E0BBB08ADF0}"/>
    <hyperlink ref="I916" location="'10'!$H$16" display="$H$16 10" xr:uid="{B05B2AAC-0D7F-4281-BF5B-46FD2C8EFF6F}"/>
    <hyperlink ref="I917" location="'10'!$H$21" display="$H$21 10" xr:uid="{7D587BE8-6A55-463B-9CA2-BBC179D54CDE}"/>
    <hyperlink ref="I918" location="'10'!$H$57" display="$H$57 10" xr:uid="{4A7B04B3-EF50-4149-9BF5-9D1A345613D2}"/>
    <hyperlink ref="I919" location="'10'!$I$57" display="$I$57 10" xr:uid="{3D229F45-36C8-41CA-B662-934DA8ED3569}"/>
    <hyperlink ref="I920" location="'10'!$J$16" display="$J$16 10" xr:uid="{86DD79A4-EC82-41DF-981F-D42750307F50}"/>
    <hyperlink ref="I921" location="'10'!$J$14" display="$J$14 10" xr:uid="{36F95129-9CAF-4984-91CE-E0969B8D3942}"/>
    <hyperlink ref="I922" location="'10'!$L$49" display="$L$49 10" xr:uid="{8962B6CF-D8F3-4063-8FEA-0EACA7CBCA1C}"/>
    <hyperlink ref="I923" location="'10'!$L$46" display="$L$46 10" xr:uid="{2205CAC5-5717-4FA5-9EFB-DB70333FFBE3}"/>
    <hyperlink ref="I924" location="'10'!$L$47" display="$L$47 10" xr:uid="{4865A6DC-008B-48F3-809A-C23876C7A22B}"/>
    <hyperlink ref="I925" location="'10'!$L$50" display="$L$50 10" xr:uid="{2A7134A8-A252-4946-94BD-7FE7509AF1D0}"/>
    <hyperlink ref="I926" location="'10'!$M$21" display="$M$21 10" xr:uid="{49FEE9C2-1361-458E-9697-8B1D69BCF5A5}"/>
    <hyperlink ref="I927" location="'10'!$M$49" display="$M$49 10" xr:uid="{3C48DFC8-7A9D-43EF-A311-F98CD23A430F}"/>
    <hyperlink ref="I928" location="'10'!$M$64" display="$M$64 10" xr:uid="{DA16DA44-918B-47A2-865B-C321F72BF6E1}"/>
    <hyperlink ref="I929" location="'10'!$M$62" display="$M$62 10" xr:uid="{7724CFCF-B4B2-4479-8E8D-CEE298FF76EB}"/>
    <hyperlink ref="I930" location="'10'!$M$78" display="$M$78 10" xr:uid="{C5BE772A-086A-4A9A-A994-00ECB733DF1A}"/>
    <hyperlink ref="I931" location="'10'!$M$79" display="$M$79 10" xr:uid="{82128A14-38D8-4245-8345-924C55660E58}"/>
    <hyperlink ref="I932" location="'10'!$M$46" display="$M$46 10" xr:uid="{16314B0C-5505-4A14-84B2-0079DC8BA16D}"/>
    <hyperlink ref="I933" location="'10'!$M$47" display="$M$47 10" xr:uid="{BE2AAEDD-B554-4BB6-80CE-975FBE021AF7}"/>
    <hyperlink ref="I934" location="'10'!$M$50" display="$M$50 10" xr:uid="{C9514E16-6A1D-4963-B9A9-CD1CF4351B1C}"/>
    <hyperlink ref="I935" location="'10'!$N$24" display="$N$24 10" xr:uid="{55903614-B75B-4E4C-BCEB-5215217EE8BA}"/>
    <hyperlink ref="I936" location="'10'!$N$56" display="$N$56 10" xr:uid="{70A06237-8ECB-4435-A7DB-431E21EB760E}"/>
    <hyperlink ref="I937" location="'10'!$O$48" display="$O$48 10" xr:uid="{DE5EA0B3-3701-4D84-85C2-3B851990570C}"/>
    <hyperlink ref="I938" location="'10'!$O$57" display="$O$57 10" xr:uid="{5EA6A379-8480-4501-B0FB-E08EA193B11D}"/>
    <hyperlink ref="I939" location="'10'!$O$19" display="$O$19 10" xr:uid="{0D69F620-0D58-4B88-BD8A-531B0C753DEB}"/>
    <hyperlink ref="I940" location="'10'!$O$29" display="$O$29 10" xr:uid="{4E3E6E22-F170-45CA-B679-D2A9FEE2455A}"/>
    <hyperlink ref="I941" location="'10'!$O$56" display="$O$56 10" xr:uid="{618698B6-6429-4075-A12D-809EA1A0C4A0}"/>
    <hyperlink ref="I943" location="'10'!$O$49" display="$O$49 10" xr:uid="{F8B9552C-6EDB-4AED-A35E-DB7BC6DE7807}"/>
    <hyperlink ref="I944" location="'10'!$P$46" display="$P$46 10" xr:uid="{012437AD-5635-4C23-BEFC-6C076365E288}"/>
    <hyperlink ref="I945" location="'10'!$P$47" display="$P$47 10" xr:uid="{7583B07A-11E1-4EF6-91B3-07D63CFAF553}"/>
    <hyperlink ref="I946" location="'10'!$P$50" display="$P$50 10" xr:uid="{D2DA0F1A-9610-4497-870A-4A745D75966C}"/>
    <hyperlink ref="I947" location="'10'!$P$56" display="$P$56 10" xr:uid="{B823C5A2-2865-4536-A73B-7FCBE2E83692}"/>
    <hyperlink ref="I948" location="'10'!$P$14" display="$P$14 10" xr:uid="{901A7253-E512-4648-8904-A02F9C0AA798}"/>
    <hyperlink ref="I949" location="'10'!$P$57" display="$P$57 10" xr:uid="{8EA80768-D766-42C6-9871-2C7616EDBC57}"/>
    <hyperlink ref="I950" location="'10'!$P$49" display="$P$49 10" xr:uid="{8A43C53A-86D5-4766-B86F-DAE0740F3F0C}"/>
    <hyperlink ref="I955" location="'10'!$R$57" display="$R$57 10" xr:uid="{5920F10A-136F-444E-AFD7-39536A48717B}"/>
    <hyperlink ref="I956" location="'10'!$S$21" display="$S$21 10" xr:uid="{F3A285F9-8A3E-4B0B-8FAF-709ADA664309}"/>
    <hyperlink ref="I957" r:id="rId42" location="'10'!$S$21" xr:uid="{888BECFB-D258-4626-876B-B8434FF0BC99}"/>
    <hyperlink ref="I958" location="'10'!$S$46" display="$S$46 10" xr:uid="{505DBF31-804E-46E6-9C12-D8DA9CA9D78D}"/>
    <hyperlink ref="I959" location="'10'!$S$47" display="$S$47 10" xr:uid="{F03A98E5-4204-4598-989E-4871F040D4A6}"/>
    <hyperlink ref="I960" location="'10'!$S$49" display="$S$49 10" xr:uid="{CD99EA7C-D610-423C-AB5C-805D1185F790}"/>
    <hyperlink ref="I961" location="'10'!$S$50" display="$S$50 10" xr:uid="{23B4FCC8-40B6-4DBB-8B5B-E8087F332426}"/>
    <hyperlink ref="I962" location="'10'!$S$56" display="$S$56 10" xr:uid="{07D271DE-B560-4B05-AF5E-573AF6984978}"/>
    <hyperlink ref="I963" location="'10'!$S$48" display="$S$48 10" xr:uid="{ADEC126A-7AF6-4554-BD90-2C18A5CF9C78}"/>
    <hyperlink ref="I964" location="'10'!$S$62" display="$S$62 10" xr:uid="{015C52C4-F9F5-49BD-8BF3-80195FCDE35C}"/>
    <hyperlink ref="I965" location="'10'!$S$63" display="$S$63 10" xr:uid="{A4988DAF-CE5D-41B2-8F1B-D418FAE13ECD}"/>
    <hyperlink ref="I966" location="'10'!$T$54" display="$T$54 10" xr:uid="{FF4D9234-90ED-45F2-8125-1DB672670D0B}"/>
    <hyperlink ref="I967" location="'10'!$T$39" display="$T$39 10" xr:uid="{67C4A6AF-D5AD-4730-BC49-91D21D3F28EF}"/>
    <hyperlink ref="I969" location="'10'!$T$41" display="$T$41 10" xr:uid="{8D87EB9D-F5D2-4DD8-90E5-B33964FD025C}"/>
    <hyperlink ref="I970" location="'10'!$T$57" display="$T$57 10" xr:uid="{114DE771-EEC4-4CA6-93B9-A5EC23C8F3BF}"/>
    <hyperlink ref="I971" location="'10'!$T$44" display="$T$44 10" xr:uid="{E9EC0BB2-104A-4552-A1FD-1FC27CF338C8}"/>
    <hyperlink ref="I972" location="'10'!$T$49" display="$T$49 10" xr:uid="{EDFEC2C4-3A4A-4156-8150-75A56572FCBC}"/>
    <hyperlink ref="I973" r:id="rId43" location="'10'!$T$57" xr:uid="{DC946D1B-2059-4C55-B982-852B1F5CFC4E}"/>
    <hyperlink ref="I974" r:id="rId44" location="'10'!$T$49" xr:uid="{C0FA5C59-4526-4AC9-A815-F54095B13D9E}"/>
    <hyperlink ref="I975" r:id="rId45" location="'10'!$T$54" xr:uid="{E61CA2FF-186E-4B29-BE48-C8FF8E73DBE7}"/>
    <hyperlink ref="I977" location="'10'!$U$42" display="$U$42 10" xr:uid="{0ECC15C4-E02A-43D9-B913-A97D58AED170}"/>
    <hyperlink ref="I978" location="'10'!$U$57" display="$U$57 10" xr:uid="{83E2B322-EFCA-4CEC-92D4-CFEAB5C78A6B}"/>
    <hyperlink ref="I979" location="'10'!$U$54" display="$U$54 10" xr:uid="{E2F7C2AE-FB06-4AF1-B347-C571D4A03DF1}"/>
    <hyperlink ref="I981" location="'10'!$V$49" display="$V$49 10" xr:uid="{AB70E784-FEB2-4DB4-8D2D-DE4E3A6322A9}"/>
    <hyperlink ref="I982" location="'10'!$V$46" display="$V$46 10" xr:uid="{8EEF9CD8-1723-4CE1-8051-B48238CE6390}"/>
    <hyperlink ref="I983" location="'10'!$W$47" display="$W$47 10" xr:uid="{0319AA05-AFE4-4C66-A3F9-F602F206CE2E}"/>
    <hyperlink ref="I984" location="'10'!$W$50" display="$W$50 10" xr:uid="{F8BD406F-EF8A-4758-A00F-E85947FF6E8C}"/>
    <hyperlink ref="I985" location="'10'!$W$48" display="$W$48 10" xr:uid="{B68A6ABC-5783-4822-815A-4FAFA4F871E3}"/>
    <hyperlink ref="I986" location="'10'!$W$56" display="$W$56 10" xr:uid="{307E56BC-4E9F-47DB-A4DB-62FE768BA5A9}"/>
    <hyperlink ref="I987" location="'10'!$X$62" display="$X$62 10" xr:uid="{3E07676F-5135-4F0A-AC0F-3AA3C6F02891}"/>
    <hyperlink ref="I988" location="'10'!$X$64" display="$X$64 10" xr:uid="{91727306-CA64-4E92-A2BF-141D8C474F75}"/>
    <hyperlink ref="I989" location="'10'!$Y$79" display="$Y$79 10" xr:uid="{6558CBA5-AD10-4399-A0C2-ED730104FBF1}"/>
    <hyperlink ref="I990" location="'10'!$Y$78" display="$Y$78 10" xr:uid="{E3C84DC6-3972-4A88-BACC-AE1FCB4153C4}"/>
    <hyperlink ref="I991" location="'10'!$Y$62" display="$Y$62 10" xr:uid="{9A756451-9AA9-4406-BADA-3434E33719C6}"/>
    <hyperlink ref="I992" location="'10'!$Y$63" display="$Y$63 10" xr:uid="{1DC2343D-8479-4A08-AF6C-7F10B8AD2A9E}"/>
    <hyperlink ref="I993" location="'10'!$AB$46" display="$AB$46 10" xr:uid="{07A6BC0C-C84C-4441-A331-6D1FDDB0D4F3}"/>
    <hyperlink ref="I994" location="'10'!$AB$49" display="$AB$49 10" xr:uid="{27A41872-ED74-4FE1-A2F0-312D2F593B07}"/>
    <hyperlink ref="I995" location="'10'!$AB$57" display="$AB$57 10" xr:uid="{2F9830A4-E299-4F2E-BB62-26E65588475C}"/>
    <hyperlink ref="I996" location="'10'!$AB$21" display="$AB$21 10" xr:uid="{C979E752-32C1-4646-B63F-79AAF22D6BD5}"/>
    <hyperlink ref="I999" location="'10'!$AB$13" display="$AB$13 10" xr:uid="{3A4BFED0-1BD2-45C3-B15A-3604A849AE6C}"/>
    <hyperlink ref="I1002" location="'10'!$AC$29" display="$AC$29 10" xr:uid="{28245C90-C9D3-4588-B8B6-FF86CAD8977C}"/>
    <hyperlink ref="I1003" location="'10'!$AC$47" display="$AC$47 10" xr:uid="{1E241596-BF25-43F8-BDF4-BBD369A36831}"/>
    <hyperlink ref="I1004" location="'10'!$AC$50" display="$AC$50 10" xr:uid="{C5976755-634B-4108-8AA0-F384EED52C6B}"/>
    <hyperlink ref="I1005" location="'11'!$F$47" display="$F$47 11" xr:uid="{1230EE4B-C24F-4BAD-8EC6-F4D49B4056C5}"/>
    <hyperlink ref="I1006" location="'11'!$F$50" display="$F$50 11" xr:uid="{24E7842E-7745-4BDC-BB7C-3B77803CDD03}"/>
    <hyperlink ref="I1007" location="'11'!$F$19" display="$F$19 11" xr:uid="{CB4595D3-39CF-4F1E-AE8C-521E29EBB868}"/>
    <hyperlink ref="I1008" location="'11'!$G$64" display="$G$64 11" xr:uid="{81350FA8-6C8F-4C04-B5F8-3479E66FC2A5}"/>
    <hyperlink ref="I1009" location="'11'!$G$48" display="$G$48 11" xr:uid="{7E917733-BF5B-48D5-9E91-644A59221E76}"/>
    <hyperlink ref="I1010" location="'11'!$G$56" display="$G$56 11" xr:uid="{D47E2BEF-A92F-41CE-8B33-F5791D670177}"/>
    <hyperlink ref="I1011" location="'11'!$G$24" display="$G$24 11" xr:uid="{C54FC1BF-B8BF-4BAB-BDCF-864FB05A71E1}"/>
    <hyperlink ref="I1012" location="'11'!$G$13" display="$G$13 11" xr:uid="{A17B6191-3BAD-4998-9E73-E5922792BE85}"/>
    <hyperlink ref="I1014" location="'11'!$H$48" display="$H$48 11" xr:uid="{CF28AC66-A4D3-49EA-8475-B6C7118D2FBE}"/>
    <hyperlink ref="I1015" location="'11'!$H$15" display="$H$15 11" xr:uid="{46DE634A-37B1-4474-8D2B-8662A1A2BC80}"/>
    <hyperlink ref="I1016" location="'11'!$I$39" display="$I$39 11" xr:uid="{7DC5504F-9114-4328-98C4-74857713DAB5}"/>
    <hyperlink ref="I1017" location="'11'!$I$41" display="$I$41 11" xr:uid="{CD934FDE-6FC7-4FB5-8F6D-E109E1C6FE05}"/>
    <hyperlink ref="I1018" location="'11'!$I$44" display="$I$44 11" xr:uid="{A6CBA65A-80E5-436C-8DC5-C2D3C14427FA}"/>
    <hyperlink ref="I1019" location="'11'!$L$57" display="$L$57 11" xr:uid="{ADF38DA8-8C6B-48EB-B423-8BC27FCBF68C}"/>
    <hyperlink ref="I1020" location="'11'!$L$49" display="$L$49 11" xr:uid="{F444CF55-E7A0-4445-83A8-E1CEC300B651}"/>
    <hyperlink ref="I1021" location="'11'!$L$46" display="$L$46 11" xr:uid="{96090E96-D836-4C37-9476-7A700CD87DCB}"/>
    <hyperlink ref="I1022" location="'11'!$M$47" display="$M$47 11" xr:uid="{5A2C1BAB-FBCD-43BC-8D22-151FCD80F5D6}"/>
    <hyperlink ref="I1023" location="'11'!$M$57" display="$M$57 11" xr:uid="{130F535F-99A8-495A-8302-C17C1AD74169}"/>
    <hyperlink ref="I1024" location="'11'!$M$49" display="$M$49 11" xr:uid="{F53A7DC6-43A0-4C1C-8391-042316BF87B7}"/>
    <hyperlink ref="I1025" location="'11'!$M$46" display="$M$46 11" xr:uid="{0B5413DE-7CF2-4C51-96CC-561254EABFCA}"/>
    <hyperlink ref="I1026" location="'11'!$M$21" display="$M$21 11" xr:uid="{B82762B1-076D-4FB2-983B-67D07DBD7562}"/>
    <hyperlink ref="I1028" location="'11'!$M$62" display="$M$62 11" xr:uid="{50CF0EBD-7B6D-4B91-A660-9B4FB1625A12}"/>
    <hyperlink ref="I1029" location="'11'!$M$63" display="$M$63 11" xr:uid="{49A28AC2-075D-49A3-9BE9-D36E652B9BCA}"/>
    <hyperlink ref="I1030" location="'11'!$N$78" display="$N$78 11" xr:uid="{427386E4-E301-4FF6-B399-BE6373ADC3FE}"/>
    <hyperlink ref="I1031" location="'11'!$N$79" display="$N$79 11" xr:uid="{D8BF19C4-7228-438B-99A8-CD8906DCF90C}"/>
    <hyperlink ref="I1032" location="'11'!$N$62" display="$N$62 11" xr:uid="{179F66AE-54CA-4D2D-A830-6528A177CE3A}"/>
    <hyperlink ref="I1033" location="'11'!$N$63" display="$N$63 11" xr:uid="{E4966B88-AB7E-4262-8405-B6B14AC16FE3}"/>
    <hyperlink ref="I1034" location="'11'!$N$24" display="$N$24 11" xr:uid="{41D66838-880B-45CF-9585-42A9B755969D}"/>
    <hyperlink ref="I1035" location="'11'!$N$44" display="$N$44 11" xr:uid="{4C750FDA-F5FD-48DB-8EF4-248A42C861D7}"/>
    <hyperlink ref="I1036" location="'11'!$N$39" display="$N$39 11" xr:uid="{4A87B43B-BE40-416B-924F-1F724FEB8278}"/>
    <hyperlink ref="I1037" location="'11'!$O$41" display="$O$41 11" xr:uid="{EA383347-D466-4D35-BA5A-CE77DBE4A7F0}"/>
    <hyperlink ref="I1038" location="'11'!$O$19" display="$O$19 11" xr:uid="{1D2B0F70-B0E5-472E-BDBD-4C7508F5658C}"/>
    <hyperlink ref="I1039" location="'11'!$O$51" display="$O$51 11" xr:uid="{9E89A35E-F569-49CE-96F9-82B9D9ABAA5E}"/>
    <hyperlink ref="I1040" location="'11'!$O$56" display="$O$56 11" xr:uid="{B52C29AE-186A-4606-AD83-315E5B69C30B}"/>
    <hyperlink ref="I1041" location="'11'!$O$48" display="$O$48 11" xr:uid="{02C6DD06-3134-48D0-8D5A-AF8987E7BC19}"/>
    <hyperlink ref="I1042" location="'11'!$O$39" display="$O$39 11" xr:uid="{A1408CB3-3FF4-4C5F-AD35-4CB27632FEE5}"/>
    <hyperlink ref="I1043" r:id="rId46" location="'11'!$O$39" xr:uid="{0441BC90-1D98-43C9-AA6D-30994FD1C0E8}"/>
    <hyperlink ref="I1044" location="'11'!$O$57" display="$O$57 11" xr:uid="{3223C565-8EA7-4D02-A735-B3B4736832CE}"/>
    <hyperlink ref="I1045" location="'11'!$O$49" display="$O$49 11" xr:uid="{CEC999C2-5F24-4550-BABE-21E40FA5EAEA}"/>
    <hyperlink ref="I1046" location="'11'!$P$29" display="$P$29 11" xr:uid="{4FF51F32-CADB-45D5-8779-D15114272021}"/>
    <hyperlink ref="I1047" location="'11'!$P$50" display="$P$50 11" xr:uid="{65C8773B-936B-4FD6-8D36-C74A2438BC7B}"/>
    <hyperlink ref="I1048" location="'11'!$P$56" display="$P$56 11" xr:uid="{375FABFC-139B-4D8D-B4C8-EB731EC5E406}"/>
    <hyperlink ref="I1049" location="'11'!$P$48" display="$P$48 11" xr:uid="{9BEF3747-FB9F-4A70-A5F5-DDA6FBA5F422}"/>
    <hyperlink ref="I1050" location="'11'!$P$42" display="$P$42 11" xr:uid="{25574D5B-B116-4EA1-B369-0ED6FAAF3FBA}"/>
    <hyperlink ref="I1051" r:id="rId47" location="'11'!$P$42" xr:uid="{BA7B9251-F91E-4F70-A1ED-B6DFB2D1D280}"/>
    <hyperlink ref="I1052" location="'11'!$Q$46" display="$Q$46 11" xr:uid="{8DE24E71-906E-4552-BF4D-7AF8AB098370}"/>
    <hyperlink ref="I1053" location="'11'!$Q$47" display="$Q$47 11" xr:uid="{1AE112C6-6D38-470A-B758-FF140FE232BD}"/>
    <hyperlink ref="I1054" location="'11'!$Q$15" display="$Q$15 11" xr:uid="{041B6509-E088-4E3A-8E7C-D1AEB11BC48D}"/>
    <hyperlink ref="I1055" location="'11'!$Q$57" display="$Q$57 11" xr:uid="{55EB255D-757B-41DE-BEB2-0851928493D8}"/>
    <hyperlink ref="I1057" location="'11'!$Q$49" display="$Q$49 11" xr:uid="{F3373F4A-8AD6-497C-BA0C-2678B52D51D1}"/>
    <hyperlink ref="I1059" location="'11'!$S$62" display="$S$62 11" xr:uid="{609D8396-4F09-476F-A66B-36D76F82C788}"/>
    <hyperlink ref="I1060" location="'11'!$S$63" display="$S$63 11" xr:uid="{4EAC5844-9DC2-46A5-850F-D83DD4853D3C}"/>
    <hyperlink ref="I1061" location="'11'!$T$42" display="$T$42 11" xr:uid="{9019AD6E-843F-4F90-AF23-9572CDCBBB40}"/>
    <hyperlink ref="I1062" location="'11'!$T$63" display="$T$63 11" xr:uid="{845D6BBF-F9A6-49EC-AE86-6A4DD4387650}"/>
    <hyperlink ref="I1065" location="'11'!$U$50" display="$U$50 11" xr:uid="{E7131090-CA27-43C6-A35B-05B8629887D7}"/>
    <hyperlink ref="I1066" location="'11'!$W$27" display="$W$27 11" xr:uid="{A8E84437-EB04-4636-A3F7-5019262C0854}"/>
    <hyperlink ref="I1067" location="'11'!$W$50" display="$W$50 11" xr:uid="{93465C1E-EF26-4523-98E6-95EFF15F21D3}"/>
    <hyperlink ref="I1068" location="'11'!$X$44" display="$X$44 11" xr:uid="{49FCFE5D-C91A-44A4-A48F-6397E2941A0F}"/>
    <hyperlink ref="I1069" location="'11'!$X$42" display="$X$42 11" xr:uid="{EE30EBFB-6930-4A1C-8ED0-D10F37138C91}"/>
    <hyperlink ref="I1070" location="'11'!$X$41" display="$X$41 11" xr:uid="{415B943F-75FC-4E44-8CD2-18A67AB88316}"/>
    <hyperlink ref="I1071" location="'11'!$X$14" display="$X$14 11" xr:uid="{791FF732-CF88-4768-8747-BAF59562DF7F}"/>
    <hyperlink ref="I1072" r:id="rId48" location="'11'!$X$41" xr:uid="{C2EF8830-14F1-4E46-9FDA-21705084EDFB}"/>
    <hyperlink ref="I1073" r:id="rId49" location="'11'!$X$42" xr:uid="{A50B14A8-213E-47BD-A9EF-AF5553E79B0C}"/>
    <hyperlink ref="I1074" location="'11'!$Y$79" display="$Y$79 11" xr:uid="{A8A0FEA4-9E55-4EF3-8CA4-15CF7309BBC6}"/>
    <hyperlink ref="I1075" location="'11'!$Y$78" display="$Y$78 11" xr:uid="{CA8DD032-17CB-46DD-BDF9-8D81524DD7CA}"/>
    <hyperlink ref="I1076" location="'11'!$Y$56" display="$Y$56 11" xr:uid="{B3BCFA76-78D2-41E2-8627-0754369F0FC6}"/>
    <hyperlink ref="I1077" location="'11'!$Y$48" display="$Y$48 11" xr:uid="{CABAA3B1-BABD-472D-B547-195A2EC61C43}"/>
    <hyperlink ref="I1078" location="'11'!$Y$57" display="$Y$57 11" xr:uid="{35841661-83D9-4D05-A96E-373F84510DBF}"/>
    <hyperlink ref="I1079" location="'11'!$Y$49" display="$Y$49 11" xr:uid="{A65B1D9D-777C-4C86-B4F7-F0B9EE228A7F}"/>
    <hyperlink ref="I1080" location="'11'!$Y$46" display="$Y$46 11" xr:uid="{5C22EB0C-2286-464E-ABDB-6D6575780797}"/>
    <hyperlink ref="I1081" r:id="rId50" location="'11'!$X$44" xr:uid="{AA7385BE-5D73-433A-AABC-64BCF82EF4C6}"/>
    <hyperlink ref="I1082" location="'11'!$Y$47" display="$Y$47 11" xr:uid="{E5002E00-E0A3-4FFB-A333-E94A751D5C67}"/>
    <hyperlink ref="I1084" location="'11'!$Z$48" display="$Z$48 11" xr:uid="{9A852FB5-FAD9-4B9D-BD7A-3506F75C8DBD}"/>
    <hyperlink ref="I1085" location="'11'!$Y$29" display="$Y$29 11" xr:uid="{970ACDC4-C2BC-42FE-91A0-92E3AE549065}"/>
    <hyperlink ref="I1086" location="'11'!$Z$49" display="$Z$49 11" xr:uid="{7398AE6B-AB98-485C-AE84-7CF43B588F47}"/>
    <hyperlink ref="I1087" location="'11'!$Z$50" display="$Z$50 11" xr:uid="{BB452434-AD52-41A1-9B7F-52574690B44A}"/>
    <hyperlink ref="I1088" location="'11'!$Z$57" display="$Z$57 11" xr:uid="{330902EA-27A0-4966-AA9F-765FCC5FFCA1}"/>
    <hyperlink ref="I1089" r:id="rId51" location="'11'!$Z$57" xr:uid="{A351DDA8-C25B-4BC1-9DDC-F0EC85BA04CC}"/>
    <hyperlink ref="I1090" r:id="rId52" location="'11'!$Z$49" xr:uid="{CA9E29EF-123E-4ECB-A579-45B3898C3A96}"/>
    <hyperlink ref="I1091" r:id="rId53" location="'11'!$Z$48" xr:uid="{506FF811-8FE8-4BE2-97D1-6A0A0AC30227}"/>
    <hyperlink ref="I1092" location="'11'!$AA$46" display="$AA$46 11" xr:uid="{6F0858F8-A6FC-4A12-9AA0-BC08CDDA9784}"/>
    <hyperlink ref="I1093" r:id="rId54" location="'11'!$AA$46" xr:uid="{3B523251-5920-4E48-A743-0B9E97C048A2}"/>
    <hyperlink ref="I1094" location="'11'!$AA$56" display="$AA$56 11" xr:uid="{F58EF223-05E8-4C1C-8E92-85DCE54CAAE6}"/>
    <hyperlink ref="I1095" location="'11'!$AA$29" display="$AA$29 11" xr:uid="{8D35A7E2-105F-4B12-B8D5-F59F5595969D}"/>
    <hyperlink ref="I1097" location="'11'!$AA$27" display="$AA$27 11" xr:uid="{F794794A-F733-4307-AC38-2C5C514842D5}"/>
    <hyperlink ref="I1098" r:id="rId55" location="'11'!$AA$27" xr:uid="{E302AE7B-1780-47A2-AF04-C7A768FB78EC}"/>
    <hyperlink ref="I1099" location="'11'!$AA$50" display="$AA$50 11" xr:uid="{1D6294C9-A032-4C92-98B5-78FBD0B99B06}"/>
    <hyperlink ref="I1100" location="'11'!$AB$41" display="$AB$41 11" xr:uid="{24B1FC2C-255D-4D3F-A23D-24FE8D8D4141}"/>
    <hyperlink ref="I1101" location="'11'!$AB$42" display="$AB$42 11" xr:uid="{6999F7D8-91B1-4B27-ACD4-DBC6A758ABF2}"/>
    <hyperlink ref="I1102" location="'11'!$AB$47" display="$AB$47 11" xr:uid="{4A5EA53E-7E63-4741-AE14-58D1F5122844}"/>
    <hyperlink ref="I1103" location="'11'!$AB$56" display="$AB$56 11" xr:uid="{5BB96D91-E821-4758-8F1A-8F2AE0996A03}"/>
    <hyperlink ref="I1104" location="'11'!$AB$48" display="$AB$48 11" xr:uid="{40984B6B-9F81-4534-A019-D8491B892485}"/>
    <hyperlink ref="I1105" location="'11'!$AB$54" display="$AB$54 11" xr:uid="{CD8F78DE-F7D5-4DA2-BD6A-5C56F002E51D}"/>
    <hyperlink ref="I1107" location="'11'!$AB$49" display="$AB$49 11" xr:uid="{37ED3339-5130-45B9-A86C-4F710F906581}"/>
    <hyperlink ref="I1108" location="'11'!$AB$57" display="$AB$57 11" xr:uid="{5D616BE1-C741-4BCF-A065-CA31545280F3}"/>
    <hyperlink ref="I1109" location="'11'!$AB$46" display="$AB$46 11" xr:uid="{664BA0E4-05EF-4CDC-AC0D-D2CC1BAD640D}"/>
    <hyperlink ref="I1110" location="'11'!$AB$62" display="$AB$62 11" xr:uid="{08EFAE3B-FCE5-4BDA-8FDC-003E74F8EC2E}"/>
    <hyperlink ref="I1111" location="'11'!$AC$19" display="$AC$19 11" xr:uid="{1D9F8ED9-21D1-4864-B007-4317096D0106}"/>
    <hyperlink ref="I1112" location="'12'!$F$24" display="$F$24 12" xr:uid="{88C8BA6F-B91F-48F7-9914-30008D0C1016}"/>
    <hyperlink ref="I1113" location="'12'!$G$21" display="$G$21 12" xr:uid="{CF4898DE-E3B5-4798-B3CA-EE352F13A041}"/>
    <hyperlink ref="I1114" location="'12'!$J$47" display="$J$47 12" xr:uid="{DA94A03C-90A1-48C5-BDE7-51BE431548F6}"/>
    <hyperlink ref="I1115" location="'12'!$J$48" display="$J$48 12" xr:uid="{89189C10-F83C-4796-B4C2-FBE13D6C5F09}"/>
    <hyperlink ref="I1116" location="'12'!$J$50" display="$J$50 12" xr:uid="{E66267A3-E524-424D-954B-2A1891DA24A5}"/>
    <hyperlink ref="I1117" location="'12'!$J$56" display="$J$56 12" xr:uid="{2E3BFCE3-7056-4845-B015-B9B796A35874}"/>
    <hyperlink ref="I1118" location="'12'!$J$13" display="$J$13 12" xr:uid="{4B39D0A4-0E15-4ED5-9748-B9AF9ACC2881}"/>
    <hyperlink ref="I1121" r:id="rId56" location="'12'!$J$50" xr:uid="{B3DDBB0C-F7D7-465E-9E91-1FC1AABFE828}"/>
    <hyperlink ref="I1122" location="'12'!$K$19" display="$K$19 12" xr:uid="{5188CF9D-8F3F-4BBC-9802-5FD08EC12B7D}"/>
    <hyperlink ref="I1123" location="'12'!$K$50" display="$K$50 12" xr:uid="{38B4543B-D99E-4FC9-BE7A-86FFE603CA79}"/>
    <hyperlink ref="I1124" location="'12'!$K$56" display="$K$56 12" xr:uid="{E1AB02FB-A69D-4708-84BB-519C7C9B2602}"/>
    <hyperlink ref="I1125" location="'12'!$K$48" display="$K$48 12" xr:uid="{B70E231C-9DE5-48FA-8692-F9B0C14C78D0}"/>
    <hyperlink ref="I1126" location="'12'!$L$57" display="$L$57 12" xr:uid="{081946B5-A260-4A15-A524-36338FFF5A45}"/>
    <hyperlink ref="I1127" location="'12'!$L$14" display="$L$14 12" xr:uid="{5FCC7021-DE62-4651-BDD1-8E44010A040B}"/>
    <hyperlink ref="I1128" location="'12'!$L$49" display="$L$49 12" xr:uid="{9F6B805F-531A-41BE-A692-B5B2D15E446B}"/>
    <hyperlink ref="I1129" location="'12'!$L$46" display="$L$46 12" xr:uid="{81A9303C-50DE-44C1-84E6-F488CF4DFBB8}"/>
    <hyperlink ref="I1130" location="'12'!$L$78" display="$L$78 12" xr:uid="{E635E372-E602-4C2A-B878-8CC866FDE856}"/>
    <hyperlink ref="I1131" location="'12'!$L$79" display="$L$79 12" xr:uid="{F8E2E651-F045-4ABD-AA5F-DE9D17130691}"/>
    <hyperlink ref="I1132" location="'12'!$M$14" display="$M$14 12" xr:uid="{FE3A5D65-3BC5-437E-A60E-5107D3AF6CD0}"/>
    <hyperlink ref="I1133" r:id="rId57" location="'12'!$M$14" xr:uid="{66773DB0-7EFF-4F32-8FCE-ECC514AC2749}"/>
    <hyperlink ref="I1134" location="'12'!$M$57" display="$M$57 12" xr:uid="{84B1832F-76C4-4993-BA7D-6CDEEA2F5DAD}"/>
    <hyperlink ref="I1135" location="'12'!$N$47" display="$N$47 12" xr:uid="{0D70988F-104E-44B8-8A77-2C1C1F2E5057}"/>
    <hyperlink ref="I1136" location="'12'!$N$24" display="$N$24 12" xr:uid="{4AEC27B6-9517-457B-AAAD-E1261D1B2ECF}"/>
    <hyperlink ref="I1137" location="'12'!$N$49" display="$N$49 12" xr:uid="{43F592DD-57D9-4EF8-A7B7-FDEF0B4BE745}"/>
    <hyperlink ref="I1138" location="'12'!$N$46" display="$N$46 12" xr:uid="{7ABDBE3A-BF9A-4A18-9D05-F2DE2D09195D}"/>
    <hyperlink ref="I1140" location="'12'!$N$21" display="$N$21 12" xr:uid="{AC9B4B94-0888-43FD-AA75-EC867D942CCA}"/>
    <hyperlink ref="I1141" location="'12'!$O$50" display="$O$50 12" xr:uid="{3D9591C1-13BD-4720-A305-6DF044068F69}"/>
    <hyperlink ref="I1142" location="'12'!$O$56" display="$O$56 12" xr:uid="{A02A26AB-AA74-4656-AEAB-69709BD613B2}"/>
    <hyperlink ref="I1143" location="'12'!$O$48" display="$O$48 12" xr:uid="{6FC639C5-1846-4A54-9B66-91710BFCF6FC}"/>
    <hyperlink ref="I1144" location="'12'!$O$13" display="$O$13 12" xr:uid="{68297D16-6B9A-4445-9493-B6533BE99DD6}"/>
    <hyperlink ref="I1145" location="'12'!$O$57" display="$O$57 12" xr:uid="{979A8371-2200-4A17-A806-555B63BD7A0D}"/>
    <hyperlink ref="I1146" location="'12'!$O$49" display="$O$49 12" xr:uid="{1C0E4400-A881-4250-B766-D4B4C7F68376}"/>
    <hyperlink ref="I1147" location="'12'!$O$21" display="$O$21 12" xr:uid="{FA16C66A-FF23-4B75-8572-04645CAA7D42}"/>
    <hyperlink ref="I1148" r:id="rId58" location="'12'!$O$21" xr:uid="{F878CA22-1756-4FC5-A102-E52DE17757E9}"/>
    <hyperlink ref="I1149" location="'12'!$O$14" display="$O$14 12" xr:uid="{EEB4E625-BA9F-4256-833B-2392DA908354}"/>
    <hyperlink ref="I1150" r:id="rId59" location="'12'!$O$14" xr:uid="{86D14BF3-EFAA-48B1-B9F0-903872E29E78}"/>
    <hyperlink ref="I1151" location="'12'!$P$29" display="$P$29 12" xr:uid="{349A81D5-181B-47C1-B05A-8807D8AD2340}"/>
    <hyperlink ref="I1152" location="'12'!$P$50" display="$P$50 12" xr:uid="{A09A6FF7-60F8-447E-911C-AA08FA624804}"/>
    <hyperlink ref="I1153" location="'12'!$P$21" display="$P$21 12" xr:uid="{41B95B65-2AC7-462F-A21F-EF2F59D64C26}"/>
    <hyperlink ref="I1154" r:id="rId60" location="'12'!$P$21" xr:uid="{E46F6766-DB3C-4ECA-86FA-827977CC739C}"/>
    <hyperlink ref="I1155" location="'12'!$P$28" display="$P$28 12" xr:uid="{6BBE7A84-7983-451B-9BBE-6892F94C5409}"/>
    <hyperlink ref="I1156" r:id="rId61" location="'12'!$P$28" xr:uid="{37A363A8-4E2B-49E5-975C-7C0844D69DBD}"/>
    <hyperlink ref="I1157" location="'12'!$Q$56" display="$Q$56 12" xr:uid="{CADDCA9A-2386-40D0-844C-655245E4026A}"/>
    <hyperlink ref="I1158" location="'12'!$Q$48" display="$Q$48 12" xr:uid="{7FDFB5A6-E2E6-4201-BE18-3F1EE8A8A303}"/>
    <hyperlink ref="I1159" location="'12'!$Q$41" display="$Q$41 12" xr:uid="{346DFCFB-2931-4E3B-BE65-541CB55F15B6}"/>
    <hyperlink ref="I1160" location="'12'!$Q$42" display="$Q$42 12" xr:uid="{C47EE730-C8B3-4168-BB81-60D60CAF09C6}"/>
    <hyperlink ref="I1161" location="'12'!$Q$57" display="$Q$57 12" xr:uid="{D8DECA5F-71B1-4AC1-A89F-673175A5FF17}"/>
    <hyperlink ref="I1162" location="'12'!$R$46" display="$R$46 12" xr:uid="{EC433724-B48E-4B84-AAF6-A32D9BD2743B}"/>
    <hyperlink ref="I1163" location="'12'!$R$14" display="$R$14 12" xr:uid="{7A469E94-EBBB-4CE9-8260-695CC5706527}"/>
    <hyperlink ref="I1164" location="'12'!$R$47" display="$R$47 12" xr:uid="{7D354C8D-48A7-4C48-9F94-B652BFAF5F5D}"/>
    <hyperlink ref="I1165" location="'12'!$S$49" display="$S$49 12" xr:uid="{1FF07A62-9E3C-4CA0-8C9D-9023A5FF07D7}"/>
    <hyperlink ref="I1166" location="'12'!$S$46" display="$S$46 12" xr:uid="{6545B80A-DD70-42FE-A78B-2EADB5818897}"/>
    <hyperlink ref="I1167" location="'12'!$S$50" display="$S$50 12" xr:uid="{DB32BF3A-A07C-4F51-881E-A46B3A3D6179}"/>
    <hyperlink ref="I1168" location="'12'!$T$56" display="$T$56 12" xr:uid="{18FF4A6A-EB8E-4133-A30F-B5E38D5D83FA}"/>
    <hyperlink ref="I1169" location="'12'!$T$48" display="$T$48 12" xr:uid="{58E7D77A-40DE-4375-BBAE-B18CC9F50162}"/>
    <hyperlink ref="I1170" location="'12'!$T$57" display="$T$57 12" xr:uid="{1CF62A8B-9EB1-4AC7-A156-90595F07B608}"/>
    <hyperlink ref="I1171" location="'12'!$T$49" display="$T$49 12" xr:uid="{88BB7559-B46A-4C54-861E-B3DE330A93D3}"/>
    <hyperlink ref="I1172" location="'12'!$T$51" display="$T$51 12" xr:uid="{15BD16CF-0E1B-47BD-BABB-07A2015D1FFD}"/>
    <hyperlink ref="I1173" location="'12'!$T$47" display="$T$47 12" xr:uid="{D93A4D73-3205-4913-ADBE-1F4CCE058A71}"/>
    <hyperlink ref="I1174" location="'12'!$T$46" display="$T$46 12" xr:uid="{CBD58EDB-EEDD-4523-B709-74BFC99C5C64}"/>
    <hyperlink ref="I1176" r:id="rId62" location="'12'!$T$47" xr:uid="{1C2B4A3C-276B-4992-974D-2740B8B2A514}"/>
    <hyperlink ref="I1177" location="'12'!$U$47" display="$U$47 12" xr:uid="{B92F798D-F420-4D88-9E98-90D14CD7953A}"/>
    <hyperlink ref="I1178" location="'12'!$U$50" display="$U$50 12" xr:uid="{7BF88791-470D-4CF3-958A-F4E3943894D2}"/>
    <hyperlink ref="I1179" location="'12'!$U$56" display="$U$56 12" xr:uid="{2389841A-C11E-4388-A849-58111FE2E091}"/>
    <hyperlink ref="I1180" location="'12'!$U$48" display="$U$48 12" xr:uid="{5B50B9D1-5E9E-4F29-9895-CF499B08B01C}"/>
    <hyperlink ref="I1181" location="'12'!$V$47" display="$V$47 12" xr:uid="{45800C2D-1B71-46E8-B0E2-0CE1DE4879DD}"/>
    <hyperlink ref="I1182" location="'12'!$W$57" display="$W$57 12" xr:uid="{419DF52B-5A93-4541-84D5-5EFF701A26DC}"/>
    <hyperlink ref="I1183" location="'12'!$W$49" display="$W$49 12" xr:uid="{1F309A4C-2BE2-4E4E-B24C-7AAE1A768669}"/>
    <hyperlink ref="I1184" location="'12'!$W$46" display="$W$46 12" xr:uid="{09261C57-A4AA-42FB-ACA6-08533EEEB957}"/>
    <hyperlink ref="I1185" location="'12'!$W$47" display="$W$47 12" xr:uid="{90592762-7D2F-4DF3-9DFA-BE222C5114ED}"/>
    <hyperlink ref="I1186" location="'12'!$Y$14" display="$Y$14 12" xr:uid="{D1923B82-E5E2-4051-B83C-248E3FE38650}"/>
    <hyperlink ref="I1187" location="'12'!$Y$50" display="$Y$50 12" xr:uid="{EC242768-63AF-466C-947F-221FE77A0083}"/>
    <hyperlink ref="I1188" location="'12'!$Y$56" display="$Y$56 12" xr:uid="{7BDC5F7B-7B6A-48B1-81DB-7230F2437708}"/>
    <hyperlink ref="I1189" location="'12'!$Y$51" display="$Y$51 12" xr:uid="{B14A5D9A-0FD7-4CC6-B20A-8B14569117B5}"/>
    <hyperlink ref="I1191" location="'12'!$Y$57" display="$Y$57 12" xr:uid="{DA9C5AF1-1008-4288-A7DF-17849A3F48B1}"/>
    <hyperlink ref="I1192" location="'12'!$Z$50" display="$Z$50 12" xr:uid="{7F945D63-027D-45C9-9911-BCB29ADA6BDE}"/>
    <hyperlink ref="I1193" location="'12'!$Z$56" display="$Z$56 12" xr:uid="{F91982C6-C645-410C-90A0-6A5D13064900}"/>
    <hyperlink ref="I1194" location="'12'!$AA$51" display="$AA$51 12" xr:uid="{5F582702-F462-4F46-9FE7-9E49A0D84001}"/>
    <hyperlink ref="I1195" location="'12'!$AA$57" display="$AA$57 12" xr:uid="{E07BCEDE-757C-4B98-9814-62168B669018}"/>
    <hyperlink ref="I1196" location="'12'!$Y$79" display="$Y$79 12" xr:uid="{081A29E2-28E4-4A15-A043-3285B7BDB5EC}"/>
    <hyperlink ref="I1197" location="'12'!$Y$78" display="$Y$78 12" xr:uid="{AFC51EF8-A085-49D4-9743-3C5222251036}"/>
    <hyperlink ref="I1198" location="'12'!$AB$14" display="$AB$14 12" xr:uid="{2CB5C795-58A7-40B9-B252-C847F3AF1D33}"/>
    <hyperlink ref="I1199" location="'12'!$AB$16" display="$AB$16 12" xr:uid="{475F8B5F-0BF9-400B-B15B-105394816624}"/>
    <hyperlink ref="I1200" location="'12'!$AC$29" display="$AC$29 12" xr:uid="{099734E0-2321-4CCA-B893-9CE6A20B7C39}"/>
    <hyperlink ref="I1201" location="'13'!$F$21" display="$F$21 13" xr:uid="{04925DFC-D94A-4D3C-B55A-DA4A8D19F5DE}"/>
    <hyperlink ref="I1202" location="'13'!$G$19" display="$G$19 13" xr:uid="{C906F713-BEC7-4171-9B28-31A9C9524E61}"/>
    <hyperlink ref="I1203" location="'13'!$H$46" display="$H$46 13" xr:uid="{71D48F6C-181D-45A5-BA52-DCD0C18C6C8A}"/>
    <hyperlink ref="I1204" location="'13'!$H$49" display="$H$49 13" xr:uid="{575A0DC7-FFA3-4F11-9077-4474F4738EE6}"/>
    <hyperlink ref="I1205" location="'13'!$H$47" display="$H$47 13" xr:uid="{66D41A80-423B-4514-BA4B-6C75693979E0}"/>
    <hyperlink ref="I1206" location="'13'!$H$24" display="$H$24 13" xr:uid="{E3424613-7B7C-4A79-823C-28BCE8A901E3}"/>
    <hyperlink ref="I1207" location="'13'!$I$49" display="$I$49 13" xr:uid="{3B943EDC-CC6D-4E5B-AA2F-CEAB740AD034}"/>
    <hyperlink ref="I1208" location="'13'!$I$46" display="$I$46 13" xr:uid="{314B0FFF-32E7-4E42-A46B-83B3EDCC43AB}"/>
    <hyperlink ref="I1209" location="'13'!$I$47" display="$I$47 13" xr:uid="{E66A7AC8-0773-454E-88C9-E4A7841169B7}"/>
    <hyperlink ref="I1210" location="'13'!$K$16" display="$K$16 13" xr:uid="{E8915531-9692-4999-8F3A-81E9A8434CC5}"/>
    <hyperlink ref="I1211" location="'13'!$K$13" display="$K$13 13" xr:uid="{7703E33D-CFBF-4114-A140-446063E43EF4}"/>
    <hyperlink ref="I1212" location="'13'!$L$50" display="$L$50 13" xr:uid="{C9AF8068-E909-4744-87DE-F8F9BBE4EF7D}"/>
    <hyperlink ref="I1213" location="'13'!$M$78" display="$M$78 13" xr:uid="{4E2D5EE6-EFA7-44F2-A924-BF49C6B52E79}"/>
    <hyperlink ref="I1214" location="'13'!$M$79" display="$M$79 13" xr:uid="{C64F789A-43DF-430E-8F9A-5E20319EAD72}"/>
    <hyperlink ref="I1215" location="'13'!$N$19" display="$N$19 13" xr:uid="{D70E8BC8-CE82-4B6A-B4D8-7621C40C9F58}"/>
    <hyperlink ref="I1216" location="'13'!$N$50" display="$N$50 13" xr:uid="{4A3A0388-3C35-4B7A-8502-8D5D3AEBEE13}"/>
    <hyperlink ref="I1217" location="'13'!$N$24" display="$N$24 13" xr:uid="{7FF47A25-B101-4ACB-91F4-D24C8AF9F44E}"/>
    <hyperlink ref="I1218" location="'13'!$O$56" display="$O$56 13" xr:uid="{AAF72FC8-B399-435B-96F9-4389B3E6C43B}"/>
    <hyperlink ref="I1219" location="'13'!$O$51" display="$O$51 13" xr:uid="{ECA1EFF0-77EB-4426-9E8C-A6673A1F1705}"/>
    <hyperlink ref="I1220" location="'13'!$P$48" display="$P$48 13" xr:uid="{CE14CD68-3E11-4D27-A1B5-2EE88352214D}"/>
    <hyperlink ref="I1221" location="'13'!$P$47" display="$P$47 13" xr:uid="{125272A1-79C4-4274-8C1E-9F12F5C5DED9}"/>
    <hyperlink ref="I1222" location="'13'!$P$21" display="$P$21 13" xr:uid="{C55A2013-3D7A-4718-A34F-34F834D10BE7}"/>
    <hyperlink ref="I1223" location="'13'!$P$54" display="$P$54 13" xr:uid="{7BE4EA49-D028-4AD4-83D0-F8850C2FDA78}"/>
    <hyperlink ref="I1224" location="'13'!$P$46" display="$P$46 13" xr:uid="{8467CFFB-8D75-4159-B551-E97375A3D9A9}"/>
    <hyperlink ref="I1226" r:id="rId63" location="'13'!$P$47" xr:uid="{27F56AF7-B1DF-4359-8AB6-01C7E4CFEE74}"/>
    <hyperlink ref="I1227" location="'13'!$P$29" display="$P$29 13" xr:uid="{E932DE7E-3F19-4081-8393-CDA74624A755}"/>
    <hyperlink ref="I1228" location="'13'!$P$56" display="$P$56 13" xr:uid="{A1767BF5-82B9-460B-8DA0-6B214B2261F3}"/>
    <hyperlink ref="I1229" location="'13'!$Q$48" display="$Q$48 13" xr:uid="{4F8C6B03-4698-4043-AD39-35590D227A8B}"/>
    <hyperlink ref="I1230" location="'13'!$Q$51" display="$Q$51 13" xr:uid="{2CC36867-3702-4596-A854-051A066EEF4D}"/>
    <hyperlink ref="I1231" location="'13'!$Q$46" display="$Q$46 13" xr:uid="{97899CCA-E8D7-4CFC-8F1C-5486D78E01C1}"/>
    <hyperlink ref="I1232" location="'13'!$Q$54" display="$Q$54 13" xr:uid="{753E1EA6-5B33-4117-B1DE-89DFBB3BD735}"/>
    <hyperlink ref="I1233" location="'13'!$Q$13" display="$Q$13 13" xr:uid="{1C2A135C-6DE2-42B2-93A3-66A5811CF4BC}"/>
    <hyperlink ref="I1234" location="'13'!$R$21" display="$R$21 13" xr:uid="{87727933-4A0B-424D-8EBA-D49F5DC8E3E7}"/>
    <hyperlink ref="I1235" r:id="rId64" location="'13'!$R$21" xr:uid="{87122EDB-F6D5-4A6A-9F45-FD6A2C6756BA}"/>
    <hyperlink ref="I1236" location="'13'!$R$14" display="$R$14 13" xr:uid="{EA8FD3D0-F7A6-4C55-B5E7-5C896BAD0830}"/>
    <hyperlink ref="I1237" r:id="rId65" location="'13'!$R$14" xr:uid="{DE5AAD32-BBE3-4F9C-8E21-FF851C6BA896}"/>
    <hyperlink ref="I1238" location="'13'!$R$30" display="$R$30 13" xr:uid="{B6AF6BC4-65ED-43A4-B7AE-A8CEDC6A2DB6}"/>
    <hyperlink ref="I1239" location="'13'!$S$30" display="$S$30 13" xr:uid="{48E1BCF1-C5CF-4C5C-9048-4028F750D2DD}"/>
    <hyperlink ref="I1240" location="'13'!$T$14" display="$T$14 13" xr:uid="{DF90FFBA-B0BD-4CC1-ADE3-22507145C10C}"/>
    <hyperlink ref="I1241" r:id="rId66" location="'13'!$T$14" xr:uid="{18BEC53D-873A-4806-B78B-EA9F8B3D4B4B}"/>
    <hyperlink ref="I1242" location="'13'!$U$13" display="$U$13 13" xr:uid="{3D21003E-B394-42D5-B590-CDFB2BE29DF2}"/>
    <hyperlink ref="I1243" location="'13'!$U$14" display="$U$14 13" xr:uid="{1631A7BB-368D-4C0E-AB9A-E4DA1EB310EF}"/>
    <hyperlink ref="I1244" r:id="rId67" location="'13'!$U$14" xr:uid="{4068A2DF-05A4-4CDE-84EE-5FDB6458AF1D}"/>
    <hyperlink ref="I1245" location="'13'!$Y$46" display="$Y$46 13" xr:uid="{79F3CE0C-046F-4720-8075-E1CD7B92BE16}"/>
    <hyperlink ref="I1246" location="'13'!$Y$79" display="$Y$79 13" xr:uid="{A4EB4CDA-2D9E-4FF6-8168-A27A119CAF20}"/>
    <hyperlink ref="I1247" location="'13'!$Y$78" display="$Y$78 13" xr:uid="{2F4A3813-29A7-46C0-9A49-64FAA1259761}"/>
    <hyperlink ref="I1248" location="'13'!$Y$30" display="$Y$30 13" xr:uid="{4B764463-B0D2-41DE-BDC7-6338E9A96E83}"/>
    <hyperlink ref="I1250" location="'13'!$Y$47" display="$Y$47 13" xr:uid="{0A98CF9F-0E65-4892-8825-97FBF845E4A9}"/>
    <hyperlink ref="I1251" location="'13'!$Y$50" display="$Y$50 13" xr:uid="{BC90DF59-EB49-4DF2-B9A7-574C27D5900F}"/>
    <hyperlink ref="I1252" location="'13'!$Y$42" display="$Y$42 13" xr:uid="{9E3C0C4F-0F32-411D-8303-C8FC24096657}"/>
    <hyperlink ref="I1253" location="'13'!$Y$56" display="$Y$56 13" xr:uid="{9DD9EA74-9B10-47E4-A7EE-9DAF6CFCDFA2}"/>
    <hyperlink ref="I1254" location="'13'!$Z$46" display="$Z$46 13" xr:uid="{11252432-130C-4ED1-8F48-30D94C38D192}"/>
    <hyperlink ref="I1255" location="'13'!$Z$47" display="$Z$47 13" xr:uid="{D7BDD1BC-15DF-4531-9F7D-441E5F7268C4}"/>
    <hyperlink ref="I1256" location="'13'!$Z$50" display="$Z$50 13" xr:uid="{7DE2D7E7-6644-4B9C-8618-C264AA223E73}"/>
    <hyperlink ref="I1257" location="'13'!$AA$56" display="$AA$56 13" xr:uid="{3FA72876-515A-4BCE-A6DD-1535F2C6A70F}"/>
    <hyperlink ref="I1258" location="'13'!$AB$46" display="$AB$46 13" xr:uid="{478454FF-1D1E-4D3B-A5AE-FBFBCCA94668}"/>
    <hyperlink ref="I1259" location="'13'!$AB$50" display="$AB$50 13" xr:uid="{38FCD68D-0212-4EC6-89A0-699E52057E27}"/>
    <hyperlink ref="I1260" location="'13'!$AB$57" display="$AB$57 13" xr:uid="{DAFC33B2-9FBA-4B6D-BAE8-2EB6FE330358}"/>
    <hyperlink ref="I1261" location="'13'!$AB$47" display="$AB$47 13" xr:uid="{1875E14C-D263-479D-B67D-F5AE2B442C98}"/>
    <hyperlink ref="I1262" location="'13'!$AB$56" display="$AB$56 13" xr:uid="{7E5564D9-C95B-41A9-989B-2D7506361C24}"/>
    <hyperlink ref="I1263" location="'13'!$AB$27" display="$AB$27 13" xr:uid="{0AF59471-BBB6-48A4-9690-B49903C5DF8B}"/>
    <hyperlink ref="I1267" location="'13'!$AB$13" display="$AB$13 13" xr:uid="{A20BA87B-2D16-46F9-B942-CA64CF58841B}"/>
    <hyperlink ref="I1269" location="'13'!$AB$16" display="$AB$16 13" xr:uid="{F9A93F82-1385-4268-84E8-3A2DD117DFFF}"/>
    <hyperlink ref="I1270" location="'13'!$AC$56" display="$AC$56 13" xr:uid="{5DB4F96F-55E8-4E70-A80C-35CA3BCB0DD4}"/>
    <hyperlink ref="I1271" location="'13'!$AC$41" display="$AC$41 13" xr:uid="{925FC740-F570-4186-AE97-6522D995060E}"/>
    <hyperlink ref="I1272" location="'14'!$F$57" display="$F$57 14" xr:uid="{A29801D9-6871-4621-9AC3-6564D187E60D}"/>
    <hyperlink ref="I1273" location="'14'!$F$15" display="$F$15 14" xr:uid="{965086B1-1157-4904-B9DA-4EDE2FF133B7}"/>
    <hyperlink ref="I1274" location="'14'!$G$57" display="$G$57 14" xr:uid="{E1AA1803-7849-4772-8180-DFA44DEFF2CC}"/>
    <hyperlink ref="I1275" location="'14'!$I$27" display="$I$27 14" xr:uid="{D808C4A2-EC79-409F-8129-8C3BC927C5ED}"/>
    <hyperlink ref="I1276" location="'14'!$I$14" display="$I$14 14" xr:uid="{13E288D2-5BFA-4E71-8E42-8F11D7BA32B7}"/>
    <hyperlink ref="I1277" location="'14'!$I$13" display="$I$13 14" xr:uid="{F1CDC570-1006-4BD2-9CB3-0DF21E704CFC}"/>
    <hyperlink ref="I1278" location="'14'!$I$57" display="$I$57 14" xr:uid="{A37AD756-E436-4BF0-B69B-C9ED49783AF5}"/>
    <hyperlink ref="I1279" location="'14'!$I$56" display="$I$56 14" xr:uid="{61F8A901-2A47-466C-9ACA-BAC62783AB68}"/>
    <hyperlink ref="I1280" location="'14'!$I$50" display="$I$50 14" xr:uid="{60D9F385-B012-4685-BB80-7E6AD33C1386}"/>
    <hyperlink ref="I1281" location="'14'!$I$47" display="$I$47 14" xr:uid="{05ED49EF-BA5F-4ABD-8C08-CF53D199AC41}"/>
    <hyperlink ref="I1282" location="'14'!$I$48" display="$I$48 14" xr:uid="{73C3DF02-78A6-4DA2-937A-9161AC55900F}"/>
    <hyperlink ref="I1283" location="'14'!$J$13" display="$J$13 14" xr:uid="{8873A792-4F1E-440D-A5F3-027DD62DAF86}"/>
    <hyperlink ref="I1284" location="'14'!$J$48" display="$J$48 14" xr:uid="{2AB102C7-B47E-41BD-B9AC-E67FDE8573C6}"/>
    <hyperlink ref="I1285" location="'14'!$J$14" display="$J$14 14" xr:uid="{E1E3063D-4D2F-42B8-B7EF-D7F64DC6D8D6}"/>
    <hyperlink ref="I1286" location="'14'!$I$46" display="$I$46 14" xr:uid="{B3FA2C31-020A-4D2B-B68B-A91750727D81}"/>
    <hyperlink ref="I1287" location="'14'!$K$14" display="$K$14 14" xr:uid="{16F0FD2A-5E8A-4BDF-86F9-892BCA903A15}"/>
    <hyperlink ref="I1288" location="'14'!$K$57" display="$K$57 14" xr:uid="{8782EFDA-8133-409D-B5FE-126AB166F378}"/>
    <hyperlink ref="I1289" location="'14'!$K$46" display="$K$46 14" xr:uid="{29A14559-1232-48EC-A211-BBBFE7D9CF39}"/>
    <hyperlink ref="I1290" location="'14'!$K$47" display="$K$47 14" xr:uid="{A8AA7725-6F62-4AEF-9A63-99BEC438710C}"/>
    <hyperlink ref="I1291" location="'14'!$K$50" display="$K$50 14" xr:uid="{F8E8E0BF-5BF0-46FC-9FA8-A2643CEDCEBB}"/>
    <hyperlink ref="I1292" location="'14'!$K$56" display="$K$56 14" xr:uid="{1F2601FC-08A1-45F2-A065-773DB560CC72}"/>
    <hyperlink ref="I1293" location="'14'!$K$21" display="$K$21 14" xr:uid="{1E601B48-5BD0-41E9-B96A-C016BAA44351}"/>
    <hyperlink ref="I1294" location="'14'!$K$29" display="$K$29 14" xr:uid="{403FEA31-7DB4-4222-81CD-079B79BC2D6E}"/>
    <hyperlink ref="I1295" location="'14'!$L$46" display="$L$46 14" xr:uid="{73BB4D44-27B5-4EF0-9B4B-3F2A5B7F3A5E}"/>
    <hyperlink ref="I1296" location="'14'!$L$41" display="$L$41 14" xr:uid="{0882D66B-A460-4BB2-8C57-F6215E381748}"/>
    <hyperlink ref="I1297" location="'14'!$L$15" display="$L$15 14" xr:uid="{E0548CAA-F046-4821-AE19-0A4183B5610C}"/>
    <hyperlink ref="I1299" location="'14'!$L$19" display="$L$19 14" xr:uid="{65865D2E-8E1D-4C0B-86A8-AAE82F22E6F2}"/>
    <hyperlink ref="I1300" location="'14'!$M$21" display="$M$21 14" xr:uid="{BB758A91-EBB1-4ABF-9110-4C0F2EB7A41B}"/>
    <hyperlink ref="I1301" location="'14'!$N$46" display="$N$46 14" xr:uid="{60A63D16-776C-4488-8E41-5429E9FF4DBF}"/>
    <hyperlink ref="I1302" location="'14'!$N$21" display="$N$21 14" xr:uid="{913F714F-C72E-41F4-ABC6-0188EEC166BD}"/>
    <hyperlink ref="I1303" location="'14'!$N$19" display="$N$19 14" xr:uid="{7A8CA0BF-DC44-4B2A-B475-BA9A3F4BD5EB}"/>
    <hyperlink ref="I1304" location="'14'!$O$47" display="$O$47 14" xr:uid="{A0043B69-BB87-4017-89FD-7F7209D34351}"/>
    <hyperlink ref="I1305" location="'14'!$O$29" display="$O$29 14" xr:uid="{EE920C20-6601-4CA7-A95C-C48B4A16BC27}"/>
    <hyperlink ref="I1306" location="'14'!$P$50" display="$P$50 14" xr:uid="{870B43FB-B87A-4963-BA39-F919AC5DA245}"/>
    <hyperlink ref="I1307" location="'14'!$P$56" display="$P$56 14" xr:uid="{56CC2044-7576-43FA-A112-BE119570B4FD}"/>
    <hyperlink ref="I1308" location="'14'!$P$57" display="$P$57 14" xr:uid="{B556518D-62E8-4E9E-B437-DC2E8599304D}"/>
    <hyperlink ref="I1309" location="'14'!$P$48" display="$P$48 14" xr:uid="{EC452188-EDAA-4800-B2AA-E82F4337712C}"/>
    <hyperlink ref="I1310" location="'14'!$P$16" display="$P$16 14" xr:uid="{CC911E6B-73E1-4395-9CCF-1243A1DD62A8}"/>
    <hyperlink ref="I1311" location="'14'!$P$46" display="$P$46 14" xr:uid="{7AE32509-AAFE-4E84-886D-999430D919EB}"/>
    <hyperlink ref="I1312" location="'14'!$P$47" display="$P$47 14" xr:uid="{3B1DFF41-68EC-424B-B27F-E5F05529A1A4}"/>
    <hyperlink ref="I1315" location="'14'!$Q$48" display="$Q$48 14" xr:uid="{6513BD04-1C22-469F-A848-D2262B5A15C8}"/>
    <hyperlink ref="I1316" location="'14'!$R$57" display="$R$57 14" xr:uid="{C75843C5-B0B2-4C68-9D6C-1D9A24EC889B}"/>
    <hyperlink ref="I1317" r:id="rId68" location="'14'!$R$57" xr:uid="{D64105AA-101B-4282-B4B5-281C719FD1E9}"/>
    <hyperlink ref="I1318" location="'14'!$R$46" display="$R$46 14" xr:uid="{6584F30A-B461-4336-8061-DE52699B6043}"/>
    <hyperlink ref="I1319" location="'14'!$T$47" display="$T$47 14" xr:uid="{E72E50F2-6D58-4066-A3CE-3E4A611E5249}"/>
    <hyperlink ref="I1320" location="'14'!$T$50" display="$T$50 14" xr:uid="{0CF6F07D-4443-4F01-9645-BECF20AB0CA7}"/>
    <hyperlink ref="I1321" location="'14'!$U$56" display="$U$56 14" xr:uid="{1897BF56-3D8B-4C94-B73B-C5499441683D}"/>
    <hyperlink ref="I1322" location="'14'!$U$57" display="$U$57 14" xr:uid="{FBDC16E1-A733-466F-BF7B-54AE575BDBBA}"/>
    <hyperlink ref="I1323" location="'14'!$V$46" display="$V$46 14" xr:uid="{7C2ADA17-811E-4C31-90C0-0F4DDBEBD223}"/>
    <hyperlink ref="I1324" location="'14'!$W$47" display="$W$47 14" xr:uid="{0927FDB4-6A6F-47DB-8E92-0AE9BB540409}"/>
    <hyperlink ref="I1325" location="'14'!$W$50" display="$W$50 14" xr:uid="{EAAF1EFA-4905-47C9-B6DD-0FEBF94E1884}"/>
    <hyperlink ref="I1326" location="'14'!$W$56" display="$W$56 14" xr:uid="{52F088CA-F6A5-40D2-A683-0D8E4AFA0D40}"/>
    <hyperlink ref="I1327" location="'14'!$M$78" display="$M$78 14" xr:uid="{C1FA7348-2862-4BC7-B6DB-29D6781184C0}"/>
    <hyperlink ref="I1328" location="'14'!$M$79" display="$M$79 14" xr:uid="{5D76523A-0185-4798-BB50-9D26C8C973F2}"/>
    <hyperlink ref="I1329" location="'14'!$Y$79" display="$Y$79 14" xr:uid="{FBC2CCD4-D767-4444-8AFF-79CDD94A1CF6}"/>
    <hyperlink ref="I1330" location="'14'!$Y$78" display="$Y$78 14" xr:uid="{FCD93956-ECFA-4FF0-BF15-B1BCA0BB3DAE}"/>
    <hyperlink ref="I1331" location="'14'!$AA$51" display="$AA$51 14" xr:uid="{1B5B97A0-932C-4F4D-8E30-D8FF88FB4F40}"/>
    <hyperlink ref="I1332" location="'14'!$AA$14" display="$AA$14 14" xr:uid="{B8DC0C53-10FB-4C75-8EAE-4F2636245D94}"/>
    <hyperlink ref="I1333" location="'14'!$AA$57" display="$AA$57 14" xr:uid="{F2712B07-D357-4468-BA4B-C644CABD1E58}"/>
    <hyperlink ref="I1334" location="'14'!$AA$46" display="$AA$46 14" xr:uid="{50CFB370-F24B-4BA0-882E-8D9100F2CED9}"/>
    <hyperlink ref="I1335" location="'14'!$AA$30" display="$AA$30 14" xr:uid="{99C070B6-8AEE-4304-82FC-83189F8CAAD1}"/>
    <hyperlink ref="I1340" location="'14'!$AB$28" display="$AB$28 14" xr:uid="{4BB20BB3-B5FD-41B2-8DBC-DA65B99675AF}"/>
    <hyperlink ref="I1341" location="'14'!$AC$29" display="$AC$29 14" xr:uid="{2698311E-74D6-421E-83C6-E8E2532DDDC6}"/>
    <hyperlink ref="I1342" location="'14'!$AC$19" display="$AC$19 14" xr:uid="{A9312E0C-CDFD-4043-9112-DBC089FD531B}"/>
    <hyperlink ref="I1343" location="'14'!$AC$41" display="$AC$41 14" xr:uid="{1E415DDE-F3CF-41BC-9711-988814B54CF5}"/>
    <hyperlink ref="I1344" location="'15'!$F$47" display="$F$47 15" xr:uid="{A17977FD-796A-4DCD-AD99-1F549DFFCA09}"/>
    <hyperlink ref="I1345" location="'15'!$F$49" display="$F$49 15" xr:uid="{3A891136-B8A6-43F4-9A80-5791E340DC64}"/>
    <hyperlink ref="I1346" location="'15'!$F$50" display="$F$50 15" xr:uid="{A7B4D2E8-26E0-43BB-9308-85FE251223B3}"/>
    <hyperlink ref="I1347" location="'15'!$F$56" display="$F$56 15" xr:uid="{5118C3A4-1FE3-423F-AB84-FF5F1B467A02}"/>
    <hyperlink ref="I1348" location="'15'!$F$57" display="$F$57 15" xr:uid="{DE4E312E-AD0C-4457-BB6C-FA5838AAEAB0}"/>
    <hyperlink ref="I1351" location="'15'!$F$24" display="$F$24 15" xr:uid="{3AAAC177-0761-48DF-A105-32725F5F4156}"/>
    <hyperlink ref="I1355" location="'15'!$H$21" display="$H$21 15" xr:uid="{A76E5322-1068-4480-A84A-1D791EBF36ED}"/>
    <hyperlink ref="I1356" location="'15'!$H$24" display="$H$24 15" xr:uid="{A14F2317-517E-4D7D-B103-4F720D8F0589}"/>
    <hyperlink ref="I1357" location="'15'!$I$46" display="$I$46 15" xr:uid="{DE4DF488-D6E0-4AAE-9A17-0AD337FFC987}"/>
    <hyperlink ref="I1358" location="'15'!$I$47" display="$I$47 15" xr:uid="{F97C3C01-3BE6-410C-8A22-97943D618C2D}"/>
    <hyperlink ref="I1359" location="'15'!$I$50" display="$I$50 15" xr:uid="{777704E3-2442-4D24-8E0E-90997E0928E3}"/>
    <hyperlink ref="I1360" location="'15'!$I$56" display="$I$56 15" xr:uid="{835FD049-E784-43C1-BF14-648790C87FD3}"/>
    <hyperlink ref="I1361" location="'15'!$I$16" display="$I$16 15" xr:uid="{BBA809EB-50F6-42CB-9AB6-2CD4202F7979}"/>
    <hyperlink ref="I1362" location="'15'!$J$46" display="$J$46 15" xr:uid="{9EBCEF03-37CD-408E-B6B7-7AD99488317E}"/>
    <hyperlink ref="I1363" location="'15'!$J$62" display="$J$62 15" xr:uid="{E7454831-5689-4CEB-ACB5-F8AE2C72F294}"/>
    <hyperlink ref="I1364" location="'15'!$J$63" display="$J$63 15" xr:uid="{38211690-E8FA-4978-ACD7-EC502AD4B91C}"/>
    <hyperlink ref="I1365" location="'15'!$L$51" display="$L$51 15" xr:uid="{A65E1E2B-A56A-4CBB-8ABB-13F5A6EB8768}"/>
    <hyperlink ref="I1366" location="'15'!$L$57" display="$L$57 15" xr:uid="{463914BE-FE74-4D4D-9791-92B132BEA4DD}"/>
    <hyperlink ref="I1367" location="'15'!$L$63" display="$L$63 15" xr:uid="{F0430F10-A755-46E9-AA01-DF61C739BB9D}"/>
    <hyperlink ref="I1368" location="'15'!$L$21" display="$L$21 15" xr:uid="{EEB0860C-EC29-4156-B55D-0095DFE77493}"/>
    <hyperlink ref="I1369" location="'15'!$L$47" display="$L$47 15" xr:uid="{44D5ADF6-0E78-4F46-A7DD-3F1D9CF11225}"/>
    <hyperlink ref="I1370" location="'15'!$L$50" display="$L$50 15" xr:uid="{F35E1A6F-3AB3-4003-8327-9F1D89B91CDC}"/>
    <hyperlink ref="I1371" location="'15'!$L$56" display="$L$56 15" xr:uid="{7CDE2C07-8D56-4BE6-8993-0701478DA40F}"/>
    <hyperlink ref="I1373" location="'15'!$L$62" display="$L$62 15" xr:uid="{BBC2AEF9-54B9-4FE0-AB5E-6FBA4C8A2F83}"/>
    <hyperlink ref="I1374" location="'15'!$M$57" display="$M$57 15" xr:uid="{7B308046-9549-4CB4-B10E-2F4299BD600C}"/>
    <hyperlink ref="I1375" location="'15'!$N$16" display="$N$16 15" xr:uid="{F478031B-980F-4A71-8D0E-99AEC1647535}"/>
    <hyperlink ref="I1376" location="'15'!$O$24" display="$O$24 15" xr:uid="{960A59FA-70C9-4DB7-8433-B3B7FCA57580}"/>
    <hyperlink ref="I1377" location="'15'!$O$19" display="$O$19 15" xr:uid="{923997ED-3166-433B-9FFD-CB494901BC0A}"/>
    <hyperlink ref="I1378" location="'15'!$O$46" display="$O$46 15" xr:uid="{20DBBA7C-78E0-45F4-9DDF-4029A221DA5C}"/>
    <hyperlink ref="I1379" location="'15'!$O$47" display="$O$47 15" xr:uid="{962B3BC5-8334-472E-A82B-3B666D4A7FFF}"/>
    <hyperlink ref="I1380" location="'15'!$P$78" display="$P$78 15" xr:uid="{4CE2E772-F018-42D9-8EA9-E587DA95226A}"/>
    <hyperlink ref="I1381" location="'15'!$P$79" display="$P$79 15" xr:uid="{3E655B32-8B31-4B68-88C3-30CFF26394C0}"/>
    <hyperlink ref="I1382" location="'15'!$P$57" display="$P$57 15" xr:uid="{CDDDF6F7-3F2C-42C3-8A78-ADBBD01DB23D}"/>
    <hyperlink ref="I1383" location="'15'!$P$29" display="$P$29 15" xr:uid="{4387D182-6663-4A59-A7D4-B8F3A9050FFA}"/>
    <hyperlink ref="I1384" location="'15'!$Q$14" display="$Q$14 15" xr:uid="{ECB7B479-871B-4F82-A670-2E52223212DF}"/>
    <hyperlink ref="I1385" location="'15'!$Q$47" display="$Q$47 15" xr:uid="{E54A3BF9-30A1-4B55-97EB-E17E5EF4C111}"/>
    <hyperlink ref="I1386" location="'15'!$Q$57" display="$Q$57 15" xr:uid="{B4DFEE5B-9A4B-4610-B2F5-634A22D65916}"/>
    <hyperlink ref="I1387" location="'15'!$Q$46" display="$Q$46 15" xr:uid="{E5C91BDA-D6B5-4FC8-9049-8E6CE6DBE06C}"/>
    <hyperlink ref="I1388" location="'15'!$S$47" display="$S$47 15" xr:uid="{0EC8EB12-522E-41E5-BC94-63D0FFDCA0D2}"/>
    <hyperlink ref="I1389" location="'15'!$S$56" display="$S$56 15" xr:uid="{FF9C5024-54E4-4559-9A31-F276D02929E7}"/>
    <hyperlink ref="I1390" location="'15'!$S$13" display="$S$13 15" xr:uid="{B973B508-4CD0-4B46-953A-9EBA86CF8E9B}"/>
    <hyperlink ref="I1391" location="'15'!$T$51" display="$T$51 15" xr:uid="{02CA7467-2121-46A0-B896-8BB1C6B459CC}"/>
    <hyperlink ref="I1392" location="'15'!$T$46" display="$T$46 15" xr:uid="{B56C6886-56DD-4E9B-B9BD-DA413F1C6FA4}"/>
    <hyperlink ref="I1393" location="'15'!$T$57" display="$T$57 15" xr:uid="{95A75EEB-A331-4D0E-8339-A3D005E15DC6}"/>
    <hyperlink ref="I1394" location="'15'!$U$47" display="$U$47 15" xr:uid="{EED81349-C8AC-428A-8019-CBEEC10D7BBE}"/>
    <hyperlink ref="I1395" r:id="rId69" location="'15'!$U$47" xr:uid="{F943282E-9AE6-48E8-941C-92F39253A723}"/>
    <hyperlink ref="I1396" location="'15'!$U$40" display="$U$40 15" xr:uid="{616A754D-17C4-4100-9A2D-B8E12712A185}"/>
    <hyperlink ref="I1397" location="'15'!$U$62" display="$U$62 15" xr:uid="{9D127F22-F73A-486E-94E9-F5F806B34537}"/>
    <hyperlink ref="I1398" location="'15'!$V$62" display="$V$62 15" xr:uid="{69FCD850-6B38-43F5-B2DE-198A7B46AD77}"/>
    <hyperlink ref="I1399" location="'15'!$V$63" display="$V$63 15" xr:uid="{0280562E-04DC-4BED-9DDC-999776606BB4}"/>
    <hyperlink ref="I1400" r:id="rId70" location="'15'!$V$62" xr:uid="{C4A5814E-BA8E-43C8-BD90-B1793119CBDC}"/>
    <hyperlink ref="I1401" r:id="rId71" location="'15'!$V$63" xr:uid="{6D01855B-9460-47AA-8213-5F507A55CE12}"/>
    <hyperlink ref="I1402" location="'15'!$W$47" display="$W$47 15" xr:uid="{280FAEE3-8B52-43F4-A771-29D3DC24BC3E}"/>
    <hyperlink ref="I1403" location="'15'!$W$62" display="$W$62 15" xr:uid="{0963AD7C-ECF2-42C8-A834-F28DCCA02F12}"/>
    <hyperlink ref="I1404" location="'15'!$W$63" display="$W$63 15" xr:uid="{D07239E7-1DAB-4C80-B55B-E7C7C2CF7D74}"/>
    <hyperlink ref="I1405" location="'15'!$W$30" display="$W$30 15" xr:uid="{2EE3089D-D824-4FC6-88DD-91967342F43D}"/>
    <hyperlink ref="I1406" location="'15'!$W$40" display="$W$40 15" xr:uid="{222A2647-511C-432A-B575-A5F797DA3C52}"/>
    <hyperlink ref="I1407" r:id="rId72" location="'15'!$W$62" xr:uid="{8A2FA96C-C8D4-4AB9-9C06-E4212420A3FF}"/>
    <hyperlink ref="I1408" r:id="rId73" location="'15'!$W$63" xr:uid="{1AEB0BA0-BE40-4EF8-8F69-46D3C767F178}"/>
    <hyperlink ref="I1409" location="'15'!$X$57" display="$X$57 15" xr:uid="{0CEF6792-842C-41D6-A3BE-A731DA9160FE}"/>
    <hyperlink ref="I1410" location="'15'!$X$56" display="$X$56 15" xr:uid="{924B6239-7916-4329-9E1B-219217EFCB80}"/>
    <hyperlink ref="I1411" location="'15'!$X$46" display="$X$46 15" xr:uid="{29FAF9B7-A4D9-4A59-B19C-0D2BD066AE6A}"/>
    <hyperlink ref="I1412" location="'15'!$X$51" display="$X$51 15" xr:uid="{02ED37BD-42AA-4662-9E8F-BD1AAA6D7AB3}"/>
    <hyperlink ref="I1413" location="'15'!$X$30" display="$X$30 15" xr:uid="{8F5C361A-D525-432D-9B29-F3BAE38E0D92}"/>
    <hyperlink ref="I1414" r:id="rId74" location="'15'!$X$30" xr:uid="{9D52F5F3-82CB-4744-909B-EF792CE5D9E6}"/>
    <hyperlink ref="I1415" location="'15'!$Y$30" display="$Y$30 15" xr:uid="{AC590DCC-5FA3-4AF5-8ECA-03F1FD10D1D3}"/>
    <hyperlink ref="I1416" location="'15'!$Y$47" display="$Y$47 15" xr:uid="{8B147AD1-4B88-4385-BF30-CB587AF4AA8E}"/>
    <hyperlink ref="I1417" location="'15'!$Y$46" display="$Y$46 15" xr:uid="{5160A6CC-F553-40C3-8D3E-54CE5287A4E3}"/>
    <hyperlink ref="I1418" location="'15'!$Z$47" display="$Z$47 15" xr:uid="{27AD97C8-53EF-46CB-9D74-8F71DA66540B}"/>
    <hyperlink ref="I1419" location="'15'!$Z$46" display="$Z$46 15" xr:uid="{77DFE22C-0519-4FB9-82F7-A0ECD3D857E0}"/>
    <hyperlink ref="I1420" location="'15'!$AA$79" display="$AA$79 15" xr:uid="{A9E9A910-E9FD-4A68-8870-65C254A418E8}"/>
    <hyperlink ref="I1421" location="'15'!$AA$78" display="$AA$78 15" xr:uid="{EA3C2965-4075-4590-A386-3F79C0D60790}"/>
    <hyperlink ref="I1422" location="'15'!$AA$56" display="$AA$56 15" xr:uid="{0A30EEC3-D532-400D-9BAA-6D5B6F17A48C}"/>
    <hyperlink ref="I1423" location="'15'!$AA$51" display="$AA$51 15" xr:uid="{708814CE-1B59-493D-A79E-BC80899281D1}"/>
    <hyperlink ref="I1424" location="'15'!$AA$47" display="$AA$47 15" xr:uid="{06557C1C-FC1B-4D40-B7D5-39AA0CF73A3E}"/>
    <hyperlink ref="I1425" location="'15'!$AA$57" display="$AA$57 15" xr:uid="{15059880-0164-414A-B377-5A46C5D4D86A}"/>
    <hyperlink ref="I1428" location="'15'!$AA$29" display="$AA$29 15" xr:uid="{3CC19EA2-F609-41DE-A7ED-1CD57D2AF816}"/>
    <hyperlink ref="I1429" r:id="rId75" location="'15'!$AA$57" xr:uid="{BFB41045-56C8-4F6F-8730-9191EC3A28BF}"/>
    <hyperlink ref="I1430" location="'15'!$AA$54" display="$AA$54 15" xr:uid="{88317BF7-0D5E-4759-985D-E8A831046A60}"/>
    <hyperlink ref="I1431" location="'15'!$AB$47" display="$AB$47 15" xr:uid="{4AAD9593-DF7E-4533-8BC5-71A64CF25BDD}"/>
    <hyperlink ref="I1433" location="'15'!$AB$57" display="$AB$57 15" xr:uid="{9DDD41F0-92BA-4D0C-829F-D7C3B2568259}"/>
    <hyperlink ref="I1434" location="'15'!$AB$56" display="$AB$56 15" xr:uid="{1E6ECCA4-7CFC-4812-92EC-11BE20940D5C}"/>
    <hyperlink ref="I1435" location="'15'!$AB$51" display="$AB$51 15" xr:uid="{418C3C71-92DE-4792-A09F-891911604EFF}"/>
    <hyperlink ref="I1436" r:id="rId76" location="'15'!$AB$47" xr:uid="{A5731E07-AC32-49C0-B096-A4978E5B62C5}"/>
    <hyperlink ref="I1437" r:id="rId77" location="'15'!$AB$57" xr:uid="{73AC2895-7113-40AB-B547-DC69A50C4175}"/>
    <hyperlink ref="I1438" location="'15'!$AB$54" display="$AB$54 15" xr:uid="{8E8F0F4E-519E-437D-BA17-6055BF6D3D97}"/>
    <hyperlink ref="I1441" location="'15'!$AC$24" display="$AC$24 15" xr:uid="{9E7AA923-37B7-4E5A-9126-D9633F7BFDC0}"/>
    <hyperlink ref="I1442" location="'16'!$F$56" display="$F$56 16" xr:uid="{52F60EA3-5BC2-48F8-8B90-EE06AF069E16}"/>
    <hyperlink ref="I1443" location="'16'!$F$19" display="$F$19 16" xr:uid="{6FE385E9-D72F-4012-9602-0B81BFD8341D}"/>
    <hyperlink ref="I1445" location="'16'!$G$13" display="$G$13 16" xr:uid="{6193CC79-38A4-4AA3-B266-1533ADE2538E}"/>
    <hyperlink ref="I1446" location="'16'!$G$15" display="$G$15 16" xr:uid="{1AA916F8-2622-469A-B760-4DECC9A9CD82}"/>
    <hyperlink ref="I1447" location="'16'!$G$21" display="$G$21 16" xr:uid="{23B7AEE5-B996-4D4A-A87E-8884FC80C73A}"/>
    <hyperlink ref="I1448" location="'16'!$I$14" display="$I$14 16" xr:uid="{FAEBF70C-2A23-4532-9195-9FE06257C55A}"/>
    <hyperlink ref="I1449" location="'16'!$I$54" display="$I$54 16" xr:uid="{165EAD17-2E6D-443E-992C-3BA5DDB08D27}"/>
    <hyperlink ref="I1450" location="'16'!$I$51" display="$I$51 16" xr:uid="{D804FC27-912D-49BE-A3A8-743B8CC1E742}"/>
    <hyperlink ref="I1451" location="'16'!$J$54" display="$J$54 16" xr:uid="{F62D6AF8-8567-4A5F-A52E-85D8FA4E43C9}"/>
    <hyperlink ref="I1452" location="'16'!$K$47" display="$K$47 16" xr:uid="{708347F1-D1DE-40E3-881D-00F479542F02}"/>
    <hyperlink ref="I1453" location="'16'!$L$57" display="$L$57 16" xr:uid="{902F8D25-AE17-4013-8A85-AADE23C7C803}"/>
    <hyperlink ref="I1454" location="'16'!$L$56" display="$L$56 16" xr:uid="{A3FB70FB-F6C0-43DE-ABE2-96303EB2C515}"/>
    <hyperlink ref="I1456" location="'16'!$L$21" display="$L$21 16" xr:uid="{ACE38C0C-211C-4542-BC68-3502D38EB7A4}"/>
    <hyperlink ref="I1457" location="'16'!$L$51" display="$L$51 16" xr:uid="{7FA419A7-AFDA-41EF-A4CC-8A68D35C1424}"/>
    <hyperlink ref="I1458" location="'16'!$L$47" display="$L$47 16" xr:uid="{FCE0A5E7-3B4D-4F47-BF43-4A70C3C08550}"/>
    <hyperlink ref="I1459" location="'16'!$M$78" display="$M$78 16" xr:uid="{72076832-E1B9-4B38-8E10-A12D1B87052E}"/>
    <hyperlink ref="I1460" location="'16'!$M$79" display="$M$79 16" xr:uid="{F4405DAA-0083-40B4-A441-DB47817C7173}"/>
    <hyperlink ref="I1461" location="'16'!$M$56" display="$M$56 16" xr:uid="{2DC0F7EF-144F-4C4F-BF9F-020D33AF96AC}"/>
    <hyperlink ref="I1462" location="'16'!$N$47" display="$N$47 16" xr:uid="{646B3A09-824D-4232-94F5-1239AE664C4B}"/>
    <hyperlink ref="I1463" location="'16'!$N$24" display="$N$24 16" xr:uid="{FA7A0AD1-85D9-437F-83EE-114CB88F1157}"/>
    <hyperlink ref="I1465" location="'16'!$N$51" display="$N$51 16" xr:uid="{68E64A86-85F7-496C-B0FE-5A665AC6CEA5}"/>
    <hyperlink ref="I1466" location="'16'!$O$54" display="$O$54 16" xr:uid="{478F8764-B2B1-4401-ADE2-F93DC40BC39D}"/>
    <hyperlink ref="I1467" location="'16'!$O$47" display="$O$47 16" xr:uid="{51F89A82-5D6C-471E-B59A-5846BE85B187}"/>
    <hyperlink ref="I1468" location="'16'!$O$50" display="$O$50 16" xr:uid="{BBA02D88-290E-46D7-875B-7376F8193F02}"/>
    <hyperlink ref="I1469" location="'16'!$O$56" display="$O$56 16" xr:uid="{78CCC55E-08AE-486D-A0C9-041C24176677}"/>
    <hyperlink ref="I1470" location="'16'!$O$15" display="$O$15 16" xr:uid="{D1357BEA-F489-4545-BD01-A9221F256F39}"/>
    <hyperlink ref="I1471" location="'16'!$O$51" display="$O$51 16" xr:uid="{6F4B396C-35BC-4CDE-9C16-3B8B99B65D18}"/>
    <hyperlink ref="I1475" r:id="rId78" location="'16'!$O$54" xr:uid="{4BEA95CA-DC6B-4A99-9962-A0432C5359D7}"/>
    <hyperlink ref="I1476" location="'16'!$P$47" display="$P$47 16" xr:uid="{5B6685FE-8F62-43E6-804C-E8F56C5A1004}"/>
    <hyperlink ref="I1477" location="'16'!$P$51" display="$P$51 16" xr:uid="{0642C843-8768-4B8D-A706-E2B83E67EA68}"/>
    <hyperlink ref="I1478" location="'16'!$P$19" display="$P$19 16" xr:uid="{66286267-F1F0-4ABE-918C-8F7552A41C9B}"/>
    <hyperlink ref="I1480" location="'16'!$P$56" display="$P$56 16" xr:uid="{0EF07A26-05C8-4D7C-A243-2707FBD6C806}"/>
    <hyperlink ref="I1482" location="'16'!$P$29" display="$P$29 16" xr:uid="{91A5CCDA-15A7-4438-9AD5-F772B35392C2}"/>
    <hyperlink ref="I1483" location="'16'!$S$54" display="$S$54 16" xr:uid="{A52473A0-78DD-425B-97E4-080DBEE5D2B1}"/>
    <hyperlink ref="I1484" location="'16'!$S$78" display="$S$78 16" xr:uid="{7BC40CD0-34D7-451E-B040-D7E06896E5FE}"/>
    <hyperlink ref="I1485" location="'16'!$T$47" display="$T$47 16" xr:uid="{29FE6FD6-3D78-4CAB-AC14-4170039346B0}"/>
    <hyperlink ref="I1486" location="'16'!$T$50" display="$T$50 16" xr:uid="{B3BD5071-7C15-4D2B-9ED5-E0F7D491449A}"/>
    <hyperlink ref="I1487" location="'16'!$T$64" display="$T$64 16" xr:uid="{2333F349-76D9-40C9-8085-86337643DAD9}"/>
    <hyperlink ref="I1488" location="'16'!$T$56" display="$T$56 16" xr:uid="{9981FD37-8342-41BC-A0FF-50A519493CAF}"/>
    <hyperlink ref="I1489" location="'16'!$U$78" display="$U$78 16" xr:uid="{567F95FF-C814-4EDE-BC6B-0CD226A1924B}"/>
    <hyperlink ref="I1490" location="'16'!$U$79" display="$U$79 16" xr:uid="{0B020980-7747-4C96-8B22-96428A18C2E1}"/>
    <hyperlink ref="I1492" location="'16'!$V$63" display="$V$63 16" xr:uid="{98AF8BFA-6764-4F18-B816-D42AFD267F4C}"/>
    <hyperlink ref="I1493" location="'16'!$V$64" display="$V$64 16" xr:uid="{0B9E6613-B710-4B4D-AAAC-C20B93010F8E}"/>
    <hyperlink ref="I1494" r:id="rId79" location="'16'!$V$64" xr:uid="{D698632E-7C9E-4683-A41E-640E5D4E55FE}"/>
    <hyperlink ref="I1495" location="'16'!$V$30" display="$V$30 16" xr:uid="{86264C78-250A-4D24-8576-2BD6E0154AEC}"/>
    <hyperlink ref="I1496" location="'16'!$W$50" display="$W$50 16" xr:uid="{3E76E911-010A-477A-98E3-CBA70F90FD69}"/>
    <hyperlink ref="I1497" location="'16'!$X$47" display="$X$47 16" xr:uid="{279FCC8D-5651-4CBD-915A-3A21029CEED1}"/>
    <hyperlink ref="I1498" location="'16'!$X$56" display="$X$56 16" xr:uid="{9B0414EF-F00C-4ADE-B2F2-DF413BE12A68}"/>
    <hyperlink ref="I1499" location="'16'!$Y$30" display="$Y$30 16" xr:uid="{0EFB7870-4E28-4D6B-B809-83F6CC961D01}"/>
    <hyperlink ref="I1500" location="'16'!$Y$79" display="$Y$79 16" xr:uid="{324CECE2-6731-4F71-83EA-A859FE76971D}"/>
    <hyperlink ref="I1501" location="'16'!$Y$78" display="$Y$78 16" xr:uid="{E6C6CB7D-49C7-4607-8DC9-28A0F5DF58C9}"/>
    <hyperlink ref="I1502" location="'16'!$Y$63" display="$Y$63 16" xr:uid="{74FCC3F0-9379-4F4A-AFAE-B365E05CA12B}"/>
    <hyperlink ref="I1503" location="'16'!$Y$47" display="$Y$47 16" xr:uid="{2B5CD5BB-6311-4C22-90AE-821BE6D470E4}"/>
    <hyperlink ref="I1504" location="'16'!$Y$50" display="$Y$50 16" xr:uid="{AF04EDB1-F19D-455E-9D79-C3F38261A1C0}"/>
    <hyperlink ref="I1505" location="'16'!$Z$47" display="$Z$47 16" xr:uid="{75FFB0B1-A097-4591-97C9-B17946B53C3D}"/>
    <hyperlink ref="I1506" location="'16'!$Z$56" display="$Z$56 16" xr:uid="{9767A465-92F5-4E47-B76F-9E0C0A9F5C57}"/>
    <hyperlink ref="I1507" location="'16'!$AA$63" display="$AA$63 16" xr:uid="{5DC7BCB7-80AE-4A47-8EFA-45B502185026}"/>
    <hyperlink ref="I1508" location="'16'!$AA$50" display="$AA$50 16" xr:uid="{C614CA47-F963-43F9-9C63-B5E560FB9FF8}"/>
    <hyperlink ref="I1509" location="'16'!$AA$56" display="$AA$56 16" xr:uid="{B10D128F-A15D-4D2B-8109-575A84D6F4C0}"/>
    <hyperlink ref="I1510" location="'16'!$AB$14" display="$AB$14 16" xr:uid="{C6060392-9E62-4133-BD99-7A7ED108FB19}"/>
    <hyperlink ref="I1511" location="'16'!$AB$15" display="$AB$15 16" xr:uid="{81F70598-4952-448A-96EB-9C21C06A75A4}"/>
    <hyperlink ref="I1512" location="'16'!$AB$51" display="$AB$51 16" xr:uid="{CF8A4279-7E19-4025-AB77-8A1F2ECCD664}"/>
    <hyperlink ref="I1514" location="'16'!$AB$29" display="$AB$29 16" xr:uid="{C6D62F4B-404C-40EA-BE3F-B6E04F13648A}"/>
    <hyperlink ref="I1515" location="'16'!$AC$24" display="$AC$24 16" xr:uid="{5C848D21-59D1-4810-ABAB-C4BDC828A9B1}"/>
    <hyperlink ref="I1516" location="'17'!$F$19" display="$F$19 17" xr:uid="{526C630F-B6F1-4946-8869-E952C845A59E}"/>
    <hyperlink ref="I1517" location="'17'!$G$21" display="$G$21 17" xr:uid="{3CA4B403-B733-4D5B-B675-041C7602B663}"/>
    <hyperlink ref="I1518" location="'17'!$J$47" display="$J$47 17" xr:uid="{112EA47D-68A1-4D40-AEC0-27C76ACE0253}"/>
    <hyperlink ref="I1519" location="'17'!$J$50" display="$J$50 17" xr:uid="{59E65F34-387B-4BE7-B5F3-75D5D83A643D}"/>
    <hyperlink ref="I1520" location="'17'!$J$56" display="$J$56 17" xr:uid="{83440D62-3109-460D-828E-352714A2DBF6}"/>
    <hyperlink ref="I1521" location="'17'!$J$16" display="$J$16 17" xr:uid="{1E96AC98-38EE-441D-9476-5B5C48945B85}"/>
    <hyperlink ref="I1522" location="'17'!$J$51" display="$J$51 17" xr:uid="{F0A97ECD-F638-4666-A222-46778EF5771C}"/>
    <hyperlink ref="I1524" location="'17'!$K$50" display="$K$50 17" xr:uid="{B68622B0-FA10-4037-A49A-1B7D90C918F5}"/>
    <hyperlink ref="I1525" location="'17'!$K$56" display="$K$56 17" xr:uid="{72B864FE-271F-4929-A80D-1E2079D8EB02}"/>
    <hyperlink ref="I1526" location="'17'!$L$51" display="$L$51 17" xr:uid="{A4ED5A81-9F55-4B77-A6DF-57BDA7305A97}"/>
    <hyperlink ref="I1527" location="'17'!$K$21" display="$K$21 17" xr:uid="{AA285EAC-E59E-4653-B556-207C7A2E5B90}"/>
    <hyperlink ref="I1528" location="'17'!$N$47" display="$N$47 17" xr:uid="{DBEBA818-C38B-452C-983F-7E7AD8DC64B8}"/>
    <hyperlink ref="I1529" location="'17'!$N$50" display="$N$50 17" xr:uid="{5B8676FB-5BCE-459F-BEB0-6A05C7444C9A}"/>
    <hyperlink ref="I1530" location="'17'!$N$15" display="$N$15 17" xr:uid="{002EB63C-9F84-4C30-B669-3A0397B2FF1C}"/>
    <hyperlink ref="I1531" location="'17'!$O$56" display="$O$56 17" xr:uid="{4891C6CB-0611-44D1-AE0E-95C9A219B832}"/>
    <hyperlink ref="I1532" location="'17'!$O$16" display="$O$16 17" xr:uid="{7755E1E4-90C1-4786-87A9-5409F6B30261}"/>
    <hyperlink ref="I1533" location="'17'!$O$15" display="$O$15 17" xr:uid="{11CA44AD-0E32-4F32-9BE1-149C770FD448}"/>
    <hyperlink ref="I1534" location="'17'!$O$47" display="$O$47 17" xr:uid="{6F5F3D1D-09FA-4A41-B1A4-DE85B1D3FF48}"/>
    <hyperlink ref="I1535" location="'17'!$O$50" display="$O$50 17" xr:uid="{A21732CC-D95E-40BE-B467-C1736671721D}"/>
    <hyperlink ref="I1537" location="'17'!$P$54" display="$P$54 17" xr:uid="{FFFD94E9-A105-4B47-A132-E0C84532DEC7}"/>
    <hyperlink ref="I1538" location="'17'!$P$19" display="$P$19 17" xr:uid="{01A08D55-3D87-4A41-9D8F-F207CB533C7D}"/>
    <hyperlink ref="I1540" location="'17'!$Q$54" display="$Q$54 17" xr:uid="{64FD1D40-1A49-491F-A232-53FF5797C622}"/>
    <hyperlink ref="I1541" location="'17'!$Q$15" display="$Q$15 17" xr:uid="{F59E614E-1783-4812-BDEA-82AACD5A216B}"/>
    <hyperlink ref="I1542" location="'17'!$R$51" display="$R$51 17" xr:uid="{9AB69022-69FB-44AC-9030-8E2F77A42F39}"/>
    <hyperlink ref="I1543" location="'17'!$R$16" display="$R$16 17" xr:uid="{2E1EFB5A-8D80-4B26-84E9-C3E2D5C3FD33}"/>
    <hyperlink ref="I1544" location="'17'!$S$47" display="$S$47 17" xr:uid="{A0F4C25A-3B2E-4626-8743-B6522CE17F1F}"/>
    <hyperlink ref="I1545" location="'17'!$F$63" display="$F$63 17" xr:uid="{860C42B4-3133-4A09-AD4F-82BAD8CA5F5D}"/>
    <hyperlink ref="I1546" location="'17'!$F$62" display="$F$62 17" xr:uid="{033183C6-0FC2-4973-960C-5C6097DCA4E5}"/>
    <hyperlink ref="I1547" location="'17'!$L$62" display="$L$62 17" xr:uid="{91973766-6F9B-4293-A59B-BC2BDFBE9CF3}"/>
    <hyperlink ref="I1548" location="'17'!$L$64" display="$L$64 17" xr:uid="{1F9D9EBA-043E-422F-A410-50904E955BE1}"/>
    <hyperlink ref="I1549" location="'17'!$S$64" display="$S$64 17" xr:uid="{04577BBF-D45A-4253-A6D7-39344445CCC4}"/>
    <hyperlink ref="I1550" location="'17'!$S$63" display="$S$63 17" xr:uid="{6304DF26-9922-4C60-B78A-BEC8AFE5D670}"/>
    <hyperlink ref="I1551" location="'17'!$S$50" display="$S$50 17" xr:uid="{A774E1E7-C12B-4B25-AA6B-356E69A11CC2}"/>
    <hyperlink ref="I1552" location="'17'!$S$24" display="$S$24 17" xr:uid="{415FEA07-8D9D-4978-938D-4A68044E5216}"/>
    <hyperlink ref="I1553" location="'17'!$S$54" display="$S$54 17" xr:uid="{37C0234F-8204-4846-82AF-5577965697CD}"/>
    <hyperlink ref="I1554" location="'17'!$S$51" display="$S$51 17" xr:uid="{630AF196-CDEB-4DF1-8AEA-C6D23ADC27E3}"/>
    <hyperlink ref="I1555" location="'17'!$U$56" display="$U$56 17" xr:uid="{9AC7DB4A-8E84-4635-8706-E3E835CEB8B3}"/>
    <hyperlink ref="I1556" location="'17'!$U$47" display="$U$47 17" xr:uid="{CC925494-7D2E-41D9-A112-18432243278C}"/>
    <hyperlink ref="I1557" location="'17'!$W$50" display="$W$50 17" xr:uid="{B44D5078-E0F2-42D4-8ECB-CBEE96EEA926}"/>
    <hyperlink ref="I1558" location="'17'!$W$56" display="$W$56 17" xr:uid="{0FF71B4B-D388-4DAD-8D33-C613D1F837D2}"/>
    <hyperlink ref="I1559" location="'17'!$M$78" display="$M$78 17" xr:uid="{F9EADF1E-FCED-4E82-AF78-D7BA28BB6DB0}"/>
    <hyperlink ref="I1560" location="'17'!$M$79" display="$M$79 17" xr:uid="{41B23BC2-DD92-4B38-941D-66ED054673F5}"/>
    <hyperlink ref="I1561" location="'17'!$Y$79" display="$Y$79 17" xr:uid="{E3C67B3A-D937-466B-944C-A243309FC975}"/>
    <hyperlink ref="I1562" location="'17'!$Y$78" display="$Y$78 17" xr:uid="{817190C7-ED61-41AE-8264-3E6FB4018E0E}"/>
    <hyperlink ref="I1563" location="'17'!$Y$63" display="$Y$63 17" xr:uid="{E5243CF8-D966-4DE4-BC33-D1C16F11ABEE}"/>
    <hyperlink ref="I1564" location="'17'!$Y$62" display="$Y$62 17" xr:uid="{6CB87EE5-1A39-4954-A7A0-CD00CBEC3488}"/>
    <hyperlink ref="I1565" location="'17'!$Y$54" display="$Y$54 17" xr:uid="{C792812F-DF47-4455-8DFC-D4E087C49A7E}"/>
    <hyperlink ref="I1566" location="'17'!$Y$51" display="$Y$51 17" xr:uid="{3AFA0E9B-27A9-43B8-B65F-7D717E0689B9}"/>
    <hyperlink ref="I1567" location="'17'!$Y$56" display="$Y$56 17" xr:uid="{81FBC97E-4ED1-4B1F-8226-76FDDFD2AA64}"/>
    <hyperlink ref="I1571" location="'17'!$Z$19" display="$Z$19 17" xr:uid="{14052A42-BB1B-4D5D-8134-955753E94E5A}"/>
    <hyperlink ref="I1572" location="'18'!$F$24" display="$F$24 18" xr:uid="{7D15948B-1FDA-4968-9FC2-9A268DA3C006}"/>
    <hyperlink ref="I1573" location="'18'!$G$62" display="$G$62 18" xr:uid="{0503D8ED-623E-4D76-87D6-1154C84E107E}"/>
    <hyperlink ref="I1574" location="'18'!$G$64" display="$G$64 18" xr:uid="{597D63EF-3D58-4FA0-8C0E-10D6071ED77E}"/>
    <hyperlink ref="I1575" location="'18'!$G$21" display="$G$21 18" xr:uid="{18DFFF13-ADEC-4763-8375-7B2772A85974}"/>
    <hyperlink ref="I1576" location="'18'!$H$47" display="$H$47 18" xr:uid="{D73F7FFF-EE88-494F-BB17-091CDE8AF747}"/>
    <hyperlink ref="I1577" location="'18'!$H$50" display="$H$50 18" xr:uid="{2713AA2B-6FDF-4FEC-B415-77298C7193F1}"/>
    <hyperlink ref="I1578" location="'18'!$H$51" display="$H$51 18" xr:uid="{471301BF-4639-4062-B73A-CF917184893C}"/>
    <hyperlink ref="I1579" location="'18'!$H$56" display="$H$56 18" xr:uid="{B604A862-1C41-4A88-84FA-0B0D152C4D5D}"/>
    <hyperlink ref="I1580" location="'18'!$H$15" display="$H$15 18" xr:uid="{3E5A5D7A-8A58-452D-84ED-6BD1D12BE958}"/>
    <hyperlink ref="I1581" location="'18'!$I$47" display="$I$47 18" xr:uid="{62740EDB-AA85-494A-804C-26BD4CB261D1}"/>
    <hyperlink ref="I1582" location="'18'!$I$50" display="$I$50 18" xr:uid="{0654F83D-318B-4E0A-9CE5-63331B2CAB13}"/>
    <hyperlink ref="I1583" location="'18'!$J$56" display="$J$56 18" xr:uid="{124B9921-AEA4-4186-9FCE-F44C64E8ADE6}"/>
    <hyperlink ref="I1584" location="'18'!$M$64" display="$M$64 18" xr:uid="{B7137DD3-C863-408A-BAE0-3A478FFC13D8}"/>
    <hyperlink ref="I1585" location="'18'!$M$63" display="$M$63 18" xr:uid="{8B67D36B-BA93-4A44-8F8E-08F2F9C2F492}"/>
    <hyperlink ref="I1586" location="'18'!$M$51" display="$M$51 18" xr:uid="{0D524F88-02A6-46DF-9C9F-C6FD3B18A9AF}"/>
    <hyperlink ref="I1587" location="'18'!$N$47" display="$N$47 18" xr:uid="{E48088D8-7EF4-47F1-9FC0-5F9866FA0BB5}"/>
    <hyperlink ref="I1588" location="'18'!$O$50" display="$O$50 18" xr:uid="{E1ADD1B2-7178-49E5-A5B5-BDB03B39BDF7}"/>
    <hyperlink ref="I1589" location="'18'!$O$56" display="$O$56 18" xr:uid="{2DA7FED5-D3D2-4DB0-9AA8-E815B98891D2}"/>
    <hyperlink ref="I1590" location="'18'!$O$21" display="$O$21 18" xr:uid="{54D5CFC4-A8E8-4CFE-8FA4-A0062BE59618}"/>
    <hyperlink ref="I1591" location="'18'!$O$47" display="$O$47 18" xr:uid="{EF8C5A73-0CBD-4ED9-A6FD-779279F82B81}"/>
    <hyperlink ref="I1594" location="'18'!$P$78" display="$P$78 18" xr:uid="{0DF43560-D959-45B7-9299-DE5A9F2B7472}"/>
    <hyperlink ref="I1595" location="'18'!$P$79" display="$P$79 18" xr:uid="{CBDA1F28-23A8-448E-AD2F-1A54504C54B0}"/>
    <hyperlink ref="I1596" location="'18'!$Q$54" display="$Q$54 18" xr:uid="{E059E2E8-AF2C-4DBA-96D6-FFC2FD62C949}"/>
    <hyperlink ref="I1597" location="'18'!$Q$51" display="$Q$51 18" xr:uid="{85A4738F-E6A9-4B0B-BAF8-B3F22183EF76}"/>
    <hyperlink ref="I1598" location="'18'!$Q$47" display="$Q$47 18" xr:uid="{AC80B0ED-E2B9-4F3A-AD02-F1AF4E10A837}"/>
    <hyperlink ref="I1599" location="'18'!$R$19" display="$R$19 18" xr:uid="{522E9C8B-14EE-46CA-BB05-B99D354AB074}"/>
    <hyperlink ref="I1600" location="'18'!$R$54" display="$R$54 18" xr:uid="{DB5184AF-E755-4AB5-8DAC-6B37CB6A2B67}"/>
    <hyperlink ref="I1601" location="'18'!$R$51" display="$R$51 18" xr:uid="{A73E3AFA-88E6-4E28-8F3F-A77606A36B8C}"/>
    <hyperlink ref="I1602" location="'18'!$R$47" display="$R$47 18" xr:uid="{8F60430E-15C8-4F56-9B31-274EAA82DAAE}"/>
    <hyperlink ref="I1603" location="'18'!$S$50" display="$S$50 18" xr:uid="{B4B2E9AD-EEEE-4EC1-9D78-B65CA75350B5}"/>
    <hyperlink ref="I1604" location="'18'!$S$56" display="$S$56 18" xr:uid="{5FC483E5-9885-4F04-AD21-429DB4C4E821}"/>
    <hyperlink ref="I1605" location="'18'!$S$63" display="$S$63 18" xr:uid="{46B37392-B74E-4E67-AD05-808A4D416B8C}"/>
    <hyperlink ref="I1606" location="'18'!$S$62" display="$S$62 18" xr:uid="{0A9437BE-425C-40E6-86A4-D0531445AED0}"/>
    <hyperlink ref="I1608" location="'18'!$S$54" display="$S$54 18" xr:uid="{8ED8504E-9EE0-47F9-8E1F-238C92963876}"/>
    <hyperlink ref="I1609" location="'18'!$S$51" display="$S$51 18" xr:uid="{DE3999EF-9172-4383-B5DF-A8B0A4BE8AFF}"/>
    <hyperlink ref="I1610" location="'18'!$T$56" display="$T$56 18" xr:uid="{38F23539-C1C2-4562-89D1-FA63997994F6}"/>
    <hyperlink ref="I1611" location="'18'!$T$54" display="$T$54 18" xr:uid="{11B8960F-4B30-4B6F-8886-FC90D96B4958}"/>
    <hyperlink ref="I1612" location="'18'!$T$51" display="$T$51 18" xr:uid="{86CA3FCA-C83E-4FE1-8B52-DF9BA03BC6C9}"/>
    <hyperlink ref="I1613" location="'18'!$T$47" display="$T$47 18" xr:uid="{7A852F21-5191-4056-BF21-27037CF9A2EF}"/>
    <hyperlink ref="I1614" location="'18'!$T$50" display="$T$50 18" xr:uid="{622C6793-73BD-4781-8281-03EBDBBC91FB}"/>
    <hyperlink ref="I1615" r:id="rId80" location="'18'!$T$56" xr:uid="{08AF4F16-AF58-40B1-9BF4-54D26C9D657E}"/>
    <hyperlink ref="I1616" r:id="rId81" location="'18'!$T$54" xr:uid="{C96C053D-CC5E-4955-BBD0-ACD3776CD80E}"/>
    <hyperlink ref="I1617" r:id="rId82" location="'18'!$T$51" xr:uid="{FD949C4B-DFA9-450E-95B9-011B2C6502C2}"/>
    <hyperlink ref="I1618" location="'18'!$U$24" display="$U$24 18" xr:uid="{EC74C945-AFEC-4B54-918B-6420A337B8F4}"/>
    <hyperlink ref="I1619" location="'18'!$U$21" display="$U$21 18" xr:uid="{03071FDB-0D1B-4E70-A015-E9BC122572FE}"/>
    <hyperlink ref="I1620" r:id="rId83" location="'18'!$U$21" xr:uid="{E9995DF1-3284-4F71-A06B-269566047C27}"/>
    <hyperlink ref="I1621" location="'18'!$U$47" display="$U$47 18" xr:uid="{83ADF788-7496-472E-B5A7-D655637962DE}"/>
    <hyperlink ref="I1622" location="'18'!$V$50" display="$V$50 18" xr:uid="{D67FD9C7-A307-407D-A9C9-D2D9862E19D6}"/>
    <hyperlink ref="I1623" location="'18'!$W$56" display="$W$56 18" xr:uid="{02E08A9B-1E69-4B93-ADA2-48DBB2F9AA16}"/>
    <hyperlink ref="I1624" location="'18'!$X$54" display="$X$54 18" xr:uid="{18A8D638-741C-4E81-9E95-8C46004B3899}"/>
    <hyperlink ref="I1625" location="'18'!$X$47" display="$X$47 18" xr:uid="{0DB3A537-1618-4CE1-B3AA-43763503A1C2}"/>
    <hyperlink ref="I1626" location="'18'!$Y$50" display="$Y$50 18" xr:uid="{F1D48D78-8B48-4642-ABC4-382C004CD365}"/>
    <hyperlink ref="I1627" location="'18'!$Y$56" display="$Y$56 18" xr:uid="{480B2D81-1B84-4DE3-9213-DA5757A0A624}"/>
    <hyperlink ref="I1628" location="'18'!$Y$15" display="$Y$15 18" xr:uid="{530B11E5-9AEC-41C8-BCD3-FB0649DBC041}"/>
    <hyperlink ref="I1629" location="'18'!$Y$79" display="$Y$79 18" xr:uid="{8B7F5550-A5A8-41F4-862D-1F042734928D}"/>
    <hyperlink ref="I1630" location="'18'!$Y$78" display="$Y$78 18" xr:uid="{6E130219-D869-4C4C-98B7-95DF97A0A919}"/>
    <hyperlink ref="I1631" location="'18'!$Y$62" display="$Y$62 18" xr:uid="{E94ECFC8-333B-4B92-91B5-1C2E8EEEAE5B}"/>
    <hyperlink ref="I1632" location="'18'!$Y$64" display="$Y$64 18" xr:uid="{AAA76424-9EAC-45EF-9EAA-88E0BC29D9DE}"/>
    <hyperlink ref="I1633" location="'18'!$Y$54" display="$Y$54 18" xr:uid="{9449AAD5-16FA-49EA-9DC8-B052C1E5607B}"/>
    <hyperlink ref="I1634" location="'18'!$Y$51" display="$Y$51 18" xr:uid="{74567F15-BECC-4611-ABE9-6B03DB409B35}"/>
    <hyperlink ref="I1635" r:id="rId84" location="'18'!$Y$51" xr:uid="{C6A3996D-63F4-4FCC-B210-E2CD9CD3199A}"/>
    <hyperlink ref="I1636" location="'18'!$Y$47" display="$Y$47 18" xr:uid="{06551E38-C56F-4FF5-AEE1-5D7C511156A0}"/>
    <hyperlink ref="I1639" r:id="rId85" location="'18'!$Y$54" xr:uid="{113A5109-12CC-4DE0-B66D-C9B4DDEDF512}"/>
    <hyperlink ref="I1640" location="'18'!$Z$50" display="$Z$50 18" xr:uid="{8FD143F7-E91B-4CF2-8C28-E2C2C9B586CE}"/>
    <hyperlink ref="I1641" location="'18'!$AA$54" display="$AA$54 18" xr:uid="{46BBF852-AE73-42A5-A20F-868BD08A0CE5}"/>
    <hyperlink ref="I1642" r:id="rId86" location="'18'!$AA$54" xr:uid="{0250EF0F-40E9-416E-9141-1FA9CB9608B4}"/>
    <hyperlink ref="I1643" location="'18'!$AB$50" display="$AB$50 18" xr:uid="{5D8D6C9F-43D9-42B2-B18D-AB1B2DA3A931}"/>
    <hyperlink ref="I1644" location="'18'!$AC$56" display="$AC$56 18" xr:uid="{622016CC-E46E-4202-ADF5-7B6B4E5F1DEE}"/>
    <hyperlink ref="I1645" location="'18'!$AC$54" display="$AC$54 18" xr:uid="{35B6DED7-A9E9-435F-A18E-5F42C0BA4D0C}"/>
    <hyperlink ref="I1646" location="'19'!$F$24" display="$F$24 19" xr:uid="{24883FBF-3B1D-46C2-8110-29EE672CC22A}"/>
    <hyperlink ref="I1647" location="'19'!$G$64" display="$G$64 19" xr:uid="{D5859CEF-8B3E-4DC6-A54D-43B2D235BD58}"/>
    <hyperlink ref="I1648" location="'19'!$G$63" display="$G$63 19" xr:uid="{455D5CF4-9902-4C1D-BB80-CA5DF2156FBF}"/>
    <hyperlink ref="I1649" location="'19'!$G$19" display="$G$19 19" xr:uid="{C78AE9A9-D84D-4223-B985-5EC1FF13A3E4}"/>
    <hyperlink ref="I1650" location="'19'!$I$47" display="$I$47 19" xr:uid="{4F157E4A-05C7-4979-B27A-6898ED2139C1}"/>
    <hyperlink ref="I1651" location="'19'!$I$50" display="$I$50 19" xr:uid="{0930CC4E-A35C-4CCB-9862-3CFCBD52DEFE}"/>
    <hyperlink ref="I1652" location="'19'!$I$56" display="$I$56 19" xr:uid="{F3726B12-5232-4B7D-87B7-7AB78548A224}"/>
    <hyperlink ref="I1653" location="'19'!$I$13" display="$I$13 19" xr:uid="{066D70E9-D98E-4E11-BCFE-B590E9970AD0}"/>
    <hyperlink ref="I1654" location="'19'!$J$13" display="$J$13 19" xr:uid="{3A7ED36F-C608-4E5D-9335-7176E4F343CE}"/>
    <hyperlink ref="I1655" location="'19'!$J$47" display="$J$47 19" xr:uid="{0A1E8EF1-9B28-4D04-87BA-1C3C3C0EF211}"/>
    <hyperlink ref="I1656" location="'19'!$J$15" display="$J$15 19" xr:uid="{2F30B8ED-DE92-48D6-9FD7-291A4D37E4D8}"/>
    <hyperlink ref="I1657" location="'19'!$J$54" display="$J$54 19" xr:uid="{8CE5CEDB-AECD-4AFF-8CBD-374487693BA9}"/>
    <hyperlink ref="I1658" location="'19'!$L$21" display="$L$21 19" xr:uid="{748AD21C-A622-49F5-A9B7-C06A79C1EB99}"/>
    <hyperlink ref="I1659" location="'19'!$L$50" display="$L$50 19" xr:uid="{1D9EBC54-D086-4ABF-B8D2-13F1073CD8FA}"/>
    <hyperlink ref="I1660" location="'19'!$L$56" display="$L$56 19" xr:uid="{1DE781E7-3EC1-439E-9841-4A7780C798D1}"/>
    <hyperlink ref="I1661" location="'19'!$L$54" display="$L$54 19" xr:uid="{E33E0954-7FD1-4609-A44E-70DA5E069A2D}"/>
    <hyperlink ref="I1662" location="'19'!$M$78" display="$M$78 19" xr:uid="{100E4DC2-F4A8-4C68-BD6E-8F29BE84E1C5}"/>
    <hyperlink ref="I1663" location="'19'!$M$79" display="$M$79 19" xr:uid="{839C6989-A3F7-4CD0-B011-A78FBDD4AE5B}"/>
    <hyperlink ref="I1664" location="'19'!$M$63" display="$M$63 19" xr:uid="{7F64D214-5B0A-49CD-B2D1-717795DA8104}"/>
    <hyperlink ref="I1665" location="'19'!$M$62" display="$M$62 19" xr:uid="{56B4BC97-933E-4D07-BB52-C1F118F60F1D}"/>
    <hyperlink ref="I1666" location="'19'!$N$51" display="$N$51 19" xr:uid="{3E257819-F15D-48FA-AFDB-42ED2CF5FC78}"/>
    <hyperlink ref="I1667" location="'19'!$N$47" display="$N$47 19" xr:uid="{3CD18B55-E3FA-4574-9C54-DD5CC5A24652}"/>
    <hyperlink ref="I1669" r:id="rId87" location="'19'!$N$51" xr:uid="{8253E812-D197-4B4F-B541-0146B38CDEDB}"/>
    <hyperlink ref="I1670" location="'19'!$O$50" display="$O$50 19" xr:uid="{1A065290-FAD3-4900-B45B-7D0D7E8D5E0D}"/>
    <hyperlink ref="I1671" location="'19'!$O$56" display="$O$56 19" xr:uid="{95F8CA8E-52DA-4481-BEB8-02770CC117CC}"/>
    <hyperlink ref="I1672" location="'19'!$O$54" display="$O$54 19" xr:uid="{30BA5551-71A6-4F00-83F3-6375163707F5}"/>
    <hyperlink ref="I1673" location="'19'!$O$16" display="$O$16 19" xr:uid="{38A666E2-B82B-43A8-926A-B84895464D2F}"/>
    <hyperlink ref="I1674" location="'19'!$O$51" display="$O$51 19" xr:uid="{EAE0DF1D-3CA9-4692-A099-B200B0135B99}"/>
    <hyperlink ref="I1676" location="'19'!$P$47" display="$P$47 19" xr:uid="{439915AF-DE5F-4B1B-A671-81BE7567928A}"/>
    <hyperlink ref="I1677" location="'19'!$P$54" display="$P$54 19" xr:uid="{15B13A75-1483-4089-995D-0044218E16E7}"/>
    <hyperlink ref="I1678" location="'19'!$P$50" display="$P$50 19" xr:uid="{009ABFAA-55B1-4E1B-BFA5-A2DD9BA3D1E7}"/>
    <hyperlink ref="I1679" location="'19'!$P$56" display="$P$56 19" xr:uid="{BB817AD9-30B5-4937-8B99-07DED83AA04D}"/>
    <hyperlink ref="I1680" location="'19'!$P$24" display="$P$24 19" xr:uid="{86036264-34DE-4E97-BF2F-B3B94C9CBC54}"/>
    <hyperlink ref="I1682" location="'19'!$Q$51" display="$Q$51 19" xr:uid="{ED611D8C-9948-4930-A5B2-61360B4498CF}"/>
    <hyperlink ref="I1683" location="'19'!$R$47" display="$R$47 19" xr:uid="{24EEEAEF-1147-4455-9B79-1CA7703901B9}"/>
    <hyperlink ref="I1684" location="'19'!$R$50" display="$R$50 19" xr:uid="{51E3FB1B-9747-40EF-B96E-E99A36D15C31}"/>
    <hyperlink ref="I1685" location="'19'!$S$19" display="$S$19 19" xr:uid="{19F7671A-9AEF-4A00-A49C-DD06BE645E4E}"/>
    <hyperlink ref="I1686" location="'19'!$S$51" display="$S$51 19" xr:uid="{DC8F0F11-5278-4E5C-91C1-FF5A502F7B8A}"/>
    <hyperlink ref="I1687" location="'19'!$S$47" display="$S$47 19" xr:uid="{D1F783A6-6B6E-474F-BA19-4E693A3F3CD4}"/>
    <hyperlink ref="I1688" location="'19'!$T$56" display="$T$56 19" xr:uid="{9CDD9159-559F-41DB-A330-2BBC50CE70B0}"/>
    <hyperlink ref="I1689" location="'19'!$T$54" display="$T$54 19" xr:uid="{42DEFBB4-CE5F-4833-A9C6-72BE0EA9BA7F}"/>
    <hyperlink ref="I1690" location="'19'!$T$51" display="$T$51 19" xr:uid="{D5D4AC49-9133-44E4-A9FD-891479C673A5}"/>
    <hyperlink ref="I1692" location="'19'!$W$15" display="$W$15 19" xr:uid="{BF3BD241-3FDE-4734-AE79-ECE7DB21B84C}"/>
    <hyperlink ref="I1693" location="'19'!$W$14" display="$W$14 19" xr:uid="{3E1E72E4-38AD-473A-8D4E-7E282B6DC267}"/>
    <hyperlink ref="I1694" location="'19'!$W$54" display="$W$54 19" xr:uid="{BEAEF2C3-B8D5-40CA-BE7F-ED7A941E1A4E}"/>
    <hyperlink ref="I1695" location="'19'!$S$62" display="$S$62 19" xr:uid="{C1EFD7AD-6DBA-4450-B79B-4FBD19E03BBF}"/>
    <hyperlink ref="I1696" location="'19'!$S$64" display="$S$64 19" xr:uid="{67EC5DE8-D12A-4CB8-A279-F4C895301226}"/>
    <hyperlink ref="I1697" location="'19'!$X$50" display="$X$50 19" xr:uid="{89FC53B1-E8DD-48AD-AA69-0A289DCF1B3C}"/>
    <hyperlink ref="I1698" location="'19'!$X$47" display="$X$47 19" xr:uid="{1145091B-034F-410B-BE6D-78950DFE1CFD}"/>
    <hyperlink ref="I1699" location="'19'!$Y$79" display="$Y$79 19" xr:uid="{636B5006-C073-4A90-A4DC-BA149984FBB8}"/>
    <hyperlink ref="I1700" location="'19'!$Y$78" display="$Y$78 19" xr:uid="{68BFCFA9-08B5-4150-A2CB-F0ADE929AF2B}"/>
    <hyperlink ref="I1701" location="'19'!$Y$64" display="$Y$64 19" xr:uid="{E8B6258F-9201-4B65-BFD0-5379E92CB5E9}"/>
    <hyperlink ref="I1702" location="'19'!$Y$63" display="$Y$63 19" xr:uid="{EC4CEFA6-F2C9-49D7-BC3D-A9D25AF93423}"/>
    <hyperlink ref="I1703" location="'19'!$Y$54" display="$Y$54 19" xr:uid="{35501E60-6BA7-4DAC-8140-BE0DD7A660BA}"/>
    <hyperlink ref="I1704" location="'19'!$Y$51" display="$Y$51 19" xr:uid="{FD2BDF0F-D058-489C-8CA3-7600B6B59BD5}"/>
    <hyperlink ref="I1705" location="'19'!$Y$50" display="$Y$50 19" xr:uid="{778E1DD0-3630-429D-9AAF-044677F1C062}"/>
    <hyperlink ref="I1706" location="'19'!$Y$29" display="$Y$29 19" xr:uid="{2A9F114A-AB64-47B3-A9BB-86EC3047E42C}"/>
    <hyperlink ref="I1707" location="'19'!$Y$47" display="$Y$47 19" xr:uid="{60113D82-7AC3-486F-A082-B3B3C2C2A028}"/>
    <hyperlink ref="I1709" location="'19'!$Y$56" display="$Y$56 19" xr:uid="{7C185AFB-690E-4471-8919-6A129AC11B7D}"/>
    <hyperlink ref="I1710" location="'19'!$Z$54" display="$Z$54 19" xr:uid="{22CF32E3-27C6-4111-8EF0-8310E97C1F98}"/>
    <hyperlink ref="I1711" location="'19'!$Z$51" display="$Z$51 19" xr:uid="{B1787460-1DC9-4F1D-9B30-140B98E0E204}"/>
    <hyperlink ref="I1712" location="'19'!$Z$63" display="$Z$63 19" xr:uid="{6AB18A3F-B5D5-4550-9A04-2BB84DBC0A7C}"/>
    <hyperlink ref="I1713" location="'19'!$AA$63" display="$AA$63 19" xr:uid="{5D0B5D9C-1DD4-4A6E-B504-1A0639118C50}"/>
    <hyperlink ref="I1714" location="'19'!$AB$47" display="$AB$47 19" xr:uid="{62F37B39-C3AE-4645-8E5B-546738BCBFC5}"/>
    <hyperlink ref="I1715" location="'19'!$AB$50" display="$AB$50 19" xr:uid="{82870305-1269-4592-B253-E1A8229A0420}"/>
    <hyperlink ref="I1716" location="'19'!$AB$29" display="$AB$29 19" xr:uid="{B1569D71-31B6-4747-BCF1-9B85D89FBC51}"/>
    <hyperlink ref="I1719" location="'19'!$AC$19" display="$AC$19 19" xr:uid="{16B289E4-5F7E-4842-9F3D-4C18B07AA33A}"/>
    <hyperlink ref="I1720" location="'20'!$F$24" display="$F$24 20" xr:uid="{E2F9882B-DC03-400D-898D-32F8BB9B4F02}"/>
    <hyperlink ref="I1721" location="'20'!$F$56" display="$F$56 20" xr:uid="{B18AD436-F4EE-4C40-A238-5B9D66F0A9F6}"/>
    <hyperlink ref="I1722" location="'20'!$F$54" display="$F$54 20" xr:uid="{B38FEC94-4573-4C0F-B249-1F0346F14549}"/>
    <hyperlink ref="I1723" location="'20'!$F$51" display="$F$51 20" xr:uid="{11DB0ADD-AFBB-4E12-BA5B-070628B08690}"/>
    <hyperlink ref="I1727" location="'20'!$F$47" display="$F$47 20" xr:uid="{C9292773-CE21-40C0-8570-48A548044B44}"/>
    <hyperlink ref="I1728" location="'20'!$F$50" display="$F$50 20" xr:uid="{85810933-9414-456B-8C05-AD31B590378C}"/>
    <hyperlink ref="I1729" location="'20'!$F$21" display="$F$21 20" xr:uid="{C7B1280E-09A6-492C-B4C4-33D4194E2366}"/>
    <hyperlink ref="I1730" location="'20'!$G$62" display="$G$62 20" xr:uid="{44384B06-F8EB-48A2-92E4-08EC41E3B122}"/>
    <hyperlink ref="I1731" location="'20'!$G$63" display="$G$63 20" xr:uid="{0213C9CF-770E-46A2-970F-B3B756308819}"/>
    <hyperlink ref="I1732" location="'20'!$G$47" display="$G$47 20" xr:uid="{63456025-4CF5-41B3-9BE8-B80A5261BEB1}"/>
    <hyperlink ref="I1733" location="'20'!$G$50" display="$G$50 20" xr:uid="{F744E46F-21EF-46CB-A13C-537A266E6179}"/>
    <hyperlink ref="I1734" location="'20'!$J$14" display="$J$14 20" xr:uid="{D28FBBB8-2292-4D87-BA74-C3EDB64B3AB9}"/>
    <hyperlink ref="I1735" location="'20'!$J$13" display="$J$13 20" xr:uid="{C4141010-011E-47EC-93AF-8F05198F92C4}"/>
    <hyperlink ref="I1736" location="'20'!$K$62" display="$K$62 20" xr:uid="{5EEDDE04-1251-4DAA-9481-F1C842CC1D54}"/>
    <hyperlink ref="I1737" location="'20'!$K$64" display="$K$64 20" xr:uid="{D7FD9DE1-12A2-4A28-BFAD-1A75A17EB72C}"/>
    <hyperlink ref="I1738" location="'20'!$K$79" display="$K$79 20" xr:uid="{EA22590A-FB65-421F-BB8A-0A5C9D35461F}"/>
    <hyperlink ref="I1739" location="'20'!$M$13" display="$M$13 20" xr:uid="{7AC11805-35BD-4E46-A632-1C5254E4CFBD}"/>
    <hyperlink ref="I1740" location="'20'!$N$13" display="$N$13 20" xr:uid="{314A524A-669C-405A-977C-FB81C49BEEB4}"/>
    <hyperlink ref="I1741" location="'20'!$N$56" display="$N$56 20" xr:uid="{6948FEF0-A7B6-4EA7-836D-1A3214A28CA8}"/>
    <hyperlink ref="I1742" location="'20'!$O$78" display="$O$78 20" xr:uid="{97DB98DA-51AC-428F-8A04-2914B0E6FD72}"/>
    <hyperlink ref="I1743" location="'20'!$O$79" display="$O$79 20" xr:uid="{04855CF3-AFB5-40AC-885D-4C4C51D15FF2}"/>
    <hyperlink ref="I1745" location="'20'!$O$48" display="$O$48 20" xr:uid="{6F27A4FB-D5F6-4D14-BEEC-CF7D8F7A61FE}"/>
    <hyperlink ref="I1746" location="'20'!$O$51" display="$O$51 20" xr:uid="{0349BE2B-FC34-4516-A753-8893AFEDCDC4}"/>
    <hyperlink ref="I1747" location="'20'!$O$47" display="$O$47 20" xr:uid="{AA6638A1-C7AA-4A5B-9EF1-F6428CAEEE24}"/>
    <hyperlink ref="I1748" location="'20'!$O$21" display="$O$21 20" xr:uid="{F6298DCB-474D-4583-84A2-D142544B708A}"/>
    <hyperlink ref="I1749" location="'20'!$O$56" display="$O$56 20" xr:uid="{A6200204-B3FB-40D2-AA70-509D248FF6E4}"/>
    <hyperlink ref="I1750" location="'20'!$P$24" display="$P$24 20" xr:uid="{B4E466F8-42DB-4C33-BE07-09CEDC76AC75}"/>
    <hyperlink ref="I1751" location="'20'!$P$48" display="$P$48 20" xr:uid="{A882CFF3-2CEA-4CD6-8C93-A0E7D57049ED}"/>
    <hyperlink ref="I1752" location="'20'!$P$51" display="$P$51 20" xr:uid="{76D2A9C7-B85D-4D12-BE48-A72F6530E3C1}"/>
    <hyperlink ref="I1753" location="'20'!$P$47" display="$P$47 20" xr:uid="{A2999322-78AA-44E3-B831-76440FC9CA4A}"/>
    <hyperlink ref="I1754" location="'20'!$Q$47" display="$Q$47 20" xr:uid="{4691F44B-4BD3-4FD9-905F-3200EE3C04C7}"/>
    <hyperlink ref="I1755" location="'20'!$Q$50" display="$Q$50 20" xr:uid="{375B3ED5-8DC4-4F2A-8A07-52E3002C2D74}"/>
    <hyperlink ref="I1756" location="'20'!$Q$19" display="$Q$19 20" xr:uid="{A7FF78A4-19BB-4915-A6AB-D188841DD3B0}"/>
    <hyperlink ref="I1759" location="'20'!$Q$64" display="$Q$64 20" xr:uid="{39CF1401-4A92-4C3B-9065-32DC10B8F911}"/>
    <hyperlink ref="I1760" location="'20'!$Q$63" display="$Q$63 20" xr:uid="{3DF1BC1E-023A-4688-91C0-78BA9586CBE4}"/>
    <hyperlink ref="I1761" location="'20'!$T$56" display="$T$56 20" xr:uid="{C904CD09-A723-4C68-86D2-B65BB26C0B7B}"/>
    <hyperlink ref="I1762" location="'20'!$U$54" display="$U$54 20" xr:uid="{B841F3F8-7AB4-4200-865E-B3D47645E38C}"/>
    <hyperlink ref="I1763" location="'20'!$W$56" display="$W$56 20" xr:uid="{1B626B61-875A-42D3-B4AB-D781BE918327}"/>
    <hyperlink ref="I1764" location="'20'!$X$54" display="$X$54 20" xr:uid="{CFF6273F-EC2E-43D5-BBBA-D8759D253AE0}"/>
    <hyperlink ref="I1765" location="'20'!$X$51" display="$X$51 20" xr:uid="{643C5A38-F45A-4B89-AA93-3E0BE286A93F}"/>
    <hyperlink ref="I1766" location="'20'!$Y$47" display="$Y$47 20" xr:uid="{DE8224D0-4598-42C9-8E43-7003B419259B}"/>
    <hyperlink ref="I1767" location="'20'!$Y$50" display="$Y$50 20" xr:uid="{D1CF72D8-C8B5-4853-A882-6E2AF197CE50}"/>
    <hyperlink ref="I1768" location="'20'!$Y$79" display="$Y$79 20" xr:uid="{A4ACC3A7-34B7-4EC2-B8E4-E98B5022728B}"/>
    <hyperlink ref="I1769" location="'20'!$Y$78" display="$Y$78 20" xr:uid="{3E9190FA-D391-444B-9C33-669B6B4CDD52}"/>
    <hyperlink ref="I1770" location="'20'!$Y$56" display="$Y$56 20" xr:uid="{EFDB2F9A-ACDF-485E-B427-455448B8A20A}"/>
    <hyperlink ref="I1771" location="'20'!$Y$54" display="$Y$54 20" xr:uid="{CFBE3109-20F1-4249-8CF7-6736F26D1C0D}"/>
    <hyperlink ref="I1772" location="'20'!$Y$29" display="$Y$29 20" xr:uid="{B1F75264-6C0C-4881-A4D2-A4EE5F7441C9}"/>
    <hyperlink ref="I1773" location="'20'!$Z$51" display="$Z$51 20" xr:uid="{45C95B70-FD33-4A62-BAA8-520AA0508DC7}"/>
    <hyperlink ref="I1774" location="'20'!$Z$54" display="$Z$54 20" xr:uid="{CF0B1ECB-1D0D-4563-9F52-11DD50938919}"/>
    <hyperlink ref="I1775" location="'20'!$Z$47" display="$Z$47 20" xr:uid="{A9BF67B7-CD95-464D-8C39-24C278368E13}"/>
    <hyperlink ref="I1776" location="'20'!$Z$50" display="$Z$50 20" xr:uid="{0175300F-7CF6-4C20-9ADF-034565C8BA97}"/>
    <hyperlink ref="I1777" location="'20'!$Z$56" display="$Z$56 20" xr:uid="{226779CB-5ACE-4688-87D8-F7A1660B64FB}"/>
    <hyperlink ref="I1778" location="'20'!$AB$16" display="$AB$16 20" xr:uid="{FEDFC26C-01C4-4D72-94A1-07368AF40920}"/>
    <hyperlink ref="I1779" location="'21'!$G$14" display="$G$14 21" xr:uid="{72BA44B8-4116-415C-B005-7DC3E77CE18C}"/>
    <hyperlink ref="I1780" location="'21'!$H$47" display="$H$47 21" xr:uid="{BF3210DD-0877-45A7-9100-7D2CDE8F8A18}"/>
    <hyperlink ref="I1781" location="'21'!$H$50" display="$H$50 21" xr:uid="{4A8A7F66-8A7A-48D4-B36E-48E1C81DF09B}"/>
    <hyperlink ref="I1782" location="'21'!$H$51" display="$H$51 21" xr:uid="{BA6B5C79-CDD2-4650-825F-259447FEA929}"/>
    <hyperlink ref="I1783" location="'21'!$H$54" display="$H$54 21" xr:uid="{E8EC7D33-486A-447D-B025-504E76D7CD66}"/>
    <hyperlink ref="I1784" location="'21'!$H$56" display="$H$56 21" xr:uid="{2FABCAE3-ACC3-49C9-A16F-8256BBABB86F}"/>
    <hyperlink ref="I1785" location="'21'!$H$15" display="$H$15 21" xr:uid="{2C6D56F4-EF21-4BDD-B6EC-8E32DEBFE992}"/>
    <hyperlink ref="I1786" r:id="rId88" location="'21'!$H$15" xr:uid="{B75A0A21-DBB0-49D9-92A3-C32A109FCC37}"/>
    <hyperlink ref="I1787" location="'21'!$H$16" display="$H$16 21" xr:uid="{AF04E275-EA64-481E-B53A-3D57E36D5D55}"/>
    <hyperlink ref="I1788" location="'21'!$I$47" display="$I$47 21" xr:uid="{EFE9DDC8-B077-444B-85DC-2F8BA231FF91}"/>
    <hyperlink ref="I1789" location="'21'!$I$50" display="$I$50 21" xr:uid="{0C35C5EC-C3D1-4C9B-A505-4856BC4171E8}"/>
    <hyperlink ref="I1790" location="'21'!$I$51" display="$I$51 21" xr:uid="{DCB7E5C2-6252-4751-BA53-46988DA09C71}"/>
    <hyperlink ref="I1791" location="'21'!$I$54" display="$I$54 21" xr:uid="{FC15C30F-477A-4842-9818-E509F4B2F92F}"/>
    <hyperlink ref="I1792" location="'21'!$I$56" display="$I$56 21" xr:uid="{263E887F-B712-4E7D-AB2A-D698FA306AEC}"/>
    <hyperlink ref="I1793" location="'21'!$I$24" display="$I$24 21" xr:uid="{8135D7CD-21A7-4F9B-A69A-009B39B61704}"/>
    <hyperlink ref="I1794" location="'21'!$I$19" display="$I$19 21" xr:uid="{04C65E26-4D71-4190-A258-07EED4E77E5E}"/>
    <hyperlink ref="I1795" r:id="rId89" location="'21'!$I$56" xr:uid="{A462B01B-549A-4C89-B12A-27113E6382E7}"/>
    <hyperlink ref="I1796" location="'21'!$I$29" display="$I$29 21" xr:uid="{670A3949-1B39-4FEA-BC27-E0FE3CAF7FD1}"/>
    <hyperlink ref="I1797" location="'21'!$J$56" display="$J$56 21" xr:uid="{FFFAA3AC-89AD-4F82-8EC6-8D76992B3C8C}"/>
    <hyperlink ref="I1798" location="'21'!$L$54" display="$L$54 21" xr:uid="{E89BDEA3-BA1E-4228-B5F1-2806CC47614D}"/>
    <hyperlink ref="I1799" location="'21'!$L$51" display="$L$51 21" xr:uid="{C00744AA-659F-4D23-9F65-F7A0727255B4}"/>
    <hyperlink ref="I1800" location="'21'!$L$47" display="$L$47 21" xr:uid="{A28C6CFD-5006-41F7-A488-F6D2BCF781E1}"/>
    <hyperlink ref="I1801" location="'21'!$M$63" display="$M$63 21" xr:uid="{69C24765-F116-4538-A36B-152B7F2F27ED}"/>
    <hyperlink ref="I1802" location="'21'!$M$24" display="$M$24 21" xr:uid="{766BC588-134B-4F95-884B-D0B22AA0B324}"/>
    <hyperlink ref="I1803" location="'21'!$M$78" display="$M$78 21" xr:uid="{F826445F-C1AA-45F0-AE61-272B96F87D0A}"/>
    <hyperlink ref="I1804" location="'21'!$M$79" display="$M$79 21" xr:uid="{5292D0F2-1DA4-4DBB-A84E-D28433F8DC59}"/>
    <hyperlink ref="I1805" location="'21'!$M$51" display="$M$51 21" xr:uid="{B3287D54-3819-4DFB-B548-2CD9D8AA6A28}"/>
    <hyperlink ref="I1806" location="'21'!$M$54" display="$M$54 21" xr:uid="{C8F7EDF9-B4F7-45B5-881D-78D44E85894E}"/>
    <hyperlink ref="I1807" location="'21'!$M$47" display="$M$47 21" xr:uid="{1C3ABBAD-2E70-4490-A496-F0CCDF8042F3}"/>
    <hyperlink ref="I1808" location="'21'!$M$64" display="$M$64 21" xr:uid="{7608A373-815F-49E7-9891-9BF4499360E0}"/>
    <hyperlink ref="I1809" location="'21'!$N$50" display="$N$50 21" xr:uid="{155AFF1F-9B29-443A-B775-9C3DDBC3DE2E}"/>
    <hyperlink ref="I1810" location="'21'!$N$56" display="$N$56 21" xr:uid="{0EE0CC5E-9748-4CDA-A532-A463048F467A}"/>
    <hyperlink ref="I1811" location="'21'!$N$54" display="$N$54 21" xr:uid="{1FF09EE4-BB2D-4DCB-BF24-F88E3FE1A1E1}"/>
    <hyperlink ref="I1812" location="'21'!$N$51" display="$N$51 21" xr:uid="{AA7E459F-A861-4EF4-9E59-F6A44A8CBCD4}"/>
    <hyperlink ref="I1813" location="'21'!$N$47" display="$N$47 21" xr:uid="{C97F3484-2141-4308-A405-53C80F224078}"/>
    <hyperlink ref="I1814" location="'21'!$N$14" display="$N$14 21" xr:uid="{C83A46BC-8B77-4A97-B1C7-8E5E721B905F}"/>
    <hyperlink ref="I1816" location="'21'!$N$64" display="$N$64 21" xr:uid="{71316F0E-E597-4A28-AB4B-BB748D569A30}"/>
    <hyperlink ref="I1817" location="'21'!$O$19" display="$O$19 21" xr:uid="{8B71EE02-A8D0-4F7B-AF7C-CDF8F5A7D618}"/>
    <hyperlink ref="I1818" location="'21'!$O$50" display="$O$50 21" xr:uid="{05C8EF05-38D4-48D1-9F4A-C26C5A39C47C}"/>
    <hyperlink ref="I1819" location="'21'!$O$29" display="$O$29 21" xr:uid="{CD7E4C1A-9906-4F3C-890B-FC02DE1A0D3C}"/>
    <hyperlink ref="I1820" location="'21'!$O$56" display="$O$56 21" xr:uid="{FA762438-B492-45A7-B864-BCC60815AED5}"/>
    <hyperlink ref="I1821" location="'21'!$P$54" display="$P$54 21" xr:uid="{9F1735E7-914F-4635-BB61-CCE19B91F810}"/>
    <hyperlink ref="I1822" location="'21'!$P$56" display="$P$56 21" xr:uid="{7791374C-C945-48F4-A6EC-5BD07340CB8A}"/>
    <hyperlink ref="I1823" location="'21'!$Q$54" display="$Q$54 21" xr:uid="{86B4E9F1-C7D1-46BB-9C23-497F7A27F80A}"/>
    <hyperlink ref="I1824" location="'21'!$Q$13" display="$Q$13 21" xr:uid="{87DDCBFC-4DA3-4B6C-AFB0-3D15F022DC6B}"/>
    <hyperlink ref="I1825" location="'21'!$Q$51" display="$Q$51 21" xr:uid="{FEB0C036-6809-4EB6-8796-3BEE033EB13A}"/>
    <hyperlink ref="I1826" location="'21'!$Q$47" display="$Q$47 21" xr:uid="{296F1D9E-B5D7-4808-9847-D24EEA9CF73A}"/>
    <hyperlink ref="I1827" location="'21'!$R$47" display="$R$47 21" xr:uid="{DD92EA22-18B5-4E80-A659-8FF6C45F3FA0}"/>
    <hyperlink ref="I1828" location="'21'!$T$29" display="$T$29 21" xr:uid="{4435AD8E-4308-4741-A941-4DBB7099AE5F}"/>
    <hyperlink ref="I1829" location="'21'!$T$51" display="$T$51 21" xr:uid="{91298000-8939-4990-BF60-26FF8FB57A6A}"/>
    <hyperlink ref="I1830" location="'21'!$T$41" display="$T$41 21" xr:uid="{7AEB91E2-E209-48EB-A6E5-FFBD0B6FBD98}"/>
    <hyperlink ref="I1831" location="'21'!$T$44" display="$T$44 21" xr:uid="{BCDB24A9-E068-416F-B141-DB08C815693F}"/>
    <hyperlink ref="I1832" location="'21'!$T$40" display="$T$40 21" xr:uid="{BE16ABDE-684C-4711-A6DB-D7365CD16747}"/>
    <hyperlink ref="I1833" location="'21'!$U$29" display="$U$29 21" xr:uid="{735830DD-069A-46ED-8B08-372ED8E24CC8}"/>
    <hyperlink ref="I1834" r:id="rId90" location="'21'!$U$29" xr:uid="{9C4409E9-9A24-4AF4-8806-7DC52739E89F}"/>
    <hyperlink ref="I1836" r:id="rId91" location="'21'!$U$29" xr:uid="{4E608236-E6F1-45A6-94A3-7CD586DAFB6E}"/>
    <hyperlink ref="I1837" location="'21'!$W$29" display="$W$29 21" xr:uid="{74364AFB-FB26-4467-B558-2299C7412311}"/>
    <hyperlink ref="I1838" r:id="rId92" location="'21'!$W$29" xr:uid="{EA39426D-E83B-4787-9E83-1F7FBF5657E2}"/>
    <hyperlink ref="I1839" location="'21'!$W$40" display="$W$40 21" xr:uid="{52CAEADF-BB34-4EA0-B79C-F7AEE4B0F313}"/>
    <hyperlink ref="I1840" location="'21'!$W$47" display="$W$47 21" xr:uid="{57B1D6D0-8F65-4952-A49E-9BE1DF0CCE6D}"/>
    <hyperlink ref="I1841" location="'21'!$W$51" display="$W$51 21" xr:uid="{E61B4105-640A-4932-95F1-EE68F055883D}"/>
    <hyperlink ref="I1842" location="'21'!$W$50" display="$W$50 21" xr:uid="{F226FC24-DEEC-43F2-B9A2-489DBB4B160D}"/>
    <hyperlink ref="I1843" location="'21'!$W$56" display="$W$56 21" xr:uid="{66272781-B143-43E9-BC26-C32839800E21}"/>
    <hyperlink ref="I1844" location="'21'!$W$54" display="$W$54 21" xr:uid="{9CD4507B-2F11-433D-B818-E687F656E18A}"/>
    <hyperlink ref="I1845" location="'21'!$Y$79" display="$Y$79 21" xr:uid="{32505EC9-A3BC-4F03-94BB-741565C6383B}"/>
    <hyperlink ref="I1846" location="'21'!$Y$78" display="$Y$78 21" xr:uid="{2E1DE992-F52A-452E-A70C-0DBE3443A144}"/>
    <hyperlink ref="I1847" location="'21'!$Z$44" display="$Z$44 21" xr:uid="{91941487-73C9-4692-96B7-4950F904D1CD}"/>
    <hyperlink ref="I1848" r:id="rId93" location="'21'!$Z$44" xr:uid="{E26267E4-5488-48AE-B35A-84873D6781A3}"/>
    <hyperlink ref="I1849" location="'21'!$AA$29" display="$AA$29 21" xr:uid="{52C6327F-0089-4A63-AC15-971821132CB4}"/>
    <hyperlink ref="I1850" location="'21'!$AA$47" display="$AA$47 21" xr:uid="{BC54131B-8862-4A49-BE8C-19748C99B9F1}"/>
    <hyperlink ref="I1851" location="'21'!$AA$41" display="$AA$41 21" xr:uid="{D47E1750-6245-4A66-BE09-CF188CE91901}"/>
    <hyperlink ref="I1852" r:id="rId94" location="'21'!$AA$41" xr:uid="{FA4CA43F-DF13-4343-826D-BE02EDC49446}"/>
    <hyperlink ref="I1853" location="'21'!$AB$47" display="$AB$47 21" xr:uid="{D39DCFCE-3FD7-4AC6-9ED5-F13123A2089E}"/>
    <hyperlink ref="I1854" location="'21'!$AC$47" display="$AC$47 21" xr:uid="{9530EB3E-62C1-42A7-9DCB-F3E7D2A8D311}"/>
    <hyperlink ref="I1855" location="'21'!$AC$56" display="$AC$56 21" xr:uid="{46B026E5-4A42-4D0D-9B40-2FA35BD98705}"/>
    <hyperlink ref="I1856" location="'21'!$AC$54" display="$AC$54 21" xr:uid="{BA6AA4FC-D868-4166-88A7-3551214C72DE}"/>
    <hyperlink ref="I1857" location="'21'!$AC$15" display="$AC$15 21" xr:uid="{21201313-822F-426C-81E3-A91C23DB97FD}"/>
    <hyperlink ref="I1861" location="'22'!$F$19" display="$F$19 22" xr:uid="{A1443197-0C52-4545-99AF-84563909EDEB}"/>
    <hyperlink ref="I1862" location="'22'!$G$21" display="$G$21 22" xr:uid="{FB66665C-D279-4D3D-B6BC-0255D2161EB9}"/>
    <hyperlink ref="I1863" location="'22'!$H$51" display="$H$51 22" xr:uid="{DFCDB21B-84C9-4A57-BBF5-59CD510BBC74}"/>
    <hyperlink ref="I1864" location="'22'!$H$54" display="$H$54 22" xr:uid="{9FEF41DB-7889-4EB2-802F-C440A3C133D1}"/>
    <hyperlink ref="I1865" location="'22'!$H$24" display="$H$24 22" xr:uid="{9475F83D-8EEA-4A71-84BC-B3B0FAF3E869}"/>
    <hyperlink ref="I1868" location="'22'!$J$15" display="$J$15 22" xr:uid="{14966269-D3CC-426A-A448-DFF133515C15}"/>
    <hyperlink ref="I1869" location="'22'!$J$13" display="$J$13 22" xr:uid="{B918B3C1-BCCE-4407-AA63-70FA9A2767DE}"/>
    <hyperlink ref="I1870" location="'22'!$L$47" display="$L$47 22" xr:uid="{B2A6C6B4-61FC-4E4C-8A19-2F093EC328D3}"/>
    <hyperlink ref="I1871" location="'22'!$L$13" display="$L$13 22" xr:uid="{F55E9A0E-2636-4717-B203-3D99FA7C0CEC}"/>
    <hyperlink ref="I1872" location="'22'!$M$78" display="$M$78 22" xr:uid="{76C2314B-0E58-4DEB-80CE-9866D505621F}"/>
    <hyperlink ref="I1873" location="'22'!$M$79" display="$M$79 22" xr:uid="{36EA0FF3-C990-41DD-A01F-A81611CE9B68}"/>
    <hyperlink ref="I1874" location="'22'!$M$13" display="$M$13 22" xr:uid="{53F947AE-DBA6-45AC-978E-AEAA48319A65}"/>
    <hyperlink ref="I1875" location="'22'!$M$47" display="$M$47 22" xr:uid="{B47C26B6-2EA0-41BE-A0D6-D6F0F919475A}"/>
    <hyperlink ref="I1876" location="'22'!$N$50" display="$N$50 22" xr:uid="{3E1371D0-092F-418F-B01D-5A00BCF75F23}"/>
    <hyperlink ref="I1877" location="'22'!$N$56" display="$N$56 22" xr:uid="{0FC68C0A-CC74-4A73-8643-9CA2AD5DEF31}"/>
    <hyperlink ref="I1878" location="'22'!$N$21" display="$N$21 22" xr:uid="{E9A63D98-15A7-4F7E-B301-CAC4E136E944}"/>
    <hyperlink ref="I1879" location="'22'!$N$51" display="$N$51 22" xr:uid="{8AE8934E-2636-4616-BF2B-A46C3A3508F5}"/>
    <hyperlink ref="I1880" location="'22'!$N$54" display="$N$54 22" xr:uid="{BC60B67F-01A1-4074-B429-83F925069576}"/>
    <hyperlink ref="I1881" location="'22'!$N$47" display="$N$47 22" xr:uid="{8C948684-B3FC-47A0-B243-61719B6B83E5}"/>
    <hyperlink ref="I1882" location="'22'!$N$19" display="$N$19 22" xr:uid="{BF117E66-98BC-4254-ACF2-6ACEEE5CE780}"/>
    <hyperlink ref="I1883" location="'22'!$N$24" display="$N$24 22" xr:uid="{3642430B-FF72-4104-B54F-794275060578}"/>
    <hyperlink ref="I1884" location="'22'!$N$29" display="$N$29 22" xr:uid="{1EC352AE-A138-4A8C-91DF-BAEB89466579}"/>
    <hyperlink ref="I1886" location="'22'!$P$13" display="$P$13 22" xr:uid="{32F1DB52-8056-41D1-9A91-E81B8971D9E8}"/>
    <hyperlink ref="I1887" location="'22'!$P$56" display="$P$56 22" xr:uid="{5F4EA5E8-B7CF-4C96-92CD-10FB56E89390}"/>
    <hyperlink ref="I1888" location="'22'!$P$54" display="$P$54 22" xr:uid="{6CE72637-7DAA-4D6F-9E13-47FB791D8050}"/>
    <hyperlink ref="I1889" location="'22'!$P$47" display="$P$47 22" xr:uid="{444D0866-F6EB-4DE9-A7FB-9875B2C3DE56}"/>
    <hyperlink ref="I1890" location="'22'!$P$51" display="$P$51 22" xr:uid="{2D6DF35E-61F0-4654-99B5-672DC9D838A3}"/>
    <hyperlink ref="I1891" location="'22'!$P$50" display="$P$50 22" xr:uid="{E5C4A01D-FD44-45F8-B1D9-CCC4CAD857AE}"/>
    <hyperlink ref="I1892" location="'22'!$Q$50" display="$Q$50 22" xr:uid="{06C1130C-0F41-4E75-8B1D-E34C349C46A4}"/>
    <hyperlink ref="I1893" location="'22'!$Q$63" display="$Q$63 22" xr:uid="{1BAEC167-03D7-4AA3-9B5E-607E76A9AB72}"/>
    <hyperlink ref="I1894" location="'22'!$R$47" display="$R$47 22" xr:uid="{05FCA3A5-DE5F-462C-9042-94A6AE5D6BB3}"/>
    <hyperlink ref="I1895" location="'22'!$R$56" display="$R$56 22" xr:uid="{85027AD1-2318-4E72-9D59-CB641E7F84E9}"/>
    <hyperlink ref="I1896" location="'22'!$R$50" display="$R$50 22" xr:uid="{853AFB02-D70C-4100-A994-7ECB55B334D8}"/>
    <hyperlink ref="I1897" location="'22'!$R$51" display="$R$51 22" xr:uid="{11CC4B53-C777-4267-85E3-C4BC4658AF07}"/>
    <hyperlink ref="I1898" location="'22'!$R$54" display="$R$54 22" xr:uid="{372AD6DA-1D83-42C4-A088-CD7E4349788C}"/>
    <hyperlink ref="I1899" location="'22'!$R$19" display="$R$19 22" xr:uid="{F0E8FEE0-57BA-4415-B223-93D7D3F13056}"/>
    <hyperlink ref="I1900" location="'22'!$S$19" display="$S$19 22" xr:uid="{83EC65B4-3906-4E70-893D-CB185041E0E0}"/>
    <hyperlink ref="I1901" location="'22'!$T$63" display="$T$63 22" xr:uid="{66B2F0AD-CEB7-4DCF-92D2-466C4D2BA955}"/>
    <hyperlink ref="I1902" location="'22'!$T$27" display="$T$27 22" xr:uid="{6AEE2F5C-BD0B-4BC9-AC27-730745A2F38B}"/>
    <hyperlink ref="I1903" location="'22'!$U$44" display="$U$44 22" xr:uid="{C27604DC-2397-4FC7-B38C-53269547FA30}"/>
    <hyperlink ref="I1904" location="'22'!$U$63" display="$U$63 22" xr:uid="{0246DD4C-7AB1-4961-A41B-6F822A21A6CC}"/>
    <hyperlink ref="I1905" location="'22'!$U$27" display="$U$27 22" xr:uid="{E7B648D1-9532-4B29-8178-1404964E5E25}"/>
    <hyperlink ref="I1906" r:id="rId95" location="'22'!$U$27" xr:uid="{7736B6B7-8BD6-4073-984F-4F37CF86D334}"/>
    <hyperlink ref="I1907" location="'22'!$V$47" display="$V$47 22" xr:uid="{B8C5E3EF-A00C-4836-8B55-57FDA819F8E0}"/>
    <hyperlink ref="I1908" location="'22'!$V$50" display="$V$50 22" xr:uid="{2D0E5B37-520E-4EEF-9ACC-3D0B89E8B707}"/>
    <hyperlink ref="I1909" location="'22'!$W$62" display="$W$62 22" xr:uid="{77259647-5417-4F76-9440-B2D3CC425BDB}"/>
    <hyperlink ref="I1910" location="'22'!$W$63" display="$W$63 22" xr:uid="{6E2E368A-D103-4810-8F21-D40CA9271523}"/>
    <hyperlink ref="I1911" location="'22'!$W$64" display="$W$64 22" xr:uid="{3273B12C-1C43-443D-BFAF-4C710C3BFC2E}"/>
    <hyperlink ref="I1912" r:id="rId96" location="'22'!$W$62" xr:uid="{8E8B38F2-1808-4765-AACC-A8C8EB33ED43}"/>
    <hyperlink ref="I1913" r:id="rId97" location="'22'!$W$64" xr:uid="{E88FEC5B-7D21-4747-B182-50C81BB5213B}"/>
    <hyperlink ref="I1914" r:id="rId98" location="'22'!$W$63" xr:uid="{87EE8D3C-1AB6-43E6-A43C-B38141CC133F}"/>
    <hyperlink ref="I1916" location="'22'!$W$56" display="$W$56 22" xr:uid="{7256723D-8761-4752-AE40-59D8EB37F1B0}"/>
    <hyperlink ref="I1917" location="'22'!$X$54" display="$X$54 22" xr:uid="{38821927-0D80-4268-86F6-9F62C16FBB1C}"/>
    <hyperlink ref="I1918" location="'22'!$X$51" display="$X$51 22" xr:uid="{1A0F4A02-40C8-4565-BCF7-32FE2F0B3859}"/>
    <hyperlink ref="I1919" location="'22'!$X$63" display="$X$63 22" xr:uid="{201EEA1F-227A-4621-8E70-380B1B33AAED}"/>
    <hyperlink ref="I1920" r:id="rId99" location="'22'!$X$63" xr:uid="{0C64C0A8-5B41-4691-BBDA-6C20CEA1205C}"/>
    <hyperlink ref="I1921" location="'22'!$X$64" display="$X$64 22" xr:uid="{BC83E7F6-02FA-40E0-89D8-B6A530C40673}"/>
    <hyperlink ref="I1922" location="'22'!$X$62" display="$X$62 22" xr:uid="{4716FDA7-F5EE-4A4A-AFDE-3E16239B79E9}"/>
    <hyperlink ref="I1923" r:id="rId100" location="'22'!$X$64" xr:uid="{ECF276F6-C463-4934-83E2-4E68B8D1EFD5}"/>
    <hyperlink ref="I1924" location="'22'!$Y$79" display="$Y$79 22" xr:uid="{7D541700-0ADC-4D59-8B3A-7139BCA7BA0B}"/>
    <hyperlink ref="I1925" location="'22'!$Y$78" display="$Y$78 22" xr:uid="{95E92C66-EED3-4CF4-B8AE-76A6F584887B}"/>
    <hyperlink ref="I1926" location="'22'!$Y$63" display="$Y$63 22" xr:uid="{2C7D9DDB-C1FB-4FFF-8FAF-20FF823E4522}"/>
    <hyperlink ref="I1927" r:id="rId101" location="'22'!$Y$63" xr:uid="{ECD41C9A-BD3F-4B72-AA8A-336FDDBCEDD6}"/>
    <hyperlink ref="I1929" r:id="rId102" location="'22'!$Y$63" xr:uid="{4C50D32E-CD27-4F49-B92D-B64F156DC122}"/>
    <hyperlink ref="I1930" location="'22'!$Z$63" display="$Z$63 22" xr:uid="{5C63240E-D851-4C38-9DBB-C29C7AF2AF92}"/>
    <hyperlink ref="I1931" r:id="rId103" location="'22'!$Z$63" xr:uid="{438D7176-9735-40BF-BAF6-5FD1A7711CCE}"/>
    <hyperlink ref="I1932" location="'22'!$Z$62" display="$Z$62 22" xr:uid="{7AEC8E30-0A1D-45B7-AF9B-9022EC59D1E5}"/>
    <hyperlink ref="I1933" location="'22'!$AA$47" display="$AA$47 22" xr:uid="{8BC0E637-C3C8-4CD6-99CE-67D8BF84D547}"/>
    <hyperlink ref="I1934" location="'22'!$AA$44" display="$AA$44 22" xr:uid="{DE198E87-03D3-4D4C-B6EF-803E3DEDAADF}"/>
    <hyperlink ref="I1935" r:id="rId104" location="'22'!$AA$44" xr:uid="{48E3BE8C-C6E6-4CE1-9725-E43A3E9912B7}"/>
    <hyperlink ref="I1936" location="'22'!$AA$62" display="$AA$62 22" xr:uid="{FCF0416D-A495-4CCE-9C2B-EC5068133096}"/>
    <hyperlink ref="I1937" location="'22'!$AA$29" display="$AA$29 22" xr:uid="{0418E7E2-75CC-4570-8AD4-CDD2BC86CAFC}"/>
    <hyperlink ref="I1939" location="'22'!$AC$50" display="$AC$50 22" xr:uid="{D8B064AC-A5A1-4DA4-A1F1-E9B3EFB3F308}"/>
    <hyperlink ref="I1940" location="'22'!$AC$56" display="$AC$56 22" xr:uid="{720362A2-5EE1-4520-9D52-8B7250AEEDB7}"/>
    <hyperlink ref="I1941" location="'22'!$AC$14" display="$AC$14 22" xr:uid="{0845A7F4-EFA2-49F9-8363-5F2E73299123}"/>
    <hyperlink ref="I1944" location="'23'!$F$19" display="$F$19 23" xr:uid="{AF17068D-D021-41CD-B0ED-88ACB87F3101}"/>
    <hyperlink ref="I1945" location="'23'!$F$24" display="$F$24 23" xr:uid="{0FA5E405-EF0D-4ABA-9BE0-CDA3E352E6B1}"/>
    <hyperlink ref="I1946" location="'23'!$I$21" display="$I$21 23" xr:uid="{6725692F-BB27-4600-8B47-ADDED6FF7071}"/>
    <hyperlink ref="I1947" location="'22'!$AB$63" display="$AB$63 22" xr:uid="{0DA240AE-1C1C-41C5-A5D4-4C740F70A69D}"/>
    <hyperlink ref="I1948" location="'23'!$L$54" display="$L$54 23" xr:uid="{B80C0F6A-5E7F-4308-ACD2-BB1D42EC5F1E}"/>
    <hyperlink ref="I1950" location="'23'!$M$54" display="$M$54 23" xr:uid="{8092A06B-45BB-4818-B152-206400491A47}"/>
    <hyperlink ref="I1951" location="'23'!$M$14" display="$M$14 23" xr:uid="{6EC9269A-3B3F-45AF-967B-923C77FC4F7B}"/>
    <hyperlink ref="I1952" location="'23'!$M$16" display="$M$16 23" xr:uid="{4F1CBCDA-81A3-484C-A0DB-B1773ED64B06}"/>
    <hyperlink ref="I1949" location="'23'!$M$19" display="$M$19 23" xr:uid="{78EE2C22-8153-46EA-8F62-ADB83A2B372D}"/>
    <hyperlink ref="I1953" location="'23'!$M$21" display="$M$21 23" xr:uid="{A97CE6F0-07A6-4C70-B0C8-D6FA05A09A69}"/>
    <hyperlink ref="I1954" location="'23'!$O$24" display="$O$24 23" xr:uid="{956614FD-4D6D-4810-BE23-53567E55F0EA}"/>
    <hyperlink ref="I1955" location="'23'!$N$51" display="$N$51 23" xr:uid="{49EFCDC7-CDDF-4B5D-832D-20824E4EE7AF}"/>
    <hyperlink ref="I1956" location="'23'!$O$47" display="$O$47 23" xr:uid="{B4E43BAF-FA17-4632-9112-16A52A46C61B}"/>
    <hyperlink ref="I1957" location="'23'!$O$50" display="$O$50 23" xr:uid="{870E43C8-3411-4485-B9C1-54712D6B0EE2}"/>
    <hyperlink ref="I1958" location="'23'!$O$56" display="$O$56 23" xr:uid="{1B921A9D-7C28-4860-BF62-9D12093A81DF}"/>
    <hyperlink ref="I1959" location="'23'!$O$54" display="$O$54 23" xr:uid="{23CEFFF2-A762-449D-88ED-75383D47E01C}"/>
    <hyperlink ref="I1960" location="'23'!$O$29" display="$O$29 23" xr:uid="{1ACA20E0-CE1E-4278-9F6B-74ECA4EB69AE}"/>
    <hyperlink ref="I1961" location="'23'!$P$16" display="$P$16 23" xr:uid="{9D5285D0-D2BD-4F24-B9D9-CD32F7B53527}"/>
    <hyperlink ref="I1962" location="'23'!$Q$51" display="$Q$51 23" xr:uid="{AF361A61-D1E2-4C3F-98A3-D69CDEAEF462}"/>
    <hyperlink ref="I1963" location="'23'!$Q$47" display="$Q$47 23" xr:uid="{6C019F87-61A9-4837-9A79-F507C23181E0}"/>
    <hyperlink ref="I1964" location="'23'!$S$51" display="$S$51 23" xr:uid="{880CA660-2BEC-420E-96EC-C09056E0348A}"/>
    <hyperlink ref="I1965" location="'23'!$T$47" display="$T$47 23" xr:uid="{604B1AF1-3AE7-4C92-B9C0-59CCD74C0AB1}"/>
    <hyperlink ref="I1966" location="'23'!$U$50" display="$U$50 23" xr:uid="{54BFA4A5-0BC5-4CF7-8757-6A34838C41B4}"/>
    <hyperlink ref="I1967" location="'23'!$U$62" display="$U$62 23" xr:uid="{9543F9A5-2D55-4795-AC14-05180FDBC05E}"/>
    <hyperlink ref="I1968" location="'23'!$U$64" display="$U$64 23" xr:uid="{E08CD116-8A6E-4848-BC79-2D8649B77D9A}"/>
    <hyperlink ref="I1969" location="'23'!$W$50" display="$W$50 23" xr:uid="{08AA3D10-C46E-4B2C-A06A-5CDDEF30C8A7}"/>
    <hyperlink ref="I1970" location="'23'!$W$44" display="$W$44 23" xr:uid="{87EE14E6-6A59-42DC-89C0-883DBC0C7A84}"/>
    <hyperlink ref="I1971" location="'23'!$X$56" display="$X$56 23" xr:uid="{3415AAD3-45DD-4C11-80D2-EE40B8D03682}"/>
    <hyperlink ref="I1972" location="'23'!$X$54" display="$X$54 23" xr:uid="{C31B30F5-4BE2-44A8-8145-37F3FFAECF46}"/>
    <hyperlink ref="I1973" location="'23'!$X$47" display="$X$47 23" xr:uid="{CCC4FDB3-4839-453B-A496-2523B6C06536}"/>
    <hyperlink ref="I1974" location="'23'!$X$50" display="$X$50 23" xr:uid="{26CB1E2A-C181-4ECC-8690-E26AE3E65788}"/>
    <hyperlink ref="I1975" location="'23'!$X$51" display="$X$51 23" xr:uid="{24627149-3291-4BAE-94BC-3E0A39DD044A}"/>
    <hyperlink ref="I1976" location="'23'!$Y$78" display="$Y$78 23" xr:uid="{62D349E6-D0B2-4329-9D5A-C8AB6EC5E949}"/>
    <hyperlink ref="I1977" location="'23'!$Y$79" display="$Y$79 23" xr:uid="{D23CC02B-FA46-4052-A893-5EE77801F418}"/>
    <hyperlink ref="I1978" location="'23'!$Y$47" display="$Y$47 23" xr:uid="{3307CB9C-CAAD-44FF-857A-E5567C567685}"/>
    <hyperlink ref="I1979" location="'23'!$Y$30" display="$Y$30 23" xr:uid="{411A3523-CF8F-46D4-8F9E-CFDD4C2E46B5}"/>
    <hyperlink ref="I1981" location="'23'!$Y$50" display="$Y$50 23" xr:uid="{2EFFA90E-D9E6-4A75-BAF6-0912BF6BB1CF}"/>
    <hyperlink ref="I1982" location="'23'!$Z$47" display="$Z$47 23" xr:uid="{7992AF09-88B9-4335-BD94-1E90A1E15FB1}"/>
    <hyperlink ref="I1983" location="'23'!$Z$50" display="$Z$50 23" xr:uid="{2EEFAE4A-AAAC-46F1-AB78-10F8C6358CC3}"/>
    <hyperlink ref="I1984" location="'23'!$Z$62" display="$Z$62 23" xr:uid="{5F04A270-D8B1-43FA-9F6D-148E41752715}"/>
    <hyperlink ref="I1985" location="'23'!$Z$64" display="$Z$64 23" xr:uid="{8DA8A219-2AB4-4C52-9291-CF067F4329C2}"/>
    <hyperlink ref="I1986" location="'23'!$Z$63" display="$Z$63 23" xr:uid="{2CB1381A-522E-4F5C-A189-D005CD4A011D}"/>
    <hyperlink ref="I1987" location="'23'!$Z$30" display="$Z$30 23" xr:uid="{9C1F1857-3040-4C3E-823F-9ACDAD5D53CD}"/>
    <hyperlink ref="I1988" location="'23'!$AA$29" display="$AA$29 23" xr:uid="{3515402C-F694-4F8D-92BB-93178A50F725}"/>
    <hyperlink ref="I1989" location="'23'!$AB$27" display="$AB$27 23" xr:uid="{9E3EFADD-9DAC-4C14-A0EA-FEFDA4B827CB}"/>
    <hyperlink ref="I1990" r:id="rId105" location="'23'!$AB$27" xr:uid="{081C5477-6F97-4498-BBDE-292D34600661}"/>
    <hyperlink ref="I1991" location="'23'!$AC$64" display="$AC$64 23" xr:uid="{C387979F-1B55-4F17-9136-6ED0572BFAD3}"/>
    <hyperlink ref="I1992" location="'23'!$AB$30" display="$AB$30 23" xr:uid="{CF7767BB-2BDB-4209-8D19-F8A63D059421}"/>
    <hyperlink ref="I1993" location="'23'!$AC$56" display="$AC$56 23" xr:uid="{936A0F6B-F85C-46F7-B505-374F42394F3E}"/>
    <hyperlink ref="I1994" location="'23'!$AC$13" display="$AC$13 23" xr:uid="{8FE1D7DE-9D73-4622-B43A-1C18ADDB60B9}"/>
    <hyperlink ref="I1995" location="'24'!$F$56" display="$F$56 24" xr:uid="{640BD595-966D-4261-84F1-BDEF064664E9}"/>
    <hyperlink ref="I1996" location="'24'!$G$21" display="$G$21 24" xr:uid="{9F847304-36CE-4B8A-8AE6-E8E5BAC71F28}"/>
    <hyperlink ref="I1997" r:id="rId106" location="'24'!$G$21" xr:uid="{D964465C-FA8A-4803-B2DE-223A731B6BEC}"/>
    <hyperlink ref="I1998" location="'24'!$H$19" display="$H$19 24" xr:uid="{3D34868C-D457-415B-8805-5B319DA41071}"/>
    <hyperlink ref="I1999" r:id="rId107" location="'24'!$H$19" xr:uid="{407C28D5-6AD6-493A-B7BD-E376B086F432}"/>
    <hyperlink ref="I2000" location="'24'!$I$13" display="$I$13 24" xr:uid="{BFA280C9-6BEF-46DF-871B-0CE8C032711D}"/>
    <hyperlink ref="I2001" location="'24'!$I$15" display="$I$15 24" xr:uid="{34FFFEBD-FABE-4EA0-A1EA-814F645FFBB8}"/>
    <hyperlink ref="I2002" location="'24'!$K$44" display="$K$44 24" xr:uid="{05DB8B18-517F-4D29-A947-888A38B3BB77}"/>
    <hyperlink ref="I2003" location="'24'!$K$27" display="$K$27 24" xr:uid="{882527C6-5E7B-48E5-A378-7F03C1945606}"/>
    <hyperlink ref="I2004" location="'24'!$L$27" display="$L$27 24" xr:uid="{DFCFD613-5D51-4C3A-9F51-98C442A665DB}"/>
    <hyperlink ref="I2005" r:id="rId108" location="'24'!$L$27" xr:uid="{EB668AC8-07D5-4663-8571-521C6E85ECE5}"/>
    <hyperlink ref="I2006" location="'24'!$L$21" display="$L$21 24" xr:uid="{A59C07EF-C372-438B-AED5-A9DDC6751167}"/>
    <hyperlink ref="I2007" location="'24'!$L$64" display="$L$64 24" xr:uid="{91C75896-1EEF-491F-8728-4F639E6FB690}"/>
    <hyperlink ref="I2008" location="'24'!$L$62" display="$L$62 24" xr:uid="{B5C0C684-3C68-433D-B78B-E4A8C4C04D99}"/>
    <hyperlink ref="I2009" location="'24'!$N$51" display="$N$51 24" xr:uid="{77F968F5-A104-4D33-9FA0-384D810FF6AA}"/>
    <hyperlink ref="I2010" location="'24'!$N$54" display="$N$54 24" xr:uid="{28918744-38ED-4028-BDE4-13BF50677CB3}"/>
    <hyperlink ref="I2011" location="'24'!$N$50" display="$N$50 24" xr:uid="{015E664E-0253-4B2A-B9D3-51B328AA7188}"/>
    <hyperlink ref="I2012" location="'24'!$O$56" display="$O$56 24" xr:uid="{296DA878-FD89-4D6B-B0B9-1ADCD52EDC75}"/>
    <hyperlink ref="I2013" location="'24'!$O$21" display="$O$21 24" xr:uid="{9063D6A4-304C-4DFE-9538-507123DCF330}"/>
    <hyperlink ref="I2014" location="'24'!$O$15" display="$O$15 24" xr:uid="{3410213F-163E-4B7A-A8BF-9F8B1948A4E3}"/>
    <hyperlink ref="I2015" location="'24'!$O$51" display="$O$51 24" xr:uid="{DBE2A6A0-08F1-4574-B06F-C62C456C4042}"/>
    <hyperlink ref="I2016" r:id="rId109" location="'24'!$O$51" xr:uid="{E5544AFE-B62D-4B55-9512-93F774171B91}"/>
    <hyperlink ref="I2017" location="'24'!$O$47" display="$O$47 24" xr:uid="{16F50921-792E-4120-AC59-8298DAFDE907}"/>
    <hyperlink ref="I2019" location="'24'!$O$19" display="$O$19 24" xr:uid="{0F07AAB5-F958-47A1-A785-B402884FC687}"/>
    <hyperlink ref="I2020" r:id="rId110" location="'24'!$O$19" xr:uid="{CD1A57C5-B1FE-481D-9BEE-64B9AE0F0B35}"/>
    <hyperlink ref="I2021" r:id="rId111" location="'24'!$O$21" xr:uid="{010A6E43-CA85-40AF-BF24-C871E7709282}"/>
    <hyperlink ref="I2022" location="'24'!$P$29" display="$P$29 24" xr:uid="{7254D041-4046-47FE-AAB0-C42EB348AC7C}"/>
    <hyperlink ref="I2023" location="'24'!$P$44" display="$P$44 24" xr:uid="{F7F6E059-527E-4775-9760-2F024AA6C4CD}"/>
    <hyperlink ref="I2024" location="'24'!$P$28" display="$P$28 24" xr:uid="{AD141B97-8257-4D3A-920C-70F80AF8AA82}"/>
    <hyperlink ref="I2025" r:id="rId112" location="'24'!$P$28" xr:uid="{84883CA8-4378-4A74-A188-7E2D41BC3F20}"/>
    <hyperlink ref="I2026" location="'24'!$Q$62" display="$Q$62 24" xr:uid="{DBE7EC2F-7D4A-4E13-8725-C75429A6EC20}"/>
    <hyperlink ref="I2027" location="'24'!$Q$42" display="$Q$42 24" xr:uid="{FE8676EA-E461-4CFA-8489-99383AAD8DA7}"/>
    <hyperlink ref="I2028" r:id="rId113" location="'24'!$Q$42" xr:uid="{931677F2-93E2-4981-9DD0-43A15CB17537}"/>
    <hyperlink ref="I2029" location="'24'!$Q$40" display="$Q$40 24" xr:uid="{6C8E812D-5C56-4757-8CBA-338BC6AC4EEB}"/>
    <hyperlink ref="I2030" location="'24'!$R$40" display="$R$40 24" xr:uid="{DD511866-19C1-442B-8FB1-61EB37C92DC6}"/>
    <hyperlink ref="I2031" location="'24'!$R$39" display="$R$39 24" xr:uid="{2D9F8A66-7070-4915-A40F-9A3B9716EE9C}"/>
    <hyperlink ref="I2032" location="'24'!$S$54" display="$S$54 24" xr:uid="{CA478ACD-04DE-4CA4-8DE4-DFF91908F525}"/>
    <hyperlink ref="I2033" r:id="rId114" location="'24'!$S$54" xr:uid="{4F13E5CC-000D-4BED-9D00-6570A860D9DB}"/>
    <hyperlink ref="I2034" location="'24'!$S$21" display="$S$21 24" xr:uid="{BA0F4ACB-4462-4CF6-BC92-256C880A13B6}"/>
    <hyperlink ref="I2035" location="'24'!$S$47" display="$S$47 24" xr:uid="{5F548EDF-E3CE-40F9-8C90-8894BC6D3085}"/>
    <hyperlink ref="I2036" location="'24'!$T$47" display="$T$47 24" xr:uid="{7DA68B71-91E0-4550-9326-B1DF8BF1DAC9}"/>
    <hyperlink ref="I2037" location="'24'!$T$50" display="$T$50 24" xr:uid="{12680F84-7604-4188-8090-98020E4124AA}"/>
    <hyperlink ref="I2038" location="'24'!$T$56" display="$T$56 24" xr:uid="{CF898B43-B4AF-47D3-BB9B-45B56CC3C66A}"/>
    <hyperlink ref="I2039" location="'24'!$V$30" display="$V$30 24" xr:uid="{47C5A41A-15D4-4620-947F-2F4E863C985D}"/>
    <hyperlink ref="I2040" location="'24'!$U$28" display="$U$28 24" xr:uid="{6EB2F407-23CA-4F3F-9B0A-B4F379E1CA54}"/>
    <hyperlink ref="I2041" location="'24'!$W$30" display="$W$30 24" xr:uid="{CAE5009B-3796-4A29-A46C-929ADF5B7983}"/>
    <hyperlink ref="I2042" location="'24'!$W$51" display="$W$51 24" xr:uid="{1D63A87C-3B2F-4DCD-8379-C7890470B37E}"/>
    <hyperlink ref="I2043" location="'24'!$W$54" display="$W$54 24" xr:uid="{D7F588EE-5343-4A24-A928-E40E111BC18C}"/>
    <hyperlink ref="I2044" r:id="rId115" location="'24'!$W$30" xr:uid="{229D01C2-EF41-4096-B528-872A0BFA6575}"/>
    <hyperlink ref="I2046" location="'24'!$X$47" display="$X$47 24" xr:uid="{CA4BC44A-A27B-406D-904E-4CB892AA182C}"/>
    <hyperlink ref="I2047" location="'24'!$X$44" display="$X$44 24" xr:uid="{0E4C0DD4-F465-4BB3-A780-F83C057FC4CF}"/>
    <hyperlink ref="I2048" location="'24'!$X$63" display="$X$63 24" xr:uid="{29AF5467-006B-45AE-B15B-0B7B6FFDED69}"/>
    <hyperlink ref="I2049" location="'24'!$X$30" display="$X$30 24" xr:uid="{041B86E5-33CD-427A-AC39-08C6B106AABA}"/>
    <hyperlink ref="I2051" location="'24'!$Y$39" display="$Y$39 24" xr:uid="{DF7F3DEC-E369-4E48-B824-99C3277FAB91}"/>
    <hyperlink ref="I2052" location="'24'!$Y$63" display="$Y$63 24" xr:uid="{005058B8-2383-42C4-A3F9-528DD092F93A}"/>
    <hyperlink ref="I2053" location="'24'!$Z$42" display="$Z$42 24" xr:uid="{E0602CD8-7289-4A2D-BF88-21E83A6097B5}"/>
    <hyperlink ref="I2054" location="'24'!$AA$29" display="$AA$29 24" xr:uid="{6BF9EB97-8A54-4F02-BCD9-97F2EDF33078}"/>
    <hyperlink ref="I2055" location="'24'!$AB$63" display="$AB$63 24" xr:uid="{C707A2FC-34FF-43AD-AE8F-BABD8BE3E8E9}"/>
    <hyperlink ref="I2056" location="'24'!$AB$24" display="$AB$24 24" xr:uid="{91CF4388-5B5D-45CF-AF92-231D54E0C9D2}"/>
    <hyperlink ref="I2057" location="'24'!$AC$47" display="$AC$47 24" xr:uid="{BE3DCF6F-E66A-49D6-AFED-4108B792433B}"/>
    <hyperlink ref="I2058" location="'24'!$AC$50" display="$AC$50 24" xr:uid="{CABEDA86-203F-4E28-948D-355A2EFFA469}"/>
    <hyperlink ref="I2059" location="'24'!$AC$56" display="$AC$56 24" xr:uid="{F5AE2EC5-6D54-401C-AB42-57D2230158F1}"/>
    <hyperlink ref="I2060" location="'24'!$AC$54" display="$AC$54 24" xr:uid="{E39B793B-7D9F-4A0D-997C-82896F7621EA}"/>
    <hyperlink ref="I2061" location="'24'!$AC$16" display="$AC$16 24" xr:uid="{61E07DC9-5886-4580-A804-4510900EAF5B}"/>
    <hyperlink ref="I2062" location="'25'!$F$50" display="$F$50 25" xr:uid="{425BB87A-3FD3-4D43-A5D8-0D3C2268EDD1}"/>
    <hyperlink ref="I2063" location="'25'!$F$47" display="$F$47 25" xr:uid="{63F397A1-5D03-42A3-A70B-6BBFAF4127FC}"/>
    <hyperlink ref="I2064" location="'25'!$F$56" display="$F$56 25" xr:uid="{5D9A1E64-CC2A-4C6F-88D3-48E0F65A43E1}"/>
    <hyperlink ref="I2065" location="'25'!$F$54" display="$F$54 25" xr:uid="{6BC4F11B-F780-4D18-BF26-91780A2BCC80}"/>
    <hyperlink ref="I2066" location="'25'!$G$19" display="$G$19 25" xr:uid="{37ABC1D3-3B22-4BCF-8D01-B0F45D233186}"/>
    <hyperlink ref="I2067" location="'25'!$H$21" display="$H$21 25" xr:uid="{2C273F53-502B-47EF-B732-94939C348767}"/>
    <hyperlink ref="I2068" location="'25'!$I$16" display="$I$16 25" xr:uid="{8D6D9BF0-95C3-4880-B7B6-93FA234CB4A2}"/>
    <hyperlink ref="I2069" location="'25'!$J$16" display="$J$16 25" xr:uid="{DAC25BBE-7DEB-46BB-9867-DBE4A56141DF}"/>
    <hyperlink ref="I2071" r:id="rId116" location="'25'!$J$16" xr:uid="{F6435BF0-AD53-44A7-A4FB-F135196004B4}"/>
    <hyperlink ref="I2072" location="'25'!$J$14" display="$J$14 25" xr:uid="{21EF6949-E013-4C60-BBCD-C285AD5B79A7}"/>
    <hyperlink ref="I2073" location="'25'!$J$24" display="$J$24 25" xr:uid="{8C01A81A-F683-4B21-A0C8-F7B30958EFB6}"/>
    <hyperlink ref="I2074" location="'25'!$K$63" display="$K$63 25" xr:uid="{36C7143A-D428-41A1-9F1E-6BCCC982C091}"/>
    <hyperlink ref="I2075" location="'25'!$K$64" display="$K$64 25" xr:uid="{CEB120F8-19E4-4E62-9300-BCEFD07B8115}"/>
    <hyperlink ref="I2076" location="'24'!$Y$79" display="$Y$79 24" xr:uid="{FE8E3672-7E39-4435-9205-C6696E4C778C}"/>
    <hyperlink ref="I2077" location="'24'!$Y$78" display="$Y$78 24" xr:uid="{1B1D4466-8AE7-473B-98FA-145E7FB09666}"/>
    <hyperlink ref="I2078" location="'25'!$N$19" display="$N$19 25" xr:uid="{B7B86CEC-8646-485D-B86A-8CE47A2C433D}"/>
    <hyperlink ref="I2079" location="'25'!$N$24" display="$N$24 25" xr:uid="{FAE39071-E85E-4A20-A8B8-02CFA25172AE}"/>
    <hyperlink ref="I2080" location="'25'!$O$51" display="$O$51 25" xr:uid="{EF8C02E8-BBA5-4060-8E6D-0E940F5B06D3}"/>
    <hyperlink ref="I2081" location="'25'!$O$47" display="$O$47 25" xr:uid="{F3EDB7B6-B4E4-4412-82D1-330CF5267D04}"/>
    <hyperlink ref="I2082" location="'25'!$O$14" display="$O$14 25" xr:uid="{848B3709-9CE5-4219-9BC7-F6FB5C136488}"/>
    <hyperlink ref="I2083" location="'25'!$O$50" display="$O$50 25" xr:uid="{D4D250E8-4F3F-48B8-BF59-C4546F56328C}"/>
    <hyperlink ref="I2084" location="'25'!$O$21" display="$O$21 25" xr:uid="{91BE453A-07E3-4C66-B799-26F674393EA4}"/>
    <hyperlink ref="I2085" location="'25'!$O$29" display="$O$29 25" xr:uid="{0411B452-F9D8-48F2-9002-B4A5BCEAE5FC}"/>
    <hyperlink ref="I2088" location="'25'!$P$56" display="$P$56 25" xr:uid="{A29338F1-FA22-438D-9607-CF91CBAF5C68}"/>
    <hyperlink ref="I2089" location="'25'!$P$54" display="$P$54 25" xr:uid="{69D363FC-9FED-42A2-8776-A19670C21488}"/>
    <hyperlink ref="I2090" location="'25'!$P$51" display="$P$51 25" xr:uid="{CABB5E97-CF5B-4767-8E7B-39F9274F7AC4}"/>
    <hyperlink ref="I2091" location="'25'!$P$47" display="$P$47 25" xr:uid="{BD849675-3A4C-4678-A348-BE6851A8FE88}"/>
    <hyperlink ref="I2092" location="'25'!$R$14" display="$R$14 25" xr:uid="{3067D64D-F9D1-44EE-9519-D8CF7A58195E}"/>
    <hyperlink ref="I2093" location="'25'!$R$44" display="$R$44 25" xr:uid="{37DD3A92-E8BD-4E97-9490-F06384F0E1B8}"/>
    <hyperlink ref="I2096" location="'25'!$R$50" display="$R$50 25" xr:uid="{58516134-9F41-4282-8FEF-B4483019E7DF}"/>
    <hyperlink ref="I2097" location="'25'!$R$56" display="$R$56 25" xr:uid="{681327A4-8B02-4F76-A9F5-42231D2FFC42}"/>
    <hyperlink ref="I2098" location="'25'!$S$54" display="$S$54 25" xr:uid="{153135D1-CC9F-41CD-B7F7-1DE3FCDF68D9}"/>
    <hyperlink ref="I2099" location="'25'!$S$51" display="$S$51 25" xr:uid="{62FF16AD-8DC5-4885-BA1E-720CB968BF85}"/>
    <hyperlink ref="I2100" location="'25'!$S$47" display="$S$47 25" xr:uid="{00A7C126-91A2-42C2-80D3-999B05157152}"/>
    <hyperlink ref="I2101" location="'25'!$T$50" display="$T$50 25" xr:uid="{CD09BFFE-6839-4C67-B7D8-BF46A63C494E}"/>
    <hyperlink ref="I2102" location="'25'!$T$56" display="$T$56 25" xr:uid="{C1055D34-2E93-4221-879B-DC891DD1F946}"/>
    <hyperlink ref="I2105" location="'25'!$U$51" display="$U$51 25" xr:uid="{01BE40D7-43F7-42F8-B3CF-E84D021EF8C9}"/>
    <hyperlink ref="I2106" location="'25'!$U$29" display="$U$29 25" xr:uid="{D23C2717-F5F4-447B-B8D7-5B45A71E7D85}"/>
    <hyperlink ref="I2107" location="'25'!$U$47" display="$U$47 25" xr:uid="{1A394099-8369-40E4-86B4-200C7FF3988D}"/>
    <hyperlink ref="I2108" location="'25'!$U$56" display="$U$56 25" xr:uid="{DEE8645C-A8E5-431A-99CA-9A0930C6BB51}"/>
    <hyperlink ref="I2109" location="'25'!$V$29" display="$V$29 25" xr:uid="{123B5337-C7C8-4D79-951F-422CC0011158}"/>
    <hyperlink ref="I2110" location="'25'!$V$47" display="$V$47 25" xr:uid="{3B4696D7-96E5-44DD-BB67-5BC0CC7DAD66}"/>
    <hyperlink ref="I2111" location="'25'!$W$54" display="$W$54 25" xr:uid="{68151870-AA9D-490C-9B5F-2A6AEDA44588}"/>
    <hyperlink ref="I2112" location="'25'!$W$51" display="$W$51 25" xr:uid="{B53D1B65-BA1A-49E9-99EB-A6C2250AD57E}"/>
    <hyperlink ref="I2113" location="'25'!$X$29" display="$X$29 25" xr:uid="{E95F5C43-E251-46CA-A2F0-AD63B67CE9B9}"/>
    <hyperlink ref="I2114" location="'25'!$Y$47" display="$Y$47 25" xr:uid="{B9001B08-E7CA-455B-99F7-8A17B88B45E8}"/>
    <hyperlink ref="I2115" location="'25'!$Y$50" display="$Y$50 25" xr:uid="{0C7645C5-A4FB-4C02-A120-E0BB24392740}"/>
    <hyperlink ref="I2117" r:id="rId117" location="'25'!$Y$47" xr:uid="{3A275AB0-1970-477E-A89D-648602FEEA22}"/>
    <hyperlink ref="I2118" location="'25'!$M$78" display="$M$78 25" xr:uid="{2E47B0FB-8212-42E6-A7B3-B4761C2F5BC8}"/>
    <hyperlink ref="I2119" location="'25'!$M$79" display="$M$79 25" xr:uid="{E5883148-C188-4E3A-ABED-15661A9C2783}"/>
    <hyperlink ref="I2120" location="'25'!$Y$79" display="$Y$79 25" xr:uid="{A6DBEE3D-2ED2-41CC-91DA-573F2D37328A}"/>
    <hyperlink ref="I2121" location="'25'!$Y$78" display="$Y$78 25" xr:uid="{E22796B2-34F8-4E81-B517-C163B67262C5}"/>
    <hyperlink ref="I2122" location="'25'!$Z$50" display="$Z$50 25" xr:uid="{60C188DF-3F57-44E5-81F3-7A088BB1E006}"/>
    <hyperlink ref="I2123" location="'25'!$Z$47" display="$Z$47 25" xr:uid="{153608B7-3972-4613-B9CE-F3525A2CD5F3}"/>
    <hyperlink ref="I2124" location="'25'!$S$64" display="$S$64 25" xr:uid="{9392D8C9-0038-4047-B34C-21A07A2723D7}"/>
    <hyperlink ref="I2125" location="'25'!$V$63" display="$V$63 25" xr:uid="{CA4C281B-C8E9-4C7B-A288-ACED115FD789}"/>
    <hyperlink ref="I2126" location="'25'!$Y$63" display="$Y$63 25" xr:uid="{70281F6A-23A3-4B12-A9D3-1C2FADF49BEA}"/>
    <hyperlink ref="I2127" location="'25'!$AB$50" display="$AB$50 25" xr:uid="{C218D6A0-5CD6-450F-BF50-6C56C5316249}"/>
    <hyperlink ref="I2128" location="'25'!$AB$56" display="$AB$56 25" xr:uid="{B3CAB0FD-D69F-4E6D-A9D5-32DEADF72633}"/>
    <hyperlink ref="I2129" location="'25'!$AB$51" display="$AB$51 25" xr:uid="{8C417C54-C843-4368-82CD-687BAFACC3B0}"/>
    <hyperlink ref="I2130" location="'25'!$AB$54" display="$AB$54 25" xr:uid="{5F6D1CF3-5D55-41FF-989D-31A47B8A2170}"/>
    <hyperlink ref="I2131" location="'25'!$AB$13" display="$AB$13 25" xr:uid="{1EA888E8-7BF1-4CD7-AC6F-3C691AF24559}"/>
    <hyperlink ref="I2132" location="'25'!$AC$56" display="$AC$56 25" xr:uid="{1462C2EF-DB77-4E00-B6F2-832D082C2F20}"/>
    <hyperlink ref="I2133" location="'25'!$AC$50" display="$AC$50 25" xr:uid="{E2FB8429-67AF-4FD5-86D9-593E95EF4B6E}"/>
    <hyperlink ref="I2134" location="'25'!$AC$54" display="$AC$54 25" xr:uid="{AE8CF9D0-CEF4-4907-8B7B-313A9D55BF06}"/>
    <hyperlink ref="I2135" location="'25'!$AC$51" display="$AC$51 25" xr:uid="{50FE4B88-FF80-46DE-9251-A5C1484EE477}"/>
    <hyperlink ref="I2136" location="'26'!$F$19" display="$F$19 26" xr:uid="{0CEB0FA1-58C0-4C32-AA58-D3EA131F4895}"/>
    <hyperlink ref="I2137" location="'26'!$G$24" display="$G$24 26" xr:uid="{375E1EEF-35E6-4165-A088-3B529B036A84}"/>
    <hyperlink ref="I2138" location="'25'!$AA$62" display="$AA$62 25" xr:uid="{125E8BA8-FA2E-4944-9885-3D22D983C774}"/>
    <hyperlink ref="I2139" location="'26'!$H$21" display="$H$21 26" xr:uid="{B59FC919-C6D1-4950-AF1E-E29241B867A1}"/>
    <hyperlink ref="I2140" location="'26'!$F$62" display="$F$62 26" xr:uid="{6368FC82-98CE-4EF0-BC76-3411542E09A5}"/>
    <hyperlink ref="I2141" location="'26'!$F$63" display="$F$63 26" xr:uid="{0AE0057B-87AA-4201-BE41-502CD410E1A5}"/>
    <hyperlink ref="I2142" location="'26'!$L$13" display="$L$13 26" xr:uid="{9F1BBAC6-5E61-47D9-B53C-2390712E6D23}"/>
    <hyperlink ref="I2144" r:id="rId118" location="'26'!$L$13" xr:uid="{7FB08368-8F90-4E7C-BEEB-73D9FBB25FA3}"/>
    <hyperlink ref="I2145" location="'26'!$M$78" display="$M$78 26" xr:uid="{26D4BA71-71FD-4083-88D0-053B45C55662}"/>
    <hyperlink ref="I2146" location="'26'!$M$79" display="$M$79 26" xr:uid="{02ABBB8B-6DB4-4F62-968F-98C4179CDCE4}"/>
    <hyperlink ref="I2147" location="'26'!$M$63" display="$M$63 26" xr:uid="{82189C48-2293-4F2F-BB22-0D4B1B5F3DC4}"/>
    <hyperlink ref="I2148" location="'26'!$M$64" display="$M$64 26" xr:uid="{CA4BF49D-DEEC-4616-9CAA-21B6FB2CB1B9}"/>
    <hyperlink ref="I2149" location="'26'!$M$13" display="$M$13 26" xr:uid="{84DE8EDC-0DB6-4176-BAB6-48C8151C7DE4}"/>
    <hyperlink ref="I2150" location="'26'!$M$47" display="$M$47 26" xr:uid="{B9A4F261-4DB8-4D45-BCBB-C4A9F35B2A02}"/>
    <hyperlink ref="I2151" location="'26'!$N$47" display="$N$47 26" xr:uid="{2122594B-7796-42BE-BF10-31BD1C380F01}"/>
    <hyperlink ref="I2152" location="'26'!$N$14" display="$N$14 26" xr:uid="{EF27961E-62B6-4248-AA02-B84C5693904D}"/>
    <hyperlink ref="I2153" location="'26'!$N$21" display="$N$21 26" xr:uid="{1209272D-4A80-4D53-AB1E-F9F4B2D23067}"/>
    <hyperlink ref="I2154" location="'26'!$O$24" display="$O$24 26" xr:uid="{7F5E6313-E345-40DA-A5F9-80A0023F3DCB}"/>
    <hyperlink ref="I2155" location="'26'!$O$50" display="$O$50 26" xr:uid="{BDB05683-683D-4795-BB11-A98E5F789AF8}"/>
    <hyperlink ref="I2156" location="'26'!$O$56" display="$O$56 26" xr:uid="{001FEB17-6363-4663-971A-205C06C11017}"/>
    <hyperlink ref="I2157" location="'26'!$O$14" display="$O$14 26" xr:uid="{A22EDB29-5E96-4525-A258-96EC270FC25C}"/>
    <hyperlink ref="I2158" location="'26'!$P$54" display="$P$54 26" xr:uid="{DCE06283-9DE5-467A-9F69-B1139E8B4247}"/>
    <hyperlink ref="I2159" location="'26'!$P$51" display="$P$51 26" xr:uid="{392D8F32-0ACE-4B6D-BE8D-366F920026F5}"/>
    <hyperlink ref="I2160" location="'26'!$P$47" display="$P$47 26" xr:uid="{423BFFEA-300F-44B3-8A11-86764F17E13A}"/>
    <hyperlink ref="I2161" location="'26'!$P$50" display="$P$50 26" xr:uid="{0741A10F-665B-4C99-BC26-128A569F13D0}"/>
    <hyperlink ref="I2162" location="'26'!$P$56" display="$P$56 26" xr:uid="{022C86E2-6B1C-4A77-BC51-0C389FE447B9}"/>
    <hyperlink ref="I2166" location="'26'!$Q$19" display="$Q$19 26" xr:uid="{51A96843-58D8-4A34-9B9D-DA603E91DBBF}"/>
    <hyperlink ref="I2167" location="'26'!$S$64" display="$S$64 26" xr:uid="{68BD40CC-2E19-41E6-A982-840E6439E963}"/>
    <hyperlink ref="I2168" location="'26'!$S$62" display="$S$62 26" xr:uid="{DCB0F294-A05E-45C6-8CCB-18D90BFF9C09}"/>
    <hyperlink ref="I2169" location="'26'!$S$19" display="$S$19 26" xr:uid="{E0375F0D-2C6E-41B3-8731-50004BF2A6B1}"/>
    <hyperlink ref="I2170" location="'26'!$S$50" display="$S$50 26" xr:uid="{D02864C6-D445-4689-B3FE-229BC9EF3241}"/>
    <hyperlink ref="I2171" location="'26'!$S$56" display="$S$56 26" xr:uid="{580449B9-2F35-4FE0-8F2B-29693BCEA0CF}"/>
    <hyperlink ref="I2172" location="'26'!$T$54" display="$T$54 26" xr:uid="{5B4304A7-40A7-4B1B-9720-516299D8C066}"/>
    <hyperlink ref="I2173" location="'26'!$T$51" display="$T$51 26" xr:uid="{3759969D-5FAB-4A35-8BD5-16F757EE6235}"/>
    <hyperlink ref="I2174" location="'26'!$T$50" display="$T$50 26" xr:uid="{BB36AC84-8F1E-4634-9110-BDCD1628065D}"/>
    <hyperlink ref="I2175" location="'26'!$U$56" display="$U$56 26" xr:uid="{DF6C8E04-7ED0-42F9-849B-85D1D11E2EFB}"/>
    <hyperlink ref="I2176" location="'26'!$V$47" display="$V$47 26" xr:uid="{3F455D5E-1FFB-4C7D-98BD-1FB7B3311CE8}"/>
    <hyperlink ref="I2177" location="'26'!$V$54" display="$V$54 26" xr:uid="{79D74644-4885-4790-9FC9-7D6E6F18B3C3}"/>
    <hyperlink ref="I2178" location="'26'!$W$51" display="$W$51 26" xr:uid="{881CD1D2-9F4F-4A32-8A88-FFDFEA4C17E6}"/>
    <hyperlink ref="I2179" location="'26'!$U$30" display="$U$30 26" xr:uid="{44B75269-7BF9-42CC-A3BD-BD4FF4BAC0A2}"/>
    <hyperlink ref="I2180" location="'26'!$V$30" display="$V$30 26" xr:uid="{81FFDCAB-8D92-4DF2-94FE-C01C2A519DB1}"/>
    <hyperlink ref="I2181" location="'26'!$W$30" display="$W$30 26" xr:uid="{0C130CE1-E07E-42EF-9DC6-49E5E956B91A}"/>
    <hyperlink ref="I2183" location="'26'!$W$47" display="$W$47 26" xr:uid="{306755E7-EE0D-4991-ADB4-B5CFF9D47720}"/>
    <hyperlink ref="I2184" location="'26'!$Y$79" display="$Y$79 26" xr:uid="{B90D13D0-A360-47F0-AFA9-559A2BB73C17}"/>
    <hyperlink ref="I2185" location="'26'!$Y$78" display="$Y$78 26" xr:uid="{A25DF1BC-324B-4638-BA61-576769CD3C08}"/>
    <hyperlink ref="I2186" location="'26'!$Y$50" display="$Y$50 26" xr:uid="{F7221229-23AE-4190-98CF-DE587A7C73DE}"/>
    <hyperlink ref="I2187" location="'26'!$Y$56" display="$Y$56 26" xr:uid="{D2AA7457-DD57-4096-89A1-7584DA27B173}"/>
    <hyperlink ref="I2188" location="'26'!$Y$54" display="$Y$54 26" xr:uid="{6AAFFC33-DBE4-4215-A939-7C6FC5DEC5E4}"/>
    <hyperlink ref="I2189" location="'26'!$Z$62" display="$Z$62 26" xr:uid="{13E2C874-C0A0-443F-98EF-0BB6A08EA578}"/>
    <hyperlink ref="I2190" location="'26'!$Z$63" display="$Z$63 26" xr:uid="{D91B8ADA-7B02-4D55-A361-7ED493B15A79}"/>
    <hyperlink ref="I2191" location="'26'!$Z$50" display="$Z$50 26" xr:uid="{924B262E-1C1E-48E2-821C-42F45B69B8C6}"/>
    <hyperlink ref="I2192" location="'26'!$Z$56" display="$Z$56 26" xr:uid="{5DDB658F-856F-4C71-B0FF-E3FA4AFCADE6}"/>
    <hyperlink ref="I2193" location="'26'!$Z$54" display="$Z$54 26" xr:uid="{B513D175-4CC7-4436-861A-9AFAB46DD1AD}"/>
    <hyperlink ref="I2194" location="'26'!$AB$47" display="$AB$47 26" xr:uid="{36F479CF-97ED-45DE-870F-750D78F8D2E0}"/>
    <hyperlink ref="I2195" location="'26'!$AB$51" display="$AB$51 26" xr:uid="{AEFB9DDE-867B-4511-9CDC-CD2656EF0187}"/>
    <hyperlink ref="I2196" location="'26'!$AB$50" display="$AB$50 26" xr:uid="{874D62CE-364F-4C82-B142-19B1EDA14ACF}"/>
    <hyperlink ref="I2197" location="'26'!$AB$13" display="$AB$13 26" xr:uid="{C5D05E7D-3BDA-4688-A563-801187A83F38}"/>
    <hyperlink ref="I2200" location="'26'!$AC$47" display="$AC$47 26" xr:uid="{1338F1E5-2D7D-49E8-87A4-04518AB94537}"/>
    <hyperlink ref="I2201" location="'27'!$F$54" display="$F$54 27" xr:uid="{1901E954-9705-45B4-9217-206ED3B4DD2C}"/>
    <hyperlink ref="I2202" location="'27'!$F$56" display="$F$56 27" xr:uid="{1E3853E3-0FEE-42D9-BB80-629E9D5CAFF8}"/>
    <hyperlink ref="I2203" location="'27'!$F$14" display="$F$14 27" xr:uid="{05A11D01-CBDA-4736-9722-64B200091920}"/>
    <hyperlink ref="I2204" location="'27'!$F$47" display="$F$47 27" xr:uid="{8BE4DC0E-F0AB-43B9-BF73-C57CDE4CB4A8}"/>
    <hyperlink ref="I2205" location="'27'!$F$51" display="$F$51 27" xr:uid="{C00EE38A-F82A-4F86-B02C-2EA0B40AB082}"/>
    <hyperlink ref="I2207" location="'27'!$G$15" display="$G$15 27" xr:uid="{9EBC310C-FEED-4158-A424-D49D732B1610}"/>
    <hyperlink ref="I2208" location="'27'!$G$16" display="$G$16 27" xr:uid="{5469C760-DC82-47DD-87EE-AADFAF8CFCD7}"/>
    <hyperlink ref="I2209" location="'27'!$F$50" display="$F$50 27" xr:uid="{8AF552C7-24F0-4999-911A-D9C26AEF232A}"/>
    <hyperlink ref="I2210" r:id="rId119" location="'27'!$F$56" xr:uid="{38CC3E64-DCC7-4EB2-BB53-BBCE9B45CCF6}"/>
    <hyperlink ref="I2211" location="'27'!$G$51" display="$G$51 27" xr:uid="{3F288290-0378-4577-A360-25E87B3D3E74}"/>
    <hyperlink ref="I2212" location="'27'!$G$54" display="$G$54 27" xr:uid="{C4844A50-08B3-42E4-B50E-FDD362E9A1CD}"/>
    <hyperlink ref="I2213" location="'27'!$G$50" display="$G$50 27" xr:uid="{DDEDAB0D-71B3-424B-96D9-4EE66EA2F5A0}"/>
    <hyperlink ref="I2214" location="'27'!$G$47" display="$G$47 27" xr:uid="{DF1E624F-60C4-4BBE-811F-CC1E8E5D097B}"/>
    <hyperlink ref="I2215" location="'27'!$G$24" display="$G$24 27" xr:uid="{D3374EE6-9AC1-4369-A8DF-772E9C7BB7DB}"/>
    <hyperlink ref="I2216" location="'27'!$H$56" display="$H$56 27" xr:uid="{9BBBA56C-D4A6-4643-9BC6-FAABCEAC5ACE}"/>
    <hyperlink ref="I2217" location="'27'!$G$63" display="$G$63 27" xr:uid="{272D7E55-4ED7-4E26-9AF3-B1887AE1D1CC}"/>
    <hyperlink ref="I2218" location="'27'!$G$64" display="$G$64 27" xr:uid="{536B8201-420D-4AD4-B790-2C5442E07861}"/>
    <hyperlink ref="I2219" location="'27'!$I$21" display="$I$21 27" xr:uid="{F20C3A01-2DA6-4EB2-ADC8-55CBA56E4BF3}"/>
    <hyperlink ref="I2220" location="'27'!$I$51" display="$I$51 27" xr:uid="{8AE20C99-A710-4CEE-9434-336ADD913A77}"/>
    <hyperlink ref="I2221" location="'27'!$I$54" display="$I$54 27" xr:uid="{747C0788-F385-484A-AA1C-9D40AD239E9D}"/>
    <hyperlink ref="I2222" r:id="rId120" location="'27'!$I$21" xr:uid="{2C6D1E34-95EB-46B1-A811-C00C474B8284}"/>
    <hyperlink ref="I2223" location="'27'!$I$47" display="$I$47 27" xr:uid="{6A99C77A-DC92-4B31-8B84-BA545C7A3B7F}"/>
    <hyperlink ref="I2224" location="'27'!$I$50" display="$I$50 27" xr:uid="{D0E64C8D-7201-4EEF-A1CC-398CCE195CBA}"/>
    <hyperlink ref="I2225" location="'27'!$I$56" display="$I$56 27" xr:uid="{634D2ADA-D7C7-4049-A433-4893E9C16FA4}"/>
    <hyperlink ref="I2226" location="'27'!$J$15" display="$J$15 27" xr:uid="{4D00A0B1-323D-493E-9238-42CA5F27180B}"/>
    <hyperlink ref="I2227" location="'27'!$J$16" display="$J$16 27" xr:uid="{BD27578A-B80A-4C88-B038-DAF073B4C043}"/>
    <hyperlink ref="I2228" location="'27'!$J$54" display="$J$54 27" xr:uid="{26E50AB3-4361-45F6-836D-7D798D040CAF}"/>
    <hyperlink ref="I2229" location="'27'!$J$47" display="$J$47 27" xr:uid="{54DD09D2-DAC7-43B8-8C1C-9573B2BFA82E}"/>
    <hyperlink ref="I2230" location="'27'!$J$51" display="$J$51 27" xr:uid="{C862D507-93DD-45CA-9D7B-B29C72963FCC}"/>
    <hyperlink ref="I2231" location="'27'!$J$50" display="$J$50 27" xr:uid="{DCF41BF9-DF48-452A-8FAA-637E55B2D459}"/>
    <hyperlink ref="I2232" location="'27'!$J$56" display="$J$56 27" xr:uid="{359BB007-4109-4EFE-9207-E9CACDBB824A}"/>
    <hyperlink ref="I2233" location="'27'!$J$14" display="$J$14 27" xr:uid="{C80DEFCE-8C6A-4348-9B09-DB534EEF6E27}"/>
    <hyperlink ref="I2235" location="'27'!$M$78" display="$M$78 27" xr:uid="{FF8ECF8D-839B-432E-8B34-95191AB228ED}"/>
    <hyperlink ref="I2236" location="'27'!$M$79" display="$M$79 27" xr:uid="{2DC1602C-1F5E-4576-9F64-C5973ED08075}"/>
    <hyperlink ref="I2237" location="'27'!$M$64" display="$M$64 27" xr:uid="{29347FAE-D58F-49E0-9219-DC48F68B4165}"/>
    <hyperlink ref="I2238" location="'27'!$M$62" display="$M$62 27" xr:uid="{64C892CA-7534-4343-AF85-F233C90C47FB}"/>
    <hyperlink ref="I2239" location="'27'!$N$13" display="$N$13 27" xr:uid="{0702D270-D63B-427D-8DB2-9739BE2B9AA2}"/>
    <hyperlink ref="I2240" location="'27'!$L$24" display="$L$24 27" xr:uid="{9DE186E1-C812-4E75-A012-AD094175ADE2}"/>
    <hyperlink ref="I2241" location="'27'!$P$54" display="$P$54 27" xr:uid="{470D2362-F87A-43D4-9476-AEB16C09CB53}"/>
    <hyperlink ref="I2242" location="'27'!$P$19" display="$P$19 27" xr:uid="{B5DEBE0C-ADAD-4032-BEE7-E9171B6E72A4}"/>
    <hyperlink ref="I2244" location="'27'!$Q$14" display="$Q$14 27" xr:uid="{3E06CC50-F93B-4848-9AA3-725BB341D5B6}"/>
    <hyperlink ref="I2245" location="'27'!$Q$16" display="$Q$16 27" xr:uid="{6A5E1960-3A63-4532-85BB-16BCD7C1BB7D}"/>
    <hyperlink ref="I2246" location="'27'!$R$30" display="$R$30 27" xr:uid="{3EF3A079-C84E-4F43-9AD9-BDC576C407F9}"/>
    <hyperlink ref="I2248" location="'27'!$R$54" display="$R$54 27" xr:uid="{A59FA292-E00D-4E0C-8319-5D8C2C18EA63}"/>
    <hyperlink ref="I2249" location="'27'!$R$51" display="$R$51 27" xr:uid="{A3295CE0-179F-45B0-B127-A74C67349500}"/>
    <hyperlink ref="I2250" location="'27'!$R$56" display="$R$56 27" xr:uid="{68EF8E3E-66E8-45F4-831B-328B4B3D3329}"/>
    <hyperlink ref="I2251" location="'27'!$R$21" display="$R$21 27" xr:uid="{AD1B4FB5-D290-42F9-AF6A-0B2EED6190B7}"/>
    <hyperlink ref="I2252" location="'27'!$R$50" display="$R$50 27" xr:uid="{51E93ECE-6985-45F4-AE6D-D067254C1C4F}"/>
    <hyperlink ref="I2253" location="'27'!$S$50" display="$S$50 27" xr:uid="{2CF6B73B-B1EC-4014-B1C2-92944FC40CB9}"/>
    <hyperlink ref="I2254" location="'27'!$S$47" display="$S$47 27" xr:uid="{7186FF44-2182-4750-9FBC-F5A25D3357B1}"/>
    <hyperlink ref="I2255" location="'27'!$T$50" display="$T$50 27" xr:uid="{743F5D27-FACF-4966-9DCC-0F4C3EBA7270}"/>
    <hyperlink ref="I2256" location="'27'!$T$29" display="$T$29 27" xr:uid="{5E1590E2-5B8D-41EA-BA79-D3B98D49191B}"/>
    <hyperlink ref="I2257" location="'27'!$T$54" display="$T$54 27" xr:uid="{6EFCBE16-7FC8-434E-BE21-7744961AA081}"/>
    <hyperlink ref="I2258" location="'27'!$T$51" display="$T$51 27" xr:uid="{212B1BA1-ECD2-4C67-AA6F-47B1FEE7186B}"/>
    <hyperlink ref="I2259" location="'27'!$T$47" display="$T$47 27" xr:uid="{7C8D4CF8-B706-45E8-8CF9-4BA20366BED1}"/>
    <hyperlink ref="I2261" location="'27'!$T$56" display="$T$56 27" xr:uid="{CB3C2F66-CC97-44BA-ABE1-BB1FEACA7628}"/>
    <hyperlink ref="I2262" location="'27'!$V$21" display="$V$21 27" xr:uid="{D2D122BC-3564-4DAE-9F8E-62938A0FDF65}"/>
    <hyperlink ref="I2263" location="'27'!$V$29" display="$V$29 27" xr:uid="{EBF6E17A-A7B3-41C9-8C3F-7E1CBE036844}"/>
    <hyperlink ref="I2264" location="'27'!$V$47" display="$V$47 27" xr:uid="{AC5879A3-CF27-4511-B7D5-7501333C865F}"/>
    <hyperlink ref="I2265" location="'27'!$V$50" display="$V$50 27" xr:uid="{742582D0-AB29-4590-94F8-BACBD2D67920}"/>
    <hyperlink ref="I2266" location="'27'!$V$56" display="$V$56 27" xr:uid="{73963B57-9BA3-47EC-BB11-ABB94ADB8147}"/>
    <hyperlink ref="I2270" location="'27'!$W$30" display="$W$30 27" xr:uid="{A9BBC103-BD4E-4702-ADF1-BB2FB9BE4DDF}"/>
    <hyperlink ref="I2271" location="'27'!$X$54" display="$X$54 27" xr:uid="{5735B40E-EDE3-489A-99E6-D69EABBB94C2}"/>
    <hyperlink ref="I2272" location="'27'!$X$51" display="$X$51 27" xr:uid="{19A0F926-A1B0-4B6E-B784-5406CE6A9A2D}"/>
    <hyperlink ref="I2273" location="'27'!$Y$47" display="$Y$47 27" xr:uid="{F7CB34B1-02F1-458C-894B-C860248216C1}"/>
    <hyperlink ref="I2274" location="'27'!$Y$50" display="$Y$50 27" xr:uid="{50C80F59-707C-4A97-9A60-C5EB2E7449B7}"/>
    <hyperlink ref="I2275" location="'27'!$Y$29" display="$Y$29 27" xr:uid="{9EE9EFBF-D228-44FE-A6B9-3DA74505A701}"/>
    <hyperlink ref="I2276" location="'27'!$Y$56" display="$Y$56 27" xr:uid="{5ECD32BD-08EF-4D7C-8C77-93F79D158547}"/>
    <hyperlink ref="I2277" location="'27'!$Z$30" display="$Z$30 27" xr:uid="{A25F1C3A-793A-43FD-B1D0-BA95D34FEC9D}"/>
    <hyperlink ref="I2278" location="'27'!$Z$54" display="$Z$54 27" xr:uid="{19781224-9ABA-4C82-BF9D-5C30AA97AB43}"/>
    <hyperlink ref="I2279" location="'27'!$Z$51" display="$Z$51 27" xr:uid="{D9341E54-7BD7-4A56-8A02-9D947D183766}"/>
    <hyperlink ref="I2280" location="'27'!$Z$47" display="$Z$47 27" xr:uid="{68C68939-67B6-4465-9771-500425303E2C}"/>
    <hyperlink ref="I2281" location="'27'!$Z$50" display="$Z$50 27" xr:uid="{B80D69BF-DFC9-4896-961E-9BE64EB2C4CA}"/>
    <hyperlink ref="I2282" location="'27'!$Z$56" display="$Z$56 27" xr:uid="{E50B3CC7-D64B-4135-B581-571CBD297E6F}"/>
    <hyperlink ref="I2283" location="'27'!$T$62" display="$T$62 27" xr:uid="{291F7F4D-8A25-42F5-9C9A-ACBFAABDF1F4}"/>
    <hyperlink ref="I2284" location="'27'!$T$63" display="$T$63 27" xr:uid="{8436315A-AAA6-414F-82A6-C64AA811B251}"/>
    <hyperlink ref="I2285" location="'27'!$AB$63" display="$AB$63 27" xr:uid="{D6D42985-A79C-40E7-AB56-3A7C783EEE8C}"/>
    <hyperlink ref="I2286" location="'27'!$AB$64" display="$AB$64 27" xr:uid="{B9D9C39F-B4C3-4CD3-8940-5BB7978BAE35}"/>
    <hyperlink ref="I2287" location="'27'!$AB$29" display="$AB$29 27" xr:uid="{1CE2DA99-C666-4457-A60F-CAF2722CCCAA}"/>
    <hyperlink ref="I2288" location="'27'!$AC$19" display="$AC$19 27" xr:uid="{9E8D20D0-147E-4F87-92E1-A1DB789017D3}"/>
    <hyperlink ref="I2289" location="'28'!$F$21" display="$F$21 28" xr:uid="{7C68E874-8E65-48FA-82AF-136AEAFB4F6C}"/>
    <hyperlink ref="I2290" location="'28'!$G$16" display="$G$16 28" xr:uid="{75AC33F3-19FC-4A04-BDA1-D47C22A56DD7}"/>
    <hyperlink ref="I2291" location="'28'!$G$15" display="$G$15 28" xr:uid="{8C9180FE-5CBF-431D-B1EE-69DE6EAC1157}"/>
    <hyperlink ref="I2292" location="'28'!$H$13" display="$H$13 28" xr:uid="{1D9DEF4F-4BB3-4D26-A1FF-4623ADE4F090}"/>
    <hyperlink ref="I2293" location="'27'!$Y$79" display="$Y$79 27" xr:uid="{35726B8D-D020-4FBD-8604-48A91F6363C0}"/>
    <hyperlink ref="I2294" location="'27'!$Y$78" display="$Y$78 27" xr:uid="{8C7F8612-CFA8-48BF-B71E-FC815EA44456}"/>
    <hyperlink ref="I2295" location="'28'!$M$78" display="$M$78 28" xr:uid="{4E7ADAD9-3F32-4218-8558-CDCF0E6FD079}"/>
    <hyperlink ref="I2296" location="'28'!$M$79" display="$M$79 28" xr:uid="{8CB480F2-3753-4B90-A131-CFE50BAB3CDF}"/>
    <hyperlink ref="I2297" location="'28'!$M$54" display="$M$54 28" xr:uid="{39219BA9-F9B4-4A93-B845-7428FC507BD5}"/>
    <hyperlink ref="I2298" location="'28'!$M$19" display="$M$19 28" xr:uid="{C7803E1A-1055-4139-B6B9-39223893AAE2}"/>
    <hyperlink ref="I2299" location="'28'!$N$54" display="$N$54 28" xr:uid="{74437683-7445-4B46-A468-942FE9BE0A44}"/>
    <hyperlink ref="I2300" location="'28'!$N$51" display="$N$51 28" xr:uid="{DB480484-0438-4F7E-BFB6-948A29F989E0}"/>
    <hyperlink ref="I2301" location="'28'!$N$47" display="$N$47 28" xr:uid="{F1BE959A-7192-4925-BF30-FC640E2B0FC3}"/>
    <hyperlink ref="I2302" location="'28'!$N$50" display="$N$50 28" xr:uid="{84570A95-152B-4372-A527-410E3CA15FF3}"/>
    <hyperlink ref="I2303" location="'28'!$N$56" display="$N$56 28" xr:uid="{21E5D5E4-9CDA-4057-9571-B6E64033F6A8}"/>
    <hyperlink ref="I2304" location="'28'!$O$54" display="$O$54 28" xr:uid="{70626420-A27C-438E-9105-9E7126E24011}"/>
    <hyperlink ref="I2305" location="'28'!$O$13" display="$O$13 28" xr:uid="{B8DB2A49-D049-499F-AD7A-B08C87B701A0}"/>
    <hyperlink ref="I2306" location="'28'!$O$51" display="$O$51 28" xr:uid="{983DAC9B-D841-4853-920B-79DF356B6C30}"/>
    <hyperlink ref="I2308" location="'28'!$O$47" display="$O$47 28" xr:uid="{830790D7-5EE9-41A2-B443-22197B5EE08A}"/>
    <hyperlink ref="I2309" r:id="rId121" location="'28'!$O$47" xr:uid="{8909FF0D-3ADD-433E-A562-A7F7C526D568}"/>
    <hyperlink ref="I2310" location="'28'!$O$21" display="$O$21 28" xr:uid="{FCB94F3F-FE03-4B26-B56A-02A519E7DB19}"/>
    <hyperlink ref="I2311" location="'28'!$P$47" display="$P$47 28" xr:uid="{088AFFDB-A1DF-4927-9C36-D8BF8C6740C7}"/>
    <hyperlink ref="I2312" location="'28'!$P$54" display="$P$54 28" xr:uid="{A482FD70-6924-455C-A9C0-4B9DE58AA116}"/>
    <hyperlink ref="I2313" location="'28'!$P$51" display="$P$51 28" xr:uid="{A9477BDB-7AAC-43DA-837E-4344C81C5FEC}"/>
    <hyperlink ref="I2314" r:id="rId122" location="'28'!$P$47" xr:uid="{9D892523-2CBA-45A0-B44A-A427AB8FE21E}"/>
    <hyperlink ref="I2315" location="'28'!$P$29" display="$P$29 28" xr:uid="{AB45FB6B-B762-45D7-9FF4-1D78D12A3644}"/>
    <hyperlink ref="I2316" location="'28'!$P$50" display="$P$50 28" xr:uid="{2F5E78BF-E545-47FA-91A1-8964CCBDACFC}"/>
    <hyperlink ref="I2317" location="'28'!$P$56" display="$P$56 28" xr:uid="{D9EC8F25-C3B5-49A5-8ACE-68766B1E484F}"/>
    <hyperlink ref="I2321" location="'28'!$R$50" display="$R$50 28" xr:uid="{3DCCFF69-7F94-4F84-BEBD-C71C571970CA}"/>
    <hyperlink ref="I2322" location="'28'!$J$64" display="$J$64 28" xr:uid="{152E7305-EB0B-480A-84B2-FDA9C85F30D4}"/>
    <hyperlink ref="I2323" location="'28'!$J$62" display="$J$62 28" xr:uid="{A4253BA3-7F17-4F94-AA9A-DDFA1733E1A9}"/>
    <hyperlink ref="I2324" location="'28'!$R$62" display="$R$62 28" xr:uid="{78195028-DC4C-4B84-BB5E-7020DC86EDC0}"/>
    <hyperlink ref="I2325" location="'28'!$R$63" display="$R$63 28" xr:uid="{933CD81A-E14D-4C2F-8995-F42154D9EDFA}"/>
    <hyperlink ref="I2327" location="'28'!$S$24" display="$S$24 28" xr:uid="{5FF32F68-C09F-40B2-BF07-FDA957435E59}"/>
    <hyperlink ref="I2328" location="'28'!$U$56" display="$U$56 28" xr:uid="{F1D3E556-6E7B-4904-B963-253F5F8C1481}"/>
    <hyperlink ref="I2329" location="'28'!$U$15" display="$U$15 28" xr:uid="{B5D26B9E-2BDB-4407-B0CC-D6B3DAEA0456}"/>
    <hyperlink ref="I2330" location="'28'!$U$51" display="$U$51 28" xr:uid="{DD2F8EF8-719E-45B8-980A-7449C4CB5D38}"/>
    <hyperlink ref="I2332" location="'28'!$U$47" display="$U$47 28" xr:uid="{548AADCC-AFE9-45AC-A935-71BF040DD75D}"/>
    <hyperlink ref="I2333" location="'28'!$U$29" display="$U$29 28" xr:uid="{6E503943-4EAB-4D96-9411-C12AC3FC9BAB}"/>
    <hyperlink ref="I2331" location="'28'!$U$54" display="$U$54 28" xr:uid="{C6711CDF-C56B-4129-A1D9-FB7F7B368D50}"/>
    <hyperlink ref="I2338" location="'28'!$Y$79" display="$Y$79 28" xr:uid="{4088F8AA-A2CC-4507-BB11-CFFC4934BBF6}"/>
    <hyperlink ref="I2339" location="'28'!$Y$78" display="$Y$78 28" xr:uid="{343E5598-E583-416E-8845-3F080B7FD515}"/>
    <hyperlink ref="I2340" location="'28'!$Y$63" display="$Y$63 28" xr:uid="{2C24C13B-5D6C-44CD-8D92-27B6B8252B1D}"/>
    <hyperlink ref="I2341" location="'28'!$Z$50" display="$Z$50 28" xr:uid="{C4692F77-5AE2-4C4D-BD03-14642A745A42}"/>
    <hyperlink ref="I2342" location="'28'!$Z$14" display="$Z$14 28" xr:uid="{4483BF95-F20D-4963-9B9F-F99E8A92E498}"/>
    <hyperlink ref="I2343" location="'28'!$Z$56" display="$Z$56 28" xr:uid="{4250278E-DE0E-4A70-B642-5053C762A9AC}"/>
    <hyperlink ref="I2344" location="'28'!$AA$50" display="$AA$50 28" xr:uid="{12241AC5-49F7-4D88-BA6F-442FC18ADAC1}"/>
    <hyperlink ref="I2345" location="'28'!$AA$56" display="$AA$56 28" xr:uid="{9EB14F97-F4D7-4A7A-A67D-49D3C9A95626}"/>
    <hyperlink ref="I2346" location="'28'!$AA$64" display="$AA$64 28" xr:uid="{2F11F1DF-7D39-4BE9-8E5C-E9278CD8608F}"/>
    <hyperlink ref="I2348" location="'28'!$AC$24" display="$AC$24 28" xr:uid="{0F355DF6-A1E3-4A89-800B-C44728BA9FA7}"/>
    <hyperlink ref="I2349" location="'28'!$AC$14" display="$AC$14 28" xr:uid="{1FB61443-98F7-473D-98EB-43A981C23626}"/>
    <hyperlink ref="I2350" location="'28'!$AC$13" display="$AC$13 28" xr:uid="{064FAE1E-73CA-4FF9-B987-B2A6AA5B2AEC}"/>
    <hyperlink ref="I2351" location="'28'!$AC$21" display="$AC$21 28" xr:uid="{77C29389-4704-492E-8DFB-2D37DCE6A095}"/>
    <hyperlink ref="I2352" location="'29'!$H$54" display="$H$54 29" xr:uid="{950BEA49-B474-4FD7-AC9B-397BAEB05549}"/>
    <hyperlink ref="I2353" location="'29'!$H$15" display="$H$15 29" xr:uid="{ABA71EC9-8821-44AB-A7FE-4E31A4A33BD8}"/>
    <hyperlink ref="I2354" location="'29'!$I$54" display="$I$54 29" xr:uid="{215AA30A-41CA-4509-AE4F-B2087BE8DF23}"/>
    <hyperlink ref="I2355" location="'29'!$L$51" display="$L$51 29" xr:uid="{26233B00-32F9-4933-BDE7-D69518C5CCB9}"/>
    <hyperlink ref="I2356" location="'29'!$K$64" display="$K$64 29" xr:uid="{E752E4FD-8AFD-4918-95A3-A3B08B310717}"/>
    <hyperlink ref="I2357" location="'29'!$K$62" display="$K$62 29" xr:uid="{CC447C13-2539-4CE8-BED6-CBE3AF53A37C}"/>
    <hyperlink ref="I2358" location="'29'!$L$47" display="$L$47 29" xr:uid="{514C357E-09F3-4949-B5EB-5BE05FCFD379}"/>
    <hyperlink ref="I2359" location="'29'!$L$50" display="$L$50 29" xr:uid="{B322D438-D9F6-4871-AB43-C65518EBF82D}"/>
    <hyperlink ref="I2360" location="'29'!$L$56" display="$L$56 29" xr:uid="{85DE851E-433C-4FC5-83C3-262077E82380}"/>
    <hyperlink ref="I2361" location="'29'!$M$50" display="$M$50 29" xr:uid="{5AA6987E-6F07-4059-ACA3-29089E8E6EAA}"/>
    <hyperlink ref="I2362" location="'29'!$M$19" display="$M$19 29" xr:uid="{37936A11-5F9A-4FF8-8E7D-4996FB0604CD}"/>
    <hyperlink ref="I2363" location="'29'!$M$51" display="$M$51 29" xr:uid="{BE54D474-C83C-4C8E-A199-3F302B1B814E}"/>
    <hyperlink ref="I2364" location="'29'!$M$47" display="$M$47 29" xr:uid="{D2782F25-59AE-46F5-8BD0-E7AD7451BF71}"/>
    <hyperlink ref="I2365" location="'29'!$M$56" display="$M$56 29" xr:uid="{DFDF7A6C-E2FA-4F9B-8B18-D32E68EDE836}"/>
    <hyperlink ref="I2366" location="'29'!$M$78" display="$M$78 29" xr:uid="{F1A7A8E1-B7A9-4E04-90ED-6FBC83712AE1}"/>
    <hyperlink ref="I2367" location="'29'!$M$79" display="$M$79 29" xr:uid="{DC80A9AA-4A59-4687-8330-9FFA1CCCA1B4}"/>
    <hyperlink ref="I2368" location="'29'!$N$13" display="$N$13 29" xr:uid="{38EBF675-8676-4A04-BFC3-D5B3A8EC2039}"/>
    <hyperlink ref="I2369" location="'29'!$N$54" display="$N$54 29" xr:uid="{42F83D84-91F0-4556-A5FB-84B2E59ACF6B}"/>
    <hyperlink ref="I2371" location="'29'!$O$51" display="$O$51 29" xr:uid="{BFAB55B1-D5F1-4D70-AF75-76AC5598098F}"/>
    <hyperlink ref="I2372" location="'29'!$O$21" display="$O$21 29" xr:uid="{DD1A6F0A-C1D7-4613-A8B4-5504BA892467}"/>
    <hyperlink ref="I2373" location="'29'!$O$47" display="$O$47 29" xr:uid="{7FF98353-727D-405E-AA82-0FFE3CF64FED}"/>
    <hyperlink ref="I2374" location="'29'!$O$50" display="$O$50 29" xr:uid="{5551081C-93D7-4DB4-A2F7-1934A275F635}"/>
    <hyperlink ref="I2375" location="'29'!$O$56" display="$O$56 29" xr:uid="{FA75197E-D6A3-4371-BB19-AB8B02B9977B}"/>
    <hyperlink ref="I2376" location="'29'!$O$54" display="$O$54 29" xr:uid="{3EE782DA-16AE-4BD5-9D94-8BC6F4B3456A}"/>
    <hyperlink ref="I2377" location="'29'!$O$24" display="$O$24 29" xr:uid="{FA83BCC9-D63B-4ED1-A3F2-31C46508D948}"/>
    <hyperlink ref="I2379" location="'29'!$P$54" display="$P$54 29" xr:uid="{A7817205-871E-4425-96B1-3A883D013230}"/>
    <hyperlink ref="I2380" location="'29'!$P$15" display="$P$15 29" xr:uid="{3144CC2E-6FC6-43C8-A94F-A63C84624DCF}"/>
    <hyperlink ref="I2381" location="'29'!$P$29" display="$P$29 29" xr:uid="{8A07A5BA-5011-4DAF-9C18-6B12537C8F6D}"/>
    <hyperlink ref="I2382" location="'29'!$P$51" display="$P$51 29" xr:uid="{C492297D-ECC3-4F14-969E-808423188A5D}"/>
    <hyperlink ref="I2383" location="'29'!$P$47" display="$P$47 29" xr:uid="{D96B2782-2333-4F95-A8F2-52F85826E8E7}"/>
    <hyperlink ref="I2385" location="'29'!$P$50" display="$P$50 29" xr:uid="{F59C7EE2-45FF-4BAD-9653-1C0B7F629480}"/>
    <hyperlink ref="I2386" location="'29'!$P$56" display="$P$56 29" xr:uid="{807312B8-699F-4359-B3F4-9E06096DAE45}"/>
    <hyperlink ref="I2387" location="'29'!$R$47" display="$R$47 29" xr:uid="{D3F785D6-631B-453C-9C65-653B7D4A0395}"/>
    <hyperlink ref="I2388" location="'29'!$R$51" display="$R$51 29" xr:uid="{54F9B688-0FA4-4855-B064-39CEF7CC6934}"/>
    <hyperlink ref="I2389" location="'29'!$R$54" display="$R$54 29" xr:uid="{2A05D567-C8A1-43EF-8E9C-E4E5B46CE19F}"/>
    <hyperlink ref="I2390" location="'29'!$R$29" display="$R$29 29" xr:uid="{88F12D82-1E8C-43C0-9AF8-70AE4676BBE6}"/>
    <hyperlink ref="I2393" location="'29'!$R$50" display="$R$50 29" xr:uid="{E0FF5C81-2E23-4E34-9486-AA1BD649FE96}"/>
    <hyperlink ref="I2394" location="'29'!$S$62" display="$S$62 29" xr:uid="{ABDD3E19-B199-40B0-8F9E-8AE7C7672F67}"/>
    <hyperlink ref="I2395" location="'29'!$S$63" display="$S$63 29" xr:uid="{4505E17D-F72F-4109-971A-5B2D208BD24B}"/>
    <hyperlink ref="I2396" location="'29'!$S$50" display="$S$50 29" xr:uid="{0B4B85FB-AFA0-4E76-BE1B-55A173B246FF}"/>
    <hyperlink ref="I2397" location="'29'!$S$47" display="$S$47 29" xr:uid="{1783DD33-AE8B-484F-B0A0-0C65E617FEAF}"/>
    <hyperlink ref="I2398" location="'29'!$U$54" display="$U$54 29" xr:uid="{99B79311-3223-4D8C-9D71-53D2FFE0B371}"/>
    <hyperlink ref="I2399" location="'29'!$U$56" display="$U$56 29" xr:uid="{3F1E3EE4-A182-471A-864D-02D6E057F1A8}"/>
    <hyperlink ref="I2400" location="'29'!$V$56" display="$V$56 29" xr:uid="{55D177F1-8A5D-4D4C-8412-48E3D77A384B}"/>
    <hyperlink ref="I2401" location="'29'!$V$54" display="$V$54 29" xr:uid="{9BF5EF51-D3F3-49A4-92EE-F089821E618A}"/>
    <hyperlink ref="I2402" location="'29'!$V$62" display="$V$62 29" xr:uid="{ED819250-04AF-4A8A-8098-E12C700FBA81}"/>
    <hyperlink ref="I2403" location="'29'!$V$64" display="$V$64 29" xr:uid="{16A05E7B-536B-4E1C-A621-0049F11070D5}"/>
    <hyperlink ref="I2404" location="'29'!$W$62" display="$W$62 29" xr:uid="{72F8F17B-B90C-4824-B08C-46D0E43522BA}"/>
    <hyperlink ref="I2405" location="'29'!$W$64" display="$W$64 29" xr:uid="{766F20D9-6BB1-4734-AF2F-7F4D51510E08}"/>
    <hyperlink ref="I2406" location="'29'!$X$19" display="$X$19 29" xr:uid="{B8DBC1E5-6F41-49E3-BC6C-D4FC33CD8C77}"/>
    <hyperlink ref="I2407" location="'29'!$Y$79" display="$Y$79 29" xr:uid="{2BDD8C1F-CEE9-4B56-BA42-DC105C1ACE5E}"/>
    <hyperlink ref="I2408" location="'29'!$Y$78" display="$Y$78 29" xr:uid="{16633CDE-30A3-4506-98A3-50D29F4EA908}"/>
    <hyperlink ref="I2409" location="'29'!$Y$63" display="$Y$63 29" xr:uid="{E99E19B6-AD5C-4A31-8222-3C3182073D83}"/>
    <hyperlink ref="I2410" location="'29'!$Y$51" display="$Y$51 29" xr:uid="{9D7CF20E-CFEF-4620-A1E2-43467DC9503E}"/>
    <hyperlink ref="I2411" location="'29'!$Y$47" display="$Y$47 29" xr:uid="{C98DF583-89BD-4E86-964B-F005DCE77CFB}"/>
    <hyperlink ref="I2412" location="'29'!$Z$51" display="$Z$51 29" xr:uid="{44434074-3B94-47A9-99B3-65CEE3991080}"/>
    <hyperlink ref="I2413" location="'29'!$Z$47" display="$Z$47 29" xr:uid="{4CFF8D7A-81B4-42C6-BCA5-2F9F39E9CFDD}"/>
    <hyperlink ref="I2414" location="'29'!$AB$64" display="$AB$64 29" xr:uid="{0496F62D-0AF0-4190-AEA6-D8AE571B371A}"/>
    <hyperlink ref="I2415" location="'29'!$AB$13" display="$AB$13 29" xr:uid="{26C13792-1ED7-40CF-9CC9-77D99B8D3205}"/>
    <hyperlink ref="I2416" location="'29'!$AC$24" display="$AC$24 29" xr:uid="{1295E699-35D7-4F19-9D7C-86E4DAB42E52}"/>
    <hyperlink ref="I2417" location="'30'!$G$21" display="$G$21 30" xr:uid="{AFCAE217-C6A9-42A0-B08E-C9FB73A0C826}"/>
    <hyperlink ref="I2418" location="'30'!$H$16" display="$H$16 30" xr:uid="{9101CEA2-E0E3-4A3B-B438-687B31D3096C}"/>
    <hyperlink ref="I2419" location="'30'!$K$64" display="$K$64 30" xr:uid="{CDD6D32A-5852-437D-8E10-D0BD3A14E912}"/>
    <hyperlink ref="I2420" location="'30'!$K$63" display="$K$63 30" xr:uid="{7C9A1CBF-7AB3-498D-B881-E47DDBEB50C2}"/>
    <hyperlink ref="I2421" location="'30'!$L$56" display="$L$56 30" xr:uid="{71D47DCC-53EB-4EC7-BE75-1EA3A69CB66D}"/>
    <hyperlink ref="I2422" location="'30'!$L$50" display="$L$50 30" xr:uid="{0374404E-7EB3-4F6E-85E7-F36E882E319F}"/>
    <hyperlink ref="I2423" location="'30'!$M$50" display="$M$50 30" xr:uid="{795B23AF-0649-4346-86C9-E9587D9EF2A4}"/>
    <hyperlink ref="I2424" location="'30'!$M$78" display="$M$78 30" xr:uid="{8DCBDA34-A607-4717-95CF-C7FC78358E7B}"/>
    <hyperlink ref="I2425" location="'30'!$M$79" display="$M$79 30" xr:uid="{0B74B6F1-9C52-44F9-A8F2-5769BFC7E49E}"/>
    <hyperlink ref="I2426" location="'30'!$M$56" display="$M$56 30" xr:uid="{558F3FF3-AAB5-47A7-BDCB-04B748E02B9D}"/>
    <hyperlink ref="I2427" location="'30'!$M$19" display="$M$19 30" xr:uid="{07573D5A-9180-4CC6-99F4-1946A661C5FE}"/>
    <hyperlink ref="I2428" location="'30'!$N$54" display="$N$54 30" xr:uid="{4C9DAC8E-3DF2-4C54-9B8C-0F69D9D367AC}"/>
    <hyperlink ref="I2429" location="'30'!$N$51" display="$N$51 30" xr:uid="{3E82F143-49D8-4C97-8001-EB0321E48402}"/>
    <hyperlink ref="I2430" location="'30'!$N$50" display="$N$50 30" xr:uid="{7E83D1F0-0EA0-4CD0-ADF9-CE04557F6D4B}"/>
    <hyperlink ref="I2431" location="'30'!$N$56" display="$N$56 30" xr:uid="{4A8D7BE2-AF25-4F4E-9F7C-5C8DEF51A65F}"/>
    <hyperlink ref="I2433" location="'30'!$N$13" display="$N$13 30" xr:uid="{E15DFFAC-7348-4C00-A8D6-47CA26FD2E5B}"/>
    <hyperlink ref="I2434" location="'30'!$O$51" display="$O$51 30" xr:uid="{CD8C2A36-0AF8-444F-8F8C-1EF444E08F09}"/>
    <hyperlink ref="I2435" location="'30'!$O$47" display="$O$47 30" xr:uid="{40570D82-1592-4958-AB5E-B61D079F4534}"/>
    <hyperlink ref="I2436" location="'30'!$O$50" display="$O$50 30" xr:uid="{B247D1B2-6D4F-43F7-8629-95F79B499051}"/>
    <hyperlink ref="I2437" location="'30'!$O$21" display="$O$21 30" xr:uid="{38CB7C9B-7BDC-437E-9046-B6998CA2B818}"/>
    <hyperlink ref="I2438" location="'30'!$O$16" display="$O$16 30" xr:uid="{1D7C0E42-C8FB-4B3D-AC3D-8F1C04F18FAB}"/>
    <hyperlink ref="I2439" r:id="rId123" location="'30'!$O$50" xr:uid="{F4D9BB10-F1D2-4973-89DD-3E89B87824DD}"/>
    <hyperlink ref="I2440" location="'30'!$O$24" display="$O$24 30" xr:uid="{494A80E3-2340-4E6D-8717-AFABEC47BFC4}"/>
    <hyperlink ref="I2441" location="'30'!$O$56" display="$O$56 30" xr:uid="{5357BA19-F316-475E-BDBD-4CD1DC26E99E}"/>
    <hyperlink ref="I2442" location="'30'!$O$62" display="$O$62 30" xr:uid="{81B512DA-A84C-4E97-BBF1-0BF628CEFEE0}"/>
    <hyperlink ref="I2443" location="'30'!$O$64" display="$O$64 30" xr:uid="{36ECE7C7-D936-4FA7-ADEF-AC7FE041DBB5}"/>
    <hyperlink ref="I2444" location="'30'!$P$16" display="$P$16 30" xr:uid="{D2C16AEC-A755-4903-942F-30567D75AF9D}"/>
    <hyperlink ref="I2445" location="'30'!$P$54" display="$P$54 30" xr:uid="{565648A5-F142-400B-B2E8-9EF5B09DC991}"/>
    <hyperlink ref="I2446" location="'30'!$P$51" display="$P$51 30" xr:uid="{87327987-3DDA-40AF-82DF-CF43F75C3B62}"/>
    <hyperlink ref="I2447" location="'30'!$P$56" display="$P$56 30" xr:uid="{EE137E87-7CFF-4294-BCD9-3E6B298680E3}"/>
    <hyperlink ref="I2448" r:id="rId124" location="'30'!$P$16" xr:uid="{5AB8AC90-CF2D-46B1-84EB-E740C43C403C}"/>
    <hyperlink ref="I2449" location="'30'!$Q$47" display="$Q$47 30" xr:uid="{BDE6D696-4574-4AC2-B6C7-B2296265B577}"/>
    <hyperlink ref="I2450" location="'30'!$Q$50" display="$Q$50 30" xr:uid="{E3A5558F-45BA-4B52-BA4D-FB22ACE8CB49}"/>
    <hyperlink ref="I2451" location="'30'!$Q$56" display="$Q$56 30" xr:uid="{6A59C6A3-B085-4FE3-B8E0-1AB91214D498}"/>
    <hyperlink ref="I2452" location="'30'!$Q$54" display="$Q$54 30" xr:uid="{DA203831-EDDA-42E8-91F8-A06F0839EFDE}"/>
    <hyperlink ref="I2453" location="'30'!$Q$51" display="$Q$51 30" xr:uid="{07A54DB2-D6C8-47EE-AB33-FFBD7D0F82D3}"/>
    <hyperlink ref="I2454" location="'30'!$Q$62" display="$Q$62 30" xr:uid="{ECEA4226-3DCF-4AEB-BDB6-501C3F141706}"/>
    <hyperlink ref="I2455" location="'30'!$Q$64" display="$Q$64 30" xr:uid="{7E98F50B-9930-4240-B349-C55796F1BA0B}"/>
    <hyperlink ref="I2456" location="'30'!$R$47" display="$R$47 30" xr:uid="{090D81A8-C2BD-47CC-8C48-46672BBE6FF4}"/>
    <hyperlink ref="I2458" location="'30'!$R$50" display="$R$50 30" xr:uid="{3E8447CD-4DF2-473C-8AAB-F01BF8AF557A}"/>
    <hyperlink ref="I2459" location="'30'!$R$63" display="$R$63 30" xr:uid="{894FC555-4071-4886-9D63-F78B535E8BB5}"/>
    <hyperlink ref="I2460" location="'30'!$S$50" display="$S$50 30" xr:uid="{574FB052-E41C-49A2-9B3A-E261AFD9FD51}"/>
    <hyperlink ref="I2461" location="'30'!$Q$30" display="$Q$30 30" xr:uid="{27FA2FC4-6D86-44AB-98BB-959E784294BC}"/>
    <hyperlink ref="I2463" location="'30'!$R$30" display="$R$30 30" xr:uid="{E4361B16-8A6A-4DA7-9502-2914D7642E00}"/>
    <hyperlink ref="I2464" location="'30'!$S$30" display="$S$30 30" xr:uid="{480B1DD3-8AED-43C7-A56C-9E00B5AF1020}"/>
    <hyperlink ref="I2465" location="'30'!$S$56" display="$S$56 30" xr:uid="{2C00ADD8-FD69-4843-87E8-37FE5F305781}"/>
    <hyperlink ref="I2466" location="'30'!$T$54" display="$T$54 30" xr:uid="{36E31BC1-0061-42CE-85EB-C19E2554AEB0}"/>
    <hyperlink ref="I2467" location="'30'!$T$51" display="$T$51 30" xr:uid="{EA6BD78D-665F-46FE-92ED-BBCAFD37DC95}"/>
    <hyperlink ref="I2468" location="'30'!$T$47" display="$T$47 30" xr:uid="{92CD4B20-B4EB-4631-A527-C4327892B01F}"/>
    <hyperlink ref="I2469" location="'30'!$T$50" display="$T$50 30" xr:uid="{F92D9050-AB2B-420B-93B7-0AEFDD92EF4E}"/>
    <hyperlink ref="I2470" location="'30'!$T$29" display="$T$29 30" xr:uid="{E0CD7011-1A97-4E8E-BC16-7F5E6AAFA6FD}"/>
    <hyperlink ref="I2471" location="'30'!$T$56" display="$T$56 30" xr:uid="{D175EB56-60D2-4FEA-BF2F-61E51105A79C}"/>
    <hyperlink ref="I2476" location="'30'!$U$29" display="$U$29 30" xr:uid="{85331C6E-4522-48AD-A987-56CA82E0B4BE}"/>
    <hyperlink ref="I2477" location="'30'!$U$30" display="$U$30 30" xr:uid="{DE276D35-36AD-48D0-A06C-A1A89C84EBB1}"/>
    <hyperlink ref="I2478" location="'30'!$X$29" display="$X$29 30" xr:uid="{849E42D9-CBC3-4D9C-91E6-0BF8A9AD7A0A}"/>
    <hyperlink ref="I2479" location="'30'!$Y$30" display="$Y$30 30" xr:uid="{B22799BA-612E-4420-80E3-1066863D9190}"/>
    <hyperlink ref="I2480" r:id="rId125" location="'30'!$Y$30" xr:uid="{4DF1904D-C8D1-4A2F-BC8C-42A02BC3D191}"/>
    <hyperlink ref="I2482" location="'30'!$Y$29" display="$Y$29 30" xr:uid="{263CE4BE-9427-4F29-9D30-B2190074B06E}"/>
    <hyperlink ref="I2483" location="'30'!$Y$79" display="$Y$79 30" xr:uid="{5C349EA0-CC68-4673-A955-F64EB15A3A8E}"/>
    <hyperlink ref="I2484" location="'30'!$Y$78" display="$Y$78 30" xr:uid="{2F529663-0762-4D17-9878-4F1B241AFF24}"/>
    <hyperlink ref="I2485" location="'30'!$Y$19" display="$Y$19 30" xr:uid="{58A39A89-F73D-486E-95A8-A31CCCE82D71}"/>
    <hyperlink ref="I2486" location="'30'!$Z$14" display="$Z$14 30" xr:uid="{FBD0913B-704D-4A83-8614-1E069F492AED}"/>
    <hyperlink ref="I2487" location="'30'!$Z$51" display="$Z$51 30" xr:uid="{64249544-1AE5-415D-91A6-97BC7443F8B7}"/>
    <hyperlink ref="I2488" location="'30'!$Z$54" display="$Z$54 30" xr:uid="{675464C5-BC2D-441D-B19B-F3D2ACFDCC28}"/>
    <hyperlink ref="I2489" location="'30'!$AA$51" display="$AA$51 30" xr:uid="{DABB9925-9192-4188-9E3A-DFDE14DFE96A}"/>
    <hyperlink ref="I2490" location="'30'!$AA$54" display="$AA$54 30" xr:uid="{FAEE69D0-5EB7-49F3-A56E-09DF48F30616}"/>
    <hyperlink ref="I2491" location="'30'!$AC$24" display="$AC$24 30" xr:uid="{B7DD30BE-ABF9-44A5-BBB6-453CEDD88001}"/>
    <hyperlink ref="I2492" location="'30'!$AC$21" display="$AC$21 30" xr:uid="{1C9E9906-1745-438A-820C-A39FF6A92DFD}"/>
    <hyperlink ref="I2493" location="'30'!$T$62" display="$T$62 30" xr:uid="{D8321BD5-E3F0-4F2F-AEA1-F245D3238313}"/>
    <hyperlink ref="I2494" location="'30'!$Y$62" display="$Y$62 30" xr:uid="{DA8CD1AD-C8AF-4A1D-9A58-35FDFB24F35E}"/>
    <hyperlink ref="I2495" location="'30'!$AA$63" display="$AA$63 30" xr:uid="{149B4603-F07F-4058-888E-D1D1B808ADD4}"/>
  </hyperlink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32B11-F893-4171-93B4-35F0C7F67D24}">
  <sheetPr codeName="Sheet1"/>
  <dimension ref="A1:AG641"/>
  <sheetViews>
    <sheetView zoomScale="90" zoomScaleNormal="90" workbookViewId="0">
      <pane xSplit="3" ySplit="15" topLeftCell="Y642" activePane="bottomRight" state="frozen"/>
      <selection pane="bottomRight" activeCell="Y642" sqref="Y642"/>
      <selection pane="bottomLeft" activeCell="A16" sqref="A16"/>
      <selection pane="topRight" activeCell="D1" sqref="D1"/>
    </sheetView>
  </sheetViews>
  <sheetFormatPr defaultColWidth="8.85546875" defaultRowHeight="13.9"/>
  <cols>
    <col min="1" max="1" width="12" style="23" bestFit="1" customWidth="1"/>
    <col min="2" max="2" width="9.28515625" style="23" customWidth="1"/>
    <col min="3" max="3" width="13.5703125" style="23" hidden="1" customWidth="1"/>
    <col min="4" max="4" width="12.7109375" style="113" bestFit="1" customWidth="1"/>
    <col min="5" max="5" width="10.42578125" style="117" bestFit="1" customWidth="1"/>
    <col min="6" max="6" width="11" style="113" bestFit="1" customWidth="1"/>
    <col min="7" max="7" width="9" style="117" customWidth="1"/>
    <col min="8" max="8" width="15.7109375" style="113" bestFit="1" customWidth="1"/>
    <col min="9" max="9" width="11.5703125" style="117" bestFit="1" customWidth="1"/>
    <col min="10" max="10" width="12.7109375" style="117" bestFit="1" customWidth="1"/>
    <col min="11" max="11" width="9" style="117" bestFit="1" customWidth="1"/>
    <col min="12" max="12" width="10.42578125" style="113" customWidth="1"/>
    <col min="13" max="13" width="9" style="117" customWidth="1"/>
    <col min="14" max="14" width="11.85546875" style="117" customWidth="1"/>
    <col min="15" max="15" width="9" style="117" customWidth="1"/>
    <col min="16" max="16" width="10.42578125" style="117" bestFit="1" customWidth="1"/>
    <col min="17" max="18" width="11.5703125" style="117" bestFit="1" customWidth="1"/>
    <col min="19" max="19" width="9" style="117" bestFit="1" customWidth="1"/>
    <col min="20" max="20" width="12.85546875" style="117" bestFit="1" customWidth="1"/>
    <col min="21" max="21" width="9" style="117" bestFit="1" customWidth="1"/>
    <col min="22" max="22" width="11.5703125" style="117" hidden="1" customWidth="1"/>
    <col min="23" max="23" width="8.85546875" style="117" hidden="1" customWidth="1"/>
    <col min="24" max="24" width="12.7109375" style="117" bestFit="1" customWidth="1"/>
    <col min="25" max="25" width="9" style="117" bestFit="1" customWidth="1"/>
    <col min="26" max="26" width="11.7109375" style="117" hidden="1" customWidth="1"/>
    <col min="27" max="27" width="12.28515625" style="117" hidden="1" customWidth="1"/>
    <col min="28" max="28" width="11.7109375" style="354" bestFit="1" customWidth="1"/>
    <col min="29" max="29" width="8.85546875" style="114"/>
    <col min="30" max="30" width="11.7109375" style="354" hidden="1" customWidth="1"/>
    <col min="31" max="31" width="0" style="117" hidden="1" customWidth="1"/>
    <col min="32" max="32" width="8.7109375" style="327" bestFit="1" customWidth="1"/>
    <col min="33" max="33" width="8.85546875" style="328"/>
    <col min="34" max="38" width="8.85546875" style="23"/>
    <col min="39" max="39" width="13" style="23" customWidth="1"/>
    <col min="40" max="43" width="8.85546875" style="23"/>
    <col min="44" max="44" width="9.85546875" style="23" bestFit="1" customWidth="1"/>
    <col min="45" max="16384" width="8.85546875" style="23"/>
  </cols>
  <sheetData>
    <row r="1" spans="1:33" ht="16.149999999999999" thickBot="1">
      <c r="A1" s="533" t="s">
        <v>105</v>
      </c>
      <c r="B1" s="533" t="s">
        <v>76</v>
      </c>
      <c r="C1" s="108"/>
      <c r="D1" s="566" t="s">
        <v>3488</v>
      </c>
      <c r="E1" s="568"/>
      <c r="F1" s="566" t="s">
        <v>3489</v>
      </c>
      <c r="G1" s="568"/>
      <c r="H1" s="566" t="s">
        <v>27</v>
      </c>
      <c r="I1" s="566"/>
      <c r="J1" s="566"/>
      <c r="K1" s="567"/>
      <c r="L1" s="564" t="s">
        <v>3490</v>
      </c>
      <c r="M1" s="570"/>
      <c r="N1" s="570"/>
      <c r="O1" s="570"/>
      <c r="P1" s="570"/>
      <c r="Q1" s="570"/>
      <c r="R1" s="570"/>
      <c r="S1" s="570"/>
      <c r="T1" s="570"/>
      <c r="U1" s="570"/>
      <c r="V1" s="570"/>
      <c r="W1" s="570"/>
      <c r="X1" s="570"/>
      <c r="Y1" s="570"/>
      <c r="Z1" s="570"/>
      <c r="AA1" s="570"/>
      <c r="AB1" s="570"/>
      <c r="AC1" s="570"/>
      <c r="AD1" s="570"/>
      <c r="AE1" s="570"/>
      <c r="AF1" s="570"/>
      <c r="AG1" s="569"/>
    </row>
    <row r="2" spans="1:33" ht="14.65" customHeight="1" thickBot="1">
      <c r="A2" s="533"/>
      <c r="B2" s="533"/>
      <c r="C2" s="109" t="s">
        <v>3491</v>
      </c>
      <c r="D2" s="564"/>
      <c r="E2" s="569"/>
      <c r="F2" s="564"/>
      <c r="G2" s="569"/>
      <c r="H2" s="564" t="s">
        <v>3492</v>
      </c>
      <c r="I2" s="564"/>
      <c r="J2" s="564" t="s">
        <v>28</v>
      </c>
      <c r="K2" s="565"/>
      <c r="L2" s="564" t="s">
        <v>3493</v>
      </c>
      <c r="M2" s="564"/>
      <c r="N2" s="564" t="s">
        <v>108</v>
      </c>
      <c r="O2" s="564"/>
      <c r="P2" s="564" t="s">
        <v>3494</v>
      </c>
      <c r="Q2" s="564"/>
      <c r="R2" s="564" t="s">
        <v>3495</v>
      </c>
      <c r="S2" s="564"/>
      <c r="T2" s="564" t="s">
        <v>111</v>
      </c>
      <c r="U2" s="564"/>
      <c r="V2" s="564" t="s">
        <v>3496</v>
      </c>
      <c r="W2" s="564"/>
      <c r="X2" s="564" t="s">
        <v>112</v>
      </c>
      <c r="Y2" s="564"/>
      <c r="Z2" s="564" t="s">
        <v>3497</v>
      </c>
      <c r="AA2" s="565"/>
      <c r="AB2" s="564" t="s">
        <v>35</v>
      </c>
      <c r="AC2" s="564"/>
      <c r="AD2" s="564" t="s">
        <v>3498</v>
      </c>
      <c r="AE2" s="565"/>
      <c r="AF2" s="564" t="s">
        <v>3499</v>
      </c>
      <c r="AG2" s="569"/>
    </row>
    <row r="3" spans="1:33" ht="15" customHeight="1" thickBot="1">
      <c r="A3" s="533"/>
      <c r="B3" s="533"/>
      <c r="C3" s="109" t="s">
        <v>3500</v>
      </c>
      <c r="D3" s="98" t="s">
        <v>3501</v>
      </c>
      <c r="E3" s="115" t="s">
        <v>3502</v>
      </c>
      <c r="F3" s="98" t="s">
        <v>3501</v>
      </c>
      <c r="G3" s="115" t="s">
        <v>3502</v>
      </c>
      <c r="H3" s="98" t="s">
        <v>3501</v>
      </c>
      <c r="I3" s="98" t="s">
        <v>3502</v>
      </c>
      <c r="J3" s="98" t="s">
        <v>3501</v>
      </c>
      <c r="K3" s="115" t="s">
        <v>3502</v>
      </c>
      <c r="L3" s="98" t="s">
        <v>3501</v>
      </c>
      <c r="M3" s="98" t="s">
        <v>3502</v>
      </c>
      <c r="N3" s="98" t="s">
        <v>3501</v>
      </c>
      <c r="O3" s="98" t="s">
        <v>3502</v>
      </c>
      <c r="P3" s="98" t="s">
        <v>3501</v>
      </c>
      <c r="Q3" s="98" t="s">
        <v>3502</v>
      </c>
      <c r="R3" s="98" t="s">
        <v>3501</v>
      </c>
      <c r="S3" s="98" t="s">
        <v>3502</v>
      </c>
      <c r="T3" s="98" t="s">
        <v>3501</v>
      </c>
      <c r="U3" s="98" t="s">
        <v>3502</v>
      </c>
      <c r="V3" s="98" t="s">
        <v>3501</v>
      </c>
      <c r="W3" s="98" t="s">
        <v>3502</v>
      </c>
      <c r="X3" s="98" t="s">
        <v>3501</v>
      </c>
      <c r="Y3" s="98" t="s">
        <v>3502</v>
      </c>
      <c r="Z3" s="98" t="s">
        <v>3501</v>
      </c>
      <c r="AA3" s="115" t="s">
        <v>3502</v>
      </c>
      <c r="AB3" s="353" t="s">
        <v>3501</v>
      </c>
      <c r="AC3" s="115" t="s">
        <v>3502</v>
      </c>
      <c r="AD3" s="98" t="s">
        <v>3501</v>
      </c>
      <c r="AE3" s="115" t="s">
        <v>3502</v>
      </c>
      <c r="AF3" s="430" t="s">
        <v>3501</v>
      </c>
      <c r="AG3" s="429" t="s">
        <v>3502</v>
      </c>
    </row>
    <row r="4" spans="1:33" ht="15" hidden="1" customHeight="1">
      <c r="A4" s="102">
        <v>45566</v>
      </c>
      <c r="B4" s="102" t="s">
        <v>3503</v>
      </c>
      <c r="C4" s="110"/>
      <c r="D4" s="111"/>
      <c r="E4" s="116"/>
      <c r="F4" s="111"/>
      <c r="G4" s="116"/>
      <c r="H4" s="111"/>
      <c r="I4" s="103"/>
      <c r="J4" s="103"/>
      <c r="K4" s="116"/>
      <c r="L4" s="111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16"/>
      <c r="AB4" s="103"/>
      <c r="AC4" s="112"/>
      <c r="AD4" s="103"/>
      <c r="AE4" s="116"/>
    </row>
    <row r="5" spans="1:33" ht="15" hidden="1" customHeight="1">
      <c r="A5" s="102">
        <v>45566</v>
      </c>
      <c r="B5" s="102" t="s">
        <v>3504</v>
      </c>
      <c r="C5" s="110"/>
      <c r="D5" s="111"/>
      <c r="E5" s="116"/>
      <c r="F5" s="111"/>
      <c r="G5" s="116"/>
      <c r="H5" s="111"/>
      <c r="I5" s="103"/>
      <c r="J5" s="103"/>
      <c r="K5" s="116"/>
      <c r="L5" s="111"/>
      <c r="M5" s="103"/>
      <c r="N5" s="103"/>
      <c r="O5" s="103"/>
      <c r="P5" s="103"/>
      <c r="Q5" s="103"/>
      <c r="R5" s="103"/>
      <c r="S5" s="103"/>
      <c r="T5" s="103"/>
      <c r="U5" s="103"/>
      <c r="V5" s="103"/>
      <c r="W5" s="103"/>
      <c r="X5" s="103"/>
      <c r="Y5" s="103"/>
      <c r="Z5" s="103"/>
      <c r="AA5" s="116"/>
      <c r="AB5" s="103"/>
      <c r="AC5" s="112"/>
      <c r="AD5" s="103"/>
      <c r="AE5" s="116"/>
    </row>
    <row r="6" spans="1:33" ht="14.25" hidden="1" customHeight="1">
      <c r="A6" s="104"/>
      <c r="G6" s="104"/>
    </row>
    <row r="7" spans="1:33" ht="15" hidden="1" customHeight="1">
      <c r="A7" s="102">
        <f>A4+1</f>
        <v>45567</v>
      </c>
      <c r="B7" s="102" t="s">
        <v>3503</v>
      </c>
      <c r="C7" s="110"/>
      <c r="D7" s="111"/>
      <c r="E7" s="116"/>
      <c r="F7" s="111"/>
      <c r="G7" s="116"/>
      <c r="H7" s="111"/>
      <c r="I7" s="103"/>
      <c r="J7" s="103"/>
      <c r="K7" s="116"/>
      <c r="L7" s="111"/>
      <c r="M7" s="103"/>
      <c r="N7" s="103"/>
      <c r="O7" s="103"/>
      <c r="P7" s="103"/>
      <c r="Q7" s="103"/>
      <c r="R7" s="103"/>
      <c r="S7" s="103"/>
      <c r="T7" s="103"/>
      <c r="U7" s="103"/>
      <c r="V7" s="103"/>
      <c r="W7" s="103"/>
      <c r="X7" s="103"/>
      <c r="Y7" s="103"/>
      <c r="Z7" s="103"/>
      <c r="AA7" s="116"/>
      <c r="AB7" s="103"/>
      <c r="AC7" s="112"/>
      <c r="AD7" s="103"/>
      <c r="AE7" s="116"/>
    </row>
    <row r="8" spans="1:33" ht="15" hidden="1" customHeight="1">
      <c r="A8" s="102">
        <f>A5+1</f>
        <v>45567</v>
      </c>
      <c r="B8" s="102" t="s">
        <v>3504</v>
      </c>
      <c r="C8" s="110"/>
      <c r="D8" s="111"/>
      <c r="E8" s="116"/>
      <c r="F8" s="111"/>
      <c r="G8" s="116"/>
      <c r="H8" s="111"/>
      <c r="I8" s="103"/>
      <c r="J8" s="103"/>
      <c r="K8" s="116"/>
      <c r="L8" s="111"/>
      <c r="M8" s="103"/>
      <c r="N8" s="103"/>
      <c r="O8" s="103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16"/>
      <c r="AB8" s="103"/>
      <c r="AC8" s="112"/>
      <c r="AD8" s="103"/>
      <c r="AE8" s="116"/>
    </row>
    <row r="9" spans="1:33" ht="14.25" hidden="1" customHeight="1">
      <c r="G9" s="104"/>
    </row>
    <row r="10" spans="1:33" ht="15" hidden="1" customHeight="1">
      <c r="A10" s="102">
        <f>A7+1</f>
        <v>45568</v>
      </c>
      <c r="B10" s="102" t="s">
        <v>3503</v>
      </c>
      <c r="C10" s="110"/>
      <c r="D10" s="111"/>
      <c r="E10" s="116"/>
      <c r="F10" s="111"/>
      <c r="G10" s="116"/>
      <c r="H10" s="111"/>
      <c r="I10" s="103"/>
      <c r="J10" s="103"/>
      <c r="K10" s="116"/>
      <c r="L10" s="111"/>
      <c r="M10" s="103"/>
      <c r="N10" s="103"/>
      <c r="O10" s="103"/>
      <c r="P10" s="103"/>
      <c r="Q10" s="103"/>
      <c r="R10" s="103"/>
      <c r="S10" s="103"/>
      <c r="T10" s="103"/>
      <c r="U10" s="103"/>
      <c r="V10" s="103"/>
      <c r="W10" s="103"/>
      <c r="X10" s="103"/>
      <c r="Y10" s="103"/>
      <c r="Z10" s="103"/>
      <c r="AA10" s="116"/>
      <c r="AB10" s="103"/>
      <c r="AC10" s="112"/>
      <c r="AD10" s="103"/>
      <c r="AE10" s="116"/>
    </row>
    <row r="11" spans="1:33" ht="15" hidden="1" customHeight="1">
      <c r="A11" s="102">
        <f>A8+1</f>
        <v>45568</v>
      </c>
      <c r="B11" s="102" t="s">
        <v>3504</v>
      </c>
      <c r="C11" s="110"/>
      <c r="D11" s="111"/>
      <c r="E11" s="116"/>
      <c r="F11" s="111"/>
      <c r="G11" s="116"/>
      <c r="H11" s="111"/>
      <c r="I11" s="103"/>
      <c r="J11" s="103"/>
      <c r="K11" s="116"/>
      <c r="L11" s="111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16"/>
      <c r="AB11" s="103"/>
      <c r="AC11" s="112"/>
      <c r="AD11" s="103"/>
      <c r="AE11" s="116"/>
    </row>
    <row r="12" spans="1:33" ht="14.25" hidden="1" customHeight="1">
      <c r="G12" s="104"/>
    </row>
    <row r="13" spans="1:33" ht="15" hidden="1" customHeight="1">
      <c r="A13" s="102">
        <f>A10+1</f>
        <v>45569</v>
      </c>
      <c r="B13" s="102" t="s">
        <v>3503</v>
      </c>
      <c r="C13" s="110"/>
      <c r="D13" s="111"/>
      <c r="E13" s="116"/>
      <c r="F13" s="111"/>
      <c r="G13" s="116"/>
      <c r="H13" s="111"/>
      <c r="I13" s="103"/>
      <c r="J13" s="103"/>
      <c r="K13" s="116"/>
      <c r="L13" s="111"/>
      <c r="M13" s="103"/>
      <c r="N13" s="103"/>
      <c r="O13" s="103"/>
      <c r="P13" s="103"/>
      <c r="Q13" s="103"/>
      <c r="R13" s="103"/>
      <c r="S13" s="103"/>
      <c r="T13" s="103"/>
      <c r="U13" s="103"/>
      <c r="V13" s="103"/>
      <c r="W13" s="103"/>
      <c r="X13" s="103"/>
      <c r="Y13" s="103"/>
      <c r="Z13" s="103"/>
      <c r="AA13" s="116"/>
      <c r="AB13" s="103"/>
      <c r="AC13" s="112"/>
      <c r="AD13" s="103"/>
      <c r="AE13" s="116"/>
    </row>
    <row r="14" spans="1:33" ht="15" hidden="1" customHeight="1">
      <c r="A14" s="102">
        <f>A11+1</f>
        <v>45569</v>
      </c>
      <c r="B14" s="102" t="s">
        <v>3504</v>
      </c>
      <c r="C14" s="110"/>
      <c r="D14" s="111"/>
      <c r="E14" s="116"/>
      <c r="F14" s="111"/>
      <c r="G14" s="116"/>
      <c r="H14" s="111"/>
      <c r="I14" s="103"/>
      <c r="J14" s="103"/>
      <c r="K14" s="116"/>
      <c r="L14" s="111"/>
      <c r="M14" s="103"/>
      <c r="N14" s="103"/>
      <c r="O14" s="103"/>
      <c r="P14" s="103"/>
      <c r="Q14" s="103"/>
      <c r="R14" s="103"/>
      <c r="S14" s="103"/>
      <c r="T14" s="103"/>
      <c r="U14" s="103"/>
      <c r="V14" s="103"/>
      <c r="W14" s="103"/>
      <c r="X14" s="103"/>
      <c r="Y14" s="103"/>
      <c r="Z14" s="103"/>
      <c r="AA14" s="116"/>
      <c r="AB14" s="103"/>
      <c r="AC14" s="112"/>
      <c r="AD14" s="103"/>
      <c r="AE14" s="116"/>
    </row>
    <row r="15" spans="1:33" ht="14.25" hidden="1" customHeight="1">
      <c r="G15" s="104"/>
    </row>
    <row r="16" spans="1:33">
      <c r="A16" s="173">
        <v>45292</v>
      </c>
      <c r="B16" s="173" t="s">
        <v>3503</v>
      </c>
      <c r="C16" s="175"/>
      <c r="D16" s="176">
        <v>7860.89</v>
      </c>
      <c r="E16" s="177">
        <v>49.65</v>
      </c>
      <c r="F16" s="176">
        <v>1087.69</v>
      </c>
      <c r="G16" s="178">
        <v>6.18</v>
      </c>
      <c r="H16" s="176">
        <v>68569.179999999993</v>
      </c>
      <c r="I16" s="177">
        <v>849.34</v>
      </c>
      <c r="J16" s="177">
        <v>31088.45</v>
      </c>
      <c r="K16" s="177">
        <v>90.39</v>
      </c>
      <c r="L16" s="201">
        <v>1672.56</v>
      </c>
      <c r="M16" s="179">
        <v>14.34</v>
      </c>
      <c r="N16" s="179">
        <v>29046.5</v>
      </c>
      <c r="O16" s="179">
        <v>25.1</v>
      </c>
      <c r="P16" s="179">
        <v>30.31</v>
      </c>
      <c r="Q16" s="179">
        <v>87.38</v>
      </c>
      <c r="R16" s="179">
        <v>6873.69</v>
      </c>
      <c r="S16" s="179">
        <v>9.0399999999999991</v>
      </c>
      <c r="T16" s="179">
        <v>30968</v>
      </c>
      <c r="U16" s="179">
        <v>69</v>
      </c>
      <c r="V16" s="179">
        <v>21778</v>
      </c>
      <c r="W16" s="179">
        <v>38.700000000000003</v>
      </c>
      <c r="X16" s="179">
        <v>2260.46</v>
      </c>
      <c r="Y16" s="179">
        <v>0</v>
      </c>
      <c r="Z16" s="179"/>
      <c r="AA16" s="352"/>
      <c r="AB16" s="179"/>
      <c r="AC16" s="202"/>
      <c r="AD16" s="179"/>
      <c r="AE16" s="352"/>
    </row>
    <row r="17" spans="1:32">
      <c r="A17" s="173" t="s">
        <v>3505</v>
      </c>
      <c r="B17" s="173" t="s">
        <v>3503</v>
      </c>
      <c r="C17" s="175"/>
      <c r="D17" s="176"/>
      <c r="E17" s="177"/>
      <c r="F17" s="176"/>
      <c r="G17" s="178"/>
      <c r="H17" s="176"/>
      <c r="I17" s="177"/>
      <c r="J17" s="177"/>
      <c r="K17" s="177"/>
      <c r="L17" s="201">
        <v>1943.35</v>
      </c>
      <c r="M17" s="179">
        <v>14.34</v>
      </c>
      <c r="N17" s="179">
        <v>29305.9</v>
      </c>
      <c r="O17" s="179">
        <v>25.5</v>
      </c>
      <c r="P17" s="179">
        <v>36.200000000000003</v>
      </c>
      <c r="Q17" s="179">
        <v>160.47999999999999</v>
      </c>
      <c r="R17" s="179">
        <v>7071.19</v>
      </c>
      <c r="S17" s="179">
        <v>9.0399999999999991</v>
      </c>
      <c r="T17" s="179">
        <v>31295</v>
      </c>
      <c r="U17" s="179">
        <v>69</v>
      </c>
      <c r="V17" s="179">
        <v>21778</v>
      </c>
      <c r="W17" s="179">
        <v>38.700000000000003</v>
      </c>
      <c r="X17" s="179">
        <v>2343.34</v>
      </c>
      <c r="Y17" s="179">
        <v>0</v>
      </c>
      <c r="Z17" s="179"/>
      <c r="AA17" s="352"/>
      <c r="AB17" s="179"/>
      <c r="AC17" s="202"/>
      <c r="AD17" s="179"/>
      <c r="AE17" s="352"/>
    </row>
    <row r="18" spans="1:32">
      <c r="A18" s="173" t="s">
        <v>3506</v>
      </c>
      <c r="B18" s="173" t="s">
        <v>3503</v>
      </c>
      <c r="C18" s="175"/>
      <c r="D18" s="176">
        <v>219.84</v>
      </c>
      <c r="E18" s="177">
        <v>49.65</v>
      </c>
      <c r="F18" s="176">
        <v>1102.8</v>
      </c>
      <c r="G18" s="178">
        <v>6.2</v>
      </c>
      <c r="H18" s="176"/>
      <c r="I18" s="177"/>
      <c r="J18" s="177"/>
      <c r="K18" s="177"/>
      <c r="L18" s="201"/>
      <c r="M18" s="179"/>
      <c r="N18" s="179"/>
      <c r="O18" s="179"/>
      <c r="P18" s="179"/>
      <c r="Q18" s="179"/>
      <c r="R18" s="179"/>
      <c r="S18" s="179"/>
      <c r="T18" s="179"/>
      <c r="U18" s="179"/>
      <c r="V18" s="179"/>
      <c r="W18" s="179"/>
      <c r="X18" s="179"/>
      <c r="Y18" s="179"/>
      <c r="Z18" s="179"/>
      <c r="AA18" s="352"/>
      <c r="AB18" s="179"/>
      <c r="AC18" s="202"/>
      <c r="AD18" s="179"/>
      <c r="AE18" s="352"/>
    </row>
    <row r="19" spans="1:32" ht="14.45">
      <c r="A19" s="102">
        <f>A13+1</f>
        <v>45570</v>
      </c>
      <c r="B19" s="102" t="s">
        <v>3503</v>
      </c>
      <c r="C19" s="110" t="str">
        <f>A19 &amp; " " &amp;B19</f>
        <v>45570 0000H</v>
      </c>
      <c r="D19" s="111"/>
      <c r="E19" s="116"/>
      <c r="F19" s="111"/>
      <c r="G19" s="116"/>
      <c r="H19" s="111"/>
      <c r="I19" s="103"/>
      <c r="J19" s="103"/>
      <c r="K19" s="116"/>
      <c r="L19" s="111"/>
      <c r="M19" s="103"/>
      <c r="N19" s="103"/>
      <c r="O19" s="103"/>
      <c r="P19" s="103"/>
      <c r="Q19" s="103"/>
      <c r="R19" s="103"/>
      <c r="S19" s="103"/>
      <c r="T19" s="103"/>
      <c r="U19" s="103"/>
      <c r="V19" s="103"/>
      <c r="W19" s="103"/>
      <c r="X19" s="103"/>
      <c r="Y19" s="103"/>
      <c r="Z19" s="103"/>
      <c r="AA19" s="116"/>
      <c r="AB19" s="103"/>
      <c r="AC19" s="112"/>
      <c r="AD19" s="103"/>
      <c r="AE19" s="116"/>
      <c r="AF19" s="426"/>
    </row>
    <row r="20" spans="1:32" ht="14.45">
      <c r="A20" s="102">
        <f>A14+1</f>
        <v>45570</v>
      </c>
      <c r="B20" s="102" t="s">
        <v>3504</v>
      </c>
      <c r="C20" s="110" t="str">
        <f>A20 &amp; " " &amp;B20</f>
        <v>45570 1200H</v>
      </c>
      <c r="D20" s="111">
        <v>305.39999999999998</v>
      </c>
      <c r="E20" s="116">
        <v>49.65</v>
      </c>
      <c r="F20" s="111"/>
      <c r="G20" s="116"/>
      <c r="H20" s="111"/>
      <c r="I20" s="103"/>
      <c r="J20" s="103">
        <v>32714.82</v>
      </c>
      <c r="K20" s="116">
        <v>99.31</v>
      </c>
      <c r="L20" s="111">
        <v>4732.96</v>
      </c>
      <c r="M20" s="103">
        <v>15.77</v>
      </c>
      <c r="N20" s="103">
        <v>32084.400000000001</v>
      </c>
      <c r="O20" s="103">
        <v>28.4</v>
      </c>
      <c r="P20" s="103">
        <v>473.34</v>
      </c>
      <c r="Q20" s="103">
        <v>573.37</v>
      </c>
      <c r="R20" s="103"/>
      <c r="S20" s="103"/>
      <c r="T20" s="103">
        <v>34864</v>
      </c>
      <c r="U20" s="103">
        <v>69</v>
      </c>
      <c r="V20" s="103"/>
      <c r="W20" s="103"/>
      <c r="X20" s="103">
        <v>5528</v>
      </c>
      <c r="Y20" s="103">
        <v>0</v>
      </c>
      <c r="Z20" s="103"/>
      <c r="AA20" s="116"/>
      <c r="AB20" s="103"/>
      <c r="AC20" s="112"/>
      <c r="AD20" s="103"/>
      <c r="AE20" s="116"/>
      <c r="AF20" s="426"/>
    </row>
    <row r="21" spans="1:32" ht="6.95" customHeight="1">
      <c r="G21" s="104"/>
    </row>
    <row r="22" spans="1:32" ht="14.45">
      <c r="A22" s="102">
        <f>A19+1</f>
        <v>45571</v>
      </c>
      <c r="B22" s="102" t="s">
        <v>3503</v>
      </c>
      <c r="C22" s="110" t="str">
        <f>A22 &amp; " " &amp;B22</f>
        <v>45571 0000H</v>
      </c>
      <c r="D22" s="111">
        <v>310.86</v>
      </c>
      <c r="E22" s="116">
        <v>49.65</v>
      </c>
      <c r="F22" s="250"/>
      <c r="G22" s="251"/>
      <c r="H22" s="250">
        <v>72764.59</v>
      </c>
      <c r="I22" s="235">
        <v>882.91700000000003</v>
      </c>
      <c r="J22" s="235">
        <v>32718.63</v>
      </c>
      <c r="K22" s="251">
        <v>99.31</v>
      </c>
      <c r="L22" s="250">
        <v>4738.42</v>
      </c>
      <c r="M22" s="235">
        <v>15.77</v>
      </c>
      <c r="N22" s="235">
        <v>32091</v>
      </c>
      <c r="O22" s="235">
        <v>28.4</v>
      </c>
      <c r="P22" s="235">
        <v>478.27</v>
      </c>
      <c r="Q22" s="235">
        <v>573.37</v>
      </c>
      <c r="R22" s="235"/>
      <c r="S22" s="235"/>
      <c r="T22" s="235">
        <v>34871</v>
      </c>
      <c r="U22" s="235">
        <v>69</v>
      </c>
      <c r="V22" s="235"/>
      <c r="W22" s="235"/>
      <c r="X22" s="235">
        <v>5534.05</v>
      </c>
      <c r="Y22" s="235">
        <v>0</v>
      </c>
      <c r="Z22" s="235"/>
      <c r="AA22" s="251"/>
      <c r="AB22" s="235"/>
      <c r="AC22" s="252"/>
      <c r="AD22" s="235"/>
      <c r="AE22" s="251"/>
      <c r="AF22" s="426">
        <v>42000</v>
      </c>
    </row>
    <row r="23" spans="1:32" ht="14.45">
      <c r="A23" s="102">
        <f>A20+1</f>
        <v>45571</v>
      </c>
      <c r="B23" s="102" t="s">
        <v>3504</v>
      </c>
      <c r="C23" s="110" t="str">
        <f>A23 &amp; " " &amp;B23</f>
        <v>45571 1200H</v>
      </c>
      <c r="D23" s="111">
        <v>314.33999999999997</v>
      </c>
      <c r="E23" s="116">
        <v>49.65</v>
      </c>
      <c r="F23" s="250"/>
      <c r="G23" s="251"/>
      <c r="H23" s="250">
        <v>72764.59</v>
      </c>
      <c r="I23" s="235">
        <v>882.82</v>
      </c>
      <c r="J23" s="235">
        <v>32722.48</v>
      </c>
      <c r="K23" s="251">
        <v>99.31</v>
      </c>
      <c r="L23" s="250">
        <v>4744.01</v>
      </c>
      <c r="M23" s="235">
        <v>15.97</v>
      </c>
      <c r="N23" s="235">
        <v>32097.5</v>
      </c>
      <c r="O23" s="235">
        <v>28.4</v>
      </c>
      <c r="P23" s="235">
        <v>478.31</v>
      </c>
      <c r="Q23" s="235">
        <v>575.5</v>
      </c>
      <c r="R23" s="235"/>
      <c r="S23" s="235"/>
      <c r="T23" s="235">
        <v>34875</v>
      </c>
      <c r="U23" s="235">
        <v>69</v>
      </c>
      <c r="V23" s="235"/>
      <c r="W23" s="235"/>
      <c r="X23" s="235">
        <v>5540.44</v>
      </c>
      <c r="Y23" s="235">
        <v>0</v>
      </c>
      <c r="Z23" s="235"/>
      <c r="AA23" s="251"/>
      <c r="AB23" s="235"/>
      <c r="AC23" s="252"/>
      <c r="AD23" s="235"/>
      <c r="AE23" s="251"/>
      <c r="AF23" s="426">
        <v>48000</v>
      </c>
    </row>
    <row r="24" spans="1:32" ht="6.95" customHeight="1">
      <c r="F24" s="253"/>
      <c r="G24" s="254"/>
      <c r="H24" s="253"/>
      <c r="I24" s="255"/>
      <c r="J24" s="255"/>
      <c r="K24" s="255"/>
      <c r="L24" s="253"/>
      <c r="M24" s="255"/>
      <c r="N24" s="255"/>
      <c r="O24" s="255"/>
      <c r="P24" s="255"/>
      <c r="Q24" s="255"/>
      <c r="R24" s="255"/>
      <c r="S24" s="255"/>
      <c r="T24" s="255"/>
      <c r="U24" s="255"/>
      <c r="V24" s="255"/>
      <c r="W24" s="255"/>
      <c r="X24" s="255"/>
      <c r="Y24" s="255"/>
      <c r="Z24" s="255"/>
      <c r="AA24" s="255"/>
      <c r="AB24" s="355"/>
      <c r="AC24" s="256"/>
      <c r="AD24" s="355"/>
      <c r="AE24" s="255"/>
    </row>
    <row r="25" spans="1:32" ht="14.45">
      <c r="A25" s="102">
        <f>A22+1</f>
        <v>45572</v>
      </c>
      <c r="B25" s="102" t="s">
        <v>3503</v>
      </c>
      <c r="C25" s="110" t="str">
        <f>A25 &amp; " " &amp;B25</f>
        <v>45572 0000H</v>
      </c>
      <c r="D25" s="111">
        <v>318.82</v>
      </c>
      <c r="E25" s="116">
        <v>49.65</v>
      </c>
      <c r="F25" s="250"/>
      <c r="G25" s="251"/>
      <c r="H25" s="250">
        <v>72769.63</v>
      </c>
      <c r="I25" s="235">
        <v>882.85</v>
      </c>
      <c r="J25" s="235">
        <v>32726.3</v>
      </c>
      <c r="K25" s="251">
        <v>99.31</v>
      </c>
      <c r="L25" s="250">
        <v>4749.72</v>
      </c>
      <c r="M25" s="235">
        <v>15.77</v>
      </c>
      <c r="N25" s="235">
        <v>32104.5</v>
      </c>
      <c r="O25" s="235">
        <v>28.4</v>
      </c>
      <c r="P25" s="235">
        <v>478.32</v>
      </c>
      <c r="Q25" s="235">
        <v>577</v>
      </c>
      <c r="R25" s="235"/>
      <c r="S25" s="235"/>
      <c r="T25" s="235">
        <v>34883</v>
      </c>
      <c r="U25" s="235">
        <v>69</v>
      </c>
      <c r="V25" s="235"/>
      <c r="W25" s="235"/>
      <c r="X25" s="235">
        <v>5546.36</v>
      </c>
      <c r="Y25" s="235"/>
      <c r="Z25" s="235"/>
      <c r="AA25" s="251"/>
      <c r="AB25" s="235"/>
      <c r="AC25" s="252"/>
      <c r="AD25" s="235"/>
      <c r="AE25" s="251"/>
      <c r="AF25" s="427">
        <v>21000</v>
      </c>
    </row>
    <row r="26" spans="1:32" ht="14.45">
      <c r="A26" s="102">
        <f>A23+1</f>
        <v>45572</v>
      </c>
      <c r="B26" s="102" t="s">
        <v>3504</v>
      </c>
      <c r="C26" s="110" t="str">
        <f>A26 &amp; " " &amp;B26</f>
        <v>45572 1200H</v>
      </c>
      <c r="D26" s="111">
        <v>322.64999999999998</v>
      </c>
      <c r="E26" s="116">
        <v>49.65</v>
      </c>
      <c r="F26" s="250"/>
      <c r="G26" s="251"/>
      <c r="H26" s="250">
        <v>72779.56</v>
      </c>
      <c r="I26" s="235">
        <v>882.25</v>
      </c>
      <c r="J26" s="235">
        <v>32728.84</v>
      </c>
      <c r="K26" s="251">
        <v>99.33</v>
      </c>
      <c r="L26" s="250">
        <v>4755.25</v>
      </c>
      <c r="M26" s="235">
        <v>15.77</v>
      </c>
      <c r="N26" s="235">
        <v>32109.200000000001</v>
      </c>
      <c r="O26" s="235">
        <v>28.4</v>
      </c>
      <c r="P26" s="235">
        <v>478.48</v>
      </c>
      <c r="Q26" s="235">
        <v>577</v>
      </c>
      <c r="R26" s="235"/>
      <c r="S26" s="235"/>
      <c r="T26" s="235">
        <v>34889.019999999997</v>
      </c>
      <c r="U26" s="235">
        <v>69</v>
      </c>
      <c r="V26" s="235"/>
      <c r="W26" s="235"/>
      <c r="X26" s="235">
        <v>5552.76</v>
      </c>
      <c r="Y26" s="235">
        <v>0</v>
      </c>
      <c r="Z26" s="235"/>
      <c r="AA26" s="251"/>
      <c r="AB26" s="235"/>
      <c r="AC26" s="252"/>
      <c r="AD26" s="235"/>
      <c r="AE26" s="251"/>
      <c r="AF26" s="426">
        <v>8400</v>
      </c>
    </row>
    <row r="27" spans="1:32" ht="6.95" customHeight="1">
      <c r="F27" s="253"/>
      <c r="G27" s="254"/>
      <c r="H27" s="253"/>
      <c r="I27" s="255"/>
      <c r="J27" s="255"/>
      <c r="K27" s="255"/>
      <c r="L27" s="253"/>
      <c r="M27" s="255"/>
      <c r="N27" s="255"/>
      <c r="O27" s="255"/>
      <c r="P27" s="255"/>
      <c r="Q27" s="255"/>
      <c r="R27" s="255"/>
      <c r="S27" s="255"/>
      <c r="T27" s="255"/>
      <c r="U27" s="255"/>
      <c r="V27" s="255"/>
      <c r="W27" s="255"/>
      <c r="X27" s="255"/>
      <c r="Y27" s="255"/>
      <c r="Z27" s="255"/>
      <c r="AA27" s="255"/>
      <c r="AB27" s="355"/>
      <c r="AC27" s="256"/>
      <c r="AD27" s="355"/>
      <c r="AE27" s="255"/>
    </row>
    <row r="28" spans="1:32" ht="14.45">
      <c r="A28" s="102">
        <f>A25+1</f>
        <v>45573</v>
      </c>
      <c r="B28" s="102" t="s">
        <v>3503</v>
      </c>
      <c r="C28" s="110" t="str">
        <f>A28 &amp; " " &amp;B28</f>
        <v>45573 0000H</v>
      </c>
      <c r="D28" s="111">
        <v>327.91</v>
      </c>
      <c r="E28" s="116">
        <v>49.65</v>
      </c>
      <c r="F28" s="250"/>
      <c r="G28" s="251"/>
      <c r="H28" s="250">
        <v>72789.97</v>
      </c>
      <c r="I28" s="235">
        <v>882.25</v>
      </c>
      <c r="J28" s="235">
        <v>32732.04</v>
      </c>
      <c r="K28" s="251">
        <v>99.33</v>
      </c>
      <c r="L28" s="250">
        <v>4760.96</v>
      </c>
      <c r="M28" s="235">
        <v>15.77</v>
      </c>
      <c r="N28" s="235">
        <v>32116</v>
      </c>
      <c r="O28" s="235">
        <v>28.4</v>
      </c>
      <c r="P28" s="235">
        <v>478.48</v>
      </c>
      <c r="Q28" s="235">
        <v>579.63</v>
      </c>
      <c r="R28" s="235"/>
      <c r="S28" s="235"/>
      <c r="T28" s="235">
        <v>34897</v>
      </c>
      <c r="U28" s="235">
        <v>69</v>
      </c>
      <c r="V28" s="235"/>
      <c r="W28" s="235"/>
      <c r="X28" s="235">
        <v>5559.15</v>
      </c>
      <c r="Y28" s="235">
        <v>0</v>
      </c>
      <c r="Z28" s="235"/>
      <c r="AA28" s="251"/>
      <c r="AB28" s="235"/>
      <c r="AC28" s="252"/>
      <c r="AD28" s="235"/>
      <c r="AE28" s="251"/>
      <c r="AF28" s="426">
        <v>1400</v>
      </c>
    </row>
    <row r="29" spans="1:32" ht="14.45">
      <c r="A29" s="102">
        <f>A26+1</f>
        <v>45573</v>
      </c>
      <c r="B29" s="102" t="s">
        <v>3504</v>
      </c>
      <c r="C29" s="110" t="str">
        <f>A29 &amp; " " &amp;B29</f>
        <v>45573 1200H</v>
      </c>
      <c r="D29" s="111">
        <v>331.62</v>
      </c>
      <c r="E29" s="116">
        <v>49.65</v>
      </c>
      <c r="F29" s="250"/>
      <c r="G29" s="251"/>
      <c r="H29" s="250">
        <v>72799.56</v>
      </c>
      <c r="I29" s="235">
        <v>882.25</v>
      </c>
      <c r="J29" s="235">
        <v>32734.080000000002</v>
      </c>
      <c r="K29" s="251">
        <v>99.35</v>
      </c>
      <c r="L29" s="250">
        <v>4766.41</v>
      </c>
      <c r="M29" s="235">
        <v>15.77</v>
      </c>
      <c r="N29" s="235">
        <v>32120.9</v>
      </c>
      <c r="O29" s="235">
        <v>28.4</v>
      </c>
      <c r="P29" s="235">
        <v>478.87</v>
      </c>
      <c r="Q29" s="235">
        <v>581.52</v>
      </c>
      <c r="R29" s="235"/>
      <c r="S29" s="235"/>
      <c r="T29" s="235">
        <v>3490</v>
      </c>
      <c r="U29" s="235">
        <v>69</v>
      </c>
      <c r="V29" s="235"/>
      <c r="W29" s="235"/>
      <c r="X29" s="235">
        <v>5564.07</v>
      </c>
      <c r="Y29" s="235">
        <v>0</v>
      </c>
      <c r="Z29" s="235"/>
      <c r="AA29" s="251"/>
      <c r="AB29" s="235"/>
      <c r="AC29" s="252"/>
      <c r="AD29" s="235"/>
      <c r="AE29" s="251"/>
      <c r="AF29" s="427">
        <v>30000</v>
      </c>
    </row>
    <row r="30" spans="1:32" ht="6.95" customHeight="1">
      <c r="F30" s="253"/>
      <c r="G30" s="254"/>
      <c r="H30" s="253"/>
      <c r="I30" s="255"/>
      <c r="J30" s="255"/>
      <c r="K30" s="255"/>
      <c r="L30" s="253"/>
      <c r="M30" s="255"/>
      <c r="N30" s="255"/>
      <c r="O30" s="255"/>
      <c r="P30" s="255"/>
      <c r="Q30" s="255"/>
      <c r="R30" s="255"/>
      <c r="S30" s="255"/>
      <c r="T30" s="255"/>
      <c r="U30" s="255"/>
      <c r="V30" s="255"/>
      <c r="W30" s="255"/>
      <c r="X30" s="255"/>
      <c r="Y30" s="255"/>
      <c r="Z30" s="255"/>
      <c r="AA30" s="255"/>
      <c r="AB30" s="355"/>
      <c r="AC30" s="256"/>
      <c r="AD30" s="355"/>
      <c r="AE30" s="255"/>
    </row>
    <row r="31" spans="1:32">
      <c r="A31" s="102">
        <f>A28+1</f>
        <v>45574</v>
      </c>
      <c r="B31" s="102" t="s">
        <v>3503</v>
      </c>
      <c r="C31" s="110" t="str">
        <f>A31 &amp; " " &amp;B31</f>
        <v>45574 0000H</v>
      </c>
      <c r="D31" s="111">
        <v>337.11</v>
      </c>
      <c r="E31" s="116">
        <v>49.65</v>
      </c>
      <c r="F31" s="250">
        <v>1102.8</v>
      </c>
      <c r="G31" s="251">
        <v>6.2</v>
      </c>
      <c r="H31" s="250">
        <v>72810.02</v>
      </c>
      <c r="I31" s="235">
        <v>882.25</v>
      </c>
      <c r="J31" s="235">
        <v>32737.86</v>
      </c>
      <c r="K31" s="251">
        <v>99.35</v>
      </c>
      <c r="L31" s="250">
        <v>4772.13</v>
      </c>
      <c r="M31" s="235">
        <v>15.77</v>
      </c>
      <c r="N31" s="235">
        <v>32127.7</v>
      </c>
      <c r="O31" s="235">
        <v>28.4</v>
      </c>
      <c r="P31" s="235">
        <v>478.88</v>
      </c>
      <c r="Q31" s="235">
        <v>581.84</v>
      </c>
      <c r="R31" s="235">
        <v>9358.1200000000008</v>
      </c>
      <c r="S31" s="235">
        <v>9.0399999999999991</v>
      </c>
      <c r="T31" s="235">
        <v>34910</v>
      </c>
      <c r="U31" s="235">
        <v>69</v>
      </c>
      <c r="V31" s="235"/>
      <c r="W31" s="235"/>
      <c r="X31" s="235">
        <v>5570.35</v>
      </c>
      <c r="Y31" s="235"/>
      <c r="Z31" s="235"/>
      <c r="AA31" s="251"/>
      <c r="AB31" s="235"/>
      <c r="AC31" s="252"/>
      <c r="AD31" s="235"/>
      <c r="AE31" s="251"/>
    </row>
    <row r="32" spans="1:32">
      <c r="A32" s="102">
        <f>A29+1</f>
        <v>45574</v>
      </c>
      <c r="B32" s="102" t="s">
        <v>3504</v>
      </c>
      <c r="C32" s="110" t="str">
        <f>A32 &amp; " " &amp;B32</f>
        <v>45574 1200H</v>
      </c>
      <c r="D32" s="111">
        <v>340.75</v>
      </c>
      <c r="E32" s="116">
        <v>49.65</v>
      </c>
      <c r="F32" s="250">
        <v>1102.8</v>
      </c>
      <c r="G32" s="251">
        <v>6.2</v>
      </c>
      <c r="H32" s="250">
        <v>72819.86</v>
      </c>
      <c r="I32" s="235">
        <v>882.25</v>
      </c>
      <c r="J32" s="235">
        <v>32739.18</v>
      </c>
      <c r="K32" s="251">
        <v>99.41</v>
      </c>
      <c r="L32" s="250">
        <v>4777.8100000000004</v>
      </c>
      <c r="M32" s="235">
        <v>15.77</v>
      </c>
      <c r="N32" s="235">
        <v>32132.5</v>
      </c>
      <c r="O32" s="235">
        <v>28.4</v>
      </c>
      <c r="P32" s="235">
        <v>479.27</v>
      </c>
      <c r="Q32" s="235">
        <v>582.49</v>
      </c>
      <c r="R32" s="235">
        <v>9361.48</v>
      </c>
      <c r="S32" s="235">
        <v>9.0399999999999991</v>
      </c>
      <c r="T32" s="235">
        <v>34916</v>
      </c>
      <c r="U32" s="235">
        <v>69</v>
      </c>
      <c r="V32" s="235"/>
      <c r="W32" s="235"/>
      <c r="X32" s="235">
        <v>5576.68</v>
      </c>
      <c r="Y32" s="235">
        <v>0</v>
      </c>
      <c r="Z32" s="235"/>
      <c r="AA32" s="251"/>
      <c r="AB32" s="235"/>
      <c r="AC32" s="252"/>
      <c r="AD32" s="235"/>
      <c r="AE32" s="251"/>
    </row>
    <row r="33" spans="1:31" ht="6.95" customHeight="1">
      <c r="F33" s="253"/>
      <c r="G33" s="254"/>
      <c r="H33" s="253"/>
      <c r="I33" s="255"/>
      <c r="J33" s="255"/>
      <c r="K33" s="255"/>
      <c r="L33" s="253"/>
      <c r="M33" s="255"/>
      <c r="N33" s="255"/>
      <c r="O33" s="255"/>
      <c r="P33" s="255"/>
      <c r="Q33" s="255"/>
      <c r="R33" s="255"/>
      <c r="S33" s="255"/>
      <c r="T33" s="255"/>
      <c r="U33" s="255"/>
      <c r="V33" s="255"/>
      <c r="W33" s="255"/>
      <c r="X33" s="255"/>
      <c r="Y33" s="255"/>
      <c r="Z33" s="255"/>
      <c r="AA33" s="255"/>
      <c r="AB33" s="355"/>
      <c r="AC33" s="256"/>
      <c r="AD33" s="355"/>
      <c r="AE33" s="255"/>
    </row>
    <row r="34" spans="1:31">
      <c r="A34" s="102">
        <f>A31+1</f>
        <v>45575</v>
      </c>
      <c r="B34" s="102" t="s">
        <v>3503</v>
      </c>
      <c r="C34" s="110" t="str">
        <f>A34 &amp; " " &amp;B34</f>
        <v>45575 0000H</v>
      </c>
      <c r="D34" s="111">
        <v>346.55</v>
      </c>
      <c r="E34" s="116">
        <v>49.65</v>
      </c>
      <c r="F34" s="250">
        <v>1102.8</v>
      </c>
      <c r="G34" s="251">
        <v>6.2</v>
      </c>
      <c r="H34" s="250">
        <v>72830.429999999993</v>
      </c>
      <c r="I34" s="235">
        <v>882.25</v>
      </c>
      <c r="J34" s="235">
        <v>32743.040000000001</v>
      </c>
      <c r="K34" s="251">
        <v>99.41</v>
      </c>
      <c r="L34" s="250">
        <v>4783.63</v>
      </c>
      <c r="M34" s="235">
        <v>15.77</v>
      </c>
      <c r="N34" s="235">
        <v>32139.5</v>
      </c>
      <c r="O34" s="235">
        <v>28.4</v>
      </c>
      <c r="P34" s="235">
        <v>479.35</v>
      </c>
      <c r="Q34" s="235">
        <v>583.48</v>
      </c>
      <c r="R34" s="235">
        <v>9365.77</v>
      </c>
      <c r="S34" s="235">
        <v>9.0399999999999991</v>
      </c>
      <c r="T34" s="235">
        <v>34924</v>
      </c>
      <c r="U34" s="235">
        <v>69</v>
      </c>
      <c r="V34" s="235"/>
      <c r="W34" s="235"/>
      <c r="X34" s="235">
        <v>5583.19</v>
      </c>
      <c r="Y34" s="235">
        <v>0</v>
      </c>
      <c r="Z34" s="235"/>
      <c r="AA34" s="251"/>
      <c r="AB34" s="235"/>
      <c r="AC34" s="252"/>
      <c r="AD34" s="235"/>
      <c r="AE34" s="251"/>
    </row>
    <row r="35" spans="1:31">
      <c r="A35" s="102">
        <f>A32+1</f>
        <v>45575</v>
      </c>
      <c r="B35" s="102" t="s">
        <v>3504</v>
      </c>
      <c r="C35" s="110" t="str">
        <f>A35 &amp; " " &amp;B35</f>
        <v>45575 1200H</v>
      </c>
      <c r="D35" s="111">
        <v>349.85</v>
      </c>
      <c r="E35" s="116">
        <v>49.65</v>
      </c>
      <c r="F35" s="250">
        <v>1102.8</v>
      </c>
      <c r="G35" s="251">
        <v>6.2</v>
      </c>
      <c r="H35" s="250">
        <v>72840.59</v>
      </c>
      <c r="I35" s="235">
        <v>882.25</v>
      </c>
      <c r="J35" s="235">
        <v>32745.57</v>
      </c>
      <c r="K35" s="251">
        <v>99.42</v>
      </c>
      <c r="L35" s="250">
        <v>4789.34</v>
      </c>
      <c r="M35" s="235">
        <v>15.77</v>
      </c>
      <c r="N35" s="235">
        <v>32144.1</v>
      </c>
      <c r="O35" s="235">
        <v>28.4</v>
      </c>
      <c r="P35" s="235">
        <v>479.96</v>
      </c>
      <c r="Q35" s="235">
        <v>584.32000000000005</v>
      </c>
      <c r="R35" s="235">
        <v>9369.2999999999993</v>
      </c>
      <c r="S35" s="235">
        <v>9.0399999999999991</v>
      </c>
      <c r="T35" s="235">
        <v>34930</v>
      </c>
      <c r="U35" s="235">
        <v>69</v>
      </c>
      <c r="V35" s="235"/>
      <c r="W35" s="235"/>
      <c r="X35" s="235">
        <v>5588.47</v>
      </c>
      <c r="Y35" s="235"/>
      <c r="Z35" s="235"/>
      <c r="AA35" s="251"/>
      <c r="AB35" s="235"/>
      <c r="AC35" s="252"/>
      <c r="AD35" s="235"/>
      <c r="AE35" s="251"/>
    </row>
    <row r="36" spans="1:31" ht="6.95" customHeight="1">
      <c r="F36" s="253"/>
      <c r="G36" s="254"/>
      <c r="H36" s="253"/>
      <c r="I36" s="255"/>
      <c r="J36" s="255"/>
      <c r="K36" s="255"/>
      <c r="L36" s="253"/>
      <c r="M36" s="255"/>
      <c r="N36" s="255"/>
      <c r="O36" s="255"/>
      <c r="P36" s="255"/>
      <c r="Q36" s="255"/>
      <c r="R36" s="255"/>
      <c r="S36" s="255"/>
      <c r="T36" s="255"/>
      <c r="U36" s="255"/>
      <c r="V36" s="255"/>
      <c r="W36" s="255"/>
      <c r="X36" s="255"/>
      <c r="Y36" s="255"/>
      <c r="Z36" s="255"/>
      <c r="AA36" s="255"/>
      <c r="AB36" s="355"/>
      <c r="AC36" s="256"/>
      <c r="AD36" s="355"/>
      <c r="AE36" s="255"/>
    </row>
    <row r="37" spans="1:31">
      <c r="A37" s="102">
        <f>A34+1</f>
        <v>45576</v>
      </c>
      <c r="B37" s="102" t="s">
        <v>3503</v>
      </c>
      <c r="C37" s="110" t="str">
        <f>A37 &amp; " " &amp;B37</f>
        <v>45576 0000H</v>
      </c>
      <c r="D37" s="111">
        <v>355.78</v>
      </c>
      <c r="E37" s="116">
        <v>49.65</v>
      </c>
      <c r="F37" s="250">
        <v>1102.8</v>
      </c>
      <c r="G37" s="251">
        <v>6.2</v>
      </c>
      <c r="H37" s="250">
        <v>72851.22</v>
      </c>
      <c r="I37" s="235">
        <v>882.25</v>
      </c>
      <c r="J37" s="235">
        <v>32749.39</v>
      </c>
      <c r="K37" s="251">
        <v>99.42</v>
      </c>
      <c r="L37" s="250">
        <v>4795.17</v>
      </c>
      <c r="M37" s="235">
        <v>15.77</v>
      </c>
      <c r="N37" s="235">
        <v>32150.1</v>
      </c>
      <c r="O37" s="235">
        <v>28.4</v>
      </c>
      <c r="P37" s="235">
        <v>480.19</v>
      </c>
      <c r="Q37" s="235">
        <v>585.20000000000005</v>
      </c>
      <c r="R37" s="235">
        <v>9373.67</v>
      </c>
      <c r="S37" s="235">
        <v>9.0399999999999991</v>
      </c>
      <c r="T37" s="235">
        <v>34938</v>
      </c>
      <c r="U37" s="235">
        <v>69</v>
      </c>
      <c r="V37" s="235"/>
      <c r="W37" s="235"/>
      <c r="X37" s="235">
        <v>5593.94</v>
      </c>
      <c r="Y37" s="235">
        <v>0</v>
      </c>
      <c r="Z37" s="235"/>
      <c r="AA37" s="251"/>
      <c r="AB37" s="235"/>
      <c r="AC37" s="252"/>
      <c r="AD37" s="235"/>
      <c r="AE37" s="251"/>
    </row>
    <row r="38" spans="1:31">
      <c r="A38" s="102">
        <f>A35+1</f>
        <v>45576</v>
      </c>
      <c r="B38" s="102" t="s">
        <v>3504</v>
      </c>
      <c r="C38" s="110" t="str">
        <f>A38 &amp; " " &amp;B38</f>
        <v>45576 1200H</v>
      </c>
      <c r="D38" s="111">
        <v>359.63</v>
      </c>
      <c r="E38" s="116">
        <v>49.65</v>
      </c>
      <c r="F38" s="250">
        <v>1102.8</v>
      </c>
      <c r="G38" s="251">
        <v>6.2</v>
      </c>
      <c r="H38" s="250">
        <v>72861.460000000006</v>
      </c>
      <c r="I38" s="235">
        <v>882.25</v>
      </c>
      <c r="J38" s="235">
        <v>32749.72</v>
      </c>
      <c r="K38" s="251">
        <v>99.4</v>
      </c>
      <c r="L38" s="250">
        <v>4800.8999999999996</v>
      </c>
      <c r="M38" s="235">
        <v>15.77</v>
      </c>
      <c r="N38" s="235">
        <v>32155.3</v>
      </c>
      <c r="O38" s="235">
        <v>28.4</v>
      </c>
      <c r="P38" s="235">
        <v>480.79</v>
      </c>
      <c r="Q38" s="235">
        <v>585.72</v>
      </c>
      <c r="R38" s="235">
        <v>9377.3700000000008</v>
      </c>
      <c r="S38" s="235">
        <v>9.0399999999999991</v>
      </c>
      <c r="T38" s="235">
        <v>34944</v>
      </c>
      <c r="U38" s="235">
        <v>69</v>
      </c>
      <c r="V38" s="235"/>
      <c r="W38" s="235"/>
      <c r="X38" s="235">
        <v>5600.3</v>
      </c>
      <c r="Y38" s="235">
        <v>0</v>
      </c>
      <c r="Z38" s="235"/>
      <c r="AA38" s="251"/>
      <c r="AB38" s="235"/>
      <c r="AC38" s="252"/>
      <c r="AD38" s="235"/>
      <c r="AE38" s="251"/>
    </row>
    <row r="39" spans="1:31" ht="6.95" customHeight="1">
      <c r="F39" s="253"/>
      <c r="G39" s="254"/>
      <c r="H39" s="253"/>
      <c r="I39" s="255"/>
      <c r="J39" s="255"/>
      <c r="K39" s="255"/>
      <c r="L39" s="253"/>
      <c r="M39" s="255"/>
      <c r="N39" s="255"/>
      <c r="O39" s="255"/>
      <c r="P39" s="255"/>
      <c r="Q39" s="255"/>
      <c r="R39" s="255"/>
      <c r="S39" s="255"/>
      <c r="T39" s="255"/>
      <c r="U39" s="255"/>
      <c r="V39" s="255"/>
      <c r="W39" s="255"/>
      <c r="X39" s="255"/>
      <c r="Y39" s="255"/>
      <c r="Z39" s="255"/>
      <c r="AA39" s="255"/>
      <c r="AB39" s="355"/>
      <c r="AC39" s="256"/>
      <c r="AD39" s="355"/>
      <c r="AE39" s="255"/>
    </row>
    <row r="40" spans="1:31">
      <c r="A40" s="102">
        <f>A37+1</f>
        <v>45577</v>
      </c>
      <c r="B40" s="102" t="s">
        <v>3503</v>
      </c>
      <c r="C40" s="110" t="str">
        <f>A40 &amp; " " &amp;B40</f>
        <v>45577 0000H</v>
      </c>
      <c r="D40" s="111">
        <v>365.81</v>
      </c>
      <c r="E40" s="116">
        <v>49.65</v>
      </c>
      <c r="F40" s="250">
        <v>1102.8</v>
      </c>
      <c r="G40" s="251">
        <v>6.2</v>
      </c>
      <c r="H40" s="250">
        <v>72875.56</v>
      </c>
      <c r="I40" s="235">
        <v>882.25</v>
      </c>
      <c r="J40" s="235">
        <v>32749.72</v>
      </c>
      <c r="K40" s="251">
        <v>99.47</v>
      </c>
      <c r="L40" s="250">
        <v>4806.82</v>
      </c>
      <c r="M40" s="235">
        <v>15.77</v>
      </c>
      <c r="N40" s="235">
        <v>32161.599999999999</v>
      </c>
      <c r="O40" s="235">
        <v>28.4</v>
      </c>
      <c r="P40" s="235">
        <v>481.82</v>
      </c>
      <c r="Q40" s="235">
        <v>586.30999999999995</v>
      </c>
      <c r="R40" s="235">
        <v>9381.91</v>
      </c>
      <c r="S40" s="235">
        <v>9.0399999999999991</v>
      </c>
      <c r="T40" s="235">
        <v>34952</v>
      </c>
      <c r="U40" s="235">
        <v>69</v>
      </c>
      <c r="V40" s="235"/>
      <c r="W40" s="235"/>
      <c r="X40" s="235">
        <v>5607.79</v>
      </c>
      <c r="Y40" s="235">
        <v>0</v>
      </c>
      <c r="Z40" s="235"/>
      <c r="AA40" s="251"/>
      <c r="AB40" s="235"/>
      <c r="AC40" s="252"/>
      <c r="AD40" s="235"/>
      <c r="AE40" s="251"/>
    </row>
    <row r="41" spans="1:31">
      <c r="A41" s="102">
        <f>A38+1</f>
        <v>45577</v>
      </c>
      <c r="B41" s="102" t="s">
        <v>3504</v>
      </c>
      <c r="C41" s="110" t="str">
        <f>A41 &amp; " " &amp;B41</f>
        <v>45577 1200H</v>
      </c>
      <c r="D41" s="111">
        <v>369.42</v>
      </c>
      <c r="E41" s="116">
        <v>49.65</v>
      </c>
      <c r="F41" s="250">
        <v>1102.8</v>
      </c>
      <c r="G41" s="251">
        <v>6.2</v>
      </c>
      <c r="H41" s="250">
        <v>72882.92</v>
      </c>
      <c r="I41" s="235">
        <v>882.38</v>
      </c>
      <c r="J41" s="235">
        <v>32749.72</v>
      </c>
      <c r="K41" s="251">
        <v>99.47</v>
      </c>
      <c r="L41" s="250">
        <v>4812.6899999999996</v>
      </c>
      <c r="M41" s="235">
        <v>15.77</v>
      </c>
      <c r="N41" s="235">
        <v>32167.1</v>
      </c>
      <c r="O41" s="235">
        <v>28.4</v>
      </c>
      <c r="P41" s="235">
        <v>481.93</v>
      </c>
      <c r="Q41" s="235">
        <v>587.12</v>
      </c>
      <c r="R41" s="235">
        <v>9385.86</v>
      </c>
      <c r="S41" s="235">
        <v>9.0399999999999991</v>
      </c>
      <c r="T41" s="235">
        <v>34958</v>
      </c>
      <c r="U41" s="235">
        <v>69</v>
      </c>
      <c r="V41" s="235"/>
      <c r="W41" s="235"/>
      <c r="X41" s="235">
        <v>5613.74</v>
      </c>
      <c r="Y41" s="235">
        <v>0</v>
      </c>
      <c r="Z41" s="235"/>
      <c r="AA41" s="251"/>
      <c r="AB41" s="235"/>
      <c r="AC41" s="252"/>
      <c r="AD41" s="235"/>
      <c r="AE41" s="251"/>
    </row>
    <row r="42" spans="1:31" ht="6.95" customHeight="1">
      <c r="F42" s="253"/>
      <c r="G42" s="254"/>
      <c r="H42" s="253"/>
      <c r="I42" s="255"/>
      <c r="J42" s="255"/>
      <c r="K42" s="255"/>
      <c r="L42" s="253"/>
      <c r="M42" s="255"/>
      <c r="N42" s="255"/>
      <c r="O42" s="255"/>
      <c r="P42" s="255"/>
      <c r="Q42" s="255"/>
      <c r="R42" s="255"/>
      <c r="S42" s="255"/>
      <c r="T42" s="255"/>
      <c r="U42" s="255"/>
      <c r="V42" s="255"/>
      <c r="W42" s="255"/>
      <c r="X42" s="255"/>
      <c r="Y42" s="255"/>
      <c r="Z42" s="255"/>
      <c r="AA42" s="255"/>
      <c r="AB42" s="355"/>
      <c r="AC42" s="256"/>
      <c r="AD42" s="355"/>
      <c r="AE42" s="255"/>
    </row>
    <row r="43" spans="1:31">
      <c r="A43" s="102">
        <f>A40+1</f>
        <v>45578</v>
      </c>
      <c r="B43" s="102" t="s">
        <v>3503</v>
      </c>
      <c r="C43" s="110" t="str">
        <f>A43 &amp; " " &amp;B43</f>
        <v>45578 0000H</v>
      </c>
      <c r="D43" s="111">
        <v>374.3</v>
      </c>
      <c r="E43" s="116">
        <v>49.65</v>
      </c>
      <c r="F43" s="250">
        <v>1102.8</v>
      </c>
      <c r="G43" s="251">
        <v>6.2</v>
      </c>
      <c r="H43" s="250">
        <v>72891.149999999994</v>
      </c>
      <c r="I43" s="235">
        <v>882.47</v>
      </c>
      <c r="J43" s="235">
        <v>32749.72</v>
      </c>
      <c r="K43" s="251">
        <v>99.55</v>
      </c>
      <c r="L43" s="250">
        <v>4818.59</v>
      </c>
      <c r="M43" s="235">
        <v>15.77</v>
      </c>
      <c r="N43" s="235">
        <v>32174.1</v>
      </c>
      <c r="O43" s="235">
        <v>28.4</v>
      </c>
      <c r="P43" s="235">
        <v>483.77</v>
      </c>
      <c r="Q43" s="235">
        <v>587.29</v>
      </c>
      <c r="R43" s="235">
        <v>9390.4699999999993</v>
      </c>
      <c r="S43" s="235">
        <v>9.0399999999999991</v>
      </c>
      <c r="T43" s="235">
        <v>34964</v>
      </c>
      <c r="U43" s="235">
        <v>69</v>
      </c>
      <c r="V43" s="235"/>
      <c r="W43" s="235"/>
      <c r="X43" s="235">
        <v>5621.54</v>
      </c>
      <c r="Y43" s="235">
        <v>0</v>
      </c>
      <c r="Z43" s="235"/>
      <c r="AA43" s="251"/>
      <c r="AB43" s="235"/>
      <c r="AC43" s="252"/>
      <c r="AD43" s="235"/>
      <c r="AE43" s="251"/>
    </row>
    <row r="44" spans="1:31">
      <c r="A44" s="102">
        <f>A41+1</f>
        <v>45578</v>
      </c>
      <c r="B44" s="102" t="s">
        <v>3504</v>
      </c>
      <c r="C44" s="110" t="str">
        <f>A44 &amp; " " &amp;B44</f>
        <v>45578 1200H</v>
      </c>
      <c r="D44" s="111">
        <v>377.86</v>
      </c>
      <c r="E44" s="116">
        <v>49.65</v>
      </c>
      <c r="F44" s="250">
        <v>1102.8</v>
      </c>
      <c r="G44" s="251">
        <v>6.2</v>
      </c>
      <c r="H44" s="250">
        <v>72889.039999999994</v>
      </c>
      <c r="I44" s="235">
        <v>882.54</v>
      </c>
      <c r="J44" s="235">
        <v>32749.72</v>
      </c>
      <c r="K44" s="251">
        <v>99.55</v>
      </c>
      <c r="L44" s="250">
        <v>4824.32</v>
      </c>
      <c r="M44" s="235">
        <v>15.77</v>
      </c>
      <c r="N44" s="235">
        <v>32179.200000000001</v>
      </c>
      <c r="O44" s="235">
        <v>28.4</v>
      </c>
      <c r="P44" s="235">
        <v>484.07</v>
      </c>
      <c r="Q44" s="235">
        <v>588.04999999999995</v>
      </c>
      <c r="R44" s="235">
        <v>9393.94</v>
      </c>
      <c r="S44" s="235">
        <v>9.0399999999999991</v>
      </c>
      <c r="T44" s="235">
        <v>34970</v>
      </c>
      <c r="U44" s="235">
        <v>69</v>
      </c>
      <c r="V44" s="235"/>
      <c r="W44" s="235"/>
      <c r="X44" s="235">
        <v>5628.31</v>
      </c>
      <c r="Y44" s="235">
        <v>0</v>
      </c>
      <c r="Z44" s="235"/>
      <c r="AA44" s="251"/>
      <c r="AB44" s="235"/>
      <c r="AC44" s="252"/>
      <c r="AD44" s="235"/>
      <c r="AE44" s="251"/>
    </row>
    <row r="45" spans="1:31" ht="6.95" customHeight="1">
      <c r="F45" s="253"/>
      <c r="G45" s="254"/>
      <c r="H45" s="253"/>
      <c r="I45" s="255"/>
      <c r="J45" s="255"/>
      <c r="K45" s="255"/>
      <c r="L45" s="253"/>
      <c r="M45" s="255"/>
      <c r="N45" s="255"/>
      <c r="O45" s="255"/>
      <c r="P45" s="255"/>
      <c r="Q45" s="255"/>
      <c r="R45" s="255"/>
      <c r="S45" s="255"/>
      <c r="T45" s="255"/>
      <c r="U45" s="255"/>
      <c r="V45" s="255"/>
      <c r="W45" s="255"/>
      <c r="X45" s="255"/>
      <c r="Y45" s="255"/>
      <c r="Z45" s="255"/>
      <c r="AA45" s="255"/>
      <c r="AB45" s="355"/>
      <c r="AC45" s="256"/>
      <c r="AD45" s="355"/>
      <c r="AE45" s="255"/>
    </row>
    <row r="46" spans="1:31">
      <c r="A46" s="102">
        <f>A43+1</f>
        <v>45579</v>
      </c>
      <c r="B46" s="102" t="s">
        <v>3503</v>
      </c>
      <c r="C46" s="110" t="str">
        <f>A46 &amp; " " &amp;B46</f>
        <v>45579 0000H</v>
      </c>
      <c r="D46" s="111">
        <v>382.59</v>
      </c>
      <c r="E46" s="116">
        <v>49.65</v>
      </c>
      <c r="F46" s="250">
        <v>1102.8</v>
      </c>
      <c r="G46" s="251">
        <v>6.2</v>
      </c>
      <c r="H46" s="250">
        <v>72906.899999999994</v>
      </c>
      <c r="I46" s="235">
        <v>882.62</v>
      </c>
      <c r="J46" s="235">
        <v>32752.32</v>
      </c>
      <c r="K46" s="251">
        <v>99.69</v>
      </c>
      <c r="L46" s="250">
        <v>4830.1899999999996</v>
      </c>
      <c r="M46" s="235">
        <v>15.77</v>
      </c>
      <c r="N46" s="235">
        <v>32186.2</v>
      </c>
      <c r="O46" s="235">
        <v>28.4</v>
      </c>
      <c r="P46" s="235">
        <v>485.23</v>
      </c>
      <c r="Q46" s="235">
        <v>588.48</v>
      </c>
      <c r="R46" s="235">
        <v>9398.7199999999993</v>
      </c>
      <c r="S46" s="235">
        <v>9.0399999999999991</v>
      </c>
      <c r="T46" s="235">
        <v>34977</v>
      </c>
      <c r="U46" s="235">
        <v>69</v>
      </c>
      <c r="V46" s="235"/>
      <c r="W46" s="235"/>
      <c r="X46" s="235">
        <v>5635.8</v>
      </c>
      <c r="Y46" s="235">
        <v>0</v>
      </c>
      <c r="Z46" s="235"/>
      <c r="AA46" s="251"/>
      <c r="AB46" s="235"/>
      <c r="AC46" s="252"/>
      <c r="AD46" s="235"/>
      <c r="AE46" s="251"/>
    </row>
    <row r="47" spans="1:31">
      <c r="A47" s="102">
        <f>A44+1</f>
        <v>45579</v>
      </c>
      <c r="B47" s="102" t="s">
        <v>3504</v>
      </c>
      <c r="C47" s="110" t="str">
        <f>A47 &amp; " " &amp;B47</f>
        <v>45579 1200H</v>
      </c>
      <c r="D47" s="111">
        <v>386.16</v>
      </c>
      <c r="E47" s="116">
        <v>49.65</v>
      </c>
      <c r="F47" s="250">
        <v>1102.8</v>
      </c>
      <c r="G47" s="251">
        <v>6.2</v>
      </c>
      <c r="H47" s="250">
        <v>72917.179999999993</v>
      </c>
      <c r="I47" s="235">
        <v>882.62</v>
      </c>
      <c r="J47" s="235">
        <v>32754.720000000001</v>
      </c>
      <c r="K47" s="251">
        <v>99.72</v>
      </c>
      <c r="L47" s="250">
        <v>4835.88</v>
      </c>
      <c r="M47" s="235">
        <v>15.77</v>
      </c>
      <c r="N47" s="235">
        <v>32190</v>
      </c>
      <c r="O47" s="235">
        <v>28.4</v>
      </c>
      <c r="P47" s="235">
        <v>486.33</v>
      </c>
      <c r="Q47" s="235">
        <v>589.20000000000005</v>
      </c>
      <c r="R47" s="235">
        <v>9402.56</v>
      </c>
      <c r="S47" s="235">
        <v>9.0399999999999991</v>
      </c>
      <c r="T47" s="235">
        <v>34984</v>
      </c>
      <c r="U47" s="235">
        <v>69</v>
      </c>
      <c r="V47" s="235">
        <v>176.84</v>
      </c>
      <c r="W47" s="235">
        <v>0.14000000000000001</v>
      </c>
      <c r="X47" s="235">
        <v>5642.35</v>
      </c>
      <c r="Y47" s="235">
        <v>0</v>
      </c>
      <c r="Z47" s="235"/>
      <c r="AA47" s="251"/>
      <c r="AB47" s="235"/>
      <c r="AC47" s="252"/>
      <c r="AD47" s="235"/>
      <c r="AE47" s="251"/>
    </row>
    <row r="48" spans="1:31" ht="6.95" customHeight="1">
      <c r="F48" s="253"/>
      <c r="G48" s="254"/>
      <c r="H48" s="253"/>
      <c r="I48" s="255"/>
      <c r="J48" s="255"/>
      <c r="K48" s="255"/>
      <c r="L48" s="253"/>
      <c r="M48" s="255"/>
      <c r="N48" s="255"/>
      <c r="O48" s="255"/>
      <c r="P48" s="255"/>
      <c r="Q48" s="255"/>
      <c r="R48" s="255"/>
      <c r="S48" s="255"/>
      <c r="T48" s="255"/>
      <c r="U48" s="255"/>
      <c r="V48" s="255"/>
      <c r="W48" s="255"/>
      <c r="X48" s="255"/>
      <c r="Y48" s="255"/>
      <c r="Z48" s="255"/>
      <c r="AA48" s="255"/>
      <c r="AB48" s="355"/>
      <c r="AC48" s="256"/>
      <c r="AD48" s="355"/>
      <c r="AE48" s="255"/>
    </row>
    <row r="49" spans="1:31">
      <c r="A49" s="102">
        <f>A46+1</f>
        <v>45580</v>
      </c>
      <c r="B49" s="102" t="s">
        <v>3503</v>
      </c>
      <c r="C49" s="110" t="str">
        <f>A49 &amp; " " &amp;B49</f>
        <v>45580 0000H</v>
      </c>
      <c r="D49" s="111">
        <v>391.41</v>
      </c>
      <c r="E49" s="116">
        <v>49.65</v>
      </c>
      <c r="F49" s="250">
        <v>1102.8</v>
      </c>
      <c r="G49" s="251">
        <v>6.2</v>
      </c>
      <c r="H49" s="250">
        <v>72927.47</v>
      </c>
      <c r="I49" s="235">
        <v>882.62</v>
      </c>
      <c r="J49" s="235">
        <v>32758.6</v>
      </c>
      <c r="K49" s="251">
        <v>99.72</v>
      </c>
      <c r="L49" s="250">
        <v>4841.7</v>
      </c>
      <c r="M49" s="235">
        <v>15.77</v>
      </c>
      <c r="N49" s="235">
        <v>32195.8</v>
      </c>
      <c r="O49" s="235">
        <v>28.4</v>
      </c>
      <c r="P49" s="235">
        <v>487.72</v>
      </c>
      <c r="Q49" s="235">
        <v>589.55999999999995</v>
      </c>
      <c r="R49" s="235">
        <v>9407.1299999999992</v>
      </c>
      <c r="S49" s="235">
        <v>9.0399999999999991</v>
      </c>
      <c r="T49" s="235">
        <v>34999</v>
      </c>
      <c r="U49" s="235">
        <v>69</v>
      </c>
      <c r="V49" s="235">
        <v>180.09</v>
      </c>
      <c r="W49" s="235">
        <v>0.14000000000000001</v>
      </c>
      <c r="X49" s="235">
        <v>5650.35</v>
      </c>
      <c r="Y49" s="235">
        <v>0</v>
      </c>
      <c r="Z49" s="235"/>
      <c r="AA49" s="251"/>
      <c r="AB49" s="235"/>
      <c r="AC49" s="252"/>
      <c r="AD49" s="235"/>
      <c r="AE49" s="251"/>
    </row>
    <row r="50" spans="1:31">
      <c r="A50" s="102">
        <f>A47+1</f>
        <v>45580</v>
      </c>
      <c r="B50" s="102" t="s">
        <v>3504</v>
      </c>
      <c r="C50" s="110" t="str">
        <f>A50 &amp; " " &amp;B50</f>
        <v>45580 1200H</v>
      </c>
      <c r="D50" s="111">
        <v>395</v>
      </c>
      <c r="E50" s="116">
        <v>49.65</v>
      </c>
      <c r="F50" s="250">
        <v>1102.8</v>
      </c>
      <c r="G50" s="251">
        <v>6.2</v>
      </c>
      <c r="H50" s="250">
        <v>72937.850000000006</v>
      </c>
      <c r="I50" s="235">
        <v>882.62</v>
      </c>
      <c r="J50" s="235">
        <v>32761.22</v>
      </c>
      <c r="K50" s="251">
        <v>99.75</v>
      </c>
      <c r="L50" s="250">
        <v>4847.4799999999996</v>
      </c>
      <c r="M50" s="235">
        <v>15.77</v>
      </c>
      <c r="N50" s="235">
        <v>32200.400000000001</v>
      </c>
      <c r="O50" s="235">
        <v>28.4</v>
      </c>
      <c r="P50" s="235">
        <v>488.43</v>
      </c>
      <c r="Q50" s="235">
        <v>590.20000000000005</v>
      </c>
      <c r="R50" s="235">
        <v>9410.7900000000009</v>
      </c>
      <c r="S50" s="235">
        <v>9.0399999999999991</v>
      </c>
      <c r="T50" s="235">
        <v>34997</v>
      </c>
      <c r="U50" s="235">
        <v>69</v>
      </c>
      <c r="V50" s="235">
        <v>180.09</v>
      </c>
      <c r="W50" s="235">
        <v>0.14000000000000001</v>
      </c>
      <c r="X50" s="235">
        <v>5656.77</v>
      </c>
      <c r="Y50" s="235">
        <v>0</v>
      </c>
      <c r="Z50" s="235"/>
      <c r="AA50" s="251"/>
      <c r="AB50" s="235"/>
      <c r="AC50" s="252"/>
      <c r="AD50" s="235"/>
      <c r="AE50" s="251"/>
    </row>
    <row r="51" spans="1:31" ht="6.95" customHeight="1">
      <c r="F51" s="253"/>
      <c r="G51" s="254"/>
      <c r="H51" s="253"/>
      <c r="I51" s="255"/>
      <c r="J51" s="255"/>
      <c r="K51" s="255"/>
      <c r="L51" s="253"/>
      <c r="M51" s="255"/>
      <c r="N51" s="255"/>
      <c r="O51" s="255"/>
      <c r="P51" s="255"/>
      <c r="Q51" s="255"/>
      <c r="R51" s="255"/>
      <c r="S51" s="255"/>
      <c r="T51" s="255"/>
      <c r="U51" s="255"/>
      <c r="V51" s="255"/>
      <c r="W51" s="255"/>
      <c r="X51" s="255"/>
      <c r="Y51" s="255"/>
      <c r="Z51" s="255"/>
      <c r="AA51" s="255"/>
      <c r="AB51" s="355"/>
      <c r="AC51" s="256"/>
      <c r="AD51" s="355"/>
      <c r="AE51" s="255"/>
    </row>
    <row r="52" spans="1:31">
      <c r="A52" s="102">
        <f>A49+1</f>
        <v>45581</v>
      </c>
      <c r="B52" s="102" t="s">
        <v>3503</v>
      </c>
      <c r="C52" s="110" t="str">
        <f>A52 &amp; " " &amp;B52</f>
        <v>45581 0000H</v>
      </c>
      <c r="D52" s="111">
        <v>399.54</v>
      </c>
      <c r="E52" s="116">
        <v>49.65</v>
      </c>
      <c r="F52" s="250">
        <v>1102.8</v>
      </c>
      <c r="G52" s="251">
        <v>6.2</v>
      </c>
      <c r="H52" s="250">
        <v>72948.22</v>
      </c>
      <c r="I52" s="235">
        <v>882.62</v>
      </c>
      <c r="J52" s="235">
        <v>32765.08</v>
      </c>
      <c r="K52" s="251">
        <v>99.75</v>
      </c>
      <c r="L52" s="250">
        <v>4853.2700000000004</v>
      </c>
      <c r="M52" s="235">
        <v>15.77</v>
      </c>
      <c r="N52" s="235">
        <v>32208.2</v>
      </c>
      <c r="O52" s="235">
        <v>28.4</v>
      </c>
      <c r="P52" s="235">
        <v>490.35</v>
      </c>
      <c r="Q52" s="235">
        <v>590.47</v>
      </c>
      <c r="R52" s="235">
        <v>9415.25</v>
      </c>
      <c r="S52" s="235">
        <v>9.0399999999999991</v>
      </c>
      <c r="T52" s="235">
        <v>35005</v>
      </c>
      <c r="U52" s="235">
        <v>69</v>
      </c>
      <c r="V52" s="235">
        <v>180.09</v>
      </c>
      <c r="W52" s="235">
        <v>0.14000000000000001</v>
      </c>
      <c r="X52" s="235">
        <v>5664.11</v>
      </c>
      <c r="Y52" s="235">
        <v>0</v>
      </c>
      <c r="Z52" s="235"/>
      <c r="AA52" s="251"/>
      <c r="AB52" s="235"/>
      <c r="AC52" s="252"/>
      <c r="AD52" s="235"/>
      <c r="AE52" s="251"/>
    </row>
    <row r="53" spans="1:31">
      <c r="A53" s="102">
        <f>A50+1</f>
        <v>45581</v>
      </c>
      <c r="B53" s="102" t="s">
        <v>3504</v>
      </c>
      <c r="C53" s="110" t="str">
        <f>A53 &amp; " " &amp;B53</f>
        <v>45581 1200H</v>
      </c>
      <c r="D53" s="111">
        <v>403.12</v>
      </c>
      <c r="E53" s="116">
        <v>49.65</v>
      </c>
      <c r="F53" s="250">
        <v>1102.8</v>
      </c>
      <c r="G53" s="251">
        <v>6.2</v>
      </c>
      <c r="H53" s="250">
        <v>72958.679999999993</v>
      </c>
      <c r="I53" s="235">
        <v>882.62</v>
      </c>
      <c r="J53" s="235"/>
      <c r="K53" s="251"/>
      <c r="L53" s="250">
        <v>4859.01</v>
      </c>
      <c r="M53" s="235">
        <v>15.77</v>
      </c>
      <c r="N53" s="235">
        <v>32213.200000000001</v>
      </c>
      <c r="O53" s="235">
        <v>28.4</v>
      </c>
      <c r="P53" s="235">
        <v>490.8</v>
      </c>
      <c r="Q53" s="235">
        <v>591.29</v>
      </c>
      <c r="R53" s="235">
        <v>9418.7800000000007</v>
      </c>
      <c r="S53" s="235">
        <v>9.0399999999999991</v>
      </c>
      <c r="T53" s="235">
        <v>35011</v>
      </c>
      <c r="U53" s="235">
        <v>69</v>
      </c>
      <c r="V53" s="235">
        <v>180.09</v>
      </c>
      <c r="W53" s="235">
        <v>0.14000000000000001</v>
      </c>
      <c r="X53" s="235">
        <v>5670.39</v>
      </c>
      <c r="Y53" s="235"/>
      <c r="Z53" s="235"/>
      <c r="AA53" s="251"/>
      <c r="AB53" s="235"/>
      <c r="AC53" s="252"/>
      <c r="AD53" s="235"/>
      <c r="AE53" s="251"/>
    </row>
    <row r="54" spans="1:31" ht="6.95" customHeight="1">
      <c r="F54" s="253"/>
      <c r="G54" s="254"/>
      <c r="H54" s="253"/>
      <c r="I54" s="255"/>
      <c r="J54" s="255"/>
      <c r="K54" s="255"/>
      <c r="L54" s="253"/>
      <c r="M54" s="255"/>
      <c r="N54" s="255"/>
      <c r="O54" s="255"/>
      <c r="P54" s="255"/>
      <c r="Q54" s="255"/>
      <c r="R54" s="255"/>
      <c r="S54" s="255"/>
      <c r="T54" s="255"/>
      <c r="U54" s="255"/>
      <c r="V54" s="255"/>
      <c r="W54" s="255"/>
      <c r="X54" s="255"/>
      <c r="Y54" s="255"/>
      <c r="Z54" s="255"/>
      <c r="AA54" s="255"/>
      <c r="AB54" s="355"/>
      <c r="AC54" s="256"/>
      <c r="AD54" s="355"/>
      <c r="AE54" s="255"/>
    </row>
    <row r="55" spans="1:31">
      <c r="A55" s="102">
        <f>A52+1</f>
        <v>45582</v>
      </c>
      <c r="B55" s="102" t="s">
        <v>3503</v>
      </c>
      <c r="C55" s="110" t="str">
        <f>A55 &amp; " " &amp;B55</f>
        <v>45582 0000H</v>
      </c>
      <c r="D55" s="111">
        <v>404.58</v>
      </c>
      <c r="E55" s="116">
        <v>49.65</v>
      </c>
      <c r="F55" s="250">
        <v>1102.8</v>
      </c>
      <c r="G55" s="251">
        <v>6.2</v>
      </c>
      <c r="H55" s="250">
        <v>72967.11</v>
      </c>
      <c r="I55" s="235">
        <v>882.7</v>
      </c>
      <c r="J55" s="235">
        <v>32771.25</v>
      </c>
      <c r="K55" s="251">
        <v>99.79</v>
      </c>
      <c r="L55" s="250">
        <v>4864.8</v>
      </c>
      <c r="M55" s="235">
        <v>15.77</v>
      </c>
      <c r="N55" s="235">
        <v>32221.1</v>
      </c>
      <c r="O55" s="235">
        <v>28.4</v>
      </c>
      <c r="P55" s="235">
        <v>492.17</v>
      </c>
      <c r="Q55" s="235">
        <v>591.71</v>
      </c>
      <c r="R55" s="235">
        <v>9422.84</v>
      </c>
      <c r="S55" s="235">
        <v>9.0399999999999991</v>
      </c>
      <c r="T55" s="235">
        <v>35018</v>
      </c>
      <c r="U55" s="235">
        <v>69</v>
      </c>
      <c r="V55" s="235">
        <v>180.09</v>
      </c>
      <c r="W55" s="235">
        <v>0.14000000000000001</v>
      </c>
      <c r="X55" s="235">
        <v>5677.56</v>
      </c>
      <c r="Y55" s="235">
        <v>0</v>
      </c>
      <c r="Z55" s="235"/>
      <c r="AA55" s="251"/>
      <c r="AB55" s="235"/>
      <c r="AC55" s="252"/>
      <c r="AD55" s="235"/>
      <c r="AE55" s="251"/>
    </row>
    <row r="56" spans="1:31">
      <c r="A56" s="102">
        <f>A53+1</f>
        <v>45582</v>
      </c>
      <c r="B56" s="102" t="s">
        <v>3504</v>
      </c>
      <c r="C56" s="110" t="str">
        <f>A56 &amp; " " &amp;B56</f>
        <v>45582 1200H</v>
      </c>
      <c r="D56" s="111">
        <v>411.52</v>
      </c>
      <c r="E56" s="116">
        <v>49.65</v>
      </c>
      <c r="F56" s="250">
        <v>1102.8</v>
      </c>
      <c r="G56" s="251">
        <v>6.2</v>
      </c>
      <c r="H56" s="250">
        <v>72974.429999999993</v>
      </c>
      <c r="I56" s="235">
        <v>882.8</v>
      </c>
      <c r="J56" s="235">
        <v>32773.440000000002</v>
      </c>
      <c r="K56" s="251">
        <v>99.82</v>
      </c>
      <c r="L56" s="250">
        <v>4870.6099999999997</v>
      </c>
      <c r="M56" s="235">
        <v>15.77</v>
      </c>
      <c r="N56" s="235">
        <v>32224.9</v>
      </c>
      <c r="O56" s="235">
        <v>28.4</v>
      </c>
      <c r="P56" s="235">
        <v>493.37</v>
      </c>
      <c r="Q56" s="235">
        <v>592.27</v>
      </c>
      <c r="R56" s="235">
        <v>9426.4500000000007</v>
      </c>
      <c r="S56" s="235">
        <v>9.0399999999999991</v>
      </c>
      <c r="T56" s="235">
        <v>35024</v>
      </c>
      <c r="U56" s="235">
        <v>69</v>
      </c>
      <c r="V56" s="235">
        <v>181.43</v>
      </c>
      <c r="W56" s="235">
        <v>0.14000000000000001</v>
      </c>
      <c r="X56" s="235">
        <v>5683.81</v>
      </c>
      <c r="Y56" s="235">
        <v>0</v>
      </c>
      <c r="Z56" s="235"/>
      <c r="AA56" s="251"/>
      <c r="AB56" s="235"/>
      <c r="AC56" s="252"/>
      <c r="AD56" s="235"/>
      <c r="AE56" s="251"/>
    </row>
    <row r="57" spans="1:31" ht="6.95" customHeight="1">
      <c r="F57" s="253"/>
      <c r="G57" s="254"/>
      <c r="H57" s="253"/>
      <c r="I57" s="255"/>
      <c r="J57" s="255"/>
      <c r="K57" s="255"/>
      <c r="L57" s="253"/>
      <c r="M57" s="255"/>
      <c r="N57" s="255"/>
      <c r="O57" s="255"/>
      <c r="P57" s="255"/>
      <c r="Q57" s="255"/>
      <c r="R57" s="255"/>
      <c r="S57" s="255"/>
      <c r="T57" s="255"/>
      <c r="U57" s="255"/>
      <c r="V57" s="255"/>
      <c r="W57" s="255"/>
      <c r="X57" s="255"/>
      <c r="Y57" s="255"/>
      <c r="Z57" s="255"/>
      <c r="AA57" s="255"/>
      <c r="AB57" s="355"/>
      <c r="AC57" s="256"/>
      <c r="AD57" s="355"/>
      <c r="AE57" s="255"/>
    </row>
    <row r="58" spans="1:31">
      <c r="A58" s="102">
        <f>A55+1</f>
        <v>45583</v>
      </c>
      <c r="B58" s="102" t="s">
        <v>3503</v>
      </c>
      <c r="C58" s="110" t="str">
        <f>A58 &amp; " " &amp;B58</f>
        <v>45583 0000H</v>
      </c>
      <c r="D58" s="111">
        <v>416.09</v>
      </c>
      <c r="E58" s="116">
        <v>49.65</v>
      </c>
      <c r="F58" s="250">
        <v>1102.8</v>
      </c>
      <c r="G58" s="251">
        <v>6.2</v>
      </c>
      <c r="H58" s="250">
        <v>72984.600000000006</v>
      </c>
      <c r="I58" s="235">
        <v>882.8</v>
      </c>
      <c r="J58" s="235">
        <v>32775.440000000002</v>
      </c>
      <c r="K58" s="251">
        <v>99.85</v>
      </c>
      <c r="L58" s="250">
        <v>4876.38</v>
      </c>
      <c r="M58" s="235">
        <v>15.77</v>
      </c>
      <c r="N58" s="235">
        <v>32230.7</v>
      </c>
      <c r="O58" s="235">
        <v>28.4</v>
      </c>
      <c r="P58" s="235">
        <v>495.92</v>
      </c>
      <c r="Q58" s="235">
        <v>592.35</v>
      </c>
      <c r="R58" s="235">
        <v>9430.7199999999993</v>
      </c>
      <c r="S58" s="235">
        <v>9.0399999999999991</v>
      </c>
      <c r="T58" s="235">
        <v>35032</v>
      </c>
      <c r="U58" s="235">
        <v>69</v>
      </c>
      <c r="V58" s="235">
        <v>184.34</v>
      </c>
      <c r="W58" s="235">
        <v>0.14000000000000001</v>
      </c>
      <c r="X58" s="235">
        <v>5691.1</v>
      </c>
      <c r="Y58" s="235">
        <v>0</v>
      </c>
      <c r="Z58" s="235"/>
      <c r="AA58" s="251"/>
      <c r="AB58" s="235"/>
      <c r="AC58" s="252"/>
      <c r="AD58" s="235"/>
      <c r="AE58" s="251"/>
    </row>
    <row r="59" spans="1:31">
      <c r="A59" s="102">
        <f>A56+1</f>
        <v>45583</v>
      </c>
      <c r="B59" s="102" t="s">
        <v>3504</v>
      </c>
      <c r="C59" s="110" t="str">
        <f>A59 &amp; " " &amp;B59</f>
        <v>45583 1200H</v>
      </c>
      <c r="D59" s="111">
        <v>419.71</v>
      </c>
      <c r="E59" s="116">
        <v>49.65</v>
      </c>
      <c r="F59" s="250">
        <v>1102.8</v>
      </c>
      <c r="G59" s="251">
        <v>6.2</v>
      </c>
      <c r="H59" s="250">
        <v>72989.259999999995</v>
      </c>
      <c r="I59" s="235">
        <v>883.07</v>
      </c>
      <c r="J59" s="235">
        <v>32777.31</v>
      </c>
      <c r="K59" s="251">
        <v>99.89</v>
      </c>
      <c r="L59" s="250">
        <v>4882.2</v>
      </c>
      <c r="M59" s="235">
        <v>15.77</v>
      </c>
      <c r="N59" s="235">
        <v>32232.5</v>
      </c>
      <c r="O59" s="235">
        <v>28.4</v>
      </c>
      <c r="P59" s="235">
        <v>497.11</v>
      </c>
      <c r="Q59" s="235">
        <v>592.41</v>
      </c>
      <c r="R59" s="235">
        <v>9434.31</v>
      </c>
      <c r="S59" s="235">
        <v>9.0399999999999991</v>
      </c>
      <c r="T59" s="235">
        <v>35038</v>
      </c>
      <c r="U59" s="235">
        <v>69</v>
      </c>
      <c r="V59" s="235">
        <v>185.96</v>
      </c>
      <c r="W59" s="235">
        <v>0.14000000000000001</v>
      </c>
      <c r="X59" s="235">
        <v>5697.37</v>
      </c>
      <c r="Y59" s="235">
        <v>0</v>
      </c>
      <c r="Z59" s="235"/>
      <c r="AA59" s="251"/>
      <c r="AB59" s="235"/>
      <c r="AC59" s="252"/>
      <c r="AD59" s="235"/>
      <c r="AE59" s="251"/>
    </row>
    <row r="60" spans="1:31" ht="6.95" customHeight="1">
      <c r="F60" s="253"/>
      <c r="G60" s="254"/>
      <c r="H60" s="253"/>
      <c r="I60" s="255"/>
      <c r="J60" s="255"/>
      <c r="K60" s="255"/>
      <c r="L60" s="253"/>
      <c r="M60" s="255"/>
      <c r="N60" s="255"/>
      <c r="O60" s="255"/>
      <c r="P60" s="255"/>
      <c r="Q60" s="255"/>
      <c r="R60" s="255"/>
      <c r="S60" s="255"/>
      <c r="T60" s="255"/>
      <c r="U60" s="255"/>
      <c r="V60" s="255"/>
      <c r="W60" s="255"/>
      <c r="X60" s="255"/>
      <c r="Y60" s="255"/>
      <c r="Z60" s="255"/>
      <c r="AA60" s="255"/>
      <c r="AB60" s="355"/>
      <c r="AC60" s="256"/>
      <c r="AD60" s="355"/>
      <c r="AE60" s="255"/>
    </row>
    <row r="61" spans="1:31">
      <c r="A61" s="102">
        <f>A58+1</f>
        <v>45584</v>
      </c>
      <c r="B61" s="102" t="s">
        <v>3503</v>
      </c>
      <c r="C61" s="110" t="str">
        <f>A61 &amp; " " &amp;B61</f>
        <v>45584 0000H</v>
      </c>
      <c r="D61" s="111">
        <v>424.35</v>
      </c>
      <c r="E61" s="116">
        <v>49.65</v>
      </c>
      <c r="F61" s="250">
        <v>1102.8</v>
      </c>
      <c r="G61" s="251">
        <v>6.2</v>
      </c>
      <c r="H61" s="250">
        <v>72999.7</v>
      </c>
      <c r="I61" s="235">
        <v>883.07</v>
      </c>
      <c r="J61" s="235">
        <v>32781.01</v>
      </c>
      <c r="K61" s="251">
        <v>99.89</v>
      </c>
      <c r="L61" s="250">
        <v>4887.95</v>
      </c>
      <c r="M61" s="235">
        <v>15.77</v>
      </c>
      <c r="N61" s="235">
        <v>32236.400000000001</v>
      </c>
      <c r="O61" s="235">
        <v>28.4</v>
      </c>
      <c r="P61" s="235">
        <v>498.88</v>
      </c>
      <c r="Q61" s="235">
        <v>592.46</v>
      </c>
      <c r="R61" s="235">
        <v>9438.59</v>
      </c>
      <c r="S61" s="235">
        <v>9.0399999999999991</v>
      </c>
      <c r="T61" s="235">
        <v>35046</v>
      </c>
      <c r="U61" s="235">
        <v>69</v>
      </c>
      <c r="V61" s="235">
        <v>189.96</v>
      </c>
      <c r="W61" s="235">
        <v>0.14000000000000001</v>
      </c>
      <c r="X61" s="235">
        <v>5704.5</v>
      </c>
      <c r="Y61" s="235">
        <v>0</v>
      </c>
      <c r="Z61" s="235"/>
      <c r="AA61" s="251"/>
      <c r="AB61" s="235"/>
      <c r="AC61" s="252"/>
      <c r="AD61" s="235"/>
      <c r="AE61" s="251"/>
    </row>
    <row r="62" spans="1:31">
      <c r="A62" s="102">
        <f>A59+1</f>
        <v>45584</v>
      </c>
      <c r="B62" s="102" t="s">
        <v>3504</v>
      </c>
      <c r="C62" s="110" t="str">
        <f>A62 &amp; " " &amp;B62</f>
        <v>45584 1200H</v>
      </c>
      <c r="D62" s="111">
        <v>427.75</v>
      </c>
      <c r="E62" s="116">
        <v>49.65</v>
      </c>
      <c r="F62" s="250">
        <v>1102.8</v>
      </c>
      <c r="G62" s="251">
        <v>6.2</v>
      </c>
      <c r="H62" s="250">
        <v>73010.179999999993</v>
      </c>
      <c r="I62" s="235">
        <v>883.07</v>
      </c>
      <c r="J62" s="235">
        <v>32782.300000000003</v>
      </c>
      <c r="K62" s="251">
        <v>99.97</v>
      </c>
      <c r="L62" s="250">
        <v>4893.5600000000004</v>
      </c>
      <c r="M62" s="235">
        <v>15.77</v>
      </c>
      <c r="N62" s="235">
        <v>32240.3</v>
      </c>
      <c r="O62" s="235">
        <v>28.4</v>
      </c>
      <c r="P62" s="235">
        <v>499.3</v>
      </c>
      <c r="Q62" s="235">
        <v>593.30999999999995</v>
      </c>
      <c r="R62" s="235">
        <v>9442.31</v>
      </c>
      <c r="S62" s="235">
        <v>9.0399999999999991</v>
      </c>
      <c r="T62" s="235">
        <v>35052</v>
      </c>
      <c r="U62" s="235">
        <v>69</v>
      </c>
      <c r="V62" s="235">
        <v>190.47</v>
      </c>
      <c r="W62" s="235">
        <v>0.14000000000000001</v>
      </c>
      <c r="X62" s="235">
        <v>5710.23</v>
      </c>
      <c r="Y62" s="235">
        <v>0</v>
      </c>
      <c r="Z62" s="235"/>
      <c r="AA62" s="251"/>
      <c r="AB62" s="235"/>
      <c r="AC62" s="252"/>
      <c r="AD62" s="235"/>
      <c r="AE62" s="251"/>
    </row>
    <row r="63" spans="1:31" ht="6.95" customHeight="1">
      <c r="F63" s="253"/>
      <c r="G63" s="254"/>
      <c r="H63" s="253"/>
      <c r="I63" s="255"/>
      <c r="J63" s="255"/>
      <c r="K63" s="255"/>
      <c r="L63" s="253"/>
      <c r="M63" s="255"/>
      <c r="N63" s="255"/>
      <c r="O63" s="255"/>
      <c r="P63" s="255"/>
      <c r="Q63" s="255"/>
      <c r="R63" s="255"/>
      <c r="S63" s="255"/>
      <c r="T63" s="255"/>
      <c r="U63" s="255"/>
      <c r="V63" s="255"/>
      <c r="W63" s="255"/>
      <c r="X63" s="255"/>
      <c r="Y63" s="255"/>
      <c r="Z63" s="255"/>
      <c r="AA63" s="255"/>
      <c r="AB63" s="355"/>
      <c r="AC63" s="256"/>
      <c r="AD63" s="355"/>
      <c r="AE63" s="255"/>
    </row>
    <row r="64" spans="1:31">
      <c r="A64" s="102">
        <f>A61+1</f>
        <v>45585</v>
      </c>
      <c r="B64" s="102" t="s">
        <v>3503</v>
      </c>
      <c r="C64" s="110" t="str">
        <f>A64 &amp; " " &amp;B64</f>
        <v>45585 0000H</v>
      </c>
      <c r="D64" s="111">
        <v>432.56</v>
      </c>
      <c r="E64" s="116">
        <v>49.65</v>
      </c>
      <c r="F64" s="250">
        <v>1102.8</v>
      </c>
      <c r="G64" s="251">
        <v>6.2</v>
      </c>
      <c r="H64" s="250">
        <v>73020.679999999993</v>
      </c>
      <c r="I64" s="235">
        <v>883.07</v>
      </c>
      <c r="J64" s="235">
        <v>32785.46</v>
      </c>
      <c r="K64" s="251">
        <v>99.99</v>
      </c>
      <c r="L64" s="250">
        <v>4899.3599999999997</v>
      </c>
      <c r="M64" s="235">
        <v>15.77</v>
      </c>
      <c r="N64" s="235">
        <v>32244.1</v>
      </c>
      <c r="O64" s="235">
        <v>28.4</v>
      </c>
      <c r="P64" s="235">
        <v>501.05</v>
      </c>
      <c r="Q64" s="235">
        <v>593.58000000000004</v>
      </c>
      <c r="R64" s="235">
        <v>9446.85</v>
      </c>
      <c r="S64" s="235">
        <v>9.0399999999999991</v>
      </c>
      <c r="T64" s="235">
        <v>35059</v>
      </c>
      <c r="U64" s="235">
        <v>69</v>
      </c>
      <c r="V64" s="235">
        <v>191.61</v>
      </c>
      <c r="W64" s="235">
        <v>0.14000000000000001</v>
      </c>
      <c r="X64" s="235">
        <v>5717</v>
      </c>
      <c r="Y64" s="235">
        <v>0</v>
      </c>
      <c r="Z64" s="235"/>
      <c r="AA64" s="251"/>
      <c r="AB64" s="235"/>
      <c r="AC64" s="252"/>
      <c r="AD64" s="235"/>
      <c r="AE64" s="251"/>
    </row>
    <row r="65" spans="1:31">
      <c r="A65" s="102">
        <f>A62+1</f>
        <v>45585</v>
      </c>
      <c r="B65" s="102" t="s">
        <v>3504</v>
      </c>
      <c r="C65" s="110" t="str">
        <f>A65 &amp; " " &amp;B65</f>
        <v>45585 1200H</v>
      </c>
      <c r="D65" s="111">
        <v>435.7</v>
      </c>
      <c r="E65" s="116">
        <v>49.65</v>
      </c>
      <c r="F65" s="250">
        <v>1102.8</v>
      </c>
      <c r="G65" s="251">
        <v>6.2</v>
      </c>
      <c r="H65" s="250">
        <v>73029.919999999998</v>
      </c>
      <c r="I65" s="235">
        <v>883.08</v>
      </c>
      <c r="J65" s="235">
        <v>32786.379999999997</v>
      </c>
      <c r="K65" s="251">
        <v>100.04</v>
      </c>
      <c r="L65" s="250">
        <v>4904.84</v>
      </c>
      <c r="M65" s="235">
        <v>15.77</v>
      </c>
      <c r="N65" s="235">
        <v>32247.7</v>
      </c>
      <c r="O65" s="235">
        <v>28.4</v>
      </c>
      <c r="P65" s="235">
        <v>501.07</v>
      </c>
      <c r="Q65" s="235">
        <v>594.71</v>
      </c>
      <c r="R65" s="235">
        <v>9450.4599999999991</v>
      </c>
      <c r="S65" s="235">
        <v>9.0399999999999991</v>
      </c>
      <c r="T65" s="235">
        <v>35065</v>
      </c>
      <c r="U65" s="235">
        <v>69</v>
      </c>
      <c r="V65" s="235">
        <v>192.24</v>
      </c>
      <c r="W65" s="235">
        <v>0.14000000000000001</v>
      </c>
      <c r="X65" s="235">
        <v>5723.03</v>
      </c>
      <c r="Y65" s="235">
        <v>0</v>
      </c>
      <c r="Z65" s="235"/>
      <c r="AA65" s="251"/>
      <c r="AB65" s="235"/>
      <c r="AC65" s="252"/>
      <c r="AD65" s="235"/>
      <c r="AE65" s="251"/>
    </row>
    <row r="66" spans="1:31" ht="6.95" customHeight="1">
      <c r="F66" s="253"/>
      <c r="G66" s="254"/>
      <c r="H66" s="253"/>
      <c r="I66" s="255"/>
      <c r="J66" s="255"/>
      <c r="K66" s="255"/>
      <c r="L66" s="253"/>
      <c r="M66" s="255"/>
      <c r="N66" s="255"/>
      <c r="O66" s="255"/>
      <c r="P66" s="255"/>
      <c r="Q66" s="255"/>
      <c r="R66" s="255"/>
      <c r="S66" s="255"/>
      <c r="T66" s="255"/>
      <c r="U66" s="255"/>
      <c r="V66" s="255"/>
      <c r="W66" s="255"/>
      <c r="X66" s="255"/>
      <c r="Y66" s="255"/>
      <c r="Z66" s="255"/>
      <c r="AA66" s="255"/>
      <c r="AB66" s="355"/>
      <c r="AC66" s="256"/>
      <c r="AD66" s="355"/>
      <c r="AE66" s="255"/>
    </row>
    <row r="67" spans="1:31">
      <c r="A67" s="102">
        <f>A64+1</f>
        <v>45586</v>
      </c>
      <c r="B67" s="102" t="s">
        <v>3503</v>
      </c>
      <c r="C67" s="110" t="str">
        <f>A67 &amp; " " &amp;B67</f>
        <v>45586 0000H</v>
      </c>
      <c r="D67" s="111">
        <v>440.26</v>
      </c>
      <c r="E67" s="116">
        <v>49.65</v>
      </c>
      <c r="F67" s="250">
        <v>1102.8</v>
      </c>
      <c r="G67" s="251">
        <v>6.2</v>
      </c>
      <c r="H67" s="250">
        <v>73039.94</v>
      </c>
      <c r="I67" s="235">
        <v>883.03</v>
      </c>
      <c r="J67" s="235">
        <v>32790.01</v>
      </c>
      <c r="K67" s="251">
        <v>100.04</v>
      </c>
      <c r="L67" s="250">
        <v>4910.62</v>
      </c>
      <c r="M67" s="235">
        <v>15.77</v>
      </c>
      <c r="N67" s="235">
        <v>32251.200000000001</v>
      </c>
      <c r="O67" s="235">
        <v>28.4</v>
      </c>
      <c r="P67" s="235">
        <v>501.32</v>
      </c>
      <c r="Q67" s="235">
        <v>595.63</v>
      </c>
      <c r="R67" s="235">
        <v>9455.0400000000009</v>
      </c>
      <c r="S67" s="235">
        <v>9.0399999999999991</v>
      </c>
      <c r="T67" s="235">
        <v>35071</v>
      </c>
      <c r="U67" s="235">
        <v>69</v>
      </c>
      <c r="V67" s="235">
        <v>194.15</v>
      </c>
      <c r="W67" s="235">
        <v>0.14000000000000001</v>
      </c>
      <c r="X67" s="235">
        <v>5728.81</v>
      </c>
      <c r="Y67" s="235">
        <v>0</v>
      </c>
      <c r="Z67" s="235"/>
      <c r="AA67" s="251"/>
      <c r="AB67" s="235"/>
      <c r="AC67" s="252"/>
      <c r="AD67" s="235"/>
      <c r="AE67" s="251"/>
    </row>
    <row r="68" spans="1:31">
      <c r="A68" s="102">
        <f>A65+1</f>
        <v>45586</v>
      </c>
      <c r="B68" s="102" t="s">
        <v>3504</v>
      </c>
      <c r="C68" s="110" t="str">
        <f>A68 &amp; " " &amp;B68</f>
        <v>45586 1200H</v>
      </c>
      <c r="D68" s="111">
        <v>443.75</v>
      </c>
      <c r="E68" s="116">
        <v>49.65</v>
      </c>
      <c r="F68" s="250">
        <v>1102.8</v>
      </c>
      <c r="G68" s="251">
        <v>6.2</v>
      </c>
      <c r="H68" s="250">
        <v>73049.77</v>
      </c>
      <c r="I68" s="235">
        <v>883.08</v>
      </c>
      <c r="J68" s="235">
        <v>32791.269999999997</v>
      </c>
      <c r="K68" s="251">
        <v>100.1</v>
      </c>
      <c r="L68" s="250">
        <v>4916.29</v>
      </c>
      <c r="M68" s="235">
        <v>15.77</v>
      </c>
      <c r="N68" s="235">
        <v>32254.799999999999</v>
      </c>
      <c r="O68" s="235">
        <v>28.4</v>
      </c>
      <c r="P68" s="235">
        <v>501.57</v>
      </c>
      <c r="Q68" s="235">
        <v>596</v>
      </c>
      <c r="R68" s="235">
        <v>9458</v>
      </c>
      <c r="S68" s="235">
        <v>9.0399999999999991</v>
      </c>
      <c r="T68" s="235">
        <v>35077</v>
      </c>
      <c r="U68" s="235">
        <v>69</v>
      </c>
      <c r="V68" s="235">
        <v>195.44</v>
      </c>
      <c r="W68" s="235">
        <v>0.14000000000000001</v>
      </c>
      <c r="X68" s="235">
        <v>5733.93</v>
      </c>
      <c r="Y68" s="235">
        <v>0</v>
      </c>
      <c r="Z68" s="235"/>
      <c r="AA68" s="251"/>
      <c r="AB68" s="235"/>
      <c r="AC68" s="252"/>
      <c r="AD68" s="235"/>
      <c r="AE68" s="251"/>
    </row>
    <row r="69" spans="1:31" ht="6.95" customHeight="1">
      <c r="F69" s="253"/>
      <c r="G69" s="254"/>
      <c r="H69" s="253"/>
      <c r="I69" s="255"/>
      <c r="J69" s="255"/>
      <c r="K69" s="255"/>
      <c r="L69" s="253"/>
      <c r="M69" s="255"/>
      <c r="N69" s="255"/>
      <c r="O69" s="255"/>
      <c r="P69" s="255"/>
      <c r="Q69" s="255"/>
      <c r="R69" s="255"/>
      <c r="S69" s="255"/>
      <c r="T69" s="255"/>
      <c r="U69" s="255"/>
      <c r="V69" s="255"/>
      <c r="W69" s="255"/>
      <c r="X69" s="255"/>
      <c r="Y69" s="255"/>
      <c r="Z69" s="255"/>
      <c r="AA69" s="255"/>
      <c r="AB69" s="355"/>
      <c r="AC69" s="256"/>
      <c r="AD69" s="355"/>
      <c r="AE69" s="255"/>
    </row>
    <row r="70" spans="1:31">
      <c r="A70" s="102">
        <f>A67+1</f>
        <v>45587</v>
      </c>
      <c r="B70" s="102" t="s">
        <v>3503</v>
      </c>
      <c r="C70" s="110" t="str">
        <f>A70 &amp; " " &amp;B70</f>
        <v>45587 0000H</v>
      </c>
      <c r="D70" s="111">
        <v>448.39</v>
      </c>
      <c r="E70" s="116">
        <v>49.65</v>
      </c>
      <c r="F70" s="250">
        <v>1102.8</v>
      </c>
      <c r="G70" s="251">
        <v>6.2</v>
      </c>
      <c r="H70" s="250">
        <v>73056.13</v>
      </c>
      <c r="I70" s="235">
        <v>883.35</v>
      </c>
      <c r="J70" s="235">
        <v>32794.99</v>
      </c>
      <c r="K70" s="251">
        <v>100.1</v>
      </c>
      <c r="L70" s="250">
        <v>4922.13</v>
      </c>
      <c r="M70" s="235">
        <v>15.77</v>
      </c>
      <c r="N70" s="235">
        <v>32258.6</v>
      </c>
      <c r="O70" s="235">
        <v>28.4</v>
      </c>
      <c r="P70" s="235">
        <v>502.52</v>
      </c>
      <c r="Q70" s="235">
        <v>596.87</v>
      </c>
      <c r="R70" s="235">
        <v>9462.89</v>
      </c>
      <c r="S70" s="235">
        <v>9.0399999999999991</v>
      </c>
      <c r="T70" s="235">
        <v>35083</v>
      </c>
      <c r="U70" s="235">
        <v>69</v>
      </c>
      <c r="V70" s="235">
        <v>198.44</v>
      </c>
      <c r="W70" s="235">
        <v>0.14000000000000001</v>
      </c>
      <c r="X70" s="235">
        <v>5740.26</v>
      </c>
      <c r="Y70" s="235">
        <v>0</v>
      </c>
      <c r="Z70" s="235"/>
      <c r="AA70" s="251"/>
      <c r="AB70" s="235"/>
      <c r="AC70" s="252"/>
      <c r="AD70" s="235"/>
      <c r="AE70" s="251"/>
    </row>
    <row r="71" spans="1:31">
      <c r="A71" s="102">
        <f>A68+1</f>
        <v>45587</v>
      </c>
      <c r="B71" s="102" t="s">
        <v>3504</v>
      </c>
      <c r="C71" s="110" t="str">
        <f>A71 &amp; " " &amp;B71</f>
        <v>45587 1200H</v>
      </c>
      <c r="D71" s="111">
        <v>451.91</v>
      </c>
      <c r="E71" s="116">
        <v>49.65</v>
      </c>
      <c r="F71" s="250">
        <v>1102.8</v>
      </c>
      <c r="G71" s="251">
        <v>6.2</v>
      </c>
      <c r="H71" s="250">
        <v>73064.92</v>
      </c>
      <c r="I71" s="235">
        <v>883.39</v>
      </c>
      <c r="J71" s="235">
        <v>32796.32</v>
      </c>
      <c r="K71" s="251">
        <v>100.13</v>
      </c>
      <c r="L71" s="250">
        <v>4927.6400000000003</v>
      </c>
      <c r="M71" s="235">
        <v>15.77</v>
      </c>
      <c r="N71" s="235">
        <v>32262.3</v>
      </c>
      <c r="O71" s="235">
        <v>28.4</v>
      </c>
      <c r="P71" s="235">
        <v>502.9</v>
      </c>
      <c r="Q71" s="235">
        <v>597.69000000000005</v>
      </c>
      <c r="R71" s="235">
        <v>9466.3799999999992</v>
      </c>
      <c r="S71" s="235">
        <v>9.0399999999999991</v>
      </c>
      <c r="T71" s="235">
        <v>35087</v>
      </c>
      <c r="U71" s="235">
        <v>69</v>
      </c>
      <c r="V71" s="235">
        <v>200.51</v>
      </c>
      <c r="W71" s="235">
        <v>0.14000000000000001</v>
      </c>
      <c r="X71" s="235">
        <v>5745.1</v>
      </c>
      <c r="Y71" s="235">
        <v>0</v>
      </c>
      <c r="Z71" s="235"/>
      <c r="AA71" s="251"/>
      <c r="AB71" s="235"/>
      <c r="AC71" s="252"/>
      <c r="AD71" s="235"/>
      <c r="AE71" s="251"/>
    </row>
    <row r="72" spans="1:31" ht="6.95" customHeight="1">
      <c r="F72" s="253"/>
      <c r="G72" s="254"/>
      <c r="H72" s="253"/>
      <c r="I72" s="255"/>
      <c r="J72" s="255"/>
      <c r="K72" s="255"/>
      <c r="L72" s="253"/>
      <c r="M72" s="255"/>
      <c r="N72" s="255"/>
      <c r="O72" s="255"/>
      <c r="P72" s="255"/>
      <c r="Q72" s="255"/>
      <c r="R72" s="255"/>
      <c r="S72" s="255"/>
      <c r="T72" s="255"/>
      <c r="U72" s="255"/>
      <c r="V72" s="255"/>
      <c r="W72" s="255"/>
      <c r="X72" s="255"/>
      <c r="Y72" s="255"/>
      <c r="Z72" s="255"/>
      <c r="AA72" s="255"/>
      <c r="AB72" s="355"/>
      <c r="AC72" s="256"/>
      <c r="AD72" s="355"/>
      <c r="AE72" s="255"/>
    </row>
    <row r="73" spans="1:31">
      <c r="A73" s="102">
        <f>A70+1</f>
        <v>45588</v>
      </c>
      <c r="B73" s="102" t="s">
        <v>3503</v>
      </c>
      <c r="C73" s="110" t="str">
        <f>A73 &amp; " " &amp;B73</f>
        <v>45588 0000H</v>
      </c>
      <c r="D73" s="111">
        <v>456.36</v>
      </c>
      <c r="E73" s="116">
        <v>49.65</v>
      </c>
      <c r="F73" s="250">
        <v>1102.8</v>
      </c>
      <c r="G73" s="251">
        <v>6.2</v>
      </c>
      <c r="H73" s="250">
        <v>73075.16</v>
      </c>
      <c r="I73" s="235">
        <v>883.29</v>
      </c>
      <c r="J73" s="235">
        <v>32800.01</v>
      </c>
      <c r="K73" s="251">
        <v>100.13</v>
      </c>
      <c r="L73" s="250">
        <v>4933.47</v>
      </c>
      <c r="M73" s="235">
        <v>15.77</v>
      </c>
      <c r="N73" s="235">
        <v>32266.1</v>
      </c>
      <c r="O73" s="235">
        <v>28.4</v>
      </c>
      <c r="P73" s="235">
        <v>503.82</v>
      </c>
      <c r="Q73" s="235">
        <v>598.08000000000004</v>
      </c>
      <c r="R73" s="235">
        <v>9470.56</v>
      </c>
      <c r="S73" s="235">
        <v>9.0399999999999991</v>
      </c>
      <c r="T73" s="235">
        <v>35093</v>
      </c>
      <c r="U73" s="235">
        <v>69</v>
      </c>
      <c r="V73" s="235">
        <v>202.84</v>
      </c>
      <c r="W73" s="235">
        <v>0.14000000000000001</v>
      </c>
      <c r="X73" s="235">
        <v>5751.24</v>
      </c>
      <c r="Y73" s="235">
        <v>0</v>
      </c>
      <c r="Z73" s="235"/>
      <c r="AA73" s="251"/>
      <c r="AB73" s="235"/>
      <c r="AC73" s="252"/>
      <c r="AD73" s="235"/>
      <c r="AE73" s="251"/>
    </row>
    <row r="74" spans="1:31">
      <c r="A74" s="102">
        <f>A71+1</f>
        <v>45588</v>
      </c>
      <c r="B74" s="102" t="s">
        <v>3504</v>
      </c>
      <c r="C74" s="110" t="str">
        <f>A74 &amp; " " &amp;B74</f>
        <v>45588 1200H</v>
      </c>
      <c r="D74" s="111">
        <v>460.25</v>
      </c>
      <c r="E74" s="116">
        <v>49.65</v>
      </c>
      <c r="F74" s="250">
        <v>1102.8</v>
      </c>
      <c r="G74" s="251">
        <v>6.2</v>
      </c>
      <c r="H74" s="250">
        <v>73085.23</v>
      </c>
      <c r="I74" s="235">
        <v>883.29</v>
      </c>
      <c r="J74" s="235">
        <v>32801.08</v>
      </c>
      <c r="K74" s="251">
        <v>100.19</v>
      </c>
      <c r="L74" s="250">
        <v>4939.07</v>
      </c>
      <c r="M74" s="235">
        <v>15.77</v>
      </c>
      <c r="N74" s="235">
        <v>32269.5</v>
      </c>
      <c r="O74" s="235">
        <v>28.4</v>
      </c>
      <c r="P74" s="235">
        <v>504.06</v>
      </c>
      <c r="Q74" s="235">
        <v>599</v>
      </c>
      <c r="R74" s="235">
        <v>9474.0400000000009</v>
      </c>
      <c r="S74" s="235">
        <v>9.0399999999999991</v>
      </c>
      <c r="T74" s="235">
        <v>35099</v>
      </c>
      <c r="U74" s="235">
        <v>69</v>
      </c>
      <c r="V74" s="235">
        <v>204.01</v>
      </c>
      <c r="W74" s="235">
        <v>0.14000000000000001</v>
      </c>
      <c r="X74" s="257">
        <v>5756.71</v>
      </c>
      <c r="Y74" s="235">
        <v>0</v>
      </c>
      <c r="Z74" s="235"/>
      <c r="AA74" s="251"/>
      <c r="AB74" s="235"/>
      <c r="AC74" s="252"/>
      <c r="AD74" s="235"/>
      <c r="AE74" s="251"/>
    </row>
    <row r="75" spans="1:31" ht="6.95" customHeight="1">
      <c r="F75" s="253"/>
      <c r="G75" s="254"/>
      <c r="H75" s="253"/>
      <c r="I75" s="255"/>
      <c r="J75" s="255"/>
      <c r="K75" s="255"/>
      <c r="L75" s="253"/>
      <c r="M75" s="255"/>
      <c r="N75" s="255"/>
      <c r="O75" s="255"/>
      <c r="P75" s="255"/>
      <c r="Q75" s="255"/>
      <c r="R75" s="255"/>
      <c r="S75" s="255"/>
      <c r="T75" s="255"/>
      <c r="U75" s="255"/>
      <c r="V75" s="255"/>
      <c r="W75" s="255"/>
      <c r="X75" s="255"/>
      <c r="Y75" s="255"/>
      <c r="Z75" s="255"/>
      <c r="AA75" s="255"/>
      <c r="AB75" s="355"/>
      <c r="AC75" s="256"/>
      <c r="AD75" s="355"/>
      <c r="AE75" s="255"/>
    </row>
    <row r="76" spans="1:31">
      <c r="A76" s="102">
        <f>A73+1</f>
        <v>45589</v>
      </c>
      <c r="B76" s="102" t="s">
        <v>3503</v>
      </c>
      <c r="C76" s="110" t="str">
        <f>A76 &amp; " " &amp;B76</f>
        <v>45589 0000H</v>
      </c>
      <c r="D76" s="111">
        <v>464.1</v>
      </c>
      <c r="E76" s="116">
        <v>49.65</v>
      </c>
      <c r="F76" s="250">
        <v>1102.8</v>
      </c>
      <c r="G76" s="251">
        <v>6.2</v>
      </c>
      <c r="H76" s="250">
        <v>73091.509999999995</v>
      </c>
      <c r="I76" s="235">
        <v>883.5</v>
      </c>
      <c r="J76" s="235">
        <v>32804.44</v>
      </c>
      <c r="K76" s="251">
        <v>100.19</v>
      </c>
      <c r="L76" s="250">
        <v>4944.72</v>
      </c>
      <c r="M76" s="235">
        <v>15.77</v>
      </c>
      <c r="N76" s="235">
        <v>32273.200000000001</v>
      </c>
      <c r="O76" s="235">
        <v>28.4</v>
      </c>
      <c r="P76" s="235">
        <v>504.11</v>
      </c>
      <c r="Q76" s="235">
        <v>599.99</v>
      </c>
      <c r="R76" s="235">
        <v>9478.1200000000008</v>
      </c>
      <c r="S76" s="235">
        <v>9.0399999999999991</v>
      </c>
      <c r="T76" s="235">
        <v>35104</v>
      </c>
      <c r="U76" s="235">
        <v>69</v>
      </c>
      <c r="V76" s="235">
        <v>204.25</v>
      </c>
      <c r="W76" s="235">
        <v>0.14000000000000001</v>
      </c>
      <c r="X76" s="235">
        <v>5760.84</v>
      </c>
      <c r="Y76" s="235">
        <v>0</v>
      </c>
      <c r="Z76" s="235"/>
      <c r="AA76" s="251"/>
      <c r="AB76" s="235"/>
      <c r="AC76" s="252"/>
      <c r="AD76" s="235"/>
      <c r="AE76" s="251"/>
    </row>
    <row r="77" spans="1:31">
      <c r="A77" s="102">
        <f>A74+1</f>
        <v>45589</v>
      </c>
      <c r="B77" s="102" t="s">
        <v>3504</v>
      </c>
      <c r="C77" s="110" t="str">
        <f>A77 &amp; " " &amp;B77</f>
        <v>45589 1200H</v>
      </c>
      <c r="D77" s="111">
        <v>467.84</v>
      </c>
      <c r="E77" s="116">
        <v>49.65</v>
      </c>
      <c r="F77" s="250">
        <v>1102.8</v>
      </c>
      <c r="G77" s="251">
        <v>6.2</v>
      </c>
      <c r="H77" s="250">
        <v>73091.899999999994</v>
      </c>
      <c r="I77" s="235">
        <v>883.97</v>
      </c>
      <c r="J77" s="235">
        <v>32805</v>
      </c>
      <c r="K77" s="251">
        <v>100.25</v>
      </c>
      <c r="L77" s="250">
        <v>4950.37</v>
      </c>
      <c r="M77" s="235">
        <v>15.77</v>
      </c>
      <c r="N77" s="235">
        <v>32275.8</v>
      </c>
      <c r="O77" s="235">
        <v>29.4</v>
      </c>
      <c r="P77" s="235">
        <v>504.23</v>
      </c>
      <c r="Q77" s="235">
        <v>600.84</v>
      </c>
      <c r="R77" s="235">
        <v>9481.66</v>
      </c>
      <c r="S77" s="235">
        <v>9.0399999999999991</v>
      </c>
      <c r="T77" s="235">
        <v>35109</v>
      </c>
      <c r="U77" s="235">
        <v>69</v>
      </c>
      <c r="V77" s="235">
        <v>204.41</v>
      </c>
      <c r="W77" s="235">
        <v>0.15</v>
      </c>
      <c r="X77" s="235">
        <v>5764.25</v>
      </c>
      <c r="Y77" s="235">
        <v>0</v>
      </c>
      <c r="Z77" s="235"/>
      <c r="AA77" s="251"/>
      <c r="AB77" s="235"/>
      <c r="AC77" s="252"/>
      <c r="AD77" s="235"/>
      <c r="AE77" s="251"/>
    </row>
    <row r="78" spans="1:31" ht="6.95" customHeight="1">
      <c r="F78" s="253"/>
      <c r="G78" s="254"/>
      <c r="H78" s="253"/>
      <c r="I78" s="255"/>
      <c r="J78" s="255"/>
      <c r="K78" s="255"/>
      <c r="L78" s="253"/>
      <c r="M78" s="255"/>
      <c r="N78" s="255"/>
      <c r="O78" s="255"/>
      <c r="P78" s="255"/>
      <c r="Q78" s="255"/>
      <c r="R78" s="255"/>
      <c r="S78" s="255"/>
      <c r="T78" s="255"/>
      <c r="U78" s="255"/>
      <c r="V78" s="255"/>
      <c r="W78" s="255"/>
      <c r="X78" s="255"/>
      <c r="Y78" s="255"/>
      <c r="Z78" s="255"/>
      <c r="AA78" s="255"/>
      <c r="AB78" s="355"/>
      <c r="AC78" s="256"/>
      <c r="AD78" s="355"/>
      <c r="AE78" s="255"/>
    </row>
    <row r="79" spans="1:31">
      <c r="A79" s="102">
        <f>A76+1</f>
        <v>45590</v>
      </c>
      <c r="B79" s="102" t="s">
        <v>3503</v>
      </c>
      <c r="C79" s="110" t="str">
        <f>A79 &amp; " " &amp;B79</f>
        <v>45590 0000H</v>
      </c>
      <c r="D79" s="111">
        <v>472.07</v>
      </c>
      <c r="E79" s="116">
        <v>49.65</v>
      </c>
      <c r="F79" s="250">
        <v>1102.8</v>
      </c>
      <c r="G79" s="251">
        <v>6.2</v>
      </c>
      <c r="H79" s="250">
        <v>73101.740000000005</v>
      </c>
      <c r="I79" s="235">
        <v>883.97</v>
      </c>
      <c r="J79" s="235">
        <v>32808.15</v>
      </c>
      <c r="K79" s="251">
        <v>100.28</v>
      </c>
      <c r="L79" s="250">
        <v>4955.9399999999996</v>
      </c>
      <c r="M79" s="235">
        <v>15.77</v>
      </c>
      <c r="N79" s="235">
        <v>32279.4</v>
      </c>
      <c r="O79" s="235">
        <v>28.4</v>
      </c>
      <c r="P79" s="235">
        <v>504.27</v>
      </c>
      <c r="Q79" s="235">
        <v>601.99</v>
      </c>
      <c r="R79" s="235">
        <v>9485.7999999999993</v>
      </c>
      <c r="S79" s="235">
        <v>9.0399999999999991</v>
      </c>
      <c r="T79" s="235">
        <v>35115</v>
      </c>
      <c r="U79" s="235">
        <v>69</v>
      </c>
      <c r="V79" s="235">
        <v>204.41</v>
      </c>
      <c r="W79" s="235">
        <v>0.15</v>
      </c>
      <c r="X79" s="235">
        <v>5768.48</v>
      </c>
      <c r="Y79" s="235">
        <v>0</v>
      </c>
      <c r="Z79" s="235">
        <v>54150</v>
      </c>
      <c r="AA79" s="251">
        <v>78</v>
      </c>
      <c r="AB79" s="235"/>
      <c r="AC79" s="252"/>
      <c r="AD79" s="235"/>
      <c r="AE79" s="251"/>
    </row>
    <row r="80" spans="1:31">
      <c r="A80" s="102">
        <f>A77+1</f>
        <v>45590</v>
      </c>
      <c r="B80" s="102" t="s">
        <v>3504</v>
      </c>
      <c r="C80" s="110" t="str">
        <f>A80 &amp; " " &amp;B80</f>
        <v>45590 1200H</v>
      </c>
      <c r="D80" s="111">
        <v>475.53</v>
      </c>
      <c r="E80" s="116">
        <v>49.65</v>
      </c>
      <c r="F80" s="250">
        <v>1102.8</v>
      </c>
      <c r="G80" s="251">
        <v>6.2</v>
      </c>
      <c r="H80" s="250">
        <v>73111.7</v>
      </c>
      <c r="I80" s="235">
        <v>883.97</v>
      </c>
      <c r="J80" s="235">
        <v>32809.199999999997</v>
      </c>
      <c r="K80" s="251">
        <v>100.31</v>
      </c>
      <c r="L80" s="250">
        <v>4961.59</v>
      </c>
      <c r="M80" s="235">
        <v>15.77</v>
      </c>
      <c r="N80" s="235">
        <v>32281.3</v>
      </c>
      <c r="O80" s="235">
        <v>28.5</v>
      </c>
      <c r="P80" s="235">
        <v>504.3</v>
      </c>
      <c r="Q80" s="235">
        <v>603.05999999999995</v>
      </c>
      <c r="R80" s="235">
        <v>9489.31</v>
      </c>
      <c r="S80" s="235">
        <v>9.0399999999999991</v>
      </c>
      <c r="T80" s="235">
        <v>35120</v>
      </c>
      <c r="U80" s="235">
        <v>69</v>
      </c>
      <c r="V80" s="235">
        <v>204.73</v>
      </c>
      <c r="W80" s="235">
        <v>0.15</v>
      </c>
      <c r="X80" s="235">
        <v>5773.06</v>
      </c>
      <c r="Y80" s="235">
        <v>0</v>
      </c>
      <c r="Z80" s="235">
        <v>54150</v>
      </c>
      <c r="AA80" s="251">
        <v>78</v>
      </c>
      <c r="AB80" s="235"/>
      <c r="AC80" s="252"/>
      <c r="AD80" s="235"/>
      <c r="AE80" s="251"/>
    </row>
    <row r="81" spans="1:31" ht="6.95" customHeight="1">
      <c r="F81" s="253"/>
      <c r="G81" s="254"/>
      <c r="H81" s="253"/>
      <c r="I81" s="255"/>
      <c r="J81" s="255"/>
      <c r="K81" s="255"/>
      <c r="L81" s="253"/>
      <c r="M81" s="255"/>
      <c r="N81" s="255"/>
      <c r="O81" s="255"/>
      <c r="P81" s="255"/>
      <c r="Q81" s="255"/>
      <c r="R81" s="255"/>
      <c r="S81" s="255"/>
      <c r="T81" s="255"/>
      <c r="U81" s="255"/>
      <c r="V81" s="255"/>
      <c r="W81" s="255"/>
      <c r="X81" s="255"/>
      <c r="Y81" s="255"/>
      <c r="Z81" s="255"/>
      <c r="AA81" s="255"/>
      <c r="AB81" s="355"/>
      <c r="AC81" s="256"/>
      <c r="AD81" s="355"/>
      <c r="AE81" s="255"/>
    </row>
    <row r="82" spans="1:31">
      <c r="A82" s="102">
        <f>A79+1</f>
        <v>45591</v>
      </c>
      <c r="B82" s="102" t="s">
        <v>3503</v>
      </c>
      <c r="C82" s="110" t="str">
        <f>A82 &amp; " " &amp;B82</f>
        <v>45591 0000H</v>
      </c>
      <c r="D82" s="111">
        <v>480.04</v>
      </c>
      <c r="E82" s="116">
        <v>49.65</v>
      </c>
      <c r="F82" s="250">
        <v>1102.8</v>
      </c>
      <c r="G82" s="251">
        <v>6.2</v>
      </c>
      <c r="H82" s="250">
        <v>73121.66</v>
      </c>
      <c r="I82" s="235">
        <v>883.97</v>
      </c>
      <c r="J82" s="235">
        <v>32809.75</v>
      </c>
      <c r="K82" s="251">
        <v>100.44</v>
      </c>
      <c r="L82" s="250">
        <v>4967.33</v>
      </c>
      <c r="M82" s="235">
        <v>15.77</v>
      </c>
      <c r="N82" s="235">
        <v>32285</v>
      </c>
      <c r="O82" s="235">
        <v>28.5</v>
      </c>
      <c r="P82" s="235">
        <v>504.75</v>
      </c>
      <c r="Q82" s="235">
        <v>603.66999999999996</v>
      </c>
      <c r="R82" s="235">
        <v>9493.25</v>
      </c>
      <c r="S82" s="235">
        <v>9.0399999999999991</v>
      </c>
      <c r="T82" s="235">
        <v>35126</v>
      </c>
      <c r="U82" s="235">
        <v>69</v>
      </c>
      <c r="V82" s="235">
        <v>204.73</v>
      </c>
      <c r="W82" s="235">
        <v>0.15</v>
      </c>
      <c r="X82" s="235">
        <v>5776.45</v>
      </c>
      <c r="Y82" s="235">
        <v>0</v>
      </c>
      <c r="Z82" s="235">
        <v>54150</v>
      </c>
      <c r="AA82" s="251">
        <v>78</v>
      </c>
      <c r="AB82" s="235"/>
      <c r="AC82" s="252"/>
      <c r="AD82" s="235"/>
      <c r="AE82" s="251"/>
    </row>
    <row r="83" spans="1:31">
      <c r="A83" s="102">
        <f>A80+1</f>
        <v>45591</v>
      </c>
      <c r="B83" s="102" t="s">
        <v>3504</v>
      </c>
      <c r="C83" s="110" t="str">
        <f>A83 &amp; " " &amp;B83</f>
        <v>45591 1200H</v>
      </c>
      <c r="D83" s="111">
        <v>483.38</v>
      </c>
      <c r="E83" s="116">
        <v>49.66</v>
      </c>
      <c r="F83" s="250">
        <v>1102.8</v>
      </c>
      <c r="G83" s="251">
        <v>6.2</v>
      </c>
      <c r="H83" s="250">
        <v>73129</v>
      </c>
      <c r="I83" s="235">
        <v>884.03</v>
      </c>
      <c r="J83" s="235">
        <v>32809.75</v>
      </c>
      <c r="K83" s="251">
        <v>100.44</v>
      </c>
      <c r="L83" s="250">
        <v>4971.5200000000004</v>
      </c>
      <c r="M83" s="235">
        <v>15.77</v>
      </c>
      <c r="N83" s="235">
        <v>32287.8</v>
      </c>
      <c r="O83" s="235">
        <v>28.5</v>
      </c>
      <c r="P83" s="235">
        <v>504.79</v>
      </c>
      <c r="Q83" s="235">
        <v>604.4</v>
      </c>
      <c r="R83" s="235">
        <v>9495.91</v>
      </c>
      <c r="S83" s="235">
        <v>9.0399999999999991</v>
      </c>
      <c r="T83" s="235">
        <v>35131</v>
      </c>
      <c r="U83" s="235">
        <v>69</v>
      </c>
      <c r="V83" s="235">
        <v>205.96</v>
      </c>
      <c r="W83" s="235">
        <v>0.15</v>
      </c>
      <c r="X83" s="235">
        <v>5781.43</v>
      </c>
      <c r="Y83" s="235">
        <v>0</v>
      </c>
      <c r="Z83" s="235">
        <v>54150</v>
      </c>
      <c r="AA83" s="251">
        <v>78</v>
      </c>
      <c r="AB83" s="235"/>
      <c r="AC83" s="252"/>
      <c r="AD83" s="235"/>
      <c r="AE83" s="251"/>
    </row>
    <row r="84" spans="1:31" ht="6.95" customHeight="1">
      <c r="F84" s="253"/>
      <c r="G84" s="254"/>
      <c r="H84" s="253"/>
      <c r="I84" s="255"/>
      <c r="J84" s="255"/>
      <c r="K84" s="255"/>
      <c r="L84" s="253"/>
      <c r="M84" s="255"/>
      <c r="N84" s="255"/>
      <c r="O84" s="255"/>
      <c r="P84" s="255"/>
      <c r="Q84" s="255"/>
      <c r="R84" s="255"/>
      <c r="S84" s="255"/>
      <c r="T84" s="255"/>
      <c r="U84" s="255"/>
      <c r="V84" s="255"/>
      <c r="W84" s="255"/>
      <c r="X84" s="255"/>
      <c r="Y84" s="255"/>
      <c r="Z84" s="255"/>
      <c r="AA84" s="255"/>
      <c r="AB84" s="355"/>
      <c r="AC84" s="256"/>
      <c r="AD84" s="355"/>
      <c r="AE84" s="255"/>
    </row>
    <row r="85" spans="1:31">
      <c r="A85" s="102">
        <f>A82+1</f>
        <v>45592</v>
      </c>
      <c r="B85" s="102" t="s">
        <v>3503</v>
      </c>
      <c r="C85" s="110" t="str">
        <f>A85 &amp; " " &amp;B85</f>
        <v>45592 0000H</v>
      </c>
      <c r="D85" s="111">
        <v>487.23</v>
      </c>
      <c r="E85" s="116">
        <v>49.66</v>
      </c>
      <c r="F85" s="250">
        <v>1102.8</v>
      </c>
      <c r="G85" s="251">
        <v>6.2</v>
      </c>
      <c r="H85" s="250">
        <v>73139.22</v>
      </c>
      <c r="I85" s="235">
        <v>884.03</v>
      </c>
      <c r="J85" s="235">
        <v>32809.75</v>
      </c>
      <c r="K85" s="251">
        <v>100.44</v>
      </c>
      <c r="L85" s="250">
        <v>4976.8999999999996</v>
      </c>
      <c r="M85" s="235">
        <v>15.77</v>
      </c>
      <c r="N85" s="235">
        <v>32293.5</v>
      </c>
      <c r="O85" s="235">
        <v>28.5</v>
      </c>
      <c r="P85" s="235">
        <v>504.87</v>
      </c>
      <c r="Q85" s="235">
        <v>605.47</v>
      </c>
      <c r="R85" s="235">
        <v>9499.92</v>
      </c>
      <c r="S85" s="235">
        <v>9.0399999999999991</v>
      </c>
      <c r="T85" s="235">
        <v>35136</v>
      </c>
      <c r="U85" s="235">
        <v>69</v>
      </c>
      <c r="V85" s="235">
        <v>205.96</v>
      </c>
      <c r="W85" s="235">
        <v>0.15</v>
      </c>
      <c r="X85" s="235">
        <v>5785.37</v>
      </c>
      <c r="Y85" s="235">
        <v>0</v>
      </c>
      <c r="Z85" s="235">
        <v>54150</v>
      </c>
      <c r="AA85" s="251">
        <v>78</v>
      </c>
      <c r="AB85" s="235"/>
      <c r="AC85" s="252"/>
      <c r="AD85" s="235"/>
      <c r="AE85" s="251"/>
    </row>
    <row r="86" spans="1:31">
      <c r="A86" s="102">
        <f>A83+1</f>
        <v>45592</v>
      </c>
      <c r="B86" s="102" t="s">
        <v>3504</v>
      </c>
      <c r="C86" s="110" t="str">
        <f>A86 &amp; " " &amp;B86</f>
        <v>45592 1200H</v>
      </c>
      <c r="D86" s="111">
        <v>490.59</v>
      </c>
      <c r="E86" s="116">
        <v>49.66</v>
      </c>
      <c r="F86" s="250">
        <v>1102.8</v>
      </c>
      <c r="G86" s="251">
        <v>6.2</v>
      </c>
      <c r="H86" s="250">
        <v>73149</v>
      </c>
      <c r="I86" s="235">
        <v>884.00300000000004</v>
      </c>
      <c r="J86" s="235">
        <v>32809.75</v>
      </c>
      <c r="K86" s="251">
        <v>100.57</v>
      </c>
      <c r="L86" s="250">
        <v>4982.0600000000004</v>
      </c>
      <c r="M86" s="235">
        <v>15.77</v>
      </c>
      <c r="N86" s="235">
        <v>32295.7</v>
      </c>
      <c r="O86" s="235">
        <v>28.6</v>
      </c>
      <c r="P86" s="235">
        <v>505.09</v>
      </c>
      <c r="Q86" s="235">
        <v>606.36</v>
      </c>
      <c r="R86" s="235">
        <v>9502.75</v>
      </c>
      <c r="S86" s="235">
        <v>9.0399999999999991</v>
      </c>
      <c r="T86" s="235">
        <v>35140</v>
      </c>
      <c r="U86" s="235">
        <v>69</v>
      </c>
      <c r="V86" s="235">
        <v>205.96</v>
      </c>
      <c r="W86" s="235">
        <v>0.15</v>
      </c>
      <c r="X86" s="235">
        <v>5789.43</v>
      </c>
      <c r="Y86" s="235">
        <v>0</v>
      </c>
      <c r="Z86" s="235">
        <v>54150</v>
      </c>
      <c r="AA86" s="251">
        <v>78</v>
      </c>
      <c r="AB86" s="235"/>
      <c r="AC86" s="252"/>
      <c r="AD86" s="235"/>
      <c r="AE86" s="251"/>
    </row>
    <row r="87" spans="1:31" ht="6.95" customHeight="1">
      <c r="F87" s="253"/>
      <c r="G87" s="254"/>
      <c r="H87" s="253"/>
      <c r="I87" s="255"/>
      <c r="J87" s="255"/>
      <c r="K87" s="255"/>
      <c r="L87" s="253"/>
      <c r="M87" s="255"/>
      <c r="N87" s="255"/>
      <c r="O87" s="255"/>
      <c r="P87" s="255"/>
      <c r="Q87" s="255"/>
      <c r="R87" s="255"/>
      <c r="S87" s="255"/>
      <c r="T87" s="255"/>
      <c r="U87" s="255"/>
      <c r="V87" s="255"/>
      <c r="W87" s="255"/>
      <c r="X87" s="255"/>
      <c r="Y87" s="255"/>
      <c r="Z87" s="255"/>
      <c r="AA87" s="255"/>
      <c r="AB87" s="355"/>
      <c r="AC87" s="256"/>
      <c r="AD87" s="355"/>
      <c r="AE87" s="255"/>
    </row>
    <row r="88" spans="1:31">
      <c r="A88" s="102">
        <f>A85+1</f>
        <v>45593</v>
      </c>
      <c r="B88" s="102" t="s">
        <v>3503</v>
      </c>
      <c r="C88" s="110" t="str">
        <f>A88 &amp; " " &amp;B88</f>
        <v>45593 0000H</v>
      </c>
      <c r="D88" s="111">
        <v>495.33</v>
      </c>
      <c r="E88" s="116">
        <v>49.66</v>
      </c>
      <c r="F88" s="250">
        <v>1102.8</v>
      </c>
      <c r="G88" s="251">
        <v>6.2</v>
      </c>
      <c r="H88" s="250">
        <v>73157.759999999995</v>
      </c>
      <c r="I88" s="235">
        <v>884.11</v>
      </c>
      <c r="J88" s="235">
        <v>32809.949999999997</v>
      </c>
      <c r="K88" s="251">
        <v>100.65</v>
      </c>
      <c r="L88" s="250">
        <v>4987.41</v>
      </c>
      <c r="M88" s="235">
        <v>15.77</v>
      </c>
      <c r="N88" s="235">
        <v>32302.5</v>
      </c>
      <c r="O88" s="235">
        <v>28.6</v>
      </c>
      <c r="P88" s="235">
        <v>505.48</v>
      </c>
      <c r="Q88" s="235">
        <v>607.02</v>
      </c>
      <c r="R88" s="235">
        <v>9506.91</v>
      </c>
      <c r="S88" s="235">
        <v>9.0399999999999991</v>
      </c>
      <c r="T88" s="235">
        <v>35147</v>
      </c>
      <c r="U88" s="235">
        <v>69</v>
      </c>
      <c r="V88" s="235">
        <v>205.96</v>
      </c>
      <c r="W88" s="235">
        <v>0.15</v>
      </c>
      <c r="X88" s="235">
        <v>5796.29</v>
      </c>
      <c r="Y88" s="235">
        <v>0</v>
      </c>
      <c r="Z88" s="235">
        <v>54150</v>
      </c>
      <c r="AA88" s="251">
        <v>78</v>
      </c>
      <c r="AB88" s="235"/>
      <c r="AC88" s="252"/>
      <c r="AD88" s="235"/>
      <c r="AE88" s="251"/>
    </row>
    <row r="89" spans="1:31">
      <c r="A89" s="102">
        <f>A86+1</f>
        <v>45593</v>
      </c>
      <c r="B89" s="102" t="s">
        <v>3504</v>
      </c>
      <c r="C89" s="110" t="str">
        <f>A89 &amp; " " &amp;B89</f>
        <v>45593 1200H</v>
      </c>
      <c r="D89" s="111">
        <v>498.89</v>
      </c>
      <c r="E89" s="116">
        <v>49.66</v>
      </c>
      <c r="F89" s="250">
        <v>1102.8</v>
      </c>
      <c r="G89" s="251">
        <v>6.2</v>
      </c>
      <c r="H89" s="250">
        <v>73160.42</v>
      </c>
      <c r="I89" s="235">
        <v>884.43</v>
      </c>
      <c r="J89" s="235">
        <v>32812.83</v>
      </c>
      <c r="K89" s="251">
        <v>100.67</v>
      </c>
      <c r="L89" s="250">
        <v>4992.8</v>
      </c>
      <c r="M89" s="235">
        <v>15.77</v>
      </c>
      <c r="N89" s="235">
        <v>32307.5</v>
      </c>
      <c r="O89" s="235">
        <v>28.6</v>
      </c>
      <c r="P89" s="235">
        <v>506.38</v>
      </c>
      <c r="Q89" s="235">
        <v>607.67999999999995</v>
      </c>
      <c r="R89" s="235">
        <v>9510.4500000000007</v>
      </c>
      <c r="S89" s="235">
        <v>9.0399999999999991</v>
      </c>
      <c r="T89" s="235">
        <v>35153</v>
      </c>
      <c r="U89" s="235">
        <v>69</v>
      </c>
      <c r="V89" s="235">
        <v>205.96</v>
      </c>
      <c r="W89" s="235">
        <v>0.15</v>
      </c>
      <c r="X89" s="235">
        <v>5802.17</v>
      </c>
      <c r="Y89" s="235"/>
      <c r="Z89" s="235">
        <v>54150</v>
      </c>
      <c r="AA89" s="251">
        <v>78</v>
      </c>
      <c r="AB89" s="235"/>
      <c r="AC89" s="252"/>
      <c r="AD89" s="235"/>
      <c r="AE89" s="251"/>
    </row>
    <row r="90" spans="1:31" ht="6.95" customHeight="1">
      <c r="F90" s="253"/>
      <c r="G90" s="254"/>
      <c r="H90" s="253"/>
      <c r="I90" s="255"/>
      <c r="J90" s="255"/>
      <c r="K90" s="255"/>
      <c r="L90" s="253"/>
      <c r="M90" s="255"/>
      <c r="N90" s="255"/>
      <c r="O90" s="255"/>
      <c r="P90" s="255"/>
      <c r="Q90" s="255"/>
      <c r="R90" s="255"/>
      <c r="S90" s="255"/>
      <c r="T90" s="255"/>
      <c r="U90" s="255"/>
      <c r="V90" s="255"/>
      <c r="W90" s="255"/>
      <c r="X90" s="255"/>
      <c r="Y90" s="255"/>
      <c r="Z90" s="255"/>
      <c r="AA90" s="255"/>
      <c r="AB90" s="355"/>
      <c r="AC90" s="256"/>
      <c r="AD90" s="355"/>
      <c r="AE90" s="255"/>
    </row>
    <row r="91" spans="1:31">
      <c r="A91" s="102">
        <f>A88+1</f>
        <v>45594</v>
      </c>
      <c r="B91" s="102" t="s">
        <v>3503</v>
      </c>
      <c r="C91" s="110" t="str">
        <f>A91 &amp; " " &amp;B91</f>
        <v>45594 0000H</v>
      </c>
      <c r="D91" s="111">
        <v>503.46</v>
      </c>
      <c r="E91" s="116">
        <v>49.66</v>
      </c>
      <c r="F91" s="250">
        <v>1102.8</v>
      </c>
      <c r="G91" s="251">
        <v>6.2</v>
      </c>
      <c r="H91" s="250">
        <v>73168.95</v>
      </c>
      <c r="I91" s="235">
        <v>884.51</v>
      </c>
      <c r="J91" s="235">
        <v>32816.35</v>
      </c>
      <c r="K91" s="251">
        <v>100.67</v>
      </c>
      <c r="L91" s="250">
        <v>4998.3500000000004</v>
      </c>
      <c r="M91" s="235">
        <v>15.77</v>
      </c>
      <c r="N91" s="235">
        <v>32315.1</v>
      </c>
      <c r="O91" s="235">
        <v>28.6</v>
      </c>
      <c r="P91" s="235">
        <v>507.91</v>
      </c>
      <c r="Q91" s="235">
        <v>608.16999999999996</v>
      </c>
      <c r="R91" s="235">
        <v>9514.85</v>
      </c>
      <c r="S91" s="235">
        <v>9.0399999999999991</v>
      </c>
      <c r="T91" s="235">
        <v>35160</v>
      </c>
      <c r="U91" s="235">
        <v>69</v>
      </c>
      <c r="V91" s="235">
        <v>205.96</v>
      </c>
      <c r="W91" s="235">
        <v>0.15</v>
      </c>
      <c r="X91" s="235">
        <v>5809.3</v>
      </c>
      <c r="Y91" s="235">
        <v>0</v>
      </c>
      <c r="Z91" s="235">
        <v>54150</v>
      </c>
      <c r="AA91" s="251">
        <v>78</v>
      </c>
      <c r="AB91" s="235"/>
      <c r="AC91" s="252"/>
      <c r="AD91" s="235"/>
      <c r="AE91" s="251"/>
    </row>
    <row r="92" spans="1:31">
      <c r="A92" s="102">
        <f>A89+1</f>
        <v>45594</v>
      </c>
      <c r="B92" s="102" t="s">
        <v>3504</v>
      </c>
      <c r="C92" s="110" t="str">
        <f>A92 &amp; " " &amp;B92</f>
        <v>45594 1200H</v>
      </c>
      <c r="D92" s="111">
        <v>506.95</v>
      </c>
      <c r="E92" s="116">
        <v>49.66</v>
      </c>
      <c r="F92" s="250">
        <v>1102.8</v>
      </c>
      <c r="G92" s="251">
        <v>6.2</v>
      </c>
      <c r="H92" s="250">
        <v>73175.3</v>
      </c>
      <c r="I92" s="235">
        <v>884.65</v>
      </c>
      <c r="J92" s="235">
        <v>32818.43</v>
      </c>
      <c r="K92" s="251">
        <v>100.7</v>
      </c>
      <c r="L92" s="250">
        <v>5003.87</v>
      </c>
      <c r="M92" s="235">
        <v>15.77</v>
      </c>
      <c r="N92" s="235">
        <v>32319.599999999999</v>
      </c>
      <c r="O92" s="235">
        <v>28.6</v>
      </c>
      <c r="P92" s="235">
        <v>508.25</v>
      </c>
      <c r="Q92" s="235">
        <v>608.86</v>
      </c>
      <c r="R92" s="235">
        <v>9518.35</v>
      </c>
      <c r="S92" s="235">
        <v>9.0399999999999991</v>
      </c>
      <c r="T92" s="235">
        <v>35167</v>
      </c>
      <c r="U92" s="235">
        <v>69</v>
      </c>
      <c r="V92" s="235">
        <v>205.96</v>
      </c>
      <c r="W92" s="235">
        <v>0.15</v>
      </c>
      <c r="X92" s="235">
        <v>5815.29</v>
      </c>
      <c r="Y92" s="235">
        <v>0</v>
      </c>
      <c r="Z92" s="235">
        <v>54150</v>
      </c>
      <c r="AA92" s="251">
        <v>78</v>
      </c>
      <c r="AB92" s="235"/>
      <c r="AC92" s="252"/>
      <c r="AD92" s="235"/>
      <c r="AE92" s="251"/>
    </row>
    <row r="93" spans="1:31" ht="6.95" customHeight="1">
      <c r="F93" s="253"/>
      <c r="G93" s="254"/>
      <c r="H93" s="253"/>
      <c r="I93" s="255"/>
      <c r="J93" s="255"/>
      <c r="K93" s="255"/>
      <c r="L93" s="253"/>
      <c r="M93" s="255"/>
      <c r="N93" s="255"/>
      <c r="O93" s="255"/>
      <c r="P93" s="255"/>
      <c r="Q93" s="255"/>
      <c r="R93" s="255"/>
      <c r="S93" s="255"/>
      <c r="T93" s="255"/>
      <c r="U93" s="255"/>
      <c r="V93" s="255"/>
      <c r="W93" s="255"/>
      <c r="X93" s="255"/>
      <c r="Y93" s="255"/>
      <c r="Z93" s="255"/>
      <c r="AA93" s="255"/>
      <c r="AB93" s="355"/>
      <c r="AC93" s="256"/>
      <c r="AD93" s="355"/>
      <c r="AE93" s="255"/>
    </row>
    <row r="94" spans="1:31">
      <c r="A94" s="102">
        <f>A91+1</f>
        <v>45595</v>
      </c>
      <c r="B94" s="102" t="s">
        <v>3503</v>
      </c>
      <c r="C94" s="110" t="str">
        <f>A94 &amp; " " &amp;B94</f>
        <v>45595 0000H</v>
      </c>
      <c r="D94" s="111">
        <v>511.52</v>
      </c>
      <c r="E94" s="116">
        <v>49.66</v>
      </c>
      <c r="F94" s="250">
        <v>1102.8</v>
      </c>
      <c r="G94" s="251">
        <v>6.2</v>
      </c>
      <c r="H94" s="250">
        <v>73185.8</v>
      </c>
      <c r="I94" s="235">
        <v>884.68</v>
      </c>
      <c r="J94" s="235">
        <v>32821.949999999997</v>
      </c>
      <c r="K94" s="251">
        <v>100.71</v>
      </c>
      <c r="L94" s="250">
        <v>5009.45</v>
      </c>
      <c r="M94" s="235">
        <v>15.77</v>
      </c>
      <c r="N94" s="235">
        <v>32327.1</v>
      </c>
      <c r="O94" s="235">
        <v>28.6</v>
      </c>
      <c r="P94" s="235">
        <v>509.85</v>
      </c>
      <c r="Q94" s="235">
        <v>609.21</v>
      </c>
      <c r="R94" s="235">
        <v>9522.77</v>
      </c>
      <c r="S94" s="235">
        <v>9.0399999999999991</v>
      </c>
      <c r="T94" s="235">
        <v>35174</v>
      </c>
      <c r="U94" s="235">
        <v>69</v>
      </c>
      <c r="V94" s="235">
        <v>205.96</v>
      </c>
      <c r="W94" s="235">
        <v>0.15</v>
      </c>
      <c r="X94" s="235">
        <v>5822.7</v>
      </c>
      <c r="Y94" s="235">
        <v>0</v>
      </c>
      <c r="Z94" s="235">
        <v>54150</v>
      </c>
      <c r="AA94" s="251">
        <v>78</v>
      </c>
      <c r="AB94" s="235"/>
      <c r="AC94" s="252"/>
      <c r="AD94" s="235"/>
      <c r="AE94" s="251"/>
    </row>
    <row r="95" spans="1:31">
      <c r="A95" s="102">
        <f>A92+1</f>
        <v>45595</v>
      </c>
      <c r="B95" s="102" t="s">
        <v>3504</v>
      </c>
      <c r="C95" s="110" t="str">
        <f>A95 &amp; " " &amp;B95</f>
        <v>45595 1200H</v>
      </c>
      <c r="D95" s="111">
        <v>515.05999999999995</v>
      </c>
      <c r="E95" s="116">
        <v>49.66</v>
      </c>
      <c r="F95" s="250">
        <v>1102.8</v>
      </c>
      <c r="G95" s="251">
        <v>6.2</v>
      </c>
      <c r="H95" s="250">
        <v>73195.97</v>
      </c>
      <c r="I95" s="235">
        <v>884.68</v>
      </c>
      <c r="J95" s="235">
        <v>32823.22</v>
      </c>
      <c r="K95" s="251">
        <v>100.76</v>
      </c>
      <c r="L95" s="250">
        <v>5014.99</v>
      </c>
      <c r="M95" s="235">
        <v>15.77</v>
      </c>
      <c r="N95" s="235">
        <v>32332.6</v>
      </c>
      <c r="O95" s="235">
        <v>28.6</v>
      </c>
      <c r="P95" s="235">
        <v>510.62</v>
      </c>
      <c r="Q95" s="235">
        <v>609.96</v>
      </c>
      <c r="R95" s="235">
        <v>9526.44</v>
      </c>
      <c r="S95" s="235">
        <v>9.0399999999999991</v>
      </c>
      <c r="T95" s="235">
        <v>35181</v>
      </c>
      <c r="U95" s="235">
        <v>69</v>
      </c>
      <c r="V95" s="235">
        <v>205.96</v>
      </c>
      <c r="W95" s="235">
        <v>0.15</v>
      </c>
      <c r="X95" s="235">
        <v>5828.89</v>
      </c>
      <c r="Y95" s="235">
        <v>0</v>
      </c>
      <c r="Z95" s="235">
        <v>54150</v>
      </c>
      <c r="AA95" s="251">
        <v>78</v>
      </c>
      <c r="AB95" s="235"/>
      <c r="AC95" s="252"/>
      <c r="AD95" s="235"/>
      <c r="AE95" s="251"/>
    </row>
    <row r="96" spans="1:31" ht="6.95" customHeight="1">
      <c r="F96" s="253"/>
      <c r="G96" s="254"/>
      <c r="H96" s="253"/>
      <c r="I96" s="255"/>
      <c r="J96" s="255"/>
      <c r="K96" s="255"/>
      <c r="L96" s="253"/>
      <c r="M96" s="255"/>
      <c r="N96" s="255"/>
      <c r="O96" s="255"/>
      <c r="P96" s="255"/>
      <c r="Q96" s="255"/>
      <c r="R96" s="255"/>
      <c r="S96" s="255"/>
      <c r="T96" s="255"/>
      <c r="U96" s="255"/>
      <c r="V96" s="255"/>
      <c r="W96" s="255"/>
      <c r="X96" s="255"/>
      <c r="Y96" s="255"/>
      <c r="Z96" s="255"/>
      <c r="AA96" s="255"/>
      <c r="AB96" s="355"/>
      <c r="AC96" s="256"/>
      <c r="AD96" s="355"/>
      <c r="AE96" s="255"/>
    </row>
    <row r="97" spans="1:31">
      <c r="A97" s="102">
        <f>A94+1</f>
        <v>45596</v>
      </c>
      <c r="B97" s="102" t="s">
        <v>3503</v>
      </c>
      <c r="C97" s="110" t="str">
        <f>A97 &amp; " " &amp;B97</f>
        <v>45596 0000H</v>
      </c>
      <c r="D97" s="111">
        <v>519.67999999999995</v>
      </c>
      <c r="E97" s="116">
        <v>49.66</v>
      </c>
      <c r="F97" s="250">
        <v>1102.8</v>
      </c>
      <c r="G97" s="251">
        <v>6.2</v>
      </c>
      <c r="H97" s="250">
        <v>73206.240000000005</v>
      </c>
      <c r="I97" s="235">
        <v>884.69</v>
      </c>
      <c r="J97" s="235">
        <v>32826.83</v>
      </c>
      <c r="K97" s="251">
        <v>100.76</v>
      </c>
      <c r="L97" s="250">
        <v>5020.78</v>
      </c>
      <c r="M97" s="235">
        <v>15.77</v>
      </c>
      <c r="N97" s="235">
        <v>32340</v>
      </c>
      <c r="O97" s="235">
        <v>28.6</v>
      </c>
      <c r="P97" s="235">
        <v>512.61</v>
      </c>
      <c r="Q97" s="235">
        <v>610.27</v>
      </c>
      <c r="R97" s="235">
        <v>9530.9699999999993</v>
      </c>
      <c r="S97" s="235">
        <v>9.0399999999999991</v>
      </c>
      <c r="T97" s="235">
        <v>35189</v>
      </c>
      <c r="U97" s="235">
        <v>69</v>
      </c>
      <c r="V97" s="235">
        <v>205.96</v>
      </c>
      <c r="W97" s="235">
        <v>0.15</v>
      </c>
      <c r="X97" s="235">
        <v>5835.65</v>
      </c>
      <c r="Y97" s="235">
        <v>0</v>
      </c>
      <c r="Z97" s="235">
        <v>54150</v>
      </c>
      <c r="AA97" s="251">
        <v>78</v>
      </c>
      <c r="AB97" s="235"/>
      <c r="AC97" s="252"/>
      <c r="AD97" s="235"/>
      <c r="AE97" s="251"/>
    </row>
    <row r="98" spans="1:31">
      <c r="A98" s="102">
        <f>A95+1</f>
        <v>45596</v>
      </c>
      <c r="B98" s="102" t="s">
        <v>3504</v>
      </c>
      <c r="C98" s="110" t="str">
        <f>A98 &amp; " " &amp;B98</f>
        <v>45596 1200H</v>
      </c>
      <c r="D98" s="111">
        <v>523.33000000000004</v>
      </c>
      <c r="E98" s="116">
        <v>49.66</v>
      </c>
      <c r="F98" s="250">
        <v>1102.8</v>
      </c>
      <c r="G98" s="251">
        <v>6.2</v>
      </c>
      <c r="H98" s="250">
        <v>73211.210000000006</v>
      </c>
      <c r="I98" s="235">
        <v>884.9</v>
      </c>
      <c r="J98" s="235">
        <v>32830.480000000003</v>
      </c>
      <c r="K98" s="251">
        <v>100.76</v>
      </c>
      <c r="L98" s="250">
        <v>5026.53</v>
      </c>
      <c r="M98" s="235">
        <v>15.77</v>
      </c>
      <c r="N98" s="235">
        <v>32345.1</v>
      </c>
      <c r="O98" s="235">
        <v>28.6</v>
      </c>
      <c r="P98" s="235">
        <v>513.34</v>
      </c>
      <c r="Q98" s="235">
        <v>611.03</v>
      </c>
      <c r="R98" s="235">
        <v>9534.66</v>
      </c>
      <c r="S98" s="235">
        <v>9.0399999999999991</v>
      </c>
      <c r="T98" s="235">
        <v>35195</v>
      </c>
      <c r="U98" s="235">
        <v>69</v>
      </c>
      <c r="V98" s="235">
        <v>205.96</v>
      </c>
      <c r="W98" s="235">
        <v>0.15</v>
      </c>
      <c r="X98" s="235">
        <v>5840.71</v>
      </c>
      <c r="Y98" s="235">
        <v>0</v>
      </c>
      <c r="Z98" s="235">
        <v>54150</v>
      </c>
      <c r="AA98" s="251">
        <v>78</v>
      </c>
      <c r="AB98" s="235"/>
      <c r="AC98" s="252"/>
      <c r="AD98" s="235"/>
      <c r="AE98" s="251"/>
    </row>
    <row r="99" spans="1:31" ht="6.95" customHeight="1">
      <c r="F99" s="253"/>
      <c r="G99" s="254"/>
      <c r="H99" s="253"/>
      <c r="I99" s="255"/>
      <c r="J99" s="255"/>
      <c r="K99" s="255"/>
      <c r="L99" s="253"/>
      <c r="M99" s="255"/>
      <c r="N99" s="255"/>
      <c r="O99" s="255"/>
      <c r="P99" s="255"/>
      <c r="Q99" s="255"/>
      <c r="R99" s="255"/>
      <c r="S99" s="255"/>
      <c r="T99" s="255"/>
      <c r="U99" s="255"/>
      <c r="V99" s="255"/>
      <c r="W99" s="255"/>
      <c r="X99" s="255"/>
      <c r="Y99" s="255"/>
      <c r="Z99" s="255"/>
      <c r="AA99" s="255"/>
      <c r="AB99" s="355"/>
      <c r="AC99" s="256"/>
      <c r="AD99" s="355"/>
      <c r="AE99" s="255"/>
    </row>
    <row r="100" spans="1:31">
      <c r="A100" s="102">
        <f>A97+1</f>
        <v>45597</v>
      </c>
      <c r="B100" s="102" t="s">
        <v>3503</v>
      </c>
      <c r="C100" s="110" t="str">
        <f>A100 &amp; " " &amp;B100</f>
        <v>45597 0000H</v>
      </c>
      <c r="D100" s="111">
        <v>527.79</v>
      </c>
      <c r="E100" s="116">
        <v>49.66</v>
      </c>
      <c r="F100" s="250">
        <v>1102.8</v>
      </c>
      <c r="G100" s="251">
        <v>6.2</v>
      </c>
      <c r="H100" s="250">
        <v>73221.649999999994</v>
      </c>
      <c r="I100" s="235">
        <v>884.9</v>
      </c>
      <c r="J100" s="235">
        <v>32834</v>
      </c>
      <c r="K100" s="251">
        <v>100.76</v>
      </c>
      <c r="L100" s="250">
        <v>5032.3</v>
      </c>
      <c r="M100" s="235">
        <v>15.77</v>
      </c>
      <c r="N100" s="235">
        <v>32352.5</v>
      </c>
      <c r="O100" s="235">
        <v>28.6</v>
      </c>
      <c r="P100" s="235">
        <v>514.29</v>
      </c>
      <c r="Q100" s="235">
        <v>611.29</v>
      </c>
      <c r="R100" s="235">
        <v>9539.08</v>
      </c>
      <c r="S100" s="235">
        <v>9.0399999999999991</v>
      </c>
      <c r="T100" s="235">
        <v>35202</v>
      </c>
      <c r="U100" s="235">
        <v>69</v>
      </c>
      <c r="V100" s="235">
        <v>205.96</v>
      </c>
      <c r="W100" s="235">
        <v>0.15</v>
      </c>
      <c r="X100" s="235">
        <v>5847.89</v>
      </c>
      <c r="Y100" s="235">
        <v>0</v>
      </c>
      <c r="Z100" s="235">
        <v>54150</v>
      </c>
      <c r="AA100" s="251">
        <v>78</v>
      </c>
      <c r="AB100" s="235"/>
      <c r="AC100" s="252"/>
      <c r="AD100" s="235"/>
      <c r="AE100" s="251"/>
    </row>
    <row r="101" spans="1:31">
      <c r="A101" s="102">
        <f>A98+1</f>
        <v>45597</v>
      </c>
      <c r="B101" s="102" t="s">
        <v>3504</v>
      </c>
      <c r="C101" s="110" t="str">
        <f>A101 &amp; " " &amp;B101</f>
        <v>45597 1200H</v>
      </c>
      <c r="D101" s="111">
        <v>531.29999999999995</v>
      </c>
      <c r="E101" s="116">
        <v>49.66</v>
      </c>
      <c r="F101" s="250">
        <v>1102.8</v>
      </c>
      <c r="G101" s="251">
        <v>6.2</v>
      </c>
      <c r="H101" s="250">
        <v>73231.78</v>
      </c>
      <c r="I101" s="235">
        <v>884.9</v>
      </c>
      <c r="J101" s="235">
        <v>32835.870000000003</v>
      </c>
      <c r="K101" s="251">
        <v>100.8</v>
      </c>
      <c r="L101" s="250">
        <v>5037.87</v>
      </c>
      <c r="M101" s="235">
        <v>15.77</v>
      </c>
      <c r="N101" s="235">
        <v>32356.7</v>
      </c>
      <c r="O101" s="235">
        <v>28.6</v>
      </c>
      <c r="P101" s="235">
        <v>514.37</v>
      </c>
      <c r="Q101" s="235">
        <v>612.52</v>
      </c>
      <c r="R101" s="235">
        <v>9542.57</v>
      </c>
      <c r="S101" s="235">
        <v>9.0399999999999991</v>
      </c>
      <c r="T101" s="235">
        <v>35208</v>
      </c>
      <c r="U101" s="235">
        <v>69</v>
      </c>
      <c r="V101" s="235">
        <v>205.96</v>
      </c>
      <c r="W101" s="235">
        <v>0.15</v>
      </c>
      <c r="X101" s="235">
        <v>5853.86</v>
      </c>
      <c r="Y101" s="235">
        <v>0</v>
      </c>
      <c r="Z101" s="235">
        <v>54150</v>
      </c>
      <c r="AA101" s="251">
        <v>78</v>
      </c>
      <c r="AB101" s="235"/>
      <c r="AC101" s="252"/>
      <c r="AD101" s="235"/>
      <c r="AE101" s="251"/>
    </row>
    <row r="102" spans="1:31" ht="6.95" customHeight="1">
      <c r="F102" s="253"/>
      <c r="G102" s="254"/>
      <c r="H102" s="253"/>
      <c r="I102" s="255"/>
      <c r="J102" s="255"/>
      <c r="K102" s="255"/>
      <c r="L102" s="253"/>
      <c r="M102" s="255"/>
      <c r="N102" s="255"/>
      <c r="O102" s="255"/>
      <c r="P102" s="255"/>
      <c r="Q102" s="255"/>
      <c r="R102" s="255"/>
      <c r="S102" s="255"/>
      <c r="T102" s="255"/>
      <c r="U102" s="255"/>
      <c r="V102" s="255"/>
      <c r="W102" s="255"/>
      <c r="X102" s="255"/>
      <c r="Y102" s="255"/>
      <c r="Z102" s="255"/>
      <c r="AA102" s="255"/>
      <c r="AB102" s="355"/>
      <c r="AC102" s="256"/>
      <c r="AD102" s="355"/>
      <c r="AE102" s="255"/>
    </row>
    <row r="103" spans="1:31">
      <c r="A103" s="102">
        <f>A100+1</f>
        <v>45598</v>
      </c>
      <c r="B103" s="102" t="s">
        <v>3503</v>
      </c>
      <c r="C103" s="110" t="str">
        <f>A103 &amp; " " &amp;B103</f>
        <v>45598 0000H</v>
      </c>
      <c r="D103" s="111">
        <v>535.55999999999995</v>
      </c>
      <c r="E103" s="116">
        <v>49.66</v>
      </c>
      <c r="F103" s="250">
        <v>1102.8</v>
      </c>
      <c r="G103" s="251">
        <v>6.2</v>
      </c>
      <c r="H103" s="250">
        <v>73241.179999999993</v>
      </c>
      <c r="I103" s="235">
        <v>884.9</v>
      </c>
      <c r="J103" s="235">
        <v>32838.93</v>
      </c>
      <c r="K103" s="251">
        <v>100.81</v>
      </c>
      <c r="L103" s="250">
        <v>5043.4399999999996</v>
      </c>
      <c r="M103" s="235">
        <v>15.77</v>
      </c>
      <c r="N103" s="235">
        <v>32361.8</v>
      </c>
      <c r="O103" s="235">
        <v>28.6</v>
      </c>
      <c r="P103" s="235">
        <v>514.42999999999995</v>
      </c>
      <c r="Q103" s="235">
        <v>613.71</v>
      </c>
      <c r="R103" s="235">
        <v>9546.3799999999992</v>
      </c>
      <c r="S103" s="235">
        <v>9.0399999999999991</v>
      </c>
      <c r="T103" s="235">
        <v>35214</v>
      </c>
      <c r="U103" s="235">
        <v>69</v>
      </c>
      <c r="V103" s="235">
        <v>205.96</v>
      </c>
      <c r="W103" s="235">
        <v>0.15</v>
      </c>
      <c r="X103" s="235">
        <v>5860.34</v>
      </c>
      <c r="Y103" s="235">
        <v>0</v>
      </c>
      <c r="Z103" s="235">
        <v>54150</v>
      </c>
      <c r="AA103" s="251">
        <v>78</v>
      </c>
      <c r="AB103" s="235"/>
      <c r="AC103" s="252"/>
      <c r="AD103" s="235"/>
      <c r="AE103" s="251"/>
    </row>
    <row r="104" spans="1:31">
      <c r="A104" s="102">
        <f>A101+1</f>
        <v>45598</v>
      </c>
      <c r="B104" s="102" t="s">
        <v>3504</v>
      </c>
      <c r="C104" s="110" t="str">
        <f>A104 &amp; " " &amp;B104</f>
        <v>45598 1200H</v>
      </c>
      <c r="D104" s="111">
        <v>539.03</v>
      </c>
      <c r="E104" s="116">
        <v>49.66</v>
      </c>
      <c r="F104" s="250">
        <v>1102.8</v>
      </c>
      <c r="G104" s="251">
        <v>6.2</v>
      </c>
      <c r="H104" s="250">
        <v>73247.289999999994</v>
      </c>
      <c r="I104" s="235">
        <v>885.08</v>
      </c>
      <c r="J104" s="235">
        <v>32838.93</v>
      </c>
      <c r="K104" s="251">
        <v>100.81</v>
      </c>
      <c r="L104" s="250">
        <v>5049</v>
      </c>
      <c r="M104" s="235">
        <v>15.97</v>
      </c>
      <c r="N104" s="235">
        <v>32366.1</v>
      </c>
      <c r="O104" s="235">
        <v>28.6</v>
      </c>
      <c r="P104" s="235">
        <v>514.54999999999995</v>
      </c>
      <c r="Q104" s="235">
        <v>614.58000000000004</v>
      </c>
      <c r="R104" s="235">
        <v>9549.2800000000007</v>
      </c>
      <c r="S104" s="235">
        <v>9.0399999999999991</v>
      </c>
      <c r="T104" s="235">
        <v>35220</v>
      </c>
      <c r="U104" s="235">
        <v>69</v>
      </c>
      <c r="V104" s="235">
        <v>205.96</v>
      </c>
      <c r="W104" s="235">
        <v>0.15</v>
      </c>
      <c r="X104" s="235">
        <v>5865.72</v>
      </c>
      <c r="Y104" s="235">
        <v>0</v>
      </c>
      <c r="Z104" s="235">
        <v>54150</v>
      </c>
      <c r="AA104" s="251">
        <v>78</v>
      </c>
      <c r="AB104" s="235"/>
      <c r="AC104" s="252"/>
      <c r="AD104" s="235"/>
      <c r="AE104" s="251"/>
    </row>
    <row r="105" spans="1:31" ht="6.95" customHeight="1">
      <c r="F105" s="253"/>
      <c r="G105" s="254"/>
      <c r="H105" s="253"/>
      <c r="I105" s="255"/>
      <c r="J105" s="255"/>
      <c r="K105" s="255"/>
      <c r="L105" s="253"/>
      <c r="M105" s="255"/>
      <c r="N105" s="255"/>
      <c r="O105" s="255"/>
      <c r="P105" s="255"/>
      <c r="Q105" s="255"/>
      <c r="R105" s="255"/>
      <c r="S105" s="255"/>
      <c r="T105" s="255"/>
      <c r="U105" s="255"/>
      <c r="V105" s="255"/>
      <c r="W105" s="255"/>
      <c r="X105" s="255"/>
      <c r="Y105" s="255"/>
      <c r="Z105" s="255"/>
      <c r="AA105" s="255"/>
      <c r="AB105" s="355"/>
      <c r="AC105" s="256"/>
      <c r="AD105" s="355"/>
      <c r="AE105" s="255"/>
    </row>
    <row r="106" spans="1:31">
      <c r="A106" s="102">
        <f>A103+1</f>
        <v>45599</v>
      </c>
      <c r="B106" s="102" t="s">
        <v>3503</v>
      </c>
      <c r="C106" s="110" t="str">
        <f>A106 &amp; " " &amp;B106</f>
        <v>45599 0000H</v>
      </c>
      <c r="D106" s="111">
        <v>543.85</v>
      </c>
      <c r="E106" s="116">
        <v>49.66</v>
      </c>
      <c r="F106" s="250">
        <v>1102.8</v>
      </c>
      <c r="G106" s="251">
        <v>6.2</v>
      </c>
      <c r="H106" s="250">
        <v>73255.42</v>
      </c>
      <c r="I106" s="235">
        <v>885.14</v>
      </c>
      <c r="J106" s="235">
        <v>32838.93</v>
      </c>
      <c r="K106" s="251">
        <v>100.88</v>
      </c>
      <c r="L106" s="250">
        <v>5054.8500000000004</v>
      </c>
      <c r="M106" s="235">
        <v>15.77</v>
      </c>
      <c r="N106" s="235">
        <v>32374.1</v>
      </c>
      <c r="O106" s="235">
        <v>28.6</v>
      </c>
      <c r="P106" s="235">
        <v>515.01</v>
      </c>
      <c r="Q106" s="235">
        <v>614.96</v>
      </c>
      <c r="R106" s="235">
        <v>9554.09</v>
      </c>
      <c r="S106" s="235">
        <v>9.0399999999999991</v>
      </c>
      <c r="T106" s="235">
        <v>35227.69</v>
      </c>
      <c r="U106" s="235">
        <v>69</v>
      </c>
      <c r="V106" s="235">
        <v>205.96</v>
      </c>
      <c r="W106" s="235">
        <v>0.15</v>
      </c>
      <c r="X106" s="235">
        <v>5872.06</v>
      </c>
      <c r="Y106" s="235">
        <v>0</v>
      </c>
      <c r="Z106" s="235">
        <v>54150</v>
      </c>
      <c r="AA106" s="251">
        <v>78</v>
      </c>
      <c r="AB106" s="235"/>
      <c r="AC106" s="252"/>
      <c r="AD106" s="235"/>
      <c r="AE106" s="251"/>
    </row>
    <row r="107" spans="1:31">
      <c r="A107" s="102">
        <f>A104+1</f>
        <v>45599</v>
      </c>
      <c r="B107" s="102" t="s">
        <v>3504</v>
      </c>
      <c r="C107" s="110" t="str">
        <f>A107 &amp; " " &amp;B107</f>
        <v>45599 1200H</v>
      </c>
      <c r="D107" s="111">
        <v>546.95000000000005</v>
      </c>
      <c r="E107" s="116">
        <v>49.66</v>
      </c>
      <c r="F107" s="250">
        <v>1102.8</v>
      </c>
      <c r="G107" s="251">
        <v>6.2</v>
      </c>
      <c r="H107" s="250">
        <v>73257.100000000006</v>
      </c>
      <c r="I107" s="235">
        <v>885.43</v>
      </c>
      <c r="J107" s="235">
        <v>32838.93</v>
      </c>
      <c r="K107" s="251">
        <v>100.99</v>
      </c>
      <c r="L107" s="250">
        <v>5060.3900000000003</v>
      </c>
      <c r="M107" s="235">
        <v>15.77</v>
      </c>
      <c r="N107" s="235">
        <v>32379</v>
      </c>
      <c r="O107" s="235">
        <v>28.6</v>
      </c>
      <c r="P107" s="235">
        <v>515.04</v>
      </c>
      <c r="Q107" s="235">
        <v>615.89</v>
      </c>
      <c r="R107" s="235">
        <v>9557.66</v>
      </c>
      <c r="S107" s="235">
        <v>9.0399999999999991</v>
      </c>
      <c r="T107" s="235">
        <v>35233</v>
      </c>
      <c r="U107" s="235">
        <v>69</v>
      </c>
      <c r="V107" s="235">
        <v>205.96</v>
      </c>
      <c r="W107" s="235">
        <v>0.15</v>
      </c>
      <c r="X107" s="235">
        <v>5869.2</v>
      </c>
      <c r="Y107" s="235">
        <v>0</v>
      </c>
      <c r="Z107" s="235">
        <v>54150</v>
      </c>
      <c r="AA107" s="251">
        <v>78</v>
      </c>
      <c r="AB107" s="235"/>
      <c r="AC107" s="252"/>
      <c r="AD107" s="235"/>
      <c r="AE107" s="251"/>
    </row>
    <row r="108" spans="1:31" ht="6.95" customHeight="1">
      <c r="F108" s="253"/>
      <c r="G108" s="254"/>
      <c r="H108" s="253"/>
      <c r="I108" s="255"/>
      <c r="J108" s="255"/>
      <c r="K108" s="255"/>
      <c r="L108" s="253"/>
      <c r="M108" s="255"/>
      <c r="N108" s="255"/>
      <c r="O108" s="255"/>
      <c r="P108" s="255"/>
      <c r="Q108" s="255"/>
      <c r="R108" s="255"/>
      <c r="S108" s="255"/>
      <c r="T108" s="255"/>
      <c r="U108" s="255"/>
      <c r="V108" s="255"/>
      <c r="W108" s="255"/>
      <c r="X108" s="255"/>
      <c r="Y108" s="255"/>
      <c r="Z108" s="255"/>
      <c r="AA108" s="255"/>
      <c r="AB108" s="355"/>
      <c r="AC108" s="256"/>
      <c r="AD108" s="355"/>
      <c r="AE108" s="255"/>
    </row>
    <row r="109" spans="1:31">
      <c r="A109" s="102">
        <f>A106+1</f>
        <v>45600</v>
      </c>
      <c r="B109" s="102" t="s">
        <v>3503</v>
      </c>
      <c r="C109" s="110" t="str">
        <f>A109 &amp; " " &amp;B109</f>
        <v>45600 0000H</v>
      </c>
      <c r="D109" s="111">
        <v>551.36</v>
      </c>
      <c r="E109" s="116">
        <v>49.66</v>
      </c>
      <c r="F109" s="250">
        <v>1102.8</v>
      </c>
      <c r="G109" s="251">
        <v>6.2</v>
      </c>
      <c r="H109" s="250">
        <v>73268.149999999994</v>
      </c>
      <c r="I109" s="235">
        <v>885.43</v>
      </c>
      <c r="J109" s="235">
        <v>32841.58</v>
      </c>
      <c r="K109" s="251">
        <v>101.03</v>
      </c>
      <c r="L109" s="250">
        <v>5066.2</v>
      </c>
      <c r="M109" s="235">
        <v>15.77</v>
      </c>
      <c r="N109" s="235">
        <v>32386.400000000001</v>
      </c>
      <c r="O109" s="235">
        <v>28.6</v>
      </c>
      <c r="P109" s="235">
        <v>515.13</v>
      </c>
      <c r="Q109" s="235">
        <v>616.74</v>
      </c>
      <c r="R109" s="235">
        <v>9562.2999999999993</v>
      </c>
      <c r="S109" s="235">
        <v>9.0399999999999991</v>
      </c>
      <c r="T109" s="235">
        <v>35240</v>
      </c>
      <c r="U109" s="235">
        <v>69</v>
      </c>
      <c r="V109" s="235">
        <v>205.96</v>
      </c>
      <c r="W109" s="235">
        <v>0.15</v>
      </c>
      <c r="X109" s="235">
        <v>5884.76</v>
      </c>
      <c r="Y109" s="235">
        <v>0</v>
      </c>
      <c r="Z109" s="235">
        <v>54150</v>
      </c>
      <c r="AA109" s="251">
        <v>78</v>
      </c>
      <c r="AB109" s="235"/>
      <c r="AC109" s="252"/>
      <c r="AD109" s="235"/>
      <c r="AE109" s="251"/>
    </row>
    <row r="110" spans="1:31">
      <c r="A110" s="102">
        <f>A107+1</f>
        <v>45600</v>
      </c>
      <c r="B110" s="102" t="s">
        <v>3504</v>
      </c>
      <c r="C110" s="110" t="str">
        <f>A110 &amp; " " &amp;B110</f>
        <v>45600 1200H</v>
      </c>
      <c r="D110" s="111">
        <v>554.77800000000002</v>
      </c>
      <c r="E110" s="116">
        <v>49.96</v>
      </c>
      <c r="F110" s="250">
        <v>1102.8</v>
      </c>
      <c r="G110" s="251">
        <v>6.2</v>
      </c>
      <c r="H110" s="250">
        <v>73278.399999999994</v>
      </c>
      <c r="I110" s="235">
        <v>885.43</v>
      </c>
      <c r="J110" s="235">
        <v>32842.730000000003</v>
      </c>
      <c r="K110" s="251">
        <v>101.07</v>
      </c>
      <c r="L110" s="250">
        <v>5071.8100000000004</v>
      </c>
      <c r="M110" s="235">
        <v>15.77</v>
      </c>
      <c r="N110" s="235">
        <v>32391.4</v>
      </c>
      <c r="O110" s="235">
        <v>28.6</v>
      </c>
      <c r="P110" s="235">
        <v>515.53</v>
      </c>
      <c r="Q110" s="235">
        <v>617.39</v>
      </c>
      <c r="R110" s="235">
        <v>9556.9699999999993</v>
      </c>
      <c r="S110" s="235">
        <v>9.0399999999999991</v>
      </c>
      <c r="T110" s="235">
        <v>35246</v>
      </c>
      <c r="U110" s="235">
        <v>69</v>
      </c>
      <c r="V110" s="235">
        <v>205.96</v>
      </c>
      <c r="W110" s="235">
        <v>0.15</v>
      </c>
      <c r="X110" s="235">
        <v>5890.65</v>
      </c>
      <c r="Y110" s="235">
        <v>0</v>
      </c>
      <c r="Z110" s="235">
        <v>54150</v>
      </c>
      <c r="AA110" s="251">
        <v>78</v>
      </c>
      <c r="AB110" s="235"/>
      <c r="AC110" s="252"/>
      <c r="AD110" s="235"/>
      <c r="AE110" s="251"/>
    </row>
    <row r="111" spans="1:31" ht="6.95" customHeight="1">
      <c r="F111" s="253"/>
      <c r="G111" s="254"/>
      <c r="H111" s="253"/>
      <c r="I111" s="255"/>
      <c r="J111" s="255"/>
      <c r="K111" s="255"/>
      <c r="L111" s="253"/>
      <c r="M111" s="255"/>
      <c r="N111" s="255"/>
      <c r="O111" s="255"/>
      <c r="P111" s="255"/>
      <c r="Q111" s="255"/>
      <c r="R111" s="255"/>
      <c r="S111" s="255"/>
      <c r="T111" s="255"/>
      <c r="U111" s="255"/>
      <c r="V111" s="255"/>
      <c r="W111" s="255"/>
      <c r="X111" s="255"/>
      <c r="Y111" s="255"/>
      <c r="Z111" s="255"/>
      <c r="AA111" s="255"/>
      <c r="AB111" s="355"/>
      <c r="AC111" s="256"/>
      <c r="AD111" s="355"/>
      <c r="AE111" s="255"/>
    </row>
    <row r="112" spans="1:31">
      <c r="A112" s="102">
        <f>A109+1</f>
        <v>45601</v>
      </c>
      <c r="B112" s="102" t="s">
        <v>3503</v>
      </c>
      <c r="C112" s="110" t="str">
        <f>A112 &amp; " " &amp;B112</f>
        <v>45601 0000H</v>
      </c>
      <c r="D112" s="111">
        <v>559.37</v>
      </c>
      <c r="E112" s="116">
        <v>49.66</v>
      </c>
      <c r="F112" s="250">
        <v>1102.8</v>
      </c>
      <c r="G112" s="251">
        <v>6.2</v>
      </c>
      <c r="H112" s="250">
        <v>73288.679999999993</v>
      </c>
      <c r="I112" s="235">
        <v>885.43</v>
      </c>
      <c r="J112" s="235">
        <v>32846.120000000003</v>
      </c>
      <c r="K112" s="251">
        <v>101.08</v>
      </c>
      <c r="L112" s="250">
        <v>5077.58</v>
      </c>
      <c r="M112" s="235">
        <v>15.77</v>
      </c>
      <c r="N112" s="235">
        <v>32398.9</v>
      </c>
      <c r="O112" s="235">
        <v>28.6</v>
      </c>
      <c r="P112" s="235">
        <v>515.77</v>
      </c>
      <c r="Q112" s="235">
        <v>618.17999999999995</v>
      </c>
      <c r="R112" s="235">
        <v>9570.19</v>
      </c>
      <c r="S112" s="235">
        <v>9.0399999999999991</v>
      </c>
      <c r="T112" s="235">
        <v>35254</v>
      </c>
      <c r="U112" s="235">
        <v>69</v>
      </c>
      <c r="V112" s="235">
        <v>205.96</v>
      </c>
      <c r="W112" s="235">
        <v>0.15</v>
      </c>
      <c r="X112" s="235">
        <v>5897.64</v>
      </c>
      <c r="Y112" s="235">
        <v>0</v>
      </c>
      <c r="Z112" s="235">
        <v>54150</v>
      </c>
      <c r="AA112" s="251">
        <v>78</v>
      </c>
      <c r="AB112" s="235"/>
      <c r="AC112" s="252"/>
      <c r="AD112" s="235"/>
      <c r="AE112" s="251"/>
    </row>
    <row r="113" spans="1:31">
      <c r="A113" s="102">
        <f>A110+1</f>
        <v>45601</v>
      </c>
      <c r="B113" s="102" t="s">
        <v>3504</v>
      </c>
      <c r="C113" s="110" t="str">
        <f>A113 &amp; " " &amp;B113</f>
        <v>45601 1200H</v>
      </c>
      <c r="D113" s="111">
        <v>562.91999999999996</v>
      </c>
      <c r="E113" s="116">
        <v>49.66</v>
      </c>
      <c r="F113" s="250">
        <v>1102.8</v>
      </c>
      <c r="G113" s="251">
        <v>6.2</v>
      </c>
      <c r="H113" s="250">
        <v>73298.929999999993</v>
      </c>
      <c r="I113" s="235">
        <v>885.43</v>
      </c>
      <c r="J113" s="235">
        <v>32847.39</v>
      </c>
      <c r="K113" s="251">
        <v>101.13</v>
      </c>
      <c r="L113" s="250">
        <v>5083.03</v>
      </c>
      <c r="M113" s="235">
        <v>15.77</v>
      </c>
      <c r="N113" s="235">
        <v>32403</v>
      </c>
      <c r="O113" s="235">
        <v>28.6</v>
      </c>
      <c r="P113" s="235">
        <v>515.97</v>
      </c>
      <c r="Q113" s="235">
        <v>618.91999999999996</v>
      </c>
      <c r="R113" s="235">
        <v>9573.81</v>
      </c>
      <c r="S113" s="235">
        <v>9.0399999999999991</v>
      </c>
      <c r="T113" s="235">
        <v>35260</v>
      </c>
      <c r="U113" s="235">
        <v>69</v>
      </c>
      <c r="V113" s="235">
        <v>205.96</v>
      </c>
      <c r="W113" s="235">
        <v>0.15</v>
      </c>
      <c r="X113" s="235">
        <v>5903.78</v>
      </c>
      <c r="Y113" s="235">
        <v>0</v>
      </c>
      <c r="Z113" s="235">
        <v>54150</v>
      </c>
      <c r="AA113" s="251">
        <v>78</v>
      </c>
      <c r="AB113" s="235"/>
      <c r="AC113" s="252"/>
      <c r="AD113" s="235"/>
      <c r="AE113" s="251"/>
    </row>
    <row r="114" spans="1:31" ht="6.95" customHeight="1">
      <c r="F114" s="253"/>
      <c r="G114" s="254"/>
      <c r="H114" s="253"/>
      <c r="I114" s="255"/>
      <c r="J114" s="255"/>
      <c r="K114" s="255"/>
      <c r="L114" s="253"/>
      <c r="M114" s="255"/>
      <c r="N114" s="255"/>
      <c r="O114" s="255"/>
      <c r="P114" s="255"/>
      <c r="Q114" s="255"/>
      <c r="R114" s="255"/>
      <c r="S114" s="255"/>
      <c r="T114" s="255"/>
      <c r="U114" s="255"/>
      <c r="V114" s="255"/>
      <c r="W114" s="255"/>
      <c r="X114" s="255"/>
      <c r="Y114" s="255"/>
      <c r="Z114" s="255"/>
      <c r="AA114" s="255"/>
      <c r="AB114" s="355"/>
      <c r="AC114" s="256"/>
      <c r="AD114" s="355"/>
      <c r="AE114" s="255"/>
    </row>
    <row r="115" spans="1:31">
      <c r="A115" s="102">
        <f>A112+1</f>
        <v>45602</v>
      </c>
      <c r="B115" s="102" t="s">
        <v>3503</v>
      </c>
      <c r="C115" s="110" t="str">
        <f>A115 &amp; " " &amp;B115</f>
        <v>45602 0000H</v>
      </c>
      <c r="D115" s="111">
        <v>567.36</v>
      </c>
      <c r="E115" s="116">
        <v>49.66</v>
      </c>
      <c r="F115" s="250">
        <v>1102.8</v>
      </c>
      <c r="G115" s="251">
        <v>6.2</v>
      </c>
      <c r="H115" s="250">
        <v>73308.63</v>
      </c>
      <c r="I115" s="235">
        <v>885.43</v>
      </c>
      <c r="J115" s="235">
        <v>32850.92</v>
      </c>
      <c r="K115" s="251">
        <v>101.14</v>
      </c>
      <c r="L115" s="250">
        <v>5088.8500000000004</v>
      </c>
      <c r="M115" s="235">
        <v>15.77</v>
      </c>
      <c r="N115" s="235">
        <v>32411</v>
      </c>
      <c r="O115" s="235">
        <v>28.6</v>
      </c>
      <c r="P115" s="235">
        <v>516.04999999999995</v>
      </c>
      <c r="Q115" s="235">
        <v>619.91</v>
      </c>
      <c r="R115" s="235">
        <v>9578.15</v>
      </c>
      <c r="S115" s="235">
        <v>9.0399999999999991</v>
      </c>
      <c r="T115" s="235">
        <v>35267</v>
      </c>
      <c r="U115" s="235">
        <v>69</v>
      </c>
      <c r="V115" s="235">
        <v>205.96</v>
      </c>
      <c r="W115" s="235">
        <v>0.15</v>
      </c>
      <c r="X115" s="235">
        <v>5911.13</v>
      </c>
      <c r="Y115" s="235">
        <v>0</v>
      </c>
      <c r="Z115" s="235">
        <v>54150</v>
      </c>
      <c r="AA115" s="251">
        <v>78</v>
      </c>
      <c r="AB115" s="235"/>
      <c r="AC115" s="252"/>
      <c r="AD115" s="235"/>
      <c r="AE115" s="251"/>
    </row>
    <row r="116" spans="1:31">
      <c r="A116" s="102">
        <f>A113+1</f>
        <v>45602</v>
      </c>
      <c r="B116" s="102" t="s">
        <v>3504</v>
      </c>
      <c r="C116" s="110" t="str">
        <f>A116 &amp; " " &amp;B116</f>
        <v>45602 1200H</v>
      </c>
      <c r="D116" s="111">
        <v>570.86</v>
      </c>
      <c r="E116" s="116">
        <v>49.66</v>
      </c>
      <c r="F116" s="250">
        <v>1102.8</v>
      </c>
      <c r="G116" s="251">
        <v>6.2</v>
      </c>
      <c r="H116" s="250">
        <v>73318.009999999995</v>
      </c>
      <c r="I116" s="235">
        <v>885.43</v>
      </c>
      <c r="J116" s="235">
        <v>32852.26</v>
      </c>
      <c r="K116" s="251">
        <v>101.18</v>
      </c>
      <c r="L116" s="250">
        <v>5094.5</v>
      </c>
      <c r="M116" s="235">
        <v>15.77</v>
      </c>
      <c r="N116" s="235">
        <v>32416.1</v>
      </c>
      <c r="O116" s="235">
        <v>28.6</v>
      </c>
      <c r="P116" s="235">
        <v>516.58000000000004</v>
      </c>
      <c r="Q116" s="235">
        <v>620.54999999999995</v>
      </c>
      <c r="R116" s="235">
        <v>9581.7199999999993</v>
      </c>
      <c r="S116" s="235">
        <v>9.0399999999999991</v>
      </c>
      <c r="T116" s="235">
        <v>35273</v>
      </c>
      <c r="U116" s="235">
        <v>69</v>
      </c>
      <c r="V116" s="235">
        <v>205.96</v>
      </c>
      <c r="W116" s="235">
        <v>0.15</v>
      </c>
      <c r="X116" s="235">
        <v>5917.12</v>
      </c>
      <c r="Y116" s="235">
        <v>0</v>
      </c>
      <c r="Z116" s="235">
        <v>54150</v>
      </c>
      <c r="AA116" s="251">
        <v>78</v>
      </c>
      <c r="AB116" s="235"/>
      <c r="AC116" s="252"/>
      <c r="AD116" s="235"/>
      <c r="AE116" s="251"/>
    </row>
    <row r="117" spans="1:31" ht="6.95" customHeight="1">
      <c r="F117" s="253"/>
      <c r="G117" s="254"/>
      <c r="H117" s="253"/>
      <c r="I117" s="255"/>
      <c r="J117" s="255"/>
      <c r="K117" s="255"/>
      <c r="L117" s="253"/>
      <c r="M117" s="255"/>
      <c r="N117" s="255"/>
      <c r="O117" s="255"/>
      <c r="P117" s="255"/>
      <c r="Q117" s="255"/>
      <c r="R117" s="255"/>
      <c r="S117" s="255"/>
      <c r="T117" s="255"/>
      <c r="U117" s="255"/>
      <c r="V117" s="255"/>
      <c r="W117" s="255"/>
      <c r="X117" s="255"/>
      <c r="Y117" s="255"/>
      <c r="Z117" s="255"/>
      <c r="AA117" s="255"/>
      <c r="AB117" s="355"/>
      <c r="AC117" s="256"/>
      <c r="AD117" s="355"/>
      <c r="AE117" s="255"/>
    </row>
    <row r="118" spans="1:31">
      <c r="A118" s="102">
        <f>A115+1</f>
        <v>45603</v>
      </c>
      <c r="B118" s="102" t="s">
        <v>3503</v>
      </c>
      <c r="C118" s="110" t="str">
        <f>A118 &amp; " " &amp;B118</f>
        <v>45603 0000H</v>
      </c>
      <c r="D118" s="111">
        <v>575.76</v>
      </c>
      <c r="E118" s="116">
        <v>49.66</v>
      </c>
      <c r="F118" s="250">
        <v>1102.8</v>
      </c>
      <c r="G118" s="251">
        <v>6.2</v>
      </c>
      <c r="H118" s="250">
        <v>73326.33</v>
      </c>
      <c r="I118" s="235">
        <v>885.45</v>
      </c>
      <c r="J118" s="235">
        <v>32856</v>
      </c>
      <c r="K118" s="251">
        <v>101.18</v>
      </c>
      <c r="L118" s="250">
        <v>5100.22</v>
      </c>
      <c r="M118" s="235">
        <v>15.77</v>
      </c>
      <c r="N118" s="235">
        <v>32423.5</v>
      </c>
      <c r="O118" s="235">
        <v>28.6</v>
      </c>
      <c r="P118" s="235">
        <v>518.33000000000004</v>
      </c>
      <c r="Q118" s="235">
        <v>621</v>
      </c>
      <c r="R118" s="235">
        <v>9586.19</v>
      </c>
      <c r="S118" s="235">
        <v>9.0399999999999991</v>
      </c>
      <c r="T118" s="235">
        <v>35281</v>
      </c>
      <c r="U118" s="235">
        <v>69</v>
      </c>
      <c r="V118" s="235">
        <v>205.96</v>
      </c>
      <c r="W118" s="235">
        <v>0.15</v>
      </c>
      <c r="X118" s="235">
        <v>5924</v>
      </c>
      <c r="Y118" s="235">
        <v>0</v>
      </c>
      <c r="Z118" s="235">
        <v>54150</v>
      </c>
      <c r="AA118" s="251">
        <v>78</v>
      </c>
      <c r="AB118" s="235"/>
      <c r="AC118" s="252"/>
      <c r="AD118" s="235"/>
      <c r="AE118" s="251"/>
    </row>
    <row r="119" spans="1:31">
      <c r="A119" s="102">
        <f>A116+1</f>
        <v>45603</v>
      </c>
      <c r="B119" s="102" t="s">
        <v>3504</v>
      </c>
      <c r="C119" s="110" t="str">
        <f>A119 &amp; " " &amp;B119</f>
        <v>45603 1200H</v>
      </c>
      <c r="D119" s="111">
        <v>579.57000000000005</v>
      </c>
      <c r="E119" s="116">
        <v>49.66</v>
      </c>
      <c r="F119" s="250">
        <v>1102.8</v>
      </c>
      <c r="G119" s="251">
        <v>6.2</v>
      </c>
      <c r="H119" s="250">
        <v>73328.84</v>
      </c>
      <c r="I119" s="235">
        <v>885.8</v>
      </c>
      <c r="J119" s="235">
        <v>32859.72</v>
      </c>
      <c r="K119" s="251">
        <v>101.18</v>
      </c>
      <c r="L119" s="250">
        <v>5105.88</v>
      </c>
      <c r="M119" s="235">
        <v>15.77</v>
      </c>
      <c r="N119" s="235">
        <v>32428</v>
      </c>
      <c r="O119" s="235">
        <v>28.6</v>
      </c>
      <c r="P119" s="235">
        <v>528.85</v>
      </c>
      <c r="Q119" s="235">
        <v>621</v>
      </c>
      <c r="R119" s="235">
        <v>9589.8799999999992</v>
      </c>
      <c r="S119" s="235">
        <v>9.0399999999999991</v>
      </c>
      <c r="T119" s="235">
        <v>35287</v>
      </c>
      <c r="U119" s="235">
        <v>69</v>
      </c>
      <c r="V119" s="235">
        <v>205.92</v>
      </c>
      <c r="W119" s="235">
        <v>0.15</v>
      </c>
      <c r="X119" s="235">
        <v>5930.15</v>
      </c>
      <c r="Y119" s="235">
        <v>0</v>
      </c>
      <c r="Z119" s="235">
        <v>54150</v>
      </c>
      <c r="AA119" s="251">
        <v>78</v>
      </c>
      <c r="AB119" s="235"/>
      <c r="AC119" s="252"/>
      <c r="AD119" s="235"/>
      <c r="AE119" s="251"/>
    </row>
    <row r="120" spans="1:31" ht="6.95" customHeight="1">
      <c r="F120" s="253"/>
      <c r="G120" s="254"/>
      <c r="H120" s="253"/>
      <c r="I120" s="255"/>
      <c r="J120" s="255"/>
      <c r="K120" s="255"/>
      <c r="L120" s="253"/>
      <c r="M120" s="255"/>
      <c r="N120" s="255"/>
      <c r="O120" s="255"/>
      <c r="P120" s="255"/>
      <c r="Q120" s="255"/>
      <c r="R120" s="255"/>
      <c r="S120" s="255"/>
      <c r="T120" s="255"/>
      <c r="U120" s="255"/>
      <c r="V120" s="255"/>
      <c r="W120" s="255"/>
      <c r="X120" s="255"/>
      <c r="Y120" s="255"/>
      <c r="Z120" s="255"/>
      <c r="AA120" s="255"/>
      <c r="AB120" s="355"/>
      <c r="AC120" s="256"/>
      <c r="AD120" s="355"/>
      <c r="AE120" s="255"/>
    </row>
    <row r="121" spans="1:31">
      <c r="A121" s="102">
        <f>A118+1</f>
        <v>45604</v>
      </c>
      <c r="B121" s="102" t="s">
        <v>3503</v>
      </c>
      <c r="C121" s="110" t="str">
        <f>A121 &amp; " " &amp;B121</f>
        <v>45604 0000H</v>
      </c>
      <c r="D121" s="111">
        <v>585.6</v>
      </c>
      <c r="E121" s="116">
        <v>49.66</v>
      </c>
      <c r="F121" s="250">
        <v>1102.8</v>
      </c>
      <c r="G121" s="251">
        <v>6.2</v>
      </c>
      <c r="H121" s="250">
        <v>73337.740000000005</v>
      </c>
      <c r="I121" s="235">
        <v>885.85</v>
      </c>
      <c r="J121" s="235">
        <v>32863.480000000003</v>
      </c>
      <c r="K121" s="251">
        <v>101.18</v>
      </c>
      <c r="L121" s="250">
        <v>5111.7</v>
      </c>
      <c r="M121" s="235">
        <v>15.77</v>
      </c>
      <c r="N121" s="235">
        <v>32431.599999999999</v>
      </c>
      <c r="O121" s="235">
        <v>28.6</v>
      </c>
      <c r="P121" s="235">
        <v>519.69000000000005</v>
      </c>
      <c r="Q121" s="235">
        <v>621.89</v>
      </c>
      <c r="R121" s="235">
        <v>9594.33</v>
      </c>
      <c r="S121" s="235">
        <v>9.0399999999999991</v>
      </c>
      <c r="T121" s="235">
        <v>35295</v>
      </c>
      <c r="U121" s="235">
        <v>69</v>
      </c>
      <c r="V121" s="235">
        <v>209</v>
      </c>
      <c r="W121" s="235">
        <v>0.15</v>
      </c>
      <c r="X121" s="235">
        <v>5936.98</v>
      </c>
      <c r="Y121" s="235">
        <v>0</v>
      </c>
      <c r="Z121" s="235">
        <v>54150</v>
      </c>
      <c r="AA121" s="251">
        <v>78</v>
      </c>
      <c r="AB121" s="235"/>
      <c r="AC121" s="252"/>
      <c r="AD121" s="235"/>
      <c r="AE121" s="251"/>
    </row>
    <row r="122" spans="1:31">
      <c r="A122" s="102">
        <f>A119+1</f>
        <v>45604</v>
      </c>
      <c r="B122" s="102" t="s">
        <v>3504</v>
      </c>
      <c r="C122" s="110" t="str">
        <f>A122 &amp; " " &amp;B122</f>
        <v>45604 1200H</v>
      </c>
      <c r="D122" s="111">
        <v>585.6</v>
      </c>
      <c r="E122" s="116">
        <v>49.66</v>
      </c>
      <c r="F122" s="250">
        <v>1102.8</v>
      </c>
      <c r="G122" s="251">
        <v>6.2</v>
      </c>
      <c r="H122" s="250">
        <v>73346.58</v>
      </c>
      <c r="I122" s="235">
        <v>885.92</v>
      </c>
      <c r="J122" s="235">
        <v>32856.019999999997</v>
      </c>
      <c r="K122" s="251">
        <v>101.23</v>
      </c>
      <c r="L122" s="250">
        <v>5117.38</v>
      </c>
      <c r="M122" s="235">
        <v>15.77</v>
      </c>
      <c r="N122" s="235">
        <v>32435.5</v>
      </c>
      <c r="O122" s="235">
        <v>28.6</v>
      </c>
      <c r="P122" s="235">
        <v>520.41999999999996</v>
      </c>
      <c r="Q122" s="235">
        <v>622.51</v>
      </c>
      <c r="R122" s="235">
        <v>9598.14</v>
      </c>
      <c r="S122" s="235">
        <v>9.0399999999999991</v>
      </c>
      <c r="T122" s="235">
        <v>35300</v>
      </c>
      <c r="U122" s="235">
        <v>69</v>
      </c>
      <c r="V122" s="235">
        <v>210.42</v>
      </c>
      <c r="W122" s="235">
        <v>0.15</v>
      </c>
      <c r="X122" s="235">
        <v>5943.06</v>
      </c>
      <c r="Y122" s="235" t="s">
        <v>1</v>
      </c>
      <c r="Z122" s="235">
        <v>54150</v>
      </c>
      <c r="AA122" s="251">
        <v>78</v>
      </c>
      <c r="AB122" s="235"/>
      <c r="AC122" s="252"/>
      <c r="AD122" s="235"/>
      <c r="AE122" s="251"/>
    </row>
    <row r="123" spans="1:31" ht="6.95" customHeight="1">
      <c r="F123" s="253"/>
      <c r="G123" s="254"/>
      <c r="H123" s="253"/>
      <c r="I123" s="255"/>
      <c r="J123" s="255"/>
      <c r="K123" s="255"/>
      <c r="L123" s="253"/>
      <c r="M123" s="255"/>
      <c r="N123" s="255"/>
      <c r="O123" s="255"/>
      <c r="P123" s="255"/>
      <c r="Q123" s="255"/>
      <c r="R123" s="255"/>
      <c r="S123" s="255"/>
      <c r="T123" s="255"/>
      <c r="U123" s="255"/>
      <c r="V123" s="255"/>
      <c r="W123" s="255"/>
      <c r="X123" s="255"/>
      <c r="Y123" s="255"/>
      <c r="Z123" s="255"/>
      <c r="AA123" s="255"/>
      <c r="AB123" s="355"/>
      <c r="AC123" s="256"/>
      <c r="AD123" s="355"/>
      <c r="AE123" s="255"/>
    </row>
    <row r="124" spans="1:31">
      <c r="A124" s="102">
        <f>A121+1</f>
        <v>45605</v>
      </c>
      <c r="B124" s="102" t="s">
        <v>3503</v>
      </c>
      <c r="C124" s="110" t="str">
        <f>A124 &amp; " " &amp;B124</f>
        <v>45605 0000H</v>
      </c>
      <c r="D124" s="111">
        <v>595.33000000000004</v>
      </c>
      <c r="E124" s="116">
        <v>49.66</v>
      </c>
      <c r="F124" s="250">
        <v>1102.8</v>
      </c>
      <c r="G124" s="251">
        <v>6.2</v>
      </c>
      <c r="H124" s="250">
        <v>73356.66</v>
      </c>
      <c r="I124" s="235">
        <v>885.92</v>
      </c>
      <c r="J124" s="235">
        <v>32867.519999999997</v>
      </c>
      <c r="K124" s="251">
        <v>101.25</v>
      </c>
      <c r="L124" s="250">
        <v>5123.18</v>
      </c>
      <c r="M124" s="235">
        <v>15.77</v>
      </c>
      <c r="N124" s="235">
        <v>32439.200000000001</v>
      </c>
      <c r="O124" s="235">
        <v>28.6</v>
      </c>
      <c r="P124" s="235">
        <v>522.39</v>
      </c>
      <c r="Q124" s="235">
        <v>622.98</v>
      </c>
      <c r="R124" s="235">
        <v>9602.66</v>
      </c>
      <c r="S124" s="235">
        <v>9.0399999999999991</v>
      </c>
      <c r="T124" s="235">
        <v>35308</v>
      </c>
      <c r="U124" s="235">
        <v>69</v>
      </c>
      <c r="V124" s="235">
        <v>214.87</v>
      </c>
      <c r="W124" s="235">
        <v>0.15</v>
      </c>
      <c r="X124" s="235">
        <v>5950.26</v>
      </c>
      <c r="Y124" s="235">
        <v>0</v>
      </c>
      <c r="Z124" s="235">
        <v>54150</v>
      </c>
      <c r="AA124" s="251">
        <v>78</v>
      </c>
      <c r="AB124" s="235"/>
      <c r="AC124" s="252"/>
      <c r="AD124" s="235"/>
      <c r="AE124" s="251"/>
    </row>
    <row r="125" spans="1:31">
      <c r="A125" s="102">
        <f>A122+1</f>
        <v>45605</v>
      </c>
      <c r="B125" s="102" t="s">
        <v>3504</v>
      </c>
      <c r="C125" s="110" t="str">
        <f>A125 &amp; " " &amp;B125</f>
        <v>45605 1200H</v>
      </c>
      <c r="D125" s="111">
        <v>598.92999999999995</v>
      </c>
      <c r="E125" s="116">
        <v>49.66</v>
      </c>
      <c r="F125" s="250">
        <v>1102.8</v>
      </c>
      <c r="G125" s="251">
        <v>6.2</v>
      </c>
      <c r="H125" s="250">
        <v>73366.95</v>
      </c>
      <c r="I125" s="235">
        <v>885.92</v>
      </c>
      <c r="J125" s="235">
        <v>32869.99</v>
      </c>
      <c r="K125" s="251">
        <v>101.28</v>
      </c>
      <c r="L125" s="250">
        <v>5128.8</v>
      </c>
      <c r="M125" s="235">
        <v>15.77</v>
      </c>
      <c r="N125" s="235">
        <v>32443</v>
      </c>
      <c r="O125" s="235">
        <v>28.6</v>
      </c>
      <c r="P125" s="235">
        <v>522.66</v>
      </c>
      <c r="Q125" s="235">
        <v>623.67999999999995</v>
      </c>
      <c r="R125" s="235">
        <v>9606.58</v>
      </c>
      <c r="S125" s="235">
        <v>9.0399999999999991</v>
      </c>
      <c r="T125" s="235">
        <v>35314</v>
      </c>
      <c r="U125" s="235">
        <v>69</v>
      </c>
      <c r="V125" s="235">
        <v>215.99</v>
      </c>
      <c r="W125" s="235">
        <v>0.15</v>
      </c>
      <c r="X125" s="235">
        <v>5955.94</v>
      </c>
      <c r="Y125" s="235">
        <v>0</v>
      </c>
      <c r="Z125" s="235">
        <v>54150</v>
      </c>
      <c r="AA125" s="251">
        <v>78</v>
      </c>
      <c r="AB125" s="235"/>
      <c r="AC125" s="252"/>
      <c r="AD125" s="235"/>
      <c r="AE125" s="251"/>
    </row>
    <row r="126" spans="1:31" ht="6.95" customHeight="1">
      <c r="F126" s="253"/>
      <c r="G126" s="254"/>
      <c r="H126" s="253"/>
      <c r="I126" s="255"/>
      <c r="J126" s="255"/>
      <c r="K126" s="255"/>
      <c r="L126" s="253"/>
      <c r="M126" s="255"/>
      <c r="N126" s="255"/>
      <c r="O126" s="255"/>
      <c r="P126" s="255"/>
      <c r="Q126" s="255"/>
      <c r="R126" s="255"/>
      <c r="S126" s="255"/>
      <c r="T126" s="255"/>
      <c r="U126" s="255"/>
      <c r="V126" s="255"/>
      <c r="W126" s="255"/>
      <c r="X126" s="255"/>
      <c r="Y126" s="255"/>
      <c r="Z126" s="255"/>
      <c r="AA126" s="255"/>
      <c r="AB126" s="355"/>
      <c r="AC126" s="256"/>
      <c r="AD126" s="355"/>
      <c r="AE126" s="255"/>
    </row>
    <row r="127" spans="1:31">
      <c r="A127" s="102">
        <f>A124+1</f>
        <v>45606</v>
      </c>
      <c r="B127" s="102" t="s">
        <v>3503</v>
      </c>
      <c r="C127" s="110" t="str">
        <f>A127 &amp; " " &amp;B127</f>
        <v>45606 0000H</v>
      </c>
      <c r="D127" s="111">
        <v>603.84</v>
      </c>
      <c r="E127" s="116">
        <v>49.66</v>
      </c>
      <c r="F127" s="250">
        <v>1102.8</v>
      </c>
      <c r="G127" s="251">
        <v>6.2</v>
      </c>
      <c r="H127" s="250">
        <v>73377.100000000006</v>
      </c>
      <c r="I127" s="235">
        <v>885.92</v>
      </c>
      <c r="J127" s="235">
        <v>32873.75</v>
      </c>
      <c r="K127" s="251">
        <v>101.28</v>
      </c>
      <c r="L127" s="250">
        <v>5134.58</v>
      </c>
      <c r="M127" s="235">
        <v>15.77</v>
      </c>
      <c r="N127" s="235">
        <v>32446.6</v>
      </c>
      <c r="O127" s="235">
        <v>28.6</v>
      </c>
      <c r="P127" s="235">
        <v>524.61</v>
      </c>
      <c r="Q127" s="235">
        <v>623.98</v>
      </c>
      <c r="R127" s="235">
        <v>9611.19</v>
      </c>
      <c r="S127" s="235">
        <v>9.0399999999999991</v>
      </c>
      <c r="T127" s="235">
        <v>35322</v>
      </c>
      <c r="U127" s="235">
        <v>69</v>
      </c>
      <c r="V127" s="235">
        <v>219.68</v>
      </c>
      <c r="W127" s="235">
        <v>0.15</v>
      </c>
      <c r="X127" s="235">
        <v>5963.05</v>
      </c>
      <c r="Y127" s="235">
        <v>0</v>
      </c>
      <c r="Z127" s="235">
        <v>54150</v>
      </c>
      <c r="AA127" s="251">
        <v>78</v>
      </c>
      <c r="AB127" s="235"/>
      <c r="AC127" s="252"/>
      <c r="AD127" s="235"/>
      <c r="AE127" s="251"/>
    </row>
    <row r="128" spans="1:31">
      <c r="A128" s="102">
        <f>A125+1</f>
        <v>45606</v>
      </c>
      <c r="B128" s="102" t="s">
        <v>3504</v>
      </c>
      <c r="C128" s="110" t="str">
        <f>A128 &amp; " " &amp;B128</f>
        <v>45606 1200H</v>
      </c>
      <c r="D128" s="111">
        <v>607.29</v>
      </c>
      <c r="E128" s="116">
        <v>49.66</v>
      </c>
      <c r="F128" s="250">
        <v>1102.8</v>
      </c>
      <c r="G128" s="251">
        <v>6.2</v>
      </c>
      <c r="H128" s="250">
        <v>73387.38</v>
      </c>
      <c r="I128" s="235">
        <v>885.92</v>
      </c>
      <c r="J128" s="235">
        <v>32875.620000000003</v>
      </c>
      <c r="K128" s="251">
        <v>101.32</v>
      </c>
      <c r="L128" s="250">
        <v>5140.2</v>
      </c>
      <c r="M128" s="235">
        <v>15.77</v>
      </c>
      <c r="N128" s="235">
        <v>32450.3</v>
      </c>
      <c r="O128" s="235">
        <v>28.6</v>
      </c>
      <c r="P128" s="235">
        <v>524.67999999999995</v>
      </c>
      <c r="Q128" s="235">
        <v>624.99</v>
      </c>
      <c r="R128" s="235">
        <v>9614.9699999999993</v>
      </c>
      <c r="S128" s="235">
        <v>9.0399999999999991</v>
      </c>
      <c r="T128" s="235">
        <v>35327</v>
      </c>
      <c r="U128" s="235">
        <v>69</v>
      </c>
      <c r="V128" s="235">
        <v>221.21</v>
      </c>
      <c r="W128" s="235">
        <v>0.15</v>
      </c>
      <c r="X128" s="235">
        <v>5969.37</v>
      </c>
      <c r="Y128" s="235">
        <v>0</v>
      </c>
      <c r="Z128" s="235">
        <v>54150</v>
      </c>
      <c r="AA128" s="251">
        <v>78</v>
      </c>
      <c r="AB128" s="235"/>
      <c r="AC128" s="252"/>
      <c r="AD128" s="235"/>
      <c r="AE128" s="251"/>
    </row>
    <row r="129" spans="1:31" ht="6.95" customHeight="1">
      <c r="F129" s="253"/>
      <c r="G129" s="254"/>
      <c r="H129" s="253"/>
      <c r="I129" s="255"/>
      <c r="J129" s="255"/>
      <c r="K129" s="255"/>
      <c r="L129" s="253"/>
      <c r="M129" s="255"/>
      <c r="N129" s="255"/>
      <c r="O129" s="255"/>
      <c r="P129" s="255"/>
      <c r="Q129" s="255"/>
      <c r="R129" s="255"/>
      <c r="S129" s="255"/>
      <c r="T129" s="255"/>
      <c r="U129" s="255"/>
      <c r="V129" s="255"/>
      <c r="W129" s="255"/>
      <c r="X129" s="255"/>
      <c r="Y129" s="255"/>
      <c r="Z129" s="255"/>
      <c r="AA129" s="255"/>
      <c r="AB129" s="355"/>
      <c r="AC129" s="256"/>
      <c r="AD129" s="355"/>
      <c r="AE129" s="255"/>
    </row>
    <row r="130" spans="1:31">
      <c r="A130" s="102">
        <f>A127+1</f>
        <v>45607</v>
      </c>
      <c r="B130" s="102" t="s">
        <v>3503</v>
      </c>
      <c r="C130" s="110" t="str">
        <f>A130 &amp; " " &amp;B130</f>
        <v>45607 0000H</v>
      </c>
      <c r="D130" s="111">
        <v>612.02</v>
      </c>
      <c r="E130" s="116">
        <v>49.66</v>
      </c>
      <c r="F130" s="250">
        <v>1102.8</v>
      </c>
      <c r="G130" s="251">
        <v>6.2</v>
      </c>
      <c r="H130" s="250">
        <v>73397.429999999993</v>
      </c>
      <c r="I130" s="235">
        <v>885.92</v>
      </c>
      <c r="J130" s="235">
        <v>32879.42</v>
      </c>
      <c r="K130" s="251">
        <v>101.32</v>
      </c>
      <c r="L130" s="250">
        <v>5145.97</v>
      </c>
      <c r="M130" s="235">
        <v>15.77</v>
      </c>
      <c r="N130" s="235">
        <v>32454</v>
      </c>
      <c r="O130" s="235">
        <v>28.6</v>
      </c>
      <c r="P130" s="235">
        <v>525.16999999999996</v>
      </c>
      <c r="Q130" s="235">
        <v>625.41</v>
      </c>
      <c r="R130" s="235">
        <v>9619.67</v>
      </c>
      <c r="S130" s="235">
        <v>9.0399999999999991</v>
      </c>
      <c r="T130" s="235">
        <v>35335</v>
      </c>
      <c r="U130" s="235">
        <v>69</v>
      </c>
      <c r="V130" s="235">
        <v>224.59</v>
      </c>
      <c r="W130" s="235">
        <v>0.15</v>
      </c>
      <c r="X130" s="235">
        <v>5976.65</v>
      </c>
      <c r="Y130" s="235">
        <v>0</v>
      </c>
      <c r="Z130" s="235">
        <v>54150</v>
      </c>
      <c r="AA130" s="251">
        <v>78</v>
      </c>
      <c r="AB130" s="235"/>
      <c r="AC130" s="252"/>
      <c r="AD130" s="235"/>
      <c r="AE130" s="251"/>
    </row>
    <row r="131" spans="1:31">
      <c r="A131" s="102">
        <f>A128+1</f>
        <v>45607</v>
      </c>
      <c r="B131" s="102" t="s">
        <v>3504</v>
      </c>
      <c r="C131" s="110" t="str">
        <f>A131 &amp; " " &amp;B131</f>
        <v>45607 1200H</v>
      </c>
      <c r="D131" s="111">
        <v>615.51</v>
      </c>
      <c r="E131" s="116">
        <v>49.66</v>
      </c>
      <c r="F131" s="250">
        <v>1102.8</v>
      </c>
      <c r="G131" s="251">
        <v>6.2</v>
      </c>
      <c r="H131" s="250">
        <v>73406.7</v>
      </c>
      <c r="I131" s="235">
        <v>881.95</v>
      </c>
      <c r="J131" s="235">
        <v>32881.800000000003</v>
      </c>
      <c r="K131" s="251">
        <v>101.35</v>
      </c>
      <c r="L131" s="250">
        <v>5151.6099999999997</v>
      </c>
      <c r="M131" s="235">
        <v>15.77</v>
      </c>
      <c r="N131" s="235">
        <v>32457.9</v>
      </c>
      <c r="O131" s="235">
        <v>28.6</v>
      </c>
      <c r="P131" s="235">
        <v>526.01</v>
      </c>
      <c r="Q131" s="235">
        <v>626.29</v>
      </c>
      <c r="R131" s="235">
        <v>9623.3700000000008</v>
      </c>
      <c r="S131" s="235">
        <v>9.0399999999999991</v>
      </c>
      <c r="T131" s="235">
        <v>35341</v>
      </c>
      <c r="U131" s="235">
        <v>69</v>
      </c>
      <c r="V131" s="235">
        <v>225.62</v>
      </c>
      <c r="W131" s="235">
        <v>0.15</v>
      </c>
      <c r="X131" s="235">
        <v>5982.83</v>
      </c>
      <c r="Y131" s="235">
        <v>0</v>
      </c>
      <c r="Z131" s="235">
        <v>54150</v>
      </c>
      <c r="AA131" s="251">
        <v>78</v>
      </c>
      <c r="AB131" s="235"/>
      <c r="AC131" s="252"/>
      <c r="AD131" s="235"/>
      <c r="AE131" s="251"/>
    </row>
    <row r="132" spans="1:31" ht="6.95" customHeight="1">
      <c r="F132" s="253"/>
      <c r="G132" s="254"/>
      <c r="H132" s="253"/>
      <c r="I132" s="255"/>
      <c r="J132" s="255"/>
      <c r="K132" s="255"/>
      <c r="L132" s="253"/>
      <c r="M132" s="255"/>
      <c r="N132" s="255"/>
      <c r="O132" s="255"/>
      <c r="P132" s="255"/>
      <c r="Q132" s="255"/>
      <c r="R132" s="255"/>
      <c r="S132" s="255"/>
      <c r="T132" s="255"/>
      <c r="U132" s="255"/>
      <c r="V132" s="255"/>
      <c r="W132" s="255"/>
      <c r="X132" s="255"/>
      <c r="Y132" s="255"/>
      <c r="Z132" s="255"/>
      <c r="AA132" s="255"/>
      <c r="AB132" s="355"/>
      <c r="AC132" s="256"/>
      <c r="AD132" s="355"/>
      <c r="AE132" s="255"/>
    </row>
    <row r="133" spans="1:31">
      <c r="A133" s="102">
        <f>A130+1</f>
        <v>45608</v>
      </c>
      <c r="B133" s="102" t="s">
        <v>3503</v>
      </c>
      <c r="C133" s="110" t="str">
        <f>A133 &amp; " " &amp;B133</f>
        <v>45608 0000H</v>
      </c>
      <c r="D133" s="111">
        <v>620.73</v>
      </c>
      <c r="E133" s="116">
        <v>49.66</v>
      </c>
      <c r="F133" s="250">
        <v>1102.8</v>
      </c>
      <c r="G133" s="251">
        <v>6.2</v>
      </c>
      <c r="H133" s="250">
        <v>73416.899999999994</v>
      </c>
      <c r="I133" s="235">
        <v>885.94</v>
      </c>
      <c r="J133" s="235">
        <v>32885</v>
      </c>
      <c r="K133" s="251">
        <v>101.35</v>
      </c>
      <c r="L133" s="250">
        <v>5157.41</v>
      </c>
      <c r="M133" s="235">
        <v>15.77</v>
      </c>
      <c r="N133" s="235">
        <v>32461.4</v>
      </c>
      <c r="O133" s="235">
        <v>28.6</v>
      </c>
      <c r="P133" s="235">
        <v>527.45000000000005</v>
      </c>
      <c r="Q133" s="235">
        <v>626.63</v>
      </c>
      <c r="R133" s="235">
        <v>9627.58</v>
      </c>
      <c r="S133" s="235">
        <v>9.0399999999999991</v>
      </c>
      <c r="T133" s="235">
        <v>35350</v>
      </c>
      <c r="U133" s="235">
        <v>69</v>
      </c>
      <c r="V133" s="235">
        <v>227.93</v>
      </c>
      <c r="W133" s="235">
        <v>0.15</v>
      </c>
      <c r="X133" s="235">
        <v>5990</v>
      </c>
      <c r="Y133" s="235">
        <v>0</v>
      </c>
      <c r="Z133" s="235">
        <v>54150</v>
      </c>
      <c r="AA133" s="251">
        <v>78</v>
      </c>
      <c r="AB133" s="235"/>
      <c r="AC133" s="252"/>
      <c r="AD133" s="235"/>
      <c r="AE133" s="251"/>
    </row>
    <row r="134" spans="1:31">
      <c r="A134" s="102">
        <f>A131+1</f>
        <v>45608</v>
      </c>
      <c r="B134" s="102" t="s">
        <v>3504</v>
      </c>
      <c r="C134" s="110" t="str">
        <f>A134 &amp; " " &amp;B134</f>
        <v>45608 1200H</v>
      </c>
      <c r="D134" s="111">
        <v>624.46</v>
      </c>
      <c r="E134" s="116">
        <v>49.66</v>
      </c>
      <c r="F134" s="250">
        <v>1102.8</v>
      </c>
      <c r="G134" s="251">
        <v>6.2</v>
      </c>
      <c r="H134" s="250">
        <v>73426.83</v>
      </c>
      <c r="I134" s="235">
        <v>885.94</v>
      </c>
      <c r="J134" s="235">
        <v>32887.26</v>
      </c>
      <c r="K134" s="251">
        <v>101.39</v>
      </c>
      <c r="L134" s="250">
        <v>5162.9799999999996</v>
      </c>
      <c r="M134" s="235">
        <v>15.77</v>
      </c>
      <c r="N134" s="235">
        <v>32465</v>
      </c>
      <c r="O134" s="235">
        <v>28.6</v>
      </c>
      <c r="P134" s="235">
        <v>528</v>
      </c>
      <c r="Q134" s="235">
        <v>627.54</v>
      </c>
      <c r="R134" s="235">
        <v>9631.9</v>
      </c>
      <c r="S134" s="235">
        <v>9.0399999999999991</v>
      </c>
      <c r="T134" s="235">
        <v>35356</v>
      </c>
      <c r="U134" s="235">
        <v>69</v>
      </c>
      <c r="V134" s="235">
        <v>227.4</v>
      </c>
      <c r="W134" s="235">
        <v>0.15</v>
      </c>
      <c r="X134" s="235">
        <v>5996.3</v>
      </c>
      <c r="Y134" s="235" t="s">
        <v>1</v>
      </c>
      <c r="Z134" s="235">
        <v>54150</v>
      </c>
      <c r="AA134" s="251">
        <v>78</v>
      </c>
      <c r="AB134" s="235"/>
      <c r="AC134" s="252"/>
      <c r="AD134" s="235"/>
      <c r="AE134" s="251"/>
    </row>
    <row r="135" spans="1:31" ht="6.95" customHeight="1">
      <c r="F135" s="253"/>
      <c r="G135" s="254"/>
      <c r="H135" s="253"/>
      <c r="I135" s="255"/>
      <c r="J135" s="255"/>
      <c r="K135" s="255"/>
      <c r="L135" s="253"/>
      <c r="M135" s="255"/>
      <c r="N135" s="255"/>
      <c r="O135" s="255"/>
      <c r="P135" s="255"/>
      <c r="Q135" s="255"/>
      <c r="R135" s="255"/>
      <c r="S135" s="255"/>
      <c r="T135" s="255"/>
      <c r="U135" s="255"/>
      <c r="V135" s="255"/>
      <c r="W135" s="255"/>
      <c r="X135" s="255"/>
      <c r="Y135" s="255"/>
      <c r="Z135" s="255"/>
      <c r="AA135" s="255"/>
      <c r="AB135" s="355"/>
      <c r="AC135" s="256"/>
      <c r="AD135" s="355"/>
      <c r="AE135" s="255"/>
    </row>
    <row r="136" spans="1:31">
      <c r="A136" s="102">
        <f>A133+1</f>
        <v>45609</v>
      </c>
      <c r="B136" s="102" t="s">
        <v>3503</v>
      </c>
      <c r="C136" s="110" t="str">
        <f>A136 &amp; " " &amp;B136</f>
        <v>45609 0000H</v>
      </c>
      <c r="D136" s="111">
        <v>629.17999999999995</v>
      </c>
      <c r="E136" s="116">
        <v>49.66</v>
      </c>
      <c r="F136" s="250">
        <v>1102.8</v>
      </c>
      <c r="G136" s="251">
        <v>6.2</v>
      </c>
      <c r="H136" s="250">
        <v>73434.600000000006</v>
      </c>
      <c r="I136" s="235">
        <v>886.02</v>
      </c>
      <c r="J136" s="235">
        <v>32891.07</v>
      </c>
      <c r="K136" s="251">
        <v>101.39</v>
      </c>
      <c r="L136" s="250">
        <v>5168.75</v>
      </c>
      <c r="M136" s="235">
        <v>15.77</v>
      </c>
      <c r="N136" s="235">
        <v>32468.7</v>
      </c>
      <c r="O136" s="235">
        <v>28.6</v>
      </c>
      <c r="P136" s="235">
        <v>530.54999999999995</v>
      </c>
      <c r="Q136" s="235">
        <v>627.63</v>
      </c>
      <c r="R136" s="235">
        <v>9635.5300000000007</v>
      </c>
      <c r="S136" s="235">
        <v>9.0399999999999991</v>
      </c>
      <c r="T136" s="235">
        <v>35365</v>
      </c>
      <c r="U136" s="235">
        <v>69</v>
      </c>
      <c r="V136" s="235">
        <v>230.01</v>
      </c>
      <c r="W136" s="235">
        <v>0.15</v>
      </c>
      <c r="X136" s="235">
        <v>6003.95</v>
      </c>
      <c r="Y136" s="235">
        <v>0</v>
      </c>
      <c r="Z136" s="235">
        <v>54150</v>
      </c>
      <c r="AA136" s="251">
        <v>78</v>
      </c>
      <c r="AB136" s="235"/>
      <c r="AC136" s="252"/>
      <c r="AD136" s="235"/>
      <c r="AE136" s="251"/>
    </row>
    <row r="137" spans="1:31">
      <c r="A137" s="102">
        <f>A134+1</f>
        <v>45609</v>
      </c>
      <c r="B137" s="102" t="s">
        <v>3504</v>
      </c>
      <c r="C137" s="110" t="str">
        <f>A137 &amp; " " &amp;B137</f>
        <v>45609 1200H</v>
      </c>
      <c r="D137" s="111">
        <v>632.83000000000004</v>
      </c>
      <c r="E137" s="116">
        <v>49.66</v>
      </c>
      <c r="F137" s="250">
        <v>1102.8</v>
      </c>
      <c r="G137" s="251">
        <v>6.2</v>
      </c>
      <c r="H137" s="250">
        <v>73438.070000000007</v>
      </c>
      <c r="I137" s="235">
        <v>886.36</v>
      </c>
      <c r="J137" s="235">
        <v>32894.85</v>
      </c>
      <c r="K137" s="251">
        <v>101.39</v>
      </c>
      <c r="L137" s="250">
        <v>5174.54</v>
      </c>
      <c r="M137" s="235">
        <v>15.77</v>
      </c>
      <c r="N137" s="235">
        <v>32473.4</v>
      </c>
      <c r="O137" s="235">
        <v>28.6</v>
      </c>
      <c r="P137" s="235">
        <v>531.4</v>
      </c>
      <c r="Q137" s="235">
        <v>628.03</v>
      </c>
      <c r="R137" s="235">
        <v>9639.1</v>
      </c>
      <c r="S137" s="235">
        <v>9.0399999999999991</v>
      </c>
      <c r="T137" s="235">
        <v>35371</v>
      </c>
      <c r="U137" s="235">
        <v>69</v>
      </c>
      <c r="V137" s="235">
        <v>230.01</v>
      </c>
      <c r="W137" s="235">
        <v>0.15</v>
      </c>
      <c r="X137" s="235">
        <v>6009</v>
      </c>
      <c r="Y137" s="235" t="s">
        <v>1</v>
      </c>
      <c r="Z137" s="235">
        <v>54150</v>
      </c>
      <c r="AA137" s="251">
        <v>78</v>
      </c>
      <c r="AB137" s="235"/>
      <c r="AC137" s="252"/>
      <c r="AD137" s="235"/>
      <c r="AE137" s="251"/>
    </row>
    <row r="138" spans="1:31" ht="6.95" customHeight="1">
      <c r="F138" s="253"/>
      <c r="G138" s="254"/>
      <c r="H138" s="253"/>
      <c r="I138" s="255"/>
      <c r="J138" s="255"/>
      <c r="K138" s="255"/>
      <c r="L138" s="253"/>
      <c r="M138" s="255"/>
      <c r="N138" s="255"/>
      <c r="O138" s="255"/>
      <c r="P138" s="255"/>
      <c r="Q138" s="255"/>
      <c r="R138" s="255"/>
      <c r="S138" s="255"/>
      <c r="T138" s="255"/>
      <c r="U138" s="255"/>
      <c r="V138" s="255"/>
      <c r="W138" s="255"/>
      <c r="X138" s="255"/>
      <c r="Y138" s="255"/>
      <c r="Z138" s="255"/>
      <c r="AA138" s="255"/>
      <c r="AB138" s="355"/>
      <c r="AC138" s="256"/>
      <c r="AD138" s="355"/>
      <c r="AE138" s="255"/>
    </row>
    <row r="139" spans="1:31">
      <c r="A139" s="102">
        <f>A136+1</f>
        <v>45610</v>
      </c>
      <c r="B139" s="102" t="s">
        <v>3503</v>
      </c>
      <c r="C139" s="110" t="str">
        <f>A139 &amp; " " &amp;B139</f>
        <v>45610 0000H</v>
      </c>
      <c r="D139" s="111">
        <v>637.48</v>
      </c>
      <c r="E139" s="116">
        <v>49.66</v>
      </c>
      <c r="F139" s="250">
        <v>1102.8</v>
      </c>
      <c r="G139" s="251">
        <v>6.2</v>
      </c>
      <c r="H139" s="250">
        <v>73442.22</v>
      </c>
      <c r="I139" s="235">
        <v>886.32</v>
      </c>
      <c r="J139" s="235">
        <v>32898.57</v>
      </c>
      <c r="K139" s="251">
        <v>101.39</v>
      </c>
      <c r="L139" s="250">
        <v>5180.32</v>
      </c>
      <c r="M139" s="235">
        <v>15.77</v>
      </c>
      <c r="N139" s="235">
        <v>32481.200000000001</v>
      </c>
      <c r="O139" s="235">
        <v>28.6</v>
      </c>
      <c r="P139" s="235">
        <v>534.19000000000005</v>
      </c>
      <c r="Q139" s="235">
        <v>628.32000000000005</v>
      </c>
      <c r="R139" s="235">
        <v>9643.59</v>
      </c>
      <c r="S139" s="235">
        <v>9.0399999999999991</v>
      </c>
      <c r="T139" s="235">
        <v>35380</v>
      </c>
      <c r="U139" s="235">
        <v>69</v>
      </c>
      <c r="V139" s="235">
        <v>230.01</v>
      </c>
      <c r="W139" s="235">
        <v>0.15</v>
      </c>
      <c r="X139" s="235">
        <v>6017.27</v>
      </c>
      <c r="Y139" s="235" t="s">
        <v>1</v>
      </c>
      <c r="Z139" s="235">
        <v>54150</v>
      </c>
      <c r="AA139" s="251">
        <v>78</v>
      </c>
      <c r="AB139" s="235"/>
      <c r="AC139" s="252"/>
      <c r="AD139" s="235"/>
      <c r="AE139" s="251"/>
    </row>
    <row r="140" spans="1:31">
      <c r="A140" s="102">
        <f>A137+1</f>
        <v>45610</v>
      </c>
      <c r="B140" s="102" t="s">
        <v>3504</v>
      </c>
      <c r="C140" s="110" t="str">
        <f>A140 &amp; " " &amp;B140</f>
        <v>45610 1200H</v>
      </c>
      <c r="D140" s="111">
        <v>641.29</v>
      </c>
      <c r="E140" s="116">
        <v>49.66</v>
      </c>
      <c r="F140" s="250">
        <v>1102.8</v>
      </c>
      <c r="G140" s="251">
        <v>6.2</v>
      </c>
      <c r="H140" s="250">
        <v>73458.039999999994</v>
      </c>
      <c r="I140" s="235">
        <v>886.36</v>
      </c>
      <c r="J140" s="235">
        <v>32899.18</v>
      </c>
      <c r="K140" s="251">
        <v>101.47</v>
      </c>
      <c r="L140" s="250">
        <v>5186.04</v>
      </c>
      <c r="M140" s="235">
        <v>15.77</v>
      </c>
      <c r="N140" s="235">
        <v>32486.799999999999</v>
      </c>
      <c r="O140" s="235">
        <v>28.6</v>
      </c>
      <c r="P140" s="235">
        <v>535.52</v>
      </c>
      <c r="Q140" s="235">
        <v>628.97</v>
      </c>
      <c r="R140" s="235">
        <v>9647.23</v>
      </c>
      <c r="S140" s="235">
        <v>9.0399999999999991</v>
      </c>
      <c r="T140" s="235">
        <v>35386</v>
      </c>
      <c r="U140" s="235">
        <v>69</v>
      </c>
      <c r="V140" s="235">
        <v>230.13</v>
      </c>
      <c r="W140" s="235">
        <v>0.15</v>
      </c>
      <c r="X140" s="235">
        <v>6023.74</v>
      </c>
      <c r="Y140" s="235" t="s">
        <v>1</v>
      </c>
      <c r="Z140" s="235">
        <v>54150</v>
      </c>
      <c r="AA140" s="251">
        <v>78</v>
      </c>
      <c r="AB140" s="235"/>
      <c r="AC140" s="252"/>
      <c r="AD140" s="235"/>
      <c r="AE140" s="251"/>
    </row>
    <row r="141" spans="1:31" ht="6.95" customHeight="1">
      <c r="F141" s="253"/>
      <c r="G141" s="254"/>
      <c r="H141" s="253"/>
      <c r="I141" s="255"/>
      <c r="J141" s="255"/>
      <c r="K141" s="255"/>
      <c r="L141" s="253"/>
      <c r="M141" s="255"/>
      <c r="N141" s="255"/>
      <c r="O141" s="255"/>
      <c r="P141" s="255"/>
      <c r="Q141" s="255"/>
      <c r="R141" s="255"/>
      <c r="S141" s="255"/>
      <c r="T141" s="255"/>
      <c r="U141" s="255"/>
      <c r="V141" s="255"/>
      <c r="W141" s="255"/>
      <c r="X141" s="255"/>
      <c r="Y141" s="255"/>
      <c r="Z141" s="255"/>
      <c r="AA141" s="255"/>
      <c r="AB141" s="355"/>
      <c r="AC141" s="256"/>
      <c r="AD141" s="355"/>
      <c r="AE141" s="255"/>
    </row>
    <row r="142" spans="1:31">
      <c r="A142" s="102">
        <f>A139+1</f>
        <v>45611</v>
      </c>
      <c r="B142" s="102" t="s">
        <v>3503</v>
      </c>
      <c r="C142" s="110" t="str">
        <f>A142 &amp; " " &amp;B142</f>
        <v>45611 0000H</v>
      </c>
      <c r="D142" s="111">
        <v>645.79999999999995</v>
      </c>
      <c r="E142" s="116">
        <v>49.66</v>
      </c>
      <c r="F142" s="250">
        <v>1102.8</v>
      </c>
      <c r="G142" s="251">
        <v>6.2</v>
      </c>
      <c r="H142" s="250">
        <v>73468.210000000006</v>
      </c>
      <c r="I142" s="235">
        <v>886.32</v>
      </c>
      <c r="J142" s="235">
        <v>32902.769999999997</v>
      </c>
      <c r="K142" s="251">
        <v>101.47</v>
      </c>
      <c r="L142" s="250">
        <v>5191.54</v>
      </c>
      <c r="M142" s="235">
        <v>15.77</v>
      </c>
      <c r="N142" s="235">
        <v>32493</v>
      </c>
      <c r="O142" s="235">
        <v>28.6</v>
      </c>
      <c r="P142" s="235">
        <v>538.67999999999995</v>
      </c>
      <c r="Q142" s="235">
        <v>629.15</v>
      </c>
      <c r="R142" s="235">
        <v>9651.8799999999992</v>
      </c>
      <c r="S142" s="235">
        <v>9.0399999999999991</v>
      </c>
      <c r="T142" s="235">
        <v>35395</v>
      </c>
      <c r="U142" s="235">
        <v>69</v>
      </c>
      <c r="V142" s="235">
        <v>232.25</v>
      </c>
      <c r="W142" s="235">
        <v>0.15</v>
      </c>
      <c r="X142" s="235">
        <v>6031.29</v>
      </c>
      <c r="Y142" s="235">
        <v>0</v>
      </c>
      <c r="Z142" s="235">
        <v>54150</v>
      </c>
      <c r="AA142" s="251">
        <v>78</v>
      </c>
      <c r="AB142" s="235"/>
      <c r="AC142" s="252"/>
      <c r="AD142" s="235"/>
      <c r="AE142" s="251"/>
    </row>
    <row r="143" spans="1:31">
      <c r="A143" s="102">
        <f>A140+1</f>
        <v>45611</v>
      </c>
      <c r="B143" s="102" t="s">
        <v>3504</v>
      </c>
      <c r="C143" s="110" t="str">
        <f>A143 &amp; " " &amp;B143</f>
        <v>45611 1200H</v>
      </c>
      <c r="D143" s="111">
        <v>649.6</v>
      </c>
      <c r="E143" s="116">
        <v>49.66</v>
      </c>
      <c r="F143" s="250">
        <v>1102.8</v>
      </c>
      <c r="G143" s="251">
        <v>6.2</v>
      </c>
      <c r="H143" s="250">
        <v>73478.460000000006</v>
      </c>
      <c r="I143" s="235">
        <v>886.33</v>
      </c>
      <c r="J143" s="235">
        <v>32904.74</v>
      </c>
      <c r="K143" s="251">
        <v>101.51</v>
      </c>
      <c r="L143" s="250">
        <v>5197.3500000000004</v>
      </c>
      <c r="M143" s="235">
        <v>15.77</v>
      </c>
      <c r="N143" s="235">
        <v>32498.799999999999</v>
      </c>
      <c r="O143" s="235">
        <v>28.6</v>
      </c>
      <c r="P143" s="235">
        <v>539.58000000000004</v>
      </c>
      <c r="Q143" s="235">
        <v>629.87</v>
      </c>
      <c r="R143" s="235">
        <v>9655.49</v>
      </c>
      <c r="S143" s="235">
        <v>9.0399999999999991</v>
      </c>
      <c r="T143" s="235">
        <v>35401</v>
      </c>
      <c r="U143" s="235">
        <v>69</v>
      </c>
      <c r="V143" s="235">
        <v>232.25</v>
      </c>
      <c r="W143" s="235">
        <v>0.15</v>
      </c>
      <c r="X143" s="235">
        <v>6037.63</v>
      </c>
      <c r="Y143" s="235">
        <v>0</v>
      </c>
      <c r="Z143" s="235">
        <v>54150</v>
      </c>
      <c r="AA143" s="251">
        <v>78</v>
      </c>
      <c r="AB143" s="235"/>
      <c r="AC143" s="252"/>
      <c r="AD143" s="235"/>
      <c r="AE143" s="251"/>
    </row>
    <row r="144" spans="1:31" ht="6.95" customHeight="1">
      <c r="F144" s="253"/>
      <c r="G144" s="254"/>
      <c r="H144" s="253"/>
      <c r="I144" s="255"/>
      <c r="J144" s="255"/>
      <c r="K144" s="255"/>
      <c r="L144" s="253"/>
      <c r="M144" s="255"/>
      <c r="N144" s="255"/>
      <c r="O144" s="255"/>
      <c r="P144" s="255"/>
      <c r="Q144" s="255"/>
      <c r="R144" s="255"/>
      <c r="S144" s="255"/>
      <c r="T144" s="255"/>
      <c r="U144" s="255"/>
      <c r="V144" s="255"/>
      <c r="W144" s="255"/>
      <c r="X144" s="255"/>
      <c r="Y144" s="255"/>
      <c r="Z144" s="255"/>
      <c r="AA144" s="255"/>
      <c r="AB144" s="355"/>
      <c r="AC144" s="256"/>
      <c r="AD144" s="355"/>
      <c r="AE144" s="255"/>
    </row>
    <row r="145" spans="1:31">
      <c r="A145" s="102">
        <f>A142+1</f>
        <v>45612</v>
      </c>
      <c r="B145" s="102" t="s">
        <v>3503</v>
      </c>
      <c r="C145" s="110" t="str">
        <f>A145 &amp; " " &amp;B145</f>
        <v>45612 0000H</v>
      </c>
      <c r="D145" s="111">
        <v>654.78</v>
      </c>
      <c r="E145" s="116">
        <v>49.66</v>
      </c>
      <c r="F145" s="250">
        <v>1102.8</v>
      </c>
      <c r="G145" s="251">
        <v>6.2</v>
      </c>
      <c r="H145" s="250">
        <v>73486.929999999993</v>
      </c>
      <c r="I145" s="235">
        <v>886.39</v>
      </c>
      <c r="J145" s="235">
        <v>32907.71</v>
      </c>
      <c r="K145" s="251">
        <v>101.54</v>
      </c>
      <c r="L145" s="250">
        <v>5203.1400000000003</v>
      </c>
      <c r="M145" s="235">
        <v>15.77</v>
      </c>
      <c r="N145" s="235">
        <v>32506.1</v>
      </c>
      <c r="O145" s="235">
        <v>28.6</v>
      </c>
      <c r="P145" s="235">
        <v>542.19000000000005</v>
      </c>
      <c r="Q145" s="235">
        <v>630.01</v>
      </c>
      <c r="R145" s="235">
        <v>9660.11</v>
      </c>
      <c r="S145" s="235">
        <v>9.0399999999999991</v>
      </c>
      <c r="T145" s="235">
        <v>35410</v>
      </c>
      <c r="U145" s="235">
        <v>69</v>
      </c>
      <c r="V145" s="235">
        <v>232.25</v>
      </c>
      <c r="W145" s="235">
        <v>0.15</v>
      </c>
      <c r="X145" s="235">
        <v>6045.2</v>
      </c>
      <c r="Y145" s="235">
        <v>0</v>
      </c>
      <c r="Z145" s="235">
        <v>54150</v>
      </c>
      <c r="AA145" s="251">
        <v>78</v>
      </c>
      <c r="AB145" s="235"/>
      <c r="AC145" s="252"/>
      <c r="AD145" s="235"/>
      <c r="AE145" s="251"/>
    </row>
    <row r="146" spans="1:31">
      <c r="A146" s="102">
        <f>A143+1</f>
        <v>45612</v>
      </c>
      <c r="B146" s="102" t="s">
        <v>3504</v>
      </c>
      <c r="C146" s="110" t="str">
        <f>A146 &amp; " " &amp;B146</f>
        <v>45612 1200H</v>
      </c>
      <c r="D146" s="111">
        <v>658.31</v>
      </c>
      <c r="E146" s="116">
        <v>49.66</v>
      </c>
      <c r="F146" s="250">
        <v>1102.8</v>
      </c>
      <c r="G146" s="251">
        <v>6.2</v>
      </c>
      <c r="H146" s="250">
        <v>73490.350000000006</v>
      </c>
      <c r="I146" s="235">
        <v>886.72</v>
      </c>
      <c r="J146" s="235">
        <v>32910.93</v>
      </c>
      <c r="K146" s="251">
        <v>101.56</v>
      </c>
      <c r="L146" s="250">
        <v>5208.9399999999996</v>
      </c>
      <c r="M146" s="235">
        <v>15.77</v>
      </c>
      <c r="N146" s="235">
        <v>32511.7</v>
      </c>
      <c r="O146" s="235">
        <v>28.6</v>
      </c>
      <c r="P146" s="235">
        <v>542.25</v>
      </c>
      <c r="Q146" s="235">
        <v>630.01</v>
      </c>
      <c r="R146" s="235">
        <v>9663.82</v>
      </c>
      <c r="S146" s="235">
        <v>9.0399999999999991</v>
      </c>
      <c r="T146" s="235">
        <v>35416</v>
      </c>
      <c r="U146" s="235">
        <v>69</v>
      </c>
      <c r="V146" s="235">
        <v>232.25</v>
      </c>
      <c r="W146" s="235">
        <v>0.15</v>
      </c>
      <c r="X146" s="235">
        <v>6051.57</v>
      </c>
      <c r="Y146" s="235">
        <v>0</v>
      </c>
      <c r="Z146" s="235">
        <v>54150</v>
      </c>
      <c r="AA146" s="251">
        <v>78</v>
      </c>
      <c r="AB146" s="235"/>
      <c r="AC146" s="252"/>
      <c r="AD146" s="235"/>
      <c r="AE146" s="251"/>
    </row>
    <row r="147" spans="1:31" ht="6.95" customHeight="1">
      <c r="F147" s="253"/>
      <c r="G147" s="254"/>
      <c r="H147" s="253"/>
      <c r="I147" s="255"/>
      <c r="J147" s="255"/>
      <c r="K147" s="255"/>
      <c r="L147" s="253"/>
      <c r="M147" s="255"/>
      <c r="N147" s="255"/>
      <c r="O147" s="255"/>
      <c r="P147" s="255"/>
      <c r="Q147" s="255"/>
      <c r="R147" s="255"/>
      <c r="S147" s="255"/>
      <c r="T147" s="255"/>
      <c r="U147" s="255"/>
      <c r="V147" s="255"/>
      <c r="W147" s="255"/>
      <c r="X147" s="255"/>
      <c r="Y147" s="255"/>
      <c r="Z147" s="255"/>
      <c r="AA147" s="255"/>
      <c r="AB147" s="355"/>
      <c r="AC147" s="256"/>
      <c r="AD147" s="355"/>
      <c r="AE147" s="255"/>
    </row>
    <row r="148" spans="1:31">
      <c r="A148" s="102">
        <f>A145+1</f>
        <v>45613</v>
      </c>
      <c r="B148" s="102" t="s">
        <v>3503</v>
      </c>
      <c r="C148" s="110" t="str">
        <f>A148 &amp; " " &amp;B148</f>
        <v>45613 0000H</v>
      </c>
      <c r="D148" s="111">
        <v>663.31</v>
      </c>
      <c r="E148" s="116">
        <v>49.66</v>
      </c>
      <c r="F148" s="250">
        <v>1102.8</v>
      </c>
      <c r="G148" s="251">
        <v>6.2</v>
      </c>
      <c r="H148" s="250">
        <v>73499.44</v>
      </c>
      <c r="I148" s="235">
        <v>886.77</v>
      </c>
      <c r="J148" s="235">
        <v>32914.65</v>
      </c>
      <c r="K148" s="251">
        <v>101.556</v>
      </c>
      <c r="L148" s="250">
        <v>5214.6899999999996</v>
      </c>
      <c r="M148" s="235">
        <v>15.77</v>
      </c>
      <c r="N148" s="235">
        <v>32519.8</v>
      </c>
      <c r="O148" s="235">
        <v>28.6</v>
      </c>
      <c r="P148" s="235">
        <v>543.61</v>
      </c>
      <c r="Q148" s="235">
        <v>631.07000000000005</v>
      </c>
      <c r="R148" s="235">
        <v>9668.9599999999991</v>
      </c>
      <c r="S148" s="235">
        <v>9.0399999999999991</v>
      </c>
      <c r="T148" s="235">
        <v>35422</v>
      </c>
      <c r="U148" s="235">
        <v>69</v>
      </c>
      <c r="V148" s="235">
        <v>232.25</v>
      </c>
      <c r="W148" s="235">
        <v>0.15</v>
      </c>
      <c r="X148" s="235">
        <v>6059.13</v>
      </c>
      <c r="Y148" s="235">
        <v>0</v>
      </c>
      <c r="Z148" s="235">
        <v>54150</v>
      </c>
      <c r="AA148" s="251">
        <v>78</v>
      </c>
      <c r="AB148" s="235"/>
      <c r="AC148" s="252"/>
      <c r="AD148" s="235"/>
      <c r="AE148" s="251"/>
    </row>
    <row r="149" spans="1:31">
      <c r="A149" s="102">
        <f>A146+1</f>
        <v>45613</v>
      </c>
      <c r="B149" s="102" t="s">
        <v>3504</v>
      </c>
      <c r="C149" s="110" t="str">
        <f>A149 &amp; " " &amp;B149</f>
        <v>45613 1200H</v>
      </c>
      <c r="D149" s="111">
        <v>666.7</v>
      </c>
      <c r="E149" s="116">
        <v>49.66</v>
      </c>
      <c r="F149" s="250">
        <v>1102.8</v>
      </c>
      <c r="G149" s="251">
        <v>6.2</v>
      </c>
      <c r="H149" s="250">
        <v>73503.350000000006</v>
      </c>
      <c r="I149" s="235">
        <v>887.01</v>
      </c>
      <c r="J149" s="235">
        <v>32918.400000000001</v>
      </c>
      <c r="K149" s="251">
        <v>101.56</v>
      </c>
      <c r="L149" s="250">
        <v>5220.47</v>
      </c>
      <c r="M149" s="235">
        <v>15.77</v>
      </c>
      <c r="N149" s="235">
        <v>32525.1</v>
      </c>
      <c r="O149" s="251">
        <v>28.6</v>
      </c>
      <c r="P149" s="235">
        <v>543.63</v>
      </c>
      <c r="Q149" s="235">
        <v>632.21</v>
      </c>
      <c r="R149" s="235">
        <v>9672.26</v>
      </c>
      <c r="S149" s="235">
        <v>9.0399999999999991</v>
      </c>
      <c r="T149" s="235">
        <v>35430</v>
      </c>
      <c r="U149" s="235">
        <v>69</v>
      </c>
      <c r="V149" s="235">
        <v>232.25</v>
      </c>
      <c r="W149" s="235">
        <v>0.15</v>
      </c>
      <c r="X149" s="235">
        <v>6065.31</v>
      </c>
      <c r="Y149" s="235">
        <v>0</v>
      </c>
      <c r="Z149" s="235">
        <v>54150</v>
      </c>
      <c r="AA149" s="251">
        <v>78</v>
      </c>
      <c r="AB149" s="235"/>
      <c r="AC149" s="252"/>
      <c r="AD149" s="235"/>
      <c r="AE149" s="251"/>
    </row>
    <row r="150" spans="1:31" ht="6.95" customHeight="1">
      <c r="F150" s="253"/>
      <c r="G150" s="254"/>
      <c r="H150" s="253"/>
      <c r="I150" s="255"/>
      <c r="J150" s="255"/>
      <c r="K150" s="255"/>
      <c r="L150" s="253"/>
      <c r="M150" s="255"/>
      <c r="N150" s="255"/>
      <c r="O150" s="255"/>
      <c r="P150" s="255"/>
      <c r="Q150" s="255"/>
      <c r="R150" s="255"/>
      <c r="S150" s="255"/>
      <c r="T150" s="255"/>
      <c r="U150" s="255"/>
      <c r="V150" s="255"/>
      <c r="W150" s="255"/>
      <c r="X150" s="255"/>
      <c r="Y150" s="255"/>
      <c r="Z150" s="255"/>
      <c r="AA150" s="255"/>
      <c r="AB150" s="355"/>
      <c r="AC150" s="256"/>
      <c r="AD150" s="355"/>
      <c r="AE150" s="255"/>
    </row>
    <row r="151" spans="1:31">
      <c r="A151" s="102">
        <f>A148+1</f>
        <v>45614</v>
      </c>
      <c r="B151" s="102" t="s">
        <v>3503</v>
      </c>
      <c r="C151" s="110" t="str">
        <f>A151 &amp; " " &amp;B151</f>
        <v>45614 0000H</v>
      </c>
      <c r="D151" s="111">
        <v>671.56</v>
      </c>
      <c r="E151" s="116">
        <v>49.66</v>
      </c>
      <c r="F151" s="250">
        <v>1102.8</v>
      </c>
      <c r="G151" s="251">
        <v>6.2</v>
      </c>
      <c r="H151" s="250">
        <v>73512.3</v>
      </c>
      <c r="I151" s="235">
        <v>887.07</v>
      </c>
      <c r="J151" s="235">
        <v>32922.080000000002</v>
      </c>
      <c r="K151" s="251">
        <v>101.56</v>
      </c>
      <c r="L151" s="250">
        <v>5226.25</v>
      </c>
      <c r="M151" s="235">
        <v>15.77</v>
      </c>
      <c r="N151" s="235">
        <v>32532.6</v>
      </c>
      <c r="O151" s="235">
        <v>28.6</v>
      </c>
      <c r="P151" s="235">
        <v>543.91999999999996</v>
      </c>
      <c r="Q151" s="235">
        <v>632.88</v>
      </c>
      <c r="R151" s="235">
        <v>9676.85</v>
      </c>
      <c r="S151" s="235">
        <v>9.0399999999999991</v>
      </c>
      <c r="T151" s="235">
        <v>35437</v>
      </c>
      <c r="U151" s="235">
        <v>69</v>
      </c>
      <c r="V151" s="235">
        <v>232.25</v>
      </c>
      <c r="W151" s="235">
        <v>0.15</v>
      </c>
      <c r="X151" s="235">
        <v>6072.78</v>
      </c>
      <c r="Y151" s="235">
        <v>0</v>
      </c>
      <c r="Z151" s="235">
        <v>54150</v>
      </c>
      <c r="AA151" s="251">
        <v>78</v>
      </c>
      <c r="AB151" s="235"/>
      <c r="AC151" s="252"/>
      <c r="AD151" s="235"/>
      <c r="AE151" s="251"/>
    </row>
    <row r="152" spans="1:31">
      <c r="A152" s="102">
        <f>A149+1</f>
        <v>45614</v>
      </c>
      <c r="B152" s="102" t="s">
        <v>3504</v>
      </c>
      <c r="C152" s="110" t="str">
        <f>A152 &amp; " " &amp;B152</f>
        <v>45614 1200H</v>
      </c>
      <c r="D152" s="111">
        <v>674.96</v>
      </c>
      <c r="E152" s="116">
        <v>49.66</v>
      </c>
      <c r="F152" s="250">
        <v>1102.8</v>
      </c>
      <c r="G152" s="251">
        <v>6.2</v>
      </c>
      <c r="H152" s="250">
        <v>73515.490000000005</v>
      </c>
      <c r="I152" s="235">
        <v>887.37</v>
      </c>
      <c r="J152" s="235">
        <v>32925.919999999998</v>
      </c>
      <c r="K152" s="251">
        <v>101.56</v>
      </c>
      <c r="L152" s="250">
        <v>5231.95</v>
      </c>
      <c r="M152" s="235">
        <v>15.77</v>
      </c>
      <c r="N152" s="235">
        <v>32537.7</v>
      </c>
      <c r="O152" s="235">
        <v>28.6</v>
      </c>
      <c r="P152" s="235">
        <v>544.83000000000004</v>
      </c>
      <c r="Q152" s="235">
        <v>633.54</v>
      </c>
      <c r="R152" s="235">
        <v>9680.5499999999993</v>
      </c>
      <c r="S152" s="235">
        <v>9.0399999999999991</v>
      </c>
      <c r="T152" s="235">
        <v>35444</v>
      </c>
      <c r="U152" s="235">
        <v>69</v>
      </c>
      <c r="V152" s="235">
        <v>232.25</v>
      </c>
      <c r="W152" s="235">
        <v>0.15</v>
      </c>
      <c r="X152" s="235">
        <v>6078.89</v>
      </c>
      <c r="Y152" s="235">
        <v>0</v>
      </c>
      <c r="Z152" s="235">
        <v>54150</v>
      </c>
      <c r="AA152" s="251">
        <v>78</v>
      </c>
      <c r="AB152" s="235"/>
      <c r="AC152" s="252"/>
      <c r="AD152" s="235"/>
      <c r="AE152" s="251"/>
    </row>
    <row r="153" spans="1:31" ht="6.95" customHeight="1">
      <c r="F153" s="253"/>
      <c r="G153" s="254"/>
      <c r="H153" s="253"/>
      <c r="I153" s="255"/>
      <c r="J153" s="255"/>
      <c r="K153" s="255"/>
      <c r="L153" s="253"/>
      <c r="M153" s="255"/>
      <c r="N153" s="255"/>
      <c r="O153" s="255"/>
      <c r="P153" s="255"/>
      <c r="Q153" s="255"/>
      <c r="R153" s="255"/>
      <c r="S153" s="255"/>
      <c r="T153" s="255"/>
      <c r="U153" s="255"/>
      <c r="V153" s="255"/>
      <c r="W153" s="255"/>
      <c r="X153" s="255"/>
      <c r="Y153" s="255"/>
      <c r="Z153" s="255"/>
      <c r="AA153" s="255"/>
      <c r="AB153" s="355"/>
      <c r="AC153" s="256"/>
      <c r="AD153" s="355"/>
      <c r="AE153" s="255"/>
    </row>
    <row r="154" spans="1:31">
      <c r="A154" s="102">
        <f>A151+1</f>
        <v>45615</v>
      </c>
      <c r="B154" s="102" t="s">
        <v>3503</v>
      </c>
      <c r="C154" s="110" t="str">
        <f>A154 &amp; " " &amp;B154</f>
        <v>45615 0000H</v>
      </c>
      <c r="D154" s="111">
        <v>680.06</v>
      </c>
      <c r="E154" s="116">
        <v>49.66</v>
      </c>
      <c r="F154" s="250">
        <v>1102.8</v>
      </c>
      <c r="G154" s="251">
        <v>6.2</v>
      </c>
      <c r="H154" s="250">
        <v>73525.240000000005</v>
      </c>
      <c r="I154" s="235">
        <v>887.37</v>
      </c>
      <c r="J154" s="235">
        <v>32929.26</v>
      </c>
      <c r="K154" s="251">
        <v>101.57</v>
      </c>
      <c r="L154" s="250">
        <v>5237.01</v>
      </c>
      <c r="M154" s="235">
        <v>15.77</v>
      </c>
      <c r="N154" s="235">
        <v>32544.799999999999</v>
      </c>
      <c r="O154" s="235">
        <v>28.6</v>
      </c>
      <c r="P154" s="235">
        <v>546.67999999999995</v>
      </c>
      <c r="Q154" s="235">
        <v>633.69000000000005</v>
      </c>
      <c r="R154" s="235">
        <v>9684.77</v>
      </c>
      <c r="S154" s="235">
        <v>9.0399999999999991</v>
      </c>
      <c r="T154" s="235">
        <v>35452</v>
      </c>
      <c r="U154" s="235">
        <v>69</v>
      </c>
      <c r="V154" s="235">
        <v>232.25</v>
      </c>
      <c r="W154" s="235">
        <v>0.15</v>
      </c>
      <c r="X154" s="235">
        <v>6085.3</v>
      </c>
      <c r="Y154" s="235">
        <v>0</v>
      </c>
      <c r="Z154" s="235">
        <v>54150</v>
      </c>
      <c r="AA154" s="251">
        <v>78</v>
      </c>
      <c r="AB154" s="235"/>
      <c r="AC154" s="252"/>
      <c r="AD154" s="235"/>
      <c r="AE154" s="251"/>
    </row>
    <row r="155" spans="1:31">
      <c r="A155" s="102">
        <f>A152+1</f>
        <v>45615</v>
      </c>
      <c r="B155" s="102" t="s">
        <v>3504</v>
      </c>
      <c r="C155" s="110" t="str">
        <f>A155 &amp; " " &amp;B155</f>
        <v>45615 1200H</v>
      </c>
      <c r="D155" s="111">
        <v>684.53</v>
      </c>
      <c r="E155" s="116">
        <v>49.66</v>
      </c>
      <c r="F155" s="250">
        <v>1102.8</v>
      </c>
      <c r="G155" s="251">
        <v>6.2</v>
      </c>
      <c r="H155" s="250">
        <v>73533.740000000005</v>
      </c>
      <c r="I155" s="235">
        <v>887.4</v>
      </c>
      <c r="J155" s="235">
        <v>32929.57</v>
      </c>
      <c r="K155" s="251">
        <v>101.61</v>
      </c>
      <c r="L155" s="250">
        <v>5239.58</v>
      </c>
      <c r="M155" s="235">
        <v>15.77</v>
      </c>
      <c r="N155" s="235">
        <v>32545.4</v>
      </c>
      <c r="O155" s="235">
        <v>28.7</v>
      </c>
      <c r="P155" s="235">
        <v>546.89</v>
      </c>
      <c r="Q155" s="235">
        <v>633.94000000000005</v>
      </c>
      <c r="R155" s="235">
        <v>9687.58</v>
      </c>
      <c r="S155" s="235">
        <v>9.0399999999999991</v>
      </c>
      <c r="T155" s="235">
        <v>35459</v>
      </c>
      <c r="U155" s="235">
        <v>69</v>
      </c>
      <c r="V155" s="235">
        <v>232.25</v>
      </c>
      <c r="W155" s="235">
        <v>0.15</v>
      </c>
      <c r="X155" s="235">
        <v>6091.9</v>
      </c>
      <c r="Y155" s="235"/>
      <c r="Z155" s="235">
        <v>54150</v>
      </c>
      <c r="AA155" s="251">
        <v>78</v>
      </c>
      <c r="AB155" s="235"/>
      <c r="AC155" s="252"/>
      <c r="AD155" s="235"/>
      <c r="AE155" s="251"/>
    </row>
    <row r="156" spans="1:31" ht="6.95" customHeight="1">
      <c r="F156" s="253"/>
      <c r="G156" s="254"/>
      <c r="H156" s="253"/>
      <c r="I156" s="255"/>
      <c r="J156" s="255"/>
      <c r="K156" s="255"/>
      <c r="L156" s="253"/>
      <c r="M156" s="255"/>
      <c r="N156" s="255"/>
      <c r="O156" s="255"/>
      <c r="P156" s="255"/>
      <c r="Q156" s="255"/>
      <c r="R156" s="255"/>
      <c r="S156" s="255"/>
      <c r="T156" s="255"/>
      <c r="U156" s="255"/>
      <c r="V156" s="255"/>
      <c r="W156" s="255"/>
      <c r="X156" s="255"/>
      <c r="Y156" s="255"/>
      <c r="Z156" s="255"/>
      <c r="AA156" s="255"/>
      <c r="AB156" s="355"/>
      <c r="AC156" s="256"/>
      <c r="AD156" s="355"/>
      <c r="AE156" s="255"/>
    </row>
    <row r="157" spans="1:31">
      <c r="A157" s="102">
        <f>A154+1</f>
        <v>45616</v>
      </c>
      <c r="B157" s="102" t="s">
        <v>3503</v>
      </c>
      <c r="C157" s="110" t="str">
        <f>A157 &amp; " " &amp;B157</f>
        <v>45616 0000H</v>
      </c>
      <c r="D157" s="111">
        <v>689.11</v>
      </c>
      <c r="E157" s="116">
        <v>49.66</v>
      </c>
      <c r="F157" s="250">
        <v>1102.8</v>
      </c>
      <c r="G157" s="251">
        <v>6.2</v>
      </c>
      <c r="H157" s="250">
        <v>73543.53</v>
      </c>
      <c r="I157" s="235">
        <v>887.4</v>
      </c>
      <c r="J157" s="235">
        <v>32933.33</v>
      </c>
      <c r="K157" s="251">
        <v>101.61</v>
      </c>
      <c r="L157" s="250">
        <v>5245.22</v>
      </c>
      <c r="M157" s="235">
        <v>15.77</v>
      </c>
      <c r="N157" s="235">
        <v>32552.7</v>
      </c>
      <c r="O157" s="235">
        <v>28.7</v>
      </c>
      <c r="P157" s="235">
        <v>547.63</v>
      </c>
      <c r="Q157" s="235">
        <v>634.22</v>
      </c>
      <c r="R157" s="235">
        <v>9692.02</v>
      </c>
      <c r="S157" s="235">
        <v>9.0399999999999991</v>
      </c>
      <c r="T157" s="235">
        <v>35466</v>
      </c>
      <c r="U157" s="235">
        <v>69</v>
      </c>
      <c r="V157" s="235">
        <v>234.51</v>
      </c>
      <c r="W157" s="235">
        <v>0.15</v>
      </c>
      <c r="X157" s="235">
        <v>6098.7</v>
      </c>
      <c r="Y157" s="235">
        <v>0</v>
      </c>
      <c r="Z157" s="235">
        <v>54150</v>
      </c>
      <c r="AA157" s="251">
        <v>78</v>
      </c>
      <c r="AB157" s="235"/>
      <c r="AC157" s="252"/>
      <c r="AD157" s="235"/>
      <c r="AE157" s="251"/>
    </row>
    <row r="158" spans="1:31">
      <c r="A158" s="102">
        <f>A155+1</f>
        <v>45616</v>
      </c>
      <c r="B158" s="102" t="s">
        <v>3504</v>
      </c>
      <c r="C158" s="110" t="str">
        <f>A158 &amp; " " &amp;B158</f>
        <v>45616 1200H</v>
      </c>
      <c r="D158" s="111">
        <v>693.16</v>
      </c>
      <c r="E158" s="116">
        <v>49.66</v>
      </c>
      <c r="F158" s="250">
        <v>1102.8</v>
      </c>
      <c r="G158" s="251">
        <v>6.2</v>
      </c>
      <c r="H158" s="250">
        <v>73553.210000000006</v>
      </c>
      <c r="I158" s="235">
        <v>887.4</v>
      </c>
      <c r="J158" s="235">
        <v>32935.800000000003</v>
      </c>
      <c r="K158" s="251">
        <v>101.64</v>
      </c>
      <c r="L158" s="250">
        <v>5250.78</v>
      </c>
      <c r="M158" s="235">
        <v>15.77</v>
      </c>
      <c r="N158" s="235">
        <v>32557.7</v>
      </c>
      <c r="O158" s="235">
        <v>28.7</v>
      </c>
      <c r="P158" s="235">
        <v>548.84</v>
      </c>
      <c r="Q158" s="235">
        <v>634.66999999999996</v>
      </c>
      <c r="R158" s="235">
        <v>9695.73</v>
      </c>
      <c r="S158" s="235">
        <v>9.0399999999999991</v>
      </c>
      <c r="T158" s="235">
        <v>35472</v>
      </c>
      <c r="U158" s="235">
        <v>69</v>
      </c>
      <c r="V158" s="235">
        <v>234.51</v>
      </c>
      <c r="W158" s="235">
        <v>0.15</v>
      </c>
      <c r="X158" s="235">
        <v>6104.74</v>
      </c>
      <c r="Y158" s="235"/>
      <c r="Z158" s="235">
        <v>54151</v>
      </c>
      <c r="AA158" s="251">
        <v>78</v>
      </c>
      <c r="AB158" s="235"/>
      <c r="AC158" s="252"/>
      <c r="AD158" s="235"/>
      <c r="AE158" s="251"/>
    </row>
    <row r="159" spans="1:31" ht="6.95" customHeight="1">
      <c r="F159" s="253"/>
      <c r="G159" s="254"/>
      <c r="H159" s="253"/>
      <c r="I159" s="255"/>
      <c r="J159" s="255"/>
      <c r="K159" s="255"/>
      <c r="L159" s="253"/>
      <c r="M159" s="255"/>
      <c r="N159" s="255"/>
      <c r="O159" s="255"/>
      <c r="P159" s="255"/>
      <c r="Q159" s="255"/>
      <c r="R159" s="255"/>
      <c r="S159" s="255"/>
      <c r="T159" s="255"/>
      <c r="U159" s="255"/>
      <c r="V159" s="255"/>
      <c r="W159" s="255"/>
      <c r="X159" s="255"/>
      <c r="Y159" s="255"/>
      <c r="Z159" s="255"/>
      <c r="AA159" s="255"/>
      <c r="AB159" s="355"/>
      <c r="AC159" s="256"/>
      <c r="AD159" s="355"/>
      <c r="AE159" s="255"/>
    </row>
    <row r="160" spans="1:31">
      <c r="A160" s="102">
        <f>A157+1</f>
        <v>45617</v>
      </c>
      <c r="B160" s="102" t="s">
        <v>3503</v>
      </c>
      <c r="C160" s="110" t="str">
        <f>A160 &amp; " " &amp;B160</f>
        <v>45617 0000H</v>
      </c>
      <c r="D160" s="111">
        <v>698.14</v>
      </c>
      <c r="E160" s="116">
        <v>49.66</v>
      </c>
      <c r="F160" s="250">
        <v>1102.8</v>
      </c>
      <c r="G160" s="251">
        <v>6.2</v>
      </c>
      <c r="H160" s="250">
        <v>73559.3</v>
      </c>
      <c r="I160" s="235">
        <v>887.2</v>
      </c>
      <c r="J160" s="235">
        <v>32939.519999999997</v>
      </c>
      <c r="K160" s="251">
        <v>101.64</v>
      </c>
      <c r="L160" s="250">
        <v>5256.58</v>
      </c>
      <c r="M160" s="235">
        <v>15.77</v>
      </c>
      <c r="N160" s="235">
        <v>32565.3</v>
      </c>
      <c r="O160" s="235">
        <v>28.7</v>
      </c>
      <c r="P160" s="235">
        <v>551.21</v>
      </c>
      <c r="Q160" s="235">
        <v>634.84</v>
      </c>
      <c r="R160" s="235">
        <v>9700.23</v>
      </c>
      <c r="S160" s="235">
        <v>9.0399999999999991</v>
      </c>
      <c r="T160" s="235">
        <v>35479</v>
      </c>
      <c r="U160" s="235">
        <v>69</v>
      </c>
      <c r="V160" s="235">
        <v>234.51</v>
      </c>
      <c r="W160" s="235">
        <v>0.15</v>
      </c>
      <c r="X160" s="235">
        <v>6111.34</v>
      </c>
      <c r="Y160" s="235">
        <v>0</v>
      </c>
      <c r="Z160" s="235">
        <v>54151</v>
      </c>
      <c r="AA160" s="251">
        <v>78</v>
      </c>
      <c r="AB160" s="235"/>
      <c r="AC160" s="252"/>
      <c r="AD160" s="235"/>
      <c r="AE160" s="251"/>
    </row>
    <row r="161" spans="1:31">
      <c r="A161" s="102">
        <f>A158+1</f>
        <v>45617</v>
      </c>
      <c r="B161" s="102" t="s">
        <v>3504</v>
      </c>
      <c r="C161" s="110" t="str">
        <f>A161 &amp; " " &amp;B161</f>
        <v>45617 1200H</v>
      </c>
      <c r="D161" s="111">
        <v>701.89</v>
      </c>
      <c r="E161" s="116">
        <v>49.66</v>
      </c>
      <c r="F161" s="250">
        <v>1102.8</v>
      </c>
      <c r="G161" s="251">
        <v>6.2</v>
      </c>
      <c r="H161" s="250">
        <v>73565.509999999995</v>
      </c>
      <c r="I161" s="235">
        <v>887.68</v>
      </c>
      <c r="J161" s="235">
        <v>32941.22</v>
      </c>
      <c r="K161" s="251">
        <v>101.69</v>
      </c>
      <c r="L161" s="250">
        <v>5262.38</v>
      </c>
      <c r="M161" s="235">
        <v>15.77</v>
      </c>
      <c r="N161" s="235">
        <v>32571.599999999999</v>
      </c>
      <c r="O161" s="235">
        <v>28.7</v>
      </c>
      <c r="P161" s="235">
        <v>552.04999999999995</v>
      </c>
      <c r="Q161" s="235">
        <v>635.44000000000005</v>
      </c>
      <c r="R161" s="235">
        <v>9703.8799999999992</v>
      </c>
      <c r="S161" s="235">
        <v>9.0399999999999991</v>
      </c>
      <c r="T161" s="235">
        <v>35486</v>
      </c>
      <c r="U161" s="235">
        <v>69</v>
      </c>
      <c r="V161" s="235">
        <v>234.51</v>
      </c>
      <c r="W161" s="235">
        <v>0.15</v>
      </c>
      <c r="X161" s="235">
        <v>6116.9</v>
      </c>
      <c r="Y161" s="235">
        <v>0</v>
      </c>
      <c r="Z161" s="235">
        <v>54151</v>
      </c>
      <c r="AA161" s="251">
        <v>79</v>
      </c>
      <c r="AB161" s="235"/>
      <c r="AC161" s="252"/>
      <c r="AD161" s="235"/>
      <c r="AE161" s="251"/>
    </row>
    <row r="162" spans="1:31" ht="6.95" customHeight="1">
      <c r="F162" s="253"/>
      <c r="G162" s="254"/>
      <c r="H162" s="253"/>
      <c r="I162" s="255"/>
      <c r="J162" s="255"/>
      <c r="K162" s="255"/>
      <c r="L162" s="253"/>
      <c r="M162" s="255"/>
      <c r="N162" s="255"/>
      <c r="O162" s="255"/>
      <c r="P162" s="255"/>
      <c r="Q162" s="255"/>
      <c r="R162" s="255"/>
      <c r="S162" s="255"/>
      <c r="T162" s="255"/>
      <c r="U162" s="255"/>
      <c r="V162" s="255"/>
      <c r="W162" s="255"/>
      <c r="X162" s="255"/>
      <c r="Y162" s="255"/>
      <c r="Z162" s="255"/>
      <c r="AA162" s="255"/>
      <c r="AB162" s="355"/>
      <c r="AC162" s="256"/>
      <c r="AD162" s="355"/>
      <c r="AE162" s="255"/>
    </row>
    <row r="163" spans="1:31">
      <c r="A163" s="102">
        <f>A160+1</f>
        <v>45618</v>
      </c>
      <c r="B163" s="102" t="s">
        <v>3503</v>
      </c>
      <c r="C163" s="110" t="str">
        <f>A163 &amp; " " &amp;B163</f>
        <v>45618 0000H</v>
      </c>
      <c r="D163" s="111">
        <v>707.39</v>
      </c>
      <c r="E163" s="116">
        <v>49.66</v>
      </c>
      <c r="F163" s="250">
        <v>1102.8</v>
      </c>
      <c r="G163" s="251">
        <v>6.2</v>
      </c>
      <c r="H163" s="250">
        <v>73575.94</v>
      </c>
      <c r="I163" s="235">
        <v>887.68</v>
      </c>
      <c r="J163" s="235">
        <v>32944.93</v>
      </c>
      <c r="K163" s="251">
        <v>101.69</v>
      </c>
      <c r="L163" s="250">
        <v>5268.18</v>
      </c>
      <c r="M163" s="235">
        <v>15.77</v>
      </c>
      <c r="N163" s="235">
        <v>32578.3</v>
      </c>
      <c r="O163" s="235">
        <v>28.7</v>
      </c>
      <c r="P163" s="235">
        <v>554.02</v>
      </c>
      <c r="Q163" s="235">
        <v>635.67999999999995</v>
      </c>
      <c r="R163" s="235">
        <v>9708.5499999999993</v>
      </c>
      <c r="S163" s="235">
        <v>9.0399999999999991</v>
      </c>
      <c r="T163" s="235">
        <v>35494</v>
      </c>
      <c r="U163" s="235">
        <v>69</v>
      </c>
      <c r="V163" s="235">
        <v>234.51</v>
      </c>
      <c r="W163" s="235">
        <v>0.15</v>
      </c>
      <c r="X163" s="235">
        <v>6123.62</v>
      </c>
      <c r="Y163" s="235">
        <v>0</v>
      </c>
      <c r="Z163" s="235">
        <v>54151</v>
      </c>
      <c r="AA163" s="251">
        <v>79</v>
      </c>
      <c r="AB163" s="235"/>
      <c r="AC163" s="252"/>
      <c r="AD163" s="235"/>
      <c r="AE163" s="251"/>
    </row>
    <row r="164" spans="1:31">
      <c r="A164" s="102">
        <f>A161+1</f>
        <v>45618</v>
      </c>
      <c r="B164" s="102" t="s">
        <v>3504</v>
      </c>
      <c r="C164" s="110" t="str">
        <f>A164 &amp; " " &amp;B164</f>
        <v>45618 1200H</v>
      </c>
      <c r="D164" s="111">
        <v>709.6</v>
      </c>
      <c r="E164" s="116">
        <v>49.66</v>
      </c>
      <c r="F164" s="250">
        <v>1102.8</v>
      </c>
      <c r="G164" s="251">
        <v>6.2</v>
      </c>
      <c r="H164" s="250">
        <v>73586.080000000002</v>
      </c>
      <c r="I164" s="235">
        <v>887.68</v>
      </c>
      <c r="J164" s="235">
        <v>32946.94</v>
      </c>
      <c r="K164" s="251">
        <v>101.73</v>
      </c>
      <c r="L164" s="250">
        <v>5273.94</v>
      </c>
      <c r="M164" s="235">
        <v>15.77</v>
      </c>
      <c r="N164" s="235">
        <v>32584</v>
      </c>
      <c r="O164" s="235">
        <v>28.7</v>
      </c>
      <c r="P164" s="235">
        <v>555.19000000000005</v>
      </c>
      <c r="Q164" s="235">
        <v>636.42999999999995</v>
      </c>
      <c r="R164" s="235">
        <v>9712.27</v>
      </c>
      <c r="S164" s="235">
        <v>9.0399999999999991</v>
      </c>
      <c r="T164" s="235">
        <v>35500</v>
      </c>
      <c r="U164" s="235">
        <v>69</v>
      </c>
      <c r="V164" s="235">
        <v>234.51</v>
      </c>
      <c r="W164" s="235">
        <v>0.15</v>
      </c>
      <c r="X164" s="235">
        <v>6129.32</v>
      </c>
      <c r="Y164" s="235">
        <v>0</v>
      </c>
      <c r="Z164" s="235">
        <v>54152</v>
      </c>
      <c r="AA164" s="251">
        <v>79</v>
      </c>
      <c r="AB164" s="235"/>
      <c r="AC164" s="252"/>
      <c r="AD164" s="235"/>
      <c r="AE164" s="251"/>
    </row>
    <row r="165" spans="1:31" ht="6.95" customHeight="1">
      <c r="F165" s="253"/>
      <c r="G165" s="254"/>
      <c r="H165" s="253"/>
      <c r="I165" s="255"/>
      <c r="J165" s="255"/>
      <c r="K165" s="255"/>
      <c r="L165" s="253"/>
      <c r="M165" s="255"/>
      <c r="N165" s="255"/>
      <c r="O165" s="255"/>
      <c r="P165" s="255"/>
      <c r="Q165" s="255"/>
      <c r="R165" s="255"/>
      <c r="S165" s="255"/>
      <c r="T165" s="255"/>
      <c r="U165" s="255"/>
      <c r="V165" s="255"/>
      <c r="W165" s="255"/>
      <c r="X165" s="255"/>
      <c r="Y165" s="255"/>
      <c r="Z165" s="255"/>
      <c r="AA165" s="255"/>
      <c r="AB165" s="355"/>
      <c r="AC165" s="256"/>
      <c r="AD165" s="355"/>
      <c r="AE165" s="255"/>
    </row>
    <row r="166" spans="1:31">
      <c r="A166" s="102">
        <f>A163+1</f>
        <v>45619</v>
      </c>
      <c r="B166" s="102" t="s">
        <v>3503</v>
      </c>
      <c r="C166" s="110" t="str">
        <f>A166 &amp; " " &amp;B166</f>
        <v>45619 0000H</v>
      </c>
      <c r="D166" s="111">
        <v>716.23</v>
      </c>
      <c r="E166" s="116">
        <v>49.66</v>
      </c>
      <c r="F166" s="250">
        <v>1102.8</v>
      </c>
      <c r="G166" s="251">
        <v>6.2</v>
      </c>
      <c r="H166" s="250">
        <v>73596.100000000006</v>
      </c>
      <c r="I166" s="235">
        <v>887.68</v>
      </c>
      <c r="J166" s="235">
        <v>32950.519999999997</v>
      </c>
      <c r="K166" s="251">
        <v>101.73</v>
      </c>
      <c r="L166" s="250">
        <v>5279.79</v>
      </c>
      <c r="M166" s="235">
        <v>15.77</v>
      </c>
      <c r="N166" s="235">
        <v>32591.7</v>
      </c>
      <c r="O166" s="235">
        <v>28.7</v>
      </c>
      <c r="P166" s="235">
        <v>557.78</v>
      </c>
      <c r="Q166" s="235">
        <v>636.29</v>
      </c>
      <c r="R166" s="235">
        <v>9717.02</v>
      </c>
      <c r="S166" s="235">
        <v>9.0399999999999991</v>
      </c>
      <c r="T166" s="235">
        <v>35508</v>
      </c>
      <c r="U166" s="235">
        <v>69</v>
      </c>
      <c r="V166" s="235">
        <v>234.51</v>
      </c>
      <c r="W166" s="235">
        <v>0.15</v>
      </c>
      <c r="X166" s="235">
        <v>6136.4</v>
      </c>
      <c r="Y166" s="235">
        <v>0</v>
      </c>
      <c r="Z166" s="235">
        <v>54152</v>
      </c>
      <c r="AA166" s="251">
        <v>79</v>
      </c>
      <c r="AB166" s="235"/>
      <c r="AC166" s="252"/>
      <c r="AD166" s="235"/>
      <c r="AE166" s="251"/>
    </row>
    <row r="167" spans="1:31">
      <c r="A167" s="102">
        <f>A164+1</f>
        <v>45619</v>
      </c>
      <c r="B167" s="102" t="s">
        <v>3504</v>
      </c>
      <c r="C167" s="110" t="str">
        <f>A167 &amp; " " &amp;B167</f>
        <v>45619 1200H</v>
      </c>
      <c r="D167" s="111">
        <v>720.17</v>
      </c>
      <c r="E167" s="116">
        <v>49.66</v>
      </c>
      <c r="F167" s="250">
        <v>1102.8</v>
      </c>
      <c r="G167" s="251">
        <v>6.2</v>
      </c>
      <c r="H167" s="250">
        <v>73606.350000000006</v>
      </c>
      <c r="I167" s="235">
        <v>887.68</v>
      </c>
      <c r="J167" s="235">
        <v>32950.519999999997</v>
      </c>
      <c r="K167" s="251">
        <v>101.79</v>
      </c>
      <c r="L167" s="250">
        <v>5285.47</v>
      </c>
      <c r="M167" s="235">
        <v>15.77</v>
      </c>
      <c r="N167" s="235">
        <v>32599.4</v>
      </c>
      <c r="O167" s="235">
        <v>28.7</v>
      </c>
      <c r="P167" s="235">
        <v>558.61</v>
      </c>
      <c r="Q167" s="235">
        <v>637.05999999999995</v>
      </c>
      <c r="R167" s="235">
        <v>9721.02</v>
      </c>
      <c r="S167" s="235">
        <v>9.0399999999999991</v>
      </c>
      <c r="T167" s="235">
        <v>35515</v>
      </c>
      <c r="U167" s="235">
        <v>69</v>
      </c>
      <c r="V167" s="235">
        <v>234.51</v>
      </c>
      <c r="W167" s="235">
        <v>0.15</v>
      </c>
      <c r="X167" s="235">
        <v>6141.44</v>
      </c>
      <c r="Y167" s="235">
        <v>0</v>
      </c>
      <c r="Z167" s="235">
        <v>54152</v>
      </c>
      <c r="AA167" s="251">
        <v>79</v>
      </c>
      <c r="AB167" s="235"/>
      <c r="AC167" s="252"/>
      <c r="AD167" s="235"/>
      <c r="AE167" s="251"/>
    </row>
    <row r="168" spans="1:31" ht="6.95" customHeight="1">
      <c r="F168" s="253"/>
      <c r="G168" s="254"/>
      <c r="H168" s="253"/>
      <c r="I168" s="255"/>
      <c r="J168" s="255"/>
      <c r="K168" s="255"/>
      <c r="L168" s="253"/>
      <c r="M168" s="255"/>
      <c r="N168" s="255"/>
      <c r="O168" s="255"/>
      <c r="P168" s="255"/>
      <c r="Q168" s="255"/>
      <c r="R168" s="255"/>
      <c r="S168" s="255"/>
      <c r="T168" s="255"/>
      <c r="U168" s="255"/>
      <c r="V168" s="255"/>
      <c r="W168" s="255"/>
      <c r="X168" s="255"/>
      <c r="Y168" s="255"/>
      <c r="Z168" s="255"/>
      <c r="AA168" s="255"/>
      <c r="AB168" s="355"/>
      <c r="AC168" s="256"/>
      <c r="AD168" s="355"/>
      <c r="AE168" s="255"/>
    </row>
    <row r="169" spans="1:31">
      <c r="A169" s="102">
        <f>A166+1</f>
        <v>45620</v>
      </c>
      <c r="B169" s="102" t="s">
        <v>3503</v>
      </c>
      <c r="C169" s="110" t="str">
        <f>A169 &amp; " " &amp;B169</f>
        <v>45620 0000H</v>
      </c>
      <c r="D169" s="111">
        <v>725.19</v>
      </c>
      <c r="E169" s="116">
        <v>49.66</v>
      </c>
      <c r="F169" s="250">
        <v>1102.8</v>
      </c>
      <c r="G169" s="251">
        <v>6.2</v>
      </c>
      <c r="H169" s="250">
        <v>73616.41</v>
      </c>
      <c r="I169" s="235">
        <v>887.68</v>
      </c>
      <c r="J169" s="235">
        <v>32950.519999999997</v>
      </c>
      <c r="K169" s="251">
        <v>101.79</v>
      </c>
      <c r="L169" s="250">
        <v>5291.33</v>
      </c>
      <c r="M169" s="235">
        <v>15.77</v>
      </c>
      <c r="N169" s="235">
        <v>32606.799999999999</v>
      </c>
      <c r="O169" s="235">
        <v>28.7</v>
      </c>
      <c r="P169" s="235">
        <v>560.70000000000005</v>
      </c>
      <c r="Q169" s="235">
        <v>637.16</v>
      </c>
      <c r="R169" s="235">
        <v>9726.2199999999993</v>
      </c>
      <c r="S169" s="235">
        <v>9.0399999999999991</v>
      </c>
      <c r="T169" s="235">
        <v>35521</v>
      </c>
      <c r="U169" s="235">
        <v>69</v>
      </c>
      <c r="V169" s="235">
        <v>234.51</v>
      </c>
      <c r="W169" s="235">
        <v>0.15</v>
      </c>
      <c r="X169" s="235">
        <v>6148.08</v>
      </c>
      <c r="Y169" s="235">
        <v>0</v>
      </c>
      <c r="Z169" s="235">
        <v>54152</v>
      </c>
      <c r="AA169" s="251">
        <v>79</v>
      </c>
      <c r="AB169" s="235"/>
      <c r="AC169" s="252"/>
      <c r="AD169" s="235"/>
      <c r="AE169" s="251"/>
    </row>
    <row r="170" spans="1:31">
      <c r="A170" s="102">
        <f>A167+1</f>
        <v>45620</v>
      </c>
      <c r="B170" s="102" t="s">
        <v>3504</v>
      </c>
      <c r="C170" s="110" t="str">
        <f>A170 &amp; " " &amp;B170</f>
        <v>45620 1200H</v>
      </c>
      <c r="D170" s="111">
        <v>729.28</v>
      </c>
      <c r="E170" s="116">
        <v>49.66</v>
      </c>
      <c r="F170" s="250">
        <v>1102.8</v>
      </c>
      <c r="G170" s="251">
        <v>6.2</v>
      </c>
      <c r="H170" s="250">
        <v>73626.539999999994</v>
      </c>
      <c r="I170" s="235">
        <v>887.68</v>
      </c>
      <c r="J170" s="235">
        <v>32950.519999999997</v>
      </c>
      <c r="K170" s="251">
        <v>101.84</v>
      </c>
      <c r="L170" s="250">
        <v>5297.03</v>
      </c>
      <c r="M170" s="235">
        <v>15.77</v>
      </c>
      <c r="N170" s="235">
        <v>32610.799999999999</v>
      </c>
      <c r="O170" s="235">
        <v>28.7</v>
      </c>
      <c r="P170" s="235">
        <v>561.49</v>
      </c>
      <c r="Q170" s="235">
        <v>637.67999999999995</v>
      </c>
      <c r="R170" s="235">
        <v>9730.9</v>
      </c>
      <c r="S170" s="235">
        <v>9.0399999999999991</v>
      </c>
      <c r="T170" s="235">
        <v>35527</v>
      </c>
      <c r="U170" s="235">
        <v>69</v>
      </c>
      <c r="V170" s="235">
        <v>234.51</v>
      </c>
      <c r="W170" s="235">
        <v>0.15</v>
      </c>
      <c r="X170" s="235">
        <v>6153.12</v>
      </c>
      <c r="Y170" s="235">
        <v>0</v>
      </c>
      <c r="Z170" s="235">
        <v>54152</v>
      </c>
      <c r="AA170" s="251">
        <v>79</v>
      </c>
      <c r="AB170" s="235"/>
      <c r="AC170" s="252"/>
      <c r="AD170" s="235"/>
      <c r="AE170" s="251"/>
    </row>
    <row r="171" spans="1:31" ht="6.95" customHeight="1">
      <c r="F171" s="253"/>
      <c r="G171" s="254"/>
      <c r="H171" s="253"/>
      <c r="I171" s="255"/>
      <c r="J171" s="255"/>
      <c r="K171" s="255"/>
      <c r="L171" s="253"/>
      <c r="M171" s="255"/>
      <c r="N171" s="255"/>
      <c r="O171" s="255"/>
      <c r="P171" s="255"/>
      <c r="Q171" s="255"/>
      <c r="R171" s="255"/>
      <c r="S171" s="255"/>
      <c r="T171" s="255"/>
      <c r="U171" s="255"/>
      <c r="V171" s="255"/>
      <c r="W171" s="255"/>
      <c r="X171" s="255"/>
      <c r="Y171" s="255"/>
      <c r="Z171" s="255"/>
      <c r="AA171" s="255"/>
      <c r="AB171" s="355"/>
      <c r="AC171" s="256"/>
      <c r="AD171" s="355"/>
      <c r="AE171" s="255"/>
    </row>
    <row r="172" spans="1:31">
      <c r="A172" s="102">
        <f>A169+1</f>
        <v>45621</v>
      </c>
      <c r="B172" s="102" t="s">
        <v>3503</v>
      </c>
      <c r="C172" s="110" t="str">
        <f>A172 &amp; " " &amp;B172</f>
        <v>45621 0000H</v>
      </c>
      <c r="D172" s="111">
        <v>734.34</v>
      </c>
      <c r="E172" s="116">
        <v>49.66</v>
      </c>
      <c r="F172" s="250">
        <v>1102.8</v>
      </c>
      <c r="G172" s="251">
        <v>6.2</v>
      </c>
      <c r="H172" s="250">
        <v>73636.490000000005</v>
      </c>
      <c r="I172" s="235">
        <v>887.68</v>
      </c>
      <c r="J172" s="235">
        <v>32950.519999999997</v>
      </c>
      <c r="K172" s="251">
        <v>101.9</v>
      </c>
      <c r="L172" s="250">
        <v>5302.78</v>
      </c>
      <c r="M172" s="235">
        <v>15.77</v>
      </c>
      <c r="N172" s="235">
        <v>32618.1</v>
      </c>
      <c r="O172" s="235">
        <v>28.7</v>
      </c>
      <c r="P172" s="235">
        <v>562.96</v>
      </c>
      <c r="Q172" s="235">
        <v>637.87</v>
      </c>
      <c r="R172" s="235">
        <v>9736.59</v>
      </c>
      <c r="S172" s="235">
        <v>9.0399999999999991</v>
      </c>
      <c r="T172" s="235">
        <v>35534</v>
      </c>
      <c r="U172" s="235">
        <v>69</v>
      </c>
      <c r="V172" s="235">
        <v>234.51</v>
      </c>
      <c r="W172" s="235">
        <v>0.15</v>
      </c>
      <c r="X172" s="235">
        <v>6159.99</v>
      </c>
      <c r="Y172" s="235">
        <v>0</v>
      </c>
      <c r="Z172" s="235">
        <v>54153.4</v>
      </c>
      <c r="AA172" s="251">
        <v>78</v>
      </c>
      <c r="AB172" s="235"/>
      <c r="AC172" s="252"/>
      <c r="AD172" s="235"/>
      <c r="AE172" s="251"/>
    </row>
    <row r="173" spans="1:31">
      <c r="A173" s="102">
        <f>A170+1</f>
        <v>45621</v>
      </c>
      <c r="B173" s="102" t="s">
        <v>3504</v>
      </c>
      <c r="C173" s="110" t="str">
        <f>A173 &amp; " " &amp;B173</f>
        <v>45621 1200H</v>
      </c>
      <c r="D173" s="111">
        <v>738.51</v>
      </c>
      <c r="E173" s="116">
        <v>49.66</v>
      </c>
      <c r="F173" s="250">
        <v>1102.8</v>
      </c>
      <c r="G173" s="251">
        <v>6.2</v>
      </c>
      <c r="H173" s="250">
        <v>73646.7</v>
      </c>
      <c r="I173" s="235">
        <v>887.68</v>
      </c>
      <c r="J173" s="235">
        <v>32950.519999999997</v>
      </c>
      <c r="K173" s="251">
        <v>101.9</v>
      </c>
      <c r="L173" s="250">
        <v>5308.49</v>
      </c>
      <c r="M173" s="235">
        <v>15.77</v>
      </c>
      <c r="N173" s="235">
        <v>32625.3</v>
      </c>
      <c r="O173" s="235">
        <v>28.7</v>
      </c>
      <c r="P173" s="235">
        <v>564</v>
      </c>
      <c r="Q173" s="235">
        <v>638.63</v>
      </c>
      <c r="R173" s="235">
        <v>9741.16</v>
      </c>
      <c r="S173" s="235">
        <v>9.0399999999999991</v>
      </c>
      <c r="T173" s="235">
        <v>35539</v>
      </c>
      <c r="U173" s="235">
        <v>69</v>
      </c>
      <c r="V173" s="235">
        <v>234.51</v>
      </c>
      <c r="W173" s="235">
        <v>0.15</v>
      </c>
      <c r="X173" s="235">
        <v>6165.94</v>
      </c>
      <c r="Y173" s="235">
        <v>0</v>
      </c>
      <c r="Z173" s="235">
        <v>54153</v>
      </c>
      <c r="AA173" s="251">
        <v>78</v>
      </c>
      <c r="AB173" s="235"/>
      <c r="AC173" s="252"/>
      <c r="AD173" s="235"/>
      <c r="AE173" s="251"/>
    </row>
    <row r="174" spans="1:31" ht="6.95" customHeight="1">
      <c r="F174" s="253"/>
      <c r="G174" s="254"/>
      <c r="H174" s="253"/>
      <c r="I174" s="255"/>
      <c r="J174" s="255"/>
      <c r="K174" s="255"/>
      <c r="L174" s="253"/>
      <c r="M174" s="255"/>
      <c r="N174" s="255"/>
      <c r="O174" s="255"/>
      <c r="P174" s="255"/>
      <c r="Q174" s="255"/>
      <c r="R174" s="255"/>
      <c r="S174" s="255"/>
      <c r="T174" s="255"/>
      <c r="U174" s="255"/>
      <c r="V174" s="255"/>
      <c r="W174" s="255"/>
      <c r="X174" s="255"/>
      <c r="Y174" s="255"/>
      <c r="Z174" s="255"/>
      <c r="AA174" s="255"/>
      <c r="AB174" s="355"/>
      <c r="AC174" s="256"/>
      <c r="AD174" s="355"/>
      <c r="AE174" s="255"/>
    </row>
    <row r="175" spans="1:31">
      <c r="A175" s="102">
        <f>A172+1</f>
        <v>45622</v>
      </c>
      <c r="B175" s="102" t="s">
        <v>3503</v>
      </c>
      <c r="C175" s="110" t="str">
        <f>A175 &amp; " " &amp;B175</f>
        <v>45622 0000H</v>
      </c>
      <c r="D175" s="111">
        <v>744.35</v>
      </c>
      <c r="E175" s="116">
        <v>49.66</v>
      </c>
      <c r="F175" s="250">
        <v>1102.8</v>
      </c>
      <c r="G175" s="251">
        <v>6.2</v>
      </c>
      <c r="H175" s="250">
        <v>73656.850000000006</v>
      </c>
      <c r="I175" s="235">
        <v>887.68</v>
      </c>
      <c r="J175" s="235">
        <v>32950.519999999997</v>
      </c>
      <c r="K175" s="251">
        <v>101.9</v>
      </c>
      <c r="L175" s="250">
        <v>5314.22</v>
      </c>
      <c r="M175" s="235">
        <v>15.77</v>
      </c>
      <c r="N175" s="235">
        <v>32632.9</v>
      </c>
      <c r="O175" s="235">
        <v>28.7</v>
      </c>
      <c r="P175" s="235">
        <v>566.59</v>
      </c>
      <c r="Q175" s="235">
        <v>638.67999999999995</v>
      </c>
      <c r="R175" s="235">
        <v>9746.65</v>
      </c>
      <c r="S175" s="235">
        <v>9.0399999999999991</v>
      </c>
      <c r="T175" s="235">
        <v>35547</v>
      </c>
      <c r="U175" s="235">
        <v>69</v>
      </c>
      <c r="V175" s="235">
        <v>234.51</v>
      </c>
      <c r="W175" s="235">
        <v>0.15</v>
      </c>
      <c r="X175" s="235">
        <v>6173.04</v>
      </c>
      <c r="Y175" s="235">
        <v>0</v>
      </c>
      <c r="Z175" s="235">
        <v>54153</v>
      </c>
      <c r="AA175" s="251">
        <v>78</v>
      </c>
      <c r="AB175" s="235"/>
      <c r="AC175" s="252"/>
      <c r="AD175" s="235"/>
      <c r="AE175" s="251"/>
    </row>
    <row r="176" spans="1:31">
      <c r="A176" s="102">
        <f>A173+1</f>
        <v>45622</v>
      </c>
      <c r="B176" s="102" t="s">
        <v>3504</v>
      </c>
      <c r="C176" s="110" t="str">
        <f>A176 &amp; " " &amp;B176</f>
        <v>45622 1200H</v>
      </c>
      <c r="D176" s="111">
        <v>748.6</v>
      </c>
      <c r="E176" s="116">
        <v>49.66</v>
      </c>
      <c r="F176" s="250">
        <v>1102.8</v>
      </c>
      <c r="G176" s="251">
        <v>6.2</v>
      </c>
      <c r="H176" s="250">
        <v>73666.77</v>
      </c>
      <c r="I176" s="235">
        <v>887.69</v>
      </c>
      <c r="J176" s="235">
        <v>32950.519999999997</v>
      </c>
      <c r="K176" s="251">
        <v>101.9</v>
      </c>
      <c r="L176" s="250">
        <v>5319.94</v>
      </c>
      <c r="M176" s="235">
        <v>15.77</v>
      </c>
      <c r="N176" s="235">
        <v>32640.3</v>
      </c>
      <c r="O176" s="235">
        <v>28.7</v>
      </c>
      <c r="P176" s="235">
        <v>567.44000000000005</v>
      </c>
      <c r="Q176" s="235">
        <v>639.55999999999995</v>
      </c>
      <c r="R176" s="235">
        <v>9751.06</v>
      </c>
      <c r="S176" s="235">
        <v>9.0399999999999991</v>
      </c>
      <c r="T176" s="235">
        <v>35553</v>
      </c>
      <c r="U176" s="235">
        <v>69</v>
      </c>
      <c r="V176" s="235">
        <v>234.51</v>
      </c>
      <c r="W176" s="235">
        <v>0.15</v>
      </c>
      <c r="X176" s="235">
        <v>6179.15</v>
      </c>
      <c r="Y176" s="235">
        <v>0</v>
      </c>
      <c r="Z176" s="235">
        <v>54153</v>
      </c>
      <c r="AA176" s="251">
        <v>78</v>
      </c>
      <c r="AB176" s="235"/>
      <c r="AC176" s="252"/>
      <c r="AD176" s="235"/>
      <c r="AE176" s="251"/>
    </row>
    <row r="177" spans="1:31" ht="6.95" customHeight="1">
      <c r="F177" s="253"/>
      <c r="G177" s="254"/>
      <c r="H177" s="253"/>
      <c r="I177" s="255"/>
      <c r="J177" s="255"/>
      <c r="K177" s="255"/>
      <c r="L177" s="253"/>
      <c r="M177" s="255"/>
      <c r="N177" s="255"/>
      <c r="O177" s="255"/>
      <c r="P177" s="255"/>
      <c r="Q177" s="255"/>
      <c r="R177" s="255"/>
      <c r="S177" s="255"/>
      <c r="T177" s="255"/>
      <c r="U177" s="255"/>
      <c r="V177" s="255"/>
      <c r="W177" s="255"/>
      <c r="X177" s="255"/>
      <c r="Y177" s="255">
        <v>0</v>
      </c>
      <c r="Z177" s="255"/>
      <c r="AA177" s="255"/>
      <c r="AB177" s="355"/>
      <c r="AC177" s="256"/>
      <c r="AD177" s="355"/>
      <c r="AE177" s="255"/>
    </row>
    <row r="178" spans="1:31">
      <c r="A178" s="102">
        <f>A175+1</f>
        <v>45623</v>
      </c>
      <c r="B178" s="102" t="s">
        <v>3503</v>
      </c>
      <c r="C178" s="110" t="str">
        <f>A178 &amp; " " &amp;B178</f>
        <v>45623 0000H</v>
      </c>
      <c r="D178" s="111">
        <v>754.46</v>
      </c>
      <c r="E178" s="116">
        <v>49.66</v>
      </c>
      <c r="F178" s="250">
        <v>1102.8</v>
      </c>
      <c r="G178" s="251">
        <v>6.2</v>
      </c>
      <c r="H178" s="250">
        <v>73676.960000000006</v>
      </c>
      <c r="I178" s="235">
        <v>887.69</v>
      </c>
      <c r="J178" s="235">
        <v>32950.519999999997</v>
      </c>
      <c r="K178" s="251">
        <v>101.9</v>
      </c>
      <c r="L178" s="250">
        <v>5325.75</v>
      </c>
      <c r="M178" s="235">
        <v>15.77</v>
      </c>
      <c r="N178" s="235">
        <v>32647.9</v>
      </c>
      <c r="O178" s="235">
        <v>28.7</v>
      </c>
      <c r="P178" s="235">
        <v>570.77</v>
      </c>
      <c r="Q178" s="235">
        <v>639.6</v>
      </c>
      <c r="R178" s="235">
        <v>9756.49</v>
      </c>
      <c r="S178" s="235">
        <v>9.0399999999999991</v>
      </c>
      <c r="T178" s="235">
        <v>35561</v>
      </c>
      <c r="U178" s="235">
        <v>69</v>
      </c>
      <c r="V178" s="235">
        <v>234.51</v>
      </c>
      <c r="W178" s="235">
        <v>0.15</v>
      </c>
      <c r="X178" s="235">
        <v>6186.32</v>
      </c>
      <c r="Y178" s="235">
        <v>0</v>
      </c>
      <c r="Z178" s="235">
        <v>54153</v>
      </c>
      <c r="AA178" s="251">
        <v>78</v>
      </c>
      <c r="AB178" s="235"/>
      <c r="AC178" s="252"/>
      <c r="AD178" s="235"/>
      <c r="AE178" s="251"/>
    </row>
    <row r="179" spans="1:31">
      <c r="A179" s="102">
        <f>A176+1</f>
        <v>45623</v>
      </c>
      <c r="B179" s="102" t="s">
        <v>3504</v>
      </c>
      <c r="C179" s="110" t="str">
        <f>A179 &amp; " " &amp;B179</f>
        <v>45623 1200H</v>
      </c>
      <c r="D179" s="111">
        <v>758.53</v>
      </c>
      <c r="E179" s="116">
        <v>49.66</v>
      </c>
      <c r="F179" s="250">
        <v>1102.8</v>
      </c>
      <c r="G179" s="251">
        <v>6.2</v>
      </c>
      <c r="H179" s="250">
        <v>73687.11</v>
      </c>
      <c r="I179" s="235">
        <v>887.69</v>
      </c>
      <c r="J179" s="235">
        <v>32950.519999999997</v>
      </c>
      <c r="K179" s="251">
        <v>101.9</v>
      </c>
      <c r="L179" s="250">
        <v>5331.54</v>
      </c>
      <c r="M179" s="235">
        <v>15.77</v>
      </c>
      <c r="N179" s="235">
        <v>32655.5</v>
      </c>
      <c r="O179" s="235">
        <v>28.7</v>
      </c>
      <c r="P179" s="235">
        <v>572.1</v>
      </c>
      <c r="Q179" s="235">
        <v>640.12</v>
      </c>
      <c r="R179" s="235">
        <v>9760.8700000000008</v>
      </c>
      <c r="S179" s="235">
        <v>9.0399999999999991</v>
      </c>
      <c r="T179" s="235">
        <v>35567</v>
      </c>
      <c r="U179" s="235">
        <v>69</v>
      </c>
      <c r="V179" s="235">
        <v>234.51</v>
      </c>
      <c r="W179" s="235">
        <v>0.15</v>
      </c>
      <c r="X179" s="235">
        <v>6192.3</v>
      </c>
      <c r="Y179" s="235">
        <v>0</v>
      </c>
      <c r="Z179" s="235">
        <v>54153</v>
      </c>
      <c r="AA179" s="251">
        <v>78</v>
      </c>
      <c r="AB179" s="235"/>
      <c r="AC179" s="252"/>
      <c r="AD179" s="235"/>
      <c r="AE179" s="251"/>
    </row>
    <row r="180" spans="1:31" ht="6.95" customHeight="1">
      <c r="F180" s="253"/>
      <c r="G180" s="254"/>
      <c r="H180" s="253"/>
      <c r="I180" s="255"/>
      <c r="J180" s="255"/>
      <c r="K180" s="255"/>
      <c r="L180" s="253"/>
      <c r="M180" s="255"/>
      <c r="N180" s="255"/>
      <c r="O180" s="255"/>
      <c r="P180" s="255"/>
      <c r="Q180" s="255"/>
      <c r="R180" s="255"/>
      <c r="S180" s="255"/>
      <c r="T180" s="255"/>
      <c r="U180" s="255"/>
      <c r="V180" s="255"/>
      <c r="W180" s="255"/>
      <c r="X180" s="255"/>
      <c r="Y180" s="255"/>
      <c r="Z180" s="255"/>
      <c r="AA180" s="255"/>
      <c r="AB180" s="355"/>
      <c r="AC180" s="256"/>
      <c r="AD180" s="355"/>
      <c r="AE180" s="255"/>
    </row>
    <row r="181" spans="1:31">
      <c r="A181" s="102">
        <f>A178+1</f>
        <v>45624</v>
      </c>
      <c r="B181" s="102" t="s">
        <v>3503</v>
      </c>
      <c r="C181" s="110" t="str">
        <f>A181 &amp; " " &amp;B181</f>
        <v>45624 0000H</v>
      </c>
      <c r="D181" s="111">
        <v>764.59</v>
      </c>
      <c r="E181" s="116">
        <v>49.66</v>
      </c>
      <c r="F181" s="250">
        <v>1102.8</v>
      </c>
      <c r="G181" s="251">
        <v>6.2</v>
      </c>
      <c r="H181" s="250">
        <v>73697.36</v>
      </c>
      <c r="I181" s="235">
        <v>887.69</v>
      </c>
      <c r="J181" s="235">
        <v>32950.519999999997</v>
      </c>
      <c r="K181" s="251">
        <v>101.9</v>
      </c>
      <c r="L181" s="250">
        <v>5337.28</v>
      </c>
      <c r="M181" s="235">
        <v>15.77</v>
      </c>
      <c r="N181" s="235">
        <v>32663.3</v>
      </c>
      <c r="O181" s="235">
        <v>28.7</v>
      </c>
      <c r="P181" s="235">
        <v>574.73</v>
      </c>
      <c r="Q181" s="235">
        <v>640.20000000000005</v>
      </c>
      <c r="R181" s="235">
        <v>9766.39</v>
      </c>
      <c r="S181" s="235">
        <v>9.0399999999999991</v>
      </c>
      <c r="T181" s="235">
        <v>35574</v>
      </c>
      <c r="U181" s="235">
        <v>69</v>
      </c>
      <c r="V181" s="235">
        <v>234.51</v>
      </c>
      <c r="W181" s="235">
        <v>0.15</v>
      </c>
      <c r="X181" s="235">
        <v>6199.71</v>
      </c>
      <c r="Y181" s="235">
        <v>0</v>
      </c>
      <c r="Z181" s="235">
        <v>54153</v>
      </c>
      <c r="AA181" s="251">
        <v>78</v>
      </c>
      <c r="AB181" s="235"/>
      <c r="AC181" s="252"/>
      <c r="AD181" s="235"/>
      <c r="AE181" s="251"/>
    </row>
    <row r="182" spans="1:31">
      <c r="A182" s="102">
        <f>A179+1</f>
        <v>45624</v>
      </c>
      <c r="B182" s="102" t="s">
        <v>3504</v>
      </c>
      <c r="C182" s="110" t="str">
        <f>A182 &amp; " " &amp;B182</f>
        <v>45624 1200H</v>
      </c>
      <c r="D182" s="111">
        <v>769.2</v>
      </c>
      <c r="E182" s="116">
        <v>49.66</v>
      </c>
      <c r="F182" s="250">
        <v>1102.8</v>
      </c>
      <c r="G182" s="251">
        <v>6.2</v>
      </c>
      <c r="H182" s="250">
        <v>73702.649999999994</v>
      </c>
      <c r="I182" s="235">
        <v>887.91</v>
      </c>
      <c r="J182" s="235">
        <v>32950.519999999997</v>
      </c>
      <c r="K182" s="251">
        <v>101.9</v>
      </c>
      <c r="L182" s="250">
        <v>5343.04</v>
      </c>
      <c r="M182" s="235">
        <v>15.77</v>
      </c>
      <c r="N182" s="235">
        <v>32670.5</v>
      </c>
      <c r="O182" s="235">
        <v>28.7</v>
      </c>
      <c r="P182" s="235">
        <v>575.9</v>
      </c>
      <c r="Q182" s="235">
        <v>640.80999999999995</v>
      </c>
      <c r="R182" s="235">
        <v>9770.86</v>
      </c>
      <c r="S182" s="235">
        <v>9.0399999999999991</v>
      </c>
      <c r="T182" s="235">
        <v>35580</v>
      </c>
      <c r="U182" s="235">
        <v>69</v>
      </c>
      <c r="V182" s="235">
        <v>234.51</v>
      </c>
      <c r="W182" s="235">
        <v>0.15</v>
      </c>
      <c r="X182" s="235">
        <v>6205.9</v>
      </c>
      <c r="Y182" s="235">
        <v>0</v>
      </c>
      <c r="Z182" s="235">
        <v>54153</v>
      </c>
      <c r="AA182" s="251">
        <v>78</v>
      </c>
      <c r="AB182" s="235"/>
      <c r="AC182" s="252"/>
      <c r="AD182" s="235"/>
      <c r="AE182" s="251"/>
    </row>
    <row r="183" spans="1:31" ht="6.95" customHeight="1">
      <c r="F183" s="253"/>
      <c r="G183" s="254"/>
      <c r="H183" s="253"/>
      <c r="I183" s="255"/>
      <c r="J183" s="255"/>
      <c r="K183" s="255"/>
      <c r="L183" s="253"/>
      <c r="M183" s="255"/>
      <c r="N183" s="255"/>
      <c r="O183" s="255"/>
      <c r="P183" s="255"/>
      <c r="Q183" s="255"/>
      <c r="R183" s="255"/>
      <c r="S183" s="255"/>
      <c r="T183" s="255"/>
      <c r="U183" s="255"/>
      <c r="V183" s="255"/>
      <c r="W183" s="255"/>
      <c r="X183" s="255"/>
      <c r="Y183" s="255"/>
      <c r="Z183" s="255"/>
      <c r="AA183" s="255"/>
      <c r="AB183" s="355"/>
      <c r="AC183" s="256"/>
      <c r="AD183" s="355"/>
      <c r="AE183" s="255"/>
    </row>
    <row r="184" spans="1:31">
      <c r="A184" s="102">
        <f>A181+1</f>
        <v>45625</v>
      </c>
      <c r="B184" s="102" t="s">
        <v>3503</v>
      </c>
      <c r="C184" s="110" t="str">
        <f>A184 &amp; " " &amp;B184</f>
        <v>45625 0000H</v>
      </c>
      <c r="D184" s="111">
        <v>775.11</v>
      </c>
      <c r="E184" s="116">
        <v>49.66</v>
      </c>
      <c r="F184" s="250">
        <v>1102.8</v>
      </c>
      <c r="G184" s="251">
        <v>6.2</v>
      </c>
      <c r="H184" s="250">
        <v>73712.62</v>
      </c>
      <c r="I184" s="235">
        <v>887.91</v>
      </c>
      <c r="J184" s="235">
        <v>32950.519999999997</v>
      </c>
      <c r="K184" s="251">
        <v>101.9</v>
      </c>
      <c r="L184" s="250">
        <v>5348.8</v>
      </c>
      <c r="M184" s="235">
        <v>15.77</v>
      </c>
      <c r="N184" s="235">
        <v>32678.5</v>
      </c>
      <c r="O184" s="235">
        <v>28.7</v>
      </c>
      <c r="P184" s="235">
        <v>579.26</v>
      </c>
      <c r="Q184" s="235">
        <v>640.91</v>
      </c>
      <c r="R184" s="235">
        <v>9776.36</v>
      </c>
      <c r="S184" s="235">
        <v>9.0399999999999991</v>
      </c>
      <c r="T184" s="235">
        <v>35588</v>
      </c>
      <c r="U184" s="235">
        <v>69</v>
      </c>
      <c r="V184" s="235">
        <v>234.51</v>
      </c>
      <c r="W184" s="235">
        <v>0.15</v>
      </c>
      <c r="X184" s="235">
        <v>6213.24</v>
      </c>
      <c r="Y184" s="235">
        <v>0</v>
      </c>
      <c r="Z184" s="235">
        <v>54153</v>
      </c>
      <c r="AA184" s="251">
        <v>78</v>
      </c>
      <c r="AB184" s="235"/>
      <c r="AC184" s="252"/>
      <c r="AD184" s="235"/>
      <c r="AE184" s="251"/>
    </row>
    <row r="185" spans="1:31">
      <c r="A185" s="102">
        <f>A182+1</f>
        <v>45625</v>
      </c>
      <c r="B185" s="102" t="s">
        <v>3504</v>
      </c>
      <c r="C185" s="110" t="str">
        <f>A185 &amp; " " &amp;B185</f>
        <v>45625 1200H</v>
      </c>
      <c r="D185" s="111">
        <v>779.21</v>
      </c>
      <c r="E185" s="116">
        <v>49.66</v>
      </c>
      <c r="F185" s="250">
        <v>1102.8</v>
      </c>
      <c r="G185" s="251">
        <v>6.2</v>
      </c>
      <c r="H185" s="250">
        <v>73717.94</v>
      </c>
      <c r="I185" s="235">
        <v>888.11</v>
      </c>
      <c r="J185" s="235">
        <v>32950.519999999997</v>
      </c>
      <c r="K185" s="251">
        <v>101.9</v>
      </c>
      <c r="L185" s="250">
        <v>5354.6</v>
      </c>
      <c r="M185" s="235">
        <v>15.77</v>
      </c>
      <c r="N185" s="235">
        <v>32685.8</v>
      </c>
      <c r="O185" s="235">
        <v>28.7</v>
      </c>
      <c r="P185" s="235">
        <v>580.15</v>
      </c>
      <c r="Q185" s="235">
        <v>641.41</v>
      </c>
      <c r="R185" s="235">
        <v>9780</v>
      </c>
      <c r="S185" s="235">
        <v>9.0399999999999991</v>
      </c>
      <c r="T185" s="235">
        <v>35594</v>
      </c>
      <c r="U185" s="235">
        <v>69</v>
      </c>
      <c r="V185" s="235">
        <v>234.89</v>
      </c>
      <c r="W185" s="235">
        <v>0.15</v>
      </c>
      <c r="X185" s="235">
        <v>6219.27</v>
      </c>
      <c r="Y185" s="235">
        <v>0</v>
      </c>
      <c r="Z185" s="235">
        <v>54153</v>
      </c>
      <c r="AA185" s="251">
        <v>78</v>
      </c>
      <c r="AB185" s="235"/>
      <c r="AC185" s="252"/>
      <c r="AD185" s="235"/>
      <c r="AE185" s="251"/>
    </row>
    <row r="186" spans="1:31" ht="6.95" customHeight="1">
      <c r="F186" s="253"/>
      <c r="G186" s="254"/>
      <c r="H186" s="253"/>
      <c r="I186" s="255"/>
      <c r="J186" s="255"/>
      <c r="K186" s="255"/>
      <c r="L186" s="253"/>
      <c r="M186" s="255"/>
      <c r="N186" s="255"/>
      <c r="O186" s="255"/>
      <c r="P186" s="255"/>
      <c r="Q186" s="255"/>
      <c r="R186" s="255"/>
      <c r="S186" s="255"/>
      <c r="T186" s="255"/>
      <c r="U186" s="255"/>
      <c r="V186" s="255"/>
      <c r="W186" s="255"/>
      <c r="X186" s="255"/>
      <c r="Y186" s="255"/>
      <c r="Z186" s="255"/>
      <c r="AA186" s="255"/>
      <c r="AB186" s="355"/>
      <c r="AC186" s="256"/>
      <c r="AD186" s="355"/>
      <c r="AE186" s="255"/>
    </row>
    <row r="187" spans="1:31">
      <c r="A187" s="102">
        <f>A184+1</f>
        <v>45626</v>
      </c>
      <c r="B187" s="102" t="s">
        <v>3503</v>
      </c>
      <c r="C187" s="110" t="str">
        <f>A187 &amp; " " &amp;B187</f>
        <v>45626 0000H</v>
      </c>
      <c r="D187" s="111">
        <v>781.94</v>
      </c>
      <c r="E187" s="116">
        <v>49.66</v>
      </c>
      <c r="F187" s="250">
        <v>1102.8</v>
      </c>
      <c r="G187" s="251">
        <v>6.2</v>
      </c>
      <c r="H187" s="250">
        <v>73723.92</v>
      </c>
      <c r="I187" s="235">
        <v>888.16</v>
      </c>
      <c r="J187" s="235">
        <v>32950.519999999997</v>
      </c>
      <c r="K187" s="251">
        <v>101.9</v>
      </c>
      <c r="L187" s="250">
        <v>5358.42</v>
      </c>
      <c r="M187" s="235">
        <v>15.77</v>
      </c>
      <c r="N187" s="235">
        <v>32690.7</v>
      </c>
      <c r="O187" s="235">
        <v>28.7</v>
      </c>
      <c r="P187" s="235">
        <v>581.66</v>
      </c>
      <c r="Q187" s="235">
        <v>641.42999999999995</v>
      </c>
      <c r="R187" s="235">
        <v>9783.85</v>
      </c>
      <c r="S187" s="235">
        <v>9.0399999999999991</v>
      </c>
      <c r="T187" s="235">
        <v>35602</v>
      </c>
      <c r="U187" s="235">
        <v>69</v>
      </c>
      <c r="V187" s="235">
        <v>234.89</v>
      </c>
      <c r="W187" s="235">
        <v>0.15</v>
      </c>
      <c r="X187" s="235">
        <v>6226.38</v>
      </c>
      <c r="Y187" s="235">
        <v>0</v>
      </c>
      <c r="Z187" s="235">
        <v>54153</v>
      </c>
      <c r="AA187" s="251">
        <v>78</v>
      </c>
      <c r="AB187" s="235"/>
      <c r="AC187" s="252"/>
      <c r="AD187" s="235"/>
      <c r="AE187" s="251"/>
    </row>
    <row r="188" spans="1:31">
      <c r="A188" s="102">
        <f>A185+1</f>
        <v>45626</v>
      </c>
      <c r="B188" s="102" t="s">
        <v>3504</v>
      </c>
      <c r="C188" s="110" t="str">
        <f>A188 &amp; " " &amp;B188</f>
        <v>45626 1200H</v>
      </c>
      <c r="D188" s="111">
        <v>786.01</v>
      </c>
      <c r="E188" s="116">
        <v>49.66</v>
      </c>
      <c r="F188" s="250">
        <v>1102.8</v>
      </c>
      <c r="G188" s="251">
        <v>6.2</v>
      </c>
      <c r="H188" s="250">
        <v>73730.13</v>
      </c>
      <c r="I188" s="235">
        <v>888.36</v>
      </c>
      <c r="J188" s="235">
        <v>32950.519999999997</v>
      </c>
      <c r="K188" s="251">
        <v>101.9</v>
      </c>
      <c r="L188" s="250">
        <v>5364.24</v>
      </c>
      <c r="M188" s="235">
        <v>15.77</v>
      </c>
      <c r="N188" s="235">
        <v>32695.3</v>
      </c>
      <c r="O188" s="235">
        <v>28.7</v>
      </c>
      <c r="P188" s="235">
        <v>582.25</v>
      </c>
      <c r="Q188" s="235">
        <v>641.79</v>
      </c>
      <c r="R188" s="235">
        <v>9788.23</v>
      </c>
      <c r="S188" s="235">
        <v>9.0399999999999991</v>
      </c>
      <c r="T188" s="235">
        <v>35607.07</v>
      </c>
      <c r="U188" s="235">
        <v>69</v>
      </c>
      <c r="V188" s="235">
        <v>234.89</v>
      </c>
      <c r="W188" s="235">
        <v>0.15</v>
      </c>
      <c r="X188" s="235">
        <v>6231.14</v>
      </c>
      <c r="Y188" s="235">
        <v>0</v>
      </c>
      <c r="Z188" s="235">
        <v>54153</v>
      </c>
      <c r="AA188" s="251">
        <v>78</v>
      </c>
      <c r="AB188" s="235"/>
      <c r="AC188" s="252"/>
      <c r="AD188" s="235"/>
      <c r="AE188" s="251"/>
    </row>
    <row r="189" spans="1:31">
      <c r="F189" s="253"/>
      <c r="G189" s="255"/>
      <c r="H189" s="253"/>
      <c r="I189" s="255"/>
      <c r="J189" s="255"/>
      <c r="K189" s="255"/>
      <c r="L189" s="253"/>
      <c r="M189" s="255"/>
      <c r="N189" s="255"/>
      <c r="O189" s="255"/>
      <c r="P189" s="255"/>
      <c r="Q189" s="255"/>
      <c r="R189" s="255"/>
      <c r="S189" s="255"/>
      <c r="T189" s="255"/>
      <c r="U189" s="255"/>
      <c r="V189" s="255"/>
      <c r="W189" s="255"/>
      <c r="X189" s="255"/>
      <c r="Y189" s="255"/>
      <c r="Z189" s="255"/>
      <c r="AA189" s="255"/>
      <c r="AB189" s="355"/>
      <c r="AC189" s="256"/>
      <c r="AD189" s="355"/>
      <c r="AE189" s="255"/>
    </row>
    <row r="190" spans="1:31">
      <c r="A190" s="102">
        <f>A187+1</f>
        <v>45627</v>
      </c>
      <c r="B190" s="102" t="s">
        <v>3503</v>
      </c>
      <c r="C190" s="110" t="str">
        <f>A190 &amp; " " &amp;B190</f>
        <v>45627 0000H</v>
      </c>
      <c r="D190" s="111">
        <v>791.35</v>
      </c>
      <c r="E190" s="116">
        <v>49.66</v>
      </c>
      <c r="F190" s="250">
        <v>1102.8</v>
      </c>
      <c r="G190" s="251">
        <v>6.2</v>
      </c>
      <c r="H190" s="250">
        <v>73740.34</v>
      </c>
      <c r="I190" s="235">
        <v>888.36</v>
      </c>
      <c r="J190" s="235">
        <v>32950.519999999997</v>
      </c>
      <c r="K190" s="251">
        <v>101.9</v>
      </c>
      <c r="L190" s="250">
        <v>5369.98</v>
      </c>
      <c r="M190" s="235">
        <v>15.77</v>
      </c>
      <c r="N190" s="235">
        <v>32702.9</v>
      </c>
      <c r="O190" s="235">
        <v>28.7</v>
      </c>
      <c r="P190" s="235">
        <v>583.12</v>
      </c>
      <c r="Q190" s="235">
        <v>642.35</v>
      </c>
      <c r="R190" s="235">
        <v>9793.51</v>
      </c>
      <c r="S190" s="235">
        <v>9.0399999999999991</v>
      </c>
      <c r="T190" s="235">
        <v>35614</v>
      </c>
      <c r="U190" s="235">
        <v>69</v>
      </c>
      <c r="V190" s="235">
        <v>234.89</v>
      </c>
      <c r="W190" s="235">
        <v>0.15</v>
      </c>
      <c r="X190" s="235">
        <v>6237.57</v>
      </c>
      <c r="Y190" s="235">
        <v>0</v>
      </c>
      <c r="Z190" s="235">
        <v>54153</v>
      </c>
      <c r="AA190" s="251">
        <v>78</v>
      </c>
      <c r="AB190" s="235"/>
      <c r="AC190" s="252"/>
      <c r="AD190" s="235"/>
      <c r="AE190" s="251"/>
    </row>
    <row r="191" spans="1:31">
      <c r="A191" s="102">
        <f>A188+1</f>
        <v>45627</v>
      </c>
      <c r="B191" s="102" t="s">
        <v>3504</v>
      </c>
      <c r="C191" s="110" t="str">
        <f>A191 &amp; " " &amp;B191</f>
        <v>45627 1200H</v>
      </c>
      <c r="D191" s="111">
        <v>794.64</v>
      </c>
      <c r="E191" s="116">
        <v>49.66</v>
      </c>
      <c r="F191" s="250">
        <v>1102.8</v>
      </c>
      <c r="G191" s="251">
        <v>6.2</v>
      </c>
      <c r="H191" s="250">
        <v>73748.17</v>
      </c>
      <c r="I191" s="235">
        <v>888.48</v>
      </c>
      <c r="J191" s="235">
        <v>32950.519999999997</v>
      </c>
      <c r="K191" s="251">
        <v>101.9</v>
      </c>
      <c r="L191" s="250">
        <v>5375.66</v>
      </c>
      <c r="M191" s="235">
        <v>15.77</v>
      </c>
      <c r="N191" s="235">
        <v>32708</v>
      </c>
      <c r="O191" s="235">
        <v>28.7</v>
      </c>
      <c r="P191" s="235">
        <v>583.15</v>
      </c>
      <c r="Q191" s="235">
        <v>643.54999999999995</v>
      </c>
      <c r="R191" s="235">
        <v>9797.85</v>
      </c>
      <c r="S191" s="235">
        <v>9.0399999999999991</v>
      </c>
      <c r="T191" s="235">
        <v>35620</v>
      </c>
      <c r="U191" s="235">
        <v>69</v>
      </c>
      <c r="V191" s="235">
        <v>237.93</v>
      </c>
      <c r="W191" s="235">
        <v>0.15</v>
      </c>
      <c r="X191" s="235">
        <v>6243.22</v>
      </c>
      <c r="Y191" s="235">
        <v>0</v>
      </c>
      <c r="Z191" s="235">
        <v>54153</v>
      </c>
      <c r="AA191" s="251">
        <v>78</v>
      </c>
      <c r="AB191" s="235"/>
      <c r="AC191" s="252"/>
      <c r="AD191" s="235"/>
      <c r="AE191" s="251"/>
    </row>
    <row r="192" spans="1:31" ht="6.95" customHeight="1">
      <c r="F192" s="253"/>
      <c r="G192" s="254"/>
      <c r="H192" s="253"/>
      <c r="I192" s="255"/>
      <c r="J192" s="255"/>
      <c r="K192" s="255"/>
      <c r="L192" s="253"/>
      <c r="M192" s="255"/>
      <c r="N192" s="255"/>
      <c r="O192" s="255"/>
      <c r="P192" s="255"/>
      <c r="Q192" s="255"/>
      <c r="R192" s="255"/>
      <c r="S192" s="255"/>
      <c r="T192" s="255"/>
      <c r="U192" s="255"/>
      <c r="V192" s="255"/>
      <c r="W192" s="255"/>
      <c r="X192" s="255"/>
      <c r="Y192" s="255"/>
      <c r="Z192" s="255"/>
      <c r="AA192" s="255"/>
      <c r="AB192" s="355"/>
      <c r="AC192" s="256"/>
      <c r="AD192" s="355"/>
      <c r="AE192" s="255"/>
    </row>
    <row r="193" spans="1:31">
      <c r="A193" s="102">
        <f>A190+1</f>
        <v>45628</v>
      </c>
      <c r="B193" s="102" t="s">
        <v>3503</v>
      </c>
      <c r="C193" s="110" t="str">
        <f>A193 &amp; " " &amp;B193</f>
        <v>45628 0000H</v>
      </c>
      <c r="D193" s="111">
        <v>799.54</v>
      </c>
      <c r="E193" s="116">
        <v>49.66</v>
      </c>
      <c r="F193" s="250">
        <v>1102.8</v>
      </c>
      <c r="G193" s="251">
        <v>6.2</v>
      </c>
      <c r="H193" s="250">
        <v>73756.850000000006</v>
      </c>
      <c r="I193" s="235">
        <v>888.52</v>
      </c>
      <c r="J193" s="235">
        <v>32950.519999999997</v>
      </c>
      <c r="K193" s="251">
        <v>101.9</v>
      </c>
      <c r="L193" s="250">
        <v>5381.05</v>
      </c>
      <c r="M193" s="235">
        <v>15.77</v>
      </c>
      <c r="N193" s="235">
        <v>32714.799999999999</v>
      </c>
      <c r="O193" s="235">
        <v>28.7</v>
      </c>
      <c r="P193" s="235">
        <v>583.13</v>
      </c>
      <c r="Q193" s="235">
        <v>645.27</v>
      </c>
      <c r="R193" s="235">
        <v>9802.7000000000007</v>
      </c>
      <c r="S193" s="235">
        <v>9.0399999999999991</v>
      </c>
      <c r="T193" s="235">
        <v>35626</v>
      </c>
      <c r="U193" s="235">
        <v>69</v>
      </c>
      <c r="V193" s="235">
        <v>240.95</v>
      </c>
      <c r="W193" s="235">
        <v>0.15</v>
      </c>
      <c r="X193" s="235">
        <v>6250.07</v>
      </c>
      <c r="Y193" s="235">
        <v>0</v>
      </c>
      <c r="Z193" s="235">
        <v>54153</v>
      </c>
      <c r="AA193" s="251">
        <v>78</v>
      </c>
      <c r="AB193" s="235"/>
      <c r="AC193" s="252"/>
      <c r="AD193" s="235"/>
      <c r="AE193" s="251"/>
    </row>
    <row r="194" spans="1:31">
      <c r="A194" s="102">
        <f>A191+1</f>
        <v>45628</v>
      </c>
      <c r="B194" s="102" t="s">
        <v>3504</v>
      </c>
      <c r="C194" s="110" t="str">
        <f>A194 &amp; " " &amp;B194</f>
        <v>45628 1200H</v>
      </c>
      <c r="D194" s="111">
        <v>803.38</v>
      </c>
      <c r="E194" s="116">
        <v>49.66</v>
      </c>
      <c r="F194" s="250">
        <v>1102.8</v>
      </c>
      <c r="G194" s="251">
        <v>6.2</v>
      </c>
      <c r="H194" s="250">
        <v>73760.39</v>
      </c>
      <c r="I194" s="235">
        <v>888.8</v>
      </c>
      <c r="J194" s="235">
        <v>32950.54</v>
      </c>
      <c r="K194" s="251">
        <v>102.51</v>
      </c>
      <c r="L194" s="250">
        <v>5386.66</v>
      </c>
      <c r="M194" s="235">
        <v>15.77</v>
      </c>
      <c r="N194" s="235">
        <v>32721.8</v>
      </c>
      <c r="O194" s="235">
        <v>28.7</v>
      </c>
      <c r="P194" s="235">
        <v>583.46</v>
      </c>
      <c r="Q194" s="235">
        <v>646.11</v>
      </c>
      <c r="R194" s="235">
        <v>9806.76</v>
      </c>
      <c r="S194" s="235">
        <v>9.0399999999999991</v>
      </c>
      <c r="T194" s="235">
        <v>35632</v>
      </c>
      <c r="U194" s="235">
        <v>69</v>
      </c>
      <c r="V194" s="235">
        <v>240.95</v>
      </c>
      <c r="W194" s="235">
        <v>0.15</v>
      </c>
      <c r="X194" s="235">
        <v>6256.06</v>
      </c>
      <c r="Y194" s="235">
        <v>0</v>
      </c>
      <c r="Z194" s="235">
        <v>54153</v>
      </c>
      <c r="AA194" s="251">
        <v>78</v>
      </c>
      <c r="AB194" s="235"/>
      <c r="AC194" s="252"/>
      <c r="AD194" s="235"/>
      <c r="AE194" s="251"/>
    </row>
    <row r="195" spans="1:31" ht="6.95" customHeight="1">
      <c r="F195" s="253"/>
      <c r="G195" s="254"/>
      <c r="H195" s="253"/>
      <c r="I195" s="255"/>
      <c r="J195" s="255"/>
      <c r="K195" s="255"/>
      <c r="L195" s="253"/>
      <c r="M195" s="255"/>
      <c r="N195" s="255"/>
      <c r="O195" s="255"/>
      <c r="P195" s="255"/>
      <c r="Q195" s="255"/>
      <c r="R195" s="255"/>
      <c r="S195" s="255"/>
      <c r="T195" s="255"/>
      <c r="U195" s="255"/>
      <c r="V195" s="255"/>
      <c r="W195" s="255"/>
      <c r="X195" s="255"/>
      <c r="Y195" s="255"/>
      <c r="Z195" s="255"/>
      <c r="AA195" s="255"/>
      <c r="AB195" s="355"/>
      <c r="AC195" s="256"/>
      <c r="AD195" s="355"/>
      <c r="AE195" s="255"/>
    </row>
    <row r="196" spans="1:31">
      <c r="A196" s="102">
        <f>A193+1</f>
        <v>45629</v>
      </c>
      <c r="B196" s="102" t="s">
        <v>3503</v>
      </c>
      <c r="C196" s="110" t="str">
        <f>A196 &amp; " " &amp;B196</f>
        <v>45629 0000H</v>
      </c>
      <c r="D196" s="111">
        <v>809.47</v>
      </c>
      <c r="E196" s="116">
        <v>49.66</v>
      </c>
      <c r="F196" s="250">
        <v>1102.8</v>
      </c>
      <c r="G196" s="251">
        <v>6.2</v>
      </c>
      <c r="H196" s="250">
        <v>73767.69</v>
      </c>
      <c r="I196" s="235">
        <v>888.8</v>
      </c>
      <c r="J196" s="235">
        <v>32951.730000000003</v>
      </c>
      <c r="K196" s="251">
        <v>102.56</v>
      </c>
      <c r="L196" s="250">
        <v>5391.77</v>
      </c>
      <c r="M196" s="235">
        <v>15.77</v>
      </c>
      <c r="N196" s="235">
        <v>32729.5</v>
      </c>
      <c r="O196" s="235">
        <v>28.7</v>
      </c>
      <c r="P196" s="235">
        <v>585.23</v>
      </c>
      <c r="Q196" s="235">
        <v>646.65</v>
      </c>
      <c r="R196" s="235">
        <v>9811.68</v>
      </c>
      <c r="S196" s="235">
        <v>9.0399999999999991</v>
      </c>
      <c r="T196" s="235">
        <v>35640</v>
      </c>
      <c r="U196" s="235">
        <v>69</v>
      </c>
      <c r="V196" s="235">
        <v>241.3</v>
      </c>
      <c r="W196" s="235">
        <v>0.15</v>
      </c>
      <c r="X196" s="235">
        <v>6263.6</v>
      </c>
      <c r="Y196" s="235">
        <v>0</v>
      </c>
      <c r="Z196" s="235">
        <v>54154</v>
      </c>
      <c r="AA196" s="251">
        <v>79</v>
      </c>
      <c r="AB196" s="235"/>
      <c r="AC196" s="252"/>
      <c r="AD196" s="235"/>
      <c r="AE196" s="251"/>
    </row>
    <row r="197" spans="1:31">
      <c r="A197" s="102">
        <f>A194+1</f>
        <v>45629</v>
      </c>
      <c r="B197" s="102" t="s">
        <v>3504</v>
      </c>
      <c r="C197" s="110" t="str">
        <f>A197 &amp; " " &amp;B197</f>
        <v>45629 1200H</v>
      </c>
      <c r="D197" s="111"/>
      <c r="E197" s="116"/>
      <c r="F197" s="250">
        <v>1102.8</v>
      </c>
      <c r="G197" s="251">
        <v>6.2</v>
      </c>
      <c r="H197" s="250">
        <v>73771.25</v>
      </c>
      <c r="I197" s="235">
        <v>889.01</v>
      </c>
      <c r="J197" s="235">
        <v>32954.67</v>
      </c>
      <c r="K197" s="251">
        <v>102.59</v>
      </c>
      <c r="L197" s="250">
        <v>5396.93</v>
      </c>
      <c r="M197" s="235">
        <v>15.77</v>
      </c>
      <c r="N197" s="235">
        <v>32733.599999999999</v>
      </c>
      <c r="O197" s="235">
        <v>28.7</v>
      </c>
      <c r="P197" s="235">
        <v>585.44000000000005</v>
      </c>
      <c r="Q197" s="235">
        <v>647.47</v>
      </c>
      <c r="R197" s="235">
        <v>9815.25</v>
      </c>
      <c r="S197" s="235">
        <v>9.0399999999999991</v>
      </c>
      <c r="T197" s="235">
        <v>35647</v>
      </c>
      <c r="U197" s="235">
        <v>69</v>
      </c>
      <c r="V197" s="235">
        <v>241.3</v>
      </c>
      <c r="W197" s="235">
        <v>0.15</v>
      </c>
      <c r="X197" s="257">
        <v>6268.97</v>
      </c>
      <c r="Y197" s="235">
        <v>0</v>
      </c>
      <c r="Z197" s="235">
        <v>54154</v>
      </c>
      <c r="AA197" s="251">
        <v>79</v>
      </c>
      <c r="AB197" s="235"/>
      <c r="AC197" s="252"/>
      <c r="AD197" s="235"/>
      <c r="AE197" s="251"/>
    </row>
    <row r="198" spans="1:31" ht="6.95" customHeight="1">
      <c r="F198" s="253"/>
      <c r="G198" s="254"/>
      <c r="H198" s="253"/>
      <c r="I198" s="255"/>
      <c r="J198" s="255"/>
      <c r="K198" s="255"/>
      <c r="L198" s="253"/>
      <c r="M198" s="255"/>
      <c r="N198" s="255"/>
      <c r="O198" s="255"/>
      <c r="P198" s="255"/>
      <c r="Q198" s="255"/>
      <c r="R198" s="255"/>
      <c r="S198" s="255"/>
      <c r="T198" s="255"/>
      <c r="U198" s="255"/>
      <c r="V198" s="255"/>
      <c r="W198" s="255"/>
      <c r="X198" s="255"/>
      <c r="Y198" s="255"/>
      <c r="Z198" s="255"/>
      <c r="AA198" s="255"/>
      <c r="AB198" s="355"/>
      <c r="AC198" s="256"/>
      <c r="AD198" s="355"/>
      <c r="AE198" s="255"/>
    </row>
    <row r="199" spans="1:31">
      <c r="A199" s="102">
        <f>A196+1</f>
        <v>45630</v>
      </c>
      <c r="B199" s="102" t="s">
        <v>3503</v>
      </c>
      <c r="C199" s="110" t="str">
        <f>A199 &amp; " " &amp;B199</f>
        <v>45630 0000H</v>
      </c>
      <c r="D199" s="111">
        <v>812.68</v>
      </c>
      <c r="E199" s="116">
        <v>49.67</v>
      </c>
      <c r="F199" s="250">
        <v>1107.8900000000001</v>
      </c>
      <c r="G199" s="251">
        <v>6.2</v>
      </c>
      <c r="H199" s="250">
        <v>73780.42</v>
      </c>
      <c r="I199" s="235">
        <v>889.03</v>
      </c>
      <c r="J199" s="235">
        <v>32958.019999999997</v>
      </c>
      <c r="K199" s="251">
        <v>102.59</v>
      </c>
      <c r="L199" s="250">
        <v>5402.49</v>
      </c>
      <c r="M199" s="235">
        <v>15.77</v>
      </c>
      <c r="N199" s="235">
        <v>32741.1</v>
      </c>
      <c r="O199" s="235">
        <v>28.7</v>
      </c>
      <c r="P199" s="235">
        <v>588.55999999999995</v>
      </c>
      <c r="Q199" s="235">
        <v>647.53</v>
      </c>
      <c r="R199" s="235">
        <v>9819.7099999999991</v>
      </c>
      <c r="S199" s="235">
        <v>9.0399999999999991</v>
      </c>
      <c r="T199" s="235">
        <v>35655</v>
      </c>
      <c r="U199" s="235">
        <v>69</v>
      </c>
      <c r="V199" s="235">
        <v>241.3</v>
      </c>
      <c r="W199" s="235">
        <v>0.15</v>
      </c>
      <c r="X199" s="235">
        <v>6276.68</v>
      </c>
      <c r="Y199" s="235">
        <v>0</v>
      </c>
      <c r="Z199" s="235">
        <v>54154</v>
      </c>
      <c r="AA199" s="251">
        <v>79</v>
      </c>
      <c r="AB199" s="235"/>
      <c r="AC199" s="252"/>
      <c r="AD199" s="235"/>
      <c r="AE199" s="251"/>
    </row>
    <row r="200" spans="1:31">
      <c r="A200" s="102">
        <f>A197+1</f>
        <v>45630</v>
      </c>
      <c r="B200" s="102" t="s">
        <v>3504</v>
      </c>
      <c r="C200" s="110" t="str">
        <f>A200 &amp; " " &amp;B200</f>
        <v>45630 1200H</v>
      </c>
      <c r="D200" s="111">
        <v>815.52</v>
      </c>
      <c r="E200" s="116">
        <v>49.67</v>
      </c>
      <c r="F200" s="250">
        <v>1108.67</v>
      </c>
      <c r="G200" s="251">
        <v>6.2</v>
      </c>
      <c r="H200" s="250">
        <v>73787.77</v>
      </c>
      <c r="I200" s="235">
        <v>889.13</v>
      </c>
      <c r="J200" s="235">
        <v>32960.32</v>
      </c>
      <c r="K200" s="251">
        <v>102.63</v>
      </c>
      <c r="L200" s="250">
        <v>5408.28</v>
      </c>
      <c r="M200" s="235">
        <v>15.77</v>
      </c>
      <c r="N200" s="235">
        <v>32748.1</v>
      </c>
      <c r="O200" s="235">
        <v>28.7</v>
      </c>
      <c r="P200" s="235">
        <v>589.34</v>
      </c>
      <c r="Q200" s="235">
        <v>648.16999999999996</v>
      </c>
      <c r="R200" s="235">
        <v>9823.82</v>
      </c>
      <c r="S200" s="235">
        <v>9.0399999999999991</v>
      </c>
      <c r="T200" s="235">
        <v>35662</v>
      </c>
      <c r="U200" s="235">
        <v>69</v>
      </c>
      <c r="V200" s="235">
        <v>241.3</v>
      </c>
      <c r="W200" s="235">
        <v>0.15</v>
      </c>
      <c r="X200" s="235">
        <v>6283.05</v>
      </c>
      <c r="Y200" s="235">
        <v>0</v>
      </c>
      <c r="Z200" s="235">
        <v>54154</v>
      </c>
      <c r="AA200" s="251">
        <v>79</v>
      </c>
      <c r="AB200" s="235"/>
      <c r="AC200" s="252"/>
      <c r="AD200" s="235"/>
      <c r="AE200" s="251"/>
    </row>
    <row r="201" spans="1:31" ht="6.95" customHeight="1">
      <c r="F201" s="253"/>
      <c r="G201" s="254"/>
      <c r="H201" s="253"/>
      <c r="I201" s="255"/>
      <c r="J201" s="255"/>
      <c r="K201" s="255"/>
      <c r="L201" s="253"/>
      <c r="M201" s="255"/>
      <c r="N201" s="255"/>
      <c r="O201" s="255"/>
      <c r="P201" s="255"/>
      <c r="Q201" s="255"/>
      <c r="R201" s="255"/>
      <c r="S201" s="255"/>
      <c r="T201" s="255"/>
      <c r="U201" s="255"/>
      <c r="V201" s="255"/>
      <c r="W201" s="255"/>
      <c r="X201" s="255"/>
      <c r="Y201" s="255"/>
      <c r="Z201" s="255"/>
      <c r="AA201" s="255"/>
      <c r="AB201" s="355"/>
      <c r="AC201" s="256"/>
      <c r="AD201" s="355"/>
      <c r="AE201" s="255"/>
    </row>
    <row r="202" spans="1:31">
      <c r="A202" s="102">
        <f>A199+1</f>
        <v>45631</v>
      </c>
      <c r="B202" s="102" t="s">
        <v>3503</v>
      </c>
      <c r="C202" s="110" t="str">
        <f>A202 &amp; " " &amp;B202</f>
        <v>45631 0000H</v>
      </c>
      <c r="D202" s="111">
        <v>821.35</v>
      </c>
      <c r="E202" s="116">
        <v>49.67</v>
      </c>
      <c r="F202" s="250">
        <v>1108.67</v>
      </c>
      <c r="G202" s="251">
        <v>6.2</v>
      </c>
      <c r="H202" s="250">
        <v>73788.759999999995</v>
      </c>
      <c r="I202" s="235">
        <v>889.61</v>
      </c>
      <c r="J202" s="235">
        <v>32963.919999999998</v>
      </c>
      <c r="K202" s="251">
        <v>102.63</v>
      </c>
      <c r="L202" s="250">
        <v>5414.06</v>
      </c>
      <c r="M202" s="235">
        <v>15.77</v>
      </c>
      <c r="N202" s="235">
        <v>32755.5</v>
      </c>
      <c r="O202" s="235">
        <v>28.7</v>
      </c>
      <c r="P202" s="235">
        <v>591.99</v>
      </c>
      <c r="Q202" s="235">
        <v>648.27</v>
      </c>
      <c r="R202" s="235">
        <v>9829.02</v>
      </c>
      <c r="S202" s="235">
        <v>9.0399999999999991</v>
      </c>
      <c r="T202" s="235">
        <v>35670</v>
      </c>
      <c r="U202" s="235">
        <v>69</v>
      </c>
      <c r="V202" s="235">
        <v>241.3</v>
      </c>
      <c r="W202" s="235">
        <v>0.15</v>
      </c>
      <c r="X202" s="235">
        <v>6290.65</v>
      </c>
      <c r="Y202" s="235">
        <v>0</v>
      </c>
      <c r="Z202" s="235">
        <v>54154</v>
      </c>
      <c r="AA202" s="251">
        <v>79</v>
      </c>
      <c r="AB202" s="235"/>
      <c r="AC202" s="252"/>
      <c r="AD202" s="235"/>
      <c r="AE202" s="251"/>
    </row>
    <row r="203" spans="1:31">
      <c r="A203" s="102">
        <f>A200+1</f>
        <v>45631</v>
      </c>
      <c r="B203" s="102" t="s">
        <v>3504</v>
      </c>
      <c r="C203" s="110" t="str">
        <f>A203 &amp; " " &amp;B203</f>
        <v>45631 1200H</v>
      </c>
      <c r="D203" s="111">
        <v>825.17</v>
      </c>
      <c r="E203" s="116">
        <v>49.67</v>
      </c>
      <c r="F203" s="250">
        <v>1108.67</v>
      </c>
      <c r="G203" s="251">
        <v>6.2</v>
      </c>
      <c r="H203" s="250">
        <v>73792.850000000006</v>
      </c>
      <c r="I203" s="235">
        <v>889.82</v>
      </c>
      <c r="J203" s="235">
        <v>32967.54</v>
      </c>
      <c r="K203" s="251">
        <v>102.63</v>
      </c>
      <c r="L203" s="250">
        <v>5419.7</v>
      </c>
      <c r="M203" s="235">
        <v>15.77</v>
      </c>
      <c r="N203" s="235">
        <v>32762.7</v>
      </c>
      <c r="O203" s="235">
        <v>28.7</v>
      </c>
      <c r="P203" s="235">
        <v>592.28</v>
      </c>
      <c r="Q203" s="235">
        <v>649.09</v>
      </c>
      <c r="R203" s="235">
        <v>9833.2000000000007</v>
      </c>
      <c r="S203" s="235">
        <v>9.0399999999999991</v>
      </c>
      <c r="T203" s="235">
        <v>35677</v>
      </c>
      <c r="U203" s="235">
        <v>69</v>
      </c>
      <c r="V203" s="235">
        <v>241.3</v>
      </c>
      <c r="W203" s="235">
        <v>0.15</v>
      </c>
      <c r="X203" s="235">
        <v>6297</v>
      </c>
      <c r="Y203" s="235">
        <v>0</v>
      </c>
      <c r="Z203" s="235">
        <v>54154</v>
      </c>
      <c r="AA203" s="251">
        <v>79</v>
      </c>
      <c r="AB203" s="235"/>
      <c r="AC203" s="252"/>
      <c r="AD203" s="235"/>
      <c r="AE203" s="251"/>
    </row>
    <row r="204" spans="1:31" ht="6.95" customHeight="1">
      <c r="F204" s="253"/>
      <c r="G204" s="254"/>
      <c r="H204" s="253"/>
      <c r="I204" s="255"/>
      <c r="J204" s="255"/>
      <c r="K204" s="255"/>
      <c r="L204" s="253"/>
      <c r="M204" s="255"/>
      <c r="N204" s="255"/>
      <c r="O204" s="255"/>
      <c r="P204" s="255"/>
      <c r="Q204" s="255"/>
      <c r="R204" s="255"/>
      <c r="S204" s="255"/>
      <c r="T204" s="255"/>
      <c r="U204" s="255"/>
      <c r="V204" s="255"/>
      <c r="W204" s="255"/>
      <c r="X204" s="255"/>
      <c r="Y204" s="255"/>
      <c r="Z204" s="255"/>
      <c r="AA204" s="255"/>
      <c r="AB204" s="355"/>
      <c r="AC204" s="256"/>
      <c r="AD204" s="355"/>
      <c r="AE204" s="255"/>
    </row>
    <row r="205" spans="1:31">
      <c r="A205" s="102">
        <f>A202+1</f>
        <v>45632</v>
      </c>
      <c r="B205" s="102" t="s">
        <v>3503</v>
      </c>
      <c r="C205" s="110" t="str">
        <f>A205 &amp; " " &amp;B205</f>
        <v>45632 0000H</v>
      </c>
      <c r="D205" s="111">
        <v>831.04</v>
      </c>
      <c r="E205" s="116">
        <v>49.67</v>
      </c>
      <c r="F205" s="250">
        <v>1108.67</v>
      </c>
      <c r="G205" s="251">
        <v>6.2</v>
      </c>
      <c r="H205" s="250">
        <v>73803.25</v>
      </c>
      <c r="I205" s="235">
        <v>889.82</v>
      </c>
      <c r="J205" s="235">
        <v>32971.040000000001</v>
      </c>
      <c r="K205" s="251">
        <v>102.63</v>
      </c>
      <c r="L205" s="250">
        <v>5425.44</v>
      </c>
      <c r="M205" s="235">
        <v>15.77</v>
      </c>
      <c r="N205" s="235">
        <v>32770</v>
      </c>
      <c r="O205" s="235">
        <v>28.7</v>
      </c>
      <c r="P205" s="235">
        <v>592.57000000000005</v>
      </c>
      <c r="Q205" s="235">
        <v>649.91999999999996</v>
      </c>
      <c r="R205" s="235">
        <v>9838.64</v>
      </c>
      <c r="S205" s="235">
        <v>9.0399999999999991</v>
      </c>
      <c r="T205" s="235">
        <v>35684</v>
      </c>
      <c r="U205" s="235">
        <v>69</v>
      </c>
      <c r="V205" s="235">
        <v>241.3</v>
      </c>
      <c r="W205" s="235">
        <v>0.15</v>
      </c>
      <c r="X205" s="235">
        <v>6304.07</v>
      </c>
      <c r="Y205" s="235">
        <v>0</v>
      </c>
      <c r="Z205" s="235">
        <v>54154</v>
      </c>
      <c r="AA205" s="251">
        <v>79</v>
      </c>
      <c r="AB205" s="235"/>
      <c r="AC205" s="252"/>
      <c r="AD205" s="235"/>
      <c r="AE205" s="251"/>
    </row>
    <row r="206" spans="1:31">
      <c r="A206" s="102">
        <f>A203+1</f>
        <v>45632</v>
      </c>
      <c r="B206" s="102" t="s">
        <v>3504</v>
      </c>
      <c r="C206" s="110" t="str">
        <f>A206 &amp; " " &amp;B206</f>
        <v>45632 1200H</v>
      </c>
      <c r="D206" s="111">
        <v>835.24</v>
      </c>
      <c r="E206" s="116">
        <v>49.67</v>
      </c>
      <c r="F206" s="250">
        <v>1108.67</v>
      </c>
      <c r="G206" s="251">
        <v>6.2</v>
      </c>
      <c r="H206" s="250">
        <v>73813.53</v>
      </c>
      <c r="I206" s="235">
        <v>889.82</v>
      </c>
      <c r="J206" s="235">
        <v>32972.129999999997</v>
      </c>
      <c r="K206" s="251">
        <v>102.69</v>
      </c>
      <c r="L206" s="250">
        <v>5430.99</v>
      </c>
      <c r="M206" s="235">
        <v>15.77</v>
      </c>
      <c r="N206" s="235">
        <v>32775.199999999997</v>
      </c>
      <c r="O206" s="235">
        <v>28.7</v>
      </c>
      <c r="P206" s="235">
        <v>592.70000000000005</v>
      </c>
      <c r="Q206" s="235">
        <v>651.07000000000005</v>
      </c>
      <c r="R206" s="235">
        <v>9842.9</v>
      </c>
      <c r="S206" s="235">
        <v>9.0399999999999991</v>
      </c>
      <c r="T206" s="235">
        <v>35691</v>
      </c>
      <c r="U206" s="235">
        <v>69</v>
      </c>
      <c r="V206" s="235">
        <v>241.3</v>
      </c>
      <c r="W206" s="235">
        <v>0.15</v>
      </c>
      <c r="X206" s="235">
        <v>6310.5</v>
      </c>
      <c r="Y206" s="235">
        <v>0</v>
      </c>
      <c r="Z206" s="235">
        <v>54154</v>
      </c>
      <c r="AA206" s="251">
        <v>79</v>
      </c>
      <c r="AB206" s="235"/>
      <c r="AC206" s="252"/>
      <c r="AD206" s="235"/>
      <c r="AE206" s="251"/>
    </row>
    <row r="207" spans="1:31" ht="6.95" customHeight="1">
      <c r="F207" s="253"/>
      <c r="G207" s="254"/>
      <c r="H207" s="253"/>
      <c r="I207" s="255"/>
      <c r="J207" s="255"/>
      <c r="K207" s="255"/>
      <c r="L207" s="253"/>
      <c r="M207" s="255"/>
      <c r="N207" s="255"/>
      <c r="O207" s="255"/>
      <c r="P207" s="255"/>
      <c r="Q207" s="255"/>
      <c r="R207" s="255"/>
      <c r="S207" s="255"/>
      <c r="T207" s="255"/>
      <c r="U207" s="255"/>
      <c r="V207" s="255"/>
      <c r="W207" s="255"/>
      <c r="X207" s="255"/>
      <c r="Y207" s="255"/>
      <c r="Z207" s="255"/>
      <c r="AA207" s="255"/>
      <c r="AB207" s="355"/>
      <c r="AC207" s="256"/>
      <c r="AD207" s="355"/>
      <c r="AE207" s="255"/>
    </row>
    <row r="208" spans="1:31">
      <c r="A208" s="102">
        <f>A205+1</f>
        <v>45633</v>
      </c>
      <c r="B208" s="102" t="s">
        <v>3503</v>
      </c>
      <c r="C208" s="110" t="str">
        <f>A208 &amp; " " &amp;B208</f>
        <v>45633 0000H</v>
      </c>
      <c r="D208" s="111">
        <v>841.88</v>
      </c>
      <c r="E208" s="116">
        <v>49.67</v>
      </c>
      <c r="F208" s="250">
        <v>1108.67</v>
      </c>
      <c r="G208" s="251">
        <v>6.2</v>
      </c>
      <c r="H208" s="250">
        <v>73822.55</v>
      </c>
      <c r="I208" s="235">
        <v>889.86</v>
      </c>
      <c r="J208" s="235">
        <v>32974.9</v>
      </c>
      <c r="K208" s="251">
        <v>102.71</v>
      </c>
      <c r="L208" s="250">
        <v>5436.65</v>
      </c>
      <c r="M208" s="235">
        <v>15.77</v>
      </c>
      <c r="N208" s="235">
        <v>32781.4</v>
      </c>
      <c r="O208" s="235">
        <v>28.7</v>
      </c>
      <c r="P208" s="235">
        <v>593.04999999999995</v>
      </c>
      <c r="Q208" s="235">
        <v>651.94000000000005</v>
      </c>
      <c r="R208" s="235">
        <v>9847.9699999999993</v>
      </c>
      <c r="S208" s="235">
        <v>9.0399999999999991</v>
      </c>
      <c r="T208" s="235">
        <v>35699</v>
      </c>
      <c r="U208" s="235">
        <v>69</v>
      </c>
      <c r="V208" s="235">
        <v>241.3</v>
      </c>
      <c r="W208" s="235">
        <v>0.15</v>
      </c>
      <c r="X208" s="235">
        <v>6318.06</v>
      </c>
      <c r="Y208" s="235">
        <v>0</v>
      </c>
      <c r="Z208" s="235">
        <v>54154</v>
      </c>
      <c r="AA208" s="251">
        <v>79</v>
      </c>
      <c r="AB208" s="235"/>
      <c r="AC208" s="252"/>
      <c r="AD208" s="235"/>
      <c r="AE208" s="251"/>
    </row>
    <row r="209" spans="1:31">
      <c r="A209" s="102">
        <f>A206+1</f>
        <v>45633</v>
      </c>
      <c r="B209" s="102" t="s">
        <v>3504</v>
      </c>
      <c r="C209" s="110" t="str">
        <f>A209 &amp; " " &amp;B209</f>
        <v>45633 1200H</v>
      </c>
      <c r="D209" s="111">
        <v>848.48</v>
      </c>
      <c r="E209" s="116">
        <v>49.67</v>
      </c>
      <c r="F209" s="250">
        <v>1108.67</v>
      </c>
      <c r="G209" s="251">
        <v>6.2</v>
      </c>
      <c r="H209" s="250">
        <v>73822.55</v>
      </c>
      <c r="I209" s="235">
        <v>889.86</v>
      </c>
      <c r="J209" s="235">
        <v>32975.61</v>
      </c>
      <c r="K209" s="251">
        <v>102.75</v>
      </c>
      <c r="L209" s="250">
        <v>5439.65</v>
      </c>
      <c r="M209" s="235">
        <v>15.77</v>
      </c>
      <c r="N209" s="235">
        <v>32781.4</v>
      </c>
      <c r="O209" s="235">
        <v>28.7</v>
      </c>
      <c r="P209" s="235">
        <v>593.62</v>
      </c>
      <c r="Q209" s="235">
        <v>652.6</v>
      </c>
      <c r="R209" s="235">
        <v>9851.7000000000007</v>
      </c>
      <c r="S209" s="235">
        <v>9.0399999999999991</v>
      </c>
      <c r="T209" s="235">
        <v>35706</v>
      </c>
      <c r="U209" s="235">
        <v>69</v>
      </c>
      <c r="V209" s="235">
        <v>244.16</v>
      </c>
      <c r="W209" s="235">
        <v>0.18</v>
      </c>
      <c r="X209" s="235">
        <v>6324.4</v>
      </c>
      <c r="Y209" s="235">
        <v>0</v>
      </c>
      <c r="Z209" s="235">
        <v>54155</v>
      </c>
      <c r="AA209" s="251">
        <v>79</v>
      </c>
      <c r="AB209" s="235"/>
      <c r="AC209" s="252"/>
      <c r="AD209" s="235"/>
      <c r="AE209" s="251"/>
    </row>
    <row r="210" spans="1:31" ht="6.95" customHeight="1">
      <c r="F210" s="253"/>
      <c r="G210" s="254"/>
      <c r="H210" s="253"/>
      <c r="I210" s="255"/>
      <c r="J210" s="255"/>
      <c r="K210" s="255"/>
      <c r="L210" s="253"/>
      <c r="M210" s="255"/>
      <c r="N210" s="255"/>
      <c r="O210" s="255"/>
      <c r="P210" s="255"/>
      <c r="Q210" s="255"/>
      <c r="R210" s="255"/>
      <c r="S210" s="255"/>
      <c r="T210" s="255"/>
      <c r="U210" s="255"/>
      <c r="V210" s="255"/>
      <c r="W210" s="255"/>
      <c r="X210" s="255"/>
      <c r="Y210" s="255"/>
      <c r="Z210" s="255"/>
      <c r="AA210" s="255"/>
      <c r="AB210" s="355"/>
      <c r="AC210" s="256"/>
      <c r="AD210" s="355"/>
      <c r="AE210" s="255"/>
    </row>
    <row r="211" spans="1:31">
      <c r="A211" s="102">
        <f>A208+1</f>
        <v>45634</v>
      </c>
      <c r="B211" s="102" t="s">
        <v>3503</v>
      </c>
      <c r="C211" s="110" t="str">
        <f>A211 &amp; " " &amp;B211</f>
        <v>45634 0000H</v>
      </c>
      <c r="D211" s="111">
        <v>854.52</v>
      </c>
      <c r="E211" s="116">
        <v>49.67</v>
      </c>
      <c r="F211" s="250">
        <v>1108.67</v>
      </c>
      <c r="G211" s="251">
        <v>6.2</v>
      </c>
      <c r="H211" s="250">
        <v>73822.55</v>
      </c>
      <c r="I211" s="235">
        <v>890.42</v>
      </c>
      <c r="J211" s="235">
        <v>32975.61</v>
      </c>
      <c r="K211" s="251">
        <v>102.79</v>
      </c>
      <c r="L211" s="250">
        <v>5445.39</v>
      </c>
      <c r="M211" s="235">
        <v>15.77</v>
      </c>
      <c r="N211" s="235">
        <v>32781.4</v>
      </c>
      <c r="O211" s="235">
        <v>28.7</v>
      </c>
      <c r="P211" s="235">
        <v>595.55999999999995</v>
      </c>
      <c r="Q211" s="235">
        <v>652.64</v>
      </c>
      <c r="R211" s="235">
        <v>9856.81</v>
      </c>
      <c r="S211" s="235">
        <v>9.0399999999999991</v>
      </c>
      <c r="T211" s="235">
        <v>35713</v>
      </c>
      <c r="U211" s="235">
        <v>69</v>
      </c>
      <c r="V211" s="235">
        <v>250.46</v>
      </c>
      <c r="W211" s="235">
        <v>0.15</v>
      </c>
      <c r="X211" s="235">
        <v>6331.63</v>
      </c>
      <c r="Y211" s="235">
        <v>0</v>
      </c>
      <c r="Z211" s="235">
        <v>54158</v>
      </c>
      <c r="AA211" s="251">
        <v>79</v>
      </c>
      <c r="AB211" s="235"/>
      <c r="AC211" s="252"/>
      <c r="AD211" s="235"/>
      <c r="AE211" s="251"/>
    </row>
    <row r="212" spans="1:31">
      <c r="A212" s="102">
        <f>A209+1</f>
        <v>45634</v>
      </c>
      <c r="B212" s="102" t="s">
        <v>3504</v>
      </c>
      <c r="C212" s="110" t="str">
        <f>A212 &amp; " " &amp;B212</f>
        <v>45634 1200H</v>
      </c>
      <c r="D212" s="111">
        <v>859.74</v>
      </c>
      <c r="E212" s="116">
        <v>49.67</v>
      </c>
      <c r="F212" s="250">
        <v>1108.67</v>
      </c>
      <c r="G212" s="251">
        <v>6.2</v>
      </c>
      <c r="H212" s="250">
        <v>73822.55</v>
      </c>
      <c r="I212" s="235">
        <v>890.68</v>
      </c>
      <c r="J212" s="235">
        <v>32976.43</v>
      </c>
      <c r="K212" s="251">
        <v>102.81</v>
      </c>
      <c r="L212" s="250">
        <v>5450.35</v>
      </c>
      <c r="M212" s="235">
        <v>15.78</v>
      </c>
      <c r="N212" s="235">
        <v>32785.599999999999</v>
      </c>
      <c r="O212" s="235">
        <v>28.7</v>
      </c>
      <c r="P212" s="235">
        <v>596.03</v>
      </c>
      <c r="Q212" s="235">
        <v>652.76</v>
      </c>
      <c r="R212" s="235">
        <v>9860.89</v>
      </c>
      <c r="S212" s="235">
        <v>9.0399999999999991</v>
      </c>
      <c r="T212" s="235">
        <v>35719.69</v>
      </c>
      <c r="U212" s="235">
        <v>69</v>
      </c>
      <c r="V212" s="235">
        <v>250.46</v>
      </c>
      <c r="W212" s="235">
        <v>0.15</v>
      </c>
      <c r="X212" s="257">
        <v>6337.98</v>
      </c>
      <c r="Y212" s="235">
        <v>0</v>
      </c>
      <c r="Z212" s="235">
        <v>54159</v>
      </c>
      <c r="AA212" s="251">
        <v>79</v>
      </c>
      <c r="AB212" s="235"/>
      <c r="AC212" s="252"/>
      <c r="AD212" s="235"/>
      <c r="AE212" s="251"/>
    </row>
    <row r="213" spans="1:31" ht="6.95" customHeight="1">
      <c r="F213" s="253"/>
      <c r="G213" s="254"/>
      <c r="H213" s="253"/>
      <c r="I213" s="255"/>
      <c r="J213" s="255"/>
      <c r="K213" s="255"/>
      <c r="L213" s="253"/>
      <c r="M213" s="255"/>
      <c r="N213" s="255"/>
      <c r="O213" s="255"/>
      <c r="P213" s="255"/>
      <c r="Q213" s="255"/>
      <c r="R213" s="255"/>
      <c r="S213" s="255"/>
      <c r="T213" s="255"/>
      <c r="U213" s="255"/>
      <c r="V213" s="255"/>
      <c r="W213" s="255"/>
      <c r="X213" s="255"/>
      <c r="Y213" s="255"/>
      <c r="Z213" s="255"/>
      <c r="AA213" s="255"/>
      <c r="AB213" s="355"/>
      <c r="AC213" s="256"/>
      <c r="AD213" s="355"/>
      <c r="AE213" s="255"/>
    </row>
    <row r="214" spans="1:31">
      <c r="A214" s="102">
        <f>A211+1</f>
        <v>45635</v>
      </c>
      <c r="B214" s="102" t="s">
        <v>3503</v>
      </c>
      <c r="C214" s="110" t="str">
        <f>A214 &amp; " " &amp;B214</f>
        <v>45635 0000H</v>
      </c>
      <c r="D214" s="111">
        <v>863.55</v>
      </c>
      <c r="E214" s="116">
        <v>49.67</v>
      </c>
      <c r="F214" s="250">
        <v>1108.67</v>
      </c>
      <c r="G214" s="251">
        <v>6.2</v>
      </c>
      <c r="H214" s="250">
        <v>73822.55</v>
      </c>
      <c r="I214" s="235">
        <v>890.93</v>
      </c>
      <c r="J214" s="235">
        <v>32979.86</v>
      </c>
      <c r="K214" s="251">
        <v>102.81</v>
      </c>
      <c r="L214" s="250">
        <v>5456.13</v>
      </c>
      <c r="M214" s="235">
        <v>15.78</v>
      </c>
      <c r="N214" s="235">
        <v>32793</v>
      </c>
      <c r="O214" s="235">
        <v>28.7</v>
      </c>
      <c r="P214" s="235">
        <v>596.65</v>
      </c>
      <c r="Q214" s="235">
        <v>653.20000000000005</v>
      </c>
      <c r="R214" s="235">
        <v>9866.02</v>
      </c>
      <c r="S214" s="235">
        <v>9.0399999999999991</v>
      </c>
      <c r="T214" s="235">
        <v>35725</v>
      </c>
      <c r="U214" s="235">
        <v>69</v>
      </c>
      <c r="V214" s="235">
        <v>250.46</v>
      </c>
      <c r="W214" s="235">
        <v>0.15</v>
      </c>
      <c r="X214" s="235">
        <v>6344.1</v>
      </c>
      <c r="Y214" s="235">
        <v>0</v>
      </c>
      <c r="Z214" s="235">
        <v>54159</v>
      </c>
      <c r="AA214" s="251">
        <v>79</v>
      </c>
      <c r="AB214" s="235"/>
      <c r="AC214" s="252"/>
      <c r="AD214" s="235"/>
      <c r="AE214" s="251"/>
    </row>
    <row r="215" spans="1:31">
      <c r="A215" s="102">
        <f>A212+1</f>
        <v>45635</v>
      </c>
      <c r="B215" s="102" t="s">
        <v>3504</v>
      </c>
      <c r="C215" s="110" t="str">
        <f>A215 &amp; " " &amp;B215</f>
        <v>45635 1200H</v>
      </c>
      <c r="D215" s="111">
        <v>868.16</v>
      </c>
      <c r="E215" s="116">
        <v>49.67</v>
      </c>
      <c r="F215" s="250">
        <v>1108.67</v>
      </c>
      <c r="G215" s="251">
        <v>6.2</v>
      </c>
      <c r="H215" s="250">
        <v>73822.55</v>
      </c>
      <c r="I215" s="235">
        <v>891.2</v>
      </c>
      <c r="J215" s="235">
        <v>32983.35</v>
      </c>
      <c r="K215" s="251">
        <v>102.81</v>
      </c>
      <c r="L215" s="250">
        <v>5461.81</v>
      </c>
      <c r="M215" s="235">
        <v>15.78</v>
      </c>
      <c r="N215" s="235">
        <v>32798.400000000001</v>
      </c>
      <c r="O215" s="235">
        <v>28.7</v>
      </c>
      <c r="P215" s="235">
        <v>596.95000000000005</v>
      </c>
      <c r="Q215" s="235">
        <v>654.23</v>
      </c>
      <c r="R215" s="235">
        <v>9870.08</v>
      </c>
      <c r="S215" s="235">
        <v>9.0399999999999991</v>
      </c>
      <c r="T215" s="235">
        <v>35731</v>
      </c>
      <c r="U215" s="235">
        <v>69</v>
      </c>
      <c r="V215" s="235">
        <v>250.46</v>
      </c>
      <c r="W215" s="235">
        <v>0.15</v>
      </c>
      <c r="X215" s="235">
        <v>6350.13</v>
      </c>
      <c r="Y215" s="235">
        <v>0</v>
      </c>
      <c r="Z215" s="235">
        <v>54159</v>
      </c>
      <c r="AA215" s="251">
        <v>79</v>
      </c>
      <c r="AB215" s="235"/>
      <c r="AC215" s="252"/>
      <c r="AD215" s="235"/>
      <c r="AE215" s="251"/>
    </row>
    <row r="216" spans="1:31" ht="6.95" customHeight="1">
      <c r="F216" s="253"/>
      <c r="G216" s="254"/>
      <c r="H216" s="253"/>
      <c r="I216" s="255"/>
      <c r="J216" s="255"/>
      <c r="K216" s="255"/>
      <c r="L216" s="253"/>
      <c r="M216" s="255"/>
      <c r="N216" s="255"/>
      <c r="O216" s="255"/>
      <c r="P216" s="255"/>
      <c r="Q216" s="255"/>
      <c r="R216" s="255"/>
      <c r="S216" s="255"/>
      <c r="T216" s="255"/>
      <c r="U216" s="255"/>
      <c r="V216" s="255"/>
      <c r="W216" s="255"/>
      <c r="X216" s="255"/>
      <c r="Y216" s="255"/>
      <c r="Z216" s="255"/>
      <c r="AA216" s="255"/>
      <c r="AB216" s="355"/>
      <c r="AC216" s="256"/>
      <c r="AD216" s="355"/>
      <c r="AE216" s="255"/>
    </row>
    <row r="217" spans="1:31">
      <c r="A217" s="102">
        <f>A214+1</f>
        <v>45636</v>
      </c>
      <c r="B217" s="102" t="s">
        <v>3503</v>
      </c>
      <c r="C217" s="110" t="str">
        <f>A217 &amp; " " &amp;B217</f>
        <v>45636 0000H</v>
      </c>
      <c r="D217" s="111">
        <v>873.42</v>
      </c>
      <c r="E217" s="116">
        <v>49.67</v>
      </c>
      <c r="F217" s="250">
        <v>1108.67</v>
      </c>
      <c r="G217" s="251">
        <v>6.2</v>
      </c>
      <c r="H217" s="250">
        <v>73822.55</v>
      </c>
      <c r="I217" s="235">
        <v>891.45</v>
      </c>
      <c r="J217" s="235">
        <v>32986.6</v>
      </c>
      <c r="K217" s="251">
        <v>102.82</v>
      </c>
      <c r="L217" s="250">
        <v>5467.58</v>
      </c>
      <c r="M217" s="235">
        <v>15.78</v>
      </c>
      <c r="N217" s="235">
        <v>32805.800000000003</v>
      </c>
      <c r="O217" s="235">
        <v>28.7</v>
      </c>
      <c r="P217" s="235">
        <v>597.42999999999995</v>
      </c>
      <c r="Q217" s="235">
        <v>654.59</v>
      </c>
      <c r="R217" s="235">
        <v>9874.35</v>
      </c>
      <c r="S217" s="235">
        <v>9.0399999999999991</v>
      </c>
      <c r="T217" s="235">
        <v>35738</v>
      </c>
      <c r="U217" s="235">
        <v>69</v>
      </c>
      <c r="V217" s="235">
        <v>250.46</v>
      </c>
      <c r="W217" s="235">
        <v>0.15</v>
      </c>
      <c r="X217" s="235">
        <v>6356.91</v>
      </c>
      <c r="Y217" s="235">
        <v>0</v>
      </c>
      <c r="Z217" s="235">
        <v>54159</v>
      </c>
      <c r="AA217" s="251">
        <v>79</v>
      </c>
      <c r="AB217" s="235"/>
      <c r="AC217" s="252"/>
      <c r="AD217" s="235"/>
      <c r="AE217" s="251"/>
    </row>
    <row r="218" spans="1:31">
      <c r="A218" s="102">
        <f>A215+1</f>
        <v>45636</v>
      </c>
      <c r="B218" s="102" t="s">
        <v>3504</v>
      </c>
      <c r="C218" s="110" t="str">
        <f>A218 &amp; " " &amp;B218</f>
        <v>45636 1200H</v>
      </c>
      <c r="D218" s="111">
        <v>878.37</v>
      </c>
      <c r="E218" s="116">
        <v>49.67</v>
      </c>
      <c r="F218" s="250">
        <v>1108.67</v>
      </c>
      <c r="G218" s="251">
        <v>6.2</v>
      </c>
      <c r="H218" s="250">
        <v>73822.55</v>
      </c>
      <c r="I218" s="235">
        <v>891.72</v>
      </c>
      <c r="J218" s="235">
        <v>32986.6</v>
      </c>
      <c r="K218" s="251">
        <v>102.88</v>
      </c>
      <c r="L218" s="250">
        <v>5469.75</v>
      </c>
      <c r="M218" s="235">
        <v>15.78</v>
      </c>
      <c r="N218" s="235">
        <v>32808.199999999997</v>
      </c>
      <c r="O218" s="235">
        <v>28.8</v>
      </c>
      <c r="P218" s="235">
        <v>598.89</v>
      </c>
      <c r="Q218" s="235">
        <v>654.72</v>
      </c>
      <c r="R218" s="235">
        <v>9877.26</v>
      </c>
      <c r="S218" s="235">
        <v>9.0399999999999991</v>
      </c>
      <c r="T218" s="235">
        <v>35744</v>
      </c>
      <c r="U218" s="235">
        <v>69</v>
      </c>
      <c r="V218" s="235">
        <v>250.46</v>
      </c>
      <c r="W218" s="235">
        <v>0.15</v>
      </c>
      <c r="X218" s="235">
        <v>6363.11</v>
      </c>
      <c r="Y218" s="235">
        <v>0</v>
      </c>
      <c r="Z218" s="235">
        <v>54159</v>
      </c>
      <c r="AA218" s="251">
        <v>79</v>
      </c>
      <c r="AB218" s="235"/>
      <c r="AC218" s="252"/>
      <c r="AD218" s="235"/>
      <c r="AE218" s="251"/>
    </row>
    <row r="219" spans="1:31" ht="6.95" customHeight="1">
      <c r="F219" s="253"/>
      <c r="G219" s="254"/>
      <c r="H219" s="253"/>
      <c r="I219" s="255"/>
      <c r="J219" s="255"/>
      <c r="K219" s="255"/>
      <c r="L219" s="253"/>
      <c r="M219" s="255"/>
      <c r="N219" s="255"/>
      <c r="O219" s="255"/>
      <c r="P219" s="255"/>
      <c r="Q219" s="255"/>
      <c r="R219" s="255"/>
      <c r="S219" s="255"/>
      <c r="T219" s="255"/>
      <c r="U219" s="255"/>
      <c r="V219" s="255"/>
      <c r="W219" s="255"/>
      <c r="X219" s="255"/>
      <c r="Y219" s="255"/>
      <c r="Z219" s="255"/>
      <c r="AA219" s="255"/>
      <c r="AB219" s="355"/>
      <c r="AC219" s="256"/>
      <c r="AD219" s="355"/>
      <c r="AE219" s="255"/>
    </row>
    <row r="220" spans="1:31">
      <c r="A220" s="102">
        <f>A217+1</f>
        <v>45637</v>
      </c>
      <c r="B220" s="102" t="s">
        <v>3503</v>
      </c>
      <c r="C220" s="110" t="str">
        <f>A220 &amp; " " &amp;B220</f>
        <v>45637 0000H</v>
      </c>
      <c r="D220" s="111">
        <v>884.17</v>
      </c>
      <c r="E220" s="116">
        <v>49.67</v>
      </c>
      <c r="F220" s="250">
        <v>1108.67</v>
      </c>
      <c r="G220" s="251">
        <v>6.2</v>
      </c>
      <c r="H220" s="250">
        <v>73822.55</v>
      </c>
      <c r="I220" s="235">
        <v>892.02</v>
      </c>
      <c r="J220" s="235">
        <v>32989.910000000003</v>
      </c>
      <c r="K220" s="251">
        <v>102.89</v>
      </c>
      <c r="L220" s="250">
        <v>5475.09</v>
      </c>
      <c r="M220" s="235">
        <v>15.77</v>
      </c>
      <c r="N220" s="235">
        <v>32815.599999999999</v>
      </c>
      <c r="O220" s="235">
        <v>28.8</v>
      </c>
      <c r="P220" s="235">
        <v>599.55999999999995</v>
      </c>
      <c r="Q220" s="235">
        <v>654.94000000000005</v>
      </c>
      <c r="R220" s="235">
        <v>9881.51</v>
      </c>
      <c r="S220" s="235">
        <v>9.0399999999999991</v>
      </c>
      <c r="T220" s="235">
        <v>35752</v>
      </c>
      <c r="U220" s="235">
        <v>69</v>
      </c>
      <c r="V220" s="235">
        <v>250.46</v>
      </c>
      <c r="W220" s="235">
        <v>0.15</v>
      </c>
      <c r="X220" s="235">
        <v>6370.37</v>
      </c>
      <c r="Y220" s="235">
        <v>0</v>
      </c>
      <c r="Z220" s="235">
        <v>54159</v>
      </c>
      <c r="AA220" s="251">
        <v>79</v>
      </c>
      <c r="AB220" s="235"/>
      <c r="AC220" s="252"/>
      <c r="AD220" s="235"/>
      <c r="AE220" s="251"/>
    </row>
    <row r="221" spans="1:31">
      <c r="A221" s="102">
        <f>A218+1</f>
        <v>45637</v>
      </c>
      <c r="B221" s="102" t="s">
        <v>3504</v>
      </c>
      <c r="C221" s="110" t="str">
        <f>A221 &amp; " " &amp;B221</f>
        <v>45637 1200H</v>
      </c>
      <c r="D221" s="111">
        <v>888.21</v>
      </c>
      <c r="E221" s="116">
        <v>49.67</v>
      </c>
      <c r="F221" s="250">
        <v>1108.67</v>
      </c>
      <c r="G221" s="251">
        <v>6.2</v>
      </c>
      <c r="H221" s="250">
        <v>73822.55</v>
      </c>
      <c r="I221" s="235">
        <v>892.34</v>
      </c>
      <c r="J221" s="235">
        <v>32991.699999999997</v>
      </c>
      <c r="K221" s="251">
        <v>102.95</v>
      </c>
      <c r="L221" s="250">
        <v>5480.93</v>
      </c>
      <c r="M221" s="235">
        <v>15.78</v>
      </c>
      <c r="N221" s="235">
        <v>32822.9</v>
      </c>
      <c r="O221" s="235">
        <v>28.8</v>
      </c>
      <c r="P221" s="235">
        <v>600.38</v>
      </c>
      <c r="Q221" s="235">
        <v>655.65</v>
      </c>
      <c r="R221" s="235">
        <v>9885.2000000000007</v>
      </c>
      <c r="S221" s="235">
        <v>9.0399999999999991</v>
      </c>
      <c r="T221" s="235">
        <v>35758</v>
      </c>
      <c r="U221" s="235">
        <v>69</v>
      </c>
      <c r="V221" s="235">
        <v>250.46</v>
      </c>
      <c r="W221" s="235">
        <v>0.15</v>
      </c>
      <c r="X221" s="235">
        <v>6375.13</v>
      </c>
      <c r="Y221" s="235">
        <v>0</v>
      </c>
      <c r="Z221" s="235">
        <v>54159</v>
      </c>
      <c r="AA221" s="251">
        <v>79</v>
      </c>
      <c r="AB221" s="235"/>
      <c r="AC221" s="252"/>
      <c r="AD221" s="235"/>
      <c r="AE221" s="251"/>
    </row>
    <row r="222" spans="1:31" ht="6.95" customHeight="1">
      <c r="F222" s="253"/>
      <c r="G222" s="254"/>
      <c r="H222" s="253"/>
      <c r="I222" s="255"/>
      <c r="J222" s="255"/>
      <c r="K222" s="255"/>
      <c r="L222" s="253"/>
      <c r="M222" s="255"/>
      <c r="N222" s="255"/>
      <c r="O222" s="255"/>
      <c r="P222" s="255"/>
      <c r="Q222" s="255"/>
      <c r="R222" s="255"/>
      <c r="S222" s="255"/>
      <c r="T222" s="255"/>
      <c r="U222" s="255"/>
      <c r="V222" s="255"/>
      <c r="W222" s="255"/>
      <c r="X222" s="255"/>
      <c r="Y222" s="255"/>
      <c r="Z222" s="255"/>
      <c r="AA222" s="255"/>
      <c r="AB222" s="355"/>
      <c r="AC222" s="256"/>
      <c r="AD222" s="355"/>
      <c r="AE222" s="255"/>
    </row>
    <row r="223" spans="1:31">
      <c r="A223" s="102">
        <f>A220+1</f>
        <v>45638</v>
      </c>
      <c r="B223" s="102" t="s">
        <v>3503</v>
      </c>
      <c r="C223" s="110" t="str">
        <f>A223 &amp; " " &amp;B223</f>
        <v>45638 0000H</v>
      </c>
      <c r="D223" s="111">
        <v>894.24</v>
      </c>
      <c r="E223" s="116">
        <v>49.67</v>
      </c>
      <c r="F223" s="250">
        <v>1108.67</v>
      </c>
      <c r="G223" s="251">
        <v>6.2</v>
      </c>
      <c r="H223" s="250">
        <v>73822.55</v>
      </c>
      <c r="I223" s="235">
        <v>892.34</v>
      </c>
      <c r="J223" s="235">
        <v>32991.769999999997</v>
      </c>
      <c r="K223" s="251">
        <v>103.02</v>
      </c>
      <c r="L223" s="250">
        <v>5486.73</v>
      </c>
      <c r="M223" s="235">
        <v>15.78</v>
      </c>
      <c r="N223" s="235">
        <v>32830.5</v>
      </c>
      <c r="O223" s="235">
        <v>28.8</v>
      </c>
      <c r="P223" s="235">
        <v>602.79</v>
      </c>
      <c r="Q223" s="235">
        <v>655.71</v>
      </c>
      <c r="R223" s="235">
        <v>9889.73</v>
      </c>
      <c r="S223" s="235">
        <v>9.0399999999999991</v>
      </c>
      <c r="T223" s="235">
        <v>35766</v>
      </c>
      <c r="U223" s="235">
        <v>69</v>
      </c>
      <c r="V223" s="235">
        <v>250.46</v>
      </c>
      <c r="W223" s="235">
        <v>0.15</v>
      </c>
      <c r="X223" s="235">
        <v>6381.68</v>
      </c>
      <c r="Y223" s="235">
        <v>0</v>
      </c>
      <c r="Z223" s="235">
        <v>54159</v>
      </c>
      <c r="AA223" s="251">
        <v>79</v>
      </c>
      <c r="AB223" s="235"/>
      <c r="AC223" s="252"/>
      <c r="AD223" s="235"/>
      <c r="AE223" s="251"/>
    </row>
    <row r="224" spans="1:31">
      <c r="A224" s="102">
        <f>A221+1</f>
        <v>45638</v>
      </c>
      <c r="B224" s="102" t="s">
        <v>3504</v>
      </c>
      <c r="C224" s="110" t="str">
        <f>A224 &amp; " " &amp;B224</f>
        <v>45638 1200H</v>
      </c>
      <c r="D224" s="111">
        <v>898.15</v>
      </c>
      <c r="E224" s="116">
        <v>49.67</v>
      </c>
      <c r="F224" s="250">
        <v>1108.67</v>
      </c>
      <c r="G224" s="251">
        <v>6.2</v>
      </c>
      <c r="H224" s="250">
        <v>73822.55</v>
      </c>
      <c r="I224" s="235">
        <v>892.96</v>
      </c>
      <c r="J224" s="235">
        <v>32993</v>
      </c>
      <c r="K224" s="251">
        <v>103.1</v>
      </c>
      <c r="L224" s="250">
        <v>5492.45</v>
      </c>
      <c r="M224" s="235">
        <v>15.78</v>
      </c>
      <c r="N224" s="235">
        <v>32837.800000000003</v>
      </c>
      <c r="O224" s="235">
        <v>28.8</v>
      </c>
      <c r="P224" s="235">
        <v>603.13</v>
      </c>
      <c r="Q224" s="235">
        <v>656.58</v>
      </c>
      <c r="R224" s="235">
        <v>9893.34</v>
      </c>
      <c r="S224" s="235">
        <v>9.0399999999999991</v>
      </c>
      <c r="T224" s="235">
        <v>35771</v>
      </c>
      <c r="U224" s="235">
        <v>69</v>
      </c>
      <c r="V224" s="235">
        <v>250.46</v>
      </c>
      <c r="W224" s="235">
        <v>0.15</v>
      </c>
      <c r="X224" s="235">
        <v>6387.52</v>
      </c>
      <c r="Y224" s="235">
        <v>0</v>
      </c>
      <c r="Z224" s="235">
        <v>54159</v>
      </c>
      <c r="AA224" s="251">
        <v>79</v>
      </c>
      <c r="AB224" s="235"/>
      <c r="AC224" s="252"/>
      <c r="AD224" s="235"/>
      <c r="AE224" s="251"/>
    </row>
    <row r="225" spans="1:31" ht="6.95" customHeight="1">
      <c r="F225" s="253"/>
      <c r="G225" s="254"/>
      <c r="H225" s="253"/>
      <c r="I225" s="255"/>
      <c r="J225" s="255"/>
      <c r="K225" s="255"/>
      <c r="L225" s="253"/>
      <c r="M225" s="255"/>
      <c r="N225" s="255"/>
      <c r="O225" s="255"/>
      <c r="P225" s="255"/>
      <c r="Q225" s="255"/>
      <c r="R225" s="255"/>
      <c r="S225" s="255"/>
      <c r="T225" s="255"/>
      <c r="U225" s="255"/>
      <c r="V225" s="255"/>
      <c r="W225" s="255"/>
      <c r="X225" s="255"/>
      <c r="Y225" s="255"/>
      <c r="Z225" s="255"/>
      <c r="AA225" s="255"/>
      <c r="AB225" s="355"/>
      <c r="AC225" s="256"/>
      <c r="AD225" s="355"/>
      <c r="AE225" s="255"/>
    </row>
    <row r="226" spans="1:31">
      <c r="A226" s="102">
        <f>A223+1</f>
        <v>45639</v>
      </c>
      <c r="B226" s="102" t="s">
        <v>3503</v>
      </c>
      <c r="C226" s="110" t="str">
        <f>A226 &amp; " " &amp;B226</f>
        <v>45639 0000H</v>
      </c>
      <c r="D226" s="111">
        <v>904.03</v>
      </c>
      <c r="E226" s="116">
        <v>49.67</v>
      </c>
      <c r="F226" s="250">
        <v>1108.67</v>
      </c>
      <c r="G226" s="251">
        <v>6.2</v>
      </c>
      <c r="H226" s="250">
        <v>73822.55</v>
      </c>
      <c r="I226" s="235">
        <v>893.27</v>
      </c>
      <c r="J226" s="235">
        <v>32995.870000000003</v>
      </c>
      <c r="K226" s="251">
        <v>105.13</v>
      </c>
      <c r="L226" s="250">
        <v>5498.28</v>
      </c>
      <c r="M226" s="235">
        <v>15.78</v>
      </c>
      <c r="N226" s="235">
        <v>32845.4</v>
      </c>
      <c r="O226" s="235">
        <v>28.8</v>
      </c>
      <c r="P226" s="235">
        <v>603.99</v>
      </c>
      <c r="Q226" s="235">
        <v>656.92</v>
      </c>
      <c r="R226" s="235">
        <v>9897.67</v>
      </c>
      <c r="S226" s="235">
        <v>9.0399999999999991</v>
      </c>
      <c r="T226" s="235">
        <v>35779</v>
      </c>
      <c r="U226" s="235">
        <v>69</v>
      </c>
      <c r="V226" s="235">
        <v>250.46</v>
      </c>
      <c r="W226" s="235">
        <v>0.15</v>
      </c>
      <c r="X226" s="235">
        <v>6394.3</v>
      </c>
      <c r="Y226" s="235">
        <v>0</v>
      </c>
      <c r="Z226" s="235">
        <v>54159</v>
      </c>
      <c r="AA226" s="251">
        <v>79</v>
      </c>
      <c r="AB226" s="235"/>
      <c r="AC226" s="252"/>
      <c r="AD226" s="235"/>
      <c r="AE226" s="251"/>
    </row>
    <row r="227" spans="1:31">
      <c r="A227" s="102">
        <f>A224+1</f>
        <v>45639</v>
      </c>
      <c r="B227" s="102" t="s">
        <v>3504</v>
      </c>
      <c r="C227" s="110" t="str">
        <f>A227 &amp; " " &amp;B227</f>
        <v>45639 1200H</v>
      </c>
      <c r="D227" s="111">
        <v>908.13</v>
      </c>
      <c r="E227" s="116">
        <v>49.67</v>
      </c>
      <c r="F227" s="250">
        <v>1108.67</v>
      </c>
      <c r="G227" s="251">
        <v>6.2</v>
      </c>
      <c r="H227" s="250">
        <v>73822.55</v>
      </c>
      <c r="I227" s="235">
        <v>893.59</v>
      </c>
      <c r="J227" s="235">
        <v>32995.870000000003</v>
      </c>
      <c r="K227" s="251">
        <v>103.17</v>
      </c>
      <c r="L227" s="250">
        <v>5504.02</v>
      </c>
      <c r="M227" s="235">
        <v>15.78</v>
      </c>
      <c r="N227" s="235">
        <v>32853</v>
      </c>
      <c r="O227" s="235">
        <v>28.8</v>
      </c>
      <c r="P227" s="235">
        <v>604.84</v>
      </c>
      <c r="Q227" s="235">
        <v>657.55</v>
      </c>
      <c r="R227" s="235">
        <v>9901.2900000000009</v>
      </c>
      <c r="S227" s="235">
        <v>9.0399999999999991</v>
      </c>
      <c r="T227" s="235">
        <v>35785</v>
      </c>
      <c r="U227" s="235">
        <v>69</v>
      </c>
      <c r="V227" s="235">
        <v>250.46</v>
      </c>
      <c r="W227" s="235">
        <v>0.15</v>
      </c>
      <c r="X227" s="235">
        <v>6400.1</v>
      </c>
      <c r="Y227" s="235">
        <v>0</v>
      </c>
      <c r="Z227" s="235">
        <v>54159</v>
      </c>
      <c r="AA227" s="251">
        <v>79</v>
      </c>
      <c r="AB227" s="235"/>
      <c r="AC227" s="252"/>
      <c r="AD227" s="235"/>
      <c r="AE227" s="251"/>
    </row>
    <row r="228" spans="1:31" ht="6.95" customHeight="1">
      <c r="F228" s="253"/>
      <c r="G228" s="254"/>
      <c r="H228" s="253"/>
      <c r="I228" s="255"/>
      <c r="J228" s="255"/>
      <c r="K228" s="255"/>
      <c r="L228" s="253"/>
      <c r="M228" s="255"/>
      <c r="N228" s="255"/>
      <c r="O228" s="255"/>
      <c r="P228" s="255"/>
      <c r="Q228" s="255"/>
      <c r="R228" s="255"/>
      <c r="S228" s="255"/>
      <c r="T228" s="255"/>
      <c r="U228" s="255"/>
      <c r="V228" s="255"/>
      <c r="W228" s="255"/>
      <c r="X228" s="255"/>
      <c r="Y228" s="255"/>
      <c r="Z228" s="255"/>
      <c r="AA228" s="255"/>
      <c r="AB228" s="355"/>
      <c r="AC228" s="256"/>
      <c r="AD228" s="355"/>
      <c r="AE228" s="255"/>
    </row>
    <row r="229" spans="1:31">
      <c r="A229" s="102">
        <f>A226+1</f>
        <v>45640</v>
      </c>
      <c r="B229" s="102" t="s">
        <v>3503</v>
      </c>
      <c r="C229" s="110" t="str">
        <f>A229 &amp; " " &amp;B229</f>
        <v>45640 0000H</v>
      </c>
      <c r="D229" s="111">
        <v>914.26</v>
      </c>
      <c r="E229" s="116">
        <v>49.67</v>
      </c>
      <c r="F229" s="250">
        <v>1108.67</v>
      </c>
      <c r="G229" s="251">
        <v>6.2</v>
      </c>
      <c r="H229" s="250">
        <v>73822.55</v>
      </c>
      <c r="I229" s="235">
        <v>893.87</v>
      </c>
      <c r="J229" s="235">
        <v>32995.879999999997</v>
      </c>
      <c r="K229" s="251">
        <v>103.22</v>
      </c>
      <c r="L229" s="250">
        <v>5509.94</v>
      </c>
      <c r="M229" s="235">
        <v>15.78</v>
      </c>
      <c r="N229" s="235">
        <v>32860.800000000003</v>
      </c>
      <c r="O229" s="235">
        <v>28.8</v>
      </c>
      <c r="P229" s="235">
        <v>607.1</v>
      </c>
      <c r="Q229" s="235">
        <v>657.69</v>
      </c>
      <c r="R229" s="235">
        <v>9905.77</v>
      </c>
      <c r="S229" s="235">
        <v>9.0399999999999991</v>
      </c>
      <c r="T229" s="235">
        <v>35790</v>
      </c>
      <c r="U229" s="235">
        <v>69</v>
      </c>
      <c r="V229" s="235">
        <v>250.46</v>
      </c>
      <c r="W229" s="235">
        <v>0.15</v>
      </c>
      <c r="X229" s="235">
        <v>6406.4</v>
      </c>
      <c r="Y229" s="235">
        <v>0</v>
      </c>
      <c r="Z229" s="235">
        <v>54159</v>
      </c>
      <c r="AA229" s="251">
        <v>79</v>
      </c>
      <c r="AB229" s="235"/>
      <c r="AC229" s="252"/>
      <c r="AD229" s="235"/>
      <c r="AE229" s="251"/>
    </row>
    <row r="230" spans="1:31">
      <c r="A230" s="102">
        <f>A227+1</f>
        <v>45640</v>
      </c>
      <c r="B230" s="102" t="s">
        <v>3504</v>
      </c>
      <c r="C230" s="110" t="str">
        <f>A230 &amp; " " &amp;B230</f>
        <v>45640 1200H</v>
      </c>
      <c r="D230" s="111">
        <v>918.06</v>
      </c>
      <c r="E230" s="116">
        <v>49.67</v>
      </c>
      <c r="F230" s="250">
        <v>1108.67</v>
      </c>
      <c r="G230" s="251">
        <v>6.2</v>
      </c>
      <c r="H230" s="250">
        <v>73822.55</v>
      </c>
      <c r="I230" s="235">
        <v>894.21</v>
      </c>
      <c r="J230" s="235">
        <v>32999.39</v>
      </c>
      <c r="K230" s="251">
        <v>103.23</v>
      </c>
      <c r="L230" s="250">
        <v>5515.82</v>
      </c>
      <c r="M230" s="235">
        <v>15.78</v>
      </c>
      <c r="N230" s="235">
        <v>32865.9</v>
      </c>
      <c r="O230" s="235">
        <v>28.8</v>
      </c>
      <c r="P230" s="235">
        <v>607.28</v>
      </c>
      <c r="Q230" s="235">
        <v>658.7</v>
      </c>
      <c r="R230" s="235">
        <v>9909.49</v>
      </c>
      <c r="S230" s="235">
        <v>9.0399999999999991</v>
      </c>
      <c r="T230" s="235">
        <v>35798</v>
      </c>
      <c r="U230" s="235">
        <v>69</v>
      </c>
      <c r="V230" s="235">
        <v>250.46</v>
      </c>
      <c r="W230" s="235">
        <v>0.15</v>
      </c>
      <c r="X230" s="235">
        <v>6411.86</v>
      </c>
      <c r="Y230" s="235">
        <v>0</v>
      </c>
      <c r="Z230" s="235">
        <v>54159</v>
      </c>
      <c r="AA230" s="251">
        <v>79</v>
      </c>
      <c r="AB230" s="235"/>
      <c r="AC230" s="252"/>
      <c r="AD230" s="235"/>
      <c r="AE230" s="251"/>
    </row>
    <row r="231" spans="1:31" ht="6.95" customHeight="1">
      <c r="F231" s="253"/>
      <c r="G231" s="254"/>
      <c r="H231" s="253"/>
      <c r="I231" s="255"/>
      <c r="J231" s="255"/>
      <c r="K231" s="255"/>
      <c r="L231" s="253"/>
      <c r="M231" s="255"/>
      <c r="N231" s="255"/>
      <c r="O231" s="255"/>
      <c r="P231" s="255"/>
      <c r="Q231" s="255"/>
      <c r="R231" s="255"/>
      <c r="S231" s="255"/>
      <c r="T231" s="255"/>
      <c r="U231" s="255"/>
      <c r="V231" s="255"/>
      <c r="W231" s="255"/>
      <c r="X231" s="255"/>
      <c r="Y231" s="255"/>
      <c r="Z231" s="255"/>
      <c r="AA231" s="255"/>
      <c r="AB231" s="355"/>
      <c r="AC231" s="256"/>
      <c r="AD231" s="355"/>
      <c r="AE231" s="255"/>
    </row>
    <row r="232" spans="1:31">
      <c r="A232" s="102">
        <f>A229+1</f>
        <v>45641</v>
      </c>
      <c r="B232" s="102" t="s">
        <v>3503</v>
      </c>
      <c r="C232" s="110" t="str">
        <f>A232 &amp; " " &amp;B232</f>
        <v>45641 0000H</v>
      </c>
      <c r="D232" s="111">
        <v>923.93</v>
      </c>
      <c r="E232" s="116">
        <v>49.67</v>
      </c>
      <c r="F232" s="250">
        <v>1108.67</v>
      </c>
      <c r="G232" s="251">
        <v>6.2</v>
      </c>
      <c r="H232" s="250">
        <v>73822.55</v>
      </c>
      <c r="I232" s="235">
        <v>894.56</v>
      </c>
      <c r="J232" s="235">
        <v>33003.050000000003</v>
      </c>
      <c r="K232" s="251">
        <v>103.23</v>
      </c>
      <c r="L232" s="250">
        <v>5521.71</v>
      </c>
      <c r="M232" s="235">
        <v>15.78</v>
      </c>
      <c r="N232" s="235">
        <v>32873.4</v>
      </c>
      <c r="O232" s="235">
        <v>28.8</v>
      </c>
      <c r="P232" s="235">
        <v>607.34</v>
      </c>
      <c r="Q232" s="235">
        <v>659.88</v>
      </c>
      <c r="R232" s="235">
        <v>9914.0300000000007</v>
      </c>
      <c r="S232" s="235">
        <v>9.0399999999999991</v>
      </c>
      <c r="T232" s="235">
        <v>35805</v>
      </c>
      <c r="U232" s="235">
        <v>69</v>
      </c>
      <c r="V232" s="235">
        <v>250.46</v>
      </c>
      <c r="W232" s="235">
        <v>0.15</v>
      </c>
      <c r="X232" s="235">
        <v>6417.71</v>
      </c>
      <c r="Y232" s="235">
        <v>0</v>
      </c>
      <c r="Z232" s="235">
        <v>54159</v>
      </c>
      <c r="AA232" s="251">
        <v>79</v>
      </c>
      <c r="AB232" s="235"/>
      <c r="AC232" s="252"/>
      <c r="AD232" s="235"/>
      <c r="AE232" s="251"/>
    </row>
    <row r="233" spans="1:31">
      <c r="A233" s="102">
        <f>A230+1</f>
        <v>45641</v>
      </c>
      <c r="B233" s="102" t="s">
        <v>3504</v>
      </c>
      <c r="C233" s="110" t="str">
        <f>A233 &amp; " " &amp;B233</f>
        <v>45641 1200H</v>
      </c>
      <c r="D233" s="111">
        <v>927.36</v>
      </c>
      <c r="E233" s="116">
        <v>49.67</v>
      </c>
      <c r="F233" s="250">
        <v>1108.67</v>
      </c>
      <c r="G233" s="251">
        <v>6.2</v>
      </c>
      <c r="H233" s="250">
        <v>73822.55</v>
      </c>
      <c r="I233" s="235">
        <v>894.9</v>
      </c>
      <c r="J233" s="235">
        <v>33006.639999999999</v>
      </c>
      <c r="K233" s="251">
        <v>103.23</v>
      </c>
      <c r="L233" s="250">
        <v>5527.35</v>
      </c>
      <c r="M233" s="235">
        <v>15.78</v>
      </c>
      <c r="N233" s="235">
        <v>32878</v>
      </c>
      <c r="O233" s="235">
        <v>28.8</v>
      </c>
      <c r="P233" s="235">
        <v>607.44000000000005</v>
      </c>
      <c r="Q233" s="235">
        <v>660.91</v>
      </c>
      <c r="R233" s="235">
        <v>9917.61</v>
      </c>
      <c r="S233" s="235">
        <v>9.0399999999999991</v>
      </c>
      <c r="T233" s="235">
        <v>35810</v>
      </c>
      <c r="U233" s="235">
        <v>69</v>
      </c>
      <c r="V233" s="235">
        <v>250.46</v>
      </c>
      <c r="W233" s="235">
        <v>0.15</v>
      </c>
      <c r="X233" s="235">
        <v>6422.81</v>
      </c>
      <c r="Y233" s="235">
        <v>0</v>
      </c>
      <c r="Z233" s="235">
        <v>54159</v>
      </c>
      <c r="AA233" s="251">
        <v>79</v>
      </c>
      <c r="AB233" s="235"/>
      <c r="AC233" s="252"/>
      <c r="AD233" s="235"/>
      <c r="AE233" s="251"/>
    </row>
    <row r="234" spans="1:31" ht="6.95" customHeight="1">
      <c r="F234" s="253"/>
      <c r="G234" s="254"/>
      <c r="H234" s="253"/>
      <c r="I234" s="255"/>
      <c r="J234" s="255"/>
      <c r="K234" s="255"/>
      <c r="L234" s="253"/>
      <c r="M234" s="255"/>
      <c r="N234" s="255"/>
      <c r="O234" s="255"/>
      <c r="P234" s="255"/>
      <c r="Q234" s="255"/>
      <c r="R234" s="255"/>
      <c r="S234" s="255"/>
      <c r="T234" s="255"/>
      <c r="U234" s="255"/>
      <c r="V234" s="255"/>
      <c r="W234" s="255"/>
      <c r="X234" s="255"/>
      <c r="Y234" s="255"/>
      <c r="Z234" s="255"/>
      <c r="AA234" s="255"/>
      <c r="AB234" s="355"/>
      <c r="AC234" s="256"/>
      <c r="AD234" s="355"/>
      <c r="AE234" s="255"/>
    </row>
    <row r="235" spans="1:31">
      <c r="A235" s="102">
        <f>A232+1</f>
        <v>45642</v>
      </c>
      <c r="B235" s="102" t="s">
        <v>3503</v>
      </c>
      <c r="C235" s="110" t="str">
        <f>A235 &amp; " " &amp;B235</f>
        <v>45642 0000H</v>
      </c>
      <c r="D235" s="111">
        <v>932.33</v>
      </c>
      <c r="E235" s="116">
        <v>49.67</v>
      </c>
      <c r="F235" s="250">
        <v>1108.67</v>
      </c>
      <c r="G235" s="251">
        <v>6.2</v>
      </c>
      <c r="H235" s="250">
        <v>73822.789999999994</v>
      </c>
      <c r="I235" s="235">
        <v>895.34</v>
      </c>
      <c r="J235" s="235">
        <v>33009.99</v>
      </c>
      <c r="K235" s="251">
        <v>103.23</v>
      </c>
      <c r="L235" s="250">
        <v>5533</v>
      </c>
      <c r="M235" s="235">
        <v>15.78</v>
      </c>
      <c r="N235" s="235">
        <v>32885.199999999997</v>
      </c>
      <c r="O235" s="235">
        <v>28.8</v>
      </c>
      <c r="P235" s="235">
        <v>608.27</v>
      </c>
      <c r="Q235" s="235">
        <v>661.27</v>
      </c>
      <c r="R235" s="235">
        <v>9927.1200000000008</v>
      </c>
      <c r="S235" s="235">
        <v>9.0399999999999991</v>
      </c>
      <c r="T235" s="235">
        <v>35818</v>
      </c>
      <c r="U235" s="235">
        <v>69</v>
      </c>
      <c r="V235" s="235">
        <v>250.46</v>
      </c>
      <c r="W235" s="235">
        <v>0.15</v>
      </c>
      <c r="X235" s="235">
        <v>6429.6</v>
      </c>
      <c r="Y235" s="235">
        <v>0</v>
      </c>
      <c r="Z235" s="235">
        <v>54159</v>
      </c>
      <c r="AA235" s="251">
        <v>79</v>
      </c>
      <c r="AB235" s="235"/>
      <c r="AC235" s="252"/>
      <c r="AD235" s="235"/>
      <c r="AE235" s="251"/>
    </row>
    <row r="236" spans="1:31">
      <c r="A236" s="102">
        <f>A233+1</f>
        <v>45642</v>
      </c>
      <c r="B236" s="102" t="s">
        <v>3504</v>
      </c>
      <c r="C236" s="110" t="str">
        <f>A236 &amp; " " &amp;B236</f>
        <v>45642 1200H</v>
      </c>
      <c r="D236" s="111">
        <v>936.52</v>
      </c>
      <c r="E236" s="116">
        <v>49.67</v>
      </c>
      <c r="F236" s="250">
        <v>1108.67</v>
      </c>
      <c r="G236" s="251">
        <v>6.2</v>
      </c>
      <c r="H236" s="250">
        <v>73823.13</v>
      </c>
      <c r="I236" s="235">
        <v>895.72</v>
      </c>
      <c r="J236" s="235">
        <v>33009.99</v>
      </c>
      <c r="K236" s="251">
        <v>103.26</v>
      </c>
      <c r="L236" s="250">
        <v>5538.71</v>
      </c>
      <c r="M236" s="235">
        <v>15.78</v>
      </c>
      <c r="N236" s="235">
        <v>32892.5</v>
      </c>
      <c r="O236" s="235">
        <v>28.8</v>
      </c>
      <c r="P236" s="235">
        <v>608.88</v>
      </c>
      <c r="Q236" s="235">
        <v>662.05</v>
      </c>
      <c r="R236" s="235">
        <v>9925.74</v>
      </c>
      <c r="S236" s="235">
        <v>9.0399999999999991</v>
      </c>
      <c r="T236" s="235">
        <v>35824</v>
      </c>
      <c r="U236" s="235">
        <v>69</v>
      </c>
      <c r="V236" s="235">
        <v>250.46</v>
      </c>
      <c r="W236" s="235">
        <v>0.15</v>
      </c>
      <c r="X236" s="235">
        <v>6435.43</v>
      </c>
      <c r="Y236" s="235">
        <v>0</v>
      </c>
      <c r="Z236" s="235">
        <v>54159</v>
      </c>
      <c r="AA236" s="251">
        <v>79</v>
      </c>
      <c r="AB236" s="235"/>
      <c r="AC236" s="252"/>
      <c r="AD236" s="235"/>
      <c r="AE236" s="251"/>
    </row>
    <row r="237" spans="1:31" ht="6.95" customHeight="1">
      <c r="F237" s="253"/>
      <c r="G237" s="254"/>
      <c r="H237" s="253"/>
      <c r="I237" s="255"/>
      <c r="J237" s="255"/>
      <c r="K237" s="255"/>
      <c r="L237" s="253"/>
      <c r="M237" s="255"/>
      <c r="N237" s="255"/>
      <c r="O237" s="255"/>
      <c r="P237" s="255"/>
      <c r="Q237" s="255"/>
      <c r="R237" s="255"/>
      <c r="S237" s="255"/>
      <c r="T237" s="255"/>
      <c r="U237" s="255"/>
      <c r="V237" s="255"/>
      <c r="W237" s="255"/>
      <c r="X237" s="255"/>
      <c r="Y237" s="255"/>
      <c r="Z237" s="255"/>
      <c r="AA237" s="255"/>
      <c r="AB237" s="355"/>
      <c r="AC237" s="256"/>
      <c r="AD237" s="355"/>
      <c r="AE237" s="255"/>
    </row>
    <row r="238" spans="1:31">
      <c r="A238" s="102">
        <f>A235+1</f>
        <v>45643</v>
      </c>
      <c r="B238" s="102" t="s">
        <v>3503</v>
      </c>
      <c r="C238" s="110" t="str">
        <f>A238 &amp; " " &amp;B238</f>
        <v>45643 0000H</v>
      </c>
      <c r="D238" s="111">
        <v>942.1</v>
      </c>
      <c r="E238" s="116">
        <v>49.67</v>
      </c>
      <c r="F238" s="250">
        <v>1108.67</v>
      </c>
      <c r="G238" s="251">
        <v>6.2</v>
      </c>
      <c r="H238" s="250">
        <v>73830.080000000002</v>
      </c>
      <c r="I238" s="235">
        <v>895.85</v>
      </c>
      <c r="J238" s="235">
        <v>33012.53</v>
      </c>
      <c r="K238" s="251">
        <v>103.3</v>
      </c>
      <c r="L238" s="250">
        <v>5544.32</v>
      </c>
      <c r="M238" s="235">
        <v>15.78</v>
      </c>
      <c r="N238" s="235">
        <v>32899.800000000003</v>
      </c>
      <c r="O238" s="235">
        <v>28.8</v>
      </c>
      <c r="P238" s="235">
        <v>610.22</v>
      </c>
      <c r="Q238" s="235">
        <v>662.86</v>
      </c>
      <c r="R238" s="235">
        <v>9930.27</v>
      </c>
      <c r="S238" s="235">
        <v>9.0399999999999991</v>
      </c>
      <c r="T238" s="235">
        <v>35832</v>
      </c>
      <c r="U238" s="235">
        <v>69</v>
      </c>
      <c r="V238" s="235">
        <v>250.46</v>
      </c>
      <c r="W238" s="235">
        <v>0.15</v>
      </c>
      <c r="X238" s="235">
        <v>6442.61</v>
      </c>
      <c r="Y238" s="235">
        <v>0</v>
      </c>
      <c r="Z238" s="235">
        <v>54159</v>
      </c>
      <c r="AA238" s="251">
        <v>79</v>
      </c>
      <c r="AB238" s="235"/>
      <c r="AC238" s="252"/>
      <c r="AD238" s="235"/>
      <c r="AE238" s="251"/>
    </row>
    <row r="239" spans="1:31">
      <c r="A239" s="102">
        <f>A236+1</f>
        <v>45643</v>
      </c>
      <c r="B239" s="102" t="s">
        <v>3504</v>
      </c>
      <c r="C239" s="110" t="str">
        <f>A239 &amp; " " &amp;B239</f>
        <v>45643 1200H</v>
      </c>
      <c r="D239" s="111">
        <v>945.91</v>
      </c>
      <c r="E239" s="116">
        <v>49.67</v>
      </c>
      <c r="F239" s="250">
        <v>1108.67</v>
      </c>
      <c r="G239" s="251">
        <v>6.2</v>
      </c>
      <c r="H239" s="250">
        <v>73834.39</v>
      </c>
      <c r="I239" s="235">
        <v>896.07</v>
      </c>
      <c r="J239" s="235">
        <v>33016.32</v>
      </c>
      <c r="K239" s="251">
        <v>103.3</v>
      </c>
      <c r="L239" s="250">
        <v>5550.07</v>
      </c>
      <c r="M239" s="235">
        <v>15.78</v>
      </c>
      <c r="N239" s="235">
        <v>32905.1</v>
      </c>
      <c r="O239" s="251">
        <v>28.8</v>
      </c>
      <c r="P239" s="235">
        <v>610.28</v>
      </c>
      <c r="Q239" s="235">
        <v>663.82</v>
      </c>
      <c r="R239" s="235">
        <v>9933.92</v>
      </c>
      <c r="S239" s="235">
        <v>9.0399999999999991</v>
      </c>
      <c r="T239" s="235">
        <v>35838</v>
      </c>
      <c r="U239" s="235">
        <v>69</v>
      </c>
      <c r="V239" s="235">
        <v>250.46</v>
      </c>
      <c r="W239" s="235">
        <v>0.15</v>
      </c>
      <c r="X239" s="235">
        <v>6448.8</v>
      </c>
      <c r="Y239" s="235">
        <v>0</v>
      </c>
      <c r="Z239" s="235">
        <v>54159</v>
      </c>
      <c r="AA239" s="251">
        <v>79</v>
      </c>
      <c r="AB239" s="235"/>
      <c r="AC239" s="252"/>
      <c r="AD239" s="235"/>
      <c r="AE239" s="251"/>
    </row>
    <row r="240" spans="1:31" ht="6.95" customHeight="1">
      <c r="F240" s="253"/>
      <c r="G240" s="254"/>
      <c r="H240" s="253"/>
      <c r="I240" s="255"/>
      <c r="J240" s="255"/>
      <c r="K240" s="255"/>
      <c r="L240" s="253"/>
      <c r="M240" s="255"/>
      <c r="N240" s="255"/>
      <c r="O240" s="255"/>
      <c r="P240" s="255"/>
      <c r="Q240" s="255"/>
      <c r="R240" s="255"/>
      <c r="S240" s="255"/>
      <c r="T240" s="255"/>
      <c r="U240" s="255"/>
      <c r="V240" s="255"/>
      <c r="W240" s="255"/>
      <c r="X240" s="255"/>
      <c r="Y240" s="255"/>
      <c r="Z240" s="255"/>
      <c r="AA240" s="255"/>
      <c r="AB240" s="355"/>
      <c r="AC240" s="256"/>
      <c r="AD240" s="355"/>
      <c r="AE240" s="255"/>
    </row>
    <row r="241" spans="1:31">
      <c r="A241" s="102">
        <f>A238+1</f>
        <v>45644</v>
      </c>
      <c r="B241" s="102" t="s">
        <v>3503</v>
      </c>
      <c r="C241" s="110" t="str">
        <f>A241 &amp; " " &amp;B241</f>
        <v>45644 0000H</v>
      </c>
      <c r="D241" s="111">
        <v>951.8</v>
      </c>
      <c r="E241" s="116">
        <v>49.67</v>
      </c>
      <c r="F241" s="250">
        <v>1108.67</v>
      </c>
      <c r="G241" s="251">
        <v>6.2</v>
      </c>
      <c r="H241" s="250">
        <v>73842.81</v>
      </c>
      <c r="I241" s="235">
        <v>896.14</v>
      </c>
      <c r="J241" s="235">
        <v>33020.06</v>
      </c>
      <c r="K241" s="251">
        <v>103.3</v>
      </c>
      <c r="L241" s="250">
        <v>5555.82</v>
      </c>
      <c r="M241" s="235">
        <v>15.78</v>
      </c>
      <c r="N241" s="235">
        <v>32914.199999999997</v>
      </c>
      <c r="O241" s="235">
        <v>28.8</v>
      </c>
      <c r="P241" s="235">
        <v>610.63</v>
      </c>
      <c r="Q241" s="235">
        <v>664.67</v>
      </c>
      <c r="R241" s="235">
        <v>9938.42</v>
      </c>
      <c r="S241" s="235">
        <v>9.0399999999999991</v>
      </c>
      <c r="T241" s="235">
        <v>35846</v>
      </c>
      <c r="U241" s="235">
        <v>69</v>
      </c>
      <c r="V241" s="235">
        <v>250.46</v>
      </c>
      <c r="W241" s="235">
        <v>0.15</v>
      </c>
      <c r="X241" s="235">
        <v>6455.85</v>
      </c>
      <c r="Y241" s="235">
        <v>0</v>
      </c>
      <c r="Z241" s="235">
        <v>54159</v>
      </c>
      <c r="AA241" s="251">
        <v>79</v>
      </c>
      <c r="AB241" s="235"/>
      <c r="AC241" s="252"/>
      <c r="AD241" s="235"/>
      <c r="AE241" s="251"/>
    </row>
    <row r="242" spans="1:31">
      <c r="A242" s="102">
        <f>A239+1</f>
        <v>45644</v>
      </c>
      <c r="B242" s="102" t="s">
        <v>3504</v>
      </c>
      <c r="C242" s="110" t="str">
        <f>A242 &amp; " " &amp;B242</f>
        <v>45644 1200H</v>
      </c>
      <c r="D242" s="111">
        <v>955.74</v>
      </c>
      <c r="E242" s="116">
        <v>49.67</v>
      </c>
      <c r="F242" s="250">
        <v>1108.67</v>
      </c>
      <c r="G242" s="251">
        <v>6.2</v>
      </c>
      <c r="H242" s="250">
        <v>73844.789999999994</v>
      </c>
      <c r="I242" s="235">
        <v>896.42</v>
      </c>
      <c r="J242" s="235">
        <v>33023.870000000003</v>
      </c>
      <c r="K242" s="251">
        <v>103.3</v>
      </c>
      <c r="L242" s="250">
        <v>5561.58</v>
      </c>
      <c r="M242" s="235">
        <v>15.78</v>
      </c>
      <c r="N242" s="235">
        <v>32918</v>
      </c>
      <c r="O242" s="235">
        <v>28.8</v>
      </c>
      <c r="P242" s="235">
        <v>610.67999999999995</v>
      </c>
      <c r="Q242" s="235">
        <v>665.65</v>
      </c>
      <c r="R242" s="235">
        <v>9943.07</v>
      </c>
      <c r="S242" s="235">
        <v>9.0399999999999991</v>
      </c>
      <c r="T242" s="235">
        <v>35852</v>
      </c>
      <c r="U242" s="235">
        <v>69</v>
      </c>
      <c r="V242" s="235">
        <v>250.46</v>
      </c>
      <c r="W242" s="235">
        <v>0.15</v>
      </c>
      <c r="X242" s="235">
        <v>6461.44</v>
      </c>
      <c r="Y242" s="235">
        <v>0</v>
      </c>
      <c r="Z242" s="235">
        <v>54159</v>
      </c>
      <c r="AA242" s="251">
        <v>79</v>
      </c>
      <c r="AB242" s="235"/>
      <c r="AC242" s="252"/>
      <c r="AD242" s="235"/>
      <c r="AE242" s="251"/>
    </row>
    <row r="243" spans="1:31" ht="6.95" customHeight="1">
      <c r="F243" s="253"/>
      <c r="G243" s="254"/>
      <c r="H243" s="253"/>
      <c r="I243" s="255"/>
      <c r="J243" s="255"/>
      <c r="K243" s="255"/>
      <c r="L243" s="253"/>
      <c r="M243" s="255"/>
      <c r="N243" s="255"/>
      <c r="O243" s="255"/>
      <c r="P243" s="255"/>
      <c r="Q243" s="255"/>
      <c r="R243" s="255"/>
      <c r="S243" s="255"/>
      <c r="T243" s="255"/>
      <c r="U243" s="255"/>
      <c r="V243" s="255"/>
      <c r="W243" s="255"/>
      <c r="X243" s="255"/>
      <c r="Y243" s="255"/>
      <c r="Z243" s="255"/>
      <c r="AA243" s="255"/>
      <c r="AB243" s="355"/>
      <c r="AC243" s="256"/>
      <c r="AD243" s="355"/>
      <c r="AE243" s="255"/>
    </row>
    <row r="244" spans="1:31">
      <c r="A244" s="102">
        <f>A241+1</f>
        <v>45645</v>
      </c>
      <c r="B244" s="102" t="s">
        <v>3503</v>
      </c>
      <c r="C244" s="110" t="str">
        <f>A244 &amp; " " &amp;B244</f>
        <v>45645 0000H</v>
      </c>
      <c r="D244" s="111">
        <v>961.36</v>
      </c>
      <c r="E244" s="116">
        <v>49.67</v>
      </c>
      <c r="F244" s="250">
        <v>1108.67</v>
      </c>
      <c r="G244" s="251">
        <v>6.2</v>
      </c>
      <c r="H244" s="250">
        <v>73856</v>
      </c>
      <c r="I244" s="235">
        <v>896.42</v>
      </c>
      <c r="J244" s="235">
        <v>33027.65</v>
      </c>
      <c r="K244" s="251">
        <v>103.3</v>
      </c>
      <c r="L244" s="250">
        <v>5567.5</v>
      </c>
      <c r="M244" s="235">
        <v>15.78</v>
      </c>
      <c r="N244" s="235">
        <v>32925.4</v>
      </c>
      <c r="O244" s="235">
        <v>28.8</v>
      </c>
      <c r="P244" s="235">
        <v>610.80999999999995</v>
      </c>
      <c r="Q244" s="235">
        <v>666.52</v>
      </c>
      <c r="R244" s="235">
        <v>9946.57</v>
      </c>
      <c r="S244" s="235">
        <v>9.0399999999999991</v>
      </c>
      <c r="T244" s="235">
        <v>35859</v>
      </c>
      <c r="U244" s="235">
        <v>69</v>
      </c>
      <c r="V244" s="235">
        <v>250.46</v>
      </c>
      <c r="W244" s="235">
        <v>0.15</v>
      </c>
      <c r="X244" s="235">
        <v>6468.75</v>
      </c>
      <c r="Y244" s="235">
        <v>0</v>
      </c>
      <c r="Z244" s="235">
        <v>54159</v>
      </c>
      <c r="AA244" s="251">
        <v>79</v>
      </c>
      <c r="AB244" s="235"/>
      <c r="AC244" s="252"/>
      <c r="AD244" s="235"/>
      <c r="AE244" s="251"/>
    </row>
    <row r="245" spans="1:31">
      <c r="A245" s="102">
        <f>A242+1</f>
        <v>45645</v>
      </c>
      <c r="B245" s="102" t="s">
        <v>3504</v>
      </c>
      <c r="C245" s="110" t="str">
        <f>A245 &amp; " " &amp;B245</f>
        <v>45645 1200H</v>
      </c>
      <c r="D245" s="111">
        <v>963.99</v>
      </c>
      <c r="E245" s="116">
        <v>49.67</v>
      </c>
      <c r="F245" s="250">
        <v>1108.67</v>
      </c>
      <c r="G245" s="251">
        <v>6.2</v>
      </c>
      <c r="H245" s="250">
        <v>73866.73</v>
      </c>
      <c r="I245" s="235">
        <v>896.42</v>
      </c>
      <c r="J245" s="235">
        <v>33030.03</v>
      </c>
      <c r="K245" s="251">
        <v>103.34</v>
      </c>
      <c r="L245" s="250">
        <v>5573.39</v>
      </c>
      <c r="M245" s="235">
        <v>15.78</v>
      </c>
      <c r="N245" s="235">
        <v>32931.800000000003</v>
      </c>
      <c r="O245" s="235">
        <v>28.8</v>
      </c>
      <c r="P245" s="235">
        <v>611.27</v>
      </c>
      <c r="Q245" s="235">
        <v>666.84</v>
      </c>
      <c r="R245" s="235">
        <v>9950.24</v>
      </c>
      <c r="S245" s="235">
        <v>9.0399999999999991</v>
      </c>
      <c r="T245" s="235">
        <v>35863</v>
      </c>
      <c r="U245" s="235">
        <v>69</v>
      </c>
      <c r="V245" s="235">
        <v>250.46</v>
      </c>
      <c r="W245" s="235">
        <v>0.15</v>
      </c>
      <c r="X245" s="235">
        <v>6474.89</v>
      </c>
      <c r="Y245" s="235">
        <v>0</v>
      </c>
      <c r="Z245" s="235">
        <v>54159</v>
      </c>
      <c r="AA245" s="251">
        <v>79</v>
      </c>
      <c r="AB245" s="235"/>
      <c r="AC245" s="252"/>
      <c r="AD245" s="235"/>
      <c r="AE245" s="251"/>
    </row>
    <row r="246" spans="1:31" ht="6.95" customHeight="1">
      <c r="F246" s="253"/>
      <c r="G246" s="254"/>
      <c r="H246" s="253"/>
      <c r="I246" s="255"/>
      <c r="J246" s="255"/>
      <c r="K246" s="255"/>
      <c r="L246" s="253"/>
      <c r="M246" s="255"/>
      <c r="N246" s="255"/>
      <c r="O246" s="255"/>
      <c r="P246" s="255"/>
      <c r="Q246" s="255"/>
      <c r="R246" s="255"/>
      <c r="S246" s="255"/>
      <c r="T246" s="255"/>
      <c r="U246" s="255"/>
      <c r="V246" s="255"/>
      <c r="W246" s="255"/>
      <c r="X246" s="255"/>
      <c r="Y246" s="255"/>
      <c r="Z246" s="255"/>
      <c r="AA246" s="255"/>
      <c r="AB246" s="355"/>
      <c r="AC246" s="256"/>
      <c r="AD246" s="355"/>
      <c r="AE246" s="255"/>
    </row>
    <row r="247" spans="1:31">
      <c r="A247" s="102">
        <f>A244+1</f>
        <v>45646</v>
      </c>
      <c r="B247" s="102" t="s">
        <v>3503</v>
      </c>
      <c r="C247" s="110" t="str">
        <f>A247 &amp; " " &amp;B247</f>
        <v>45646 0000H</v>
      </c>
      <c r="D247" s="111">
        <v>970.19</v>
      </c>
      <c r="E247" s="116">
        <v>49.67</v>
      </c>
      <c r="F247" s="250">
        <v>1108.67</v>
      </c>
      <c r="G247" s="251">
        <v>6.2</v>
      </c>
      <c r="H247" s="250">
        <v>73871.66</v>
      </c>
      <c r="I247" s="235">
        <v>896.68</v>
      </c>
      <c r="J247" s="235">
        <v>33033.800000000003</v>
      </c>
      <c r="K247" s="251">
        <v>103.34</v>
      </c>
      <c r="L247" s="250">
        <v>5579.33</v>
      </c>
      <c r="M247" s="235">
        <v>15.78</v>
      </c>
      <c r="N247" s="235">
        <v>32939.199999999997</v>
      </c>
      <c r="O247" s="235">
        <v>28.8</v>
      </c>
      <c r="P247" s="235">
        <v>611.54</v>
      </c>
      <c r="Q247" s="235">
        <v>667.58</v>
      </c>
      <c r="R247" s="235">
        <v>9954.6</v>
      </c>
      <c r="S247" s="235">
        <v>9.0399999999999991</v>
      </c>
      <c r="T247" s="235">
        <v>35870</v>
      </c>
      <c r="U247" s="235">
        <v>69</v>
      </c>
      <c r="V247" s="235">
        <v>250.46</v>
      </c>
      <c r="W247" s="235">
        <v>0.15</v>
      </c>
      <c r="X247" s="235">
        <v>6482.04</v>
      </c>
      <c r="Y247" s="235">
        <v>0</v>
      </c>
      <c r="Z247" s="235">
        <v>54159</v>
      </c>
      <c r="AA247" s="251">
        <v>79</v>
      </c>
      <c r="AB247" s="235"/>
      <c r="AC247" s="252"/>
      <c r="AD247" s="235"/>
      <c r="AE247" s="251"/>
    </row>
    <row r="248" spans="1:31">
      <c r="A248" s="102">
        <f>A245+1</f>
        <v>45646</v>
      </c>
      <c r="B248" s="102" t="s">
        <v>3504</v>
      </c>
      <c r="C248" s="110" t="str">
        <f>A248 &amp; " " &amp;B248</f>
        <v>45646 1200H</v>
      </c>
      <c r="D248" s="111">
        <v>974.82</v>
      </c>
      <c r="E248" s="116">
        <v>49.67</v>
      </c>
      <c r="F248" s="250">
        <v>1108.67</v>
      </c>
      <c r="G248" s="251">
        <v>6.2</v>
      </c>
      <c r="H248" s="250">
        <v>73871.66</v>
      </c>
      <c r="I248" s="235">
        <v>897.05</v>
      </c>
      <c r="J248" s="235">
        <v>33037.58</v>
      </c>
      <c r="K248" s="251">
        <v>103.34</v>
      </c>
      <c r="L248" s="250">
        <v>5585.25</v>
      </c>
      <c r="M248" s="235">
        <v>15.78</v>
      </c>
      <c r="N248" s="235">
        <v>32944.6</v>
      </c>
      <c r="O248" s="235">
        <v>28.8</v>
      </c>
      <c r="P248" s="235">
        <v>611.99</v>
      </c>
      <c r="Q248" s="235">
        <v>668.2</v>
      </c>
      <c r="R248" s="235">
        <v>9958.2999999999993</v>
      </c>
      <c r="S248" s="235">
        <v>9.0399999999999991</v>
      </c>
      <c r="T248" s="235">
        <v>35876</v>
      </c>
      <c r="U248" s="235">
        <v>69</v>
      </c>
      <c r="V248" s="235">
        <v>250.46</v>
      </c>
      <c r="W248" s="235">
        <v>0.15</v>
      </c>
      <c r="X248" s="235">
        <v>6487.28</v>
      </c>
      <c r="Y248" s="235">
        <v>0</v>
      </c>
      <c r="Z248" s="235">
        <v>54159</v>
      </c>
      <c r="AA248" s="251">
        <v>79</v>
      </c>
      <c r="AB248" s="235"/>
      <c r="AC248" s="252"/>
      <c r="AD248" s="235"/>
      <c r="AE248" s="251"/>
    </row>
    <row r="249" spans="1:31" ht="6.95" customHeight="1">
      <c r="F249" s="253"/>
      <c r="G249" s="254"/>
      <c r="H249" s="253"/>
      <c r="I249" s="255"/>
      <c r="J249" s="255"/>
      <c r="K249" s="255"/>
      <c r="L249" s="253"/>
      <c r="M249" s="255"/>
      <c r="N249" s="255"/>
      <c r="O249" s="255"/>
      <c r="P249" s="255"/>
      <c r="Q249" s="255"/>
      <c r="R249" s="255"/>
      <c r="S249" s="255"/>
      <c r="T249" s="255"/>
      <c r="U249" s="255"/>
      <c r="V249" s="255"/>
      <c r="W249" s="255"/>
      <c r="X249" s="255"/>
      <c r="Y249" s="255"/>
      <c r="Z249" s="255"/>
      <c r="AA249" s="255"/>
      <c r="AB249" s="355"/>
      <c r="AC249" s="256"/>
      <c r="AD249" s="355"/>
      <c r="AE249" s="255"/>
    </row>
    <row r="250" spans="1:31">
      <c r="A250" s="102">
        <f>A247+1</f>
        <v>45647</v>
      </c>
      <c r="B250" s="102" t="s">
        <v>3503</v>
      </c>
      <c r="C250" s="110" t="str">
        <f>A250 &amp; " " &amp;B250</f>
        <v>45647 0000H</v>
      </c>
      <c r="D250" s="111">
        <v>980.11</v>
      </c>
      <c r="E250" s="116">
        <v>49.67</v>
      </c>
      <c r="F250" s="250">
        <v>1108.67</v>
      </c>
      <c r="G250" s="251">
        <v>6.2</v>
      </c>
      <c r="H250" s="250">
        <v>73871.66</v>
      </c>
      <c r="I250" s="235">
        <v>897.36</v>
      </c>
      <c r="J250" s="235">
        <v>33041.26</v>
      </c>
      <c r="K250" s="251">
        <v>103.34</v>
      </c>
      <c r="L250" s="250">
        <v>5591.2</v>
      </c>
      <c r="M250" s="235">
        <v>15.78</v>
      </c>
      <c r="N250" s="235">
        <v>32952.400000000001</v>
      </c>
      <c r="O250" s="235">
        <v>28.8</v>
      </c>
      <c r="P250" s="235">
        <v>612.86</v>
      </c>
      <c r="Q250" s="235">
        <v>668.66</v>
      </c>
      <c r="R250" s="235">
        <v>9962.8799999999992</v>
      </c>
      <c r="S250" s="235">
        <v>9.0399999999999991</v>
      </c>
      <c r="T250" s="235">
        <v>35884</v>
      </c>
      <c r="U250" s="235">
        <v>69</v>
      </c>
      <c r="V250" s="235">
        <v>250.46</v>
      </c>
      <c r="W250" s="235">
        <v>0.15</v>
      </c>
      <c r="X250" s="235">
        <v>6493.55</v>
      </c>
      <c r="Y250" s="235">
        <v>0</v>
      </c>
      <c r="Z250" s="235">
        <v>54159</v>
      </c>
      <c r="AA250" s="251">
        <v>79</v>
      </c>
      <c r="AB250" s="235"/>
      <c r="AC250" s="252"/>
      <c r="AD250" s="235"/>
      <c r="AE250" s="251"/>
    </row>
    <row r="251" spans="1:31">
      <c r="A251" s="102">
        <f>A248+1</f>
        <v>45647</v>
      </c>
      <c r="B251" s="102" t="s">
        <v>3504</v>
      </c>
      <c r="C251" s="110" t="str">
        <f>A251 &amp; " " &amp;B251</f>
        <v>45647 1200H</v>
      </c>
      <c r="D251" s="111">
        <v>983.76</v>
      </c>
      <c r="E251" s="116">
        <v>49.67</v>
      </c>
      <c r="F251" s="250">
        <v>1108.67</v>
      </c>
      <c r="G251" s="251">
        <v>6.2</v>
      </c>
      <c r="H251" s="250">
        <v>73871.66</v>
      </c>
      <c r="I251" s="235">
        <v>897.64</v>
      </c>
      <c r="J251" s="235">
        <v>33042.75</v>
      </c>
      <c r="K251" s="251">
        <v>103.39</v>
      </c>
      <c r="L251" s="250">
        <v>5596.61</v>
      </c>
      <c r="M251" s="235">
        <v>15.78</v>
      </c>
      <c r="N251" s="235">
        <v>32959.599999999999</v>
      </c>
      <c r="O251" s="235">
        <v>28.8</v>
      </c>
      <c r="P251" s="235">
        <v>612.9</v>
      </c>
      <c r="Q251" s="235">
        <v>669.96</v>
      </c>
      <c r="R251" s="235">
        <v>9966.81</v>
      </c>
      <c r="S251" s="235">
        <v>9.0399999999999991</v>
      </c>
      <c r="T251" s="235">
        <v>35890</v>
      </c>
      <c r="U251" s="235">
        <v>69</v>
      </c>
      <c r="V251" s="235">
        <v>256.12</v>
      </c>
      <c r="W251" s="235">
        <v>0.15</v>
      </c>
      <c r="X251" s="235">
        <v>6499.63</v>
      </c>
      <c r="Y251" s="235">
        <v>0</v>
      </c>
      <c r="Z251" s="235">
        <v>54159</v>
      </c>
      <c r="AA251" s="251">
        <v>79</v>
      </c>
      <c r="AB251" s="235"/>
      <c r="AC251" s="252"/>
      <c r="AD251" s="235"/>
      <c r="AE251" s="251"/>
    </row>
    <row r="252" spans="1:31" ht="6.95" customHeight="1">
      <c r="F252" s="253"/>
      <c r="G252" s="254"/>
      <c r="H252" s="253"/>
      <c r="I252" s="255"/>
      <c r="J252" s="255"/>
      <c r="K252" s="255"/>
      <c r="L252" s="253"/>
      <c r="M252" s="255"/>
      <c r="N252" s="255"/>
      <c r="O252" s="255"/>
      <c r="P252" s="255"/>
      <c r="Q252" s="255"/>
      <c r="R252" s="255"/>
      <c r="S252" s="255"/>
      <c r="T252" s="255"/>
      <c r="U252" s="255"/>
      <c r="V252" s="255"/>
      <c r="W252" s="255"/>
      <c r="X252" s="255"/>
      <c r="Y252" s="255"/>
      <c r="Z252" s="255"/>
      <c r="AA252" s="255"/>
      <c r="AB252" s="355"/>
      <c r="AC252" s="256"/>
      <c r="AD252" s="355"/>
      <c r="AE252" s="255"/>
    </row>
    <row r="253" spans="1:31">
      <c r="A253" s="102">
        <f>A250+1</f>
        <v>45648</v>
      </c>
      <c r="B253" s="102" t="s">
        <v>3503</v>
      </c>
      <c r="C253" s="110" t="str">
        <f>A253 &amp; " " &amp;B253</f>
        <v>45648 0000H</v>
      </c>
      <c r="D253" s="111">
        <v>988.88</v>
      </c>
      <c r="E253" s="116">
        <v>49.67</v>
      </c>
      <c r="F253" s="250">
        <v>1108.67</v>
      </c>
      <c r="G253" s="251">
        <v>6.2</v>
      </c>
      <c r="H253" s="250">
        <v>73871.66</v>
      </c>
      <c r="I253" s="235">
        <v>897.98</v>
      </c>
      <c r="J253" s="235">
        <v>33046.44</v>
      </c>
      <c r="K253" s="251">
        <v>103.39</v>
      </c>
      <c r="L253" s="250">
        <v>5602.27</v>
      </c>
      <c r="M253" s="235">
        <v>15.78</v>
      </c>
      <c r="N253" s="235">
        <v>32963.4</v>
      </c>
      <c r="O253" s="235">
        <v>28.8</v>
      </c>
      <c r="P253" s="235">
        <v>613.08000000000004</v>
      </c>
      <c r="Q253" s="235">
        <v>670.77</v>
      </c>
      <c r="R253" s="235">
        <v>9971</v>
      </c>
      <c r="S253" s="235">
        <v>9.0399999999999991</v>
      </c>
      <c r="T253" s="235">
        <v>35896</v>
      </c>
      <c r="U253" s="235">
        <v>69</v>
      </c>
      <c r="V253" s="235">
        <v>256.12</v>
      </c>
      <c r="W253" s="235">
        <v>0.15</v>
      </c>
      <c r="X253" s="235">
        <v>6506.14</v>
      </c>
      <c r="Y253" s="235">
        <v>0</v>
      </c>
      <c r="Z253" s="235">
        <v>54159</v>
      </c>
      <c r="AA253" s="251">
        <v>79</v>
      </c>
      <c r="AB253" s="235"/>
      <c r="AC253" s="252"/>
      <c r="AD253" s="235"/>
      <c r="AE253" s="251"/>
    </row>
    <row r="254" spans="1:31">
      <c r="A254" s="102">
        <f>A251+1</f>
        <v>45648</v>
      </c>
      <c r="B254" s="102" t="s">
        <v>3504</v>
      </c>
      <c r="C254" s="110" t="str">
        <f>A254 &amp; " " &amp;B254</f>
        <v>45648 1200H</v>
      </c>
      <c r="D254" s="111">
        <v>993.81</v>
      </c>
      <c r="E254" s="116">
        <v>49.67</v>
      </c>
      <c r="F254" s="250">
        <v>1108.67</v>
      </c>
      <c r="G254" s="251">
        <v>6.2</v>
      </c>
      <c r="H254" s="250">
        <v>73871.66</v>
      </c>
      <c r="I254" s="235">
        <v>898.29</v>
      </c>
      <c r="J254" s="235">
        <v>33046.53</v>
      </c>
      <c r="K254" s="251">
        <v>103.43</v>
      </c>
      <c r="L254" s="250">
        <v>5605.11</v>
      </c>
      <c r="M254" s="235">
        <v>15.78</v>
      </c>
      <c r="N254" s="235">
        <v>32967.5</v>
      </c>
      <c r="O254" s="235">
        <v>28.8</v>
      </c>
      <c r="P254" s="235">
        <v>615</v>
      </c>
      <c r="Q254" s="235">
        <v>670.77</v>
      </c>
      <c r="R254" s="235">
        <v>9973.01</v>
      </c>
      <c r="S254" s="235">
        <v>9.0399999999999991</v>
      </c>
      <c r="T254" s="235">
        <v>35901</v>
      </c>
      <c r="U254" s="235">
        <v>69</v>
      </c>
      <c r="V254" s="235">
        <v>256.12</v>
      </c>
      <c r="W254" s="235">
        <v>0.15</v>
      </c>
      <c r="X254" s="235">
        <v>6511.33</v>
      </c>
      <c r="Y254" s="235">
        <v>0</v>
      </c>
      <c r="Z254" s="235">
        <v>54159</v>
      </c>
      <c r="AA254" s="251">
        <v>79</v>
      </c>
      <c r="AB254" s="235"/>
      <c r="AC254" s="252"/>
      <c r="AD254" s="235"/>
      <c r="AE254" s="251"/>
    </row>
    <row r="255" spans="1:31" ht="6.95" customHeight="1">
      <c r="F255" s="253"/>
      <c r="G255" s="254"/>
      <c r="H255" s="253"/>
      <c r="I255" s="255"/>
      <c r="J255" s="255"/>
      <c r="K255" s="255"/>
      <c r="L255" s="253"/>
      <c r="M255" s="255"/>
      <c r="N255" s="255"/>
      <c r="O255" s="255"/>
      <c r="P255" s="255"/>
      <c r="Q255" s="255"/>
      <c r="R255" s="255"/>
      <c r="S255" s="255"/>
      <c r="T255" s="255"/>
      <c r="U255" s="255"/>
      <c r="V255" s="255"/>
      <c r="W255" s="255"/>
      <c r="X255" s="255"/>
      <c r="Y255" s="255"/>
      <c r="Z255" s="255"/>
      <c r="AA255" s="255"/>
      <c r="AB255" s="355"/>
      <c r="AC255" s="256"/>
      <c r="AD255" s="355"/>
      <c r="AE255" s="255"/>
    </row>
    <row r="256" spans="1:31">
      <c r="A256" s="102">
        <f>A253+1</f>
        <v>45649</v>
      </c>
      <c r="B256" s="102" t="s">
        <v>3503</v>
      </c>
      <c r="C256" s="110" t="str">
        <f>A256 &amp; " " &amp;B256</f>
        <v>45649 0000H</v>
      </c>
      <c r="D256" s="111">
        <v>997.39</v>
      </c>
      <c r="E256" s="116">
        <v>49.67</v>
      </c>
      <c r="F256" s="250">
        <v>1108.67</v>
      </c>
      <c r="G256" s="251">
        <v>6.2</v>
      </c>
      <c r="H256" s="250">
        <v>73871.66</v>
      </c>
      <c r="I256" s="235">
        <v>898.6</v>
      </c>
      <c r="J256" s="235">
        <v>33050</v>
      </c>
      <c r="K256" s="251">
        <v>103.39</v>
      </c>
      <c r="L256" s="250">
        <v>5610.37</v>
      </c>
      <c r="M256" s="235">
        <v>15.78</v>
      </c>
      <c r="N256" s="235">
        <v>32974.699999999997</v>
      </c>
      <c r="O256" s="235">
        <v>28.8</v>
      </c>
      <c r="P256" s="235">
        <v>615.16</v>
      </c>
      <c r="Q256" s="235">
        <v>672</v>
      </c>
      <c r="R256" s="235">
        <v>9977.1</v>
      </c>
      <c r="S256" s="235">
        <v>9.0399999999999991</v>
      </c>
      <c r="T256" s="235">
        <v>35907</v>
      </c>
      <c r="U256" s="235">
        <v>69</v>
      </c>
      <c r="V256" s="235">
        <v>256.12</v>
      </c>
      <c r="W256" s="235">
        <v>0.15</v>
      </c>
      <c r="X256" s="235">
        <v>6516.81</v>
      </c>
      <c r="Y256" s="235">
        <v>0</v>
      </c>
      <c r="Z256" s="235">
        <v>54159</v>
      </c>
      <c r="AA256" s="251">
        <v>79</v>
      </c>
      <c r="AB256" s="235"/>
      <c r="AC256" s="252"/>
      <c r="AD256" s="235"/>
      <c r="AE256" s="251"/>
    </row>
    <row r="257" spans="1:31">
      <c r="A257" s="102">
        <f>A254+1</f>
        <v>45649</v>
      </c>
      <c r="B257" s="102" t="s">
        <v>3504</v>
      </c>
      <c r="C257" s="110" t="str">
        <f>A257 &amp; " " &amp;B257</f>
        <v>45649 1200H</v>
      </c>
      <c r="D257" s="111">
        <v>1001.56</v>
      </c>
      <c r="E257" s="116">
        <v>49.67</v>
      </c>
      <c r="F257" s="250">
        <v>1108.67</v>
      </c>
      <c r="G257" s="251">
        <v>6.2</v>
      </c>
      <c r="H257" s="250">
        <v>73871.66</v>
      </c>
      <c r="I257" s="235">
        <v>898.91</v>
      </c>
      <c r="J257" s="235">
        <v>33053.42</v>
      </c>
      <c r="K257" s="251">
        <v>103.43</v>
      </c>
      <c r="L257" s="250">
        <v>5615.87</v>
      </c>
      <c r="M257" s="235">
        <v>15.78</v>
      </c>
      <c r="N257" s="235">
        <v>32979.1</v>
      </c>
      <c r="O257" s="235">
        <v>28.8</v>
      </c>
      <c r="P257" s="235">
        <v>615.35</v>
      </c>
      <c r="Q257" s="235">
        <v>673.02</v>
      </c>
      <c r="R257" s="235">
        <v>9980.68</v>
      </c>
      <c r="S257" s="235">
        <v>9.0399999999999991</v>
      </c>
      <c r="T257" s="235">
        <v>35913</v>
      </c>
      <c r="U257" s="235">
        <v>69</v>
      </c>
      <c r="V257" s="235">
        <v>256.12</v>
      </c>
      <c r="W257" s="235">
        <v>0.15</v>
      </c>
      <c r="X257" s="235">
        <v>6522.5</v>
      </c>
      <c r="Y257" s="235">
        <v>0</v>
      </c>
      <c r="Z257" s="235">
        <v>54159</v>
      </c>
      <c r="AA257" s="251">
        <v>79</v>
      </c>
      <c r="AB257" s="235"/>
      <c r="AC257" s="252"/>
      <c r="AD257" s="235"/>
      <c r="AE257" s="251"/>
    </row>
    <row r="258" spans="1:31" ht="6.95" customHeight="1">
      <c r="F258" s="253"/>
      <c r="G258" s="254"/>
      <c r="H258" s="253"/>
      <c r="I258" s="255"/>
      <c r="J258" s="255"/>
      <c r="K258" s="255"/>
      <c r="L258" s="253"/>
      <c r="M258" s="255"/>
      <c r="N258" s="255"/>
      <c r="O258" s="255"/>
      <c r="P258" s="255"/>
      <c r="Q258" s="255"/>
      <c r="R258" s="255"/>
      <c r="S258" s="255"/>
      <c r="T258" s="255"/>
      <c r="U258" s="255"/>
      <c r="V258" s="255"/>
      <c r="W258" s="255"/>
      <c r="X258" s="255"/>
      <c r="Y258" s="255"/>
      <c r="Z258" s="255"/>
      <c r="AA258" s="255"/>
      <c r="AB258" s="355"/>
      <c r="AC258" s="256"/>
      <c r="AD258" s="355"/>
      <c r="AE258" s="255"/>
    </row>
    <row r="259" spans="1:31">
      <c r="A259" s="102">
        <f>A256+1</f>
        <v>45650</v>
      </c>
      <c r="B259" s="102" t="s">
        <v>3503</v>
      </c>
      <c r="C259" s="110" t="str">
        <f>A259 &amp; " " &amp;B259</f>
        <v>45650 0000H</v>
      </c>
      <c r="D259" s="111">
        <v>1005.52</v>
      </c>
      <c r="E259" s="116">
        <v>49.67</v>
      </c>
      <c r="F259" s="250">
        <v>1108.67</v>
      </c>
      <c r="G259" s="251">
        <v>6.2</v>
      </c>
      <c r="H259" s="250">
        <v>73871.66</v>
      </c>
      <c r="I259" s="235">
        <v>899.25</v>
      </c>
      <c r="J259" s="235">
        <v>33057.199999999997</v>
      </c>
      <c r="K259" s="251">
        <v>103.43</v>
      </c>
      <c r="L259" s="250">
        <v>5621.66</v>
      </c>
      <c r="M259" s="235">
        <v>15.78</v>
      </c>
      <c r="N259" s="235">
        <v>32986.400000000001</v>
      </c>
      <c r="O259" s="235">
        <v>28.8</v>
      </c>
      <c r="P259" s="235">
        <v>615.61</v>
      </c>
      <c r="Q259" s="235">
        <v>673.6</v>
      </c>
      <c r="R259" s="235">
        <v>9984.9699999999993</v>
      </c>
      <c r="S259" s="235">
        <v>9.0399999999999991</v>
      </c>
      <c r="T259" s="235">
        <v>35920</v>
      </c>
      <c r="U259" s="235">
        <v>69</v>
      </c>
      <c r="V259" s="235">
        <v>256.12</v>
      </c>
      <c r="W259" s="235">
        <v>0.15</v>
      </c>
      <c r="X259" s="235">
        <v>6529.67</v>
      </c>
      <c r="Y259" s="235">
        <v>0</v>
      </c>
      <c r="Z259" s="235">
        <v>54159</v>
      </c>
      <c r="AA259" s="251">
        <v>79</v>
      </c>
      <c r="AB259" s="235"/>
      <c r="AC259" s="252"/>
      <c r="AD259" s="235"/>
      <c r="AE259" s="251"/>
    </row>
    <row r="260" spans="1:31">
      <c r="A260" s="102">
        <f>A257+1</f>
        <v>45650</v>
      </c>
      <c r="B260" s="102" t="s">
        <v>3504</v>
      </c>
      <c r="C260" s="110" t="str">
        <f>A260 &amp; " " &amp;B260</f>
        <v>45650 1200H</v>
      </c>
      <c r="D260" s="111">
        <v>1008.8</v>
      </c>
      <c r="E260" s="116">
        <v>49.67</v>
      </c>
      <c r="F260" s="250">
        <v>1108.67</v>
      </c>
      <c r="G260" s="251">
        <v>6.2</v>
      </c>
      <c r="H260" s="250">
        <v>73872.92</v>
      </c>
      <c r="I260" s="235">
        <v>899.6</v>
      </c>
      <c r="J260" s="235">
        <v>33060.480000000003</v>
      </c>
      <c r="K260" s="251">
        <v>103.43</v>
      </c>
      <c r="L260" s="250">
        <v>5627.01</v>
      </c>
      <c r="M260" s="235">
        <v>15.78</v>
      </c>
      <c r="N260" s="235">
        <v>32990.300000000003</v>
      </c>
      <c r="O260" s="235">
        <v>28.8</v>
      </c>
      <c r="P260" s="235">
        <v>615.71</v>
      </c>
      <c r="Q260" s="235">
        <v>674.92</v>
      </c>
      <c r="R260" s="235">
        <v>9988.69</v>
      </c>
      <c r="S260" s="235">
        <v>9.0399999999999991</v>
      </c>
      <c r="T260" s="235">
        <v>35926</v>
      </c>
      <c r="U260" s="235">
        <v>69</v>
      </c>
      <c r="V260" s="235">
        <v>256.12</v>
      </c>
      <c r="W260" s="235">
        <v>0.15</v>
      </c>
      <c r="X260" s="235">
        <v>6535.59</v>
      </c>
      <c r="Y260" s="235">
        <v>0</v>
      </c>
      <c r="Z260" s="235">
        <v>54159</v>
      </c>
      <c r="AA260" s="251">
        <v>79</v>
      </c>
      <c r="AB260" s="235"/>
      <c r="AC260" s="252"/>
      <c r="AD260" s="235"/>
      <c r="AE260" s="251"/>
    </row>
    <row r="261" spans="1:31" ht="6.95" customHeight="1">
      <c r="F261" s="253"/>
      <c r="G261" s="254"/>
      <c r="H261" s="253"/>
      <c r="I261" s="255"/>
      <c r="J261" s="255"/>
      <c r="K261" s="255"/>
      <c r="L261" s="253"/>
      <c r="M261" s="255"/>
      <c r="N261" s="255"/>
      <c r="O261" s="255"/>
      <c r="P261" s="255"/>
      <c r="Q261" s="255"/>
      <c r="R261" s="255"/>
      <c r="S261" s="255"/>
      <c r="T261" s="255"/>
      <c r="U261" s="255"/>
      <c r="V261" s="255"/>
      <c r="W261" s="255"/>
      <c r="X261" s="255"/>
      <c r="Y261" s="255"/>
      <c r="Z261" s="255"/>
      <c r="AA261" s="255"/>
      <c r="AB261" s="355"/>
      <c r="AC261" s="256"/>
      <c r="AD261" s="355"/>
      <c r="AE261" s="255"/>
    </row>
    <row r="262" spans="1:31">
      <c r="A262" s="102">
        <f>A259+1</f>
        <v>45651</v>
      </c>
      <c r="B262" s="102" t="s">
        <v>3503</v>
      </c>
      <c r="C262" s="110" t="str">
        <f>A262 &amp; " " &amp;B262</f>
        <v>45651 0000H</v>
      </c>
      <c r="D262" s="111">
        <v>1013.08</v>
      </c>
      <c r="E262" s="116">
        <v>49.67</v>
      </c>
      <c r="F262" s="250">
        <v>1108.67</v>
      </c>
      <c r="G262" s="251">
        <v>6.2</v>
      </c>
      <c r="H262" s="250">
        <v>73883.14</v>
      </c>
      <c r="I262" s="235">
        <v>899.6</v>
      </c>
      <c r="J262" s="235">
        <v>33064.239999999998</v>
      </c>
      <c r="K262" s="251">
        <v>103.43</v>
      </c>
      <c r="L262" s="250">
        <v>5632.72</v>
      </c>
      <c r="M262" s="235">
        <v>15.78</v>
      </c>
      <c r="N262" s="235">
        <v>32997.599999999999</v>
      </c>
      <c r="O262" s="235">
        <v>28.8</v>
      </c>
      <c r="P262" s="235">
        <v>615.75</v>
      </c>
      <c r="Q262" s="235">
        <v>676.42</v>
      </c>
      <c r="R262" s="235">
        <v>9993.4</v>
      </c>
      <c r="S262" s="235">
        <v>9.0399999999999991</v>
      </c>
      <c r="T262" s="235">
        <v>35933</v>
      </c>
      <c r="U262" s="235">
        <v>69</v>
      </c>
      <c r="V262" s="235">
        <v>256.12</v>
      </c>
      <c r="W262" s="235">
        <v>0.15</v>
      </c>
      <c r="X262" s="235">
        <v>6542.92</v>
      </c>
      <c r="Y262" s="235">
        <v>0</v>
      </c>
      <c r="Z262" s="235">
        <v>54159</v>
      </c>
      <c r="AA262" s="251">
        <v>79</v>
      </c>
      <c r="AB262" s="235"/>
      <c r="AC262" s="252"/>
      <c r="AD262" s="235"/>
      <c r="AE262" s="251"/>
    </row>
    <row r="263" spans="1:31">
      <c r="A263" s="102">
        <f>A260+1</f>
        <v>45651</v>
      </c>
      <c r="B263" s="102" t="s">
        <v>3504</v>
      </c>
      <c r="C263" s="110" t="str">
        <f>A263 &amp; " " &amp;B263</f>
        <v>45651 1200H</v>
      </c>
      <c r="D263" s="111">
        <v>1016.42</v>
      </c>
      <c r="E263" s="116">
        <v>49.63</v>
      </c>
      <c r="F263" s="250">
        <v>1108.67</v>
      </c>
      <c r="G263" s="251">
        <v>6.2</v>
      </c>
      <c r="H263" s="250">
        <v>73885.84</v>
      </c>
      <c r="I263" s="235">
        <v>899.96</v>
      </c>
      <c r="J263" s="235">
        <v>33067.83</v>
      </c>
      <c r="K263" s="251">
        <v>103.43</v>
      </c>
      <c r="L263" s="250">
        <v>5638.25</v>
      </c>
      <c r="M263" s="235">
        <v>15.78</v>
      </c>
      <c r="N263" s="235">
        <v>33001.4</v>
      </c>
      <c r="O263" s="235">
        <v>28.8</v>
      </c>
      <c r="P263" s="235">
        <v>615.78</v>
      </c>
      <c r="Q263" s="235">
        <v>677.7</v>
      </c>
      <c r="R263" s="235">
        <v>9997.1</v>
      </c>
      <c r="S263" s="235">
        <v>9.0399999999999991</v>
      </c>
      <c r="T263" s="235">
        <v>35939</v>
      </c>
      <c r="U263" s="235">
        <v>69</v>
      </c>
      <c r="V263" s="235">
        <v>256.12</v>
      </c>
      <c r="W263" s="235">
        <v>0.15</v>
      </c>
      <c r="X263" s="235">
        <v>6548.4</v>
      </c>
      <c r="Y263" s="235">
        <v>0</v>
      </c>
      <c r="Z263" s="235">
        <v>54159</v>
      </c>
      <c r="AA263" s="251">
        <v>79</v>
      </c>
      <c r="AB263" s="235"/>
      <c r="AC263" s="252"/>
      <c r="AD263" s="235"/>
      <c r="AE263" s="251"/>
    </row>
    <row r="264" spans="1:31" ht="6.95" customHeight="1">
      <c r="F264" s="253"/>
      <c r="G264" s="254"/>
      <c r="H264" s="253"/>
      <c r="I264" s="255"/>
      <c r="J264" s="255"/>
      <c r="K264" s="255"/>
      <c r="L264" s="253"/>
      <c r="M264" s="255"/>
      <c r="N264" s="255"/>
      <c r="O264" s="255"/>
      <c r="P264" s="255"/>
      <c r="Q264" s="255"/>
      <c r="R264" s="255"/>
      <c r="S264" s="255"/>
      <c r="T264" s="255"/>
      <c r="U264" s="255"/>
      <c r="V264" s="255"/>
      <c r="W264" s="255"/>
      <c r="X264" s="255"/>
      <c r="Y264" s="255"/>
      <c r="Z264" s="255"/>
      <c r="AA264" s="255"/>
      <c r="AB264" s="355"/>
      <c r="AC264" s="256"/>
      <c r="AD264" s="355"/>
      <c r="AE264" s="255"/>
    </row>
    <row r="265" spans="1:31">
      <c r="A265" s="102">
        <f>A262+1</f>
        <v>45652</v>
      </c>
      <c r="B265" s="102" t="s">
        <v>3503</v>
      </c>
      <c r="C265" s="110" t="str">
        <f>A265 &amp; " " &amp;B265</f>
        <v>45652 0000H</v>
      </c>
      <c r="D265" s="111">
        <v>1019.57</v>
      </c>
      <c r="E265" s="116">
        <v>49.63</v>
      </c>
      <c r="F265" s="250">
        <v>1108.67</v>
      </c>
      <c r="G265" s="251">
        <v>6.2</v>
      </c>
      <c r="H265" s="250">
        <v>73895.92</v>
      </c>
      <c r="I265" s="235">
        <v>899.96</v>
      </c>
      <c r="J265" s="235">
        <v>33071.17</v>
      </c>
      <c r="K265" s="251">
        <v>103.44</v>
      </c>
      <c r="L265" s="250">
        <v>5643.98</v>
      </c>
      <c r="M265" s="235">
        <v>15.78</v>
      </c>
      <c r="N265" s="235">
        <v>33008.699999999997</v>
      </c>
      <c r="O265" s="235">
        <v>28.8</v>
      </c>
      <c r="P265" s="235">
        <v>615.91999999999996</v>
      </c>
      <c r="Q265" s="235">
        <v>678.6</v>
      </c>
      <c r="R265" s="235">
        <v>10001.17</v>
      </c>
      <c r="S265" s="235">
        <v>9.0399999999999991</v>
      </c>
      <c r="T265" s="235">
        <v>35946</v>
      </c>
      <c r="U265" s="235">
        <v>69</v>
      </c>
      <c r="V265" s="235">
        <v>256.12</v>
      </c>
      <c r="W265" s="235">
        <v>0.15</v>
      </c>
      <c r="X265" s="235">
        <v>6555.54</v>
      </c>
      <c r="Y265" s="235">
        <v>0</v>
      </c>
      <c r="Z265" s="235">
        <v>54159</v>
      </c>
      <c r="AA265" s="251">
        <v>79</v>
      </c>
      <c r="AB265" s="235"/>
      <c r="AC265" s="252"/>
      <c r="AD265" s="235"/>
      <c r="AE265" s="251"/>
    </row>
    <row r="266" spans="1:31">
      <c r="A266" s="102">
        <f>A263+1</f>
        <v>45652</v>
      </c>
      <c r="B266" s="102" t="s">
        <v>3504</v>
      </c>
      <c r="C266" s="110" t="str">
        <f>A266 &amp; " " &amp;B266</f>
        <v>45652 1200H</v>
      </c>
      <c r="D266" s="111">
        <v>1023.26</v>
      </c>
      <c r="E266" s="116">
        <v>49.67</v>
      </c>
      <c r="F266" s="250">
        <v>1108.67</v>
      </c>
      <c r="G266" s="251">
        <v>6.2</v>
      </c>
      <c r="H266" s="250">
        <v>73903.710000000006</v>
      </c>
      <c r="I266" s="235">
        <v>900.06</v>
      </c>
      <c r="J266" s="235">
        <v>33072.1</v>
      </c>
      <c r="K266" s="251">
        <v>103.51</v>
      </c>
      <c r="L266" s="250">
        <v>5649.67</v>
      </c>
      <c r="M266" s="235">
        <v>15.78</v>
      </c>
      <c r="N266" s="235">
        <v>33012.1</v>
      </c>
      <c r="O266" s="235">
        <v>28.8</v>
      </c>
      <c r="P266" s="235">
        <v>616.17999999999995</v>
      </c>
      <c r="Q266" s="235">
        <v>679.46</v>
      </c>
      <c r="R266" s="235">
        <v>10004.879999999999</v>
      </c>
      <c r="S266" s="235">
        <v>9.0399999999999991</v>
      </c>
      <c r="T266" s="235">
        <v>35952</v>
      </c>
      <c r="U266" s="235">
        <v>69</v>
      </c>
      <c r="V266" s="235">
        <v>256.12</v>
      </c>
      <c r="W266" s="235">
        <v>0.15</v>
      </c>
      <c r="X266" s="235">
        <v>6561.38</v>
      </c>
      <c r="Y266" s="235">
        <v>0</v>
      </c>
      <c r="Z266" s="235">
        <v>54159</v>
      </c>
      <c r="AA266" s="251">
        <v>79</v>
      </c>
      <c r="AB266" s="235"/>
      <c r="AC266" s="252"/>
      <c r="AD266" s="235"/>
      <c r="AE266" s="251"/>
    </row>
    <row r="267" spans="1:31" ht="6.95" customHeight="1">
      <c r="F267" s="253"/>
      <c r="G267" s="254"/>
      <c r="H267" s="253"/>
      <c r="I267" s="255"/>
      <c r="J267" s="255"/>
      <c r="K267" s="255"/>
      <c r="L267" s="253"/>
      <c r="M267" s="255"/>
      <c r="N267" s="255"/>
      <c r="O267" s="255"/>
      <c r="P267" s="255"/>
      <c r="Q267" s="255"/>
      <c r="R267" s="255"/>
      <c r="S267" s="255"/>
      <c r="T267" s="255"/>
      <c r="U267" s="255"/>
      <c r="V267" s="255"/>
      <c r="W267" s="255"/>
      <c r="X267" s="255"/>
      <c r="Y267" s="255"/>
      <c r="Z267" s="255"/>
      <c r="AA267" s="255"/>
      <c r="AB267" s="355"/>
      <c r="AC267" s="256"/>
      <c r="AD267" s="355"/>
      <c r="AE267" s="255"/>
    </row>
    <row r="268" spans="1:31">
      <c r="A268" s="102">
        <f>A265+1</f>
        <v>45653</v>
      </c>
      <c r="B268" s="102" t="s">
        <v>3503</v>
      </c>
      <c r="C268" s="110" t="str">
        <f>A268 &amp; " " &amp;B268</f>
        <v>45653 0000H</v>
      </c>
      <c r="D268" s="111">
        <v>1027.92</v>
      </c>
      <c r="E268" s="116">
        <v>49.67</v>
      </c>
      <c r="F268" s="250">
        <v>1108.67</v>
      </c>
      <c r="G268" s="251">
        <v>6.2</v>
      </c>
      <c r="H268" s="250">
        <v>73989.56</v>
      </c>
      <c r="I268" s="235">
        <v>900.24</v>
      </c>
      <c r="J268" s="235">
        <v>33074.92</v>
      </c>
      <c r="K268" s="251">
        <v>103.53</v>
      </c>
      <c r="L268" s="250">
        <v>5655.43</v>
      </c>
      <c r="M268" s="235">
        <v>15.78</v>
      </c>
      <c r="N268" s="235">
        <v>33019.599999999999</v>
      </c>
      <c r="O268" s="235">
        <v>28.8</v>
      </c>
      <c r="P268" s="235">
        <v>616.62</v>
      </c>
      <c r="Q268" s="235">
        <v>680.47</v>
      </c>
      <c r="R268" s="235">
        <v>10009.16</v>
      </c>
      <c r="S268" s="235">
        <v>9.02</v>
      </c>
      <c r="T268" s="235">
        <v>35960</v>
      </c>
      <c r="U268" s="235">
        <v>69</v>
      </c>
      <c r="V268" s="235">
        <v>256.12</v>
      </c>
      <c r="W268" s="235">
        <v>0.15</v>
      </c>
      <c r="X268" s="235">
        <v>6568.06</v>
      </c>
      <c r="Y268" s="235">
        <v>0</v>
      </c>
      <c r="Z268" s="235">
        <v>54159</v>
      </c>
      <c r="AA268" s="251">
        <v>79</v>
      </c>
      <c r="AB268" s="235"/>
      <c r="AC268" s="252"/>
      <c r="AD268" s="235"/>
      <c r="AE268" s="251"/>
    </row>
    <row r="269" spans="1:31">
      <c r="A269" s="102">
        <f>A266+1</f>
        <v>45653</v>
      </c>
      <c r="B269" s="102" t="s">
        <v>3504</v>
      </c>
      <c r="C269" s="110" t="str">
        <f>A269 &amp; " " &amp;B269</f>
        <v>45653 1200H</v>
      </c>
      <c r="D269" s="111"/>
      <c r="E269" s="116"/>
      <c r="F269" s="250">
        <v>1108.67</v>
      </c>
      <c r="G269" s="251">
        <v>6.2</v>
      </c>
      <c r="H269" s="250">
        <v>73916.89</v>
      </c>
      <c r="I269" s="235">
        <v>900.34</v>
      </c>
      <c r="J269" s="235">
        <v>33075.519999999997</v>
      </c>
      <c r="K269" s="251">
        <v>103.58</v>
      </c>
      <c r="L269" s="250">
        <v>5659.33</v>
      </c>
      <c r="M269" s="235">
        <v>15.78</v>
      </c>
      <c r="N269" s="235">
        <v>33024.6</v>
      </c>
      <c r="O269" s="235">
        <v>28.8</v>
      </c>
      <c r="P269" s="235">
        <v>616.70000000000005</v>
      </c>
      <c r="Q269" s="235">
        <v>861.09</v>
      </c>
      <c r="R269" s="235">
        <v>10012.31</v>
      </c>
      <c r="S269" s="235">
        <v>9.0399999999999991</v>
      </c>
      <c r="T269" s="235">
        <v>35966</v>
      </c>
      <c r="U269" s="235">
        <v>69</v>
      </c>
      <c r="V269" s="235">
        <v>256.12</v>
      </c>
      <c r="W269" s="235">
        <v>0.15</v>
      </c>
      <c r="X269" s="235">
        <v>6573.89</v>
      </c>
      <c r="Y269" s="235">
        <v>0</v>
      </c>
      <c r="Z269" s="235">
        <v>54159</v>
      </c>
      <c r="AA269" s="251">
        <v>79</v>
      </c>
      <c r="AB269" s="235"/>
      <c r="AC269" s="252"/>
      <c r="AD269" s="235"/>
      <c r="AE269" s="251"/>
    </row>
    <row r="270" spans="1:31" ht="6.95" customHeight="1">
      <c r="F270" s="253"/>
      <c r="G270" s="254"/>
      <c r="H270" s="253"/>
      <c r="I270" s="255"/>
      <c r="J270" s="255"/>
      <c r="K270" s="255"/>
      <c r="L270" s="253"/>
      <c r="M270" s="255"/>
      <c r="N270" s="255"/>
      <c r="O270" s="255"/>
      <c r="P270" s="255"/>
      <c r="Q270" s="255"/>
      <c r="R270" s="255"/>
      <c r="S270" s="255"/>
      <c r="T270" s="255"/>
      <c r="U270" s="255"/>
      <c r="V270" s="255"/>
      <c r="W270" s="255"/>
      <c r="X270" s="255"/>
      <c r="Y270" s="255"/>
      <c r="Z270" s="255"/>
      <c r="AA270" s="255"/>
      <c r="AB270" s="355"/>
      <c r="AC270" s="256"/>
      <c r="AD270" s="355"/>
      <c r="AE270" s="255"/>
    </row>
    <row r="271" spans="1:31">
      <c r="A271" s="102">
        <f>A268+1</f>
        <v>45654</v>
      </c>
      <c r="B271" s="102" t="s">
        <v>3503</v>
      </c>
      <c r="C271" s="110" t="str">
        <f>A271 &amp; " " &amp;B271</f>
        <v>45654 0000H</v>
      </c>
      <c r="D271" s="111">
        <v>1035.8800000000001</v>
      </c>
      <c r="E271" s="116">
        <v>49.67</v>
      </c>
      <c r="F271" s="250">
        <v>1108.67</v>
      </c>
      <c r="G271" s="251">
        <v>6.2</v>
      </c>
      <c r="H271" s="250">
        <v>73926.94</v>
      </c>
      <c r="I271" s="235">
        <v>900.34</v>
      </c>
      <c r="J271" s="235">
        <v>33078.160000000003</v>
      </c>
      <c r="K271" s="251">
        <v>103.61</v>
      </c>
      <c r="L271" s="250">
        <v>5665.21</v>
      </c>
      <c r="M271" s="235">
        <v>15.78</v>
      </c>
      <c r="N271" s="235">
        <v>33032</v>
      </c>
      <c r="O271" s="235">
        <v>28.8</v>
      </c>
      <c r="P271" s="235">
        <v>616.76</v>
      </c>
      <c r="Q271" s="235">
        <v>682.05</v>
      </c>
      <c r="R271" s="235">
        <v>10016.540000000001</v>
      </c>
      <c r="S271" s="235">
        <v>9.0399999999999991</v>
      </c>
      <c r="T271" s="235">
        <v>35973</v>
      </c>
      <c r="U271" s="235">
        <v>69</v>
      </c>
      <c r="V271" s="235">
        <v>256.12</v>
      </c>
      <c r="W271" s="235">
        <v>0.15</v>
      </c>
      <c r="X271" s="235">
        <v>6581.05</v>
      </c>
      <c r="Y271" s="235">
        <v>0</v>
      </c>
      <c r="Z271" s="235">
        <v>54159</v>
      </c>
      <c r="AA271" s="251">
        <v>79</v>
      </c>
      <c r="AB271" s="235"/>
      <c r="AC271" s="252"/>
      <c r="AD271" s="235"/>
      <c r="AE271" s="251"/>
    </row>
    <row r="272" spans="1:31">
      <c r="A272" s="102">
        <f>A269+1</f>
        <v>45654</v>
      </c>
      <c r="B272" s="102" t="s">
        <v>3504</v>
      </c>
      <c r="C272" s="110" t="str">
        <f>A272 &amp; " " &amp;B272</f>
        <v>45654 1200H</v>
      </c>
      <c r="D272" s="111">
        <v>1039.1099999999999</v>
      </c>
      <c r="E272" s="116">
        <v>49.67</v>
      </c>
      <c r="F272" s="250">
        <v>1108.67</v>
      </c>
      <c r="G272" s="251">
        <v>6.2</v>
      </c>
      <c r="H272" s="250">
        <v>73931.23</v>
      </c>
      <c r="I272" s="235">
        <v>900.57</v>
      </c>
      <c r="J272" s="235">
        <v>33078.9</v>
      </c>
      <c r="K272" s="251">
        <v>103.68</v>
      </c>
      <c r="L272" s="250">
        <v>5670.96</v>
      </c>
      <c r="M272" s="235">
        <v>15.78</v>
      </c>
      <c r="N272" s="235">
        <v>33036.400000000001</v>
      </c>
      <c r="O272" s="235">
        <v>28.8</v>
      </c>
      <c r="P272" s="235">
        <v>617.41</v>
      </c>
      <c r="Q272" s="235">
        <v>682.73</v>
      </c>
      <c r="R272" s="235">
        <v>10020.049999999999</v>
      </c>
      <c r="S272" s="235">
        <v>9.0399999999999991</v>
      </c>
      <c r="T272" s="235">
        <v>35979</v>
      </c>
      <c r="U272" s="235">
        <v>69</v>
      </c>
      <c r="V272" s="235">
        <v>256.12</v>
      </c>
      <c r="W272" s="235">
        <v>0.15</v>
      </c>
      <c r="X272" s="235">
        <v>6586.96</v>
      </c>
      <c r="Y272" s="235">
        <v>0</v>
      </c>
      <c r="Z272" s="235">
        <v>54159</v>
      </c>
      <c r="AA272" s="251">
        <v>79</v>
      </c>
      <c r="AB272" s="235"/>
      <c r="AC272" s="252"/>
      <c r="AD272" s="235"/>
      <c r="AE272" s="251"/>
    </row>
    <row r="273" spans="1:31" ht="6.95" customHeight="1">
      <c r="F273" s="253"/>
      <c r="G273" s="254"/>
      <c r="H273" s="253"/>
      <c r="I273" s="255"/>
      <c r="J273" s="255"/>
      <c r="K273" s="255"/>
      <c r="L273" s="253"/>
      <c r="M273" s="255"/>
      <c r="N273" s="255"/>
      <c r="O273" s="255"/>
      <c r="P273" s="255"/>
      <c r="Q273" s="255"/>
      <c r="R273" s="255"/>
      <c r="S273" s="255"/>
      <c r="T273" s="255"/>
      <c r="U273" s="255"/>
      <c r="V273" s="255"/>
      <c r="W273" s="255"/>
      <c r="X273" s="255"/>
      <c r="Y273" s="255"/>
      <c r="Z273" s="255"/>
      <c r="AA273" s="255"/>
      <c r="AB273" s="355"/>
      <c r="AC273" s="256"/>
      <c r="AD273" s="355"/>
      <c r="AE273" s="255"/>
    </row>
    <row r="274" spans="1:31">
      <c r="A274" s="102">
        <f>A271+1</f>
        <v>45655</v>
      </c>
      <c r="B274" s="102" t="s">
        <v>3503</v>
      </c>
      <c r="C274" s="110" t="str">
        <f>A274 &amp; " " &amp;B274</f>
        <v>45655 0000H</v>
      </c>
      <c r="D274" s="111">
        <v>1042.28</v>
      </c>
      <c r="E274" s="116">
        <v>49.67</v>
      </c>
      <c r="F274" s="250">
        <v>1108.67</v>
      </c>
      <c r="G274" s="251">
        <v>6.2</v>
      </c>
      <c r="H274" s="250">
        <v>73939.23</v>
      </c>
      <c r="I274" s="235">
        <v>900.68</v>
      </c>
      <c r="J274" s="235">
        <v>33082.19</v>
      </c>
      <c r="K274" s="251">
        <v>103.69</v>
      </c>
      <c r="L274" s="250">
        <v>5676.87</v>
      </c>
      <c r="M274" s="235">
        <v>15.78</v>
      </c>
      <c r="N274" s="235">
        <v>33043.9</v>
      </c>
      <c r="O274" s="235">
        <v>28.8</v>
      </c>
      <c r="P274" s="235">
        <v>617.62</v>
      </c>
      <c r="Q274" s="235">
        <v>683.62</v>
      </c>
      <c r="R274" s="235">
        <v>10024.11</v>
      </c>
      <c r="S274" s="235">
        <v>9.0399999999999991</v>
      </c>
      <c r="T274" s="235">
        <v>35985</v>
      </c>
      <c r="U274" s="235">
        <v>69</v>
      </c>
      <c r="V274" s="235">
        <v>256.12</v>
      </c>
      <c r="W274" s="235">
        <v>0.15</v>
      </c>
      <c r="X274" s="235">
        <v>6593.23</v>
      </c>
      <c r="Y274" s="235">
        <v>0</v>
      </c>
      <c r="Z274" s="235">
        <v>54159</v>
      </c>
      <c r="AA274" s="251">
        <v>79</v>
      </c>
      <c r="AB274" s="235"/>
      <c r="AC274" s="252"/>
      <c r="AD274" s="235"/>
      <c r="AE274" s="251"/>
    </row>
    <row r="275" spans="1:31">
      <c r="A275" s="102">
        <f>A272+1</f>
        <v>45655</v>
      </c>
      <c r="B275" s="102" t="s">
        <v>3504</v>
      </c>
      <c r="C275" s="110" t="str">
        <f>A275 &amp; " " &amp;B275</f>
        <v>45655 1200H</v>
      </c>
      <c r="D275" s="111">
        <v>1044.8699999999999</v>
      </c>
      <c r="E275" s="116">
        <v>49.67</v>
      </c>
      <c r="F275" s="250">
        <v>1108.67</v>
      </c>
      <c r="G275" s="251">
        <v>6.2</v>
      </c>
      <c r="H275" s="250">
        <v>73947.149999999994</v>
      </c>
      <c r="I275" s="235">
        <v>900.69</v>
      </c>
      <c r="J275" s="235">
        <v>33082.58</v>
      </c>
      <c r="K275" s="251">
        <v>103.74</v>
      </c>
      <c r="L275" s="250">
        <v>5681.01</v>
      </c>
      <c r="M275" s="235">
        <v>15.78</v>
      </c>
      <c r="N275" s="235">
        <v>33045.4</v>
      </c>
      <c r="O275" s="235">
        <v>28.9</v>
      </c>
      <c r="P275" s="235">
        <v>617.65</v>
      </c>
      <c r="Q275" s="235">
        <v>684.46</v>
      </c>
      <c r="R275" s="235">
        <v>10026.620000000001</v>
      </c>
      <c r="S275" s="235">
        <v>9.0399999999999991</v>
      </c>
      <c r="T275" s="235">
        <v>35990</v>
      </c>
      <c r="U275" s="235">
        <v>69</v>
      </c>
      <c r="V275" s="235">
        <v>256.12</v>
      </c>
      <c r="W275" s="235">
        <v>0.15</v>
      </c>
      <c r="X275" s="235">
        <v>6598.6</v>
      </c>
      <c r="Y275" s="235">
        <v>0</v>
      </c>
      <c r="Z275" s="235">
        <v>54159</v>
      </c>
      <c r="AA275" s="251">
        <v>79</v>
      </c>
      <c r="AB275" s="235"/>
      <c r="AC275" s="252"/>
      <c r="AD275" s="235"/>
      <c r="AE275" s="251"/>
    </row>
    <row r="276" spans="1:31" ht="6.95" customHeight="1">
      <c r="F276" s="253"/>
      <c r="G276" s="254"/>
      <c r="H276" s="253"/>
      <c r="I276" s="255"/>
      <c r="J276" s="255"/>
      <c r="K276" s="255"/>
      <c r="L276" s="253"/>
      <c r="M276" s="255"/>
      <c r="N276" s="255"/>
      <c r="O276" s="255"/>
      <c r="P276" s="255"/>
      <c r="Q276" s="255"/>
      <c r="R276" s="255"/>
      <c r="S276" s="255"/>
      <c r="T276" s="255"/>
      <c r="U276" s="255"/>
      <c r="V276" s="255"/>
      <c r="W276" s="255"/>
      <c r="X276" s="255"/>
      <c r="Y276" s="255"/>
      <c r="Z276" s="255"/>
      <c r="AA276" s="255"/>
      <c r="AB276" s="355"/>
      <c r="AC276" s="256"/>
      <c r="AD276" s="355"/>
      <c r="AE276" s="255"/>
    </row>
    <row r="277" spans="1:31">
      <c r="A277" s="102">
        <f>A274+1</f>
        <v>45656</v>
      </c>
      <c r="B277" s="102" t="s">
        <v>3503</v>
      </c>
      <c r="C277" s="110" t="str">
        <f>A277 &amp; " " &amp;B277</f>
        <v>45656 0000H</v>
      </c>
      <c r="D277" s="111">
        <v>1048.21</v>
      </c>
      <c r="E277" s="116">
        <v>49.67</v>
      </c>
      <c r="F277" s="250">
        <v>1108.67</v>
      </c>
      <c r="G277" s="251">
        <v>6.2</v>
      </c>
      <c r="H277" s="250">
        <v>73957.41</v>
      </c>
      <c r="I277" s="235">
        <v>900.69</v>
      </c>
      <c r="J277" s="235">
        <v>33086.239999999998</v>
      </c>
      <c r="K277" s="251">
        <v>103.74</v>
      </c>
      <c r="L277" s="250">
        <v>5686.24</v>
      </c>
      <c r="M277" s="235">
        <v>15.78</v>
      </c>
      <c r="N277" s="235">
        <v>33086.239999999998</v>
      </c>
      <c r="O277" s="235">
        <v>28.9</v>
      </c>
      <c r="P277" s="235">
        <v>617.92999999999995</v>
      </c>
      <c r="Q277" s="235">
        <v>685.2</v>
      </c>
      <c r="R277" s="235">
        <v>10030.950000000001</v>
      </c>
      <c r="S277" s="235">
        <v>9.0399999999999991</v>
      </c>
      <c r="T277" s="235">
        <v>35997</v>
      </c>
      <c r="U277" s="235">
        <v>69</v>
      </c>
      <c r="V277" s="235">
        <v>256.12</v>
      </c>
      <c r="W277" s="235">
        <v>0.15</v>
      </c>
      <c r="X277" s="235">
        <v>6605.22</v>
      </c>
      <c r="Y277" s="235">
        <v>0</v>
      </c>
      <c r="Z277" s="235">
        <v>54159</v>
      </c>
      <c r="AA277" s="251">
        <v>79</v>
      </c>
      <c r="AB277" s="235"/>
      <c r="AC277" s="252"/>
      <c r="AD277" s="235"/>
      <c r="AE277" s="251"/>
    </row>
    <row r="278" spans="1:31">
      <c r="A278" s="102">
        <f>A275+1</f>
        <v>45656</v>
      </c>
      <c r="B278" s="102" t="s">
        <v>3504</v>
      </c>
      <c r="C278" s="110" t="str">
        <f>A278 &amp; " " &amp;B278</f>
        <v>45656 1200H</v>
      </c>
      <c r="D278" s="111">
        <v>1051.29</v>
      </c>
      <c r="E278" s="116">
        <v>49.67</v>
      </c>
      <c r="F278" s="250">
        <v>1108.67</v>
      </c>
      <c r="G278" s="251">
        <v>6.2</v>
      </c>
      <c r="H278" s="250">
        <v>73962.58</v>
      </c>
      <c r="I278" s="235">
        <v>900.94</v>
      </c>
      <c r="J278" s="235">
        <v>33087</v>
      </c>
      <c r="K278" s="251">
        <v>103.78</v>
      </c>
      <c r="L278" s="250">
        <v>5692.45</v>
      </c>
      <c r="M278" s="235">
        <v>15.78</v>
      </c>
      <c r="N278" s="235">
        <v>33056.5</v>
      </c>
      <c r="O278" s="235">
        <v>28.9</v>
      </c>
      <c r="P278" s="235">
        <v>617.98</v>
      </c>
      <c r="Q278" s="235">
        <v>686.12</v>
      </c>
      <c r="R278" s="235">
        <v>10034.58</v>
      </c>
      <c r="S278" s="235">
        <v>9.0399999999999991</v>
      </c>
      <c r="T278" s="235">
        <v>36002</v>
      </c>
      <c r="U278" s="235">
        <v>69</v>
      </c>
      <c r="V278" s="235">
        <v>256.12</v>
      </c>
      <c r="W278" s="235">
        <v>0.15</v>
      </c>
      <c r="X278" s="235">
        <v>6610.74</v>
      </c>
      <c r="Y278" s="235">
        <v>0</v>
      </c>
      <c r="Z278" s="235">
        <v>54159</v>
      </c>
      <c r="AA278" s="251">
        <v>79</v>
      </c>
      <c r="AB278" s="235"/>
      <c r="AC278" s="252"/>
      <c r="AD278" s="235"/>
      <c r="AE278" s="251"/>
    </row>
    <row r="279" spans="1:31" ht="6.95" customHeight="1">
      <c r="E279" s="104"/>
      <c r="G279" s="104"/>
      <c r="I279" s="104"/>
      <c r="J279" s="104"/>
      <c r="K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</row>
    <row r="280" spans="1:31">
      <c r="A280" s="102">
        <f>A277+1</f>
        <v>45657</v>
      </c>
      <c r="B280" s="102" t="s">
        <v>3503</v>
      </c>
      <c r="C280" s="110" t="str">
        <f>A280 &amp; " " &amp;B280</f>
        <v>45657 0000H</v>
      </c>
      <c r="D280" s="111">
        <v>1055.69</v>
      </c>
      <c r="E280" s="116">
        <v>49.67</v>
      </c>
      <c r="F280" s="250">
        <v>1108.67</v>
      </c>
      <c r="G280" s="251">
        <v>6.2</v>
      </c>
      <c r="H280" s="111">
        <v>73972.899999999994</v>
      </c>
      <c r="I280" s="103">
        <v>900.94</v>
      </c>
      <c r="J280" s="103">
        <v>33088.19</v>
      </c>
      <c r="K280" s="116">
        <v>103.83</v>
      </c>
      <c r="L280" s="111">
        <v>5698.17</v>
      </c>
      <c r="M280" s="103">
        <v>15.78</v>
      </c>
      <c r="N280" s="103">
        <v>33063.699999999997</v>
      </c>
      <c r="O280" s="103">
        <v>28.9</v>
      </c>
      <c r="P280" s="103">
        <v>618.36</v>
      </c>
      <c r="Q280" s="103">
        <v>686.72</v>
      </c>
      <c r="R280" s="103">
        <v>10039.040000000001</v>
      </c>
      <c r="S280" s="103">
        <v>9.0399999999999991</v>
      </c>
      <c r="T280" s="103">
        <v>36009</v>
      </c>
      <c r="U280" s="103">
        <v>69</v>
      </c>
      <c r="V280" s="235">
        <v>256.12</v>
      </c>
      <c r="W280" s="235">
        <v>0.15</v>
      </c>
      <c r="X280" s="103">
        <v>6617.69</v>
      </c>
      <c r="Y280" s="103">
        <v>0</v>
      </c>
      <c r="Z280" s="235">
        <v>54159</v>
      </c>
      <c r="AA280" s="251">
        <v>79</v>
      </c>
      <c r="AB280" s="235"/>
      <c r="AC280" s="252"/>
      <c r="AD280" s="235"/>
      <c r="AE280" s="251"/>
    </row>
    <row r="281" spans="1:31">
      <c r="A281" s="102">
        <f>A278+1</f>
        <v>45657</v>
      </c>
      <c r="B281" s="102" t="s">
        <v>3504</v>
      </c>
      <c r="C281" s="110" t="str">
        <f>A281 &amp; " " &amp;B281</f>
        <v>45657 1200H</v>
      </c>
      <c r="D281" s="111">
        <v>1058.8</v>
      </c>
      <c r="E281" s="116">
        <v>49.67</v>
      </c>
      <c r="F281" s="250">
        <v>1108.67</v>
      </c>
      <c r="G281" s="251">
        <v>6.2</v>
      </c>
      <c r="H281" s="111">
        <v>73982.710000000006</v>
      </c>
      <c r="I281" s="103">
        <v>900.94</v>
      </c>
      <c r="J281" s="103">
        <v>33088.97</v>
      </c>
      <c r="K281" s="116">
        <v>103.9</v>
      </c>
      <c r="L281" s="111">
        <v>5703.68</v>
      </c>
      <c r="M281" s="103">
        <v>15.78</v>
      </c>
      <c r="N281" s="103">
        <v>33068.300000000003</v>
      </c>
      <c r="O281" s="103">
        <v>28.9</v>
      </c>
      <c r="P281" s="103">
        <v>618.37</v>
      </c>
      <c r="Q281" s="103">
        <v>687.93</v>
      </c>
      <c r="R281" s="103">
        <v>10042.790000000001</v>
      </c>
      <c r="S281" s="103">
        <v>9.0399999999999991</v>
      </c>
      <c r="T281" s="103">
        <v>36015</v>
      </c>
      <c r="U281" s="103">
        <v>69</v>
      </c>
      <c r="V281" s="235">
        <v>256.12</v>
      </c>
      <c r="W281" s="235">
        <v>0.15</v>
      </c>
      <c r="X281" s="103">
        <v>6623.6</v>
      </c>
      <c r="Y281" s="103">
        <v>0</v>
      </c>
      <c r="Z281" s="235">
        <v>54159</v>
      </c>
      <c r="AA281" s="251">
        <v>79</v>
      </c>
      <c r="AB281" s="235"/>
      <c r="AC281" s="252"/>
      <c r="AD281" s="235"/>
      <c r="AE281" s="251"/>
    </row>
    <row r="282" spans="1:31" ht="6.95" customHeight="1">
      <c r="E282" s="104"/>
      <c r="G282" s="104"/>
      <c r="I282" s="104"/>
      <c r="J282" s="104"/>
      <c r="K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</row>
    <row r="283" spans="1:31">
      <c r="A283" s="102">
        <f>A280+1</f>
        <v>45658</v>
      </c>
      <c r="B283" s="102" t="s">
        <v>3503</v>
      </c>
      <c r="C283" s="110" t="str">
        <f>A283 &amp; " " &amp;B283</f>
        <v>45658 0000H</v>
      </c>
      <c r="D283" s="111">
        <v>1063.1199999999999</v>
      </c>
      <c r="E283" s="116">
        <v>49.67</v>
      </c>
      <c r="F283" s="250">
        <v>1108.67</v>
      </c>
      <c r="G283" s="251">
        <v>6.2</v>
      </c>
      <c r="H283" s="111">
        <v>73992.59</v>
      </c>
      <c r="I283" s="103">
        <v>900.94</v>
      </c>
      <c r="J283" s="103">
        <v>33090.400000000001</v>
      </c>
      <c r="K283" s="116">
        <v>103.96</v>
      </c>
      <c r="L283" s="111">
        <v>5709.37</v>
      </c>
      <c r="M283" s="103">
        <v>15.78</v>
      </c>
      <c r="N283" s="103">
        <v>33075.1</v>
      </c>
      <c r="O283" s="103">
        <v>28.9</v>
      </c>
      <c r="P283" s="103">
        <v>618.5</v>
      </c>
      <c r="Q283" s="103">
        <v>688.85</v>
      </c>
      <c r="R283" s="103">
        <v>10047.370000000001</v>
      </c>
      <c r="S283" s="103">
        <v>9.0399999999999991</v>
      </c>
      <c r="T283" s="103">
        <v>36023</v>
      </c>
      <c r="U283" s="103">
        <v>69</v>
      </c>
      <c r="V283" s="235">
        <v>256.12</v>
      </c>
      <c r="W283" s="235">
        <v>0.15</v>
      </c>
      <c r="X283" s="103">
        <v>6630.58</v>
      </c>
      <c r="Y283" s="103">
        <v>0</v>
      </c>
      <c r="Z283" s="235">
        <v>54159</v>
      </c>
      <c r="AA283" s="251">
        <v>79</v>
      </c>
      <c r="AB283" s="235"/>
      <c r="AC283" s="252"/>
      <c r="AD283" s="235"/>
      <c r="AE283" s="251"/>
    </row>
    <row r="284" spans="1:31">
      <c r="A284" s="102">
        <f>A281+1</f>
        <v>45658</v>
      </c>
      <c r="B284" s="102" t="s">
        <v>3504</v>
      </c>
      <c r="C284" s="110" t="str">
        <f>A284 &amp; " " &amp;B284</f>
        <v>45658 1200H</v>
      </c>
      <c r="D284" s="111">
        <v>1066.04</v>
      </c>
      <c r="E284" s="116">
        <v>49.67</v>
      </c>
      <c r="F284" s="250">
        <v>1108.67</v>
      </c>
      <c r="G284" s="251">
        <v>6.2</v>
      </c>
      <c r="H284" s="111">
        <v>73997.59</v>
      </c>
      <c r="I284" s="103">
        <v>901.18</v>
      </c>
      <c r="J284" s="103">
        <v>33090.730000000003</v>
      </c>
      <c r="K284" s="116">
        <v>104.01</v>
      </c>
      <c r="L284" s="111">
        <v>5715.03</v>
      </c>
      <c r="M284" s="103">
        <v>15.78</v>
      </c>
      <c r="N284" s="103">
        <v>33080.6</v>
      </c>
      <c r="O284" s="103">
        <v>28.9</v>
      </c>
      <c r="P284" s="103">
        <v>618.5</v>
      </c>
      <c r="Q284" s="103">
        <v>690.33</v>
      </c>
      <c r="R284" s="103">
        <v>10051.18</v>
      </c>
      <c r="S284" s="103">
        <v>9.0399999999999991</v>
      </c>
      <c r="T284" s="103">
        <v>36029.69</v>
      </c>
      <c r="U284" s="103">
        <v>69</v>
      </c>
      <c r="V284" s="235">
        <v>256.12</v>
      </c>
      <c r="W284" s="235">
        <v>0.15</v>
      </c>
      <c r="X284" s="103">
        <v>6636.53</v>
      </c>
      <c r="Y284" s="103">
        <v>0</v>
      </c>
      <c r="Z284" s="235">
        <v>54159</v>
      </c>
      <c r="AA284" s="251">
        <v>79</v>
      </c>
      <c r="AB284" s="235"/>
      <c r="AC284" s="252"/>
      <c r="AD284" s="235"/>
      <c r="AE284" s="251"/>
    </row>
    <row r="285" spans="1:31" ht="6.95" customHeight="1">
      <c r="E285" s="104"/>
      <c r="G285" s="104"/>
      <c r="I285" s="104"/>
      <c r="J285" s="104"/>
      <c r="K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</row>
    <row r="286" spans="1:31">
      <c r="A286" s="102">
        <f>A283+1</f>
        <v>45659</v>
      </c>
      <c r="B286" s="102" t="s">
        <v>3503</v>
      </c>
      <c r="C286" s="110" t="str">
        <f>A286 &amp; " " &amp;B286</f>
        <v>45659 0000H</v>
      </c>
      <c r="D286" s="111">
        <v>1069.3800000000001</v>
      </c>
      <c r="E286" s="116">
        <v>49.67</v>
      </c>
      <c r="F286" s="250">
        <v>1108.67</v>
      </c>
      <c r="G286" s="251">
        <v>6.2</v>
      </c>
      <c r="H286" s="111">
        <v>74005.149999999994</v>
      </c>
      <c r="I286" s="103">
        <v>901.26</v>
      </c>
      <c r="J286" s="103">
        <v>33091.699999999997</v>
      </c>
      <c r="K286" s="116">
        <v>104.08</v>
      </c>
      <c r="L286" s="111">
        <v>5720.05</v>
      </c>
      <c r="M286" s="103">
        <v>15.78</v>
      </c>
      <c r="N286" s="103">
        <v>33086.300000000003</v>
      </c>
      <c r="O286" s="103">
        <v>28.9</v>
      </c>
      <c r="P286" s="103">
        <v>619.14</v>
      </c>
      <c r="Q286" s="103">
        <v>691.07</v>
      </c>
      <c r="R286" s="103">
        <v>10055.459999999999</v>
      </c>
      <c r="S286" s="103">
        <v>9.0399999999999991</v>
      </c>
      <c r="T286" s="103">
        <v>36036</v>
      </c>
      <c r="U286" s="103">
        <v>69</v>
      </c>
      <c r="V286" s="235">
        <v>256.12</v>
      </c>
      <c r="W286" s="235">
        <v>0.15</v>
      </c>
      <c r="X286" s="103">
        <v>6641.62</v>
      </c>
      <c r="Y286" s="103">
        <v>0</v>
      </c>
      <c r="Z286" s="235">
        <v>54159</v>
      </c>
      <c r="AA286" s="251">
        <v>79</v>
      </c>
      <c r="AB286" s="235"/>
      <c r="AC286" s="252"/>
      <c r="AD286" s="235"/>
      <c r="AE286" s="251"/>
    </row>
    <row r="287" spans="1:31">
      <c r="A287" s="102">
        <f>A284+1</f>
        <v>45659</v>
      </c>
      <c r="B287" s="102" t="s">
        <v>3504</v>
      </c>
      <c r="C287" s="110" t="str">
        <f>A287 &amp; " " &amp;B287</f>
        <v>45659 1200H</v>
      </c>
      <c r="D287" s="111">
        <v>1072.8499999999999</v>
      </c>
      <c r="E287" s="116">
        <v>49.67</v>
      </c>
      <c r="F287" s="250">
        <v>1108.67</v>
      </c>
      <c r="G287" s="251">
        <v>6.2</v>
      </c>
      <c r="H287" s="111">
        <v>74015.39</v>
      </c>
      <c r="I287" s="103">
        <v>901.26</v>
      </c>
      <c r="J287" s="103">
        <v>33093.129999999997</v>
      </c>
      <c r="K287" s="116">
        <v>104.12</v>
      </c>
      <c r="L287" s="111">
        <v>5726.6</v>
      </c>
      <c r="M287" s="103">
        <v>15.78</v>
      </c>
      <c r="N287" s="103">
        <v>33089</v>
      </c>
      <c r="O287" s="103">
        <v>29</v>
      </c>
      <c r="P287" s="103">
        <v>619.27</v>
      </c>
      <c r="Q287" s="103">
        <v>692.13</v>
      </c>
      <c r="R287" s="103">
        <v>10059.15</v>
      </c>
      <c r="S287" s="103">
        <v>9.0399999999999991</v>
      </c>
      <c r="T287" s="103">
        <v>36042</v>
      </c>
      <c r="U287" s="103">
        <v>69</v>
      </c>
      <c r="V287" s="235">
        <v>256.12</v>
      </c>
      <c r="W287" s="235">
        <v>0.15</v>
      </c>
      <c r="X287" s="103">
        <v>6646.62</v>
      </c>
      <c r="Y287" s="103">
        <v>0</v>
      </c>
      <c r="Z287" s="235">
        <v>54159</v>
      </c>
      <c r="AA287" s="251">
        <v>79</v>
      </c>
      <c r="AB287" s="235"/>
      <c r="AC287" s="252"/>
      <c r="AD287" s="235"/>
      <c r="AE287" s="251"/>
    </row>
    <row r="288" spans="1:31" ht="6.95" customHeight="1">
      <c r="E288" s="104"/>
      <c r="G288" s="104"/>
      <c r="I288" s="104"/>
      <c r="J288" s="104"/>
      <c r="K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</row>
    <row r="289" spans="1:31">
      <c r="A289" s="102">
        <f>A286+1</f>
        <v>45660</v>
      </c>
      <c r="B289" s="102" t="s">
        <v>3503</v>
      </c>
      <c r="C289" s="110" t="str">
        <f>A289 &amp; " " &amp;B289</f>
        <v>45660 0000H</v>
      </c>
      <c r="D289" s="111">
        <v>1077.3699999999999</v>
      </c>
      <c r="E289" s="116">
        <v>49.67</v>
      </c>
      <c r="F289" s="250">
        <v>1108.67</v>
      </c>
      <c r="G289" s="251">
        <v>6.2</v>
      </c>
      <c r="H289" s="111">
        <v>74025.509999999995</v>
      </c>
      <c r="I289" s="103">
        <v>901.26</v>
      </c>
      <c r="J289" s="103">
        <v>33096.800000000003</v>
      </c>
      <c r="K289" s="116">
        <v>104.12</v>
      </c>
      <c r="L289" s="111">
        <v>5732.57</v>
      </c>
      <c r="M289" s="103">
        <v>15.78</v>
      </c>
      <c r="N289" s="103">
        <v>33096.1</v>
      </c>
      <c r="O289" s="103">
        <v>29</v>
      </c>
      <c r="P289" s="103">
        <v>619.37</v>
      </c>
      <c r="Q289" s="103">
        <v>693.03</v>
      </c>
      <c r="R289" s="103">
        <v>10063.75</v>
      </c>
      <c r="S289" s="103">
        <v>9.0399999999999991</v>
      </c>
      <c r="T289" s="103">
        <v>36050</v>
      </c>
      <c r="U289" s="103">
        <v>69</v>
      </c>
      <c r="V289" s="235">
        <v>256.12</v>
      </c>
      <c r="W289" s="235">
        <v>0.15</v>
      </c>
      <c r="X289" s="103">
        <v>6653.81</v>
      </c>
      <c r="Y289" s="103">
        <v>0</v>
      </c>
      <c r="Z289" s="235">
        <v>54159</v>
      </c>
      <c r="AA289" s="251">
        <v>79</v>
      </c>
      <c r="AB289" s="235"/>
      <c r="AC289" s="252"/>
      <c r="AD289" s="235"/>
      <c r="AE289" s="251"/>
    </row>
    <row r="290" spans="1:31">
      <c r="A290" s="102">
        <f>A287+1</f>
        <v>45660</v>
      </c>
      <c r="B290" s="102" t="s">
        <v>3504</v>
      </c>
      <c r="C290" s="110" t="str">
        <f>A290 &amp; " " &amp;B290</f>
        <v>45660 1200H</v>
      </c>
      <c r="D290" s="111">
        <v>1080.8399999999999</v>
      </c>
      <c r="E290" s="116">
        <v>49.67</v>
      </c>
      <c r="F290" s="250">
        <v>1108.67</v>
      </c>
      <c r="G290" s="251">
        <v>6.2</v>
      </c>
      <c r="H290" s="111">
        <v>74035.539999999994</v>
      </c>
      <c r="I290" s="103">
        <v>901.26</v>
      </c>
      <c r="J290" s="103">
        <v>33097.919999999998</v>
      </c>
      <c r="K290" s="116">
        <v>104.117</v>
      </c>
      <c r="L290" s="111">
        <v>5738.25</v>
      </c>
      <c r="M290" s="103">
        <v>15.78</v>
      </c>
      <c r="N290" s="103">
        <v>33099.1</v>
      </c>
      <c r="O290" s="103">
        <v>29</v>
      </c>
      <c r="P290" s="103">
        <v>619.54999999999995</v>
      </c>
      <c r="Q290" s="103">
        <v>693.9</v>
      </c>
      <c r="R290" s="103">
        <v>10067.56</v>
      </c>
      <c r="S290" s="103">
        <v>9.0399999999999991</v>
      </c>
      <c r="T290" s="103">
        <v>36075</v>
      </c>
      <c r="U290" s="103">
        <v>69</v>
      </c>
      <c r="V290" s="235">
        <v>256.12</v>
      </c>
      <c r="W290" s="235">
        <v>0.15</v>
      </c>
      <c r="X290" s="103">
        <v>6659.09</v>
      </c>
      <c r="Y290" s="103">
        <v>0</v>
      </c>
      <c r="Z290" s="235">
        <v>54159</v>
      </c>
      <c r="AA290" s="251">
        <v>79</v>
      </c>
      <c r="AB290" s="235"/>
      <c r="AC290" s="252"/>
      <c r="AD290" s="235"/>
      <c r="AE290" s="251"/>
    </row>
    <row r="291" spans="1:31" ht="6.95" customHeight="1">
      <c r="E291" s="104"/>
      <c r="G291" s="104"/>
      <c r="I291" s="104"/>
      <c r="J291" s="104"/>
      <c r="K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</row>
    <row r="292" spans="1:31">
      <c r="A292" s="102">
        <f>A289+1</f>
        <v>45661</v>
      </c>
      <c r="B292" s="102" t="s">
        <v>3503</v>
      </c>
      <c r="C292" s="110" t="str">
        <f>A292 &amp; " " &amp;B292</f>
        <v>45661 0000H</v>
      </c>
      <c r="D292" s="111">
        <v>1085.4100000000001</v>
      </c>
      <c r="E292" s="116">
        <v>49.67</v>
      </c>
      <c r="F292" s="111">
        <v>1108.67</v>
      </c>
      <c r="G292" s="116">
        <v>6.2</v>
      </c>
      <c r="H292" s="111">
        <v>74048.100000000006</v>
      </c>
      <c r="I292" s="103">
        <v>901.26</v>
      </c>
      <c r="J292" s="103">
        <v>33101.57</v>
      </c>
      <c r="K292" s="116">
        <v>104.17</v>
      </c>
      <c r="L292" s="111">
        <v>5744.04</v>
      </c>
      <c r="M292" s="103">
        <v>15.78</v>
      </c>
      <c r="N292" s="103">
        <v>33106.300000000003</v>
      </c>
      <c r="O292" s="103">
        <v>29</v>
      </c>
      <c r="P292" s="103">
        <v>620.34</v>
      </c>
      <c r="Q292" s="103">
        <v>694.46</v>
      </c>
      <c r="R292" s="103">
        <v>10072.120000000001</v>
      </c>
      <c r="S292" s="103">
        <v>9.0399999999999991</v>
      </c>
      <c r="T292" s="103">
        <v>36064</v>
      </c>
      <c r="U292" s="103">
        <v>69</v>
      </c>
      <c r="V292" s="103">
        <v>256.12</v>
      </c>
      <c r="W292" s="103">
        <v>0.15</v>
      </c>
      <c r="X292" s="103">
        <v>6667.21</v>
      </c>
      <c r="Y292" s="103">
        <v>0</v>
      </c>
      <c r="Z292" s="103">
        <v>54159</v>
      </c>
      <c r="AA292" s="116">
        <v>79</v>
      </c>
      <c r="AB292" s="103"/>
      <c r="AC292" s="112"/>
      <c r="AD292" s="103"/>
      <c r="AE292" s="116"/>
    </row>
    <row r="293" spans="1:31">
      <c r="A293" s="102">
        <f>A290+1</f>
        <v>45661</v>
      </c>
      <c r="B293" s="102" t="s">
        <v>3504</v>
      </c>
      <c r="C293" s="110" t="str">
        <f>A293 &amp; " " &amp;B293</f>
        <v>45661 1200H</v>
      </c>
      <c r="D293" s="111">
        <v>1088.96</v>
      </c>
      <c r="E293" s="116">
        <v>49.67</v>
      </c>
      <c r="F293" s="111">
        <v>1108.67</v>
      </c>
      <c r="G293" s="116">
        <v>6.2</v>
      </c>
      <c r="H293" s="111">
        <v>74048.97</v>
      </c>
      <c r="I293" s="103">
        <v>901.51</v>
      </c>
      <c r="J293" s="103">
        <v>33105.33</v>
      </c>
      <c r="K293" s="116">
        <v>104.17</v>
      </c>
      <c r="L293" s="111">
        <v>5749.71</v>
      </c>
      <c r="M293" s="103">
        <v>15.78</v>
      </c>
      <c r="N293" s="103">
        <v>33109.5</v>
      </c>
      <c r="O293" s="103">
        <v>29</v>
      </c>
      <c r="P293" s="103">
        <v>620.38</v>
      </c>
      <c r="Q293" s="103">
        <v>695.3</v>
      </c>
      <c r="R293" s="103">
        <v>10075.82</v>
      </c>
      <c r="S293" s="103">
        <v>9.0399999999999991</v>
      </c>
      <c r="T293" s="103">
        <v>36071</v>
      </c>
      <c r="U293" s="103">
        <v>69</v>
      </c>
      <c r="V293" s="103">
        <v>256.12</v>
      </c>
      <c r="W293" s="103">
        <v>0.15</v>
      </c>
      <c r="X293" s="103">
        <v>6672.91</v>
      </c>
      <c r="Y293" s="103">
        <v>0</v>
      </c>
      <c r="Z293" s="103">
        <v>54159</v>
      </c>
      <c r="AA293" s="116">
        <v>79</v>
      </c>
      <c r="AB293" s="103"/>
      <c r="AC293" s="112"/>
      <c r="AD293" s="103"/>
      <c r="AE293" s="116"/>
    </row>
    <row r="294" spans="1:31" ht="6.95" customHeight="1">
      <c r="E294" s="104"/>
      <c r="G294" s="104"/>
      <c r="I294" s="104"/>
      <c r="J294" s="104"/>
      <c r="K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</row>
    <row r="295" spans="1:31">
      <c r="A295" s="102">
        <f>A292+1</f>
        <v>45662</v>
      </c>
      <c r="B295" s="102" t="s">
        <v>3503</v>
      </c>
      <c r="C295" s="110" t="str">
        <f>A295 &amp; " " &amp;B295</f>
        <v>45662 0000H</v>
      </c>
      <c r="D295" s="111">
        <v>1093.46</v>
      </c>
      <c r="E295" s="116">
        <v>49.67</v>
      </c>
      <c r="F295" s="111">
        <v>1108.67</v>
      </c>
      <c r="G295" s="116">
        <v>6.2</v>
      </c>
      <c r="H295" s="111">
        <v>74059.19</v>
      </c>
      <c r="I295" s="103">
        <v>901.59</v>
      </c>
      <c r="J295" s="103">
        <v>33109.050000000003</v>
      </c>
      <c r="K295" s="116">
        <v>104.17</v>
      </c>
      <c r="L295" s="111">
        <v>5755.39</v>
      </c>
      <c r="M295" s="103">
        <v>15.78</v>
      </c>
      <c r="N295" s="103">
        <v>33116.9</v>
      </c>
      <c r="O295" s="103">
        <v>29</v>
      </c>
      <c r="P295" s="103">
        <v>620.49</v>
      </c>
      <c r="Q295" s="103">
        <v>696.15</v>
      </c>
      <c r="R295" s="103">
        <v>10080.42</v>
      </c>
      <c r="S295" s="103">
        <v>9.0399999999999991</v>
      </c>
      <c r="T295" s="103">
        <v>36078</v>
      </c>
      <c r="U295" s="103">
        <v>69</v>
      </c>
      <c r="V295" s="103">
        <v>256.12</v>
      </c>
      <c r="W295" s="103">
        <v>0.15</v>
      </c>
      <c r="X295" s="103">
        <v>6680.38</v>
      </c>
      <c r="Y295" s="103">
        <v>0</v>
      </c>
      <c r="Z295" s="103">
        <v>54159</v>
      </c>
      <c r="AA295" s="116">
        <v>79</v>
      </c>
      <c r="AB295" s="103"/>
      <c r="AC295" s="112"/>
      <c r="AD295" s="103"/>
      <c r="AE295" s="116"/>
    </row>
    <row r="296" spans="1:31">
      <c r="A296" s="102">
        <f>A293+1</f>
        <v>45662</v>
      </c>
      <c r="B296" s="102" t="s">
        <v>3504</v>
      </c>
      <c r="C296" s="110" t="str">
        <f>A296 &amp; " " &amp;B296</f>
        <v>45662 1200H</v>
      </c>
      <c r="D296" s="111">
        <v>1096.8800000000001</v>
      </c>
      <c r="E296" s="116">
        <v>49.67</v>
      </c>
      <c r="F296" s="111">
        <v>1108.67</v>
      </c>
      <c r="G296" s="116">
        <v>6.2</v>
      </c>
      <c r="H296" s="111">
        <v>74061.97</v>
      </c>
      <c r="I296" s="103">
        <v>901.94</v>
      </c>
      <c r="J296" s="103">
        <v>33112.86</v>
      </c>
      <c r="K296" s="116">
        <v>104.17</v>
      </c>
      <c r="L296" s="111">
        <v>5761.05</v>
      </c>
      <c r="M296" s="103">
        <v>15.78</v>
      </c>
      <c r="N296" s="103">
        <v>33121.4</v>
      </c>
      <c r="O296" s="103">
        <v>29</v>
      </c>
      <c r="P296" s="103">
        <v>620.5</v>
      </c>
      <c r="Q296" s="103">
        <v>697.3</v>
      </c>
      <c r="R296" s="103">
        <v>10084.200000000001</v>
      </c>
      <c r="S296" s="103">
        <v>9.0399999999999991</v>
      </c>
      <c r="T296" s="103">
        <v>36083</v>
      </c>
      <c r="U296" s="103">
        <v>69</v>
      </c>
      <c r="V296" s="103">
        <v>256.12</v>
      </c>
      <c r="W296" s="103">
        <v>0.15</v>
      </c>
      <c r="X296" s="103">
        <v>6685.53</v>
      </c>
      <c r="Y296" s="103">
        <v>0</v>
      </c>
      <c r="Z296" s="103">
        <v>54159</v>
      </c>
      <c r="AA296" s="116">
        <v>79</v>
      </c>
      <c r="AB296" s="103"/>
      <c r="AC296" s="112"/>
      <c r="AD296" s="103"/>
      <c r="AE296" s="116"/>
    </row>
    <row r="297" spans="1:31" ht="6.95" customHeight="1">
      <c r="E297" s="104"/>
      <c r="G297" s="104"/>
      <c r="I297" s="104"/>
      <c r="J297" s="104"/>
      <c r="K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</row>
    <row r="298" spans="1:31">
      <c r="A298" s="102">
        <f>A295+1</f>
        <v>45663</v>
      </c>
      <c r="B298" s="102" t="s">
        <v>3503</v>
      </c>
      <c r="C298" s="110" t="str">
        <f>A298 &amp; " " &amp;B298</f>
        <v>45663 0000H</v>
      </c>
      <c r="D298" s="111">
        <v>1101.2</v>
      </c>
      <c r="E298" s="116">
        <v>49.67</v>
      </c>
      <c r="F298" s="111">
        <v>1108.67</v>
      </c>
      <c r="G298" s="116">
        <v>6.2</v>
      </c>
      <c r="H298" s="111">
        <v>74066.94</v>
      </c>
      <c r="I298" s="103">
        <v>902.1</v>
      </c>
      <c r="J298" s="103">
        <v>33116.620000000003</v>
      </c>
      <c r="K298" s="116">
        <v>104.17</v>
      </c>
      <c r="L298" s="111">
        <v>5766.62</v>
      </c>
      <c r="M298" s="103">
        <v>15.78</v>
      </c>
      <c r="N298" s="103">
        <v>33128.1</v>
      </c>
      <c r="O298" s="103">
        <v>29</v>
      </c>
      <c r="P298" s="103">
        <v>620.5</v>
      </c>
      <c r="Q298" s="103">
        <v>699.02</v>
      </c>
      <c r="R298" s="103">
        <v>10088.69</v>
      </c>
      <c r="S298" s="103">
        <v>9.0399999999999991</v>
      </c>
      <c r="T298" s="103">
        <v>36090</v>
      </c>
      <c r="U298" s="103">
        <v>69</v>
      </c>
      <c r="V298" s="103">
        <v>256.12</v>
      </c>
      <c r="W298" s="103">
        <v>0.15</v>
      </c>
      <c r="X298" s="103">
        <v>6690.26</v>
      </c>
      <c r="Y298" s="103">
        <v>0</v>
      </c>
      <c r="Z298" s="103">
        <v>54159</v>
      </c>
      <c r="AA298" s="116">
        <v>79</v>
      </c>
      <c r="AB298" s="103"/>
      <c r="AC298" s="112"/>
      <c r="AD298" s="103"/>
      <c r="AE298" s="116"/>
    </row>
    <row r="299" spans="1:31">
      <c r="A299" s="102">
        <f>A296+1</f>
        <v>45663</v>
      </c>
      <c r="B299" s="102" t="s">
        <v>3504</v>
      </c>
      <c r="C299" s="110" t="str">
        <f>A299 &amp; " " &amp;B299</f>
        <v>45663 1200H</v>
      </c>
      <c r="D299" s="111">
        <v>1104.8800000000001</v>
      </c>
      <c r="E299" s="116">
        <v>49.67</v>
      </c>
      <c r="F299" s="111">
        <v>1108.67</v>
      </c>
      <c r="G299" s="116">
        <v>6.2</v>
      </c>
      <c r="H299" s="111">
        <v>74070.67</v>
      </c>
      <c r="I299" s="103">
        <v>902.4</v>
      </c>
      <c r="J299" s="103">
        <v>33120.199999999997</v>
      </c>
      <c r="K299" s="116">
        <v>104.17</v>
      </c>
      <c r="L299" s="111">
        <v>5772.22</v>
      </c>
      <c r="M299" s="103">
        <v>15.78</v>
      </c>
      <c r="N299" s="103">
        <v>33132.300000000003</v>
      </c>
      <c r="O299" s="103">
        <v>29</v>
      </c>
      <c r="P299" s="103">
        <v>620.83000000000004</v>
      </c>
      <c r="Q299" s="103">
        <v>699.89</v>
      </c>
      <c r="R299" s="103">
        <v>10092.34</v>
      </c>
      <c r="S299" s="103">
        <v>9.0399999999999991</v>
      </c>
      <c r="T299" s="103">
        <v>36096</v>
      </c>
      <c r="U299" s="103">
        <v>69</v>
      </c>
      <c r="V299" s="103">
        <v>256.12</v>
      </c>
      <c r="W299" s="103">
        <v>0.15</v>
      </c>
      <c r="X299" s="103">
        <v>6696.29</v>
      </c>
      <c r="Y299" s="103">
        <v>0</v>
      </c>
      <c r="Z299" s="103">
        <v>54159</v>
      </c>
      <c r="AA299" s="116">
        <v>79</v>
      </c>
      <c r="AB299" s="103"/>
      <c r="AC299" s="112"/>
      <c r="AD299" s="103"/>
      <c r="AE299" s="116"/>
    </row>
    <row r="300" spans="1:31" ht="6.95" customHeight="1">
      <c r="E300" s="104"/>
      <c r="G300" s="104"/>
      <c r="I300" s="104"/>
      <c r="J300" s="104"/>
      <c r="K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</row>
    <row r="301" spans="1:31">
      <c r="A301" s="102">
        <f>A298+1</f>
        <v>45664</v>
      </c>
      <c r="B301" s="102" t="s">
        <v>3503</v>
      </c>
      <c r="C301" s="110" t="str">
        <f>A301 &amp; " " &amp;B301</f>
        <v>45664 0000H</v>
      </c>
      <c r="D301" s="111">
        <v>1110.25</v>
      </c>
      <c r="E301" s="116">
        <v>49.67</v>
      </c>
      <c r="F301" s="111">
        <v>1108.67</v>
      </c>
      <c r="G301" s="116">
        <v>6.2</v>
      </c>
      <c r="H301" s="111">
        <v>74079.929999999993</v>
      </c>
      <c r="I301" s="103">
        <v>902.4</v>
      </c>
      <c r="J301" s="103">
        <v>33123.980000000003</v>
      </c>
      <c r="K301" s="116">
        <v>104.17</v>
      </c>
      <c r="L301" s="111">
        <v>5777.9</v>
      </c>
      <c r="M301" s="103">
        <v>15.78</v>
      </c>
      <c r="N301" s="103">
        <v>33135.800000000003</v>
      </c>
      <c r="O301" s="103">
        <v>29</v>
      </c>
      <c r="P301" s="103">
        <v>620.87</v>
      </c>
      <c r="Q301" s="103">
        <v>701.16</v>
      </c>
      <c r="R301" s="103">
        <v>10096.84</v>
      </c>
      <c r="S301" s="103">
        <v>9.0399999999999991</v>
      </c>
      <c r="T301" s="103">
        <v>36103</v>
      </c>
      <c r="U301" s="103">
        <v>69</v>
      </c>
      <c r="V301" s="103">
        <v>256.12</v>
      </c>
      <c r="W301" s="103">
        <v>0.15</v>
      </c>
      <c r="X301" s="103">
        <v>6703.51</v>
      </c>
      <c r="Y301" s="103">
        <v>0</v>
      </c>
      <c r="Z301" s="103">
        <v>54159</v>
      </c>
      <c r="AA301" s="116">
        <v>79</v>
      </c>
      <c r="AB301" s="103"/>
      <c r="AC301" s="112"/>
      <c r="AD301" s="103"/>
      <c r="AE301" s="116"/>
    </row>
    <row r="302" spans="1:31">
      <c r="A302" s="102">
        <f>A299+1</f>
        <v>45664</v>
      </c>
      <c r="B302" s="102" t="s">
        <v>3504</v>
      </c>
      <c r="C302" s="110" t="str">
        <f>A302 &amp; " " &amp;B302</f>
        <v>45664 1200H</v>
      </c>
      <c r="D302" s="111">
        <v>1114.02</v>
      </c>
      <c r="E302" s="116">
        <v>49.67</v>
      </c>
      <c r="F302" s="111">
        <v>1108.67</v>
      </c>
      <c r="G302" s="116">
        <v>6.2</v>
      </c>
      <c r="H302" s="111">
        <v>74089.56</v>
      </c>
      <c r="I302" s="103">
        <v>902.4</v>
      </c>
      <c r="J302" s="103">
        <v>33125.519999999997</v>
      </c>
      <c r="K302" s="116">
        <v>104.22</v>
      </c>
      <c r="L302" s="111">
        <v>5783.59</v>
      </c>
      <c r="M302" s="103">
        <v>15.78</v>
      </c>
      <c r="N302" s="103">
        <v>33143.1</v>
      </c>
      <c r="O302" s="103">
        <v>29.1</v>
      </c>
      <c r="P302" s="103">
        <v>621.29999999999995</v>
      </c>
      <c r="Q302" s="103">
        <v>702</v>
      </c>
      <c r="R302" s="103">
        <v>10100.56</v>
      </c>
      <c r="S302" s="103">
        <v>9.0399999999999991</v>
      </c>
      <c r="T302" s="103">
        <v>36109</v>
      </c>
      <c r="U302" s="103">
        <v>69</v>
      </c>
      <c r="V302" s="103">
        <v>256.12</v>
      </c>
      <c r="W302" s="103">
        <v>0.15</v>
      </c>
      <c r="X302" s="103">
        <v>6706.36</v>
      </c>
      <c r="Y302" s="103">
        <v>0</v>
      </c>
      <c r="Z302" s="103">
        <v>54159</v>
      </c>
      <c r="AA302" s="116">
        <v>79</v>
      </c>
      <c r="AB302" s="103"/>
      <c r="AC302" s="112"/>
      <c r="AD302" s="103"/>
      <c r="AE302" s="116"/>
    </row>
    <row r="303" spans="1:31" ht="6.95" customHeight="1">
      <c r="E303" s="104"/>
      <c r="G303" s="104"/>
      <c r="I303" s="104"/>
      <c r="J303" s="104"/>
      <c r="K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</row>
    <row r="304" spans="1:31">
      <c r="A304" s="102">
        <f>A301+1</f>
        <v>45665</v>
      </c>
      <c r="B304" s="102" t="s">
        <v>3503</v>
      </c>
      <c r="C304" s="110" t="str">
        <f>A304 &amp; " " &amp;B304</f>
        <v>45665 0000H</v>
      </c>
      <c r="D304" s="111">
        <v>1119.8</v>
      </c>
      <c r="E304" s="116">
        <v>49.67</v>
      </c>
      <c r="F304" s="111">
        <v>1108.67</v>
      </c>
      <c r="G304" s="116">
        <v>6.2</v>
      </c>
      <c r="H304" s="111">
        <v>74099</v>
      </c>
      <c r="I304" s="103">
        <v>902.4</v>
      </c>
      <c r="J304" s="103">
        <v>33127.949999999997</v>
      </c>
      <c r="K304" s="116">
        <v>104.25</v>
      </c>
      <c r="L304" s="111">
        <v>5788.95</v>
      </c>
      <c r="M304" s="103">
        <v>15.78</v>
      </c>
      <c r="N304" s="103">
        <v>33149.199999999997</v>
      </c>
      <c r="O304" s="103">
        <v>29.1</v>
      </c>
      <c r="P304" s="103">
        <v>621.29999999999995</v>
      </c>
      <c r="Q304" s="103">
        <v>703.71</v>
      </c>
      <c r="R304" s="103">
        <v>10104.92</v>
      </c>
      <c r="S304" s="103">
        <v>9.0399999999999991</v>
      </c>
      <c r="T304" s="103">
        <v>36117</v>
      </c>
      <c r="U304" s="103">
        <v>69</v>
      </c>
      <c r="V304" s="103">
        <v>256.12</v>
      </c>
      <c r="W304" s="103">
        <v>0.15</v>
      </c>
      <c r="X304" s="103">
        <v>6714.45</v>
      </c>
      <c r="Y304" s="103">
        <v>0</v>
      </c>
      <c r="Z304" s="103">
        <v>54159</v>
      </c>
      <c r="AA304" s="116">
        <v>79</v>
      </c>
      <c r="AB304" s="103"/>
      <c r="AC304" s="112"/>
      <c r="AD304" s="103"/>
      <c r="AE304" s="116"/>
    </row>
    <row r="305" spans="1:31">
      <c r="A305" s="102">
        <f>A302+1</f>
        <v>45665</v>
      </c>
      <c r="B305" s="102" t="s">
        <v>3504</v>
      </c>
      <c r="C305" s="110" t="str">
        <f>A305 &amp; " " &amp;B305</f>
        <v>45665 1200H</v>
      </c>
      <c r="D305" s="111">
        <v>1123.3699999999999</v>
      </c>
      <c r="E305" s="116">
        <v>49.67</v>
      </c>
      <c r="F305" s="111">
        <v>1108.67</v>
      </c>
      <c r="G305" s="116">
        <v>6.2</v>
      </c>
      <c r="H305" s="111">
        <v>74109.279999999999</v>
      </c>
      <c r="I305" s="103">
        <v>902.4</v>
      </c>
      <c r="J305" s="103">
        <v>33129.35</v>
      </c>
      <c r="K305" s="116">
        <v>104.3</v>
      </c>
      <c r="L305" s="111">
        <v>5794.66</v>
      </c>
      <c r="M305" s="103">
        <v>15.78</v>
      </c>
      <c r="N305" s="103">
        <v>33153</v>
      </c>
      <c r="O305" s="103">
        <v>29.1</v>
      </c>
      <c r="P305" s="103">
        <v>621.44000000000005</v>
      </c>
      <c r="Q305" s="103">
        <v>704.46</v>
      </c>
      <c r="R305" s="103">
        <v>10108.48</v>
      </c>
      <c r="S305" s="103">
        <v>9.0399999999999991</v>
      </c>
      <c r="T305" s="103">
        <v>36123</v>
      </c>
      <c r="U305" s="103">
        <v>69</v>
      </c>
      <c r="V305" s="103">
        <v>256.12</v>
      </c>
      <c r="W305" s="103">
        <v>0.15</v>
      </c>
      <c r="X305" s="103">
        <v>6719.31</v>
      </c>
      <c r="Y305" s="103">
        <v>0</v>
      </c>
      <c r="Z305" s="103">
        <v>54159</v>
      </c>
      <c r="AA305" s="116">
        <v>79</v>
      </c>
      <c r="AB305" s="103"/>
      <c r="AC305" s="112"/>
      <c r="AD305" s="103"/>
      <c r="AE305" s="116"/>
    </row>
    <row r="306" spans="1:31" ht="6.95" customHeight="1">
      <c r="E306" s="104"/>
      <c r="G306" s="104"/>
      <c r="I306" s="104"/>
      <c r="J306" s="104"/>
      <c r="K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</row>
    <row r="307" spans="1:31">
      <c r="A307" s="102">
        <f>A304+1</f>
        <v>45666</v>
      </c>
      <c r="B307" s="102" t="s">
        <v>3503</v>
      </c>
      <c r="C307" s="110" t="str">
        <f>A307 &amp; " " &amp;B307</f>
        <v>45666 0000H</v>
      </c>
      <c r="D307" s="111">
        <v>1127.79</v>
      </c>
      <c r="E307" s="116">
        <v>49.67</v>
      </c>
      <c r="F307" s="111">
        <v>1108.67</v>
      </c>
      <c r="G307" s="116">
        <v>6.2</v>
      </c>
      <c r="H307" s="111">
        <v>74119.259999999995</v>
      </c>
      <c r="I307" s="103">
        <v>902.4</v>
      </c>
      <c r="J307" s="103">
        <v>33133.1</v>
      </c>
      <c r="K307" s="116">
        <v>104.3</v>
      </c>
      <c r="L307" s="111">
        <v>5800.36</v>
      </c>
      <c r="M307" s="103">
        <v>15.78</v>
      </c>
      <c r="N307" s="103">
        <v>33160.400000000001</v>
      </c>
      <c r="O307" s="103">
        <v>29.1</v>
      </c>
      <c r="P307" s="103">
        <v>621.69000000000005</v>
      </c>
      <c r="Q307" s="103">
        <v>705.1</v>
      </c>
      <c r="R307" s="103">
        <v>10112.74</v>
      </c>
      <c r="S307" s="103">
        <v>9.0399999999999991</v>
      </c>
      <c r="T307" s="103">
        <v>36130</v>
      </c>
      <c r="U307" s="103">
        <v>69</v>
      </c>
      <c r="V307" s="103">
        <v>256.12</v>
      </c>
      <c r="W307" s="103">
        <v>0.15</v>
      </c>
      <c r="X307" s="103">
        <v>6723.88</v>
      </c>
      <c r="Y307" s="103">
        <v>0</v>
      </c>
      <c r="Z307" s="103">
        <v>54159</v>
      </c>
      <c r="AA307" s="116">
        <v>79</v>
      </c>
      <c r="AB307" s="103"/>
      <c r="AC307" s="112"/>
      <c r="AD307" s="103"/>
      <c r="AE307" s="116"/>
    </row>
    <row r="308" spans="1:31">
      <c r="A308" s="102">
        <f>A305+1</f>
        <v>45666</v>
      </c>
      <c r="B308" s="102" t="s">
        <v>3504</v>
      </c>
      <c r="C308" s="110" t="str">
        <f>A308 &amp; " " &amp;B308</f>
        <v>45666 1200H</v>
      </c>
      <c r="D308" s="111">
        <v>1131.3900000000001</v>
      </c>
      <c r="E308" s="116">
        <v>49.67</v>
      </c>
      <c r="F308" s="111">
        <v>1108.67</v>
      </c>
      <c r="G308" s="116">
        <v>6.2</v>
      </c>
      <c r="H308" s="111">
        <v>74129.539999999994</v>
      </c>
      <c r="I308" s="103">
        <v>902.4</v>
      </c>
      <c r="J308" s="103">
        <v>33135.1</v>
      </c>
      <c r="K308" s="116">
        <v>104.34</v>
      </c>
      <c r="L308" s="111">
        <v>5806.06</v>
      </c>
      <c r="M308" s="103">
        <v>15.78</v>
      </c>
      <c r="N308" s="103">
        <v>33165.1</v>
      </c>
      <c r="O308" s="103">
        <v>29.1</v>
      </c>
      <c r="P308" s="103">
        <v>621.73</v>
      </c>
      <c r="Q308" s="103">
        <v>706.17</v>
      </c>
      <c r="R308" s="103">
        <v>10116.52</v>
      </c>
      <c r="S308" s="103">
        <v>9.0399999999999991</v>
      </c>
      <c r="T308" s="103">
        <v>36135</v>
      </c>
      <c r="U308" s="103">
        <v>69</v>
      </c>
      <c r="V308" s="103">
        <v>256.12</v>
      </c>
      <c r="W308" s="103">
        <v>0.15</v>
      </c>
      <c r="X308" s="103">
        <v>6730.05</v>
      </c>
      <c r="Y308" s="103">
        <v>0</v>
      </c>
      <c r="Z308" s="103">
        <v>54159</v>
      </c>
      <c r="AA308" s="116">
        <v>79</v>
      </c>
      <c r="AB308" s="103"/>
      <c r="AC308" s="112"/>
      <c r="AD308" s="103"/>
      <c r="AE308" s="116"/>
    </row>
    <row r="309" spans="1:31" ht="6.95" customHeight="1">
      <c r="E309" s="104"/>
      <c r="G309" s="104"/>
      <c r="I309" s="104"/>
      <c r="J309" s="104"/>
      <c r="K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</row>
    <row r="310" spans="1:31">
      <c r="A310" s="102">
        <f>A307+1</f>
        <v>45667</v>
      </c>
      <c r="B310" s="102" t="s">
        <v>3503</v>
      </c>
      <c r="C310" s="110" t="str">
        <f>A310 &amp; " " &amp;B310</f>
        <v>45667 0000H</v>
      </c>
      <c r="D310" s="111">
        <v>1136.02</v>
      </c>
      <c r="E310" s="116">
        <v>49.67</v>
      </c>
      <c r="F310" s="111">
        <v>1108.67</v>
      </c>
      <c r="G310" s="116">
        <v>6.2</v>
      </c>
      <c r="H310" s="111">
        <v>74139.740000000005</v>
      </c>
      <c r="I310" s="103">
        <v>902.4</v>
      </c>
      <c r="J310" s="103">
        <v>33138.839999999997</v>
      </c>
      <c r="K310" s="116">
        <v>104.34</v>
      </c>
      <c r="L310" s="111">
        <v>5811.83</v>
      </c>
      <c r="M310" s="103">
        <v>15.78</v>
      </c>
      <c r="N310" s="103">
        <v>33172.699999999997</v>
      </c>
      <c r="O310" s="103">
        <v>29.1</v>
      </c>
      <c r="P310" s="103">
        <v>622.23</v>
      </c>
      <c r="Q310" s="103">
        <v>706.74</v>
      </c>
      <c r="R310" s="103">
        <v>10120.81</v>
      </c>
      <c r="S310" s="103">
        <v>9.0399999999999991</v>
      </c>
      <c r="T310" s="103">
        <v>36143</v>
      </c>
      <c r="U310" s="103">
        <v>69</v>
      </c>
      <c r="V310" s="103">
        <v>256.12</v>
      </c>
      <c r="W310" s="103">
        <v>0.15</v>
      </c>
      <c r="X310" s="103">
        <v>6735.73</v>
      </c>
      <c r="Y310" s="103">
        <v>0</v>
      </c>
      <c r="Z310" s="103">
        <v>54159</v>
      </c>
      <c r="AA310" s="116">
        <v>79</v>
      </c>
      <c r="AB310" s="103"/>
      <c r="AC310" s="112"/>
      <c r="AD310" s="103"/>
      <c r="AE310" s="116"/>
    </row>
    <row r="311" spans="1:31">
      <c r="A311" s="102">
        <f>A308+1</f>
        <v>45667</v>
      </c>
      <c r="B311" s="102" t="s">
        <v>3504</v>
      </c>
      <c r="C311" s="110" t="str">
        <f>A311 &amp; " " &amp;B311</f>
        <v>45667 1200H</v>
      </c>
      <c r="D311" s="111">
        <v>1139.46</v>
      </c>
      <c r="E311" s="116">
        <v>49.67</v>
      </c>
      <c r="F311" s="111">
        <v>1108.67</v>
      </c>
      <c r="G311" s="116">
        <v>6.2</v>
      </c>
      <c r="H311" s="111">
        <v>74143.899999999994</v>
      </c>
      <c r="I311" s="103">
        <v>902.61</v>
      </c>
      <c r="J311" s="103">
        <v>33142.58</v>
      </c>
      <c r="K311" s="116">
        <v>104.34</v>
      </c>
      <c r="L311" s="111">
        <v>5817.41</v>
      </c>
      <c r="M311" s="103">
        <v>15.78</v>
      </c>
      <c r="N311" s="103">
        <v>33177.800000000003</v>
      </c>
      <c r="O311" s="103">
        <v>29.1</v>
      </c>
      <c r="P311" s="103">
        <v>622.67999999999995</v>
      </c>
      <c r="Q311" s="103">
        <v>707.58</v>
      </c>
      <c r="R311" s="103">
        <v>10124.549999999999</v>
      </c>
      <c r="S311" s="103">
        <v>9.0399999999999991</v>
      </c>
      <c r="T311" s="103">
        <v>36149</v>
      </c>
      <c r="U311" s="103">
        <v>69</v>
      </c>
      <c r="V311" s="103">
        <v>256.12</v>
      </c>
      <c r="W311" s="103">
        <v>0.15</v>
      </c>
      <c r="X311" s="103">
        <v>6741.73</v>
      </c>
      <c r="Y311" s="103">
        <v>0</v>
      </c>
      <c r="Z311" s="103">
        <v>54159</v>
      </c>
      <c r="AA311" s="116">
        <v>79</v>
      </c>
      <c r="AB311" s="103"/>
      <c r="AC311" s="112"/>
      <c r="AD311" s="103"/>
      <c r="AE311" s="116"/>
    </row>
    <row r="312" spans="1:31" ht="6.95" customHeight="1">
      <c r="E312" s="104"/>
      <c r="G312" s="104"/>
      <c r="I312" s="104"/>
      <c r="J312" s="104"/>
      <c r="K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</row>
    <row r="313" spans="1:31">
      <c r="A313" s="102">
        <f>A310+1</f>
        <v>45668</v>
      </c>
      <c r="B313" s="102" t="s">
        <v>3503</v>
      </c>
      <c r="C313" s="110" t="str">
        <f>A313 &amp; " " &amp;B313</f>
        <v>45668 0000H</v>
      </c>
      <c r="D313" s="111">
        <v>1144.01</v>
      </c>
      <c r="E313" s="116">
        <v>49.67</v>
      </c>
      <c r="F313" s="111">
        <v>1108.67</v>
      </c>
      <c r="G313" s="116">
        <v>6.2</v>
      </c>
      <c r="H313" s="111">
        <v>74153.919999999998</v>
      </c>
      <c r="I313" s="103">
        <v>902.61</v>
      </c>
      <c r="J313" s="103">
        <v>33146.31</v>
      </c>
      <c r="K313" s="116">
        <v>104.34</v>
      </c>
      <c r="L313" s="111">
        <v>5823.27</v>
      </c>
      <c r="M313" s="103">
        <v>15.78</v>
      </c>
      <c r="N313" s="103">
        <v>33185</v>
      </c>
      <c r="O313" s="103">
        <v>29.1</v>
      </c>
      <c r="P313" s="103">
        <v>623.25</v>
      </c>
      <c r="Q313" s="103">
        <v>708.07</v>
      </c>
      <c r="R313" s="103">
        <v>10128.77</v>
      </c>
      <c r="S313" s="103">
        <v>9.06</v>
      </c>
      <c r="T313" s="103">
        <v>36156</v>
      </c>
      <c r="U313" s="103">
        <v>69</v>
      </c>
      <c r="V313" s="103">
        <v>256.12</v>
      </c>
      <c r="W313" s="103">
        <v>0.15</v>
      </c>
      <c r="X313" s="103">
        <v>6748.62</v>
      </c>
      <c r="Y313" s="103">
        <v>0</v>
      </c>
      <c r="Z313" s="103">
        <v>54159</v>
      </c>
      <c r="AA313" s="116">
        <v>79</v>
      </c>
      <c r="AB313" s="103"/>
      <c r="AC313" s="112"/>
      <c r="AD313" s="103"/>
      <c r="AE313" s="116"/>
    </row>
    <row r="314" spans="1:31">
      <c r="A314" s="102">
        <f>A311+1</f>
        <v>45668</v>
      </c>
      <c r="B314" s="102" t="s">
        <v>3504</v>
      </c>
      <c r="C314" s="110" t="str">
        <f>A314 &amp; " " &amp;B314</f>
        <v>45668 1200H</v>
      </c>
      <c r="D314" s="111">
        <v>1147.3699999999999</v>
      </c>
      <c r="E314" s="116">
        <v>49.67</v>
      </c>
      <c r="F314" s="111">
        <v>1108.67</v>
      </c>
      <c r="G314" s="116">
        <v>6.2</v>
      </c>
      <c r="H314" s="111">
        <v>74157.97</v>
      </c>
      <c r="I314" s="103">
        <v>902.86</v>
      </c>
      <c r="J314" s="103">
        <v>33147.480000000003</v>
      </c>
      <c r="K314" s="116">
        <v>104.39</v>
      </c>
      <c r="L314" s="111">
        <v>5828.92</v>
      </c>
      <c r="M314" s="103">
        <v>15.78</v>
      </c>
      <c r="N314" s="103">
        <v>33189.800000000003</v>
      </c>
      <c r="O314" s="103">
        <v>29.1</v>
      </c>
      <c r="P314" s="103">
        <v>623.52</v>
      </c>
      <c r="Q314" s="103">
        <v>709</v>
      </c>
      <c r="R314" s="103">
        <v>10132.52</v>
      </c>
      <c r="S314" s="103">
        <v>9.0399999999999991</v>
      </c>
      <c r="T314" s="103">
        <v>36161</v>
      </c>
      <c r="U314" s="103">
        <v>69</v>
      </c>
      <c r="V314" s="103">
        <v>256.12</v>
      </c>
      <c r="W314" s="103">
        <v>0.15</v>
      </c>
      <c r="X314" s="103">
        <v>6748.62</v>
      </c>
      <c r="Y314" s="103">
        <v>0</v>
      </c>
      <c r="Z314" s="103">
        <v>54159</v>
      </c>
      <c r="AA314" s="116">
        <v>79</v>
      </c>
      <c r="AB314" s="103"/>
      <c r="AC314" s="112"/>
      <c r="AD314" s="103"/>
      <c r="AE314" s="116"/>
    </row>
    <row r="315" spans="1:31" ht="6.95" customHeight="1">
      <c r="E315" s="104"/>
      <c r="G315" s="104"/>
      <c r="I315" s="104"/>
      <c r="J315" s="104"/>
      <c r="K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</row>
    <row r="316" spans="1:31">
      <c r="A316" s="102">
        <f>A313+1</f>
        <v>45669</v>
      </c>
      <c r="B316" s="102" t="s">
        <v>3503</v>
      </c>
      <c r="C316" s="110" t="str">
        <f>A316 &amp; " " &amp;B316</f>
        <v>45669 0000H</v>
      </c>
      <c r="D316" s="111">
        <v>1152.05</v>
      </c>
      <c r="E316" s="116">
        <v>49.67</v>
      </c>
      <c r="F316" s="111">
        <v>1108.67</v>
      </c>
      <c r="G316" s="116">
        <v>6.2</v>
      </c>
      <c r="H316" s="111">
        <v>74168</v>
      </c>
      <c r="I316" s="103">
        <v>902.86</v>
      </c>
      <c r="J316" s="103">
        <v>33147.480000000003</v>
      </c>
      <c r="K316" s="116">
        <v>104.45</v>
      </c>
      <c r="L316" s="111">
        <v>5834.79</v>
      </c>
      <c r="M316" s="103">
        <v>15.78</v>
      </c>
      <c r="N316" s="103">
        <v>33197.300000000003</v>
      </c>
      <c r="O316" s="103">
        <v>29.1</v>
      </c>
      <c r="P316" s="103">
        <v>623.86</v>
      </c>
      <c r="Q316" s="103">
        <v>709.49</v>
      </c>
      <c r="R316" s="103">
        <v>10136.870000000001</v>
      </c>
      <c r="S316" s="103">
        <v>9.0399999999999991</v>
      </c>
      <c r="T316" s="103">
        <v>36168</v>
      </c>
      <c r="U316" s="103">
        <v>69</v>
      </c>
      <c r="V316" s="103">
        <v>256.12</v>
      </c>
      <c r="W316" s="103">
        <v>0.15</v>
      </c>
      <c r="X316" s="103">
        <v>6760.66</v>
      </c>
      <c r="Y316" s="103">
        <v>0</v>
      </c>
      <c r="Z316" s="103">
        <v>54159</v>
      </c>
      <c r="AA316" s="116">
        <v>79</v>
      </c>
      <c r="AB316" s="103"/>
      <c r="AC316" s="112"/>
      <c r="AD316" s="103"/>
      <c r="AE316" s="116"/>
    </row>
    <row r="317" spans="1:31">
      <c r="A317" s="102">
        <f>A314+1</f>
        <v>45669</v>
      </c>
      <c r="B317" s="102" t="s">
        <v>3504</v>
      </c>
      <c r="C317" s="110" t="str">
        <f>A317 &amp; " " &amp;B317</f>
        <v>45669 1200H</v>
      </c>
      <c r="D317" s="111">
        <v>1155.0999999999999</v>
      </c>
      <c r="E317" s="116">
        <v>49.67</v>
      </c>
      <c r="F317" s="111">
        <v>1108.67</v>
      </c>
      <c r="G317" s="116">
        <v>6.2</v>
      </c>
      <c r="H317" s="111">
        <v>74173.149999999994</v>
      </c>
      <c r="I317" s="103">
        <v>903.08</v>
      </c>
      <c r="J317" s="103">
        <v>33147.480000000003</v>
      </c>
      <c r="K317" s="116">
        <v>104.5</v>
      </c>
      <c r="L317" s="111">
        <v>5840.53</v>
      </c>
      <c r="M317" s="103">
        <v>15.78</v>
      </c>
      <c r="N317" s="103">
        <v>33201.599999999999</v>
      </c>
      <c r="O317" s="103">
        <v>29.1</v>
      </c>
      <c r="P317" s="103">
        <v>623.92999999999995</v>
      </c>
      <c r="Q317" s="103">
        <v>710.33</v>
      </c>
      <c r="R317" s="103">
        <v>10140.32</v>
      </c>
      <c r="S317" s="103">
        <v>9.0399999999999991</v>
      </c>
      <c r="T317" s="103">
        <v>36173</v>
      </c>
      <c r="U317" s="103">
        <v>69</v>
      </c>
      <c r="V317" s="103">
        <v>256.12</v>
      </c>
      <c r="W317" s="103">
        <v>0.15</v>
      </c>
      <c r="X317" s="103">
        <v>6766.2</v>
      </c>
      <c r="Y317" s="103">
        <v>0</v>
      </c>
      <c r="Z317" s="103">
        <v>54159</v>
      </c>
      <c r="AA317" s="116">
        <v>79</v>
      </c>
      <c r="AB317" s="103"/>
      <c r="AC317" s="112"/>
      <c r="AD317" s="103"/>
      <c r="AE317" s="116"/>
    </row>
    <row r="318" spans="1:31" ht="6.95" customHeight="1">
      <c r="E318" s="104"/>
      <c r="G318" s="104"/>
      <c r="I318" s="104"/>
      <c r="J318" s="104"/>
      <c r="K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</row>
    <row r="319" spans="1:31">
      <c r="A319" s="102">
        <f>A316+1</f>
        <v>45670</v>
      </c>
      <c r="B319" s="102" t="s">
        <v>3503</v>
      </c>
      <c r="C319" s="110" t="str">
        <f>A319 &amp; " " &amp;B319</f>
        <v>45670 0000H</v>
      </c>
      <c r="D319" s="111">
        <v>1158.4100000000001</v>
      </c>
      <c r="E319" s="116">
        <v>49.67</v>
      </c>
      <c r="F319" s="111">
        <v>1108.67</v>
      </c>
      <c r="G319" s="116">
        <v>6.2</v>
      </c>
      <c r="H319" s="111">
        <v>74183.039999999994</v>
      </c>
      <c r="I319" s="103">
        <v>903.08</v>
      </c>
      <c r="J319" s="103">
        <v>33150.050000000003</v>
      </c>
      <c r="K319" s="116">
        <v>104.52</v>
      </c>
      <c r="L319" s="111">
        <v>5846.32</v>
      </c>
      <c r="M319" s="103">
        <v>15.78</v>
      </c>
      <c r="N319" s="103">
        <v>33208</v>
      </c>
      <c r="O319" s="103">
        <v>29.1</v>
      </c>
      <c r="P319" s="103">
        <v>624.86</v>
      </c>
      <c r="Q319" s="103">
        <v>710.71</v>
      </c>
      <c r="R319" s="103">
        <v>10144.76</v>
      </c>
      <c r="S319" s="103">
        <v>9.0399999999999991</v>
      </c>
      <c r="T319" s="103">
        <v>36179</v>
      </c>
      <c r="U319" s="103">
        <v>69</v>
      </c>
      <c r="V319" s="103">
        <v>256.12</v>
      </c>
      <c r="W319" s="103">
        <v>0.15</v>
      </c>
      <c r="X319" s="103">
        <v>6772.59</v>
      </c>
      <c r="Y319" s="103">
        <v>0</v>
      </c>
      <c r="Z319" s="103">
        <v>54159</v>
      </c>
      <c r="AA319" s="116">
        <v>79</v>
      </c>
      <c r="AB319" s="103"/>
      <c r="AC319" s="112"/>
      <c r="AD319" s="103"/>
      <c r="AE319" s="116"/>
    </row>
    <row r="320" spans="1:31">
      <c r="A320" s="102">
        <f>A317+1</f>
        <v>45670</v>
      </c>
      <c r="B320" s="102" t="s">
        <v>3504</v>
      </c>
      <c r="C320" s="110" t="str">
        <f>A320 &amp; " " &amp;B320</f>
        <v>45670 1200H</v>
      </c>
      <c r="D320" s="111">
        <v>1161.78</v>
      </c>
      <c r="E320" s="116">
        <v>49.67</v>
      </c>
      <c r="F320" s="111">
        <v>1108.67</v>
      </c>
      <c r="G320" s="116">
        <v>6.2</v>
      </c>
      <c r="H320" s="111">
        <v>74193.3</v>
      </c>
      <c r="I320" s="103">
        <v>903.08</v>
      </c>
      <c r="J320" s="103">
        <v>33152.36</v>
      </c>
      <c r="K320" s="116">
        <v>104.56</v>
      </c>
      <c r="L320" s="111">
        <v>5851.94</v>
      </c>
      <c r="M320" s="103">
        <v>15.78</v>
      </c>
      <c r="N320" s="103">
        <v>33213.300000000003</v>
      </c>
      <c r="O320" s="103">
        <v>29.1</v>
      </c>
      <c r="P320" s="103">
        <v>625.09</v>
      </c>
      <c r="Q320" s="103">
        <v>711.75</v>
      </c>
      <c r="R320" s="103">
        <v>10148.620000000001</v>
      </c>
      <c r="S320" s="103">
        <v>9.0399999999999991</v>
      </c>
      <c r="T320" s="103">
        <v>36184</v>
      </c>
      <c r="U320" s="103">
        <v>69</v>
      </c>
      <c r="V320" s="103">
        <v>256.12</v>
      </c>
      <c r="W320" s="103">
        <v>0.15</v>
      </c>
      <c r="X320" s="103">
        <v>6778.07</v>
      </c>
      <c r="Y320" s="103">
        <v>0</v>
      </c>
      <c r="Z320" s="103">
        <v>54159</v>
      </c>
      <c r="AA320" s="116">
        <v>79</v>
      </c>
      <c r="AB320" s="103"/>
      <c r="AC320" s="112"/>
      <c r="AD320" s="103"/>
      <c r="AE320" s="116"/>
    </row>
    <row r="321" spans="1:31" ht="6.95" customHeight="1">
      <c r="E321" s="104"/>
      <c r="G321" s="104"/>
      <c r="I321" s="104"/>
      <c r="J321" s="104"/>
      <c r="K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</row>
    <row r="322" spans="1:31">
      <c r="A322" s="102">
        <f>A319+1</f>
        <v>45671</v>
      </c>
      <c r="B322" s="102" t="s">
        <v>3503</v>
      </c>
      <c r="C322" s="110" t="str">
        <f>A322 &amp; " " &amp;B322</f>
        <v>45671 0000H</v>
      </c>
      <c r="D322" s="111">
        <v>1167.02</v>
      </c>
      <c r="E322" s="116">
        <v>49.67</v>
      </c>
      <c r="F322" s="111">
        <v>1108.67</v>
      </c>
      <c r="G322" s="116">
        <v>6.2</v>
      </c>
      <c r="H322" s="111">
        <v>74203.28</v>
      </c>
      <c r="I322" s="103">
        <v>903.08</v>
      </c>
      <c r="J322" s="103">
        <v>33156.089999999997</v>
      </c>
      <c r="K322" s="116">
        <v>104.56</v>
      </c>
      <c r="L322" s="111">
        <v>5857.58</v>
      </c>
      <c r="M322" s="103">
        <v>15.78</v>
      </c>
      <c r="N322" s="103">
        <v>33220.199999999997</v>
      </c>
      <c r="O322" s="103">
        <v>29.1</v>
      </c>
      <c r="P322" s="103">
        <v>625.12</v>
      </c>
      <c r="Q322" s="103">
        <v>713.09</v>
      </c>
      <c r="R322" s="103">
        <v>10153.11</v>
      </c>
      <c r="S322" s="103">
        <v>9.0399999999999991</v>
      </c>
      <c r="T322" s="103">
        <v>36191</v>
      </c>
      <c r="U322" s="103">
        <v>69</v>
      </c>
      <c r="V322" s="103">
        <v>256.12</v>
      </c>
      <c r="W322" s="103">
        <v>0.15</v>
      </c>
      <c r="X322" s="103">
        <v>6784.05</v>
      </c>
      <c r="Y322" s="103">
        <v>0</v>
      </c>
      <c r="Z322" s="103">
        <v>54159</v>
      </c>
      <c r="AA322" s="116">
        <v>79</v>
      </c>
      <c r="AB322" s="103"/>
      <c r="AC322" s="112"/>
      <c r="AD322" s="103"/>
      <c r="AE322" s="116"/>
    </row>
    <row r="323" spans="1:31">
      <c r="A323" s="102">
        <f>A320+1</f>
        <v>45671</v>
      </c>
      <c r="B323" s="102" t="s">
        <v>3504</v>
      </c>
      <c r="C323" s="110" t="str">
        <f>A323 &amp; " " &amp;B323</f>
        <v>45671 1200H</v>
      </c>
      <c r="D323" s="111">
        <v>1170.6099999999999</v>
      </c>
      <c r="E323" s="116">
        <v>49.67</v>
      </c>
      <c r="F323" s="111">
        <v>1108.67</v>
      </c>
      <c r="G323" s="116">
        <v>6.2</v>
      </c>
      <c r="H323" s="111">
        <v>74213.34</v>
      </c>
      <c r="I323" s="103">
        <v>903.08</v>
      </c>
      <c r="J323" s="103">
        <v>33158.400000000001</v>
      </c>
      <c r="K323" s="116">
        <v>104.59</v>
      </c>
      <c r="L323" s="111">
        <v>5863.19</v>
      </c>
      <c r="M323" s="103">
        <v>15.78</v>
      </c>
      <c r="N323" s="103">
        <v>33224.699999999997</v>
      </c>
      <c r="O323" s="103">
        <v>29.1</v>
      </c>
      <c r="P323" s="103">
        <v>625</v>
      </c>
      <c r="Q323" s="103">
        <v>714.06</v>
      </c>
      <c r="R323" s="103">
        <v>10157</v>
      </c>
      <c r="S323" s="103">
        <v>9.0399999999999991</v>
      </c>
      <c r="T323" s="103">
        <v>36196</v>
      </c>
      <c r="U323" s="103">
        <v>69</v>
      </c>
      <c r="V323" s="103">
        <v>256.12</v>
      </c>
      <c r="W323" s="103">
        <v>0.15</v>
      </c>
      <c r="X323" s="103">
        <v>6789.07</v>
      </c>
      <c r="Y323" s="103">
        <v>0</v>
      </c>
      <c r="Z323" s="103">
        <v>54159</v>
      </c>
      <c r="AA323" s="116">
        <v>79</v>
      </c>
      <c r="AB323" s="103"/>
      <c r="AC323" s="112"/>
      <c r="AD323" s="103"/>
      <c r="AE323" s="116"/>
    </row>
    <row r="324" spans="1:31" ht="6.95" customHeight="1">
      <c r="E324" s="104"/>
      <c r="G324" s="104"/>
      <c r="I324" s="104"/>
      <c r="J324" s="104"/>
      <c r="K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</row>
    <row r="325" spans="1:31">
      <c r="A325" s="102">
        <f>A322+1</f>
        <v>45672</v>
      </c>
      <c r="B325" s="102" t="s">
        <v>3503</v>
      </c>
      <c r="C325" s="110" t="str">
        <f>A325 &amp; " " &amp;B325</f>
        <v>45672 0000H</v>
      </c>
      <c r="D325" s="111">
        <v>1175.1600000000001</v>
      </c>
      <c r="E325" s="116">
        <v>49.67</v>
      </c>
      <c r="F325" s="111">
        <v>1108.67</v>
      </c>
      <c r="G325" s="116">
        <v>6.2</v>
      </c>
      <c r="H325" s="111">
        <v>74223.570000000007</v>
      </c>
      <c r="I325" s="103">
        <v>903.08</v>
      </c>
      <c r="J325" s="103">
        <v>33162.15</v>
      </c>
      <c r="K325" s="116">
        <v>104.59</v>
      </c>
      <c r="L325" s="111">
        <v>5869.01</v>
      </c>
      <c r="M325" s="103">
        <v>15.78</v>
      </c>
      <c r="N325" s="103">
        <v>33231.699999999997</v>
      </c>
      <c r="O325" s="103">
        <v>29.1</v>
      </c>
      <c r="P325" s="103">
        <v>626.87</v>
      </c>
      <c r="Q325" s="103">
        <v>714.51</v>
      </c>
      <c r="R325" s="103">
        <v>10161.36</v>
      </c>
      <c r="S325" s="103">
        <v>9.0399999999999991</v>
      </c>
      <c r="T325" s="103">
        <v>36203</v>
      </c>
      <c r="U325" s="103">
        <v>69</v>
      </c>
      <c r="V325" s="103">
        <v>256.12</v>
      </c>
      <c r="W325" s="103">
        <v>0.15</v>
      </c>
      <c r="X325" s="103">
        <v>6795.54</v>
      </c>
      <c r="Y325" s="103">
        <v>0</v>
      </c>
      <c r="Z325" s="103">
        <v>54159</v>
      </c>
      <c r="AA325" s="116">
        <v>79</v>
      </c>
      <c r="AB325" s="103"/>
      <c r="AC325" s="112"/>
      <c r="AD325" s="103"/>
      <c r="AE325" s="116"/>
    </row>
    <row r="326" spans="1:31">
      <c r="A326" s="102">
        <f>A323+1</f>
        <v>45672</v>
      </c>
      <c r="B326" s="102" t="s">
        <v>3504</v>
      </c>
      <c r="C326" s="110" t="str">
        <f>A326 &amp; " " &amp;B326</f>
        <v>45672 1200H</v>
      </c>
      <c r="D326" s="111">
        <v>1178.5999999999999</v>
      </c>
      <c r="E326" s="116">
        <v>49.67</v>
      </c>
      <c r="F326" s="111">
        <v>1108.67</v>
      </c>
      <c r="G326" s="116">
        <v>6.2</v>
      </c>
      <c r="H326" s="111">
        <v>74233.56</v>
      </c>
      <c r="I326" s="103">
        <v>903.08</v>
      </c>
      <c r="J326" s="103">
        <v>33164.1</v>
      </c>
      <c r="K326" s="116">
        <v>104.63</v>
      </c>
      <c r="L326" s="111">
        <v>5874.45</v>
      </c>
      <c r="M326" s="103">
        <v>15.78</v>
      </c>
      <c r="N326" s="103">
        <v>33235.800000000003</v>
      </c>
      <c r="O326" s="103">
        <v>29.1</v>
      </c>
      <c r="P326" s="103">
        <v>627.15</v>
      </c>
      <c r="Q326" s="103">
        <v>715.58</v>
      </c>
      <c r="R326" s="103">
        <v>10164.99</v>
      </c>
      <c r="S326" s="103">
        <v>9.0399999999999991</v>
      </c>
      <c r="T326" s="103">
        <v>36209</v>
      </c>
      <c r="U326" s="103">
        <v>69</v>
      </c>
      <c r="V326" s="103">
        <v>256.12</v>
      </c>
      <c r="W326" s="103">
        <v>0.15</v>
      </c>
      <c r="X326" s="103">
        <v>6801.1</v>
      </c>
      <c r="Y326" s="103">
        <v>0</v>
      </c>
      <c r="Z326" s="103">
        <v>54159</v>
      </c>
      <c r="AA326" s="116">
        <v>79</v>
      </c>
      <c r="AB326" s="103"/>
      <c r="AC326" s="112"/>
      <c r="AD326" s="103"/>
      <c r="AE326" s="116"/>
    </row>
    <row r="327" spans="1:31" ht="6.95" customHeight="1">
      <c r="E327" s="104"/>
      <c r="G327" s="104"/>
      <c r="I327" s="104"/>
      <c r="J327" s="104"/>
      <c r="K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</row>
    <row r="328" spans="1:31">
      <c r="A328" s="102">
        <f>A325+1</f>
        <v>45673</v>
      </c>
      <c r="B328" s="102" t="s">
        <v>3503</v>
      </c>
      <c r="C328" s="110" t="str">
        <f>A328 &amp; " " &amp;B328</f>
        <v>45673 0000H</v>
      </c>
      <c r="D328" s="111">
        <v>1183.23</v>
      </c>
      <c r="E328" s="116">
        <v>49.67</v>
      </c>
      <c r="F328" s="111">
        <v>1108.67</v>
      </c>
      <c r="G328" s="116">
        <v>6.2</v>
      </c>
      <c r="H328" s="111">
        <v>74243.820000000007</v>
      </c>
      <c r="I328" s="103">
        <v>903.08</v>
      </c>
      <c r="J328" s="103">
        <v>33167.839999999997</v>
      </c>
      <c r="K328" s="116">
        <v>104.63</v>
      </c>
      <c r="L328" s="111">
        <v>5880.16</v>
      </c>
      <c r="M328" s="103">
        <v>15.78</v>
      </c>
      <c r="N328" s="103">
        <v>33242.800000000003</v>
      </c>
      <c r="O328" s="103">
        <v>29.1</v>
      </c>
      <c r="P328" s="103">
        <v>627.39</v>
      </c>
      <c r="Q328" s="103">
        <v>716.19</v>
      </c>
      <c r="R328" s="103">
        <v>10169.34</v>
      </c>
      <c r="S328" s="103">
        <v>9.0399999999999991</v>
      </c>
      <c r="T328" s="103">
        <v>36216</v>
      </c>
      <c r="U328" s="103">
        <v>69</v>
      </c>
      <c r="V328" s="103">
        <v>256.12</v>
      </c>
      <c r="W328" s="103">
        <v>0.15</v>
      </c>
      <c r="X328" s="103">
        <v>6807.84</v>
      </c>
      <c r="Y328" s="103">
        <v>0</v>
      </c>
      <c r="Z328" s="103">
        <v>54159</v>
      </c>
      <c r="AA328" s="116">
        <v>79</v>
      </c>
      <c r="AB328" s="103"/>
      <c r="AC328" s="112"/>
      <c r="AD328" s="103"/>
      <c r="AE328" s="116"/>
    </row>
    <row r="329" spans="1:31">
      <c r="A329" s="102">
        <f>A326+1</f>
        <v>45673</v>
      </c>
      <c r="B329" s="102" t="s">
        <v>3504</v>
      </c>
      <c r="C329" s="110" t="str">
        <f>A329 &amp; " " &amp;B329</f>
        <v>45673 1200H</v>
      </c>
      <c r="D329" s="111">
        <v>1187.01</v>
      </c>
      <c r="E329" s="116">
        <v>49.67</v>
      </c>
      <c r="F329" s="111">
        <v>1108.67</v>
      </c>
      <c r="G329" s="116">
        <v>6.2</v>
      </c>
      <c r="H329" s="111">
        <v>74248.08</v>
      </c>
      <c r="I329" s="103">
        <v>903.34</v>
      </c>
      <c r="J329" s="103">
        <v>33171.620000000003</v>
      </c>
      <c r="K329" s="116">
        <v>104.63</v>
      </c>
      <c r="L329" s="111">
        <v>5885.71</v>
      </c>
      <c r="M329" s="103">
        <v>15.78</v>
      </c>
      <c r="N329" s="103">
        <v>33247.4</v>
      </c>
      <c r="O329" s="103">
        <v>29.1</v>
      </c>
      <c r="P329" s="103">
        <v>627.9</v>
      </c>
      <c r="Q329" s="103">
        <v>717.04</v>
      </c>
      <c r="R329" s="103">
        <v>10173.14</v>
      </c>
      <c r="S329" s="103">
        <v>9.0399999999999991</v>
      </c>
      <c r="T329" s="103">
        <v>36223</v>
      </c>
      <c r="U329" s="103">
        <v>69</v>
      </c>
      <c r="V329" s="103">
        <v>256.12</v>
      </c>
      <c r="W329" s="103">
        <v>0.15</v>
      </c>
      <c r="X329" s="103">
        <v>6807.84</v>
      </c>
      <c r="Y329" s="103">
        <v>0</v>
      </c>
      <c r="Z329" s="103">
        <v>54159</v>
      </c>
      <c r="AA329" s="116">
        <v>79</v>
      </c>
      <c r="AB329" s="103"/>
      <c r="AC329" s="112"/>
      <c r="AD329" s="103"/>
      <c r="AE329" s="116"/>
    </row>
    <row r="330" spans="1:31" ht="6.95" customHeight="1">
      <c r="E330" s="104"/>
      <c r="G330" s="104"/>
      <c r="I330" s="104"/>
      <c r="J330" s="104"/>
      <c r="K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</row>
    <row r="331" spans="1:31">
      <c r="A331" s="102">
        <f>A328+1</f>
        <v>45674</v>
      </c>
      <c r="B331" s="102" t="s">
        <v>3503</v>
      </c>
      <c r="C331" s="110" t="str">
        <f>A331 &amp; " " &amp;B331</f>
        <v>45674 0000H</v>
      </c>
      <c r="D331" s="111">
        <v>1192.55</v>
      </c>
      <c r="E331" s="116">
        <v>49.67</v>
      </c>
      <c r="F331" s="111">
        <v>1108.67</v>
      </c>
      <c r="G331" s="116">
        <v>6.2</v>
      </c>
      <c r="H331" s="111">
        <v>74255.67</v>
      </c>
      <c r="I331" s="103">
        <v>903.42</v>
      </c>
      <c r="J331" s="103">
        <v>33175.410000000003</v>
      </c>
      <c r="K331" s="116">
        <v>104.63</v>
      </c>
      <c r="L331" s="111">
        <v>5891.42</v>
      </c>
      <c r="M331" s="103">
        <v>15.78</v>
      </c>
      <c r="N331" s="103">
        <v>33254.699999999997</v>
      </c>
      <c r="O331" s="103">
        <v>29.1</v>
      </c>
      <c r="P331" s="103">
        <v>628.26</v>
      </c>
      <c r="Q331" s="103">
        <v>717.66</v>
      </c>
      <c r="R331" s="103">
        <v>10177.629999999999</v>
      </c>
      <c r="S331" s="103">
        <v>9.0399999999999991</v>
      </c>
      <c r="T331" s="103">
        <v>36230</v>
      </c>
      <c r="U331" s="103">
        <v>69</v>
      </c>
      <c r="V331" s="103">
        <v>256.12</v>
      </c>
      <c r="W331" s="103">
        <v>0.15</v>
      </c>
      <c r="X331" s="103">
        <v>6819.75</v>
      </c>
      <c r="Y331" s="103">
        <v>0</v>
      </c>
      <c r="Z331" s="103">
        <v>54159</v>
      </c>
      <c r="AA331" s="116">
        <v>79</v>
      </c>
      <c r="AB331" s="103"/>
      <c r="AC331" s="112"/>
      <c r="AD331" s="103"/>
      <c r="AE331" s="116"/>
    </row>
    <row r="332" spans="1:31">
      <c r="A332" s="102">
        <f>A329+1</f>
        <v>45674</v>
      </c>
      <c r="B332" s="102" t="s">
        <v>3504</v>
      </c>
      <c r="C332" s="110" t="str">
        <f>A332 &amp; " " &amp;B332</f>
        <v>45674 1200H</v>
      </c>
      <c r="D332" s="111">
        <v>1196.22</v>
      </c>
      <c r="E332" s="116">
        <v>49.67</v>
      </c>
      <c r="F332" s="111">
        <v>1108.67</v>
      </c>
      <c r="G332" s="116">
        <v>6.2</v>
      </c>
      <c r="H332" s="111">
        <v>74256.72</v>
      </c>
      <c r="I332" s="103">
        <v>903.83</v>
      </c>
      <c r="J332" s="103">
        <v>33179.160000000003</v>
      </c>
      <c r="K332" s="116">
        <v>104.63</v>
      </c>
      <c r="L332" s="111">
        <v>5897.16</v>
      </c>
      <c r="M332" s="103">
        <v>15.78</v>
      </c>
      <c r="N332" s="103">
        <v>33260.400000000001</v>
      </c>
      <c r="O332" s="103">
        <v>29.1</v>
      </c>
      <c r="P332" s="103">
        <v>628.79999999999995</v>
      </c>
      <c r="Q332" s="103">
        <v>718.61</v>
      </c>
      <c r="R332" s="103">
        <v>10181.280000000001</v>
      </c>
      <c r="S332" s="103">
        <v>9.0399999999999991</v>
      </c>
      <c r="T332" s="103">
        <v>36236</v>
      </c>
      <c r="U332" s="103">
        <v>69</v>
      </c>
      <c r="V332" s="103">
        <v>256.12</v>
      </c>
      <c r="W332" s="103">
        <v>0.15</v>
      </c>
      <c r="X332" s="103">
        <v>6825.73</v>
      </c>
      <c r="Y332" s="103">
        <v>0</v>
      </c>
      <c r="Z332" s="103">
        <v>54159</v>
      </c>
      <c r="AA332" s="116">
        <v>79</v>
      </c>
      <c r="AB332" s="103"/>
      <c r="AC332" s="112"/>
      <c r="AD332" s="103"/>
      <c r="AE332" s="116"/>
    </row>
    <row r="333" spans="1:31" ht="6.95" customHeight="1">
      <c r="E333" s="104"/>
      <c r="G333" s="104"/>
      <c r="I333" s="104"/>
      <c r="J333" s="104"/>
      <c r="K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</row>
    <row r="334" spans="1:31">
      <c r="A334" s="102">
        <f>A331+1</f>
        <v>45675</v>
      </c>
      <c r="B334" s="102" t="s">
        <v>3503</v>
      </c>
      <c r="C334" s="110" t="str">
        <f>A334 &amp; " " &amp;B334</f>
        <v>45675 0000H</v>
      </c>
      <c r="D334" s="111">
        <v>1201.6199999999999</v>
      </c>
      <c r="E334" s="116">
        <v>49.67</v>
      </c>
      <c r="F334" s="111">
        <v>1108.67</v>
      </c>
      <c r="G334" s="116">
        <v>6.2</v>
      </c>
      <c r="H334" s="111">
        <v>74266.559999999998</v>
      </c>
      <c r="I334" s="103">
        <v>908.83</v>
      </c>
      <c r="J334" s="103">
        <v>33182.9</v>
      </c>
      <c r="K334" s="116">
        <v>104.63</v>
      </c>
      <c r="L334" s="111">
        <v>5902.96</v>
      </c>
      <c r="M334" s="103">
        <v>15.78</v>
      </c>
      <c r="N334" s="103">
        <v>33267.699999999997</v>
      </c>
      <c r="O334" s="103">
        <v>29.1</v>
      </c>
      <c r="P334" s="103">
        <v>628.98</v>
      </c>
      <c r="Q334" s="103">
        <v>719.95</v>
      </c>
      <c r="R334" s="103">
        <v>10185.82</v>
      </c>
      <c r="S334" s="103">
        <v>9.0399999999999991</v>
      </c>
      <c r="T334" s="103">
        <v>36244</v>
      </c>
      <c r="U334" s="103">
        <v>69</v>
      </c>
      <c r="V334" s="103">
        <v>256.12</v>
      </c>
      <c r="W334" s="103">
        <v>0.15</v>
      </c>
      <c r="X334" s="103">
        <v>6832.97</v>
      </c>
      <c r="Y334" s="103">
        <v>0</v>
      </c>
      <c r="Z334" s="103">
        <v>54159</v>
      </c>
      <c r="AA334" s="116">
        <v>79</v>
      </c>
      <c r="AB334" s="103"/>
      <c r="AC334" s="112"/>
      <c r="AD334" s="103"/>
      <c r="AE334" s="116"/>
    </row>
    <row r="335" spans="1:31">
      <c r="A335" s="102">
        <f>A332+1</f>
        <v>45675</v>
      </c>
      <c r="B335" s="102" t="s">
        <v>3504</v>
      </c>
      <c r="C335" s="110" t="str">
        <f>A335 &amp; " " &amp;B335</f>
        <v>45675 1200H</v>
      </c>
      <c r="D335" s="111">
        <v>1204.46</v>
      </c>
      <c r="E335" s="116">
        <v>49.67</v>
      </c>
      <c r="F335" s="111">
        <v>1108.67</v>
      </c>
      <c r="G335" s="116">
        <v>6.2</v>
      </c>
      <c r="H335" s="111">
        <v>74274.05</v>
      </c>
      <c r="I335" s="103">
        <v>903.85</v>
      </c>
      <c r="J335" s="103">
        <v>33182.949999999997</v>
      </c>
      <c r="K335" s="116">
        <v>104.68</v>
      </c>
      <c r="L335" s="111">
        <v>5907.72</v>
      </c>
      <c r="M335" s="103">
        <v>15.78</v>
      </c>
      <c r="N335" s="103">
        <v>33271.599999999999</v>
      </c>
      <c r="O335" s="103">
        <v>29.1</v>
      </c>
      <c r="P335" s="103">
        <v>629</v>
      </c>
      <c r="Q335" s="103">
        <v>720.8</v>
      </c>
      <c r="R335" s="103">
        <v>10188.469999999999</v>
      </c>
      <c r="S335" s="103">
        <v>9.0399999999999991</v>
      </c>
      <c r="T335" s="103">
        <v>36250</v>
      </c>
      <c r="U335" s="103">
        <v>69</v>
      </c>
      <c r="V335" s="103">
        <v>259.31</v>
      </c>
      <c r="W335" s="103">
        <v>0.15</v>
      </c>
      <c r="X335" s="103">
        <v>6839.09</v>
      </c>
      <c r="Y335" s="103">
        <v>0</v>
      </c>
      <c r="Z335" s="103">
        <v>54159</v>
      </c>
      <c r="AA335" s="116">
        <v>79</v>
      </c>
      <c r="AB335" s="103"/>
      <c r="AC335" s="112"/>
      <c r="AD335" s="103"/>
      <c r="AE335" s="116"/>
    </row>
    <row r="336" spans="1:31" ht="6.95" customHeight="1">
      <c r="E336" s="104"/>
      <c r="G336" s="104"/>
      <c r="I336" s="104"/>
      <c r="J336" s="104"/>
      <c r="K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</row>
    <row r="337" spans="1:31">
      <c r="A337" s="102">
        <f>A334+1</f>
        <v>45676</v>
      </c>
      <c r="B337" s="102" t="s">
        <v>3503</v>
      </c>
      <c r="C337" s="110" t="str">
        <f>A337 &amp; " " &amp;B337</f>
        <v>45676 0000H</v>
      </c>
      <c r="D337" s="111">
        <v>1208.67</v>
      </c>
      <c r="E337" s="116">
        <v>49.67</v>
      </c>
      <c r="F337" s="111">
        <v>1108.67</v>
      </c>
      <c r="G337" s="116">
        <v>6.2</v>
      </c>
      <c r="H337" s="111">
        <v>74284.08</v>
      </c>
      <c r="I337" s="103">
        <v>903.85</v>
      </c>
      <c r="J337" s="103">
        <v>33182.949999999997</v>
      </c>
      <c r="K337" s="116">
        <v>104.73</v>
      </c>
      <c r="L337" s="111">
        <v>5913.37</v>
      </c>
      <c r="M337" s="103">
        <v>15.78</v>
      </c>
      <c r="N337" s="103">
        <v>33278.6</v>
      </c>
      <c r="O337" s="103">
        <v>29.1</v>
      </c>
      <c r="P337" s="103">
        <v>629.11</v>
      </c>
      <c r="Q337" s="103">
        <v>721.69</v>
      </c>
      <c r="R337" s="103">
        <v>10193.120000000001</v>
      </c>
      <c r="S337" s="103">
        <v>9.0399999999999991</v>
      </c>
      <c r="T337" s="103">
        <v>36256</v>
      </c>
      <c r="U337" s="103">
        <v>69</v>
      </c>
      <c r="V337" s="103">
        <v>259.31</v>
      </c>
      <c r="W337" s="103">
        <v>0.15</v>
      </c>
      <c r="X337" s="103">
        <v>6846.3</v>
      </c>
      <c r="Y337" s="103">
        <v>0</v>
      </c>
      <c r="Z337" s="103">
        <v>54159</v>
      </c>
      <c r="AA337" s="116">
        <v>79</v>
      </c>
      <c r="AB337" s="103"/>
      <c r="AC337" s="112"/>
      <c r="AD337" s="103"/>
      <c r="AE337" s="116"/>
    </row>
    <row r="338" spans="1:31">
      <c r="A338" s="102">
        <f>A335+1</f>
        <v>45676</v>
      </c>
      <c r="B338" s="102" t="s">
        <v>3504</v>
      </c>
      <c r="C338" s="110" t="str">
        <f>A338 &amp; " " &amp;B338</f>
        <v>45676 1200H</v>
      </c>
      <c r="D338" s="111">
        <v>1218.82</v>
      </c>
      <c r="E338" s="116">
        <v>49.67</v>
      </c>
      <c r="F338" s="111">
        <v>1108.67</v>
      </c>
      <c r="G338" s="116">
        <v>6.2</v>
      </c>
      <c r="H338" s="111">
        <v>74293.62</v>
      </c>
      <c r="I338" s="103">
        <v>903.85</v>
      </c>
      <c r="J338" s="103">
        <v>33182.949999999997</v>
      </c>
      <c r="K338" s="116">
        <v>104.79</v>
      </c>
      <c r="L338" s="111">
        <v>5918.87</v>
      </c>
      <c r="M338" s="103">
        <v>15.78</v>
      </c>
      <c r="N338" s="103">
        <v>33280.300000000003</v>
      </c>
      <c r="O338" s="103">
        <v>29.2</v>
      </c>
      <c r="P338" s="103">
        <v>629.12</v>
      </c>
      <c r="Q338" s="103">
        <v>722.57</v>
      </c>
      <c r="R338" s="103">
        <v>10196.85</v>
      </c>
      <c r="S338" s="103">
        <v>9.0399999999999991</v>
      </c>
      <c r="T338" s="103">
        <v>36262</v>
      </c>
      <c r="U338" s="103">
        <v>69</v>
      </c>
      <c r="V338" s="103">
        <v>263.67</v>
      </c>
      <c r="W338" s="103">
        <v>0.15</v>
      </c>
      <c r="X338" s="103">
        <v>6852.33</v>
      </c>
      <c r="Y338" s="103">
        <v>0</v>
      </c>
      <c r="Z338" s="103">
        <v>54159</v>
      </c>
      <c r="AA338" s="116">
        <v>79</v>
      </c>
      <c r="AB338" s="103"/>
      <c r="AC338" s="112"/>
      <c r="AD338" s="103"/>
      <c r="AE338" s="116"/>
    </row>
    <row r="339" spans="1:31" ht="6.95" customHeight="1">
      <c r="E339" s="104"/>
      <c r="G339" s="104"/>
      <c r="I339" s="104"/>
      <c r="J339" s="104"/>
      <c r="K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</row>
    <row r="340" spans="1:31">
      <c r="A340" s="102">
        <f>A337+1</f>
        <v>45677</v>
      </c>
      <c r="B340" s="102" t="s">
        <v>3503</v>
      </c>
      <c r="C340" s="110" t="str">
        <f>A340 &amp; " " &amp;B340</f>
        <v>45677 0000H</v>
      </c>
      <c r="D340" s="111">
        <v>1216.3699999999999</v>
      </c>
      <c r="E340" s="116">
        <v>49.67</v>
      </c>
      <c r="F340" s="111">
        <v>1108.67</v>
      </c>
      <c r="G340" s="116">
        <v>6.2</v>
      </c>
      <c r="H340" s="111">
        <v>74302.81</v>
      </c>
      <c r="I340" s="103">
        <v>903.05</v>
      </c>
      <c r="J340" s="103">
        <v>33186.050000000003</v>
      </c>
      <c r="K340" s="116">
        <v>104.8</v>
      </c>
      <c r="L340" s="111">
        <v>5924.57</v>
      </c>
      <c r="M340" s="103">
        <v>15.78</v>
      </c>
      <c r="N340" s="103">
        <v>33287.699999999997</v>
      </c>
      <c r="O340" s="103">
        <v>29.2</v>
      </c>
      <c r="P340" s="103">
        <v>629.23</v>
      </c>
      <c r="Q340" s="103">
        <v>724.22</v>
      </c>
      <c r="R340" s="103">
        <v>10201.26</v>
      </c>
      <c r="S340" s="103">
        <v>9.0399999999999991</v>
      </c>
      <c r="T340" s="103">
        <v>36269</v>
      </c>
      <c r="U340" s="103">
        <v>69</v>
      </c>
      <c r="V340" s="103">
        <v>263.67</v>
      </c>
      <c r="W340" s="103">
        <v>0.15</v>
      </c>
      <c r="X340" s="103">
        <v>6854.21</v>
      </c>
      <c r="Y340" s="103">
        <v>0</v>
      </c>
      <c r="Z340" s="103">
        <v>54159</v>
      </c>
      <c r="AA340" s="116">
        <v>79</v>
      </c>
      <c r="AB340" s="103"/>
      <c r="AC340" s="112"/>
      <c r="AD340" s="103"/>
      <c r="AE340" s="116"/>
    </row>
    <row r="341" spans="1:31">
      <c r="A341" s="102">
        <f>A338+1</f>
        <v>45677</v>
      </c>
      <c r="B341" s="102" t="s">
        <v>3504</v>
      </c>
      <c r="C341" s="110" t="str">
        <f>A341 &amp; " " &amp;B341</f>
        <v>45677 1200H</v>
      </c>
      <c r="D341" s="111">
        <v>1220.19</v>
      </c>
      <c r="E341" s="116">
        <v>49.67</v>
      </c>
      <c r="F341" s="111">
        <v>1108.67</v>
      </c>
      <c r="G341" s="116">
        <v>6.2</v>
      </c>
      <c r="H341" s="111">
        <v>74307.22</v>
      </c>
      <c r="I341" s="103">
        <v>904.07</v>
      </c>
      <c r="J341" s="103">
        <v>33188.31</v>
      </c>
      <c r="K341" s="116">
        <v>104.84</v>
      </c>
      <c r="L341" s="111">
        <v>5930.3</v>
      </c>
      <c r="M341" s="103">
        <v>15.78</v>
      </c>
      <c r="N341" s="103">
        <v>33291.199999999997</v>
      </c>
      <c r="O341" s="103">
        <v>29.2</v>
      </c>
      <c r="P341" s="103">
        <v>629.92999999999995</v>
      </c>
      <c r="Q341" s="103">
        <v>724.92</v>
      </c>
      <c r="R341" s="103">
        <v>10204.89</v>
      </c>
      <c r="S341" s="103">
        <v>9.0399999999999991</v>
      </c>
      <c r="T341" s="103">
        <v>36276</v>
      </c>
      <c r="U341" s="103">
        <v>69</v>
      </c>
      <c r="V341" s="103">
        <v>263.67</v>
      </c>
      <c r="W341" s="103">
        <v>0.15</v>
      </c>
      <c r="X341" s="103">
        <v>6860.43</v>
      </c>
      <c r="Y341" s="103">
        <v>0</v>
      </c>
      <c r="Z341" s="103">
        <v>54160</v>
      </c>
      <c r="AA341" s="116">
        <v>79</v>
      </c>
      <c r="AB341" s="103"/>
      <c r="AC341" s="112"/>
      <c r="AD341" s="103"/>
      <c r="AE341" s="116"/>
    </row>
    <row r="342" spans="1:31" ht="6.95" customHeight="1">
      <c r="E342" s="104"/>
      <c r="G342" s="104"/>
      <c r="I342" s="104"/>
      <c r="J342" s="104"/>
      <c r="K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</row>
    <row r="343" spans="1:31">
      <c r="A343" s="102">
        <f>A340+1</f>
        <v>45678</v>
      </c>
      <c r="B343" s="102" t="s">
        <v>3503</v>
      </c>
      <c r="C343" s="110" t="str">
        <f>A343 &amp; " " &amp;B343</f>
        <v>45678 0000H</v>
      </c>
      <c r="D343" s="111">
        <v>1226.02</v>
      </c>
      <c r="E343" s="116">
        <v>49.67</v>
      </c>
      <c r="F343" s="111">
        <v>1108.67</v>
      </c>
      <c r="G343" s="116">
        <v>6.2</v>
      </c>
      <c r="H343" s="111">
        <v>74315.92</v>
      </c>
      <c r="I343" s="103">
        <v>904.12</v>
      </c>
      <c r="J343" s="103">
        <v>33192.019999999997</v>
      </c>
      <c r="K343" s="116">
        <v>104.84</v>
      </c>
      <c r="L343" s="111">
        <v>5935.96</v>
      </c>
      <c r="M343" s="103">
        <v>15.78</v>
      </c>
      <c r="N343" s="103">
        <v>33296.199999999997</v>
      </c>
      <c r="O343" s="103">
        <v>29.2</v>
      </c>
      <c r="P343" s="103">
        <v>630.62</v>
      </c>
      <c r="Q343" s="103">
        <v>725.86</v>
      </c>
      <c r="R343" s="103">
        <v>10209.43</v>
      </c>
      <c r="S343" s="103">
        <v>9.0399999999999991</v>
      </c>
      <c r="T343" s="103">
        <v>36283</v>
      </c>
      <c r="U343" s="103">
        <v>69</v>
      </c>
      <c r="V343" s="103">
        <v>263.67</v>
      </c>
      <c r="W343" s="103">
        <v>0.15</v>
      </c>
      <c r="X343" s="103">
        <v>6866.17</v>
      </c>
      <c r="Y343" s="103">
        <v>0</v>
      </c>
      <c r="Z343" s="103">
        <v>54162</v>
      </c>
      <c r="AA343" s="116">
        <v>79</v>
      </c>
      <c r="AB343" s="103"/>
      <c r="AC343" s="112"/>
      <c r="AD343" s="103"/>
      <c r="AE343" s="116"/>
    </row>
    <row r="344" spans="1:31">
      <c r="A344" s="102">
        <f>A341+1</f>
        <v>45678</v>
      </c>
      <c r="B344" s="102" t="s">
        <v>3504</v>
      </c>
      <c r="C344" s="110" t="str">
        <f>A344 &amp; " " &amp;B344</f>
        <v>45678 1200H</v>
      </c>
      <c r="D344" s="111">
        <v>1229.72</v>
      </c>
      <c r="E344" s="116">
        <v>49.67</v>
      </c>
      <c r="F344" s="111">
        <v>1108.67</v>
      </c>
      <c r="G344" s="116">
        <v>6.2</v>
      </c>
      <c r="H344" s="111">
        <v>74321.39</v>
      </c>
      <c r="I344" s="103">
        <v>904.32</v>
      </c>
      <c r="J344" s="103">
        <v>33195.839999999997</v>
      </c>
      <c r="K344" s="116">
        <v>104.84</v>
      </c>
      <c r="L344" s="111">
        <v>5941.66</v>
      </c>
      <c r="M344" s="103">
        <v>15.78</v>
      </c>
      <c r="N344" s="103">
        <v>33301.1</v>
      </c>
      <c r="O344" s="103">
        <v>29.2</v>
      </c>
      <c r="P344" s="103">
        <v>630.64</v>
      </c>
      <c r="Q344" s="103">
        <v>727.13</v>
      </c>
      <c r="R344" s="103">
        <v>10213.18</v>
      </c>
      <c r="S344" s="103">
        <v>9.0399999999999991</v>
      </c>
      <c r="T344" s="103">
        <v>36289</v>
      </c>
      <c r="U344" s="103">
        <v>69</v>
      </c>
      <c r="V344" s="103">
        <v>263.67</v>
      </c>
      <c r="W344" s="103">
        <v>0.15</v>
      </c>
      <c r="X344" s="103">
        <v>6872.56</v>
      </c>
      <c r="Y344" s="103">
        <v>0</v>
      </c>
      <c r="Z344" s="103">
        <v>54162</v>
      </c>
      <c r="AA344" s="116">
        <v>79</v>
      </c>
      <c r="AB344" s="103"/>
      <c r="AC344" s="112"/>
      <c r="AD344" s="103"/>
      <c r="AE344" s="116"/>
    </row>
    <row r="345" spans="1:31" ht="6" customHeight="1"/>
    <row r="346" spans="1:31">
      <c r="A346" s="102">
        <f>A343+1</f>
        <v>45679</v>
      </c>
      <c r="B346" s="102" t="s">
        <v>3503</v>
      </c>
      <c r="C346" s="110" t="str">
        <f>A346 &amp; " " &amp;B346</f>
        <v>45679 0000H</v>
      </c>
      <c r="D346" s="111">
        <v>1234.06</v>
      </c>
      <c r="E346" s="116">
        <v>49.67</v>
      </c>
      <c r="F346" s="111">
        <v>1108.67</v>
      </c>
      <c r="G346" s="116">
        <v>6.2</v>
      </c>
      <c r="H346" s="111">
        <v>74331.539999999994</v>
      </c>
      <c r="I346" s="103">
        <v>904.32</v>
      </c>
      <c r="J346" s="103">
        <v>33199.550000000003</v>
      </c>
      <c r="K346" s="116">
        <v>104.84</v>
      </c>
      <c r="L346" s="111">
        <v>5947.5</v>
      </c>
      <c r="M346" s="103">
        <v>15.78</v>
      </c>
      <c r="N346" s="103">
        <v>33308.300000000003</v>
      </c>
      <c r="O346" s="103">
        <v>29.2</v>
      </c>
      <c r="P346" s="103">
        <v>631.36</v>
      </c>
      <c r="Q346" s="103">
        <v>727.53</v>
      </c>
      <c r="R346" s="103">
        <v>10217.290000000001</v>
      </c>
      <c r="S346" s="103">
        <v>9.0399999999999991</v>
      </c>
      <c r="T346" s="103">
        <v>36297</v>
      </c>
      <c r="U346" s="103">
        <v>69</v>
      </c>
      <c r="V346" s="103">
        <v>263.67</v>
      </c>
      <c r="W346" s="103">
        <v>0.15</v>
      </c>
      <c r="X346" s="103">
        <v>6879.9</v>
      </c>
      <c r="Y346" s="103">
        <v>0</v>
      </c>
      <c r="Z346" s="103">
        <v>54162</v>
      </c>
      <c r="AA346" s="116">
        <v>79</v>
      </c>
      <c r="AB346" s="103"/>
      <c r="AC346" s="112"/>
      <c r="AD346" s="103"/>
      <c r="AE346" s="116"/>
    </row>
    <row r="347" spans="1:31">
      <c r="A347" s="102">
        <f>A344+1</f>
        <v>45679</v>
      </c>
      <c r="B347" s="102" t="s">
        <v>3504</v>
      </c>
      <c r="C347" s="110" t="str">
        <f>A347 &amp; " " &amp;B347</f>
        <v>45679 1200H</v>
      </c>
      <c r="D347" s="111">
        <v>1237.8900000000001</v>
      </c>
      <c r="E347" s="116">
        <v>49.67</v>
      </c>
      <c r="F347" s="111">
        <v>1108.67</v>
      </c>
      <c r="G347" s="116">
        <v>6.2</v>
      </c>
      <c r="H347" s="111">
        <v>74337.460000000006</v>
      </c>
      <c r="I347" s="103">
        <v>904.47</v>
      </c>
      <c r="J347" s="103">
        <v>33203.35</v>
      </c>
      <c r="K347" s="116">
        <v>104.84</v>
      </c>
      <c r="L347" s="111">
        <v>5953.32</v>
      </c>
      <c r="M347" s="103">
        <v>15.78</v>
      </c>
      <c r="N347" s="103">
        <v>33312.800000000003</v>
      </c>
      <c r="O347" s="103">
        <v>29.2</v>
      </c>
      <c r="P347" s="103">
        <v>632.45000000000005</v>
      </c>
      <c r="Q347" s="103">
        <v>728.38</v>
      </c>
      <c r="R347" s="103">
        <v>10221.09</v>
      </c>
      <c r="S347" s="103">
        <v>9.0399999999999991</v>
      </c>
      <c r="T347" s="103">
        <v>36303</v>
      </c>
      <c r="U347" s="103">
        <v>69</v>
      </c>
      <c r="V347" s="103">
        <v>263.67</v>
      </c>
      <c r="W347" s="103">
        <v>0.15</v>
      </c>
      <c r="X347" s="103">
        <v>6885.88</v>
      </c>
      <c r="Y347" s="103">
        <v>0</v>
      </c>
      <c r="Z347" s="103">
        <v>54163</v>
      </c>
      <c r="AA347" s="116">
        <v>79</v>
      </c>
      <c r="AB347" s="103"/>
      <c r="AC347" s="112"/>
      <c r="AD347" s="103"/>
      <c r="AE347" s="116"/>
    </row>
    <row r="348" spans="1:31" ht="6" customHeight="1"/>
    <row r="349" spans="1:31">
      <c r="A349" s="102">
        <f>A346+1</f>
        <v>45680</v>
      </c>
      <c r="B349" s="102" t="s">
        <v>3503</v>
      </c>
      <c r="C349" s="110" t="str">
        <f>A349 &amp; " " &amp;B349</f>
        <v>45680 0000H</v>
      </c>
      <c r="D349" s="111">
        <v>1243.76</v>
      </c>
      <c r="E349" s="116">
        <v>49.67</v>
      </c>
      <c r="F349" s="111">
        <v>1108.67</v>
      </c>
      <c r="G349" s="116">
        <v>6.2</v>
      </c>
      <c r="H349" s="111">
        <v>74347.78</v>
      </c>
      <c r="I349" s="103">
        <v>904.47</v>
      </c>
      <c r="J349" s="103">
        <v>33207.06</v>
      </c>
      <c r="K349" s="116">
        <v>104.84</v>
      </c>
      <c r="L349" s="111">
        <v>5959.15</v>
      </c>
      <c r="M349" s="103">
        <v>15.78</v>
      </c>
      <c r="N349" s="103">
        <v>33319</v>
      </c>
      <c r="O349" s="103">
        <v>29.2</v>
      </c>
      <c r="P349" s="103">
        <v>633.13</v>
      </c>
      <c r="Q349" s="103">
        <v>729.5</v>
      </c>
      <c r="R349" s="103">
        <v>10225.81</v>
      </c>
      <c r="S349" s="103">
        <v>9.0399999999999991</v>
      </c>
      <c r="T349" s="103">
        <v>36311</v>
      </c>
      <c r="U349" s="103">
        <v>69</v>
      </c>
      <c r="V349" s="103">
        <v>263.67</v>
      </c>
      <c r="W349" s="103">
        <v>0.15</v>
      </c>
      <c r="X349" s="103">
        <v>6892.93</v>
      </c>
      <c r="Y349" s="103">
        <v>0</v>
      </c>
      <c r="Z349" s="103">
        <v>54163</v>
      </c>
      <c r="AA349" s="116">
        <v>79</v>
      </c>
      <c r="AB349" s="103"/>
      <c r="AC349" s="112"/>
      <c r="AD349" s="103"/>
      <c r="AE349" s="116"/>
    </row>
    <row r="350" spans="1:31">
      <c r="A350" s="102">
        <f>A347+1</f>
        <v>45680</v>
      </c>
      <c r="B350" s="102" t="s">
        <v>3504</v>
      </c>
      <c r="C350" s="110" t="str">
        <f>A350 &amp; " " &amp;B350</f>
        <v>45680 1200H</v>
      </c>
      <c r="D350" s="111">
        <v>1247.97</v>
      </c>
      <c r="E350" s="116">
        <v>49.67</v>
      </c>
      <c r="F350" s="111">
        <v>1108.67</v>
      </c>
      <c r="G350" s="116">
        <v>6.2</v>
      </c>
      <c r="H350" s="111">
        <v>74357.56</v>
      </c>
      <c r="I350" s="103">
        <v>904.47</v>
      </c>
      <c r="J350" s="103">
        <v>33210.82</v>
      </c>
      <c r="K350" s="116">
        <v>104.84</v>
      </c>
      <c r="L350" s="111">
        <v>5964.7</v>
      </c>
      <c r="M350" s="103">
        <v>15.78</v>
      </c>
      <c r="N350" s="103">
        <v>33324.199999999997</v>
      </c>
      <c r="O350" s="103">
        <v>29.2</v>
      </c>
      <c r="P350" s="103">
        <v>633.13</v>
      </c>
      <c r="Q350" s="103">
        <v>730.99</v>
      </c>
      <c r="R350" s="103">
        <v>10229.65</v>
      </c>
      <c r="S350" s="103">
        <v>9.0399999999999991</v>
      </c>
      <c r="T350" s="103">
        <v>36317</v>
      </c>
      <c r="U350" s="103">
        <v>69</v>
      </c>
      <c r="V350" s="103">
        <v>263.67</v>
      </c>
      <c r="W350" s="103">
        <v>0.15</v>
      </c>
      <c r="X350" s="103">
        <v>6899.04</v>
      </c>
      <c r="Y350" s="103">
        <v>0</v>
      </c>
      <c r="Z350" s="103">
        <v>54163</v>
      </c>
      <c r="AA350" s="116">
        <v>79</v>
      </c>
      <c r="AB350" s="103"/>
      <c r="AC350" s="112"/>
      <c r="AD350" s="103"/>
      <c r="AE350" s="116"/>
    </row>
    <row r="351" spans="1:31" ht="4.5" customHeight="1"/>
    <row r="352" spans="1:31">
      <c r="A352" s="102">
        <f>A349+1</f>
        <v>45681</v>
      </c>
      <c r="B352" s="102" t="s">
        <v>3503</v>
      </c>
      <c r="C352" s="110" t="str">
        <f>A352 &amp; " " &amp;B352</f>
        <v>45681 0000H</v>
      </c>
      <c r="D352" s="111">
        <v>1252.8599999999999</v>
      </c>
      <c r="E352" s="116">
        <v>49.67</v>
      </c>
      <c r="F352" s="111">
        <v>1108.67</v>
      </c>
      <c r="G352" s="116">
        <v>6.2</v>
      </c>
      <c r="H352" s="111">
        <v>74362.22</v>
      </c>
      <c r="I352" s="103">
        <v>904.76</v>
      </c>
      <c r="J352" s="103">
        <v>33213.24</v>
      </c>
      <c r="K352" s="116">
        <v>104.84</v>
      </c>
      <c r="L352" s="111">
        <v>5970.43</v>
      </c>
      <c r="M352" s="103">
        <v>15.78</v>
      </c>
      <c r="N352" s="103">
        <v>33331.5</v>
      </c>
      <c r="O352" s="103">
        <v>29.2</v>
      </c>
      <c r="P352" s="103">
        <v>633.63</v>
      </c>
      <c r="Q352" s="103">
        <v>731.58</v>
      </c>
      <c r="R352" s="103">
        <v>10234.290000000001</v>
      </c>
      <c r="S352" s="103">
        <v>9.0399999999999991</v>
      </c>
      <c r="T352" s="103">
        <v>36325</v>
      </c>
      <c r="U352" s="103">
        <v>69</v>
      </c>
      <c r="V352" s="103">
        <v>263.67</v>
      </c>
      <c r="W352" s="103">
        <v>0.15</v>
      </c>
      <c r="X352" s="103">
        <v>6904.39</v>
      </c>
      <c r="Y352" s="103">
        <v>0</v>
      </c>
      <c r="Z352" s="103">
        <v>54163</v>
      </c>
      <c r="AA352" s="116">
        <v>79</v>
      </c>
      <c r="AB352" s="103"/>
      <c r="AC352" s="112"/>
      <c r="AD352" s="103"/>
      <c r="AE352" s="116"/>
    </row>
    <row r="353" spans="1:31">
      <c r="A353" s="102">
        <f>A350+1</f>
        <v>45681</v>
      </c>
      <c r="B353" s="102" t="s">
        <v>3504</v>
      </c>
      <c r="C353" s="110" t="str">
        <f>A353 &amp; " " &amp;B353</f>
        <v>45681 1200H</v>
      </c>
      <c r="D353" s="111">
        <v>1256.95</v>
      </c>
      <c r="E353" s="116">
        <v>49.67</v>
      </c>
      <c r="F353" s="111">
        <v>1108.67</v>
      </c>
      <c r="G353" s="116">
        <v>6.2</v>
      </c>
      <c r="H353" s="111">
        <v>74362.22</v>
      </c>
      <c r="I353" s="103">
        <v>905.12</v>
      </c>
      <c r="J353" s="103">
        <v>33217.07</v>
      </c>
      <c r="K353" s="116">
        <v>104.87</v>
      </c>
      <c r="L353" s="111">
        <v>5976.12</v>
      </c>
      <c r="M353" s="103">
        <v>15.78</v>
      </c>
      <c r="N353" s="103">
        <v>33338.1</v>
      </c>
      <c r="O353" s="103">
        <v>29.2</v>
      </c>
      <c r="P353" s="103">
        <v>633.94000000000005</v>
      </c>
      <c r="Q353" s="103">
        <v>732.53</v>
      </c>
      <c r="R353" s="103">
        <v>10238.15</v>
      </c>
      <c r="S353" s="103">
        <v>9.0399999999999991</v>
      </c>
      <c r="T353" s="103">
        <v>36331</v>
      </c>
      <c r="U353" s="103">
        <v>69</v>
      </c>
      <c r="V353" s="103">
        <v>263.67</v>
      </c>
      <c r="W353" s="103">
        <v>0.15</v>
      </c>
      <c r="X353" s="103">
        <v>6910</v>
      </c>
      <c r="Y353" s="103">
        <v>0</v>
      </c>
      <c r="Z353" s="103">
        <v>54163</v>
      </c>
      <c r="AA353" s="116">
        <v>79</v>
      </c>
      <c r="AB353" s="103"/>
      <c r="AC353" s="112"/>
      <c r="AD353" s="103"/>
      <c r="AE353" s="116"/>
    </row>
    <row r="354" spans="1:31" ht="6.95" customHeight="1">
      <c r="E354" s="104"/>
      <c r="G354" s="104"/>
      <c r="I354" s="104"/>
      <c r="J354" s="104"/>
      <c r="K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</row>
    <row r="355" spans="1:31">
      <c r="A355" s="102">
        <f>A352+1</f>
        <v>45682</v>
      </c>
      <c r="B355" s="102" t="s">
        <v>3503</v>
      </c>
      <c r="C355" s="110" t="str">
        <f>A355 &amp; " " &amp;B355</f>
        <v>45682 0000H</v>
      </c>
      <c r="D355" s="111">
        <v>1263.3399999999999</v>
      </c>
      <c r="E355" s="116">
        <v>49.67</v>
      </c>
      <c r="F355" s="111">
        <v>1108.67</v>
      </c>
      <c r="G355" s="116">
        <v>6.2</v>
      </c>
      <c r="H355" s="111">
        <v>74362.22</v>
      </c>
      <c r="I355" s="103">
        <v>905.47</v>
      </c>
      <c r="J355" s="103">
        <v>33220.81</v>
      </c>
      <c r="K355" s="116">
        <v>104.87</v>
      </c>
      <c r="L355" s="111">
        <v>5981.9</v>
      </c>
      <c r="M355" s="103">
        <v>15.78</v>
      </c>
      <c r="N355" s="103">
        <v>33345.5</v>
      </c>
      <c r="O355" s="103">
        <v>29.2</v>
      </c>
      <c r="P355" s="103">
        <v>635</v>
      </c>
      <c r="Q355" s="103">
        <v>733.08</v>
      </c>
      <c r="R355" s="103">
        <v>10238.15</v>
      </c>
      <c r="S355" s="103">
        <v>9.0399999999999991</v>
      </c>
      <c r="T355" s="103">
        <v>36339</v>
      </c>
      <c r="U355" s="103">
        <v>69</v>
      </c>
      <c r="V355" s="103">
        <v>263.67</v>
      </c>
      <c r="W355" s="103">
        <v>0.15</v>
      </c>
      <c r="X355" s="103">
        <v>6918.15</v>
      </c>
      <c r="Y355" s="103">
        <v>0</v>
      </c>
      <c r="Z355" s="103">
        <v>54163</v>
      </c>
      <c r="AA355" s="116">
        <v>79</v>
      </c>
      <c r="AB355" s="103"/>
      <c r="AC355" s="112"/>
      <c r="AD355" s="103"/>
      <c r="AE355" s="116"/>
    </row>
    <row r="356" spans="1:31">
      <c r="A356" s="102">
        <f>A353+1</f>
        <v>45682</v>
      </c>
      <c r="B356" s="102" t="s">
        <v>3504</v>
      </c>
      <c r="C356" s="110" t="str">
        <f>A356 &amp; " " &amp;B356</f>
        <v>45682 1200H</v>
      </c>
      <c r="D356" s="345">
        <v>1267.31</v>
      </c>
      <c r="E356" s="346">
        <v>49.67</v>
      </c>
      <c r="F356" s="345">
        <v>1108.67</v>
      </c>
      <c r="G356" s="346">
        <v>6.2</v>
      </c>
      <c r="H356" s="345">
        <v>74362.22</v>
      </c>
      <c r="I356" s="347">
        <v>905.79</v>
      </c>
      <c r="J356" s="347">
        <v>33224.61</v>
      </c>
      <c r="K356" s="346">
        <v>104.87</v>
      </c>
      <c r="L356" s="345">
        <v>5987.12</v>
      </c>
      <c r="M356" s="347">
        <v>15.78</v>
      </c>
      <c r="N356" s="347">
        <v>33351.300000000003</v>
      </c>
      <c r="O356" s="347">
        <v>29.2</v>
      </c>
      <c r="P356" s="347">
        <v>635.05999999999995</v>
      </c>
      <c r="Q356" s="347">
        <v>734.28</v>
      </c>
      <c r="R356" s="347">
        <v>10246.719999999999</v>
      </c>
      <c r="S356" s="347">
        <v>9.0399999999999991</v>
      </c>
      <c r="T356" s="347">
        <v>36344</v>
      </c>
      <c r="U356" s="347">
        <v>69</v>
      </c>
      <c r="V356" s="347">
        <v>263.67</v>
      </c>
      <c r="W356" s="347">
        <v>0.15</v>
      </c>
      <c r="X356" s="347">
        <v>6924.76</v>
      </c>
      <c r="Y356" s="347">
        <v>0</v>
      </c>
      <c r="Z356" s="347">
        <v>54164</v>
      </c>
      <c r="AA356" s="346">
        <v>79</v>
      </c>
      <c r="AB356" s="347"/>
      <c r="AC356" s="348"/>
      <c r="AD356" s="347"/>
      <c r="AE356" s="346"/>
    </row>
    <row r="357" spans="1:31" ht="6.95" customHeight="1">
      <c r="E357" s="104"/>
      <c r="G357" s="104"/>
      <c r="I357" s="104"/>
      <c r="J357" s="104"/>
      <c r="K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</row>
    <row r="358" spans="1:31">
      <c r="A358" s="102">
        <f>A355+1</f>
        <v>45683</v>
      </c>
      <c r="B358" s="102" t="s">
        <v>3503</v>
      </c>
      <c r="C358" s="110" t="str">
        <f>A358 &amp; " " &amp;B358</f>
        <v>45683 0000H</v>
      </c>
      <c r="D358" s="111">
        <v>1273.5899999999999</v>
      </c>
      <c r="E358" s="116">
        <v>49.67</v>
      </c>
      <c r="F358" s="349">
        <v>1108.67</v>
      </c>
      <c r="G358" s="350">
        <v>6.2</v>
      </c>
      <c r="H358" s="111">
        <v>74362.22</v>
      </c>
      <c r="I358" s="103">
        <v>906.03</v>
      </c>
      <c r="J358" s="103">
        <v>33228.33</v>
      </c>
      <c r="K358" s="116">
        <v>104.87</v>
      </c>
      <c r="L358" s="111">
        <v>5991.5</v>
      </c>
      <c r="M358" s="103">
        <v>15.78</v>
      </c>
      <c r="N358" s="103">
        <v>33358.9</v>
      </c>
      <c r="O358" s="103">
        <v>29.2</v>
      </c>
      <c r="P358" s="103">
        <v>635.53</v>
      </c>
      <c r="Q358" s="103">
        <v>734.71</v>
      </c>
      <c r="R358" s="103">
        <v>10251.31</v>
      </c>
      <c r="S358" s="103">
        <v>9.0399999999999991</v>
      </c>
      <c r="T358" s="103">
        <v>36352</v>
      </c>
      <c r="U358" s="103">
        <v>69</v>
      </c>
      <c r="V358" s="103">
        <v>263.67</v>
      </c>
      <c r="W358" s="103">
        <v>0.15</v>
      </c>
      <c r="X358" s="103">
        <v>6931.8</v>
      </c>
      <c r="Y358" s="103">
        <v>0</v>
      </c>
      <c r="Z358" s="103">
        <v>54166</v>
      </c>
      <c r="AA358" s="116">
        <v>79</v>
      </c>
      <c r="AB358" s="103"/>
      <c r="AC358" s="112"/>
      <c r="AD358" s="103"/>
      <c r="AE358" s="116"/>
    </row>
    <row r="359" spans="1:31">
      <c r="A359" s="102">
        <f>A356+1</f>
        <v>45683</v>
      </c>
      <c r="B359" s="102" t="s">
        <v>3504</v>
      </c>
      <c r="C359" s="110" t="str">
        <f>A359 &amp; " " &amp;B359</f>
        <v>45683 1200H</v>
      </c>
      <c r="D359" s="111">
        <v>1277.1500000000001</v>
      </c>
      <c r="E359" s="116">
        <v>49.67</v>
      </c>
      <c r="F359" s="111">
        <v>1108.67</v>
      </c>
      <c r="G359" s="116">
        <v>6.2</v>
      </c>
      <c r="H359" s="111">
        <v>74362.22</v>
      </c>
      <c r="I359" s="103">
        <v>906.23</v>
      </c>
      <c r="J359" s="103">
        <v>33232.160000000003</v>
      </c>
      <c r="K359" s="116">
        <v>104.87</v>
      </c>
      <c r="L359" s="111">
        <v>5996.19</v>
      </c>
      <c r="M359" s="103">
        <v>15.78</v>
      </c>
      <c r="N359" s="103">
        <v>33365.9</v>
      </c>
      <c r="O359" s="103">
        <v>29.2</v>
      </c>
      <c r="P359" s="103">
        <v>635.92999999999995</v>
      </c>
      <c r="Q359" s="103">
        <v>735.79</v>
      </c>
      <c r="R359" s="103">
        <v>10255.02</v>
      </c>
      <c r="S359" s="103">
        <v>9.0399999999999991</v>
      </c>
      <c r="T359" s="103">
        <v>36357</v>
      </c>
      <c r="U359" s="103">
        <v>69</v>
      </c>
      <c r="V359" s="103">
        <v>263.67</v>
      </c>
      <c r="W359" s="103">
        <v>0.15</v>
      </c>
      <c r="X359" s="103">
        <v>6928.25</v>
      </c>
      <c r="Y359" s="103">
        <v>0</v>
      </c>
      <c r="Z359" s="103">
        <v>54167</v>
      </c>
      <c r="AA359" s="116">
        <v>79</v>
      </c>
      <c r="AB359" s="103"/>
      <c r="AC359" s="112"/>
      <c r="AD359" s="103"/>
      <c r="AE359" s="116"/>
    </row>
    <row r="360" spans="1:31" ht="6" customHeight="1"/>
    <row r="361" spans="1:31">
      <c r="A361" s="102">
        <f>A358+1</f>
        <v>45684</v>
      </c>
      <c r="B361" s="102" t="s">
        <v>3503</v>
      </c>
      <c r="C361" s="110" t="str">
        <f>A361 &amp; " " &amp;B361</f>
        <v>45684 0000H</v>
      </c>
      <c r="D361" s="111">
        <v>1283.29</v>
      </c>
      <c r="E361" s="116">
        <v>49.67</v>
      </c>
      <c r="F361" s="111">
        <v>1108.67</v>
      </c>
      <c r="G361" s="116">
        <v>6.2</v>
      </c>
      <c r="H361" s="111">
        <v>74362.38</v>
      </c>
      <c r="I361" s="103">
        <v>906.65</v>
      </c>
      <c r="J361" s="103">
        <v>33235.800000000003</v>
      </c>
      <c r="K361" s="116">
        <v>104.87</v>
      </c>
      <c r="L361" s="111">
        <v>6000.87</v>
      </c>
      <c r="M361" s="103">
        <v>15.78</v>
      </c>
      <c r="N361" s="103">
        <v>33373</v>
      </c>
      <c r="O361" s="103">
        <v>29.2</v>
      </c>
      <c r="P361" s="103">
        <v>635.95000000000005</v>
      </c>
      <c r="Q361" s="103">
        <v>737.21</v>
      </c>
      <c r="R361" s="103">
        <v>10259.629999999999</v>
      </c>
      <c r="S361" s="103">
        <v>9.0399999999999991</v>
      </c>
      <c r="T361" s="103">
        <v>36364</v>
      </c>
      <c r="U361" s="103">
        <v>69</v>
      </c>
      <c r="V361" s="103">
        <v>263.67</v>
      </c>
      <c r="W361" s="103">
        <v>0.15</v>
      </c>
      <c r="X361" s="103">
        <v>6941.25</v>
      </c>
      <c r="Y361" s="103">
        <v>0</v>
      </c>
      <c r="Z361" s="103">
        <v>54167</v>
      </c>
      <c r="AA361" s="116">
        <v>79</v>
      </c>
      <c r="AB361" s="103"/>
      <c r="AC361" s="112"/>
      <c r="AD361" s="103"/>
      <c r="AE361" s="116"/>
    </row>
    <row r="362" spans="1:31">
      <c r="A362" s="102">
        <f>A359+1</f>
        <v>45684</v>
      </c>
      <c r="B362" s="102" t="s">
        <v>3504</v>
      </c>
      <c r="C362" s="110" t="str">
        <f>A362 &amp; " " &amp;B362</f>
        <v>45684 1200H</v>
      </c>
      <c r="D362" s="111">
        <v>1286.98</v>
      </c>
      <c r="E362" s="116">
        <v>49.67</v>
      </c>
      <c r="F362" s="111">
        <v>1108.67</v>
      </c>
      <c r="G362" s="116">
        <v>6.2</v>
      </c>
      <c r="H362" s="111">
        <v>74369.56</v>
      </c>
      <c r="I362" s="103">
        <v>906.65</v>
      </c>
      <c r="J362" s="103">
        <v>33239.519999999997</v>
      </c>
      <c r="K362" s="116">
        <v>104.87</v>
      </c>
      <c r="L362" s="111">
        <v>6005.01</v>
      </c>
      <c r="M362" s="103">
        <v>15.78</v>
      </c>
      <c r="N362" s="103">
        <v>33377.800000000003</v>
      </c>
      <c r="O362" s="103">
        <v>29.2</v>
      </c>
      <c r="P362" s="103">
        <v>636.16999999999996</v>
      </c>
      <c r="Q362" s="103">
        <v>738.04</v>
      </c>
      <c r="R362" s="103">
        <v>10263.280000000001</v>
      </c>
      <c r="S362" s="103">
        <v>9.0399999999999991</v>
      </c>
      <c r="T362" s="103">
        <v>36370</v>
      </c>
      <c r="U362" s="103">
        <v>69</v>
      </c>
      <c r="V362" s="103">
        <v>263.97000000000003</v>
      </c>
      <c r="W362" s="103">
        <v>0.15</v>
      </c>
      <c r="X362" s="103">
        <v>6950.92</v>
      </c>
      <c r="Y362" s="103">
        <v>0</v>
      </c>
      <c r="Z362" s="103">
        <v>54168</v>
      </c>
      <c r="AA362" s="116">
        <v>79</v>
      </c>
      <c r="AB362" s="103"/>
      <c r="AC362" s="112"/>
      <c r="AD362" s="103"/>
      <c r="AE362" s="116"/>
    </row>
    <row r="363" spans="1:31" ht="6" customHeight="1"/>
    <row r="364" spans="1:31">
      <c r="A364" s="102">
        <f>A361+1</f>
        <v>45685</v>
      </c>
      <c r="B364" s="102" t="s">
        <v>3503</v>
      </c>
      <c r="C364" s="110" t="str">
        <f>A364 &amp; " " &amp;B364</f>
        <v>45685 0000H</v>
      </c>
      <c r="D364" s="111">
        <v>1292.94</v>
      </c>
      <c r="E364" s="116">
        <v>49.67</v>
      </c>
      <c r="F364" s="111">
        <v>1108.67</v>
      </c>
      <c r="G364" s="116">
        <v>6.2</v>
      </c>
      <c r="H364" s="111">
        <v>74377.740000000005</v>
      </c>
      <c r="I364" s="103">
        <v>906.65</v>
      </c>
      <c r="J364" s="103">
        <v>33243.269999999997</v>
      </c>
      <c r="K364" s="116">
        <v>104.87</v>
      </c>
      <c r="L364" s="111">
        <v>6010.13</v>
      </c>
      <c r="M364" s="103">
        <v>15.78</v>
      </c>
      <c r="N364" s="103">
        <v>33381.5</v>
      </c>
      <c r="O364" s="103">
        <v>29.2</v>
      </c>
      <c r="P364" s="103">
        <v>636.16999999999996</v>
      </c>
      <c r="Q364" s="103">
        <v>739.54</v>
      </c>
      <c r="R364" s="103">
        <v>10267.41</v>
      </c>
      <c r="S364" s="103">
        <v>9.0399999999999991</v>
      </c>
      <c r="T364" s="103">
        <v>36376</v>
      </c>
      <c r="U364" s="103">
        <v>69</v>
      </c>
      <c r="V364" s="103">
        <v>264.89</v>
      </c>
      <c r="W364" s="103">
        <v>0.16</v>
      </c>
      <c r="X364" s="103">
        <v>6956.06</v>
      </c>
      <c r="Y364" s="103">
        <v>0</v>
      </c>
      <c r="Z364" s="103">
        <v>54169</v>
      </c>
      <c r="AA364" s="116">
        <v>79</v>
      </c>
      <c r="AB364" s="103"/>
      <c r="AC364" s="112"/>
      <c r="AD364" s="103"/>
      <c r="AE364" s="116"/>
    </row>
    <row r="365" spans="1:31">
      <c r="A365" s="102">
        <f>A362+1</f>
        <v>45685</v>
      </c>
      <c r="B365" s="102" t="s">
        <v>3504</v>
      </c>
      <c r="C365" s="110" t="str">
        <f>A365 &amp; " " &amp;B365</f>
        <v>45685 1200H</v>
      </c>
      <c r="D365" s="111">
        <v>1296.82</v>
      </c>
      <c r="E365" s="116">
        <v>49.67</v>
      </c>
      <c r="F365" s="111">
        <v>1108.67</v>
      </c>
      <c r="G365" s="116">
        <v>6.2</v>
      </c>
      <c r="H365" s="111">
        <v>74386.13</v>
      </c>
      <c r="I365" s="103">
        <v>906.65</v>
      </c>
      <c r="J365" s="103">
        <v>33244.080000000002</v>
      </c>
      <c r="K365" s="116">
        <v>104.95</v>
      </c>
      <c r="L365" s="111">
        <v>6014.69</v>
      </c>
      <c r="M365" s="103">
        <v>15.78</v>
      </c>
      <c r="N365" s="103">
        <v>33384.080000000002</v>
      </c>
      <c r="O365" s="103">
        <v>29.2</v>
      </c>
      <c r="P365" s="103">
        <v>636.22</v>
      </c>
      <c r="Q365" s="103">
        <v>740.55</v>
      </c>
      <c r="R365" s="103">
        <v>10270.719999999999</v>
      </c>
      <c r="S365" s="103">
        <v>9.0399999999999991</v>
      </c>
      <c r="T365" s="103">
        <v>36381</v>
      </c>
      <c r="U365" s="103">
        <v>69</v>
      </c>
      <c r="V365" s="103">
        <v>266.04000000000002</v>
      </c>
      <c r="W365" s="103">
        <v>0.16</v>
      </c>
      <c r="X365" s="103">
        <v>6962.7</v>
      </c>
      <c r="Y365" s="103">
        <v>0</v>
      </c>
      <c r="Z365" s="103">
        <v>54169</v>
      </c>
      <c r="AA365" s="116">
        <v>79</v>
      </c>
      <c r="AB365" s="103"/>
      <c r="AC365" s="112"/>
      <c r="AD365" s="103"/>
      <c r="AE365" s="116"/>
    </row>
    <row r="366" spans="1:31" ht="4.5" customHeight="1"/>
    <row r="367" spans="1:31">
      <c r="A367" s="102">
        <f>A364+1</f>
        <v>45686</v>
      </c>
      <c r="B367" s="102" t="s">
        <v>3503</v>
      </c>
      <c r="C367" s="110" t="str">
        <f>A367 &amp; " " &amp;B367</f>
        <v>45686 0000H</v>
      </c>
      <c r="D367" s="111">
        <v>1302.94</v>
      </c>
      <c r="E367" s="116">
        <v>49.67</v>
      </c>
      <c r="F367" s="111">
        <v>1108.67</v>
      </c>
      <c r="G367" s="116">
        <v>6.2</v>
      </c>
      <c r="H367" s="111">
        <v>74394.429999999993</v>
      </c>
      <c r="I367" s="103">
        <v>906.65</v>
      </c>
      <c r="J367" s="103">
        <v>33247.64</v>
      </c>
      <c r="K367" s="116">
        <v>104.95</v>
      </c>
      <c r="L367" s="111">
        <v>6019.25</v>
      </c>
      <c r="M367" s="103">
        <v>15.78</v>
      </c>
      <c r="N367" s="103">
        <v>33388.400000000001</v>
      </c>
      <c r="O367" s="103">
        <v>29.2</v>
      </c>
      <c r="P367" s="103">
        <v>636.26</v>
      </c>
      <c r="Q367" s="103">
        <v>741.4</v>
      </c>
      <c r="R367" s="103">
        <v>10275.030000000001</v>
      </c>
      <c r="S367" s="103">
        <v>9.0399999999999991</v>
      </c>
      <c r="T367" s="103">
        <v>36389</v>
      </c>
      <c r="U367" s="103">
        <v>69</v>
      </c>
      <c r="V367" s="103">
        <v>267.97000000000003</v>
      </c>
      <c r="W367" s="103">
        <v>0.16</v>
      </c>
      <c r="X367" s="103">
        <v>6968.67</v>
      </c>
      <c r="Y367" s="103">
        <v>0</v>
      </c>
      <c r="Z367" s="103">
        <v>54169</v>
      </c>
      <c r="AA367" s="116">
        <v>79</v>
      </c>
      <c r="AB367" s="103">
        <v>1.18</v>
      </c>
      <c r="AC367" s="112">
        <v>0</v>
      </c>
      <c r="AD367" s="103"/>
      <c r="AE367" s="116"/>
    </row>
    <row r="368" spans="1:31">
      <c r="A368" s="102">
        <f>A365+1</f>
        <v>45686</v>
      </c>
      <c r="B368" s="102" t="s">
        <v>3504</v>
      </c>
      <c r="C368" s="110" t="str">
        <f>A368 &amp; " " &amp;B368</f>
        <v>45686 1200H</v>
      </c>
      <c r="D368" s="111">
        <v>1306.83</v>
      </c>
      <c r="E368" s="116">
        <v>49.67</v>
      </c>
      <c r="F368" s="111">
        <v>1108.67</v>
      </c>
      <c r="G368" s="116">
        <v>6.2</v>
      </c>
      <c r="H368" s="111">
        <v>74402.990000000005</v>
      </c>
      <c r="I368" s="103">
        <v>906.65</v>
      </c>
      <c r="J368" s="103">
        <v>33248.5</v>
      </c>
      <c r="K368" s="116">
        <v>105.02</v>
      </c>
      <c r="L368" s="111">
        <v>6023.8</v>
      </c>
      <c r="M368" s="103">
        <v>15.78</v>
      </c>
      <c r="N368" s="103">
        <v>33391.800000000003</v>
      </c>
      <c r="O368" s="103">
        <v>29.2</v>
      </c>
      <c r="P368" s="103">
        <v>636.48</v>
      </c>
      <c r="Q368" s="103">
        <v>742.3</v>
      </c>
      <c r="R368" s="103">
        <v>10278.540000000001</v>
      </c>
      <c r="S368" s="103">
        <v>9.0399999999999991</v>
      </c>
      <c r="T368" s="103">
        <v>36394</v>
      </c>
      <c r="U368" s="103">
        <v>69</v>
      </c>
      <c r="V368" s="103">
        <v>268.32</v>
      </c>
      <c r="W368" s="103">
        <v>0.16</v>
      </c>
      <c r="X368" s="103">
        <v>6974.48</v>
      </c>
      <c r="Y368" s="103">
        <v>0</v>
      </c>
      <c r="Z368" s="103">
        <v>54169</v>
      </c>
      <c r="AA368" s="116">
        <v>79</v>
      </c>
      <c r="AB368" s="103">
        <v>1.5</v>
      </c>
      <c r="AC368" s="112">
        <v>0</v>
      </c>
      <c r="AD368" s="103"/>
      <c r="AE368" s="116"/>
    </row>
    <row r="369" spans="1:31" ht="6.95" customHeight="1">
      <c r="E369" s="104"/>
      <c r="G369" s="104"/>
      <c r="I369" s="104"/>
      <c r="J369" s="104"/>
      <c r="K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</row>
    <row r="370" spans="1:31">
      <c r="A370" s="102">
        <f>A367+1</f>
        <v>45687</v>
      </c>
      <c r="B370" s="102" t="s">
        <v>3503</v>
      </c>
      <c r="C370" s="110" t="str">
        <f>A370 &amp; " " &amp;B370</f>
        <v>45687 0000H</v>
      </c>
      <c r="D370" s="111">
        <v>1312.79</v>
      </c>
      <c r="E370" s="116">
        <v>49.67</v>
      </c>
      <c r="F370" s="111">
        <v>1108.67</v>
      </c>
      <c r="G370" s="116">
        <v>6.2</v>
      </c>
      <c r="H370" s="111">
        <v>74411.19</v>
      </c>
      <c r="I370" s="103">
        <v>906.65</v>
      </c>
      <c r="J370" s="103">
        <v>33249.58</v>
      </c>
      <c r="K370" s="116">
        <v>105.07</v>
      </c>
      <c r="L370" s="111">
        <v>6028.13</v>
      </c>
      <c r="M370" s="103">
        <v>15.78</v>
      </c>
      <c r="N370" s="103">
        <v>33395.5</v>
      </c>
      <c r="O370" s="103">
        <v>29.2</v>
      </c>
      <c r="P370" s="103">
        <v>636.94000000000005</v>
      </c>
      <c r="Q370" s="103">
        <v>742.63</v>
      </c>
      <c r="R370" s="103">
        <v>10283.030000000001</v>
      </c>
      <c r="S370" s="103">
        <v>9.0399999999999991</v>
      </c>
      <c r="T370" s="103">
        <v>36401</v>
      </c>
      <c r="U370" s="103">
        <v>69</v>
      </c>
      <c r="V370" s="103">
        <v>268.32</v>
      </c>
      <c r="W370" s="103">
        <v>0.16</v>
      </c>
      <c r="X370" s="103">
        <v>6981.45</v>
      </c>
      <c r="Y370" s="103">
        <v>0</v>
      </c>
      <c r="Z370" s="103">
        <v>54169</v>
      </c>
      <c r="AA370" s="116">
        <v>79</v>
      </c>
      <c r="AB370" s="103">
        <v>3.76</v>
      </c>
      <c r="AC370" s="112">
        <v>0</v>
      </c>
      <c r="AD370" s="103"/>
      <c r="AE370" s="116"/>
    </row>
    <row r="371" spans="1:31">
      <c r="A371" s="102">
        <f>A368+1</f>
        <v>45687</v>
      </c>
      <c r="B371" s="102" t="s">
        <v>3504</v>
      </c>
      <c r="C371" s="110" t="str">
        <f>A371 &amp; " " &amp;B371</f>
        <v>45687 1200H</v>
      </c>
      <c r="D371" s="111">
        <v>1317.03</v>
      </c>
      <c r="E371" s="116">
        <v>49.67</v>
      </c>
      <c r="F371" s="111">
        <v>1108.67</v>
      </c>
      <c r="G371" s="116">
        <v>6.2</v>
      </c>
      <c r="H371" s="111">
        <v>74419.66</v>
      </c>
      <c r="I371" s="103">
        <v>906.65</v>
      </c>
      <c r="J371" s="103">
        <v>33253.379999999997</v>
      </c>
      <c r="K371" s="116">
        <v>105.07</v>
      </c>
      <c r="L371" s="111">
        <v>6028.18</v>
      </c>
      <c r="M371" s="103">
        <v>16.059999999999999</v>
      </c>
      <c r="N371" s="103">
        <v>33402.400000000001</v>
      </c>
      <c r="O371" s="103">
        <v>29.2</v>
      </c>
      <c r="P371" s="103">
        <v>639.53</v>
      </c>
      <c r="Q371" s="103">
        <v>742.63</v>
      </c>
      <c r="R371" s="103">
        <v>10286.73</v>
      </c>
      <c r="S371" s="103">
        <v>9.0399999999999991</v>
      </c>
      <c r="T371" s="103">
        <v>36407</v>
      </c>
      <c r="U371" s="103">
        <v>69</v>
      </c>
      <c r="V371" s="103">
        <v>270.64999999999998</v>
      </c>
      <c r="W371" s="103">
        <v>0.16</v>
      </c>
      <c r="X371" s="103">
        <v>6987.58</v>
      </c>
      <c r="Y371" s="103">
        <v>0</v>
      </c>
      <c r="Z371" s="103">
        <v>54169</v>
      </c>
      <c r="AA371" s="116">
        <v>79</v>
      </c>
      <c r="AB371" s="103">
        <v>6.62</v>
      </c>
      <c r="AC371" s="112">
        <v>0</v>
      </c>
      <c r="AD371" s="103"/>
      <c r="AE371" s="116"/>
    </row>
    <row r="372" spans="1:31" ht="6.95" customHeight="1">
      <c r="E372" s="104"/>
      <c r="G372" s="104"/>
      <c r="I372" s="104"/>
      <c r="J372" s="104"/>
      <c r="K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</row>
    <row r="373" spans="1:31">
      <c r="A373" s="102">
        <f>A370+1</f>
        <v>45688</v>
      </c>
      <c r="B373" s="102" t="s">
        <v>3503</v>
      </c>
      <c r="C373" s="110" t="str">
        <f>A373 &amp; " " &amp;B373</f>
        <v>45688 0000H</v>
      </c>
      <c r="D373" s="111">
        <v>1323.61</v>
      </c>
      <c r="E373" s="116">
        <v>49.67</v>
      </c>
      <c r="F373" s="111">
        <v>1108.67</v>
      </c>
      <c r="G373" s="116">
        <v>6.2</v>
      </c>
      <c r="H373" s="111">
        <v>74428.06</v>
      </c>
      <c r="I373" s="103">
        <v>906.65</v>
      </c>
      <c r="J373" s="103">
        <v>33257.120000000003</v>
      </c>
      <c r="K373" s="116">
        <v>105.7</v>
      </c>
      <c r="L373" s="111">
        <v>6028.18</v>
      </c>
      <c r="M373" s="103">
        <v>16.3</v>
      </c>
      <c r="N373" s="103">
        <v>33409.199999999997</v>
      </c>
      <c r="O373" s="103">
        <v>29.2</v>
      </c>
      <c r="P373" s="103">
        <v>642.91</v>
      </c>
      <c r="Q373" s="103">
        <v>742.91</v>
      </c>
      <c r="R373" s="103">
        <v>10291.120000000001</v>
      </c>
      <c r="S373" s="103">
        <v>9.0399999999999991</v>
      </c>
      <c r="T373" s="103">
        <v>36414</v>
      </c>
      <c r="U373" s="103">
        <v>69</v>
      </c>
      <c r="V373" s="103">
        <v>273.24</v>
      </c>
      <c r="W373" s="103">
        <v>0.16</v>
      </c>
      <c r="X373" s="103">
        <v>6994.59</v>
      </c>
      <c r="Y373" s="103">
        <v>0</v>
      </c>
      <c r="Z373" s="103">
        <v>54169</v>
      </c>
      <c r="AA373" s="116">
        <v>79</v>
      </c>
      <c r="AB373" s="103">
        <v>7.08</v>
      </c>
      <c r="AC373" s="112">
        <v>0</v>
      </c>
      <c r="AD373" s="103"/>
      <c r="AE373" s="116"/>
    </row>
    <row r="374" spans="1:31">
      <c r="A374" s="102">
        <f>A371+1</f>
        <v>45688</v>
      </c>
      <c r="B374" s="102" t="s">
        <v>3504</v>
      </c>
      <c r="C374" s="110" t="str">
        <f>A374 &amp; " " &amp;B374</f>
        <v>45688 1200H</v>
      </c>
      <c r="D374" s="111">
        <v>1328.89</v>
      </c>
      <c r="E374" s="116">
        <v>49.67</v>
      </c>
      <c r="F374" s="111">
        <v>1108.67</v>
      </c>
      <c r="G374" s="116">
        <v>6.2</v>
      </c>
      <c r="H374" s="111">
        <v>74436.47</v>
      </c>
      <c r="I374" s="103">
        <v>906.65</v>
      </c>
      <c r="J374" s="103">
        <v>33260.89</v>
      </c>
      <c r="K374" s="116">
        <v>105.07</v>
      </c>
      <c r="L374" s="111">
        <v>6028.18</v>
      </c>
      <c r="M374" s="103">
        <v>16.5</v>
      </c>
      <c r="N374" s="103">
        <v>33414.9</v>
      </c>
      <c r="O374" s="103">
        <v>29.2</v>
      </c>
      <c r="P374" s="103">
        <v>644.4</v>
      </c>
      <c r="Q374" s="103">
        <v>743.32</v>
      </c>
      <c r="R374" s="103">
        <v>10294.93</v>
      </c>
      <c r="S374" s="103">
        <v>9.0399999999999991</v>
      </c>
      <c r="T374" s="103">
        <v>36421</v>
      </c>
      <c r="U374" s="103">
        <v>69</v>
      </c>
      <c r="V374" s="103">
        <v>276.49</v>
      </c>
      <c r="W374" s="103">
        <v>0.16</v>
      </c>
      <c r="X374" s="103">
        <v>7000.82</v>
      </c>
      <c r="Y374" s="103">
        <v>0</v>
      </c>
      <c r="Z374" s="103">
        <v>54169</v>
      </c>
      <c r="AA374" s="116">
        <v>79</v>
      </c>
      <c r="AB374" s="103">
        <v>7.11</v>
      </c>
      <c r="AC374" s="112">
        <v>0</v>
      </c>
      <c r="AD374" s="103"/>
      <c r="AE374" s="116"/>
    </row>
    <row r="375" spans="1:31" ht="6" customHeight="1"/>
    <row r="376" spans="1:31">
      <c r="A376" s="102">
        <f>A373+1</f>
        <v>45689</v>
      </c>
      <c r="B376" s="102" t="s">
        <v>3503</v>
      </c>
      <c r="C376" s="110" t="str">
        <f>A376 &amp; " " &amp;B376</f>
        <v>45689 0000H</v>
      </c>
      <c r="D376" s="111">
        <v>1335.25</v>
      </c>
      <c r="E376" s="116">
        <v>49.67</v>
      </c>
      <c r="F376" s="111">
        <v>1108.67</v>
      </c>
      <c r="G376" s="116">
        <v>6.2</v>
      </c>
      <c r="H376" s="111">
        <v>74444.91</v>
      </c>
      <c r="I376" s="103">
        <v>906.65</v>
      </c>
      <c r="J376" s="103">
        <v>33264.58</v>
      </c>
      <c r="K376" s="116">
        <v>105.07</v>
      </c>
      <c r="L376" s="111">
        <v>6028.18</v>
      </c>
      <c r="M376" s="103">
        <v>16.760000000000002</v>
      </c>
      <c r="N376" s="103">
        <v>33418.699999999997</v>
      </c>
      <c r="O376" s="103">
        <v>29.2</v>
      </c>
      <c r="P376" s="103">
        <v>649.91</v>
      </c>
      <c r="Q376" s="103">
        <v>743.32</v>
      </c>
      <c r="R376" s="103">
        <v>10299.280000000001</v>
      </c>
      <c r="S376" s="103">
        <v>9.0399999999999991</v>
      </c>
      <c r="T376" s="103">
        <v>36428</v>
      </c>
      <c r="U376" s="103">
        <v>69</v>
      </c>
      <c r="V376" s="103">
        <v>276.86</v>
      </c>
      <c r="W376" s="103">
        <v>0.16</v>
      </c>
      <c r="X376" s="103">
        <v>7007.81</v>
      </c>
      <c r="Y376" s="103">
        <v>0</v>
      </c>
      <c r="Z376" s="103">
        <v>54169</v>
      </c>
      <c r="AA376" s="116">
        <v>79</v>
      </c>
      <c r="AB376" s="103">
        <v>10.06</v>
      </c>
      <c r="AC376" s="112">
        <v>0</v>
      </c>
      <c r="AD376" s="103"/>
      <c r="AE376" s="116"/>
    </row>
    <row r="377" spans="1:31">
      <c r="A377" s="102">
        <f>A374+1</f>
        <v>45689</v>
      </c>
      <c r="B377" s="102" t="s">
        <v>3504</v>
      </c>
      <c r="C377" s="110" t="str">
        <f>A377 &amp; " " &amp;B377</f>
        <v>45689 1200H</v>
      </c>
      <c r="D377" s="111">
        <v>1341.54</v>
      </c>
      <c r="E377" s="116">
        <v>49.67</v>
      </c>
      <c r="F377" s="111">
        <v>1108.67</v>
      </c>
      <c r="G377" s="116">
        <v>6.2</v>
      </c>
      <c r="H377" s="111">
        <v>74453.11</v>
      </c>
      <c r="I377" s="103">
        <v>906.65</v>
      </c>
      <c r="J377" s="103">
        <v>33266.050000000003</v>
      </c>
      <c r="K377" s="116">
        <v>105.09</v>
      </c>
      <c r="L377" s="111">
        <v>6028.18</v>
      </c>
      <c r="M377" s="103">
        <v>16.86</v>
      </c>
      <c r="N377" s="103">
        <v>33421.300000000003</v>
      </c>
      <c r="O377" s="103">
        <v>29.2</v>
      </c>
      <c r="P377" s="103">
        <v>651.41</v>
      </c>
      <c r="Q377" s="103">
        <v>744.27</v>
      </c>
      <c r="R377" s="103">
        <v>10302.99</v>
      </c>
      <c r="S377" s="103">
        <v>9.0399999999999991</v>
      </c>
      <c r="T377" s="103">
        <v>36434</v>
      </c>
      <c r="U377" s="103">
        <v>69</v>
      </c>
      <c r="V377" s="103">
        <v>282.74</v>
      </c>
      <c r="W377" s="103">
        <v>0.16</v>
      </c>
      <c r="X377" s="103">
        <v>7013.17</v>
      </c>
      <c r="Y377" s="103">
        <v>0</v>
      </c>
      <c r="Z377" s="103">
        <v>54169</v>
      </c>
      <c r="AA377" s="116">
        <v>79</v>
      </c>
      <c r="AB377" s="103">
        <v>10.64</v>
      </c>
      <c r="AC377" s="112">
        <v>0.03</v>
      </c>
      <c r="AD377" s="103"/>
      <c r="AE377" s="116"/>
    </row>
    <row r="378" spans="1:31" ht="6" customHeight="1"/>
    <row r="379" spans="1:31">
      <c r="A379" s="102">
        <f>A376+1</f>
        <v>45690</v>
      </c>
      <c r="B379" s="102" t="s">
        <v>3503</v>
      </c>
      <c r="C379" s="110" t="str">
        <f>A379 &amp; " " &amp;B379</f>
        <v>45690 0000H</v>
      </c>
      <c r="D379" s="111">
        <v>1347.9</v>
      </c>
      <c r="E379" s="116">
        <v>49.67</v>
      </c>
      <c r="F379" s="111">
        <v>1108.67</v>
      </c>
      <c r="G379" s="116">
        <v>6.2</v>
      </c>
      <c r="H379" s="111">
        <v>74461.27</v>
      </c>
      <c r="I379" s="103">
        <v>906.65</v>
      </c>
      <c r="J379" s="103">
        <v>33266.050000000003</v>
      </c>
      <c r="K379" s="116">
        <v>105.17</v>
      </c>
      <c r="L379" s="111">
        <v>6028.18</v>
      </c>
      <c r="M379" s="103">
        <v>16.93</v>
      </c>
      <c r="N379" s="103">
        <v>33424.9</v>
      </c>
      <c r="O379" s="103">
        <v>29.2</v>
      </c>
      <c r="P379" s="103">
        <v>657.66</v>
      </c>
      <c r="Q379" s="103">
        <v>744.27</v>
      </c>
      <c r="R379" s="103">
        <v>10307.24</v>
      </c>
      <c r="S379" s="103">
        <v>9.0399999999999991</v>
      </c>
      <c r="T379" s="103">
        <v>36441</v>
      </c>
      <c r="U379" s="103">
        <v>69</v>
      </c>
      <c r="V379" s="103">
        <v>287.2</v>
      </c>
      <c r="W379" s="103">
        <v>0.16</v>
      </c>
      <c r="X379" s="103">
        <v>7020.76</v>
      </c>
      <c r="Y379" s="103">
        <v>0</v>
      </c>
      <c r="Z379" s="103">
        <v>54169</v>
      </c>
      <c r="AA379" s="116">
        <v>79</v>
      </c>
      <c r="AB379" s="103">
        <v>16.3</v>
      </c>
      <c r="AC379" s="112">
        <v>0.03</v>
      </c>
      <c r="AD379" s="103"/>
      <c r="AE379" s="116"/>
    </row>
    <row r="380" spans="1:31">
      <c r="A380" s="102">
        <f>A377+1</f>
        <v>45690</v>
      </c>
      <c r="B380" s="102" t="s">
        <v>3504</v>
      </c>
      <c r="C380" s="110" t="str">
        <f>A380 &amp; " " &amp;B380</f>
        <v>45690 1200H</v>
      </c>
      <c r="D380" s="111">
        <v>1353.64</v>
      </c>
      <c r="E380" s="116">
        <v>49.67</v>
      </c>
      <c r="F380" s="111">
        <v>1108.67</v>
      </c>
      <c r="G380" s="116">
        <v>6.2</v>
      </c>
      <c r="H380" s="111">
        <v>74269.69</v>
      </c>
      <c r="I380" s="103">
        <v>906.35</v>
      </c>
      <c r="J380" s="103">
        <v>33266.29</v>
      </c>
      <c r="K380" s="116">
        <v>105.27</v>
      </c>
      <c r="L380" s="111">
        <v>6028.18</v>
      </c>
      <c r="M380" s="103">
        <v>16.98</v>
      </c>
      <c r="N380" s="103">
        <v>33428.6</v>
      </c>
      <c r="O380" s="103">
        <v>29.2</v>
      </c>
      <c r="P380" s="103">
        <v>659.24</v>
      </c>
      <c r="Q380" s="103">
        <v>744.68</v>
      </c>
      <c r="R380" s="103">
        <v>10311.02</v>
      </c>
      <c r="S380" s="103">
        <v>9.0399999999999991</v>
      </c>
      <c r="T380" s="103">
        <v>36446</v>
      </c>
      <c r="U380" s="103">
        <v>69</v>
      </c>
      <c r="V380" s="103">
        <v>293.08</v>
      </c>
      <c r="W380" s="103">
        <v>0.16</v>
      </c>
      <c r="X380" s="103">
        <v>7028.68</v>
      </c>
      <c r="Y380" s="103">
        <v>0</v>
      </c>
      <c r="Z380" s="103">
        <v>54169</v>
      </c>
      <c r="AA380" s="116">
        <v>79</v>
      </c>
      <c r="AB380" s="103">
        <v>16.52</v>
      </c>
      <c r="AC380" s="112">
        <v>0.04</v>
      </c>
      <c r="AD380" s="103"/>
      <c r="AE380" s="116"/>
    </row>
    <row r="381" spans="1:31" ht="4.5" customHeight="1"/>
    <row r="382" spans="1:31">
      <c r="A382" s="102">
        <f>A379+1</f>
        <v>45691</v>
      </c>
      <c r="B382" s="102" t="s">
        <v>3503</v>
      </c>
      <c r="C382" s="110" t="str">
        <f>A382 &amp; " " &amp;B382</f>
        <v>45691 0000H</v>
      </c>
      <c r="D382" s="111">
        <v>1360.08</v>
      </c>
      <c r="E382" s="116">
        <v>49.67</v>
      </c>
      <c r="F382" s="111">
        <v>1108.67</v>
      </c>
      <c r="G382" s="116">
        <v>6.2</v>
      </c>
      <c r="H382" s="111">
        <v>74477.789999999994</v>
      </c>
      <c r="I382" s="103">
        <v>906.65</v>
      </c>
      <c r="J382" s="103">
        <v>33266.519999999997</v>
      </c>
      <c r="K382" s="116">
        <v>105.32</v>
      </c>
      <c r="L382" s="111">
        <v>6028.18</v>
      </c>
      <c r="M382" s="103">
        <v>17.04</v>
      </c>
      <c r="N382" s="103">
        <v>33433.1</v>
      </c>
      <c r="O382" s="103">
        <v>29.2</v>
      </c>
      <c r="P382" s="103">
        <v>663.25</v>
      </c>
      <c r="Q382" s="103">
        <v>744.76</v>
      </c>
      <c r="R382" s="103">
        <v>10315.48</v>
      </c>
      <c r="S382" s="103">
        <v>9.0399999999999991</v>
      </c>
      <c r="T382" s="103">
        <v>36453</v>
      </c>
      <c r="U382" s="103">
        <v>69</v>
      </c>
      <c r="V382" s="103">
        <v>299.39</v>
      </c>
      <c r="W382" s="103">
        <v>0.16</v>
      </c>
      <c r="X382" s="103">
        <v>7032.73</v>
      </c>
      <c r="Y382" s="103">
        <v>0</v>
      </c>
      <c r="Z382" s="103">
        <v>54169</v>
      </c>
      <c r="AA382" s="116">
        <v>79</v>
      </c>
      <c r="AB382" s="103">
        <v>19.95</v>
      </c>
      <c r="AC382" s="112">
        <v>0.05</v>
      </c>
      <c r="AD382" s="103"/>
      <c r="AE382" s="116"/>
    </row>
    <row r="383" spans="1:31">
      <c r="A383" s="102">
        <f>A380+1</f>
        <v>45691</v>
      </c>
      <c r="B383" s="102" t="s">
        <v>3504</v>
      </c>
      <c r="C383" s="110" t="str">
        <f>A383 &amp; " " &amp;B383</f>
        <v>45691 1200H</v>
      </c>
      <c r="D383" s="111">
        <v>1365.61</v>
      </c>
      <c r="E383" s="116">
        <v>49.67</v>
      </c>
      <c r="F383" s="111">
        <v>1108.67</v>
      </c>
      <c r="G383" s="116">
        <v>6.2</v>
      </c>
      <c r="H383" s="111">
        <v>74486.2</v>
      </c>
      <c r="I383" s="103">
        <v>906.65</v>
      </c>
      <c r="J383" s="103">
        <v>33266.519999999997</v>
      </c>
      <c r="K383" s="116">
        <v>105.34</v>
      </c>
      <c r="L383" s="111">
        <v>6028.18</v>
      </c>
      <c r="M383" s="103">
        <v>17.09</v>
      </c>
      <c r="N383" s="103">
        <v>33440.699999999997</v>
      </c>
      <c r="O383" s="103">
        <v>29.2</v>
      </c>
      <c r="P383" s="103">
        <v>665.17</v>
      </c>
      <c r="Q383" s="103">
        <v>745.24</v>
      </c>
      <c r="R383" s="103">
        <v>10319.19</v>
      </c>
      <c r="S383" s="103">
        <v>9.0399999999999991</v>
      </c>
      <c r="T383" s="103">
        <v>36459</v>
      </c>
      <c r="U383" s="103">
        <v>69</v>
      </c>
      <c r="V383" s="103">
        <v>303.88</v>
      </c>
      <c r="W383" s="103">
        <v>0.16</v>
      </c>
      <c r="X383" s="103">
        <v>7039.2</v>
      </c>
      <c r="Y383" s="103">
        <v>0</v>
      </c>
      <c r="Z383" s="103">
        <v>54169</v>
      </c>
      <c r="AA383" s="116">
        <v>79</v>
      </c>
      <c r="AB383" s="103">
        <v>21.75</v>
      </c>
      <c r="AC383" s="112">
        <v>0.05</v>
      </c>
      <c r="AD383" s="103"/>
      <c r="AE383" s="116"/>
    </row>
    <row r="384" spans="1:31" ht="4.5" customHeight="1"/>
    <row r="385" spans="1:31">
      <c r="A385" s="102">
        <f>A382+1</f>
        <v>45692</v>
      </c>
      <c r="B385" s="102" t="s">
        <v>3503</v>
      </c>
      <c r="C385" s="110" t="str">
        <f>A385 &amp; " " &amp;B385</f>
        <v>45692 0000H</v>
      </c>
      <c r="D385" s="111">
        <v>1371.99</v>
      </c>
      <c r="E385" s="116">
        <v>49.67</v>
      </c>
      <c r="F385" s="111">
        <v>1108.67</v>
      </c>
      <c r="G385" s="116">
        <v>6.2</v>
      </c>
      <c r="H385" s="111">
        <v>74494.399999999994</v>
      </c>
      <c r="I385" s="103">
        <v>906.65</v>
      </c>
      <c r="J385" s="103">
        <v>33266.519999999997</v>
      </c>
      <c r="K385" s="116">
        <v>105.41</v>
      </c>
      <c r="L385" s="111">
        <v>6028.18</v>
      </c>
      <c r="M385" s="103">
        <v>17.09</v>
      </c>
      <c r="N385" s="103">
        <v>33447.699999999997</v>
      </c>
      <c r="O385" s="103">
        <v>29.2</v>
      </c>
      <c r="P385" s="103">
        <v>669.9</v>
      </c>
      <c r="Q385" s="103">
        <v>745.29</v>
      </c>
      <c r="R385" s="103">
        <v>10323.73</v>
      </c>
      <c r="S385" s="103">
        <v>9.0399999999999991</v>
      </c>
      <c r="T385" s="103">
        <v>36467</v>
      </c>
      <c r="U385" s="103">
        <v>69</v>
      </c>
      <c r="V385" s="103">
        <v>309.74</v>
      </c>
      <c r="W385" s="103">
        <v>0.16</v>
      </c>
      <c r="X385" s="103">
        <v>7046.81</v>
      </c>
      <c r="Y385" s="103">
        <v>0</v>
      </c>
      <c r="Z385" s="103">
        <v>54169</v>
      </c>
      <c r="AA385" s="116">
        <v>79</v>
      </c>
      <c r="AB385" s="103">
        <v>28.57</v>
      </c>
      <c r="AC385" s="112">
        <v>0.05</v>
      </c>
      <c r="AD385" s="103"/>
      <c r="AE385" s="116"/>
    </row>
    <row r="386" spans="1:31">
      <c r="A386" s="102">
        <f>A383+1</f>
        <v>45692</v>
      </c>
      <c r="B386" s="102" t="s">
        <v>3504</v>
      </c>
      <c r="C386" s="110" t="str">
        <f>A386 &amp; " " &amp;B386</f>
        <v>45692 1200H</v>
      </c>
      <c r="D386" s="111">
        <v>1377.4</v>
      </c>
      <c r="E386" s="116">
        <v>49.67</v>
      </c>
      <c r="F386" s="111">
        <v>1108.67</v>
      </c>
      <c r="G386" s="116">
        <v>6.2</v>
      </c>
      <c r="H386" s="111">
        <v>74502.267999999996</v>
      </c>
      <c r="I386" s="103">
        <v>906.65</v>
      </c>
      <c r="J386" s="103">
        <v>33267.53</v>
      </c>
      <c r="K386" s="116">
        <v>105.48</v>
      </c>
      <c r="L386" s="111">
        <v>6028.18</v>
      </c>
      <c r="M386" s="103">
        <v>17.190000000000001</v>
      </c>
      <c r="N386" s="103">
        <v>33455</v>
      </c>
      <c r="O386" s="103">
        <v>29.2</v>
      </c>
      <c r="P386" s="103">
        <v>671.08</v>
      </c>
      <c r="Q386" s="103">
        <v>745.87</v>
      </c>
      <c r="R386" s="103">
        <v>10327.41</v>
      </c>
      <c r="S386" s="103">
        <v>9.0399999999999991</v>
      </c>
      <c r="T386" s="103">
        <v>36473</v>
      </c>
      <c r="U386" s="103">
        <v>69</v>
      </c>
      <c r="V386" s="103">
        <v>315.82</v>
      </c>
      <c r="W386" s="103">
        <v>0.16</v>
      </c>
      <c r="X386" s="103">
        <v>7053.14</v>
      </c>
      <c r="Y386" s="103">
        <v>0</v>
      </c>
      <c r="Z386" s="103">
        <v>54169</v>
      </c>
      <c r="AA386" s="116">
        <v>79</v>
      </c>
      <c r="AB386" s="103">
        <v>31.3</v>
      </c>
      <c r="AC386" s="112">
        <v>0.06</v>
      </c>
      <c r="AD386" s="103">
        <v>62.14</v>
      </c>
      <c r="AE386" s="116">
        <v>0.22</v>
      </c>
    </row>
    <row r="387" spans="1:31" ht="4.5" customHeight="1"/>
    <row r="388" spans="1:31">
      <c r="A388" s="102">
        <f>A385+1</f>
        <v>45693</v>
      </c>
      <c r="B388" s="102" t="s">
        <v>3503</v>
      </c>
      <c r="C388" s="110" t="str">
        <f>A388 &amp; " " &amp;B388</f>
        <v>45693 0000H</v>
      </c>
      <c r="D388" s="111">
        <v>1383.86</v>
      </c>
      <c r="E388" s="116">
        <v>49.67</v>
      </c>
      <c r="F388" s="111">
        <v>1108.67</v>
      </c>
      <c r="G388" s="116">
        <v>6.2</v>
      </c>
      <c r="H388" s="111">
        <v>74504.73</v>
      </c>
      <c r="I388" s="103">
        <v>906.65</v>
      </c>
      <c r="J388" s="103">
        <v>33271.360000000001</v>
      </c>
      <c r="K388" s="116">
        <v>105.48</v>
      </c>
      <c r="L388" s="111">
        <v>6028.18</v>
      </c>
      <c r="M388" s="103">
        <v>17.28</v>
      </c>
      <c r="N388" s="103">
        <v>33462.400000000001</v>
      </c>
      <c r="O388" s="103">
        <v>29.2</v>
      </c>
      <c r="P388" s="103">
        <v>674.9</v>
      </c>
      <c r="Q388" s="103">
        <v>745.97</v>
      </c>
      <c r="R388" s="103">
        <v>10331.83</v>
      </c>
      <c r="S388" s="103">
        <v>9.0399999999999991</v>
      </c>
      <c r="T388" s="103">
        <v>36481</v>
      </c>
      <c r="U388" s="103">
        <v>69</v>
      </c>
      <c r="V388" s="103">
        <v>323.60000000000002</v>
      </c>
      <c r="W388" s="103">
        <v>0.16</v>
      </c>
      <c r="X388" s="103">
        <v>7065.05</v>
      </c>
      <c r="Y388" s="103">
        <v>0</v>
      </c>
      <c r="Z388" s="103">
        <v>54169</v>
      </c>
      <c r="AA388" s="116">
        <v>79</v>
      </c>
      <c r="AB388" s="103">
        <v>40.61</v>
      </c>
      <c r="AC388" s="112">
        <v>0.06</v>
      </c>
      <c r="AD388" s="103">
        <v>72.400000000000006</v>
      </c>
      <c r="AE388" s="116">
        <v>0.22</v>
      </c>
    </row>
    <row r="389" spans="1:31">
      <c r="A389" s="102">
        <f>A386+1</f>
        <v>45693</v>
      </c>
      <c r="B389" s="102" t="s">
        <v>3504</v>
      </c>
      <c r="C389" s="110" t="str">
        <f>A389 &amp; " " &amp;B389</f>
        <v>45693 1200H</v>
      </c>
      <c r="D389" s="111">
        <v>1389.45</v>
      </c>
      <c r="E389" s="116">
        <v>49.67</v>
      </c>
      <c r="F389" s="111">
        <v>1108.67</v>
      </c>
      <c r="G389" s="116">
        <v>6.2</v>
      </c>
      <c r="H389" s="111">
        <v>74504.740000000005</v>
      </c>
      <c r="I389" s="103">
        <v>907.27</v>
      </c>
      <c r="J389" s="103">
        <v>33275.1</v>
      </c>
      <c r="K389" s="116">
        <v>105.48</v>
      </c>
      <c r="L389" s="111">
        <v>6028.18</v>
      </c>
      <c r="M389" s="103">
        <v>17.34</v>
      </c>
      <c r="N389" s="103">
        <v>33469</v>
      </c>
      <c r="O389" s="103">
        <v>29.2</v>
      </c>
      <c r="P389" s="103">
        <v>676.27</v>
      </c>
      <c r="Q389" s="103">
        <v>746.66</v>
      </c>
      <c r="R389" s="103">
        <v>10335.379999999999</v>
      </c>
      <c r="S389" s="103">
        <v>9.0399999999999991</v>
      </c>
      <c r="T389" s="103">
        <v>36487</v>
      </c>
      <c r="U389" s="103">
        <v>69</v>
      </c>
      <c r="V389" s="103">
        <v>330.06</v>
      </c>
      <c r="W389" s="103">
        <v>0.16</v>
      </c>
      <c r="X389" s="103">
        <v>7066.23</v>
      </c>
      <c r="Y389" s="103">
        <v>0</v>
      </c>
      <c r="Z389" s="103">
        <v>54169</v>
      </c>
      <c r="AA389" s="116">
        <v>79</v>
      </c>
      <c r="AB389" s="103">
        <v>45.28</v>
      </c>
      <c r="AC389" s="112">
        <v>0.06</v>
      </c>
      <c r="AD389" s="103"/>
      <c r="AE389" s="116"/>
    </row>
    <row r="390" spans="1:31" ht="4.5" customHeight="1"/>
    <row r="391" spans="1:31">
      <c r="A391" s="102">
        <f>A388+1</f>
        <v>45694</v>
      </c>
      <c r="B391" s="102" t="s">
        <v>3503</v>
      </c>
      <c r="C391" s="110" t="str">
        <f>A391 &amp; " " &amp;B391</f>
        <v>45694 0000H</v>
      </c>
      <c r="D391" s="111">
        <v>1395.65</v>
      </c>
      <c r="E391" s="116">
        <v>49.67</v>
      </c>
      <c r="F391" s="111">
        <v>1108.67</v>
      </c>
      <c r="G391" s="116">
        <v>6.2</v>
      </c>
      <c r="H391" s="111">
        <v>74504.740000000005</v>
      </c>
      <c r="I391" s="103">
        <v>907.63</v>
      </c>
      <c r="J391" s="103">
        <v>33278.25</v>
      </c>
      <c r="K391" s="116">
        <v>105.51</v>
      </c>
      <c r="L391" s="111">
        <v>6028.18</v>
      </c>
      <c r="M391" s="103">
        <v>17.41</v>
      </c>
      <c r="N391" s="103">
        <v>33474.800000000003</v>
      </c>
      <c r="O391" s="103">
        <v>29.2</v>
      </c>
      <c r="P391" s="103">
        <v>681.46</v>
      </c>
      <c r="Q391" s="103">
        <v>746.66</v>
      </c>
      <c r="R391" s="103">
        <v>10339.73</v>
      </c>
      <c r="S391" s="103">
        <v>9.0399999999999991</v>
      </c>
      <c r="T391" s="103">
        <v>36494</v>
      </c>
      <c r="U391" s="103">
        <v>69</v>
      </c>
      <c r="V391" s="103">
        <v>337.55</v>
      </c>
      <c r="W391" s="103">
        <v>0.16</v>
      </c>
      <c r="X391" s="103">
        <v>7073.75</v>
      </c>
      <c r="Y391" s="103">
        <v>0</v>
      </c>
      <c r="Z391" s="103">
        <v>54169</v>
      </c>
      <c r="AA391" s="116">
        <v>79</v>
      </c>
      <c r="AB391" s="103">
        <v>53.71</v>
      </c>
      <c r="AC391" s="112">
        <v>0.06</v>
      </c>
      <c r="AD391" s="103"/>
      <c r="AE391" s="116"/>
    </row>
    <row r="392" spans="1:31">
      <c r="A392" s="102">
        <f>A389+1</f>
        <v>45694</v>
      </c>
      <c r="B392" s="102" t="s">
        <v>3504</v>
      </c>
      <c r="C392" s="110" t="str">
        <f>A392 &amp; " " &amp;B392</f>
        <v>45694 1200H</v>
      </c>
      <c r="D392" s="111">
        <v>1400.96</v>
      </c>
      <c r="E392" s="116">
        <v>49.67</v>
      </c>
      <c r="F392" s="111">
        <v>1108.67</v>
      </c>
      <c r="G392" s="116">
        <v>6.2</v>
      </c>
      <c r="H392" s="111">
        <v>74504.740000000005</v>
      </c>
      <c r="I392" s="103">
        <v>907.96</v>
      </c>
      <c r="J392" s="103">
        <v>33281.82</v>
      </c>
      <c r="K392" s="116">
        <v>105.51</v>
      </c>
      <c r="L392" s="111">
        <v>6028.18</v>
      </c>
      <c r="M392" s="103">
        <v>17.41</v>
      </c>
      <c r="N392" s="103">
        <v>33482.199999999997</v>
      </c>
      <c r="O392" s="103">
        <v>29.2</v>
      </c>
      <c r="P392" s="103">
        <v>683.05</v>
      </c>
      <c r="Q392" s="103">
        <v>747.07</v>
      </c>
      <c r="R392" s="103">
        <v>10343.379999999999</v>
      </c>
      <c r="S392" s="103">
        <v>9.0399999999999991</v>
      </c>
      <c r="T392" s="103">
        <v>36500</v>
      </c>
      <c r="U392" s="103">
        <v>69</v>
      </c>
      <c r="V392" s="103">
        <v>343.93</v>
      </c>
      <c r="W392" s="103">
        <v>0.16</v>
      </c>
      <c r="X392" s="103">
        <v>7079.93</v>
      </c>
      <c r="Y392" s="103">
        <v>0</v>
      </c>
      <c r="Z392" s="103">
        <v>54169</v>
      </c>
      <c r="AA392" s="116">
        <v>79</v>
      </c>
      <c r="AB392" s="103">
        <v>59.77</v>
      </c>
      <c r="AC392" s="112">
        <v>0.06</v>
      </c>
      <c r="AD392" s="103"/>
      <c r="AE392" s="116"/>
    </row>
    <row r="393" spans="1:31" ht="4.5" customHeight="1"/>
    <row r="394" spans="1:31">
      <c r="A394" s="102">
        <f>A391+1</f>
        <v>45695</v>
      </c>
      <c r="B394" s="102" t="s">
        <v>3503</v>
      </c>
      <c r="C394" s="110" t="str">
        <f>A394 &amp; " " &amp;B394</f>
        <v>45695 0000H</v>
      </c>
      <c r="D394" s="111">
        <v>1407</v>
      </c>
      <c r="E394" s="116">
        <v>49.67</v>
      </c>
      <c r="F394" s="111">
        <v>1108.67</v>
      </c>
      <c r="G394" s="116">
        <v>6.2</v>
      </c>
      <c r="H394" s="111">
        <v>74504.740000000005</v>
      </c>
      <c r="I394" s="103">
        <v>908.34</v>
      </c>
      <c r="J394" s="103">
        <v>33285.660000000003</v>
      </c>
      <c r="K394" s="116">
        <v>105.51</v>
      </c>
      <c r="L394" s="111">
        <v>6028.18</v>
      </c>
      <c r="M394" s="103">
        <v>17.41</v>
      </c>
      <c r="N394" s="103">
        <v>33487.9</v>
      </c>
      <c r="O394" s="103">
        <v>29.2</v>
      </c>
      <c r="P394" s="103">
        <v>687.7</v>
      </c>
      <c r="Q394" s="103">
        <v>747.11</v>
      </c>
      <c r="R394" s="103">
        <v>10347.82</v>
      </c>
      <c r="S394" s="103">
        <v>9.0399999999999991</v>
      </c>
      <c r="T394" s="103">
        <v>36507</v>
      </c>
      <c r="U394" s="103">
        <v>69</v>
      </c>
      <c r="V394" s="103">
        <v>351.65</v>
      </c>
      <c r="W394" s="103">
        <v>0.16</v>
      </c>
      <c r="X394" s="103">
        <v>7087.34</v>
      </c>
      <c r="Y394" s="103">
        <v>0</v>
      </c>
      <c r="Z394" s="103">
        <v>54169</v>
      </c>
      <c r="AA394" s="116">
        <v>79</v>
      </c>
      <c r="AB394" s="103">
        <v>69.23</v>
      </c>
      <c r="AC394" s="112">
        <v>0.06</v>
      </c>
      <c r="AD394" s="103">
        <v>81.319999999999993</v>
      </c>
      <c r="AE394" s="116">
        <v>0.23</v>
      </c>
    </row>
    <row r="395" spans="1:31">
      <c r="A395" s="102">
        <f>A392+1</f>
        <v>45695</v>
      </c>
      <c r="B395" s="102" t="s">
        <v>3504</v>
      </c>
      <c r="C395" s="110" t="str">
        <f>A395 &amp; " " &amp;B395</f>
        <v>45695 1200H</v>
      </c>
      <c r="D395" s="111">
        <v>1412.39</v>
      </c>
      <c r="E395" s="116">
        <v>49.67</v>
      </c>
      <c r="F395" s="111">
        <v>1108.67</v>
      </c>
      <c r="G395" s="116">
        <v>6.2</v>
      </c>
      <c r="H395" s="111">
        <v>74504.740000000005</v>
      </c>
      <c r="I395" s="103">
        <v>908.67</v>
      </c>
      <c r="J395" s="103">
        <v>33289.43</v>
      </c>
      <c r="K395" s="116">
        <v>105.51</v>
      </c>
      <c r="L395" s="111">
        <v>6028.18</v>
      </c>
      <c r="M395" s="103">
        <v>17.41</v>
      </c>
      <c r="N395" s="103">
        <v>33495.800000000003</v>
      </c>
      <c r="O395" s="103">
        <v>29.2</v>
      </c>
      <c r="P395" s="103">
        <v>688.74</v>
      </c>
      <c r="Q395" s="103">
        <v>747.46</v>
      </c>
      <c r="R395" s="103">
        <v>10351.49</v>
      </c>
      <c r="S395" s="103">
        <v>9.0399999999999991</v>
      </c>
      <c r="T395" s="103">
        <v>36513</v>
      </c>
      <c r="U395" s="103">
        <v>69</v>
      </c>
      <c r="V395" s="103">
        <v>357.82</v>
      </c>
      <c r="W395" s="103">
        <v>0.16</v>
      </c>
      <c r="X395" s="103">
        <v>7093.71</v>
      </c>
      <c r="Y395" s="103">
        <v>0</v>
      </c>
      <c r="Z395" s="103">
        <v>54169</v>
      </c>
      <c r="AA395" s="116">
        <v>79</v>
      </c>
      <c r="AB395" s="103">
        <v>74.59</v>
      </c>
      <c r="AC395" s="112">
        <v>7.0000000000000007E-2</v>
      </c>
      <c r="AD395" s="103">
        <v>81.319999999999993</v>
      </c>
      <c r="AE395" s="116">
        <v>0.23</v>
      </c>
    </row>
    <row r="396" spans="1:31" ht="4.5" customHeight="1">
      <c r="E396" s="116"/>
      <c r="U396" s="103"/>
    </row>
    <row r="397" spans="1:31">
      <c r="A397" s="102">
        <f>A394+1</f>
        <v>45696</v>
      </c>
      <c r="B397" s="102" t="s">
        <v>3503</v>
      </c>
      <c r="C397" s="110" t="str">
        <f>A397 &amp; " " &amp;B397</f>
        <v>45696 0000H</v>
      </c>
      <c r="D397" s="111">
        <v>1417.68</v>
      </c>
      <c r="E397" s="116">
        <v>49.67</v>
      </c>
      <c r="F397" s="111">
        <v>1108.67</v>
      </c>
      <c r="G397" s="116">
        <v>6.2</v>
      </c>
      <c r="H397" s="111">
        <v>74509.73</v>
      </c>
      <c r="I397" s="103">
        <v>908.86</v>
      </c>
      <c r="J397" s="103">
        <v>33293.199999999997</v>
      </c>
      <c r="K397" s="116">
        <v>105.51</v>
      </c>
      <c r="L397" s="111">
        <v>6028.18</v>
      </c>
      <c r="M397" s="103">
        <v>17.41</v>
      </c>
      <c r="N397" s="103">
        <v>33502.6</v>
      </c>
      <c r="O397" s="103">
        <v>29.2</v>
      </c>
      <c r="P397" s="103">
        <v>692.8</v>
      </c>
      <c r="Q397" s="103">
        <v>747.49</v>
      </c>
      <c r="R397" s="103">
        <v>10355.879999999999</v>
      </c>
      <c r="S397" s="103">
        <v>9.0399999999999991</v>
      </c>
      <c r="T397" s="103">
        <v>36520</v>
      </c>
      <c r="U397" s="103">
        <v>69</v>
      </c>
      <c r="V397" s="103">
        <v>364.83</v>
      </c>
      <c r="W397" s="103">
        <v>0.16</v>
      </c>
      <c r="X397" s="103">
        <v>7101</v>
      </c>
      <c r="Y397" s="103">
        <v>0</v>
      </c>
      <c r="Z397" s="103">
        <v>54169</v>
      </c>
      <c r="AA397" s="116">
        <v>79</v>
      </c>
      <c r="AB397" s="103">
        <v>84.66</v>
      </c>
      <c r="AC397" s="112">
        <v>7.0000000000000007E-2</v>
      </c>
      <c r="AD397" s="103">
        <v>81.319999999999993</v>
      </c>
      <c r="AE397" s="116">
        <v>0.23</v>
      </c>
    </row>
    <row r="398" spans="1:31">
      <c r="A398" s="102">
        <f>A395+1</f>
        <v>45696</v>
      </c>
      <c r="B398" s="102" t="s">
        <v>3504</v>
      </c>
      <c r="C398" s="110" t="str">
        <f>A398 &amp; " " &amp;B398</f>
        <v>45696 1200H</v>
      </c>
      <c r="D398" s="111">
        <v>1421.72</v>
      </c>
      <c r="E398" s="116">
        <v>49.67</v>
      </c>
      <c r="F398" s="111">
        <v>1108.67</v>
      </c>
      <c r="G398" s="116">
        <v>6.2</v>
      </c>
      <c r="H398" s="111">
        <v>74518.5</v>
      </c>
      <c r="I398" s="103">
        <v>908.86</v>
      </c>
      <c r="J398" s="103">
        <v>33296.949999999997</v>
      </c>
      <c r="K398" s="116">
        <v>105.51</v>
      </c>
      <c r="L398" s="111">
        <v>6028.18</v>
      </c>
      <c r="M398" s="103">
        <v>17.41</v>
      </c>
      <c r="N398" s="103">
        <v>33510</v>
      </c>
      <c r="O398" s="103">
        <v>29.2</v>
      </c>
      <c r="P398" s="103">
        <v>693.51</v>
      </c>
      <c r="Q398" s="103">
        <v>747.86</v>
      </c>
      <c r="R398" s="103">
        <v>10359.530000000001</v>
      </c>
      <c r="S398" s="103">
        <v>9.0399999999999991</v>
      </c>
      <c r="T398" s="103">
        <v>36526</v>
      </c>
      <c r="U398" s="103">
        <v>69</v>
      </c>
      <c r="V398" s="103">
        <v>371.05</v>
      </c>
      <c r="W398" s="103">
        <v>0.16</v>
      </c>
      <c r="X398" s="103">
        <v>7106.94</v>
      </c>
      <c r="Y398" s="103">
        <v>0</v>
      </c>
      <c r="Z398" s="103">
        <v>54169</v>
      </c>
      <c r="AA398" s="116">
        <v>79</v>
      </c>
      <c r="AB398" s="103">
        <v>89.95</v>
      </c>
      <c r="AC398" s="112">
        <v>7.0000000000000007E-2</v>
      </c>
      <c r="AD398" s="103">
        <v>81.319999999999993</v>
      </c>
      <c r="AE398" s="116">
        <v>0.23</v>
      </c>
    </row>
    <row r="399" spans="1:31" ht="4.5" customHeight="1"/>
    <row r="400" spans="1:31">
      <c r="A400" s="102">
        <f>A397+1</f>
        <v>45697</v>
      </c>
      <c r="B400" s="102" t="s">
        <v>3503</v>
      </c>
      <c r="C400" s="110" t="str">
        <f>A400 &amp; " " &amp;B400</f>
        <v>45697 0000H</v>
      </c>
      <c r="D400" s="111">
        <v>1426.76</v>
      </c>
      <c r="E400" s="116">
        <v>49.67</v>
      </c>
      <c r="F400" s="111">
        <v>1108.67</v>
      </c>
      <c r="G400" s="116">
        <v>6.2</v>
      </c>
      <c r="H400" s="111">
        <v>74525.59</v>
      </c>
      <c r="I400" s="103">
        <v>908.93</v>
      </c>
      <c r="J400" s="103">
        <v>33300.699999999997</v>
      </c>
      <c r="K400" s="116">
        <v>105.51</v>
      </c>
      <c r="L400" s="111">
        <v>6028.18</v>
      </c>
      <c r="M400" s="103">
        <v>17.48</v>
      </c>
      <c r="N400" s="103">
        <v>33516.6</v>
      </c>
      <c r="O400" s="103">
        <v>29.2</v>
      </c>
      <c r="P400" s="103">
        <v>695.3</v>
      </c>
      <c r="Q400" s="103">
        <v>748.41</v>
      </c>
      <c r="R400" s="103">
        <v>10363.61</v>
      </c>
      <c r="S400" s="103">
        <v>9.0399999999999991</v>
      </c>
      <c r="T400" s="103">
        <v>36532</v>
      </c>
      <c r="U400" s="103">
        <v>69</v>
      </c>
      <c r="V400" s="103">
        <v>376.9</v>
      </c>
      <c r="W400" s="103">
        <v>0.16</v>
      </c>
      <c r="X400" s="103">
        <v>7113.52</v>
      </c>
      <c r="Y400" s="103">
        <v>0</v>
      </c>
      <c r="Z400" s="103">
        <v>54169</v>
      </c>
      <c r="AA400" s="116">
        <v>79</v>
      </c>
      <c r="AB400" s="103">
        <v>96.45</v>
      </c>
      <c r="AC400" s="112">
        <v>7.0000000000000007E-2</v>
      </c>
      <c r="AD400" s="103">
        <v>81.319999999999993</v>
      </c>
      <c r="AE400" s="116">
        <v>0.23</v>
      </c>
    </row>
    <row r="401" spans="1:31">
      <c r="A401" s="102">
        <f>A398+1</f>
        <v>45697</v>
      </c>
      <c r="B401" s="102" t="s">
        <v>3504</v>
      </c>
      <c r="C401" s="110" t="str">
        <f>A401 &amp; " " &amp;B401</f>
        <v>45697 1200H</v>
      </c>
      <c r="D401" s="111"/>
      <c r="E401" s="116"/>
      <c r="F401" s="111">
        <v>1108.67</v>
      </c>
      <c r="G401" s="116">
        <v>6.2</v>
      </c>
      <c r="H401" s="111">
        <v>74528.11</v>
      </c>
      <c r="I401" s="103">
        <v>909.26</v>
      </c>
      <c r="J401" s="103">
        <v>33304.49</v>
      </c>
      <c r="K401" s="116">
        <v>105.51</v>
      </c>
      <c r="L401" s="111">
        <v>6028.18</v>
      </c>
      <c r="M401" s="103">
        <v>17.52</v>
      </c>
      <c r="N401" s="103">
        <v>33523.699999999997</v>
      </c>
      <c r="O401" s="103">
        <v>29.2</v>
      </c>
      <c r="P401" s="103">
        <v>695.76</v>
      </c>
      <c r="Q401" s="103">
        <v>748.95</v>
      </c>
      <c r="R401" s="103">
        <v>10367.07</v>
      </c>
      <c r="S401" s="103">
        <v>9.0399999999999991</v>
      </c>
      <c r="T401" s="103">
        <v>36537</v>
      </c>
      <c r="U401" s="103">
        <v>69</v>
      </c>
      <c r="V401" s="103">
        <v>381.13</v>
      </c>
      <c r="W401" s="103">
        <v>0.16</v>
      </c>
      <c r="X401" s="103">
        <v>7119.15</v>
      </c>
      <c r="Y401" s="103">
        <v>0</v>
      </c>
      <c r="Z401" s="103">
        <v>54169</v>
      </c>
      <c r="AA401" s="116">
        <v>79</v>
      </c>
      <c r="AB401" s="103">
        <v>100.97</v>
      </c>
      <c r="AC401" s="112">
        <v>7.0000000000000007E-2</v>
      </c>
      <c r="AD401" s="103">
        <v>81.319999999999993</v>
      </c>
      <c r="AE401" s="116">
        <v>0.23</v>
      </c>
    </row>
    <row r="402" spans="1:31" ht="4.5" customHeight="1"/>
    <row r="403" spans="1:31">
      <c r="A403" s="102">
        <f>A400+1</f>
        <v>45698</v>
      </c>
      <c r="B403" s="102" t="s">
        <v>3503</v>
      </c>
      <c r="C403" s="110" t="str">
        <f>A403 &amp; " " &amp;B403</f>
        <v>45698 0000H</v>
      </c>
      <c r="D403" s="111">
        <v>1434.72</v>
      </c>
      <c r="E403" s="116">
        <v>49.67</v>
      </c>
      <c r="F403" s="111">
        <v>1108.67</v>
      </c>
      <c r="G403" s="116">
        <v>6.2</v>
      </c>
      <c r="H403" s="111">
        <v>74535.05</v>
      </c>
      <c r="I403" s="103">
        <v>909.27</v>
      </c>
      <c r="J403" s="103">
        <v>33307.129999999997</v>
      </c>
      <c r="K403" s="116">
        <v>105.55</v>
      </c>
      <c r="L403" s="111">
        <v>6028.18</v>
      </c>
      <c r="M403" s="103">
        <v>17.600000000000001</v>
      </c>
      <c r="N403" s="103">
        <v>33529.5</v>
      </c>
      <c r="O403" s="103">
        <v>29.2</v>
      </c>
      <c r="P403" s="103">
        <v>696</v>
      </c>
      <c r="Q403" s="103">
        <v>749.67</v>
      </c>
      <c r="R403" s="103">
        <v>10370.19</v>
      </c>
      <c r="S403" s="103">
        <v>9.0399999999999991</v>
      </c>
      <c r="T403" s="103">
        <v>36543</v>
      </c>
      <c r="U403" s="103">
        <v>69</v>
      </c>
      <c r="V403" s="103">
        <v>385.82</v>
      </c>
      <c r="W403" s="103">
        <v>0.16</v>
      </c>
      <c r="X403" s="103">
        <v>7126.21</v>
      </c>
      <c r="Y403" s="103">
        <v>0</v>
      </c>
      <c r="Z403" s="103">
        <v>54169</v>
      </c>
      <c r="AA403" s="116">
        <v>79</v>
      </c>
      <c r="AB403" s="103">
        <v>103.08</v>
      </c>
      <c r="AC403" s="112">
        <v>7.0000000000000007E-2</v>
      </c>
      <c r="AD403" s="103">
        <v>81.319999999999993</v>
      </c>
      <c r="AE403" s="116">
        <v>0.23</v>
      </c>
    </row>
    <row r="404" spans="1:31">
      <c r="A404" s="102">
        <f>A401+1</f>
        <v>45698</v>
      </c>
      <c r="B404" s="102" t="s">
        <v>3504</v>
      </c>
      <c r="C404" s="110" t="str">
        <f>A404 &amp; " " &amp;B404</f>
        <v>45698 1200H</v>
      </c>
      <c r="D404" s="111">
        <v>1444.32</v>
      </c>
      <c r="E404" s="116">
        <v>49.67</v>
      </c>
      <c r="F404" s="111">
        <v>1108.67</v>
      </c>
      <c r="G404" s="116">
        <v>6.2</v>
      </c>
      <c r="H404" s="111">
        <v>74558.600000000006</v>
      </c>
      <c r="I404" s="103">
        <v>909.27</v>
      </c>
      <c r="J404" s="103">
        <v>33307.75</v>
      </c>
      <c r="K404" s="116">
        <v>105.7</v>
      </c>
      <c r="L404" s="111">
        <v>6028.18</v>
      </c>
      <c r="M404" s="103">
        <v>17.649999999999999</v>
      </c>
      <c r="N404" s="103">
        <v>33538</v>
      </c>
      <c r="O404" s="103">
        <v>29.2</v>
      </c>
      <c r="P404" s="103">
        <v>697.75</v>
      </c>
      <c r="Q404" s="103">
        <v>750.46</v>
      </c>
      <c r="R404" s="103">
        <v>10376.799999999999</v>
      </c>
      <c r="S404" s="103">
        <v>9.0399999999999991</v>
      </c>
      <c r="T404" s="103">
        <v>36554</v>
      </c>
      <c r="U404" s="103">
        <v>69</v>
      </c>
      <c r="V404" s="103">
        <v>392.35</v>
      </c>
      <c r="W404" s="103">
        <v>0.17</v>
      </c>
      <c r="X404" s="103">
        <v>7137.86</v>
      </c>
      <c r="Y404" s="103">
        <v>0</v>
      </c>
      <c r="Z404" s="103">
        <v>54169</v>
      </c>
      <c r="AA404" s="116">
        <v>79</v>
      </c>
      <c r="AB404" s="103">
        <v>112.66</v>
      </c>
      <c r="AC404" s="112">
        <v>0.11</v>
      </c>
      <c r="AD404" s="103">
        <v>81.319999999999993</v>
      </c>
      <c r="AE404" s="116">
        <v>0.23</v>
      </c>
    </row>
    <row r="405" spans="1:31" ht="4.5" customHeight="1"/>
    <row r="406" spans="1:31">
      <c r="A406" s="102">
        <f>A403+1</f>
        <v>45699</v>
      </c>
      <c r="B406" s="102" t="s">
        <v>3503</v>
      </c>
      <c r="C406" s="110" t="str">
        <f>A406 &amp; " " &amp;B406</f>
        <v>45699 0000H</v>
      </c>
      <c r="D406" s="111">
        <v>1454.2</v>
      </c>
      <c r="E406" s="116">
        <v>49.67</v>
      </c>
      <c r="F406" s="111">
        <v>1108.67</v>
      </c>
      <c r="G406" s="116">
        <v>6.2</v>
      </c>
      <c r="H406" s="111">
        <v>74568</v>
      </c>
      <c r="I406" s="103">
        <v>909.27</v>
      </c>
      <c r="J406" s="103">
        <v>33312.370000000003</v>
      </c>
      <c r="K406" s="116">
        <v>105.75</v>
      </c>
      <c r="L406" s="111">
        <v>6028.18</v>
      </c>
      <c r="M406" s="103">
        <v>17.91</v>
      </c>
      <c r="N406" s="103">
        <v>33552.300000000003</v>
      </c>
      <c r="O406" s="103">
        <v>29.2</v>
      </c>
      <c r="P406" s="103">
        <v>698.54</v>
      </c>
      <c r="Q406" s="103">
        <v>751.51</v>
      </c>
      <c r="R406" s="103">
        <v>10384.02</v>
      </c>
      <c r="S406" s="103">
        <v>9.0399999999999991</v>
      </c>
      <c r="T406" s="103">
        <v>36565</v>
      </c>
      <c r="U406" s="103">
        <v>69</v>
      </c>
      <c r="V406" s="103">
        <v>404.22</v>
      </c>
      <c r="W406" s="103">
        <v>0.17</v>
      </c>
      <c r="X406" s="103">
        <v>7149.87</v>
      </c>
      <c r="Y406" s="103">
        <v>0</v>
      </c>
      <c r="Z406" s="103">
        <v>54169</v>
      </c>
      <c r="AA406" s="116">
        <v>79</v>
      </c>
      <c r="AB406" s="103">
        <v>122.65</v>
      </c>
      <c r="AC406" s="112">
        <v>0.12</v>
      </c>
      <c r="AD406" s="103">
        <v>81.319999999999993</v>
      </c>
      <c r="AE406" s="116">
        <v>0.23</v>
      </c>
    </row>
    <row r="407" spans="1:31">
      <c r="A407" s="102">
        <f>A404+1</f>
        <v>45699</v>
      </c>
      <c r="B407" s="102" t="s">
        <v>3504</v>
      </c>
      <c r="C407" s="110" t="str">
        <f>A407 &amp; " " &amp;B407</f>
        <v>45699 1200H</v>
      </c>
      <c r="D407" s="111">
        <v>1448.28</v>
      </c>
      <c r="E407" s="116">
        <v>49.67</v>
      </c>
      <c r="F407" s="111">
        <v>1108.67</v>
      </c>
      <c r="G407" s="116">
        <v>6.2</v>
      </c>
      <c r="H407" s="111">
        <v>74559.539999999994</v>
      </c>
      <c r="I407" s="103">
        <v>909.27</v>
      </c>
      <c r="J407" s="103">
        <v>33308.620000000003</v>
      </c>
      <c r="K407" s="116">
        <v>105.75</v>
      </c>
      <c r="L407" s="111">
        <v>6028.18</v>
      </c>
      <c r="M407" s="103">
        <v>17.91</v>
      </c>
      <c r="N407" s="103">
        <v>33545</v>
      </c>
      <c r="O407" s="103">
        <v>29</v>
      </c>
      <c r="P407" s="103">
        <v>698.13</v>
      </c>
      <c r="Q407" s="103">
        <v>751.01</v>
      </c>
      <c r="R407" s="103">
        <v>10379.89</v>
      </c>
      <c r="S407" s="103">
        <v>9.0399999999999991</v>
      </c>
      <c r="T407" s="103">
        <v>36559</v>
      </c>
      <c r="U407" s="103">
        <v>69</v>
      </c>
      <c r="V407" s="103">
        <v>397.53</v>
      </c>
      <c r="W407" s="103">
        <v>0.17</v>
      </c>
      <c r="X407" s="103">
        <v>7143.53</v>
      </c>
      <c r="Y407" s="103">
        <v>0</v>
      </c>
      <c r="Z407" s="103">
        <v>54169</v>
      </c>
      <c r="AA407" s="116">
        <v>79</v>
      </c>
      <c r="AB407" s="103">
        <v>116.95</v>
      </c>
      <c r="AC407" s="112">
        <v>0.12</v>
      </c>
      <c r="AD407" s="103">
        <v>81.319999999999993</v>
      </c>
      <c r="AE407" s="116">
        <v>0.23</v>
      </c>
    </row>
    <row r="408" spans="1:31" ht="5.25" customHeight="1"/>
    <row r="409" spans="1:31">
      <c r="A409" s="102">
        <f>A406+1</f>
        <v>45700</v>
      </c>
      <c r="B409" s="102" t="s">
        <v>3503</v>
      </c>
      <c r="C409" s="110" t="str">
        <f>A409 &amp; " " &amp;B409</f>
        <v>45700 0000H</v>
      </c>
      <c r="D409" s="111">
        <v>1454.2</v>
      </c>
      <c r="E409" s="116">
        <v>49.67</v>
      </c>
      <c r="F409" s="111">
        <v>1108.67</v>
      </c>
      <c r="G409" s="116">
        <v>6.2</v>
      </c>
      <c r="H409" s="111">
        <v>74568.66</v>
      </c>
      <c r="I409" s="103">
        <v>909.27</v>
      </c>
      <c r="J409" s="103">
        <v>33312.370000000003</v>
      </c>
      <c r="K409" s="116">
        <v>105.75</v>
      </c>
      <c r="L409" s="111">
        <v>6028.18</v>
      </c>
      <c r="M409" s="103">
        <v>17.91</v>
      </c>
      <c r="N409" s="103">
        <v>33552.300000000003</v>
      </c>
      <c r="O409" s="103">
        <v>29.2</v>
      </c>
      <c r="P409" s="103">
        <v>698.54</v>
      </c>
      <c r="Q409" s="103">
        <v>751.51</v>
      </c>
      <c r="R409" s="103">
        <v>10384.02</v>
      </c>
      <c r="S409" s="103">
        <v>9.0399999999999991</v>
      </c>
      <c r="T409" s="103">
        <v>36565</v>
      </c>
      <c r="U409" s="103">
        <v>69</v>
      </c>
      <c r="V409" s="103">
        <v>404.22</v>
      </c>
      <c r="W409" s="103">
        <v>0.17</v>
      </c>
      <c r="X409" s="103">
        <v>7149.87</v>
      </c>
      <c r="Y409" s="103">
        <v>0</v>
      </c>
      <c r="Z409" s="103">
        <v>54169</v>
      </c>
      <c r="AA409" s="116">
        <v>79</v>
      </c>
      <c r="AB409" s="103">
        <v>122.65</v>
      </c>
      <c r="AC409" s="112">
        <v>0.12</v>
      </c>
      <c r="AD409" s="103">
        <v>81.319999999999993</v>
      </c>
      <c r="AE409" s="116">
        <v>0.23</v>
      </c>
    </row>
    <row r="410" spans="1:31">
      <c r="A410" s="102">
        <f>A407+1</f>
        <v>45700</v>
      </c>
      <c r="B410" s="102" t="s">
        <v>3504</v>
      </c>
      <c r="C410" s="110" t="str">
        <f>A410 &amp; " " &amp;B410</f>
        <v>45700 1200H</v>
      </c>
      <c r="D410" s="111">
        <v>1457.93</v>
      </c>
      <c r="E410" s="116">
        <v>49.67</v>
      </c>
      <c r="F410" s="111">
        <v>1108.67</v>
      </c>
      <c r="G410" s="116">
        <v>6.2</v>
      </c>
      <c r="H410" s="111">
        <v>74577.19</v>
      </c>
      <c r="I410" s="103">
        <v>909.27</v>
      </c>
      <c r="J410" s="103">
        <v>33316.120000000003</v>
      </c>
      <c r="K410" s="116">
        <v>105.75</v>
      </c>
      <c r="L410" s="111">
        <v>6028.18</v>
      </c>
      <c r="M410" s="103">
        <v>18.07</v>
      </c>
      <c r="N410" s="103">
        <v>33559.800000000003</v>
      </c>
      <c r="O410" s="103">
        <v>29.2</v>
      </c>
      <c r="P410" s="103">
        <v>699.97</v>
      </c>
      <c r="Q410" s="103">
        <v>752.03</v>
      </c>
      <c r="R410" s="103">
        <v>10387.709999999999</v>
      </c>
      <c r="S410" s="103">
        <v>9.0399999999999991</v>
      </c>
      <c r="T410" s="103">
        <v>36571</v>
      </c>
      <c r="U410" s="103">
        <v>69</v>
      </c>
      <c r="V410" s="103">
        <v>409.51</v>
      </c>
      <c r="W410" s="103">
        <v>0.17</v>
      </c>
      <c r="X410" s="103">
        <v>7155.71</v>
      </c>
      <c r="Y410" s="103">
        <v>0</v>
      </c>
      <c r="Z410" s="103">
        <v>54169</v>
      </c>
      <c r="AA410" s="116">
        <v>79</v>
      </c>
      <c r="AB410" s="103">
        <v>127.2</v>
      </c>
      <c r="AC410" s="112">
        <v>0.14000000000000001</v>
      </c>
      <c r="AD410" s="103">
        <v>81.319999999999993</v>
      </c>
      <c r="AE410" s="116">
        <v>0.23</v>
      </c>
    </row>
    <row r="411" spans="1:31" ht="5.25" customHeight="1"/>
    <row r="412" spans="1:31">
      <c r="A412" s="102">
        <f>A409+1</f>
        <v>45701</v>
      </c>
      <c r="B412" s="102" t="s">
        <v>3503</v>
      </c>
      <c r="C412" s="110" t="str">
        <f>A412 &amp; " " &amp;B412</f>
        <v>45701 0000H</v>
      </c>
      <c r="D412" s="111">
        <v>1464.7</v>
      </c>
      <c r="E412" s="116">
        <v>49.67</v>
      </c>
      <c r="F412" s="111">
        <v>1108.67</v>
      </c>
      <c r="G412" s="116">
        <v>6.2</v>
      </c>
      <c r="H412" s="111">
        <v>74585.649999999994</v>
      </c>
      <c r="I412" s="103">
        <v>909.27</v>
      </c>
      <c r="J412" s="103">
        <v>33319</v>
      </c>
      <c r="K412" s="116">
        <v>105.75</v>
      </c>
      <c r="L412" s="111">
        <v>6028.18</v>
      </c>
      <c r="M412" s="103">
        <v>18.190000000000001</v>
      </c>
      <c r="N412" s="235">
        <v>33356.699999999997</v>
      </c>
      <c r="O412" s="235">
        <v>29.2</v>
      </c>
      <c r="P412" s="103">
        <v>702.4</v>
      </c>
      <c r="Q412" s="103">
        <v>752.4</v>
      </c>
      <c r="R412" s="103">
        <v>10391.959999999999</v>
      </c>
      <c r="S412" s="103">
        <v>9.0399999999999991</v>
      </c>
      <c r="T412" s="103">
        <v>36578</v>
      </c>
      <c r="U412" s="103">
        <v>69</v>
      </c>
      <c r="V412" s="103">
        <v>416.78</v>
      </c>
      <c r="W412" s="103">
        <v>0.17</v>
      </c>
      <c r="X412" s="103">
        <v>7162.44</v>
      </c>
      <c r="Y412" s="103">
        <v>0</v>
      </c>
      <c r="Z412" s="103">
        <v>54169</v>
      </c>
      <c r="AA412" s="116">
        <v>79</v>
      </c>
      <c r="AB412" s="103">
        <v>134.44</v>
      </c>
      <c r="AC412" s="112">
        <v>0.14000000000000001</v>
      </c>
      <c r="AD412" s="103">
        <v>81.37</v>
      </c>
      <c r="AE412" s="116">
        <v>0.23</v>
      </c>
    </row>
    <row r="413" spans="1:31">
      <c r="A413" s="102">
        <f>A410+1</f>
        <v>45701</v>
      </c>
      <c r="B413" s="102" t="s">
        <v>3504</v>
      </c>
      <c r="C413" s="110" t="str">
        <f>A413 &amp; " " &amp;B413</f>
        <v>45701 1200H</v>
      </c>
      <c r="D413" s="111">
        <v>1468.11</v>
      </c>
      <c r="E413" s="116">
        <v>49.67</v>
      </c>
      <c r="F413" s="111">
        <v>1108.67</v>
      </c>
      <c r="G413" s="116">
        <v>6.2</v>
      </c>
      <c r="H413" s="111">
        <v>74594.13</v>
      </c>
      <c r="I413" s="103">
        <v>909.27</v>
      </c>
      <c r="J413" s="103">
        <v>33322.35</v>
      </c>
      <c r="K413" s="116">
        <v>105.77</v>
      </c>
      <c r="L413" s="111">
        <v>6028.18</v>
      </c>
      <c r="M413" s="103">
        <v>18.36</v>
      </c>
      <c r="N413" s="103">
        <v>33572.199999999997</v>
      </c>
      <c r="O413" s="103">
        <v>29.2</v>
      </c>
      <c r="P413" s="103">
        <v>703.24</v>
      </c>
      <c r="Q413" s="103">
        <v>752.86</v>
      </c>
      <c r="R413" s="103">
        <v>10395.59</v>
      </c>
      <c r="S413" s="103">
        <v>9.0399999999999991</v>
      </c>
      <c r="T413" s="103">
        <v>36584</v>
      </c>
      <c r="U413" s="103">
        <v>69</v>
      </c>
      <c r="V413" s="103">
        <v>422.65</v>
      </c>
      <c r="W413" s="103">
        <v>0.17</v>
      </c>
      <c r="X413" s="103">
        <v>7168.2</v>
      </c>
      <c r="Y413" s="103">
        <v>0</v>
      </c>
      <c r="Z413" s="103">
        <v>54169</v>
      </c>
      <c r="AA413" s="116">
        <v>79</v>
      </c>
      <c r="AB413" s="103">
        <v>139.19</v>
      </c>
      <c r="AC413" s="112">
        <v>0.15</v>
      </c>
      <c r="AD413" s="103">
        <v>81.37</v>
      </c>
      <c r="AE413" s="116">
        <v>0.23</v>
      </c>
    </row>
    <row r="414" spans="1:31" ht="5.25" customHeight="1"/>
    <row r="415" spans="1:31">
      <c r="A415" s="102">
        <f>A412+1</f>
        <v>45702</v>
      </c>
      <c r="B415" s="102" t="s">
        <v>3503</v>
      </c>
      <c r="C415" s="110" t="str">
        <f>A415 &amp; " " &amp;B415</f>
        <v>45702 0000H</v>
      </c>
      <c r="D415" s="111">
        <v>1474.33</v>
      </c>
      <c r="E415" s="116">
        <v>49.67</v>
      </c>
      <c r="F415" s="111">
        <v>1108.67</v>
      </c>
      <c r="G415" s="116">
        <v>6.2</v>
      </c>
      <c r="H415" s="111">
        <v>74602.5</v>
      </c>
      <c r="I415" s="103">
        <v>909.27</v>
      </c>
      <c r="J415" s="103">
        <v>33325.839999999997</v>
      </c>
      <c r="K415" s="116">
        <v>105.78</v>
      </c>
      <c r="L415" s="111">
        <v>6028.18</v>
      </c>
      <c r="M415" s="103">
        <v>18.59</v>
      </c>
      <c r="N415" s="103">
        <v>33579.300000000003</v>
      </c>
      <c r="O415" s="103">
        <v>29.2</v>
      </c>
      <c r="P415" s="103">
        <v>705.17</v>
      </c>
      <c r="Q415" s="103">
        <v>752.91</v>
      </c>
      <c r="R415" s="103">
        <v>10399.94</v>
      </c>
      <c r="S415" s="103">
        <v>9.0399999999999991</v>
      </c>
      <c r="T415" s="103">
        <v>36592</v>
      </c>
      <c r="U415" s="103">
        <v>69</v>
      </c>
      <c r="V415" s="103">
        <v>430.54</v>
      </c>
      <c r="W415" s="103">
        <v>0.17</v>
      </c>
      <c r="X415" s="103">
        <v>7175</v>
      </c>
      <c r="Y415" s="103">
        <v>0</v>
      </c>
      <c r="Z415" s="103">
        <v>54169</v>
      </c>
      <c r="AA415" s="116">
        <v>79</v>
      </c>
      <c r="AB415" s="103">
        <v>146.1</v>
      </c>
      <c r="AC415" s="112">
        <v>0.15</v>
      </c>
      <c r="AD415" s="103">
        <v>81.37</v>
      </c>
      <c r="AE415" s="116">
        <v>0.23</v>
      </c>
    </row>
    <row r="416" spans="1:31">
      <c r="A416" s="102">
        <f>A413+1</f>
        <v>45702</v>
      </c>
      <c r="B416" s="102" t="s">
        <v>3504</v>
      </c>
      <c r="C416" s="110" t="str">
        <f>A416 &amp; " " &amp;B416</f>
        <v>45702 1200H</v>
      </c>
      <c r="D416" s="111">
        <v>1479.16</v>
      </c>
      <c r="E416" s="116">
        <v>49.67</v>
      </c>
      <c r="F416" s="111">
        <v>1108.67</v>
      </c>
      <c r="G416" s="116">
        <v>6.2</v>
      </c>
      <c r="H416" s="111">
        <v>74611.259999999995</v>
      </c>
      <c r="I416" s="103">
        <v>909.27</v>
      </c>
      <c r="J416" s="103">
        <v>33326.006000000001</v>
      </c>
      <c r="K416" s="116">
        <v>105.89</v>
      </c>
      <c r="L416" s="111">
        <v>6028.24</v>
      </c>
      <c r="M416" s="103">
        <v>18.98</v>
      </c>
      <c r="N416" s="103">
        <v>33586.300000000003</v>
      </c>
      <c r="O416" s="103">
        <v>29.2</v>
      </c>
      <c r="P416" s="103">
        <v>706.27</v>
      </c>
      <c r="Q416" s="103">
        <v>753.6</v>
      </c>
      <c r="R416" s="103">
        <v>10403.39</v>
      </c>
      <c r="S416" s="103">
        <v>9.0399999999999991</v>
      </c>
      <c r="T416" s="103">
        <v>36598</v>
      </c>
      <c r="U416" s="103">
        <v>69</v>
      </c>
      <c r="V416" s="103">
        <v>436.79</v>
      </c>
      <c r="W416" s="103">
        <v>0.17</v>
      </c>
      <c r="X416" s="103">
        <v>7181.66</v>
      </c>
      <c r="Y416" s="103">
        <v>0</v>
      </c>
      <c r="Z416" s="103">
        <v>54169</v>
      </c>
      <c r="AA416" s="116">
        <v>79</v>
      </c>
      <c r="AB416" s="103">
        <v>149.97999999999999</v>
      </c>
      <c r="AC416" s="112">
        <v>0.16</v>
      </c>
      <c r="AD416" s="103">
        <v>81.37</v>
      </c>
      <c r="AE416" s="116">
        <v>0.23</v>
      </c>
    </row>
    <row r="417" spans="1:31" ht="5.25" customHeight="1"/>
    <row r="418" spans="1:31">
      <c r="A418" s="102">
        <f>A415+1</f>
        <v>45703</v>
      </c>
      <c r="B418" s="102" t="s">
        <v>3503</v>
      </c>
      <c r="C418" s="110" t="str">
        <f>A418 &amp; " " &amp;B418</f>
        <v>45703 0000H</v>
      </c>
      <c r="D418" s="111">
        <v>1485.33</v>
      </c>
      <c r="E418" s="116">
        <v>49.67</v>
      </c>
      <c r="F418" s="111">
        <v>1108.67</v>
      </c>
      <c r="G418" s="116">
        <v>6.2</v>
      </c>
      <c r="H418" s="111">
        <v>74619.73</v>
      </c>
      <c r="I418" s="103">
        <v>909.27</v>
      </c>
      <c r="J418" s="103">
        <v>33329</v>
      </c>
      <c r="K418" s="116">
        <v>105.78</v>
      </c>
      <c r="L418" s="111">
        <v>6031.26</v>
      </c>
      <c r="M418" s="103">
        <v>18.98</v>
      </c>
      <c r="N418" s="103">
        <v>33592.199999999997</v>
      </c>
      <c r="O418" s="103">
        <v>29.2</v>
      </c>
      <c r="P418" s="103">
        <v>706.72</v>
      </c>
      <c r="Q418" s="103">
        <v>754.72</v>
      </c>
      <c r="R418" s="103">
        <v>10407.75</v>
      </c>
      <c r="S418" s="103">
        <v>9.0399999999999991</v>
      </c>
      <c r="T418" s="103">
        <v>36606</v>
      </c>
      <c r="U418" s="103">
        <v>69</v>
      </c>
      <c r="V418" s="103">
        <v>444.47</v>
      </c>
      <c r="W418" s="103">
        <v>0.17</v>
      </c>
      <c r="X418" s="103">
        <v>7189.2</v>
      </c>
      <c r="Y418" s="103">
        <v>0</v>
      </c>
      <c r="Z418" s="103">
        <v>54169</v>
      </c>
      <c r="AA418" s="116">
        <v>79</v>
      </c>
      <c r="AB418" s="103">
        <v>152.68</v>
      </c>
      <c r="AC418" s="112">
        <v>0.16</v>
      </c>
      <c r="AD418" s="103">
        <v>81.37</v>
      </c>
      <c r="AE418" s="116">
        <v>0.23</v>
      </c>
    </row>
    <row r="419" spans="1:31">
      <c r="A419" s="102">
        <f>A416+1</f>
        <v>45703</v>
      </c>
      <c r="B419" s="102" t="s">
        <v>3504</v>
      </c>
      <c r="C419" s="110" t="str">
        <f>A419 &amp; " " &amp;B419</f>
        <v>45703 1200H</v>
      </c>
      <c r="D419" s="111">
        <v>1488.54</v>
      </c>
      <c r="E419" s="116">
        <v>49.67</v>
      </c>
      <c r="F419" s="111">
        <v>1108.67</v>
      </c>
      <c r="G419" s="116">
        <v>6.2</v>
      </c>
      <c r="H419" s="111">
        <v>74622.080000000002</v>
      </c>
      <c r="I419" s="103">
        <v>909.58</v>
      </c>
      <c r="J419" s="103">
        <v>33333.480000000003</v>
      </c>
      <c r="K419" s="116">
        <v>105.89</v>
      </c>
      <c r="L419" s="111">
        <v>6035.83</v>
      </c>
      <c r="M419" s="103">
        <v>18.98</v>
      </c>
      <c r="N419" s="103">
        <v>33596</v>
      </c>
      <c r="O419" s="103">
        <v>29.2</v>
      </c>
      <c r="P419" s="103">
        <v>706.94</v>
      </c>
      <c r="Q419" s="103">
        <v>755.73</v>
      </c>
      <c r="R419" s="103">
        <v>10411.370000000001</v>
      </c>
      <c r="S419" s="103">
        <v>9.0399999999999991</v>
      </c>
      <c r="T419" s="103">
        <v>36612</v>
      </c>
      <c r="U419" s="103">
        <v>69</v>
      </c>
      <c r="V419" s="103">
        <v>450.22</v>
      </c>
      <c r="W419" s="103">
        <v>0.17</v>
      </c>
      <c r="X419" s="103">
        <v>7195.54</v>
      </c>
      <c r="Y419" s="103">
        <v>0</v>
      </c>
      <c r="Z419" s="103">
        <v>54169</v>
      </c>
      <c r="AA419" s="116">
        <v>79</v>
      </c>
      <c r="AB419" s="103">
        <v>152.68</v>
      </c>
      <c r="AC419" s="112">
        <v>0.16</v>
      </c>
      <c r="AD419" s="103">
        <v>81.37</v>
      </c>
      <c r="AE419" s="116">
        <v>0.23</v>
      </c>
    </row>
    <row r="420" spans="1:31" ht="5.25" customHeight="1"/>
    <row r="421" spans="1:31">
      <c r="A421" s="102">
        <f>A418+1</f>
        <v>45704</v>
      </c>
      <c r="B421" s="102" t="s">
        <v>3503</v>
      </c>
      <c r="C421" s="110" t="str">
        <f>A421 &amp; " " &amp;B421</f>
        <v>45704 0000H</v>
      </c>
      <c r="D421" s="111">
        <v>1493.34</v>
      </c>
      <c r="E421" s="116">
        <v>49.67</v>
      </c>
      <c r="F421" s="111">
        <v>1108.67</v>
      </c>
      <c r="G421" s="116">
        <v>6.2</v>
      </c>
      <c r="H421" s="111">
        <v>74630.350000000006</v>
      </c>
      <c r="I421" s="103">
        <v>909.58</v>
      </c>
      <c r="J421" s="103">
        <v>33337.410000000003</v>
      </c>
      <c r="K421" s="116">
        <v>105.89</v>
      </c>
      <c r="L421" s="111">
        <v>6039.8</v>
      </c>
      <c r="M421" s="103">
        <v>18.98</v>
      </c>
      <c r="N421" s="103">
        <v>33600.6</v>
      </c>
      <c r="O421" s="103">
        <v>29.2</v>
      </c>
      <c r="P421" s="103">
        <v>707.2</v>
      </c>
      <c r="Q421" s="103">
        <v>757.17</v>
      </c>
      <c r="R421" s="103">
        <v>10415.85</v>
      </c>
      <c r="S421" s="103">
        <v>9.0399999999999991</v>
      </c>
      <c r="T421" s="103">
        <v>36619</v>
      </c>
      <c r="U421" s="103">
        <v>69</v>
      </c>
      <c r="V421" s="103">
        <v>457.77</v>
      </c>
      <c r="W421" s="103">
        <v>0.17</v>
      </c>
      <c r="X421" s="103">
        <v>7202.8</v>
      </c>
      <c r="Y421" s="103">
        <v>0</v>
      </c>
      <c r="Z421" s="103">
        <v>54169</v>
      </c>
      <c r="AA421" s="116">
        <v>79</v>
      </c>
      <c r="AB421" s="103">
        <v>152.68</v>
      </c>
      <c r="AC421" s="112">
        <v>0.16</v>
      </c>
      <c r="AD421" s="103">
        <v>81.37</v>
      </c>
      <c r="AE421" s="116">
        <v>0.23</v>
      </c>
    </row>
    <row r="422" spans="1:31">
      <c r="A422" s="102">
        <f>A419+1</f>
        <v>45704</v>
      </c>
      <c r="B422" s="102" t="s">
        <v>3504</v>
      </c>
      <c r="C422" s="110" t="str">
        <f>A422 &amp; " " &amp;B422</f>
        <v>45704 1200H</v>
      </c>
      <c r="D422" s="111">
        <v>1496.57</v>
      </c>
      <c r="E422" s="116">
        <v>49.67</v>
      </c>
      <c r="F422" s="111">
        <v>1108.67</v>
      </c>
      <c r="G422" s="116">
        <v>6.2</v>
      </c>
      <c r="H422" s="111">
        <v>74630.539999999994</v>
      </c>
      <c r="I422" s="103">
        <v>909.94</v>
      </c>
      <c r="J422" s="103">
        <v>33341.300000000003</v>
      </c>
      <c r="K422" s="116">
        <v>105.89</v>
      </c>
      <c r="L422" s="111">
        <v>6043.73</v>
      </c>
      <c r="M422" s="103">
        <v>18.98</v>
      </c>
      <c r="N422" s="103">
        <v>33602.5</v>
      </c>
      <c r="O422" s="103">
        <v>29.2</v>
      </c>
      <c r="P422" s="103">
        <v>707.49</v>
      </c>
      <c r="Q422" s="103">
        <v>758.03</v>
      </c>
      <c r="R422" s="103">
        <v>10419.5</v>
      </c>
      <c r="S422" s="103">
        <v>9.0399999999999991</v>
      </c>
      <c r="T422" s="103">
        <v>36625</v>
      </c>
      <c r="U422" s="103">
        <v>69</v>
      </c>
      <c r="V422" s="103">
        <v>462.73</v>
      </c>
      <c r="W422" s="103">
        <v>0.17</v>
      </c>
      <c r="X422" s="103">
        <v>7208</v>
      </c>
      <c r="Y422" s="103">
        <v>0</v>
      </c>
      <c r="Z422" s="103">
        <v>54169</v>
      </c>
      <c r="AA422" s="116">
        <v>79</v>
      </c>
      <c r="AB422" s="103">
        <v>152.68</v>
      </c>
      <c r="AC422" s="112">
        <v>0.16</v>
      </c>
      <c r="AD422" s="103">
        <v>81.37</v>
      </c>
      <c r="AE422" s="116">
        <v>0.23</v>
      </c>
    </row>
    <row r="423" spans="1:31" ht="4.5" customHeight="1"/>
    <row r="424" spans="1:31">
      <c r="A424" s="102">
        <f>A421+1</f>
        <v>45705</v>
      </c>
      <c r="B424" s="102" t="s">
        <v>3503</v>
      </c>
      <c r="C424" s="110" t="str">
        <f>A424 &amp; " " &amp;B424</f>
        <v>45705 0000H</v>
      </c>
      <c r="D424" s="111">
        <v>1501</v>
      </c>
      <c r="E424" s="116">
        <v>49.67</v>
      </c>
      <c r="F424" s="111">
        <v>1108.67</v>
      </c>
      <c r="G424" s="116">
        <v>6.2</v>
      </c>
      <c r="H424" s="111">
        <v>74635.31</v>
      </c>
      <c r="I424" s="103">
        <v>910.09</v>
      </c>
      <c r="J424" s="103">
        <v>33344.57</v>
      </c>
      <c r="K424" s="116">
        <v>105.91</v>
      </c>
      <c r="L424" s="111">
        <v>6048.3</v>
      </c>
      <c r="M424" s="103">
        <v>18.920000000000002</v>
      </c>
      <c r="N424" s="103">
        <v>33607.5</v>
      </c>
      <c r="O424" s="103">
        <v>29.3</v>
      </c>
      <c r="P424" s="103">
        <v>707.6</v>
      </c>
      <c r="Q424" s="103">
        <v>759.27</v>
      </c>
      <c r="R424" s="103">
        <v>10423.969999999999</v>
      </c>
      <c r="S424" s="103">
        <v>9.0399999999999991</v>
      </c>
      <c r="T424" s="103">
        <v>36632</v>
      </c>
      <c r="U424" s="103">
        <v>69</v>
      </c>
      <c r="V424" s="103">
        <v>469.7</v>
      </c>
      <c r="W424" s="103">
        <v>0.17</v>
      </c>
      <c r="X424" s="103">
        <v>7216.31</v>
      </c>
      <c r="Y424" s="103">
        <v>0</v>
      </c>
      <c r="Z424" s="103">
        <v>54169</v>
      </c>
      <c r="AA424" s="116">
        <v>79</v>
      </c>
      <c r="AB424" s="103">
        <v>152.68</v>
      </c>
      <c r="AC424" s="112">
        <v>0.16</v>
      </c>
      <c r="AD424" s="103">
        <v>81.37</v>
      </c>
      <c r="AE424" s="116">
        <v>0.23</v>
      </c>
    </row>
    <row r="425" spans="1:31">
      <c r="A425" s="102">
        <f>A422+1</f>
        <v>45705</v>
      </c>
      <c r="B425" s="102" t="s">
        <v>3504</v>
      </c>
      <c r="C425" s="110" t="str">
        <f>A425 &amp; " " &amp;B425</f>
        <v>45705 1200H</v>
      </c>
      <c r="D425" s="111">
        <v>1504.32</v>
      </c>
      <c r="E425" s="116">
        <v>49.67</v>
      </c>
      <c r="F425" s="111">
        <v>1108.67</v>
      </c>
      <c r="G425" s="116">
        <v>6.2</v>
      </c>
      <c r="H425" s="111">
        <v>74642.960000000006</v>
      </c>
      <c r="I425" s="103">
        <v>910.09</v>
      </c>
      <c r="J425" s="103">
        <v>33345.72</v>
      </c>
      <c r="K425" s="116">
        <v>105.95</v>
      </c>
      <c r="L425" s="111">
        <v>6053.4</v>
      </c>
      <c r="M425" s="103">
        <v>18.98</v>
      </c>
      <c r="N425" s="103">
        <v>33610.9</v>
      </c>
      <c r="O425" s="103">
        <v>29.3</v>
      </c>
      <c r="P425" s="103">
        <v>707.6</v>
      </c>
      <c r="Q425" s="103">
        <v>760.5</v>
      </c>
      <c r="R425" s="103">
        <v>10427.459999999999</v>
      </c>
      <c r="S425" s="103">
        <v>9.0399999999999991</v>
      </c>
      <c r="T425" s="103">
        <v>36638</v>
      </c>
      <c r="U425" s="103">
        <v>69</v>
      </c>
      <c r="V425" s="103">
        <v>474.71</v>
      </c>
      <c r="W425" s="103">
        <v>0.17</v>
      </c>
      <c r="X425" s="103">
        <v>7022.49</v>
      </c>
      <c r="Y425" s="103">
        <v>0</v>
      </c>
      <c r="Z425" s="103">
        <v>54169</v>
      </c>
      <c r="AA425" s="116">
        <v>79</v>
      </c>
      <c r="AB425" s="103">
        <v>152.68</v>
      </c>
      <c r="AC425" s="112">
        <v>0.16</v>
      </c>
      <c r="AD425" s="103">
        <v>81.37</v>
      </c>
      <c r="AE425" s="116">
        <v>0.23</v>
      </c>
    </row>
    <row r="426" spans="1:31" ht="4.5" customHeight="1"/>
    <row r="427" spans="1:31">
      <c r="A427" s="102">
        <f>A424+1</f>
        <v>45706</v>
      </c>
      <c r="B427" s="102" t="s">
        <v>3503</v>
      </c>
      <c r="C427" s="110" t="str">
        <f>A427 &amp; " " &amp;B427</f>
        <v>45706 0000H</v>
      </c>
      <c r="D427" s="111">
        <v>1509.6</v>
      </c>
      <c r="E427" s="116">
        <v>49.67</v>
      </c>
      <c r="F427" s="111">
        <v>1108.67</v>
      </c>
      <c r="G427" s="116">
        <v>6.2</v>
      </c>
      <c r="H427" s="111">
        <v>74652.36</v>
      </c>
      <c r="I427" s="103">
        <v>910.09</v>
      </c>
      <c r="J427" s="103">
        <v>33349.22</v>
      </c>
      <c r="K427" s="116">
        <v>105.96</v>
      </c>
      <c r="L427" s="111">
        <v>6058.77</v>
      </c>
      <c r="M427" s="103">
        <v>18.98</v>
      </c>
      <c r="N427" s="103">
        <v>33617.800000000003</v>
      </c>
      <c r="O427" s="103">
        <v>29.3</v>
      </c>
      <c r="P427" s="103">
        <v>707.69</v>
      </c>
      <c r="Q427" s="103">
        <v>761.94</v>
      </c>
      <c r="R427" s="103">
        <v>10431.86</v>
      </c>
      <c r="S427" s="103">
        <v>9.0399999999999991</v>
      </c>
      <c r="T427" s="103">
        <v>36646</v>
      </c>
      <c r="U427" s="103">
        <v>69</v>
      </c>
      <c r="V427" s="103">
        <v>479.51</v>
      </c>
      <c r="W427" s="103">
        <v>0.17</v>
      </c>
      <c r="X427" s="103">
        <v>7229.99</v>
      </c>
      <c r="Y427" s="103">
        <v>0</v>
      </c>
      <c r="Z427" s="103">
        <v>54169</v>
      </c>
      <c r="AA427" s="116">
        <v>79</v>
      </c>
      <c r="AB427" s="103">
        <v>152.68</v>
      </c>
      <c r="AC427" s="112">
        <v>0.16</v>
      </c>
      <c r="AD427" s="103">
        <v>81.37</v>
      </c>
      <c r="AE427" s="116">
        <v>0.23</v>
      </c>
    </row>
    <row r="428" spans="1:31">
      <c r="A428" s="102">
        <f>A425+1</f>
        <v>45706</v>
      </c>
      <c r="B428" s="102" t="s">
        <v>3504</v>
      </c>
      <c r="C428" s="110" t="str">
        <f>A428 &amp; " " &amp;B428</f>
        <v>45706 1200H</v>
      </c>
      <c r="D428" s="111">
        <v>1513.1</v>
      </c>
      <c r="E428" s="116">
        <v>49.67</v>
      </c>
      <c r="F428" s="111">
        <v>1108.67</v>
      </c>
      <c r="G428" s="116">
        <v>6.2</v>
      </c>
      <c r="H428" s="111">
        <v>74660.78</v>
      </c>
      <c r="I428" s="103">
        <v>910.09</v>
      </c>
      <c r="J428" s="103">
        <v>33350.35</v>
      </c>
      <c r="K428" s="116">
        <v>106.2</v>
      </c>
      <c r="L428" s="111">
        <v>6064.43</v>
      </c>
      <c r="M428" s="103">
        <v>18.98</v>
      </c>
      <c r="N428" s="103">
        <v>33621.599999999999</v>
      </c>
      <c r="O428" s="103">
        <v>29.3</v>
      </c>
      <c r="P428" s="103">
        <v>707.81</v>
      </c>
      <c r="Q428" s="103">
        <v>762.81</v>
      </c>
      <c r="R428" s="103">
        <v>10434.959999999999</v>
      </c>
      <c r="S428" s="103">
        <v>9.0399999999999991</v>
      </c>
      <c r="T428" s="103">
        <v>36653</v>
      </c>
      <c r="U428" s="103">
        <v>69</v>
      </c>
      <c r="V428" s="103">
        <v>486.9</v>
      </c>
      <c r="W428" s="103">
        <v>0.17</v>
      </c>
      <c r="X428" s="103">
        <v>7236.29</v>
      </c>
      <c r="Y428" s="103">
        <v>0</v>
      </c>
      <c r="Z428" s="103">
        <v>54169</v>
      </c>
      <c r="AA428" s="116">
        <v>79</v>
      </c>
      <c r="AB428" s="103">
        <v>152.68</v>
      </c>
      <c r="AC428" s="112">
        <v>0.16</v>
      </c>
      <c r="AD428" s="103">
        <v>81.37</v>
      </c>
      <c r="AE428" s="116">
        <v>0.23</v>
      </c>
    </row>
    <row r="429" spans="1:31" ht="4.5" customHeight="1"/>
    <row r="430" spans="1:31">
      <c r="A430" s="102">
        <f>A427+1</f>
        <v>45707</v>
      </c>
      <c r="B430" s="102" t="s">
        <v>3503</v>
      </c>
      <c r="C430" s="110" t="str">
        <f>A430 &amp; " " &amp;B430</f>
        <v>45707 0000H</v>
      </c>
      <c r="D430" s="111">
        <v>1518.48</v>
      </c>
      <c r="E430" s="116">
        <v>49.67</v>
      </c>
      <c r="F430" s="111">
        <v>1108.67</v>
      </c>
      <c r="G430" s="116">
        <v>6.2</v>
      </c>
      <c r="H430" s="111">
        <v>74668.800000000003</v>
      </c>
      <c r="I430" s="103">
        <v>910.09</v>
      </c>
      <c r="J430" s="103">
        <v>33353.49</v>
      </c>
      <c r="K430" s="116">
        <v>106.03</v>
      </c>
      <c r="L430" s="111">
        <v>6069.46</v>
      </c>
      <c r="M430" s="103">
        <v>18.98</v>
      </c>
      <c r="N430" s="103">
        <v>33627.1</v>
      </c>
      <c r="O430" s="103">
        <v>29.3</v>
      </c>
      <c r="P430" s="103">
        <v>708.02</v>
      </c>
      <c r="Q430" s="103">
        <v>763.88</v>
      </c>
      <c r="R430" s="103">
        <v>10438.17</v>
      </c>
      <c r="S430" s="103">
        <v>9.0399999999999991</v>
      </c>
      <c r="T430" s="103">
        <v>36660</v>
      </c>
      <c r="U430" s="103">
        <v>69</v>
      </c>
      <c r="V430" s="103">
        <v>495.58100000000002</v>
      </c>
      <c r="W430" s="103">
        <v>0.17</v>
      </c>
      <c r="X430" s="103">
        <v>7243.55</v>
      </c>
      <c r="Y430" s="103">
        <v>0</v>
      </c>
      <c r="Z430" s="103">
        <v>54169</v>
      </c>
      <c r="AA430" s="116">
        <v>79</v>
      </c>
      <c r="AB430" s="103">
        <v>152.68</v>
      </c>
      <c r="AC430" s="112">
        <v>0.16</v>
      </c>
      <c r="AD430" s="103">
        <v>81.37</v>
      </c>
      <c r="AE430" s="116">
        <v>0.23</v>
      </c>
    </row>
    <row r="431" spans="1:31">
      <c r="A431" s="102">
        <f>A428+1</f>
        <v>45707</v>
      </c>
      <c r="B431" s="102" t="s">
        <v>3504</v>
      </c>
      <c r="C431" s="110" t="str">
        <f>A431 &amp; " " &amp;B431</f>
        <v>45707 1200H</v>
      </c>
      <c r="D431" s="111">
        <v>1521.94</v>
      </c>
      <c r="E431" s="116">
        <v>49.67</v>
      </c>
      <c r="F431" s="111">
        <v>1108.67</v>
      </c>
      <c r="G431" s="116">
        <v>6.2</v>
      </c>
      <c r="H431" s="111">
        <v>74677.3</v>
      </c>
      <c r="I431" s="103">
        <v>910.09</v>
      </c>
      <c r="J431" s="103">
        <v>33354.92</v>
      </c>
      <c r="K431" s="116">
        <v>106.07</v>
      </c>
      <c r="L431" s="111">
        <v>6074.72</v>
      </c>
      <c r="M431" s="103">
        <v>18.98</v>
      </c>
      <c r="N431" s="103">
        <v>33631.1</v>
      </c>
      <c r="O431" s="103">
        <v>29.3</v>
      </c>
      <c r="P431" s="103">
        <v>708.08</v>
      </c>
      <c r="Q431" s="103">
        <v>765.07</v>
      </c>
      <c r="R431" s="103">
        <v>10441.67</v>
      </c>
      <c r="S431" s="103">
        <v>9.0399999999999991</v>
      </c>
      <c r="T431" s="103">
        <v>36667</v>
      </c>
      <c r="U431" s="103">
        <v>69</v>
      </c>
      <c r="V431" s="103">
        <v>502.88</v>
      </c>
      <c r="W431" s="103">
        <v>0.17</v>
      </c>
      <c r="X431" s="103">
        <v>7249.6</v>
      </c>
      <c r="Y431" s="103">
        <v>0</v>
      </c>
      <c r="Z431" s="103">
        <v>54169</v>
      </c>
      <c r="AA431" s="116">
        <v>79</v>
      </c>
      <c r="AB431" s="103">
        <v>152.68</v>
      </c>
      <c r="AC431" s="112">
        <v>0.16</v>
      </c>
      <c r="AD431" s="103">
        <v>81.37</v>
      </c>
      <c r="AE431" s="116">
        <v>0.23</v>
      </c>
    </row>
    <row r="432" spans="1:31" ht="4.5" customHeight="1"/>
    <row r="433" spans="1:31">
      <c r="A433" s="102">
        <f>A430+1</f>
        <v>45708</v>
      </c>
      <c r="B433" s="102" t="s">
        <v>3503</v>
      </c>
      <c r="C433" s="110" t="str">
        <f>A433 &amp; " " &amp;B433</f>
        <v>45708 0000H</v>
      </c>
      <c r="D433" s="111">
        <v>1526.4</v>
      </c>
      <c r="E433" s="116">
        <v>49.67</v>
      </c>
      <c r="F433" s="111">
        <v>1108.67</v>
      </c>
      <c r="G433" s="116">
        <v>6.2</v>
      </c>
      <c r="H433" s="111">
        <v>74684.91</v>
      </c>
      <c r="I433" s="103">
        <v>910.15</v>
      </c>
      <c r="J433" s="103">
        <v>33358.519999999997</v>
      </c>
      <c r="K433" s="116">
        <v>106.08</v>
      </c>
      <c r="L433" s="111">
        <v>6080.46</v>
      </c>
      <c r="M433" s="103">
        <v>18.98</v>
      </c>
      <c r="N433" s="408">
        <v>33368.5</v>
      </c>
      <c r="O433" s="103">
        <v>29.3</v>
      </c>
      <c r="P433" s="103">
        <v>708.08</v>
      </c>
      <c r="Q433" s="103">
        <v>766.3</v>
      </c>
      <c r="R433" s="103">
        <v>10445.83</v>
      </c>
      <c r="S433" s="103">
        <v>9.0399999999999991</v>
      </c>
      <c r="T433" s="103">
        <v>36674</v>
      </c>
      <c r="U433" s="103">
        <v>69</v>
      </c>
      <c r="V433" s="103">
        <v>509.46</v>
      </c>
      <c r="W433" s="103">
        <v>0.17</v>
      </c>
      <c r="X433" s="103">
        <v>7256.62</v>
      </c>
      <c r="Y433" s="103">
        <v>0</v>
      </c>
      <c r="Z433" s="103">
        <v>54169</v>
      </c>
      <c r="AA433" s="116">
        <v>79</v>
      </c>
      <c r="AB433" s="103">
        <v>152.68</v>
      </c>
      <c r="AC433" s="112">
        <v>0.16</v>
      </c>
      <c r="AD433" s="103">
        <v>81.37</v>
      </c>
      <c r="AE433" s="116">
        <v>0.23</v>
      </c>
    </row>
    <row r="434" spans="1:31">
      <c r="A434" s="102">
        <f>A431+1</f>
        <v>45708</v>
      </c>
      <c r="B434" s="102" t="s">
        <v>3504</v>
      </c>
      <c r="C434" s="110" t="str">
        <f>A434 &amp; " " &amp;B434</f>
        <v>45708 1200H</v>
      </c>
      <c r="D434" s="111">
        <v>1529.88</v>
      </c>
      <c r="E434" s="116">
        <v>49.67</v>
      </c>
      <c r="F434" s="111">
        <v>1108.67</v>
      </c>
      <c r="G434" s="116">
        <v>6.2</v>
      </c>
      <c r="H434" s="111">
        <v>74690.94</v>
      </c>
      <c r="I434" s="103">
        <v>910.15</v>
      </c>
      <c r="J434" s="103">
        <v>33358.99</v>
      </c>
      <c r="K434" s="116">
        <v>106.13</v>
      </c>
      <c r="L434" s="111">
        <v>6086.03</v>
      </c>
      <c r="M434" s="103">
        <v>18.98</v>
      </c>
      <c r="N434" s="103">
        <v>33642.6</v>
      </c>
      <c r="O434" s="103">
        <v>29.3</v>
      </c>
      <c r="P434" s="103">
        <v>708.62</v>
      </c>
      <c r="Q434" s="103">
        <v>767.24</v>
      </c>
      <c r="R434" s="103">
        <v>10449.42</v>
      </c>
      <c r="S434" s="103">
        <v>9.0399999999999991</v>
      </c>
      <c r="T434" s="103">
        <v>36680</v>
      </c>
      <c r="U434" s="103">
        <v>69</v>
      </c>
      <c r="V434" s="103">
        <v>515.48</v>
      </c>
      <c r="W434" s="103">
        <v>0.17</v>
      </c>
      <c r="X434" s="103">
        <v>7262.84</v>
      </c>
      <c r="Y434" s="103">
        <v>0</v>
      </c>
      <c r="Z434" s="103">
        <v>54169</v>
      </c>
      <c r="AA434" s="116">
        <v>79</v>
      </c>
      <c r="AB434" s="103">
        <v>152.68</v>
      </c>
      <c r="AC434" s="112">
        <v>0.16</v>
      </c>
      <c r="AD434" s="103">
        <v>81.37</v>
      </c>
      <c r="AE434" s="116">
        <v>0.23</v>
      </c>
    </row>
    <row r="435" spans="1:31" ht="4.5" customHeight="1"/>
    <row r="436" spans="1:31">
      <c r="A436" s="102">
        <f>A433+1</f>
        <v>45709</v>
      </c>
      <c r="B436" s="102" t="s">
        <v>3503</v>
      </c>
      <c r="C436" s="110" t="str">
        <f>A436 &amp; " " &amp;B436</f>
        <v>45709 0000H</v>
      </c>
      <c r="D436" s="111">
        <v>1534.2</v>
      </c>
      <c r="E436" s="116">
        <v>49.67</v>
      </c>
      <c r="F436" s="111">
        <v>1108.67</v>
      </c>
      <c r="G436" s="116">
        <v>6.2</v>
      </c>
      <c r="H436" s="111">
        <v>74690.94</v>
      </c>
      <c r="I436" s="103">
        <v>910.98</v>
      </c>
      <c r="J436" s="103">
        <v>33362.82</v>
      </c>
      <c r="K436" s="116">
        <v>106.13</v>
      </c>
      <c r="L436" s="111">
        <v>6090.6</v>
      </c>
      <c r="M436" s="103">
        <v>19.05</v>
      </c>
      <c r="N436" s="103">
        <v>33649.800000000003</v>
      </c>
      <c r="O436" s="103">
        <v>29.3</v>
      </c>
      <c r="P436" s="103">
        <v>709.66</v>
      </c>
      <c r="Q436" s="103">
        <v>767.87</v>
      </c>
      <c r="R436" s="103">
        <v>10453.51</v>
      </c>
      <c r="S436" s="103">
        <v>9.0399999999999991</v>
      </c>
      <c r="T436" s="103">
        <v>36687</v>
      </c>
      <c r="U436" s="103">
        <v>69</v>
      </c>
      <c r="V436" s="103">
        <v>520.69000000000005</v>
      </c>
      <c r="W436" s="103">
        <v>0.17</v>
      </c>
      <c r="X436" s="103">
        <v>7269</v>
      </c>
      <c r="Y436" s="103">
        <v>0</v>
      </c>
      <c r="Z436" s="103">
        <v>54169</v>
      </c>
      <c r="AA436" s="116">
        <v>79</v>
      </c>
      <c r="AB436" s="103">
        <v>153.58000000000001</v>
      </c>
      <c r="AC436" s="112">
        <v>0.17</v>
      </c>
      <c r="AD436" s="103">
        <v>81.37</v>
      </c>
      <c r="AE436" s="116">
        <v>0.23</v>
      </c>
    </row>
    <row r="437" spans="1:31">
      <c r="A437" s="102">
        <f>A434+1</f>
        <v>45709</v>
      </c>
      <c r="B437" s="102" t="s">
        <v>3504</v>
      </c>
      <c r="C437" s="110" t="str">
        <f>A437 &amp; " " &amp;B437</f>
        <v>45709 1200H</v>
      </c>
      <c r="D437" s="111">
        <v>1537.7</v>
      </c>
      <c r="E437" s="116">
        <v>49.67</v>
      </c>
      <c r="F437" s="111">
        <v>1108.67</v>
      </c>
      <c r="G437" s="116">
        <v>6.2</v>
      </c>
      <c r="H437" s="111">
        <v>74696.710000000006</v>
      </c>
      <c r="I437" s="103">
        <v>911.17</v>
      </c>
      <c r="J437" s="103">
        <v>33365.379999999997</v>
      </c>
      <c r="K437" s="116">
        <v>106.16</v>
      </c>
      <c r="L437" s="111">
        <v>6096.14</v>
      </c>
      <c r="M437" s="103">
        <v>19.05</v>
      </c>
      <c r="N437" s="103">
        <v>33653.4</v>
      </c>
      <c r="O437" s="103">
        <v>29.3</v>
      </c>
      <c r="P437" s="103">
        <v>709.7</v>
      </c>
      <c r="Q437" s="103">
        <v>767.07</v>
      </c>
      <c r="R437" s="103">
        <v>10457.209999999999</v>
      </c>
      <c r="S437" s="103">
        <v>9.0399999999999991</v>
      </c>
      <c r="T437" s="103">
        <v>36693</v>
      </c>
      <c r="U437" s="103">
        <v>69</v>
      </c>
      <c r="V437" s="103">
        <v>527.66999999999996</v>
      </c>
      <c r="W437" s="103">
        <v>0.17</v>
      </c>
      <c r="X437" s="103">
        <v>7275.66</v>
      </c>
      <c r="Y437" s="103">
        <v>0</v>
      </c>
      <c r="Z437" s="103">
        <v>54169</v>
      </c>
      <c r="AA437" s="116">
        <v>79</v>
      </c>
      <c r="AB437" s="103">
        <v>153.58000000000001</v>
      </c>
      <c r="AC437" s="112">
        <v>0.17</v>
      </c>
      <c r="AD437" s="103">
        <v>81.37</v>
      </c>
      <c r="AE437" s="116">
        <v>0.23</v>
      </c>
    </row>
    <row r="438" spans="1:31" ht="4.5" customHeight="1"/>
    <row r="439" spans="1:31">
      <c r="A439" s="102">
        <f>A436+1</f>
        <v>45710</v>
      </c>
      <c r="B439" s="102" t="s">
        <v>3503</v>
      </c>
      <c r="C439" s="110" t="str">
        <f>A439 &amp; " " &amp;B439</f>
        <v>45710 0000H</v>
      </c>
      <c r="D439" s="111">
        <v>1542.15</v>
      </c>
      <c r="E439" s="116">
        <v>49.67</v>
      </c>
      <c r="F439" s="111">
        <v>1108.67</v>
      </c>
      <c r="G439" s="116">
        <v>6.2</v>
      </c>
      <c r="H439" s="111">
        <v>74705.95</v>
      </c>
      <c r="I439" s="103">
        <v>911.2</v>
      </c>
      <c r="J439" s="103">
        <v>33369.39</v>
      </c>
      <c r="K439" s="116">
        <v>106.16</v>
      </c>
      <c r="L439" s="111">
        <v>6101.69</v>
      </c>
      <c r="M439" s="103">
        <v>19.05</v>
      </c>
      <c r="N439" s="103">
        <v>33658</v>
      </c>
      <c r="O439" s="103">
        <v>29.4</v>
      </c>
      <c r="P439" s="103">
        <v>709.84</v>
      </c>
      <c r="Q439" s="103">
        <v>770.15</v>
      </c>
      <c r="R439" s="103">
        <v>10461.629999999999</v>
      </c>
      <c r="S439" s="103">
        <v>9.0399999999999991</v>
      </c>
      <c r="T439" s="103">
        <v>36701</v>
      </c>
      <c r="U439" s="103">
        <v>69</v>
      </c>
      <c r="V439" s="103">
        <v>534.88</v>
      </c>
      <c r="W439" s="103">
        <v>0.17</v>
      </c>
      <c r="X439" s="103">
        <v>7282.05</v>
      </c>
      <c r="Y439" s="103">
        <v>0</v>
      </c>
      <c r="Z439" s="103">
        <v>54169</v>
      </c>
      <c r="AA439" s="116">
        <v>79</v>
      </c>
      <c r="AB439" s="103">
        <v>153.58000000000001</v>
      </c>
      <c r="AC439" s="112">
        <v>0.17</v>
      </c>
      <c r="AD439" s="103">
        <v>81.37</v>
      </c>
      <c r="AE439" s="116">
        <v>0.23</v>
      </c>
    </row>
    <row r="440" spans="1:31">
      <c r="A440" s="102">
        <f>A437+1</f>
        <v>45710</v>
      </c>
      <c r="B440" s="102" t="s">
        <v>3504</v>
      </c>
      <c r="C440" s="110" t="str">
        <f>A440 &amp; " " &amp;B440</f>
        <v>45710 1200H</v>
      </c>
      <c r="D440" s="111">
        <v>1545.88</v>
      </c>
      <c r="E440" s="116">
        <v>49.67</v>
      </c>
      <c r="F440" s="111">
        <v>1108.67</v>
      </c>
      <c r="G440" s="116">
        <v>6.2</v>
      </c>
      <c r="H440" s="111">
        <v>74716.350000000006</v>
      </c>
      <c r="I440" s="103">
        <v>911.2</v>
      </c>
      <c r="J440" s="103">
        <v>33370</v>
      </c>
      <c r="K440" s="116">
        <v>106.24</v>
      </c>
      <c r="L440" s="111">
        <v>6107.29</v>
      </c>
      <c r="M440" s="103">
        <v>19.05</v>
      </c>
      <c r="N440" s="103">
        <v>33661.9</v>
      </c>
      <c r="O440" s="103">
        <v>29.5</v>
      </c>
      <c r="P440" s="103">
        <v>709.93</v>
      </c>
      <c r="Q440" s="103">
        <v>771.39</v>
      </c>
      <c r="R440" s="103">
        <v>10465.44</v>
      </c>
      <c r="S440" s="103">
        <v>9.0399999999999991</v>
      </c>
      <c r="T440" s="103">
        <v>36706</v>
      </c>
      <c r="U440" s="103">
        <v>69</v>
      </c>
      <c r="V440" s="103">
        <v>539.77</v>
      </c>
      <c r="W440" s="103">
        <v>0.17</v>
      </c>
      <c r="X440" s="103">
        <v>7287.7</v>
      </c>
      <c r="Y440" s="103">
        <v>0</v>
      </c>
      <c r="Z440" s="103">
        <v>54169</v>
      </c>
      <c r="AA440" s="116">
        <v>79</v>
      </c>
      <c r="AB440" s="103">
        <v>153.58000000000001</v>
      </c>
      <c r="AC440" s="112">
        <v>0.17</v>
      </c>
      <c r="AD440" s="103">
        <v>81.37</v>
      </c>
      <c r="AE440" s="116">
        <v>0.23</v>
      </c>
    </row>
    <row r="441" spans="1:31" ht="4.5" customHeight="1"/>
    <row r="442" spans="1:31">
      <c r="A442" s="102">
        <f>A439+1</f>
        <v>45711</v>
      </c>
      <c r="B442" s="102" t="s">
        <v>3503</v>
      </c>
      <c r="C442" s="110" t="str">
        <f>A442 &amp; " " &amp;B442</f>
        <v>45711 0000H</v>
      </c>
      <c r="D442" s="111">
        <v>1549.55</v>
      </c>
      <c r="E442" s="116">
        <v>49.67</v>
      </c>
      <c r="F442" s="111">
        <v>1108.67</v>
      </c>
      <c r="G442" s="116">
        <v>6.2</v>
      </c>
      <c r="H442" s="111">
        <v>74722.75</v>
      </c>
      <c r="I442" s="103">
        <v>911.36</v>
      </c>
      <c r="J442" s="103">
        <v>33372</v>
      </c>
      <c r="K442" s="116">
        <v>106.3</v>
      </c>
      <c r="L442" s="111">
        <v>6113.01</v>
      </c>
      <c r="M442" s="103">
        <v>19.05</v>
      </c>
      <c r="N442" s="103">
        <v>33669.199999999997</v>
      </c>
      <c r="O442" s="103">
        <v>29.5</v>
      </c>
      <c r="P442" s="103">
        <v>710.29</v>
      </c>
      <c r="Q442" s="103">
        <v>771.98</v>
      </c>
      <c r="R442" s="103">
        <v>10469</v>
      </c>
      <c r="S442" s="103">
        <v>9.0399999999999991</v>
      </c>
      <c r="T442" s="103">
        <v>36713</v>
      </c>
      <c r="U442" s="103">
        <v>69</v>
      </c>
      <c r="V442" s="103">
        <v>546.62</v>
      </c>
      <c r="W442" s="103">
        <v>0.17</v>
      </c>
      <c r="X442" s="103">
        <v>7294.38</v>
      </c>
      <c r="Y442" s="103">
        <v>0</v>
      </c>
      <c r="Z442" s="103">
        <v>54169</v>
      </c>
      <c r="AA442" s="116">
        <v>79</v>
      </c>
      <c r="AB442" s="103">
        <v>153.58000000000001</v>
      </c>
      <c r="AC442" s="112">
        <v>0.17</v>
      </c>
      <c r="AD442" s="103">
        <v>81.37</v>
      </c>
      <c r="AE442" s="116">
        <v>0.23</v>
      </c>
    </row>
    <row r="443" spans="1:31">
      <c r="A443" s="102">
        <f>A440+1</f>
        <v>45711</v>
      </c>
      <c r="B443" s="102" t="s">
        <v>3504</v>
      </c>
      <c r="C443" s="110" t="str">
        <f>A443 &amp; " " &amp;B443</f>
        <v>45711 1200H</v>
      </c>
      <c r="D443" s="111">
        <v>1552.73</v>
      </c>
      <c r="E443" s="116">
        <v>49.7</v>
      </c>
      <c r="F443" s="111">
        <v>1108.67</v>
      </c>
      <c r="G443" s="116">
        <v>6.2</v>
      </c>
      <c r="H443" s="111">
        <v>74725.34</v>
      </c>
      <c r="I443" s="103">
        <v>911.64</v>
      </c>
      <c r="J443" s="103">
        <v>33373.050000000003</v>
      </c>
      <c r="K443" s="116">
        <v>106.36</v>
      </c>
      <c r="L443" s="111">
        <v>6118.83</v>
      </c>
      <c r="M443" s="103">
        <v>19.05</v>
      </c>
      <c r="N443" s="103">
        <v>33673.800000000003</v>
      </c>
      <c r="O443" s="103">
        <v>29.5</v>
      </c>
      <c r="P443" s="103">
        <v>710.32</v>
      </c>
      <c r="Q443" s="103">
        <v>773.23</v>
      </c>
      <c r="R443" s="103">
        <v>10473.77</v>
      </c>
      <c r="S443" s="103">
        <v>9.0399999999999991</v>
      </c>
      <c r="T443" s="103">
        <v>36718</v>
      </c>
      <c r="U443" s="103">
        <v>69</v>
      </c>
      <c r="V443" s="103">
        <v>551.4</v>
      </c>
      <c r="W443" s="103">
        <v>0.17</v>
      </c>
      <c r="X443" s="103">
        <v>7299.76</v>
      </c>
      <c r="Y443" s="103">
        <v>0</v>
      </c>
      <c r="Z443" s="103">
        <v>54169</v>
      </c>
      <c r="AA443" s="116">
        <v>79</v>
      </c>
      <c r="AB443" s="103">
        <v>153.58000000000001</v>
      </c>
      <c r="AC443" s="112">
        <v>0.17</v>
      </c>
      <c r="AD443" s="103">
        <v>81.37</v>
      </c>
      <c r="AE443" s="116">
        <v>0.23</v>
      </c>
    </row>
    <row r="444" spans="1:31" ht="4.5" customHeight="1"/>
    <row r="445" spans="1:31">
      <c r="A445" s="102">
        <f>A442+1</f>
        <v>45712</v>
      </c>
      <c r="B445" s="102" t="s">
        <v>3503</v>
      </c>
      <c r="C445" s="110" t="str">
        <f>A445 &amp; " " &amp;B445</f>
        <v>45712 0000H</v>
      </c>
      <c r="D445" s="111">
        <v>1555.87</v>
      </c>
      <c r="E445" s="116">
        <v>49.7</v>
      </c>
      <c r="F445" s="111">
        <v>1108.67</v>
      </c>
      <c r="G445" s="116">
        <v>6.2</v>
      </c>
      <c r="H445" s="111">
        <v>74735.77</v>
      </c>
      <c r="I445" s="103">
        <v>911.64</v>
      </c>
      <c r="J445" s="103">
        <v>33376.879999999997</v>
      </c>
      <c r="K445" s="116">
        <v>106.36</v>
      </c>
      <c r="L445" s="111">
        <v>6124.53</v>
      </c>
      <c r="M445" s="103">
        <v>19.05</v>
      </c>
      <c r="N445" s="103">
        <v>33680.5</v>
      </c>
      <c r="O445" s="103">
        <v>29.5</v>
      </c>
      <c r="P445" s="103">
        <v>710.55</v>
      </c>
      <c r="Q445" s="103">
        <v>774.1</v>
      </c>
      <c r="R445" s="103">
        <v>10478.280000000001</v>
      </c>
      <c r="S445" s="103">
        <v>9.0399999999999991</v>
      </c>
      <c r="T445" s="103">
        <v>36724</v>
      </c>
      <c r="U445" s="103">
        <v>69</v>
      </c>
      <c r="V445" s="103">
        <v>557.49</v>
      </c>
      <c r="W445" s="103">
        <v>0.17</v>
      </c>
      <c r="X445" s="103">
        <v>7302.85</v>
      </c>
      <c r="Y445" s="103">
        <v>0</v>
      </c>
      <c r="Z445" s="103">
        <v>54169</v>
      </c>
      <c r="AA445" s="116">
        <v>79</v>
      </c>
      <c r="AB445" s="103">
        <v>153.58000000000001</v>
      </c>
      <c r="AC445" s="112">
        <v>0.17</v>
      </c>
      <c r="AD445" s="103">
        <v>81.37</v>
      </c>
      <c r="AE445" s="116">
        <v>0.23</v>
      </c>
    </row>
    <row r="446" spans="1:31">
      <c r="A446" s="102">
        <f>A443+1</f>
        <v>45712</v>
      </c>
      <c r="B446" s="102" t="s">
        <v>3504</v>
      </c>
      <c r="C446" s="110" t="str">
        <f>A446 &amp; " " &amp;B446</f>
        <v>45712 1200H</v>
      </c>
      <c r="D446" s="111">
        <v>1559.47</v>
      </c>
      <c r="E446" s="116">
        <v>49.67</v>
      </c>
      <c r="F446" s="111">
        <v>1108.67</v>
      </c>
      <c r="G446" s="116">
        <v>6.2</v>
      </c>
      <c r="H446" s="111">
        <v>74741.23</v>
      </c>
      <c r="I446" s="103">
        <v>911.77</v>
      </c>
      <c r="J446" s="103">
        <v>33378.839999999997</v>
      </c>
      <c r="K446" s="116">
        <v>106.4</v>
      </c>
      <c r="L446" s="111">
        <v>6130.29</v>
      </c>
      <c r="M446" s="103">
        <v>19.05</v>
      </c>
      <c r="N446" s="103">
        <v>33684.800000000003</v>
      </c>
      <c r="O446" s="103">
        <v>29.5</v>
      </c>
      <c r="P446" s="103">
        <v>710.65</v>
      </c>
      <c r="Q446" s="103">
        <v>775.16</v>
      </c>
      <c r="R446" s="103">
        <v>10481.99</v>
      </c>
      <c r="S446" s="103">
        <v>9.0399999999999991</v>
      </c>
      <c r="T446" s="103">
        <v>36730</v>
      </c>
      <c r="U446" s="103">
        <v>69</v>
      </c>
      <c r="V446" s="103">
        <v>563.66</v>
      </c>
      <c r="W446" s="103">
        <v>0.17</v>
      </c>
      <c r="X446" s="103">
        <v>7312.26</v>
      </c>
      <c r="Y446" s="103">
        <v>0</v>
      </c>
      <c r="Z446" s="103">
        <v>54169</v>
      </c>
      <c r="AA446" s="116">
        <v>79</v>
      </c>
      <c r="AB446" s="103">
        <v>153.58000000000001</v>
      </c>
      <c r="AC446" s="112">
        <v>0.17</v>
      </c>
      <c r="AD446" s="103">
        <v>81.37</v>
      </c>
      <c r="AE446" s="116">
        <v>0.23</v>
      </c>
    </row>
    <row r="447" spans="1:31" ht="4.5" customHeight="1"/>
    <row r="448" spans="1:31">
      <c r="A448" s="102">
        <f>A445+1</f>
        <v>45713</v>
      </c>
      <c r="B448" s="102" t="s">
        <v>3503</v>
      </c>
      <c r="C448" s="110" t="str">
        <f>A448 &amp; " " &amp;B448</f>
        <v>45713 0000H</v>
      </c>
      <c r="D448" s="111">
        <v>1563.83</v>
      </c>
      <c r="E448" s="116">
        <v>46.67</v>
      </c>
      <c r="F448" s="111">
        <v>1108.67</v>
      </c>
      <c r="G448" s="116">
        <v>6.2</v>
      </c>
      <c r="H448" s="111">
        <v>74751.429999999993</v>
      </c>
      <c r="I448" s="103">
        <v>911.77</v>
      </c>
      <c r="J448" s="103">
        <v>33382.589999999997</v>
      </c>
      <c r="K448" s="116">
        <v>106.4</v>
      </c>
      <c r="L448" s="111">
        <v>6135.88</v>
      </c>
      <c r="M448" s="103">
        <v>19.05</v>
      </c>
      <c r="N448" s="103">
        <v>33691.199999999997</v>
      </c>
      <c r="O448" s="103">
        <v>29.5</v>
      </c>
      <c r="P448" s="103">
        <v>710.66</v>
      </c>
      <c r="Q448" s="103">
        <v>776.54</v>
      </c>
      <c r="R448" s="103">
        <v>10486.32</v>
      </c>
      <c r="S448" s="103">
        <v>9.0399999999999991</v>
      </c>
      <c r="T448" s="103">
        <v>36738</v>
      </c>
      <c r="U448" s="103">
        <v>69</v>
      </c>
      <c r="V448" s="103">
        <v>568.82000000000005</v>
      </c>
      <c r="W448" s="103">
        <v>0.17</v>
      </c>
      <c r="X448" s="103">
        <v>7318.63</v>
      </c>
      <c r="Y448" s="103">
        <v>0</v>
      </c>
      <c r="Z448" s="103">
        <v>54169</v>
      </c>
      <c r="AA448" s="116">
        <v>79</v>
      </c>
      <c r="AB448" s="103">
        <v>153.58000000000001</v>
      </c>
      <c r="AC448" s="112">
        <v>0.17</v>
      </c>
      <c r="AD448" s="103">
        <v>81.37</v>
      </c>
      <c r="AE448" s="116">
        <v>0.23</v>
      </c>
    </row>
    <row r="449" spans="1:31">
      <c r="A449" s="102">
        <f>A446+1</f>
        <v>45713</v>
      </c>
      <c r="B449" s="102" t="s">
        <v>3504</v>
      </c>
      <c r="C449" s="110" t="str">
        <f>A449 &amp; " " &amp;B449</f>
        <v>45713 1200H</v>
      </c>
      <c r="D449" s="345">
        <v>1567.26</v>
      </c>
      <c r="E449" s="346">
        <v>49.67</v>
      </c>
      <c r="F449" s="345">
        <v>1108.67</v>
      </c>
      <c r="G449" s="346">
        <v>6.2</v>
      </c>
      <c r="H449" s="345">
        <v>74762.399999999994</v>
      </c>
      <c r="I449" s="347">
        <v>911.77</v>
      </c>
      <c r="J449" s="347">
        <v>33383.839999999997</v>
      </c>
      <c r="K449" s="346">
        <v>106.44</v>
      </c>
      <c r="L449" s="345">
        <v>6141.67</v>
      </c>
      <c r="M449" s="347">
        <v>19.05</v>
      </c>
      <c r="N449" s="347">
        <v>33694.699999999997</v>
      </c>
      <c r="O449" s="347">
        <v>29.5</v>
      </c>
      <c r="P449" s="347">
        <v>710.67</v>
      </c>
      <c r="Q449" s="347">
        <v>777.87</v>
      </c>
      <c r="R449" s="347">
        <v>10490.23</v>
      </c>
      <c r="S449" s="347">
        <v>9.0399999999999991</v>
      </c>
      <c r="T449" s="347">
        <v>36745</v>
      </c>
      <c r="U449" s="347">
        <v>69</v>
      </c>
      <c r="V449" s="347">
        <v>574.97</v>
      </c>
      <c r="W449" s="347">
        <v>0.17</v>
      </c>
      <c r="X449" s="347">
        <v>7324.66</v>
      </c>
      <c r="Y449" s="347">
        <v>0</v>
      </c>
      <c r="Z449" s="347">
        <v>54169</v>
      </c>
      <c r="AA449" s="346">
        <v>79</v>
      </c>
      <c r="AB449" s="347">
        <v>153.58000000000001</v>
      </c>
      <c r="AC449" s="348">
        <v>0.17</v>
      </c>
      <c r="AD449" s="347">
        <v>81.37</v>
      </c>
      <c r="AE449" s="346">
        <v>0.23</v>
      </c>
    </row>
    <row r="450" spans="1:31" ht="4.5" customHeight="1"/>
    <row r="451" spans="1:31">
      <c r="A451" s="102">
        <f>A448+1</f>
        <v>45714</v>
      </c>
      <c r="B451" s="102" t="s">
        <v>3503</v>
      </c>
      <c r="C451" s="110" t="str">
        <f>A451 &amp; " " &amp;B451</f>
        <v>45714 0000H</v>
      </c>
      <c r="D451" s="111">
        <v>1571.7</v>
      </c>
      <c r="E451" s="116">
        <v>49.67</v>
      </c>
      <c r="F451" s="111">
        <v>1108.67</v>
      </c>
      <c r="G451" s="116">
        <v>6.2</v>
      </c>
      <c r="H451" s="111">
        <v>74772.320000000007</v>
      </c>
      <c r="I451" s="103">
        <v>911.77</v>
      </c>
      <c r="J451" s="103">
        <v>33386.54</v>
      </c>
      <c r="K451" s="116">
        <v>106.46</v>
      </c>
      <c r="L451" s="111">
        <v>6144.32</v>
      </c>
      <c r="M451" s="103">
        <v>19.05</v>
      </c>
      <c r="N451" s="103">
        <v>33701.5</v>
      </c>
      <c r="O451" s="103">
        <v>29.8</v>
      </c>
      <c r="P451" s="103">
        <v>710.68</v>
      </c>
      <c r="Q451" s="103">
        <v>779.12</v>
      </c>
      <c r="R451" s="103">
        <v>10494.35</v>
      </c>
      <c r="S451" s="235">
        <v>9.0399999999999991</v>
      </c>
      <c r="T451" s="103">
        <v>36752</v>
      </c>
      <c r="U451" s="235">
        <v>69</v>
      </c>
      <c r="V451" s="103">
        <v>581.21</v>
      </c>
      <c r="W451" s="235">
        <v>0.17</v>
      </c>
      <c r="X451" s="103">
        <v>7331.68</v>
      </c>
      <c r="Y451" s="103">
        <v>0</v>
      </c>
      <c r="Z451" s="103">
        <v>54169</v>
      </c>
      <c r="AA451" s="116">
        <v>79</v>
      </c>
      <c r="AB451" s="103">
        <v>153.58000000000001</v>
      </c>
      <c r="AC451" s="112">
        <v>0.17</v>
      </c>
      <c r="AD451" s="103">
        <v>81.37</v>
      </c>
      <c r="AE451" s="116">
        <v>0.23</v>
      </c>
    </row>
    <row r="452" spans="1:31">
      <c r="A452" s="102">
        <f>A449+1</f>
        <v>45714</v>
      </c>
      <c r="B452" s="102" t="s">
        <v>3504</v>
      </c>
      <c r="C452" s="110" t="str">
        <f>A452 &amp; " " &amp;B452</f>
        <v>45714 1200H</v>
      </c>
      <c r="D452" s="111">
        <v>1575.13</v>
      </c>
      <c r="E452" s="116">
        <v>49.67</v>
      </c>
      <c r="F452" s="111">
        <v>1108.67</v>
      </c>
      <c r="G452" s="116">
        <v>6.2</v>
      </c>
      <c r="H452" s="111">
        <v>74773.11</v>
      </c>
      <c r="I452" s="103">
        <v>912.33</v>
      </c>
      <c r="J452" s="103">
        <v>33386.54</v>
      </c>
      <c r="K452" s="116">
        <v>106.52</v>
      </c>
      <c r="L452" s="111">
        <v>6153</v>
      </c>
      <c r="M452" s="103">
        <v>19.05</v>
      </c>
      <c r="N452" s="103">
        <v>33707.1</v>
      </c>
      <c r="O452" s="103">
        <v>29.5</v>
      </c>
      <c r="P452" s="103">
        <v>710.75</v>
      </c>
      <c r="Q452" s="103">
        <v>780.35</v>
      </c>
      <c r="R452" s="103">
        <v>10497.9</v>
      </c>
      <c r="S452" s="103">
        <v>9.0399999999999991</v>
      </c>
      <c r="T452" s="103">
        <v>36758</v>
      </c>
      <c r="U452" s="103">
        <v>69</v>
      </c>
      <c r="V452" s="103">
        <v>587.44000000000005</v>
      </c>
      <c r="W452" s="103">
        <v>0.17</v>
      </c>
      <c r="X452" s="103">
        <v>7337.21</v>
      </c>
      <c r="Y452" s="103">
        <v>0</v>
      </c>
      <c r="Z452" s="103">
        <v>54169</v>
      </c>
      <c r="AA452" s="116">
        <v>79</v>
      </c>
      <c r="AB452" s="103">
        <v>153.58000000000001</v>
      </c>
      <c r="AC452" s="112">
        <v>0.17</v>
      </c>
      <c r="AD452" s="103">
        <v>81.37</v>
      </c>
      <c r="AE452" s="116">
        <v>0.23</v>
      </c>
    </row>
    <row r="453" spans="1:31" ht="4.5" customHeight="1"/>
    <row r="454" spans="1:31">
      <c r="A454" s="102">
        <f>A451+1</f>
        <v>45715</v>
      </c>
      <c r="B454" s="102" t="s">
        <v>3503</v>
      </c>
      <c r="C454" s="110" t="str">
        <f>A454 &amp; " " &amp;B454</f>
        <v>45715 0000H</v>
      </c>
      <c r="D454" s="111">
        <v>1579.98</v>
      </c>
      <c r="E454" s="116">
        <v>49.67</v>
      </c>
      <c r="F454" s="111">
        <v>1108.67</v>
      </c>
      <c r="G454" s="116">
        <v>6.2</v>
      </c>
      <c r="H454" s="111">
        <v>74783.33</v>
      </c>
      <c r="I454" s="103">
        <v>912.33</v>
      </c>
      <c r="J454" s="103">
        <v>33386.54</v>
      </c>
      <c r="K454" s="116">
        <v>106.57</v>
      </c>
      <c r="L454" s="111">
        <v>6158.4</v>
      </c>
      <c r="M454" s="103">
        <v>19.05</v>
      </c>
      <c r="N454" s="103">
        <v>33714.199999999997</v>
      </c>
      <c r="O454" s="103">
        <v>29.5</v>
      </c>
      <c r="P454" s="103">
        <v>711.13</v>
      </c>
      <c r="Q454" s="103">
        <v>781.1</v>
      </c>
      <c r="R454" s="103">
        <v>10502.19</v>
      </c>
      <c r="S454" s="103">
        <v>9.0399999999999991</v>
      </c>
      <c r="T454" s="103">
        <v>36765</v>
      </c>
      <c r="U454" s="103">
        <v>69</v>
      </c>
      <c r="V454" s="103">
        <v>588.47</v>
      </c>
      <c r="W454" s="103">
        <v>0.17</v>
      </c>
      <c r="X454" s="103">
        <v>7343.88</v>
      </c>
      <c r="Y454" s="103">
        <v>0</v>
      </c>
      <c r="Z454" s="103">
        <v>54169</v>
      </c>
      <c r="AA454" s="116">
        <v>79</v>
      </c>
      <c r="AB454" s="103">
        <v>154.02000000000001</v>
      </c>
      <c r="AC454" s="112">
        <v>0.17</v>
      </c>
      <c r="AD454" s="103">
        <v>81.37</v>
      </c>
      <c r="AE454" s="116">
        <v>0.23</v>
      </c>
    </row>
    <row r="455" spans="1:31">
      <c r="A455" s="102">
        <f>A452+1</f>
        <v>45715</v>
      </c>
      <c r="B455" s="102" t="s">
        <v>3504</v>
      </c>
      <c r="C455" s="110" t="str">
        <f>A455 &amp; " " &amp;B455</f>
        <v>45715 1200H</v>
      </c>
      <c r="D455" s="111">
        <v>1584.97</v>
      </c>
      <c r="E455" s="116">
        <v>49.67</v>
      </c>
      <c r="F455" s="111">
        <v>1108.67</v>
      </c>
      <c r="G455" s="116">
        <v>6.2</v>
      </c>
      <c r="H455" s="111">
        <v>74786.39</v>
      </c>
      <c r="I455" s="103">
        <v>912.73</v>
      </c>
      <c r="J455" s="103">
        <v>33388.199999999997</v>
      </c>
      <c r="K455" s="116">
        <v>106.6</v>
      </c>
      <c r="L455" s="111">
        <v>6161.41</v>
      </c>
      <c r="M455" s="103">
        <v>19.05</v>
      </c>
      <c r="N455" s="103">
        <v>33721.4</v>
      </c>
      <c r="O455" s="103">
        <v>29.5</v>
      </c>
      <c r="P455" s="103">
        <v>711.4</v>
      </c>
      <c r="Q455" s="103">
        <v>781.8</v>
      </c>
      <c r="R455" s="103">
        <v>10505.78</v>
      </c>
      <c r="S455" s="103">
        <v>9.0399999999999991</v>
      </c>
      <c r="T455" s="103">
        <v>36772</v>
      </c>
      <c r="U455" s="103">
        <v>69</v>
      </c>
      <c r="V455" s="103">
        <v>590.08000000000004</v>
      </c>
      <c r="W455" s="103">
        <v>0.17</v>
      </c>
      <c r="X455" s="103">
        <v>7350.13</v>
      </c>
      <c r="Y455" s="103">
        <v>0</v>
      </c>
      <c r="Z455" s="103">
        <v>54169</v>
      </c>
      <c r="AA455" s="116">
        <v>79</v>
      </c>
      <c r="AB455" s="103">
        <v>157.57</v>
      </c>
      <c r="AC455" s="112">
        <v>0.17</v>
      </c>
      <c r="AD455" s="103">
        <v>81.37</v>
      </c>
      <c r="AE455" s="116">
        <v>0.23</v>
      </c>
    </row>
    <row r="456" spans="1:31" ht="4.5" customHeight="1"/>
    <row r="457" spans="1:31">
      <c r="A457" s="102">
        <f>A454+1</f>
        <v>45716</v>
      </c>
      <c r="B457" s="102" t="s">
        <v>3503</v>
      </c>
      <c r="C457" s="110" t="str">
        <f>A457 &amp; " " &amp;B457</f>
        <v>45716 0000H</v>
      </c>
      <c r="D457" s="111">
        <v>1590.64</v>
      </c>
      <c r="E457" s="116">
        <v>49.67</v>
      </c>
      <c r="F457" s="111">
        <v>1108.67</v>
      </c>
      <c r="G457" s="116">
        <v>6.2</v>
      </c>
      <c r="H457" s="111">
        <v>74796.56</v>
      </c>
      <c r="I457" s="103">
        <v>912.73</v>
      </c>
      <c r="J457" s="103">
        <v>33391.78</v>
      </c>
      <c r="K457" s="116">
        <v>106.6</v>
      </c>
      <c r="L457" s="111">
        <v>6166.67</v>
      </c>
      <c r="M457" s="103">
        <v>19.05</v>
      </c>
      <c r="N457" s="103">
        <v>33728.400000000001</v>
      </c>
      <c r="O457" s="103">
        <v>29.5</v>
      </c>
      <c r="P457" s="103">
        <v>711.4</v>
      </c>
      <c r="Q457" s="103">
        <v>782.86</v>
      </c>
      <c r="R457" s="103">
        <v>10510.07</v>
      </c>
      <c r="S457" s="103">
        <v>9.0399999999999991</v>
      </c>
      <c r="T457" s="103">
        <v>36780</v>
      </c>
      <c r="U457" s="103">
        <v>69</v>
      </c>
      <c r="V457" s="103">
        <v>590.74</v>
      </c>
      <c r="W457" s="103">
        <v>0.17</v>
      </c>
      <c r="X457" s="103">
        <v>7357.07</v>
      </c>
      <c r="Y457" s="103">
        <v>0</v>
      </c>
      <c r="Z457" s="103">
        <v>54169</v>
      </c>
      <c r="AA457" s="116">
        <v>79</v>
      </c>
      <c r="AB457" s="103">
        <v>160.07</v>
      </c>
      <c r="AC457" s="112">
        <v>0.11</v>
      </c>
      <c r="AD457" s="103">
        <v>81.37</v>
      </c>
      <c r="AE457" s="116">
        <v>0.23</v>
      </c>
    </row>
    <row r="458" spans="1:31">
      <c r="A458" s="102">
        <f>A455+1</f>
        <v>45716</v>
      </c>
      <c r="B458" s="102" t="s">
        <v>3504</v>
      </c>
      <c r="C458" s="110" t="str">
        <f>A458 &amp; " " &amp;B458</f>
        <v>45716 1200H</v>
      </c>
      <c r="D458" s="111">
        <v>1594.56</v>
      </c>
      <c r="E458" s="116">
        <v>49.67</v>
      </c>
      <c r="F458" s="111">
        <v>1108.67</v>
      </c>
      <c r="G458" s="116">
        <v>6.2</v>
      </c>
      <c r="H458" s="111">
        <v>74802.92</v>
      </c>
      <c r="I458" s="103">
        <v>912.9</v>
      </c>
      <c r="J458" s="103">
        <v>33392.379999999997</v>
      </c>
      <c r="K458" s="116">
        <v>106.66</v>
      </c>
      <c r="L458" s="111">
        <v>6172.56</v>
      </c>
      <c r="M458" s="103">
        <v>19.05</v>
      </c>
      <c r="N458" s="103">
        <v>33735.5</v>
      </c>
      <c r="O458" s="103">
        <v>29.5</v>
      </c>
      <c r="P458" s="103">
        <v>711.58</v>
      </c>
      <c r="Q458" s="103">
        <v>783.78</v>
      </c>
      <c r="R458" s="103">
        <v>10513.51</v>
      </c>
      <c r="S458" s="103">
        <v>9.0399999999999991</v>
      </c>
      <c r="T458" s="103">
        <v>36786</v>
      </c>
      <c r="U458" s="103">
        <v>69</v>
      </c>
      <c r="V458" s="103">
        <v>590.74</v>
      </c>
      <c r="W458" s="103">
        <v>0.17</v>
      </c>
      <c r="X458" s="103">
        <v>7363.09</v>
      </c>
      <c r="Y458" s="103">
        <v>0</v>
      </c>
      <c r="Z458" s="103">
        <v>54169</v>
      </c>
      <c r="AA458" s="116">
        <v>79</v>
      </c>
      <c r="AB458" s="103">
        <v>160.07</v>
      </c>
      <c r="AC458" s="112">
        <v>0.11</v>
      </c>
      <c r="AD458" s="103">
        <v>81.37</v>
      </c>
      <c r="AE458" s="116">
        <v>0.23</v>
      </c>
    </row>
    <row r="459" spans="1:31" ht="4.5" customHeight="1"/>
    <row r="460" spans="1:31">
      <c r="A460" s="102">
        <f>A457+1</f>
        <v>45717</v>
      </c>
      <c r="B460" s="102" t="s">
        <v>3503</v>
      </c>
      <c r="C460" s="110" t="str">
        <f>A460 &amp; " " &amp;B460</f>
        <v>45717 0000H</v>
      </c>
      <c r="D460" s="111">
        <v>1599.11</v>
      </c>
      <c r="E460" s="116">
        <v>49.67</v>
      </c>
      <c r="F460" s="111">
        <v>1108.67</v>
      </c>
      <c r="G460" s="116">
        <v>6.2</v>
      </c>
      <c r="H460" s="111">
        <v>74818</v>
      </c>
      <c r="I460" s="103">
        <v>912.91</v>
      </c>
      <c r="J460" s="103">
        <v>33396.33</v>
      </c>
      <c r="K460" s="116">
        <v>106.66</v>
      </c>
      <c r="L460" s="111">
        <v>6178.34</v>
      </c>
      <c r="M460" s="103">
        <v>19.05</v>
      </c>
      <c r="N460" s="103">
        <v>33742.199999999997</v>
      </c>
      <c r="O460" s="103">
        <v>29.5</v>
      </c>
      <c r="P460" s="103">
        <v>711.71</v>
      </c>
      <c r="Q460" s="103">
        <v>784.75</v>
      </c>
      <c r="R460" s="103">
        <v>10517.86</v>
      </c>
      <c r="S460" s="103">
        <v>9.0399999999999991</v>
      </c>
      <c r="T460" s="103">
        <v>36793</v>
      </c>
      <c r="U460" s="103">
        <v>69</v>
      </c>
      <c r="V460" s="103">
        <v>590.74</v>
      </c>
      <c r="W460" s="103">
        <v>0.17</v>
      </c>
      <c r="X460" s="103">
        <v>7370.02</v>
      </c>
      <c r="Y460" s="103">
        <v>0</v>
      </c>
      <c r="Z460" s="103">
        <v>54169</v>
      </c>
      <c r="AA460" s="116">
        <v>79</v>
      </c>
      <c r="AB460" s="103">
        <v>160.07</v>
      </c>
      <c r="AC460" s="112">
        <v>0.11</v>
      </c>
      <c r="AD460" s="103">
        <v>81.37</v>
      </c>
      <c r="AE460" s="116">
        <v>0.23</v>
      </c>
    </row>
    <row r="461" spans="1:31">
      <c r="A461" s="102">
        <f>A458+1</f>
        <v>45717</v>
      </c>
      <c r="B461" s="102" t="s">
        <v>3504</v>
      </c>
      <c r="C461" s="110" t="str">
        <f>A461 &amp; " " &amp;B461</f>
        <v>45717 1200H</v>
      </c>
      <c r="D461" s="111">
        <v>1602.9</v>
      </c>
      <c r="E461" s="116">
        <v>49.67</v>
      </c>
      <c r="F461" s="111">
        <v>1108.67</v>
      </c>
      <c r="G461" s="116">
        <v>6.2</v>
      </c>
      <c r="H461" s="111">
        <v>74818</v>
      </c>
      <c r="I461" s="103">
        <v>913.06</v>
      </c>
      <c r="J461" s="103">
        <v>33397.300000000003</v>
      </c>
      <c r="K461" s="116">
        <v>106.71</v>
      </c>
      <c r="L461" s="111">
        <v>6184.18</v>
      </c>
      <c r="M461" s="103">
        <v>19.05</v>
      </c>
      <c r="N461" s="103">
        <v>33747.699999999997</v>
      </c>
      <c r="O461" s="103">
        <v>29.5</v>
      </c>
      <c r="P461" s="103">
        <v>711.87</v>
      </c>
      <c r="Q461" s="103">
        <v>785.4</v>
      </c>
      <c r="R461" s="103">
        <v>10521.41</v>
      </c>
      <c r="S461" s="103">
        <v>9.0399999999999991</v>
      </c>
      <c r="T461" s="103">
        <v>36799</v>
      </c>
      <c r="U461" s="103">
        <v>69</v>
      </c>
      <c r="V461" s="103">
        <v>590.74</v>
      </c>
      <c r="W461" s="103">
        <v>0.17</v>
      </c>
      <c r="X461" s="103">
        <v>7374.93</v>
      </c>
      <c r="Y461" s="103">
        <v>0</v>
      </c>
      <c r="Z461" s="103">
        <v>54169</v>
      </c>
      <c r="AA461" s="116">
        <v>79</v>
      </c>
      <c r="AB461" s="103">
        <v>160.07</v>
      </c>
      <c r="AC461" s="112">
        <v>0.11</v>
      </c>
      <c r="AD461" s="103">
        <v>81.37</v>
      </c>
      <c r="AE461" s="116">
        <v>0.23</v>
      </c>
    </row>
    <row r="462" spans="1:31" ht="4.5" customHeight="1"/>
    <row r="463" spans="1:31">
      <c r="A463" s="102">
        <f>A460+1</f>
        <v>45718</v>
      </c>
      <c r="B463" s="102" t="s">
        <v>3503</v>
      </c>
      <c r="C463" s="110" t="str">
        <f>A463 &amp; " " &amp;B463</f>
        <v>45718 0000H</v>
      </c>
      <c r="D463" s="111">
        <v>1608.94</v>
      </c>
      <c r="E463" s="116">
        <v>49.67</v>
      </c>
      <c r="F463" s="111">
        <v>1108.67</v>
      </c>
      <c r="G463" s="116">
        <v>6.2</v>
      </c>
      <c r="H463" s="111">
        <v>74818</v>
      </c>
      <c r="I463" s="103">
        <v>913.19</v>
      </c>
      <c r="J463" s="103">
        <v>33401.01</v>
      </c>
      <c r="K463" s="116">
        <v>106.71</v>
      </c>
      <c r="L463" s="111">
        <v>6190.02</v>
      </c>
      <c r="M463" s="103">
        <v>19.05</v>
      </c>
      <c r="N463" s="103">
        <v>33754.699999999997</v>
      </c>
      <c r="O463" s="103">
        <v>29.5</v>
      </c>
      <c r="P463" s="103">
        <v>711.92</v>
      </c>
      <c r="Q463" s="103">
        <v>787</v>
      </c>
      <c r="R463" s="103">
        <v>10526</v>
      </c>
      <c r="S463" s="103">
        <v>9.0399999999999991</v>
      </c>
      <c r="T463" s="103">
        <v>36806</v>
      </c>
      <c r="U463" s="103">
        <v>69</v>
      </c>
      <c r="V463" s="103">
        <v>590.74</v>
      </c>
      <c r="W463" s="103">
        <v>0.17</v>
      </c>
      <c r="X463" s="103">
        <v>7383.1</v>
      </c>
      <c r="Y463" s="103">
        <v>0</v>
      </c>
      <c r="Z463" s="103">
        <v>54169</v>
      </c>
      <c r="AA463" s="116">
        <v>79</v>
      </c>
      <c r="AB463" s="103">
        <v>160.07</v>
      </c>
      <c r="AC463" s="112">
        <v>0.11</v>
      </c>
      <c r="AD463" s="103">
        <v>81.37</v>
      </c>
      <c r="AE463" s="116">
        <v>0.23</v>
      </c>
    </row>
    <row r="464" spans="1:31">
      <c r="A464" s="102">
        <f>A461+1</f>
        <v>45718</v>
      </c>
      <c r="B464" s="102" t="s">
        <v>3504</v>
      </c>
      <c r="C464" s="110" t="str">
        <f>A464 &amp; " " &amp;B464</f>
        <v>45718 1200H</v>
      </c>
      <c r="D464" s="111">
        <v>1612.78</v>
      </c>
      <c r="E464" s="116">
        <v>49.67</v>
      </c>
      <c r="F464" s="111">
        <v>1108.67</v>
      </c>
      <c r="G464" s="116">
        <v>6.2</v>
      </c>
      <c r="H464" s="111">
        <v>74819.8</v>
      </c>
      <c r="I464" s="103">
        <v>913.49</v>
      </c>
      <c r="J464" s="103">
        <v>33401.01</v>
      </c>
      <c r="K464" s="116">
        <v>106.77</v>
      </c>
      <c r="L464" s="111">
        <v>6195.79</v>
      </c>
      <c r="M464" s="103">
        <v>19.05</v>
      </c>
      <c r="N464" s="103">
        <v>33761.699999999997</v>
      </c>
      <c r="O464" s="103">
        <v>29.5</v>
      </c>
      <c r="P464" s="103">
        <v>712.02</v>
      </c>
      <c r="Q464" s="103">
        <v>788</v>
      </c>
      <c r="R464" s="103">
        <v>10529.55</v>
      </c>
      <c r="S464" s="103">
        <v>9.0399999999999991</v>
      </c>
      <c r="T464" s="103">
        <v>36811</v>
      </c>
      <c r="U464" s="103">
        <v>69</v>
      </c>
      <c r="V464" s="103">
        <v>590.74</v>
      </c>
      <c r="W464" s="103">
        <v>0.17</v>
      </c>
      <c r="X464" s="103">
        <v>7389.19</v>
      </c>
      <c r="Y464" s="103">
        <v>0</v>
      </c>
      <c r="Z464" s="103">
        <v>54169</v>
      </c>
      <c r="AA464" s="116">
        <v>79</v>
      </c>
      <c r="AB464" s="103">
        <v>160.07</v>
      </c>
      <c r="AC464" s="112">
        <v>0.11</v>
      </c>
      <c r="AD464" s="103">
        <v>81.37</v>
      </c>
      <c r="AE464" s="116">
        <v>0.23</v>
      </c>
    </row>
    <row r="465" spans="1:31" ht="4.5" customHeight="1"/>
    <row r="466" spans="1:31">
      <c r="A466" s="102">
        <f>A463+1</f>
        <v>45719</v>
      </c>
      <c r="B466" s="102" t="s">
        <v>3503</v>
      </c>
      <c r="C466" s="110" t="str">
        <f>A466 &amp; " " &amp;B466</f>
        <v>45719 0000H</v>
      </c>
      <c r="D466" s="111">
        <v>1617.7</v>
      </c>
      <c r="E466" s="116">
        <v>49.67</v>
      </c>
      <c r="F466" s="111">
        <v>1108.67</v>
      </c>
      <c r="G466" s="116">
        <v>6.2</v>
      </c>
      <c r="H466" s="111">
        <v>74830.45</v>
      </c>
      <c r="I466" s="103">
        <v>913.49</v>
      </c>
      <c r="J466" s="103">
        <v>33403.879999999997</v>
      </c>
      <c r="K466" s="116">
        <v>106.79</v>
      </c>
      <c r="L466" s="111">
        <v>6201.54</v>
      </c>
      <c r="M466" s="103">
        <v>19.05</v>
      </c>
      <c r="N466" s="103">
        <v>33768.800000000003</v>
      </c>
      <c r="O466" s="103">
        <v>29.5</v>
      </c>
      <c r="P466" s="103">
        <v>712.1</v>
      </c>
      <c r="Q466" s="103">
        <v>789.32</v>
      </c>
      <c r="R466" s="103">
        <v>10534.15</v>
      </c>
      <c r="S466" s="103">
        <v>9.0399999999999991</v>
      </c>
      <c r="T466" s="103">
        <v>36818</v>
      </c>
      <c r="U466" s="103">
        <v>69</v>
      </c>
      <c r="V466" s="103">
        <v>590.74</v>
      </c>
      <c r="W466" s="103">
        <v>0.17</v>
      </c>
      <c r="X466" s="103">
        <v>7396.51</v>
      </c>
      <c r="Y466" s="103">
        <v>0</v>
      </c>
      <c r="Z466" s="103">
        <v>54169</v>
      </c>
      <c r="AA466" s="116">
        <v>79</v>
      </c>
      <c r="AB466" s="103">
        <v>161.91</v>
      </c>
      <c r="AC466" s="112">
        <v>0.18</v>
      </c>
      <c r="AD466" s="103">
        <v>81.37</v>
      </c>
      <c r="AE466" s="116">
        <v>0.23</v>
      </c>
    </row>
    <row r="467" spans="1:31">
      <c r="A467" s="102">
        <f>A464+1</f>
        <v>45719</v>
      </c>
      <c r="B467" s="102" t="s">
        <v>3504</v>
      </c>
      <c r="C467" s="110" t="str">
        <f>A467 &amp; " " &amp;B467</f>
        <v>45719 1200H</v>
      </c>
      <c r="D467" s="111">
        <v>1621.57</v>
      </c>
      <c r="E467" s="116">
        <v>49.67</v>
      </c>
      <c r="F467" s="111">
        <v>1108.67</v>
      </c>
      <c r="G467" s="116">
        <v>6.2</v>
      </c>
      <c r="H467" s="111">
        <v>74837.570000000007</v>
      </c>
      <c r="I467" s="103">
        <v>913.63</v>
      </c>
      <c r="J467" s="103">
        <v>33404.42</v>
      </c>
      <c r="K467" s="116">
        <v>106.83</v>
      </c>
      <c r="L467" s="111">
        <v>6207.27</v>
      </c>
      <c r="M467" s="103">
        <v>19.05</v>
      </c>
      <c r="N467" s="103">
        <v>33774.6</v>
      </c>
      <c r="O467" s="103">
        <v>29.5</v>
      </c>
      <c r="P467" s="103">
        <v>712.68</v>
      </c>
      <c r="Q467" s="103">
        <v>789.71</v>
      </c>
      <c r="R467" s="103">
        <v>10538.08</v>
      </c>
      <c r="S467" s="103">
        <v>9.0399999999999991</v>
      </c>
      <c r="T467" s="103">
        <v>36824</v>
      </c>
      <c r="U467" s="103">
        <v>69</v>
      </c>
      <c r="V467" s="103">
        <v>590.74</v>
      </c>
      <c r="W467" s="103">
        <v>0.17</v>
      </c>
      <c r="X467" s="103">
        <v>7402.97</v>
      </c>
      <c r="Y467" s="103">
        <v>0</v>
      </c>
      <c r="Z467" s="103">
        <v>54169</v>
      </c>
      <c r="AA467" s="116">
        <v>79</v>
      </c>
      <c r="AB467" s="103">
        <v>161.91</v>
      </c>
      <c r="AC467" s="112">
        <v>0.18</v>
      </c>
      <c r="AD467" s="103">
        <v>81.37</v>
      </c>
      <c r="AE467" s="116">
        <v>0.23</v>
      </c>
    </row>
    <row r="468" spans="1:31" ht="4.5" customHeight="1"/>
    <row r="469" spans="1:31">
      <c r="A469" s="102">
        <f>A466+1</f>
        <v>45720</v>
      </c>
      <c r="B469" s="102" t="s">
        <v>3503</v>
      </c>
      <c r="C469" s="110" t="str">
        <f>A469 &amp; " " &amp;B469</f>
        <v>45720 0000H</v>
      </c>
      <c r="D469" s="111">
        <v>1627.37</v>
      </c>
      <c r="E469" s="116">
        <v>49.67</v>
      </c>
      <c r="F469" s="111">
        <v>1108.67</v>
      </c>
      <c r="G469" s="116">
        <v>6.2</v>
      </c>
      <c r="H469" s="111">
        <v>74850.47</v>
      </c>
      <c r="I469" s="103">
        <v>913.63</v>
      </c>
      <c r="J469" s="103">
        <v>33408.32</v>
      </c>
      <c r="K469" s="116">
        <v>106.83</v>
      </c>
      <c r="L469" s="111">
        <v>6213.08</v>
      </c>
      <c r="M469" s="103">
        <v>19.05</v>
      </c>
      <c r="N469" s="103">
        <v>33781.9</v>
      </c>
      <c r="O469" s="103">
        <v>29.5</v>
      </c>
      <c r="P469" s="103">
        <v>712.7</v>
      </c>
      <c r="Q469" s="103">
        <v>790.82</v>
      </c>
      <c r="R469" s="103">
        <v>10542.68</v>
      </c>
      <c r="S469" s="103">
        <v>9.0399999999999991</v>
      </c>
      <c r="T469" s="103">
        <v>36831</v>
      </c>
      <c r="U469" s="103">
        <v>69</v>
      </c>
      <c r="V469" s="103">
        <v>590.74</v>
      </c>
      <c r="W469" s="103">
        <v>0.17</v>
      </c>
      <c r="X469" s="103">
        <v>7408.64</v>
      </c>
      <c r="Y469" s="103">
        <v>0</v>
      </c>
      <c r="Z469" s="103">
        <v>54169</v>
      </c>
      <c r="AA469" s="116">
        <v>79</v>
      </c>
      <c r="AB469" s="103">
        <v>161.91</v>
      </c>
      <c r="AC469" s="112">
        <v>0.18</v>
      </c>
      <c r="AD469" s="103">
        <v>81.37</v>
      </c>
      <c r="AE469" s="116">
        <v>0.23</v>
      </c>
    </row>
    <row r="470" spans="1:31">
      <c r="A470" s="102">
        <f>A467+1</f>
        <v>45720</v>
      </c>
      <c r="B470" s="102" t="s">
        <v>3504</v>
      </c>
      <c r="C470" s="110" t="str">
        <f>A470 &amp; " " &amp;B470</f>
        <v>45720 1200H</v>
      </c>
      <c r="D470" s="111">
        <v>1630.27</v>
      </c>
      <c r="E470" s="116">
        <v>49.69</v>
      </c>
      <c r="F470" s="111">
        <v>1108.67</v>
      </c>
      <c r="G470" s="116">
        <v>6.2</v>
      </c>
      <c r="H470" s="111">
        <v>74856.14</v>
      </c>
      <c r="I470" s="103">
        <v>913.82</v>
      </c>
      <c r="J470" s="103">
        <v>33411.58</v>
      </c>
      <c r="K470" s="116">
        <v>106.85</v>
      </c>
      <c r="L470" s="111">
        <v>6218.84</v>
      </c>
      <c r="M470" s="103">
        <v>19.05</v>
      </c>
      <c r="N470" s="103">
        <v>33789.199999999997</v>
      </c>
      <c r="O470" s="103">
        <v>29.5</v>
      </c>
      <c r="P470" s="103">
        <v>713.5</v>
      </c>
      <c r="Q470" s="103">
        <v>791.42</v>
      </c>
      <c r="R470" s="103">
        <v>10546.64</v>
      </c>
      <c r="S470" s="103">
        <v>9.0399999999999991</v>
      </c>
      <c r="T470" s="103">
        <v>36838</v>
      </c>
      <c r="U470" s="103">
        <v>69</v>
      </c>
      <c r="V470" s="103">
        <v>590.74</v>
      </c>
      <c r="W470" s="103">
        <v>0.17</v>
      </c>
      <c r="X470" s="103">
        <v>7415.24</v>
      </c>
      <c r="Y470" s="103">
        <v>0</v>
      </c>
      <c r="Z470" s="103">
        <v>54169</v>
      </c>
      <c r="AA470" s="116">
        <v>79</v>
      </c>
      <c r="AB470" s="103">
        <v>161.91</v>
      </c>
      <c r="AC470" s="112">
        <v>0.18</v>
      </c>
      <c r="AD470" s="103">
        <v>81.37</v>
      </c>
      <c r="AE470" s="116">
        <v>0.23</v>
      </c>
    </row>
    <row r="471" spans="1:31" ht="4.5" customHeight="1"/>
    <row r="472" spans="1:31">
      <c r="A472" s="102">
        <f>A469+1</f>
        <v>45721</v>
      </c>
      <c r="B472" s="102" t="s">
        <v>3503</v>
      </c>
      <c r="C472" s="110" t="str">
        <f>A472 &amp; " " &amp;B472</f>
        <v>45721 0000H</v>
      </c>
      <c r="D472" s="111">
        <v>1636.04</v>
      </c>
      <c r="E472" s="116">
        <v>49.69</v>
      </c>
      <c r="F472" s="111">
        <v>1108.67</v>
      </c>
      <c r="G472" s="116">
        <v>6.2</v>
      </c>
      <c r="H472" s="111">
        <v>74866.070000000007</v>
      </c>
      <c r="I472" s="103">
        <v>913.82</v>
      </c>
      <c r="J472" s="103">
        <v>33415.230000000003</v>
      </c>
      <c r="K472" s="116">
        <v>106.86</v>
      </c>
      <c r="L472" s="111">
        <v>6224.64</v>
      </c>
      <c r="M472" s="103">
        <v>19.05</v>
      </c>
      <c r="N472" s="103">
        <v>33796.300000000003</v>
      </c>
      <c r="O472" s="103">
        <v>29.5</v>
      </c>
      <c r="P472" s="103">
        <v>714.04</v>
      </c>
      <c r="Q472" s="103">
        <v>792.7</v>
      </c>
      <c r="R472" s="103">
        <v>10551.4</v>
      </c>
      <c r="S472" s="103">
        <v>9.0399999999999991</v>
      </c>
      <c r="T472" s="103">
        <v>36846</v>
      </c>
      <c r="U472" s="103">
        <v>69</v>
      </c>
      <c r="V472" s="103">
        <v>590.74</v>
      </c>
      <c r="W472" s="103">
        <v>0.17</v>
      </c>
      <c r="X472" s="103">
        <v>7423.01</v>
      </c>
      <c r="Y472" s="103">
        <v>0</v>
      </c>
      <c r="Z472" s="103">
        <v>54169</v>
      </c>
      <c r="AA472" s="116">
        <v>79</v>
      </c>
      <c r="AB472" s="103">
        <v>161.91</v>
      </c>
      <c r="AC472" s="112">
        <v>0.18</v>
      </c>
      <c r="AD472" s="103">
        <v>81.37</v>
      </c>
      <c r="AE472" s="116">
        <v>0.23</v>
      </c>
    </row>
    <row r="473" spans="1:31">
      <c r="A473" s="102">
        <f>A470+1</f>
        <v>45721</v>
      </c>
      <c r="B473" s="102" t="s">
        <v>3504</v>
      </c>
      <c r="C473" s="110" t="str">
        <f>A473 &amp; " " &amp;B473</f>
        <v>45721 1200H</v>
      </c>
      <c r="D473" s="111">
        <v>1640.15</v>
      </c>
      <c r="E473" s="116">
        <v>49.69</v>
      </c>
      <c r="F473" s="111">
        <v>1108.67</v>
      </c>
      <c r="G473" s="116">
        <v>6.2</v>
      </c>
      <c r="H473" s="111">
        <v>74868.800000000003</v>
      </c>
      <c r="I473" s="103">
        <v>914.2</v>
      </c>
      <c r="J473" s="103">
        <v>33417.300000000003</v>
      </c>
      <c r="K473" s="116">
        <v>106.9</v>
      </c>
      <c r="L473" s="111">
        <v>6230.41</v>
      </c>
      <c r="M473" s="103">
        <v>19.05</v>
      </c>
      <c r="N473" s="103">
        <v>33803.699999999997</v>
      </c>
      <c r="O473" s="103">
        <v>29.5</v>
      </c>
      <c r="P473" s="103">
        <v>714.22</v>
      </c>
      <c r="Q473" s="103">
        <v>793.42</v>
      </c>
      <c r="R473" s="103">
        <v>10555</v>
      </c>
      <c r="S473" s="103">
        <v>9.0399999999999991</v>
      </c>
      <c r="T473" s="103">
        <v>36853</v>
      </c>
      <c r="U473" s="103">
        <v>69</v>
      </c>
      <c r="V473" s="103">
        <v>590.74</v>
      </c>
      <c r="W473" s="103">
        <v>0.17</v>
      </c>
      <c r="X473" s="103">
        <v>7429.65</v>
      </c>
      <c r="Y473" s="103">
        <v>0</v>
      </c>
      <c r="Z473" s="103">
        <v>54169</v>
      </c>
      <c r="AA473" s="116">
        <v>79</v>
      </c>
      <c r="AB473" s="103">
        <v>161.91</v>
      </c>
      <c r="AC473" s="112">
        <v>0.18</v>
      </c>
      <c r="AD473" s="103">
        <v>81.37</v>
      </c>
      <c r="AE473" s="116">
        <v>0.23</v>
      </c>
    </row>
    <row r="474" spans="1:31" ht="4.5" customHeight="1"/>
    <row r="475" spans="1:31">
      <c r="A475" s="102">
        <f>A472+1</f>
        <v>45722</v>
      </c>
      <c r="B475" s="102" t="s">
        <v>3503</v>
      </c>
      <c r="C475" s="110" t="str">
        <f>A475 &amp; " " &amp;B475</f>
        <v>45722 0000H</v>
      </c>
      <c r="D475" s="111">
        <v>1646.81</v>
      </c>
      <c r="E475" s="116">
        <v>49.69</v>
      </c>
      <c r="F475" s="111">
        <v>1108.67</v>
      </c>
      <c r="G475" s="116">
        <v>6.2</v>
      </c>
      <c r="H475" s="111">
        <v>74885.56</v>
      </c>
      <c r="I475" s="103">
        <v>914.2</v>
      </c>
      <c r="J475" s="103">
        <v>33421.050000000003</v>
      </c>
      <c r="K475" s="116">
        <v>106.91</v>
      </c>
      <c r="L475" s="111">
        <v>6236.13</v>
      </c>
      <c r="M475" s="103">
        <v>19.05</v>
      </c>
      <c r="N475" s="103">
        <v>33810.800000000003</v>
      </c>
      <c r="O475" s="103">
        <v>29.5</v>
      </c>
      <c r="P475" s="103">
        <v>714.23</v>
      </c>
      <c r="Q475" s="103">
        <v>794.71</v>
      </c>
      <c r="R475" s="103">
        <v>10559.1</v>
      </c>
      <c r="S475" s="103">
        <v>9.0399999999999991</v>
      </c>
      <c r="T475" s="103">
        <v>36861</v>
      </c>
      <c r="U475" s="103">
        <v>69</v>
      </c>
      <c r="V475" s="103">
        <v>590.74</v>
      </c>
      <c r="W475" s="103">
        <v>0.17</v>
      </c>
      <c r="X475" s="103">
        <v>7437.72</v>
      </c>
      <c r="Y475" s="103">
        <v>0</v>
      </c>
      <c r="Z475" s="103">
        <v>54169</v>
      </c>
      <c r="AA475" s="116">
        <v>79</v>
      </c>
      <c r="AB475" s="103">
        <v>161.91</v>
      </c>
      <c r="AC475" s="112">
        <v>0.18</v>
      </c>
      <c r="AD475" s="103">
        <v>81.37</v>
      </c>
      <c r="AE475" s="116">
        <v>0.23</v>
      </c>
    </row>
    <row r="476" spans="1:31">
      <c r="A476" s="102">
        <f>A473+1</f>
        <v>45722</v>
      </c>
      <c r="B476" s="102" t="s">
        <v>3504</v>
      </c>
      <c r="C476" s="110" t="str">
        <f>A476 &amp; " " &amp;B476</f>
        <v>45722 1200H</v>
      </c>
      <c r="D476" s="111">
        <v>1650.82</v>
      </c>
      <c r="E476" s="116">
        <v>49.69</v>
      </c>
      <c r="F476" s="111">
        <v>1108.67</v>
      </c>
      <c r="G476" s="116">
        <v>6.2</v>
      </c>
      <c r="H476" s="111">
        <v>74890.78</v>
      </c>
      <c r="I476" s="103">
        <v>914.54</v>
      </c>
      <c r="J476" s="103">
        <v>33422.160000000003</v>
      </c>
      <c r="K476" s="116">
        <v>106.96</v>
      </c>
      <c r="L476" s="111">
        <v>6241.83</v>
      </c>
      <c r="M476" s="103">
        <v>19.05</v>
      </c>
      <c r="N476" s="103">
        <v>33817.599999999999</v>
      </c>
      <c r="O476" s="103">
        <v>29.5</v>
      </c>
      <c r="P476" s="103">
        <v>714.28</v>
      </c>
      <c r="Q476" s="103">
        <v>795.73</v>
      </c>
      <c r="R476" s="103">
        <v>10563.01</v>
      </c>
      <c r="S476" s="103">
        <v>9.0399999999999991</v>
      </c>
      <c r="T476" s="103">
        <v>36868</v>
      </c>
      <c r="U476" s="103">
        <v>69</v>
      </c>
      <c r="V476" s="103">
        <v>590.74</v>
      </c>
      <c r="W476" s="103">
        <v>0.17</v>
      </c>
      <c r="X476" s="103">
        <v>7444.6</v>
      </c>
      <c r="Y476" s="103">
        <v>0</v>
      </c>
      <c r="Z476" s="103">
        <v>54169</v>
      </c>
      <c r="AA476" s="116">
        <v>79</v>
      </c>
      <c r="AB476" s="103">
        <v>161.91</v>
      </c>
      <c r="AC476" s="112">
        <v>0.18</v>
      </c>
      <c r="AD476" s="103">
        <v>81.37</v>
      </c>
      <c r="AE476" s="116">
        <v>0.23</v>
      </c>
    </row>
    <row r="477" spans="1:31" ht="4.5" customHeight="1"/>
    <row r="478" spans="1:31">
      <c r="A478" s="102">
        <f>A475+1</f>
        <v>45723</v>
      </c>
      <c r="B478" s="102" t="s">
        <v>3503</v>
      </c>
      <c r="C478" s="110" t="str">
        <f>A478 &amp; " " &amp;B478</f>
        <v>45723 0000H</v>
      </c>
      <c r="D478" s="111">
        <v>1656.3</v>
      </c>
      <c r="E478" s="116">
        <v>49.69</v>
      </c>
      <c r="F478" s="111">
        <v>1108.67</v>
      </c>
      <c r="G478" s="116">
        <v>6.2</v>
      </c>
      <c r="H478" s="111">
        <v>74906.84</v>
      </c>
      <c r="I478" s="103">
        <v>914.54</v>
      </c>
      <c r="J478" s="103">
        <v>33425.910000000003</v>
      </c>
      <c r="K478" s="116">
        <v>106.96</v>
      </c>
      <c r="L478" s="111">
        <v>6247.63</v>
      </c>
      <c r="M478" s="103">
        <v>19.05</v>
      </c>
      <c r="N478" s="103">
        <v>33824.800000000003</v>
      </c>
      <c r="O478" s="103">
        <v>29.5</v>
      </c>
      <c r="P478" s="103">
        <v>714.28</v>
      </c>
      <c r="Q478" s="103">
        <v>796.75</v>
      </c>
      <c r="R478" s="103">
        <v>10567.83</v>
      </c>
      <c r="S478" s="103">
        <v>9.0399999999999991</v>
      </c>
      <c r="T478" s="103">
        <v>36876</v>
      </c>
      <c r="U478" s="103">
        <v>69</v>
      </c>
      <c r="V478" s="103">
        <v>590.74</v>
      </c>
      <c r="W478" s="103">
        <v>0.17</v>
      </c>
      <c r="X478" s="103">
        <v>7452.5</v>
      </c>
      <c r="Y478" s="103">
        <v>0</v>
      </c>
      <c r="Z478" s="103">
        <v>54169</v>
      </c>
      <c r="AA478" s="116">
        <v>79</v>
      </c>
      <c r="AB478" s="103">
        <v>161.91</v>
      </c>
      <c r="AC478" s="112">
        <v>0.18</v>
      </c>
      <c r="AD478" s="103">
        <v>81.37</v>
      </c>
      <c r="AE478" s="116">
        <v>0.23</v>
      </c>
    </row>
    <row r="479" spans="1:31">
      <c r="A479" s="102">
        <f>A476+1</f>
        <v>45723</v>
      </c>
      <c r="B479" s="102" t="s">
        <v>3504</v>
      </c>
      <c r="C479" s="110" t="str">
        <f>A479 &amp; " " &amp;B479</f>
        <v>45723 1200H</v>
      </c>
      <c r="D479" s="111">
        <v>1660.97</v>
      </c>
      <c r="E479" s="116">
        <v>49.69</v>
      </c>
      <c r="F479" s="111">
        <v>1108.67</v>
      </c>
      <c r="G479" s="116">
        <v>6.2</v>
      </c>
      <c r="H479" s="111">
        <v>74913.679999999993</v>
      </c>
      <c r="I479" s="103">
        <v>914.77</v>
      </c>
      <c r="J479" s="103">
        <v>33427.25</v>
      </c>
      <c r="K479" s="116">
        <v>107</v>
      </c>
      <c r="L479" s="111">
        <v>6253.36</v>
      </c>
      <c r="M479" s="103">
        <v>19.05</v>
      </c>
      <c r="N479" s="103">
        <v>33831.5</v>
      </c>
      <c r="O479" s="103">
        <v>29.5</v>
      </c>
      <c r="P479" s="103">
        <v>715.02</v>
      </c>
      <c r="Q479" s="103">
        <v>797.7</v>
      </c>
      <c r="R479" s="103">
        <v>10571.7</v>
      </c>
      <c r="S479" s="103">
        <v>9.0399999999999991</v>
      </c>
      <c r="T479" s="103">
        <v>36882</v>
      </c>
      <c r="U479" s="103">
        <v>69</v>
      </c>
      <c r="V479" s="103">
        <v>590.74</v>
      </c>
      <c r="W479" s="103">
        <v>0.17</v>
      </c>
      <c r="X479" s="103">
        <v>7458.46</v>
      </c>
      <c r="Y479" s="103">
        <v>0</v>
      </c>
      <c r="Z479" s="103">
        <v>54169</v>
      </c>
      <c r="AA479" s="116">
        <v>79</v>
      </c>
      <c r="AB479" s="103">
        <v>161.91</v>
      </c>
      <c r="AC479" s="112">
        <v>0.18</v>
      </c>
      <c r="AD479" s="103">
        <v>81.37</v>
      </c>
      <c r="AE479" s="116">
        <v>0.23</v>
      </c>
    </row>
    <row r="480" spans="1:31" ht="4.5" customHeight="1"/>
    <row r="481" spans="1:31">
      <c r="A481" s="102">
        <f>A478+1</f>
        <v>45724</v>
      </c>
      <c r="B481" s="102" t="s">
        <v>3503</v>
      </c>
      <c r="C481" s="110" t="str">
        <f>A481 &amp; " " &amp;B481</f>
        <v>45724 0000H</v>
      </c>
      <c r="D481" s="111">
        <v>1665.89</v>
      </c>
      <c r="E481" s="116">
        <v>49.69</v>
      </c>
      <c r="F481" s="111">
        <v>1108.67</v>
      </c>
      <c r="G481" s="116">
        <v>6.2</v>
      </c>
      <c r="H481" s="111">
        <v>74921.48</v>
      </c>
      <c r="I481" s="103">
        <v>914.86</v>
      </c>
      <c r="J481" s="103">
        <v>33430.61</v>
      </c>
      <c r="K481" s="116">
        <v>107.01</v>
      </c>
      <c r="L481" s="111">
        <v>6258.85</v>
      </c>
      <c r="M481" s="103">
        <v>19.05</v>
      </c>
      <c r="N481" s="103">
        <v>33838.699999999997</v>
      </c>
      <c r="O481" s="103">
        <v>29.5</v>
      </c>
      <c r="P481" s="103">
        <v>715.02</v>
      </c>
      <c r="Q481" s="103">
        <v>799.52</v>
      </c>
      <c r="R481" s="103">
        <v>10576.7</v>
      </c>
      <c r="S481" s="103">
        <v>9.0399999999999991</v>
      </c>
      <c r="T481" s="103">
        <v>36889</v>
      </c>
      <c r="U481" s="103">
        <v>69</v>
      </c>
      <c r="V481" s="103">
        <v>590.74</v>
      </c>
      <c r="W481" s="103">
        <v>0.17</v>
      </c>
      <c r="X481" s="103">
        <v>7464.8</v>
      </c>
      <c r="Y481" s="103">
        <v>0</v>
      </c>
      <c r="Z481" s="103">
        <v>54169</v>
      </c>
      <c r="AA481" s="116">
        <v>79</v>
      </c>
      <c r="AB481" s="103">
        <v>161.91</v>
      </c>
      <c r="AC481" s="112">
        <v>0.18</v>
      </c>
      <c r="AD481" s="103">
        <v>81.37</v>
      </c>
      <c r="AE481" s="116">
        <v>0.23</v>
      </c>
    </row>
    <row r="482" spans="1:31">
      <c r="A482" s="102">
        <f>A479+1</f>
        <v>45724</v>
      </c>
      <c r="B482" s="102" t="s">
        <v>3504</v>
      </c>
      <c r="C482" s="110" t="str">
        <f>A482 &amp; " " &amp;B482</f>
        <v>45724 1200H</v>
      </c>
      <c r="D482" s="111">
        <v>1669.58</v>
      </c>
      <c r="E482" s="116">
        <v>49.69</v>
      </c>
      <c r="F482" s="111">
        <v>1108.67</v>
      </c>
      <c r="G482" s="116">
        <v>6.2</v>
      </c>
      <c r="H482" s="111">
        <v>74923.009999999995</v>
      </c>
      <c r="I482" s="103">
        <v>915.27</v>
      </c>
      <c r="J482" s="103">
        <v>33431.839999999997</v>
      </c>
      <c r="K482" s="116">
        <v>107.6</v>
      </c>
      <c r="L482" s="111">
        <v>6264.53</v>
      </c>
      <c r="M482" s="103">
        <v>19.05</v>
      </c>
      <c r="N482" s="103">
        <v>33845.800000000003</v>
      </c>
      <c r="O482" s="103">
        <v>29.5</v>
      </c>
      <c r="P482" s="103">
        <v>715.31</v>
      </c>
      <c r="Q482" s="103">
        <v>800.42</v>
      </c>
      <c r="R482" s="103">
        <v>10579.99</v>
      </c>
      <c r="S482" s="103">
        <v>9.0399999999999991</v>
      </c>
      <c r="T482" s="103">
        <v>36895</v>
      </c>
      <c r="U482" s="103">
        <v>69</v>
      </c>
      <c r="V482" s="103">
        <v>590.74</v>
      </c>
      <c r="W482" s="103">
        <v>0.17</v>
      </c>
      <c r="X482" s="103">
        <v>7490.92</v>
      </c>
      <c r="Y482" s="103">
        <v>0</v>
      </c>
      <c r="Z482" s="103">
        <v>54169</v>
      </c>
      <c r="AA482" s="116">
        <v>79</v>
      </c>
      <c r="AB482" s="103">
        <v>161.91</v>
      </c>
      <c r="AC482" s="112">
        <v>0.18</v>
      </c>
      <c r="AD482" s="103">
        <v>81.37</v>
      </c>
      <c r="AE482" s="116">
        <v>0.23</v>
      </c>
    </row>
    <row r="483" spans="1:31" ht="4.5" customHeight="1"/>
    <row r="484" spans="1:31">
      <c r="A484" s="102">
        <f>A481+1</f>
        <v>45725</v>
      </c>
      <c r="B484" s="102" t="s">
        <v>3503</v>
      </c>
      <c r="C484" s="110" t="str">
        <f>A484 &amp; " " &amp;B484</f>
        <v>45725 0000H</v>
      </c>
      <c r="D484" s="111">
        <v>1674.85</v>
      </c>
      <c r="E484" s="116">
        <v>49.69</v>
      </c>
      <c r="F484" s="111">
        <v>1108.67</v>
      </c>
      <c r="G484" s="116">
        <v>6.2</v>
      </c>
      <c r="H484" s="111">
        <v>74929.820000000007</v>
      </c>
      <c r="I484" s="103">
        <v>915.27</v>
      </c>
      <c r="J484" s="103">
        <v>33435.440000000002</v>
      </c>
      <c r="K484" s="116">
        <v>107.07</v>
      </c>
      <c r="L484" s="111">
        <v>6270.3</v>
      </c>
      <c r="M484" s="103">
        <v>19.05</v>
      </c>
      <c r="N484" s="103">
        <v>33852.699999999997</v>
      </c>
      <c r="O484" s="103">
        <v>29.5</v>
      </c>
      <c r="P484" s="103">
        <v>715.6</v>
      </c>
      <c r="Q484" s="103">
        <v>801.5</v>
      </c>
      <c r="R484" s="103">
        <v>10584.68</v>
      </c>
      <c r="S484" s="103">
        <v>9.0399999999999991</v>
      </c>
      <c r="T484" s="103">
        <v>36902</v>
      </c>
      <c r="U484" s="103">
        <v>69</v>
      </c>
      <c r="V484" s="103">
        <v>590.74</v>
      </c>
      <c r="W484" s="103">
        <v>0.17</v>
      </c>
      <c r="X484" s="103">
        <v>7478.07</v>
      </c>
      <c r="Y484" s="103">
        <v>0</v>
      </c>
      <c r="Z484" s="103">
        <v>54169</v>
      </c>
      <c r="AA484" s="116">
        <v>79</v>
      </c>
      <c r="AB484" s="103">
        <v>161.91</v>
      </c>
      <c r="AC484" s="112">
        <v>0.18</v>
      </c>
      <c r="AD484" s="103">
        <v>81.37</v>
      </c>
      <c r="AE484" s="116">
        <v>0.23</v>
      </c>
    </row>
    <row r="485" spans="1:31">
      <c r="A485" s="102">
        <f>A482+1</f>
        <v>45725</v>
      </c>
      <c r="B485" s="102" t="s">
        <v>3504</v>
      </c>
      <c r="C485" s="110" t="str">
        <f>A485 &amp; " " &amp;B485</f>
        <v>45725 1200H</v>
      </c>
      <c r="D485" s="111">
        <v>1678.07</v>
      </c>
      <c r="E485" s="116">
        <v>49.69</v>
      </c>
      <c r="F485" s="111">
        <v>1108.67</v>
      </c>
      <c r="G485" s="116">
        <v>6.2</v>
      </c>
      <c r="H485" s="111">
        <v>74931.81</v>
      </c>
      <c r="I485" s="103">
        <v>915.8</v>
      </c>
      <c r="J485" s="103">
        <v>33435.68</v>
      </c>
      <c r="K485" s="116">
        <v>107.12</v>
      </c>
      <c r="L485" s="111">
        <v>6275.93</v>
      </c>
      <c r="M485" s="103">
        <v>19.05</v>
      </c>
      <c r="N485" s="103">
        <v>33859.800000000003</v>
      </c>
      <c r="O485" s="103">
        <v>29.5</v>
      </c>
      <c r="P485" s="103">
        <v>715.72</v>
      </c>
      <c r="Q485" s="103">
        <v>802.59</v>
      </c>
      <c r="R485" s="103">
        <v>10588.53</v>
      </c>
      <c r="S485" s="103">
        <v>9.0399999999999991</v>
      </c>
      <c r="T485" s="103">
        <v>36908</v>
      </c>
      <c r="U485" s="103">
        <v>69</v>
      </c>
      <c r="V485" s="103">
        <v>590.74</v>
      </c>
      <c r="W485" s="103">
        <v>0.17</v>
      </c>
      <c r="X485" s="103">
        <v>7482.53</v>
      </c>
      <c r="Y485" s="103">
        <v>0</v>
      </c>
      <c r="Z485" s="103">
        <v>54169</v>
      </c>
      <c r="AA485" s="116">
        <v>79</v>
      </c>
      <c r="AB485" s="103">
        <v>161.91</v>
      </c>
      <c r="AC485" s="112">
        <v>0.18</v>
      </c>
      <c r="AD485" s="103">
        <v>81.37</v>
      </c>
      <c r="AE485" s="116">
        <v>0.23</v>
      </c>
    </row>
    <row r="486" spans="1:31" ht="4.5" customHeight="1"/>
    <row r="487" spans="1:31">
      <c r="A487" s="102">
        <f>A484+1</f>
        <v>45726</v>
      </c>
      <c r="B487" s="102" t="s">
        <v>3503</v>
      </c>
      <c r="C487" s="110" t="str">
        <f>A487 &amp; " " &amp;B487</f>
        <v>45726 0000H</v>
      </c>
      <c r="D487" s="111">
        <v>1684.1</v>
      </c>
      <c r="E487" s="116">
        <v>49.69</v>
      </c>
      <c r="F487" s="111">
        <v>1108.67</v>
      </c>
      <c r="G487" s="116">
        <v>6.2</v>
      </c>
      <c r="H487" s="111">
        <v>74934</v>
      </c>
      <c r="I487" s="103">
        <v>915.87</v>
      </c>
      <c r="J487" s="103">
        <v>33436.89</v>
      </c>
      <c r="K487" s="116">
        <v>107.17</v>
      </c>
      <c r="L487" s="111">
        <v>6281.71</v>
      </c>
      <c r="M487" s="103">
        <v>19.05</v>
      </c>
      <c r="N487" s="103">
        <v>33866.800000000003</v>
      </c>
      <c r="O487" s="103">
        <v>29.5</v>
      </c>
      <c r="P487" s="103">
        <v>715.91</v>
      </c>
      <c r="Q487" s="103">
        <v>803.56</v>
      </c>
      <c r="R487" s="103">
        <v>10593.19</v>
      </c>
      <c r="S487" s="103">
        <v>9.0399999999999991</v>
      </c>
      <c r="T487" s="103">
        <v>36915</v>
      </c>
      <c r="U487" s="103">
        <v>69</v>
      </c>
      <c r="V487" s="103">
        <v>590.74</v>
      </c>
      <c r="W487" s="103">
        <v>0.17</v>
      </c>
      <c r="X487" s="103">
        <v>7489.75</v>
      </c>
      <c r="Y487" s="103">
        <v>0</v>
      </c>
      <c r="Z487" s="103">
        <v>54169</v>
      </c>
      <c r="AA487" s="116">
        <v>79</v>
      </c>
      <c r="AB487" s="103">
        <v>161.91</v>
      </c>
      <c r="AC487" s="112">
        <v>0.18</v>
      </c>
      <c r="AD487" s="103">
        <v>81.37</v>
      </c>
      <c r="AE487" s="116">
        <v>0.23</v>
      </c>
    </row>
    <row r="488" spans="1:31">
      <c r="A488" s="102">
        <f>A485+1</f>
        <v>45726</v>
      </c>
      <c r="B488" s="102" t="s">
        <v>3504</v>
      </c>
      <c r="C488" s="110" t="str">
        <f>A488 &amp; " " &amp;B488</f>
        <v>45726 1200H</v>
      </c>
      <c r="D488" s="111">
        <v>1689.22</v>
      </c>
      <c r="E488" s="116">
        <v>49.69</v>
      </c>
      <c r="F488" s="111">
        <v>1108.67</v>
      </c>
      <c r="G488" s="116">
        <v>6.2</v>
      </c>
      <c r="H488" s="111">
        <v>74937.95</v>
      </c>
      <c r="I488" s="103">
        <v>916.13</v>
      </c>
      <c r="J488" s="103">
        <v>33436.910000000003</v>
      </c>
      <c r="K488" s="116">
        <v>107.23</v>
      </c>
      <c r="L488" s="111">
        <v>6287.32</v>
      </c>
      <c r="M488" s="103">
        <v>19.05</v>
      </c>
      <c r="N488" s="103">
        <v>33871</v>
      </c>
      <c r="O488" s="103">
        <v>29.5</v>
      </c>
      <c r="P488" s="103">
        <v>716.07</v>
      </c>
      <c r="Q488" s="103">
        <v>804.59</v>
      </c>
      <c r="R488" s="103">
        <v>10597</v>
      </c>
      <c r="S488" s="103">
        <v>9.0399999999999991</v>
      </c>
      <c r="T488" s="103">
        <v>36921</v>
      </c>
      <c r="U488" s="103">
        <v>69</v>
      </c>
      <c r="V488" s="103">
        <v>590.74</v>
      </c>
      <c r="W488" s="103">
        <v>0.17</v>
      </c>
      <c r="X488" s="103">
        <v>7496.02</v>
      </c>
      <c r="Y488" s="103">
        <v>0</v>
      </c>
      <c r="Z488" s="103">
        <v>54169</v>
      </c>
      <c r="AA488" s="116">
        <v>79</v>
      </c>
      <c r="AB488" s="103">
        <v>161.91</v>
      </c>
      <c r="AC488" s="112">
        <v>0.18</v>
      </c>
      <c r="AD488" s="103">
        <v>81.37</v>
      </c>
      <c r="AE488" s="116">
        <v>0.23</v>
      </c>
    </row>
    <row r="489" spans="1:31" ht="4.5" customHeight="1"/>
    <row r="490" spans="1:31">
      <c r="A490" s="102">
        <f>A487+1</f>
        <v>45727</v>
      </c>
      <c r="B490" s="102" t="s">
        <v>3503</v>
      </c>
      <c r="C490" s="110" t="str">
        <f>A490 &amp; " " &amp;B490</f>
        <v>45727 0000H</v>
      </c>
      <c r="D490" s="111">
        <v>1695.31</v>
      </c>
      <c r="E490" s="116">
        <v>49.69</v>
      </c>
      <c r="F490" s="111">
        <v>1108.67</v>
      </c>
      <c r="G490" s="116">
        <v>6.2</v>
      </c>
      <c r="H490" s="111">
        <v>74949.320000000007</v>
      </c>
      <c r="I490" s="103">
        <v>916.16</v>
      </c>
      <c r="J490" s="103">
        <v>33440.730000000003</v>
      </c>
      <c r="K490" s="116">
        <v>107.23</v>
      </c>
      <c r="L490" s="111">
        <v>6293.02</v>
      </c>
      <c r="M490" s="103">
        <v>19.05</v>
      </c>
      <c r="N490" s="103">
        <v>33877.9</v>
      </c>
      <c r="O490" s="103">
        <v>29.5</v>
      </c>
      <c r="P490" s="424">
        <v>716.07</v>
      </c>
      <c r="Q490" s="103">
        <v>805.94</v>
      </c>
      <c r="R490" s="103">
        <v>10601.65</v>
      </c>
      <c r="S490" s="103">
        <v>9.0399999999999991</v>
      </c>
      <c r="T490" s="103">
        <v>36292</v>
      </c>
      <c r="U490" s="103">
        <v>69</v>
      </c>
      <c r="V490" s="103">
        <v>590.74</v>
      </c>
      <c r="W490" s="103">
        <v>0.17</v>
      </c>
      <c r="X490" s="103">
        <v>7502.41</v>
      </c>
      <c r="Y490" s="103">
        <v>0</v>
      </c>
      <c r="Z490" s="103">
        <v>54169</v>
      </c>
      <c r="AA490" s="116">
        <v>79</v>
      </c>
      <c r="AB490" s="103">
        <v>161.91</v>
      </c>
      <c r="AC490" s="112">
        <v>0.18</v>
      </c>
      <c r="AD490" s="103">
        <v>81.37</v>
      </c>
      <c r="AE490" s="116">
        <v>0.23</v>
      </c>
    </row>
    <row r="491" spans="1:31">
      <c r="A491" s="102">
        <f>A488+1</f>
        <v>45727</v>
      </c>
      <c r="B491" s="102" t="s">
        <v>3504</v>
      </c>
      <c r="C491" s="110" t="str">
        <f>A491 &amp; " " &amp;B491</f>
        <v>45727 1200H</v>
      </c>
      <c r="D491" s="111">
        <v>1699.9</v>
      </c>
      <c r="E491" s="116">
        <v>49.69</v>
      </c>
      <c r="F491" s="111">
        <v>1108.67</v>
      </c>
      <c r="G491" s="116">
        <v>6.2</v>
      </c>
      <c r="H491" s="111">
        <v>74952.97</v>
      </c>
      <c r="I491" s="103">
        <v>916.5</v>
      </c>
      <c r="J491" s="103">
        <v>33441.24</v>
      </c>
      <c r="K491" s="116">
        <v>107.28</v>
      </c>
      <c r="L491" s="111">
        <v>6298.87</v>
      </c>
      <c r="M491" s="103">
        <v>19.05</v>
      </c>
      <c r="N491" s="103">
        <v>33885.300000000003</v>
      </c>
      <c r="O491" s="103">
        <v>29.5</v>
      </c>
      <c r="P491" s="103">
        <v>716.32</v>
      </c>
      <c r="Q491" s="103">
        <v>806.71</v>
      </c>
      <c r="R491" s="103">
        <v>10605.53</v>
      </c>
      <c r="S491" s="103">
        <v>9.0399999999999991</v>
      </c>
      <c r="T491" s="103">
        <v>36935</v>
      </c>
      <c r="U491" s="103">
        <v>69</v>
      </c>
      <c r="V491" s="103">
        <v>590.74</v>
      </c>
      <c r="W491" s="103">
        <v>0.17</v>
      </c>
      <c r="X491" s="103">
        <v>7508.78</v>
      </c>
      <c r="Y491" s="103">
        <v>0</v>
      </c>
      <c r="Z491" s="103">
        <v>54169</v>
      </c>
      <c r="AA491" s="116">
        <v>79</v>
      </c>
      <c r="AB491" s="103">
        <v>161.91</v>
      </c>
      <c r="AC491" s="112">
        <v>0.18</v>
      </c>
      <c r="AD491" s="103">
        <v>81.37</v>
      </c>
      <c r="AE491" s="116">
        <v>0.23</v>
      </c>
    </row>
    <row r="492" spans="1:31" ht="4.5" customHeight="1"/>
    <row r="493" spans="1:31">
      <c r="A493" s="102">
        <f>A490+1</f>
        <v>45728</v>
      </c>
      <c r="B493" s="102" t="s">
        <v>3503</v>
      </c>
      <c r="C493" s="110" t="str">
        <f>A493 &amp; " " &amp;B493</f>
        <v>45728 0000H</v>
      </c>
      <c r="D493" s="111">
        <v>1706.21</v>
      </c>
      <c r="E493" s="116">
        <v>49.69</v>
      </c>
      <c r="F493" s="111">
        <v>1108.67</v>
      </c>
      <c r="G493" s="116">
        <v>6.2</v>
      </c>
      <c r="H493" s="111">
        <v>74966.649999999994</v>
      </c>
      <c r="I493" s="103">
        <v>916.5</v>
      </c>
      <c r="J493" s="103">
        <v>33444.43</v>
      </c>
      <c r="K493" s="116">
        <v>107.3</v>
      </c>
      <c r="L493" s="111">
        <v>6304.57</v>
      </c>
      <c r="M493" s="103">
        <v>19.05</v>
      </c>
      <c r="N493" s="103">
        <v>33892.5</v>
      </c>
      <c r="O493" s="103">
        <v>29.5</v>
      </c>
      <c r="P493" s="103">
        <v>716.33</v>
      </c>
      <c r="Q493" s="103">
        <v>808.03</v>
      </c>
      <c r="R493" s="103">
        <v>10610.27</v>
      </c>
      <c r="S493" s="103">
        <v>9.0399999999999991</v>
      </c>
      <c r="T493" s="103">
        <v>36943</v>
      </c>
      <c r="U493" s="103">
        <v>69</v>
      </c>
      <c r="V493" s="103">
        <v>590.74</v>
      </c>
      <c r="W493" s="103">
        <v>0.17</v>
      </c>
      <c r="X493" s="103">
        <v>7516.16</v>
      </c>
      <c r="Y493" s="103">
        <v>0</v>
      </c>
      <c r="Z493" s="103">
        <v>54169</v>
      </c>
      <c r="AA493" s="116">
        <v>79</v>
      </c>
      <c r="AB493" s="103">
        <v>161.91</v>
      </c>
      <c r="AC493" s="112">
        <v>0.18</v>
      </c>
      <c r="AD493" s="103">
        <v>81.37</v>
      </c>
      <c r="AE493" s="116">
        <v>0.23</v>
      </c>
    </row>
    <row r="494" spans="1:31">
      <c r="A494" s="102">
        <f>A491+1</f>
        <v>45728</v>
      </c>
      <c r="B494" s="102" t="s">
        <v>3504</v>
      </c>
      <c r="C494" s="110" t="str">
        <f>A494 &amp; " " &amp;B494</f>
        <v>45728 1200H</v>
      </c>
      <c r="D494" s="111">
        <v>1710.95</v>
      </c>
      <c r="E494" s="116">
        <v>49.69</v>
      </c>
      <c r="F494" s="111">
        <v>1108.67</v>
      </c>
      <c r="G494" s="116">
        <v>6.2</v>
      </c>
      <c r="H494" s="111">
        <v>74975.88</v>
      </c>
      <c r="I494" s="103">
        <v>916.63</v>
      </c>
      <c r="J494" s="103">
        <v>33444.43</v>
      </c>
      <c r="K494" s="116">
        <v>107.33</v>
      </c>
      <c r="L494" s="111">
        <v>6307.24</v>
      </c>
      <c r="M494" s="103">
        <v>19.05</v>
      </c>
      <c r="N494" s="103">
        <v>33896.400000000001</v>
      </c>
      <c r="O494" s="103">
        <v>29.5</v>
      </c>
      <c r="P494" s="103">
        <v>717.76</v>
      </c>
      <c r="Q494" s="103">
        <v>808.62</v>
      </c>
      <c r="R494" s="103">
        <v>10613.32</v>
      </c>
      <c r="S494" s="103">
        <v>9.0399999999999991</v>
      </c>
      <c r="T494" s="103">
        <v>36950</v>
      </c>
      <c r="U494" s="103">
        <v>69</v>
      </c>
      <c r="V494" s="103">
        <v>590.74</v>
      </c>
      <c r="W494" s="103">
        <v>0.17</v>
      </c>
      <c r="X494" s="103">
        <v>7522.39</v>
      </c>
      <c r="Y494" s="103">
        <v>0</v>
      </c>
      <c r="Z494" s="103">
        <v>54169</v>
      </c>
      <c r="AA494" s="116">
        <v>79</v>
      </c>
      <c r="AB494" s="103">
        <v>166.06</v>
      </c>
      <c r="AC494" s="112">
        <v>0.18</v>
      </c>
      <c r="AD494" s="103">
        <v>81.37</v>
      </c>
      <c r="AE494" s="116">
        <v>0.23</v>
      </c>
    </row>
    <row r="495" spans="1:31" ht="4.5" customHeight="1"/>
    <row r="496" spans="1:31">
      <c r="A496" s="102">
        <f>A493+1</f>
        <v>45729</v>
      </c>
      <c r="B496" s="102" t="s">
        <v>3503</v>
      </c>
      <c r="C496" s="110" t="str">
        <f>A496 &amp; " " &amp;B496</f>
        <v>45729 0000H</v>
      </c>
      <c r="D496" s="111">
        <v>1717.34</v>
      </c>
      <c r="E496" s="116">
        <v>49.69</v>
      </c>
      <c r="F496" s="111">
        <v>1108.67</v>
      </c>
      <c r="G496" s="116">
        <v>6.2</v>
      </c>
      <c r="H496" s="111">
        <v>74992.53</v>
      </c>
      <c r="I496" s="103">
        <v>916.63</v>
      </c>
      <c r="J496" s="103">
        <v>33444.43</v>
      </c>
      <c r="K496" s="116">
        <v>107.4</v>
      </c>
      <c r="L496" s="111">
        <v>6309.47</v>
      </c>
      <c r="M496" s="103">
        <v>19.05</v>
      </c>
      <c r="N496" s="103">
        <v>33901</v>
      </c>
      <c r="O496" s="103">
        <v>29.5</v>
      </c>
      <c r="P496" s="103">
        <v>721.11</v>
      </c>
      <c r="Q496" s="103">
        <v>808.81</v>
      </c>
      <c r="R496" s="103">
        <v>10618.05</v>
      </c>
      <c r="S496" s="103">
        <v>9.0399999999999991</v>
      </c>
      <c r="T496" s="103">
        <v>36958</v>
      </c>
      <c r="U496" s="103">
        <v>69</v>
      </c>
      <c r="V496" s="103">
        <v>590.74</v>
      </c>
      <c r="W496" s="103">
        <v>0.17</v>
      </c>
      <c r="X496" s="103">
        <v>7527.63</v>
      </c>
      <c r="Y496" s="103">
        <v>0</v>
      </c>
      <c r="Z496" s="103">
        <v>54169</v>
      </c>
      <c r="AA496" s="116">
        <v>79</v>
      </c>
      <c r="AB496" s="103">
        <v>172.97</v>
      </c>
      <c r="AC496" s="112">
        <v>0.19</v>
      </c>
      <c r="AD496" s="103">
        <v>81.37</v>
      </c>
      <c r="AE496" s="116">
        <v>0.23</v>
      </c>
    </row>
    <row r="497" spans="1:31">
      <c r="A497" s="102">
        <f>A494+1</f>
        <v>45729</v>
      </c>
      <c r="B497" s="102" t="s">
        <v>3504</v>
      </c>
      <c r="C497" s="110" t="str">
        <f>A497 &amp; " " &amp;B497</f>
        <v>45729 1200H</v>
      </c>
      <c r="D497" s="111">
        <v>1723.22</v>
      </c>
      <c r="E497" s="116">
        <v>49.69</v>
      </c>
      <c r="F497" s="111">
        <v>1108.67</v>
      </c>
      <c r="G497" s="116">
        <v>6.2</v>
      </c>
      <c r="H497" s="111">
        <v>75001.06</v>
      </c>
      <c r="I497" s="103">
        <v>916.77</v>
      </c>
      <c r="J497" s="103">
        <v>33445.19</v>
      </c>
      <c r="K497" s="116">
        <v>107.46</v>
      </c>
      <c r="L497" s="111">
        <v>6318.83</v>
      </c>
      <c r="M497" s="103">
        <v>19.05</v>
      </c>
      <c r="N497" s="103">
        <v>33905.1</v>
      </c>
      <c r="O497" s="103">
        <v>29.5</v>
      </c>
      <c r="P497" s="103">
        <v>721.33</v>
      </c>
      <c r="Q497" s="103">
        <v>809.9</v>
      </c>
      <c r="R497" s="103">
        <v>10621.97</v>
      </c>
      <c r="S497" s="103">
        <v>9.0399999999999991</v>
      </c>
      <c r="T497" s="103">
        <v>36964</v>
      </c>
      <c r="U497" s="103">
        <v>69</v>
      </c>
      <c r="V497" s="103">
        <v>590.74</v>
      </c>
      <c r="W497" s="103">
        <v>0.17</v>
      </c>
      <c r="X497" s="103">
        <v>7527.63</v>
      </c>
      <c r="Y497" s="103">
        <v>0</v>
      </c>
      <c r="Z497" s="103">
        <v>54169</v>
      </c>
      <c r="AA497" s="116">
        <v>79</v>
      </c>
      <c r="AB497" s="103">
        <v>172.99</v>
      </c>
      <c r="AC497" s="112">
        <v>0.2</v>
      </c>
      <c r="AD497" s="103">
        <v>81.37</v>
      </c>
      <c r="AE497" s="116">
        <v>0.23</v>
      </c>
    </row>
    <row r="498" spans="1:31" ht="4.5" customHeight="1"/>
    <row r="499" spans="1:31">
      <c r="A499" s="102">
        <f>A496+1</f>
        <v>45730</v>
      </c>
      <c r="B499" s="102" t="s">
        <v>3503</v>
      </c>
      <c r="C499" s="110" t="str">
        <f>A499 &amp; " " &amp;B499</f>
        <v>45730 0000H</v>
      </c>
      <c r="D499" s="111">
        <v>1729.29</v>
      </c>
      <c r="E499" s="116">
        <v>49.69</v>
      </c>
      <c r="F499" s="111">
        <v>1108.67</v>
      </c>
      <c r="G499" s="116">
        <v>6.2</v>
      </c>
      <c r="H499" s="111">
        <v>75015.850000000006</v>
      </c>
      <c r="I499" s="103">
        <v>916.77</v>
      </c>
      <c r="J499" s="103">
        <v>33449.01</v>
      </c>
      <c r="K499" s="116">
        <v>107.46</v>
      </c>
      <c r="L499" s="111">
        <v>6319.38</v>
      </c>
      <c r="M499" s="103">
        <v>19.05</v>
      </c>
      <c r="N499" s="103">
        <v>33911.599999999999</v>
      </c>
      <c r="O499" s="103">
        <v>29.5</v>
      </c>
      <c r="P499" s="103">
        <v>721.58</v>
      </c>
      <c r="Q499" s="103">
        <v>811.13</v>
      </c>
      <c r="R499" s="103">
        <v>10626.78</v>
      </c>
      <c r="S499" s="103">
        <v>9.0399999999999991</v>
      </c>
      <c r="T499" s="103">
        <v>36972</v>
      </c>
      <c r="U499" s="103">
        <v>69</v>
      </c>
      <c r="V499" s="103">
        <v>590.74</v>
      </c>
      <c r="W499" s="103">
        <v>0.17</v>
      </c>
      <c r="X499" s="103">
        <v>7541.64</v>
      </c>
      <c r="Y499" s="103">
        <v>0</v>
      </c>
      <c r="Z499" s="103">
        <v>54169</v>
      </c>
      <c r="AA499" s="116">
        <v>79</v>
      </c>
      <c r="AB499" s="103">
        <v>172.99</v>
      </c>
      <c r="AC499" s="112">
        <v>0.2</v>
      </c>
      <c r="AD499" s="103">
        <v>81.37</v>
      </c>
      <c r="AE499" s="116">
        <v>0.23</v>
      </c>
    </row>
    <row r="500" spans="1:31">
      <c r="A500" s="102">
        <f>A497+1</f>
        <v>45730</v>
      </c>
      <c r="B500" s="102" t="s">
        <v>3504</v>
      </c>
      <c r="C500" s="110" t="str">
        <f>A500 &amp; " " &amp;B500</f>
        <v>45730 1200H</v>
      </c>
      <c r="D500" s="111">
        <v>1734.56</v>
      </c>
      <c r="E500" s="116">
        <v>49.69</v>
      </c>
      <c r="F500" s="111">
        <v>1108.67</v>
      </c>
      <c r="G500" s="116">
        <v>6.2</v>
      </c>
      <c r="H500" s="111">
        <v>75020.789999999994</v>
      </c>
      <c r="I500" s="103">
        <v>917.05</v>
      </c>
      <c r="J500" s="103">
        <v>33450.07</v>
      </c>
      <c r="K500" s="116">
        <v>107.51</v>
      </c>
      <c r="L500" s="111">
        <v>6324.73</v>
      </c>
      <c r="M500" s="103">
        <v>19.05</v>
      </c>
      <c r="N500" s="103">
        <v>33918</v>
      </c>
      <c r="O500" s="103">
        <v>29.5</v>
      </c>
      <c r="P500" s="103">
        <v>721.69</v>
      </c>
      <c r="Q500" s="103">
        <v>812.25</v>
      </c>
      <c r="R500" s="103">
        <v>10630.75</v>
      </c>
      <c r="S500" s="103">
        <v>9.0399999999999991</v>
      </c>
      <c r="T500" s="103">
        <v>36978</v>
      </c>
      <c r="U500" s="103">
        <v>69</v>
      </c>
      <c r="V500" s="103">
        <v>590.74</v>
      </c>
      <c r="W500" s="103">
        <v>0.17</v>
      </c>
      <c r="X500" s="103">
        <v>7548.04</v>
      </c>
      <c r="Y500" s="103">
        <v>0</v>
      </c>
      <c r="Z500" s="103">
        <v>54169</v>
      </c>
      <c r="AA500" s="116">
        <v>79</v>
      </c>
      <c r="AB500" s="103">
        <v>172.99</v>
      </c>
      <c r="AC500" s="112">
        <v>0.2</v>
      </c>
      <c r="AD500" s="103">
        <v>81.37</v>
      </c>
      <c r="AE500" s="116">
        <v>0.23</v>
      </c>
    </row>
    <row r="501" spans="1:31" ht="4.5" customHeight="1"/>
    <row r="502" spans="1:31">
      <c r="A502" s="102">
        <f>A499+1</f>
        <v>45731</v>
      </c>
      <c r="B502" s="102" t="s">
        <v>3503</v>
      </c>
      <c r="C502" s="110" t="str">
        <f>A502 &amp; " " &amp;B502</f>
        <v>45731 0000H</v>
      </c>
      <c r="D502" s="111">
        <v>1740.73</v>
      </c>
      <c r="E502" s="116">
        <v>49.69</v>
      </c>
      <c r="F502" s="111">
        <v>1108.67</v>
      </c>
      <c r="G502" s="116">
        <v>6.2</v>
      </c>
      <c r="H502" s="111">
        <v>75035.41</v>
      </c>
      <c r="I502" s="103">
        <v>917.05</v>
      </c>
      <c r="J502" s="103">
        <v>33453.089999999997</v>
      </c>
      <c r="K502" s="116">
        <v>107.54</v>
      </c>
      <c r="L502" s="111">
        <v>6330.43</v>
      </c>
      <c r="M502" s="103">
        <v>19.05</v>
      </c>
      <c r="N502" s="103">
        <v>33924.5</v>
      </c>
      <c r="O502" s="103">
        <v>29.5</v>
      </c>
      <c r="P502" s="103">
        <v>721.82</v>
      </c>
      <c r="Q502" s="103">
        <v>813.38</v>
      </c>
      <c r="R502" s="103">
        <v>10635.55</v>
      </c>
      <c r="S502" s="103">
        <v>9.0399999999999991</v>
      </c>
      <c r="T502" s="103">
        <v>36987</v>
      </c>
      <c r="U502" s="103">
        <v>69</v>
      </c>
      <c r="V502" s="103">
        <v>590.74</v>
      </c>
      <c r="W502" s="103">
        <v>0.17</v>
      </c>
      <c r="X502" s="103">
        <v>7555.54</v>
      </c>
      <c r="Y502" s="103">
        <v>0</v>
      </c>
      <c r="Z502" s="103">
        <v>54169</v>
      </c>
      <c r="AA502" s="116">
        <v>79</v>
      </c>
      <c r="AB502" s="103">
        <v>172.99</v>
      </c>
      <c r="AC502" s="112">
        <v>0.2</v>
      </c>
      <c r="AD502" s="103">
        <v>81.37</v>
      </c>
      <c r="AE502" s="116">
        <v>0.23</v>
      </c>
    </row>
    <row r="503" spans="1:31">
      <c r="A503" s="102">
        <f>A500+1</f>
        <v>45731</v>
      </c>
      <c r="B503" s="102" t="s">
        <v>3504</v>
      </c>
      <c r="C503" s="110" t="str">
        <f>A503 &amp; " " &amp;B503</f>
        <v>45731 1200H</v>
      </c>
      <c r="D503" s="111">
        <v>1745.07</v>
      </c>
      <c r="E503" s="116">
        <v>49.69</v>
      </c>
      <c r="F503" s="111">
        <v>1108.67</v>
      </c>
      <c r="G503" s="116">
        <v>6.2</v>
      </c>
      <c r="H503" s="111">
        <v>75038.66</v>
      </c>
      <c r="I503" s="103">
        <v>917.43</v>
      </c>
      <c r="J503" s="103">
        <v>33453.089999999997</v>
      </c>
      <c r="K503" s="116">
        <v>107.6</v>
      </c>
      <c r="L503" s="111">
        <v>6336.22</v>
      </c>
      <c r="M503" s="103">
        <v>19.05</v>
      </c>
      <c r="N503" s="103">
        <v>33931.800000000003</v>
      </c>
      <c r="O503" s="103">
        <v>29.5</v>
      </c>
      <c r="P503" s="103">
        <v>721.99</v>
      </c>
      <c r="Q503" s="103">
        <v>814.13</v>
      </c>
      <c r="R503" s="103">
        <v>10639.61</v>
      </c>
      <c r="S503" s="103">
        <v>9.0399999999999991</v>
      </c>
      <c r="T503" s="103">
        <v>36993</v>
      </c>
      <c r="U503" s="103">
        <v>69</v>
      </c>
      <c r="V503" s="103">
        <v>590.74</v>
      </c>
      <c r="W503" s="103">
        <v>0.17</v>
      </c>
      <c r="X503" s="103">
        <v>7561.95</v>
      </c>
      <c r="Y503" s="103">
        <v>0</v>
      </c>
      <c r="Z503" s="103">
        <v>54169</v>
      </c>
      <c r="AA503" s="116">
        <v>79</v>
      </c>
      <c r="AB503" s="103">
        <v>172.99</v>
      </c>
      <c r="AC503" s="112">
        <v>0.2</v>
      </c>
      <c r="AD503" s="103">
        <v>81.37</v>
      </c>
      <c r="AE503" s="116">
        <v>0.23</v>
      </c>
    </row>
    <row r="504" spans="1:31" ht="4.5" customHeight="1"/>
    <row r="505" spans="1:31">
      <c r="A505" s="102">
        <f>A502+1</f>
        <v>45732</v>
      </c>
      <c r="B505" s="102" t="s">
        <v>3503</v>
      </c>
      <c r="C505" s="110" t="str">
        <f>A505 &amp; " " &amp;B505</f>
        <v>45732 0000H</v>
      </c>
      <c r="D505" s="111">
        <v>1750.73</v>
      </c>
      <c r="E505" s="116">
        <v>49.69</v>
      </c>
      <c r="F505" s="111">
        <v>1108.67</v>
      </c>
      <c r="G505" s="116">
        <v>6.2</v>
      </c>
      <c r="H505" s="111">
        <v>75054.880000000005</v>
      </c>
      <c r="I505" s="103">
        <v>917.43</v>
      </c>
      <c r="J505" s="103">
        <v>33454.22</v>
      </c>
      <c r="K505" s="116">
        <v>107.64</v>
      </c>
      <c r="L505" s="111">
        <v>6341.8</v>
      </c>
      <c r="M505" s="103">
        <v>19.05</v>
      </c>
      <c r="N505" s="103">
        <v>33938.6</v>
      </c>
      <c r="O505" s="103">
        <v>29.5</v>
      </c>
      <c r="P505" s="103">
        <v>722.27</v>
      </c>
      <c r="Q505" s="103">
        <v>815.44</v>
      </c>
      <c r="R505" s="103">
        <v>10644.89</v>
      </c>
      <c r="S505" s="103">
        <v>9.0399999999999991</v>
      </c>
      <c r="T505" s="103">
        <v>37001</v>
      </c>
      <c r="U505" s="103">
        <v>69</v>
      </c>
      <c r="V505" s="103">
        <v>590.74</v>
      </c>
      <c r="W505" s="103">
        <v>0.17</v>
      </c>
      <c r="X505" s="103">
        <v>7569.63</v>
      </c>
      <c r="Y505" s="103">
        <v>0</v>
      </c>
      <c r="Z505" s="103">
        <v>54169</v>
      </c>
      <c r="AA505" s="116">
        <v>79</v>
      </c>
      <c r="AB505" s="103">
        <v>172.99</v>
      </c>
      <c r="AC505" s="112">
        <v>0.2</v>
      </c>
      <c r="AD505" s="103">
        <v>81.37</v>
      </c>
      <c r="AE505" s="116">
        <v>0.23</v>
      </c>
    </row>
    <row r="506" spans="1:31">
      <c r="A506" s="102">
        <f>A503+1</f>
        <v>45732</v>
      </c>
      <c r="B506" s="102" t="s">
        <v>3504</v>
      </c>
      <c r="C506" s="110" t="str">
        <f>A506 &amp; " " &amp;B506</f>
        <v>45732 1200H</v>
      </c>
      <c r="D506" s="111">
        <v>1754.7</v>
      </c>
      <c r="E506" s="116">
        <v>49.69</v>
      </c>
      <c r="F506" s="111">
        <v>1108.67</v>
      </c>
      <c r="G506" s="116">
        <v>6.2</v>
      </c>
      <c r="H506" s="111">
        <v>75057.37</v>
      </c>
      <c r="I506" s="103">
        <v>917.79</v>
      </c>
      <c r="J506" s="103">
        <v>33454.22</v>
      </c>
      <c r="K506" s="116">
        <v>107.69</v>
      </c>
      <c r="L506" s="111">
        <v>6347.73</v>
      </c>
      <c r="M506" s="103">
        <v>19.05</v>
      </c>
      <c r="N506" s="103">
        <v>33945.9</v>
      </c>
      <c r="O506" s="103">
        <v>29.5</v>
      </c>
      <c r="P506" s="103">
        <v>722.35</v>
      </c>
      <c r="Q506" s="103">
        <v>816.45</v>
      </c>
      <c r="R506" s="103">
        <v>10649.24</v>
      </c>
      <c r="S506" s="103">
        <v>9.0399999999999991</v>
      </c>
      <c r="T506" s="103">
        <v>37007</v>
      </c>
      <c r="U506" s="103">
        <v>69</v>
      </c>
      <c r="V506" s="103">
        <v>590.74</v>
      </c>
      <c r="W506" s="103">
        <v>0.17</v>
      </c>
      <c r="X506" s="103">
        <v>7576.03</v>
      </c>
      <c r="Y506" s="103">
        <v>0</v>
      </c>
      <c r="Z506" s="103">
        <v>54169</v>
      </c>
      <c r="AA506" s="116">
        <v>79</v>
      </c>
      <c r="AB506" s="103">
        <v>172.99</v>
      </c>
      <c r="AC506" s="112">
        <v>0.2</v>
      </c>
      <c r="AD506" s="103">
        <v>81.37</v>
      </c>
      <c r="AE506" s="116">
        <v>0.23</v>
      </c>
    </row>
    <row r="507" spans="1:31" ht="4.5" customHeight="1"/>
    <row r="508" spans="1:31">
      <c r="A508" s="102">
        <f>A505+1</f>
        <v>45733</v>
      </c>
      <c r="B508" s="102" t="s">
        <v>3503</v>
      </c>
      <c r="C508" s="110" t="str">
        <f>A508 &amp; " " &amp;B508</f>
        <v>45733 0000H</v>
      </c>
      <c r="D508" s="111">
        <v>1760.61</v>
      </c>
      <c r="E508" s="116">
        <v>49.69</v>
      </c>
      <c r="F508" s="111">
        <v>1108.67</v>
      </c>
      <c r="G508" s="116">
        <v>6.2</v>
      </c>
      <c r="H508" s="111">
        <v>75067.38</v>
      </c>
      <c r="I508" s="103">
        <v>917.79</v>
      </c>
      <c r="J508" s="103">
        <v>33454.22</v>
      </c>
      <c r="K508" s="116">
        <v>107.74</v>
      </c>
      <c r="L508" s="111">
        <v>6353.52</v>
      </c>
      <c r="M508" s="103">
        <v>19.05</v>
      </c>
      <c r="N508" s="103">
        <v>33952.199999999997</v>
      </c>
      <c r="O508" s="103">
        <v>29.5</v>
      </c>
      <c r="P508" s="103">
        <v>722.37</v>
      </c>
      <c r="Q508" s="103">
        <v>817.78</v>
      </c>
      <c r="R508" s="103">
        <v>10654.55</v>
      </c>
      <c r="S508" s="103">
        <v>9.0399999999999991</v>
      </c>
      <c r="T508" s="103">
        <v>37014</v>
      </c>
      <c r="U508" s="103">
        <v>69</v>
      </c>
      <c r="V508" s="103">
        <v>590.74</v>
      </c>
      <c r="W508" s="103">
        <v>0.17</v>
      </c>
      <c r="X508" s="103">
        <v>7583.24</v>
      </c>
      <c r="Y508" s="103">
        <v>0</v>
      </c>
      <c r="Z508" s="103">
        <v>54169</v>
      </c>
      <c r="AA508" s="116">
        <v>79</v>
      </c>
      <c r="AB508" s="103">
        <v>172.99</v>
      </c>
      <c r="AC508" s="112">
        <v>0.2</v>
      </c>
      <c r="AD508" s="103">
        <v>81.37</v>
      </c>
      <c r="AE508" s="116">
        <v>0.23</v>
      </c>
    </row>
    <row r="509" spans="1:31">
      <c r="A509" s="102">
        <f>A506+1</f>
        <v>45733</v>
      </c>
      <c r="B509" s="102" t="s">
        <v>3504</v>
      </c>
      <c r="C509" s="110" t="str">
        <f>A509 &amp; " " &amp;B509</f>
        <v>45733 1200H</v>
      </c>
      <c r="D509" s="111">
        <v>1765.91</v>
      </c>
      <c r="E509" s="116">
        <v>49.69</v>
      </c>
      <c r="F509" s="111">
        <v>1108.67</v>
      </c>
      <c r="G509" s="116">
        <v>6.2</v>
      </c>
      <c r="H509" s="111">
        <v>75073.69</v>
      </c>
      <c r="I509" s="103">
        <v>918</v>
      </c>
      <c r="J509" s="103">
        <v>33454.82</v>
      </c>
      <c r="K509" s="116">
        <v>107.79</v>
      </c>
      <c r="L509" s="111">
        <v>6359.13</v>
      </c>
      <c r="M509" s="103">
        <v>19.05</v>
      </c>
      <c r="N509" s="103">
        <v>33956.400000000001</v>
      </c>
      <c r="O509" s="103">
        <v>29.5</v>
      </c>
      <c r="P509" s="103">
        <v>722.38</v>
      </c>
      <c r="Q509" s="103">
        <v>819.39</v>
      </c>
      <c r="R509" s="103">
        <v>10658.99</v>
      </c>
      <c r="S509" s="103">
        <v>9.0399999999999991</v>
      </c>
      <c r="T509" s="103">
        <v>37022</v>
      </c>
      <c r="U509" s="103">
        <v>69</v>
      </c>
      <c r="V509" s="103">
        <v>590.74</v>
      </c>
      <c r="W509" s="103">
        <v>0.17</v>
      </c>
      <c r="X509" s="103">
        <v>7589.58</v>
      </c>
      <c r="Y509" s="103">
        <v>0</v>
      </c>
      <c r="Z509" s="103">
        <v>54169</v>
      </c>
      <c r="AA509" s="116">
        <v>79</v>
      </c>
      <c r="AB509" s="103">
        <v>172.99</v>
      </c>
      <c r="AC509" s="112">
        <v>0.2</v>
      </c>
      <c r="AD509" s="103">
        <v>81.37</v>
      </c>
      <c r="AE509" s="116">
        <v>0.23</v>
      </c>
    </row>
    <row r="510" spans="1:31" ht="4.5" customHeight="1"/>
    <row r="511" spans="1:31">
      <c r="A511" s="102">
        <f>A508+1</f>
        <v>45734</v>
      </c>
      <c r="B511" s="102" t="s">
        <v>3503</v>
      </c>
      <c r="C511" s="110" t="str">
        <f>A511 &amp; " " &amp;B511</f>
        <v>45734 0000H</v>
      </c>
      <c r="D511" s="111">
        <v>1771.92</v>
      </c>
      <c r="E511" s="116">
        <v>49.69</v>
      </c>
      <c r="F511" s="111">
        <v>1108.67</v>
      </c>
      <c r="G511" s="116">
        <v>6.2</v>
      </c>
      <c r="H511" s="111">
        <v>75089.759999999995</v>
      </c>
      <c r="I511" s="103">
        <v>918</v>
      </c>
      <c r="J511" s="103">
        <v>33457.629999999997</v>
      </c>
      <c r="K511" s="116">
        <v>107.81</v>
      </c>
      <c r="L511" s="111">
        <v>6364.85</v>
      </c>
      <c r="M511" s="103">
        <v>19.05</v>
      </c>
      <c r="N511" s="103">
        <v>33963.1</v>
      </c>
      <c r="O511" s="103">
        <v>29.5</v>
      </c>
      <c r="P511" s="103">
        <v>722.38</v>
      </c>
      <c r="Q511" s="103">
        <v>821.25</v>
      </c>
      <c r="R511" s="103">
        <v>10664.2</v>
      </c>
      <c r="S511" s="103">
        <v>9.0399999999999991</v>
      </c>
      <c r="T511" s="103">
        <v>37030</v>
      </c>
      <c r="U511" s="103">
        <v>69</v>
      </c>
      <c r="V511" s="103">
        <v>590.74</v>
      </c>
      <c r="W511" s="103">
        <v>0.17</v>
      </c>
      <c r="X511" s="103">
        <v>7597.11</v>
      </c>
      <c r="Y511" s="103">
        <v>0</v>
      </c>
      <c r="Z511" s="103">
        <v>54169</v>
      </c>
      <c r="AA511" s="116">
        <v>79</v>
      </c>
      <c r="AB511" s="103">
        <v>172.99</v>
      </c>
      <c r="AC511" s="112">
        <v>0.2</v>
      </c>
      <c r="AD511" s="103">
        <v>81.37</v>
      </c>
      <c r="AE511" s="116">
        <v>0.23</v>
      </c>
    </row>
    <row r="512" spans="1:31">
      <c r="A512" s="102">
        <f>A509+1</f>
        <v>45734</v>
      </c>
      <c r="B512" s="102" t="s">
        <v>3504</v>
      </c>
      <c r="C512" s="110" t="str">
        <f>A512 &amp; " " &amp;B512</f>
        <v>45734 1200H</v>
      </c>
      <c r="D512" s="111">
        <v>1776.69</v>
      </c>
      <c r="E512" s="116">
        <v>49.69</v>
      </c>
      <c r="F512" s="111">
        <v>1108.67</v>
      </c>
      <c r="G512" s="116">
        <v>6.2</v>
      </c>
      <c r="H512" s="111">
        <v>75093.460000000006</v>
      </c>
      <c r="I512" s="103">
        <v>918.4</v>
      </c>
      <c r="J512" s="103">
        <v>33458.370000000003</v>
      </c>
      <c r="K512" s="116">
        <v>107.85</v>
      </c>
      <c r="L512" s="111">
        <v>6370.56</v>
      </c>
      <c r="M512" s="103">
        <v>19.05</v>
      </c>
      <c r="N512" s="103">
        <v>33970.199999999997</v>
      </c>
      <c r="O512" s="103">
        <v>29.5</v>
      </c>
      <c r="P512" s="103">
        <v>722.41</v>
      </c>
      <c r="Q512" s="103">
        <v>822.43</v>
      </c>
      <c r="R512" s="103">
        <v>10668.6</v>
      </c>
      <c r="S512" s="103">
        <v>9.0399999999999991</v>
      </c>
      <c r="T512" s="103">
        <v>37037</v>
      </c>
      <c r="U512" s="103">
        <v>69</v>
      </c>
      <c r="V512" s="103">
        <v>590.74</v>
      </c>
      <c r="W512" s="103">
        <v>0.17</v>
      </c>
      <c r="X512" s="103">
        <v>7603.6</v>
      </c>
      <c r="Y512" s="103">
        <v>0</v>
      </c>
      <c r="Z512" s="103">
        <v>54169</v>
      </c>
      <c r="AA512" s="116">
        <v>79</v>
      </c>
      <c r="AB512" s="103">
        <v>172.99</v>
      </c>
      <c r="AC512" s="112">
        <v>0.2</v>
      </c>
      <c r="AD512" s="103">
        <v>81.37</v>
      </c>
      <c r="AE512" s="116">
        <v>0.23</v>
      </c>
    </row>
    <row r="513" spans="1:33" ht="4.5" customHeight="1"/>
    <row r="514" spans="1:33">
      <c r="A514" s="102">
        <f>A511+1</f>
        <v>45735</v>
      </c>
      <c r="B514" s="102" t="s">
        <v>3503</v>
      </c>
      <c r="C514" s="110" t="str">
        <f>A514 &amp; " " &amp;B514</f>
        <v>45735 0000H</v>
      </c>
      <c r="D514" s="111">
        <v>1782.71</v>
      </c>
      <c r="E514" s="116">
        <v>49.69</v>
      </c>
      <c r="F514" s="111">
        <v>1108.67</v>
      </c>
      <c r="G514" s="116">
        <v>6.2</v>
      </c>
      <c r="H514" s="111">
        <v>75109.460000000006</v>
      </c>
      <c r="I514" s="103">
        <v>918.4</v>
      </c>
      <c r="J514" s="103">
        <v>33462.26</v>
      </c>
      <c r="K514" s="116">
        <v>107.85</v>
      </c>
      <c r="L514" s="111">
        <v>6376.31</v>
      </c>
      <c r="M514" s="103">
        <v>19.05</v>
      </c>
      <c r="N514" s="103">
        <v>33976.300000000003</v>
      </c>
      <c r="O514" s="103">
        <v>29.5</v>
      </c>
      <c r="P514" s="103">
        <v>722.49</v>
      </c>
      <c r="Q514" s="103">
        <v>823.75</v>
      </c>
      <c r="R514" s="103">
        <v>10673.93</v>
      </c>
      <c r="S514" s="103">
        <v>9.0399999999999991</v>
      </c>
      <c r="T514" s="103">
        <v>37045</v>
      </c>
      <c r="U514" s="103">
        <v>69</v>
      </c>
      <c r="V514" s="103">
        <v>590.74</v>
      </c>
      <c r="W514" s="103">
        <v>0.17</v>
      </c>
      <c r="X514" s="103">
        <v>7611.2</v>
      </c>
      <c r="Y514" s="103">
        <v>0</v>
      </c>
      <c r="Z514" s="103">
        <v>54169</v>
      </c>
      <c r="AA514" s="116">
        <v>79</v>
      </c>
      <c r="AB514" s="103">
        <v>172.99</v>
      </c>
      <c r="AC514" s="112">
        <v>0.2</v>
      </c>
      <c r="AD514" s="103">
        <v>81.37</v>
      </c>
      <c r="AE514" s="116">
        <v>0.23</v>
      </c>
    </row>
    <row r="515" spans="1:33">
      <c r="A515" s="102">
        <f>A512+1</f>
        <v>45735</v>
      </c>
      <c r="B515" s="102" t="s">
        <v>3504</v>
      </c>
      <c r="C515" s="110" t="str">
        <f>A515 &amp; " " &amp;B515</f>
        <v>45735 1200H</v>
      </c>
      <c r="D515" s="111">
        <v>1787.67</v>
      </c>
      <c r="E515" s="116">
        <v>49.69</v>
      </c>
      <c r="F515" s="111">
        <v>1108.67</v>
      </c>
      <c r="G515" s="116">
        <v>6.2</v>
      </c>
      <c r="H515" s="111">
        <v>75113.22</v>
      </c>
      <c r="I515" s="103">
        <v>918.75</v>
      </c>
      <c r="J515" s="103">
        <v>33462.26</v>
      </c>
      <c r="K515" s="116">
        <v>107.91</v>
      </c>
      <c r="L515" s="111">
        <v>6381.9</v>
      </c>
      <c r="M515" s="103">
        <v>19.05</v>
      </c>
      <c r="N515" s="103">
        <v>33981</v>
      </c>
      <c r="O515" s="103">
        <v>29.5</v>
      </c>
      <c r="P515" s="103">
        <v>722.49</v>
      </c>
      <c r="Q515" s="103">
        <v>825.26</v>
      </c>
      <c r="R515" s="103">
        <v>10678.41</v>
      </c>
      <c r="S515" s="103">
        <v>9.0399999999999991</v>
      </c>
      <c r="T515" s="103">
        <v>37052</v>
      </c>
      <c r="U515" s="103">
        <v>69</v>
      </c>
      <c r="V515" s="103">
        <v>590.74</v>
      </c>
      <c r="W515" s="103">
        <v>0.17</v>
      </c>
      <c r="X515" s="103">
        <v>7617.22</v>
      </c>
      <c r="Y515" s="103">
        <v>0</v>
      </c>
      <c r="Z515" s="103">
        <v>54169</v>
      </c>
      <c r="AA515" s="116">
        <v>79</v>
      </c>
      <c r="AB515" s="103">
        <v>172.99</v>
      </c>
      <c r="AC515" s="112">
        <v>0.2</v>
      </c>
      <c r="AD515" s="103">
        <v>81.37</v>
      </c>
      <c r="AE515" s="116">
        <v>0.23</v>
      </c>
    </row>
    <row r="516" spans="1:33" ht="4.5" customHeight="1"/>
    <row r="517" spans="1:33">
      <c r="A517" s="102">
        <f>A514+1</f>
        <v>45736</v>
      </c>
      <c r="B517" s="102" t="s">
        <v>3503</v>
      </c>
      <c r="C517" s="110" t="str">
        <f>A517 &amp; " " &amp;B517</f>
        <v>45736 0000H</v>
      </c>
      <c r="D517" s="111">
        <v>1793.58</v>
      </c>
      <c r="E517" s="116">
        <v>49.69</v>
      </c>
      <c r="F517" s="111">
        <v>1108.67</v>
      </c>
      <c r="G517" s="116">
        <v>6.2</v>
      </c>
      <c r="H517" s="111">
        <v>75124.03</v>
      </c>
      <c r="I517" s="103">
        <v>918.75</v>
      </c>
      <c r="J517" s="103">
        <v>33465.370000000003</v>
      </c>
      <c r="K517" s="116">
        <v>107.93</v>
      </c>
      <c r="L517" s="111">
        <v>6387.73</v>
      </c>
      <c r="M517" s="103">
        <v>19.05</v>
      </c>
      <c r="N517" s="103">
        <v>33987.1</v>
      </c>
      <c r="O517" s="103">
        <v>29.5</v>
      </c>
      <c r="P517" s="103">
        <v>722.49</v>
      </c>
      <c r="Q517" s="103">
        <v>826.77</v>
      </c>
      <c r="R517" s="103">
        <v>10683.53</v>
      </c>
      <c r="S517" s="103">
        <v>9.0399999999999991</v>
      </c>
      <c r="T517" s="103">
        <v>37060</v>
      </c>
      <c r="U517" s="103">
        <v>69</v>
      </c>
      <c r="V517" s="103">
        <v>590.74</v>
      </c>
      <c r="W517" s="103">
        <v>0.17</v>
      </c>
      <c r="X517" s="103">
        <v>7622.49</v>
      </c>
      <c r="Y517" s="103">
        <v>0</v>
      </c>
      <c r="Z517" s="103">
        <v>54169</v>
      </c>
      <c r="AA517" s="116">
        <v>79</v>
      </c>
      <c r="AB517" s="103">
        <v>172.99</v>
      </c>
      <c r="AC517" s="112">
        <v>0.2</v>
      </c>
      <c r="AD517" s="103">
        <v>81.37</v>
      </c>
      <c r="AE517" s="116">
        <v>0.23</v>
      </c>
    </row>
    <row r="518" spans="1:33">
      <c r="A518" s="102">
        <f>A515+1</f>
        <v>45736</v>
      </c>
      <c r="B518" s="102" t="s">
        <v>3504</v>
      </c>
      <c r="C518" s="110" t="str">
        <f>A518 &amp; " " &amp;B518</f>
        <v>45736 1200H</v>
      </c>
      <c r="D518" s="111">
        <v>1798.41</v>
      </c>
      <c r="E518" s="116">
        <v>49.69</v>
      </c>
      <c r="F518" s="111">
        <v>1108.67</v>
      </c>
      <c r="G518" s="116">
        <v>6.2</v>
      </c>
      <c r="H518" s="111">
        <v>75127.460000000006</v>
      </c>
      <c r="I518" s="103">
        <v>919.08</v>
      </c>
      <c r="J518" s="103">
        <v>33466.019999999997</v>
      </c>
      <c r="K518" s="116">
        <v>107.98</v>
      </c>
      <c r="L518" s="111">
        <v>6393.37</v>
      </c>
      <c r="M518" s="103">
        <v>19.05</v>
      </c>
      <c r="N518" s="103">
        <v>33994.1</v>
      </c>
      <c r="O518" s="103">
        <v>29.5</v>
      </c>
      <c r="P518" s="103">
        <v>722.49</v>
      </c>
      <c r="Q518" s="103">
        <v>828.08</v>
      </c>
      <c r="R518" s="103">
        <v>10687.84</v>
      </c>
      <c r="S518" s="103">
        <v>9.0399999999999991</v>
      </c>
      <c r="T518" s="103">
        <v>37066</v>
      </c>
      <c r="U518" s="103">
        <v>69</v>
      </c>
      <c r="V518" s="103">
        <v>590.74</v>
      </c>
      <c r="W518" s="103">
        <v>0.17</v>
      </c>
      <c r="X518" s="103">
        <v>7628.99</v>
      </c>
      <c r="Y518" s="103">
        <v>0</v>
      </c>
      <c r="Z518" s="103">
        <v>54169</v>
      </c>
      <c r="AA518" s="116">
        <v>79</v>
      </c>
      <c r="AB518" s="103">
        <v>172.99</v>
      </c>
      <c r="AC518" s="112">
        <v>0.2</v>
      </c>
      <c r="AD518" s="103">
        <v>81.37</v>
      </c>
      <c r="AE518" s="116">
        <v>0.23</v>
      </c>
    </row>
    <row r="519" spans="1:33" ht="4.5" customHeight="1"/>
    <row r="520" spans="1:33">
      <c r="A520" s="102">
        <f>A517+1</f>
        <v>45737</v>
      </c>
      <c r="B520" s="102" t="s">
        <v>3503</v>
      </c>
      <c r="C520" s="110" t="str">
        <f>A520 &amp; " " &amp;B520</f>
        <v>45737 0000H</v>
      </c>
      <c r="D520" s="111">
        <v>1804.65</v>
      </c>
      <c r="E520" s="116">
        <v>49.69</v>
      </c>
      <c r="F520" s="111">
        <v>1108.67</v>
      </c>
      <c r="G520" s="116">
        <v>6.2</v>
      </c>
      <c r="H520" s="111">
        <v>75137.7</v>
      </c>
      <c r="I520" s="103">
        <v>919.08</v>
      </c>
      <c r="J520" s="103">
        <v>33469.67</v>
      </c>
      <c r="K520" s="116">
        <v>107.99</v>
      </c>
      <c r="L520" s="111">
        <v>6399.04</v>
      </c>
      <c r="M520" s="103">
        <v>19.05</v>
      </c>
      <c r="N520" s="103">
        <v>34001.300000000003</v>
      </c>
      <c r="O520" s="103">
        <v>29.5</v>
      </c>
      <c r="P520" s="103">
        <v>722.6</v>
      </c>
      <c r="Q520" s="103">
        <v>829.22</v>
      </c>
      <c r="R520" s="103">
        <v>10692.73</v>
      </c>
      <c r="S520" s="103">
        <v>9.0399999999999991</v>
      </c>
      <c r="T520" s="103">
        <v>37074</v>
      </c>
      <c r="U520" s="103">
        <v>69</v>
      </c>
      <c r="V520" s="103">
        <v>590.74</v>
      </c>
      <c r="W520" s="103">
        <v>0.17</v>
      </c>
      <c r="X520" s="103">
        <v>7634.8</v>
      </c>
      <c r="Y520" s="103">
        <v>0</v>
      </c>
      <c r="Z520" s="103">
        <v>54169</v>
      </c>
      <c r="AA520" s="116">
        <v>79</v>
      </c>
      <c r="AB520" s="103">
        <v>172.99</v>
      </c>
      <c r="AC520" s="112">
        <v>0.2</v>
      </c>
      <c r="AD520" s="103">
        <v>81.37</v>
      </c>
      <c r="AE520" s="116">
        <v>0.23</v>
      </c>
    </row>
    <row r="521" spans="1:33">
      <c r="A521" s="102">
        <f>A518+1</f>
        <v>45737</v>
      </c>
      <c r="B521" s="102" t="s">
        <v>3504</v>
      </c>
      <c r="C521" s="110" t="str">
        <f>A521 &amp; " " &amp;B521</f>
        <v>45737 1200H</v>
      </c>
      <c r="D521" s="111">
        <v>1809.47</v>
      </c>
      <c r="E521" s="116">
        <v>49.69</v>
      </c>
      <c r="F521" s="111">
        <v>1108.67</v>
      </c>
      <c r="G521" s="116">
        <v>6.2</v>
      </c>
      <c r="H521" s="111">
        <v>75141.67</v>
      </c>
      <c r="I521" s="103">
        <v>919.36</v>
      </c>
      <c r="J521" s="103">
        <v>33470.61</v>
      </c>
      <c r="K521" s="116">
        <v>108.03</v>
      </c>
      <c r="L521" s="111">
        <v>6404.72</v>
      </c>
      <c r="M521" s="103">
        <v>19.05</v>
      </c>
      <c r="N521" s="103">
        <v>34008</v>
      </c>
      <c r="O521" s="103">
        <v>29.5</v>
      </c>
      <c r="P521" s="103">
        <v>722.61</v>
      </c>
      <c r="Q521" s="103">
        <v>830.37</v>
      </c>
      <c r="R521" s="103">
        <v>10696.95</v>
      </c>
      <c r="S521" s="103">
        <v>9.0399999999999991</v>
      </c>
      <c r="T521" s="103">
        <v>37080</v>
      </c>
      <c r="U521" s="103">
        <v>69</v>
      </c>
      <c r="V521" s="103">
        <v>590.74</v>
      </c>
      <c r="W521" s="103">
        <v>0.17</v>
      </c>
      <c r="X521" s="103">
        <v>7639.78</v>
      </c>
      <c r="Y521" s="103">
        <v>0</v>
      </c>
      <c r="Z521" s="103">
        <v>54169</v>
      </c>
      <c r="AA521" s="116">
        <v>79</v>
      </c>
      <c r="AB521" s="103">
        <v>172.99</v>
      </c>
      <c r="AC521" s="112">
        <v>0.2</v>
      </c>
      <c r="AD521" s="103">
        <v>81.37</v>
      </c>
      <c r="AE521" s="116">
        <v>0.23</v>
      </c>
    </row>
    <row r="522" spans="1:33" ht="4.5" customHeight="1"/>
    <row r="523" spans="1:33">
      <c r="A523" s="102">
        <f>A520+1</f>
        <v>45738</v>
      </c>
      <c r="B523" s="102" t="s">
        <v>3503</v>
      </c>
      <c r="C523" s="110" t="str">
        <f>A523 &amp; " " &amp;B523</f>
        <v>45738 0000H</v>
      </c>
      <c r="D523" s="111">
        <v>1814.7</v>
      </c>
      <c r="E523" s="116">
        <v>49.69</v>
      </c>
      <c r="F523" s="111">
        <v>1108.67</v>
      </c>
      <c r="G523" s="116">
        <v>6.2</v>
      </c>
      <c r="H523" s="111">
        <v>75151.05</v>
      </c>
      <c r="I523" s="103">
        <v>919.39</v>
      </c>
      <c r="J523" s="103">
        <v>33471.089999999997</v>
      </c>
      <c r="K523" s="116">
        <v>108.09</v>
      </c>
      <c r="L523" s="111">
        <v>6410.29</v>
      </c>
      <c r="M523" s="103">
        <v>19.05</v>
      </c>
      <c r="N523" s="103">
        <v>34013.800000000003</v>
      </c>
      <c r="O523" s="103">
        <v>29.5</v>
      </c>
      <c r="P523" s="103">
        <v>722.62</v>
      </c>
      <c r="Q523" s="103">
        <v>831.81</v>
      </c>
      <c r="R523" s="103">
        <v>10701.77</v>
      </c>
      <c r="S523" s="103">
        <v>9.0399999999999991</v>
      </c>
      <c r="T523" s="103">
        <v>37088</v>
      </c>
      <c r="U523" s="103">
        <v>69</v>
      </c>
      <c r="V523" s="103">
        <v>590.74</v>
      </c>
      <c r="W523" s="103">
        <v>0.17</v>
      </c>
      <c r="X523" s="103">
        <v>7645.58</v>
      </c>
      <c r="Y523" s="103">
        <v>0</v>
      </c>
      <c r="Z523" s="103">
        <v>54169</v>
      </c>
      <c r="AA523" s="116">
        <v>79</v>
      </c>
      <c r="AB523" s="103">
        <v>172.99</v>
      </c>
      <c r="AC523" s="112">
        <v>0.2</v>
      </c>
      <c r="AD523" s="103">
        <v>81.37</v>
      </c>
      <c r="AE523" s="116">
        <v>0.23</v>
      </c>
      <c r="AF523" s="111"/>
      <c r="AG523" s="112"/>
    </row>
    <row r="524" spans="1:33">
      <c r="A524" s="102">
        <f>A521+1</f>
        <v>45738</v>
      </c>
      <c r="B524" s="102" t="s">
        <v>3504</v>
      </c>
      <c r="C524" s="110" t="str">
        <f>A524 &amp; " " &amp;B524</f>
        <v>45738 1200H</v>
      </c>
      <c r="D524" s="111">
        <v>1818.23</v>
      </c>
      <c r="E524" s="116">
        <v>49.69</v>
      </c>
      <c r="F524" s="111">
        <v>1108.67</v>
      </c>
      <c r="G524" s="116">
        <v>6.2</v>
      </c>
      <c r="H524" s="111">
        <v>75154.39</v>
      </c>
      <c r="I524" s="103">
        <v>919.7</v>
      </c>
      <c r="J524" s="103">
        <v>33471.089999999997</v>
      </c>
      <c r="K524" s="116">
        <v>108.14</v>
      </c>
      <c r="L524" s="111">
        <v>6415.52</v>
      </c>
      <c r="M524" s="103">
        <v>19.05</v>
      </c>
      <c r="N524" s="103">
        <v>34016.9</v>
      </c>
      <c r="O524" s="103">
        <v>29.5</v>
      </c>
      <c r="P524" s="103">
        <v>722.72</v>
      </c>
      <c r="Q524" s="103">
        <v>833</v>
      </c>
      <c r="R524" s="103">
        <v>10705.75</v>
      </c>
      <c r="S524" s="103">
        <v>9.0399999999999991</v>
      </c>
      <c r="T524" s="103">
        <v>37094</v>
      </c>
      <c r="U524" s="103">
        <v>69</v>
      </c>
      <c r="V524" s="103">
        <v>590.74</v>
      </c>
      <c r="W524" s="103">
        <v>0.17</v>
      </c>
      <c r="X524" s="103">
        <v>7652.51</v>
      </c>
      <c r="Y524" s="103">
        <v>0</v>
      </c>
      <c r="Z524" s="103">
        <v>54169</v>
      </c>
      <c r="AA524" s="116">
        <v>79</v>
      </c>
      <c r="AB524" s="103">
        <v>172.99</v>
      </c>
      <c r="AC524" s="112">
        <v>0.2</v>
      </c>
      <c r="AD524" s="103">
        <v>81.37</v>
      </c>
      <c r="AE524" s="116">
        <v>0.23</v>
      </c>
      <c r="AF524" s="111">
        <v>22.25</v>
      </c>
      <c r="AG524" s="112">
        <v>4.62</v>
      </c>
    </row>
    <row r="525" spans="1:33" ht="4.5" customHeight="1">
      <c r="AF525" s="111"/>
      <c r="AG525" s="112"/>
    </row>
    <row r="526" spans="1:33">
      <c r="A526" s="102">
        <f>A523+1</f>
        <v>45739</v>
      </c>
      <c r="B526" s="102" t="s">
        <v>3503</v>
      </c>
      <c r="C526" s="110" t="str">
        <f>A526 &amp; " " &amp;B526</f>
        <v>45739 0000H</v>
      </c>
      <c r="D526" s="111">
        <v>1823.02</v>
      </c>
      <c r="E526" s="116">
        <v>49.69</v>
      </c>
      <c r="F526" s="111">
        <v>1108.67</v>
      </c>
      <c r="G526" s="116">
        <v>6.2</v>
      </c>
      <c r="H526" s="111">
        <v>75162.710000000006</v>
      </c>
      <c r="I526" s="103">
        <v>919.77</v>
      </c>
      <c r="J526" s="103">
        <v>33471.69</v>
      </c>
      <c r="K526" s="116">
        <v>108.19</v>
      </c>
      <c r="L526" s="111">
        <v>6421.32</v>
      </c>
      <c r="M526" s="103">
        <v>19.05</v>
      </c>
      <c r="N526" s="103">
        <v>34023.5</v>
      </c>
      <c r="O526" s="103">
        <v>29.6</v>
      </c>
      <c r="P526" s="103">
        <v>722.97</v>
      </c>
      <c r="Q526" s="103">
        <v>834.01</v>
      </c>
      <c r="R526" s="103">
        <v>10710.34</v>
      </c>
      <c r="S526" s="103">
        <v>9.0399999999999991</v>
      </c>
      <c r="T526" s="103">
        <v>37101</v>
      </c>
      <c r="U526" s="103">
        <v>69</v>
      </c>
      <c r="V526" s="103">
        <v>590.74</v>
      </c>
      <c r="W526" s="103">
        <v>0.17</v>
      </c>
      <c r="X526" s="103">
        <v>7658.82</v>
      </c>
      <c r="Y526" s="103">
        <v>0</v>
      </c>
      <c r="Z526" s="103">
        <v>54169</v>
      </c>
      <c r="AA526" s="116">
        <v>79</v>
      </c>
      <c r="AB526" s="103">
        <v>172.99</v>
      </c>
      <c r="AC526" s="112">
        <v>0.2</v>
      </c>
      <c r="AD526" s="103">
        <v>81.37</v>
      </c>
      <c r="AE526" s="116">
        <v>0.23</v>
      </c>
      <c r="AF526" s="111">
        <v>24.67</v>
      </c>
      <c r="AG526" s="112">
        <v>4.6399999999999997</v>
      </c>
    </row>
    <row r="527" spans="1:33">
      <c r="A527" s="102">
        <f>A524+1</f>
        <v>45739</v>
      </c>
      <c r="B527" s="102" t="s">
        <v>3504</v>
      </c>
      <c r="C527" s="110" t="str">
        <f>A527 &amp; " " &amp;B527</f>
        <v>45739 1200H</v>
      </c>
      <c r="D527" s="111">
        <v>1826.63</v>
      </c>
      <c r="E527" s="116">
        <v>49.69</v>
      </c>
      <c r="F527" s="111">
        <v>1108.67</v>
      </c>
      <c r="G527" s="116">
        <v>6.2</v>
      </c>
      <c r="H527" s="111">
        <v>75163.53</v>
      </c>
      <c r="I527" s="103">
        <v>920.16</v>
      </c>
      <c r="J527" s="103">
        <v>33472</v>
      </c>
      <c r="K527" s="116">
        <v>108.25</v>
      </c>
      <c r="L527" s="111">
        <v>6427.07</v>
      </c>
      <c r="M527" s="103">
        <v>19.05</v>
      </c>
      <c r="N527" s="103">
        <v>34030.1</v>
      </c>
      <c r="O527" s="103">
        <v>29.6</v>
      </c>
      <c r="P527" s="103">
        <v>723.03</v>
      </c>
      <c r="Q527" s="103">
        <v>835.29</v>
      </c>
      <c r="R527" s="103">
        <v>10714.03</v>
      </c>
      <c r="S527" s="103">
        <v>9.0399999999999991</v>
      </c>
      <c r="T527" s="103">
        <v>37106</v>
      </c>
      <c r="U527" s="103">
        <v>69</v>
      </c>
      <c r="V527" s="103">
        <v>590.74</v>
      </c>
      <c r="W527" s="103">
        <v>0.17</v>
      </c>
      <c r="X527" s="103">
        <v>7664.33</v>
      </c>
      <c r="Y527" s="103">
        <v>0</v>
      </c>
      <c r="Z527" s="103">
        <v>54169</v>
      </c>
      <c r="AA527" s="116">
        <v>79</v>
      </c>
      <c r="AB527" s="103">
        <v>172.99</v>
      </c>
      <c r="AC527" s="112">
        <v>0.2</v>
      </c>
      <c r="AD527" s="103">
        <v>81.37</v>
      </c>
      <c r="AE527" s="116">
        <v>0.23</v>
      </c>
      <c r="AF527" s="111">
        <v>24.67</v>
      </c>
      <c r="AG527" s="112">
        <v>4.6399999999999997</v>
      </c>
    </row>
    <row r="528" spans="1:33" ht="4.5" customHeight="1">
      <c r="AF528" s="111"/>
      <c r="AG528" s="112"/>
    </row>
    <row r="529" spans="1:33">
      <c r="A529" s="102">
        <f>A526+1</f>
        <v>45740</v>
      </c>
      <c r="B529" s="102" t="s">
        <v>3503</v>
      </c>
      <c r="C529" s="110" t="str">
        <f>A529 &amp; " " &amp;B529</f>
        <v>45740 0000H</v>
      </c>
      <c r="D529" s="111">
        <v>1831.69</v>
      </c>
      <c r="E529" s="116">
        <v>49.69</v>
      </c>
      <c r="F529" s="111">
        <v>1108.67</v>
      </c>
      <c r="G529" s="116">
        <v>6.2</v>
      </c>
      <c r="H529" s="111">
        <v>75170.789999999994</v>
      </c>
      <c r="I529" s="103">
        <v>920.24</v>
      </c>
      <c r="J529" s="103">
        <v>33472</v>
      </c>
      <c r="K529" s="116">
        <v>108.31</v>
      </c>
      <c r="L529" s="111">
        <v>6432.73</v>
      </c>
      <c r="M529" s="103">
        <v>19.05</v>
      </c>
      <c r="N529" s="103">
        <v>34036.9</v>
      </c>
      <c r="O529" s="103">
        <v>29.6</v>
      </c>
      <c r="P529" s="103">
        <v>723.08</v>
      </c>
      <c r="Q529" s="103">
        <v>836.74</v>
      </c>
      <c r="R529" s="103">
        <v>10718.55</v>
      </c>
      <c r="S529" s="103">
        <v>9.0399999999999991</v>
      </c>
      <c r="T529" s="103">
        <v>37113</v>
      </c>
      <c r="U529" s="103">
        <v>69</v>
      </c>
      <c r="V529" s="103">
        <v>590.74</v>
      </c>
      <c r="W529" s="103">
        <v>0.17</v>
      </c>
      <c r="X529" s="103">
        <v>7671.16</v>
      </c>
      <c r="Y529" s="103">
        <v>0</v>
      </c>
      <c r="Z529" s="103">
        <v>54169</v>
      </c>
      <c r="AA529" s="116">
        <v>79</v>
      </c>
      <c r="AB529" s="103">
        <v>172.99</v>
      </c>
      <c r="AC529" s="112">
        <v>0.2</v>
      </c>
      <c r="AD529" s="103">
        <v>81.37</v>
      </c>
      <c r="AE529" s="116">
        <v>0.23</v>
      </c>
      <c r="AF529" s="111">
        <v>81.37</v>
      </c>
      <c r="AG529" s="112">
        <v>4.6399999999999997</v>
      </c>
    </row>
    <row r="530" spans="1:33">
      <c r="A530" s="102">
        <f>A527+1</f>
        <v>45740</v>
      </c>
      <c r="B530" s="102" t="s">
        <v>3504</v>
      </c>
      <c r="C530" s="110" t="str">
        <f>A530 &amp; " " &amp;B530</f>
        <v>45740 1200H</v>
      </c>
      <c r="D530" s="111">
        <v>1835.56</v>
      </c>
      <c r="E530" s="116">
        <v>49.69</v>
      </c>
      <c r="F530" s="111">
        <v>1108.67</v>
      </c>
      <c r="G530" s="116">
        <v>6.2</v>
      </c>
      <c r="H530" s="111">
        <v>75173.64</v>
      </c>
      <c r="I530" s="103">
        <v>920.47</v>
      </c>
      <c r="J530" s="103">
        <v>33472</v>
      </c>
      <c r="K530" s="116">
        <v>108.36</v>
      </c>
      <c r="L530" s="111">
        <v>6438.58</v>
      </c>
      <c r="M530" s="103">
        <v>19.05</v>
      </c>
      <c r="N530" s="103">
        <v>34041.9</v>
      </c>
      <c r="O530" s="103">
        <v>29.6</v>
      </c>
      <c r="P530" s="103">
        <v>723.38</v>
      </c>
      <c r="Q530" s="103">
        <v>837.21</v>
      </c>
      <c r="R530" s="103">
        <v>10722.17</v>
      </c>
      <c r="S530" s="103">
        <v>9.0399999999999991</v>
      </c>
      <c r="T530" s="103">
        <v>37120</v>
      </c>
      <c r="U530" s="103">
        <v>69</v>
      </c>
      <c r="V530" s="103">
        <v>590.79</v>
      </c>
      <c r="W530" s="103">
        <v>0.17</v>
      </c>
      <c r="X530" s="103">
        <v>7677.19</v>
      </c>
      <c r="Y530" s="103">
        <v>0</v>
      </c>
      <c r="Z530" s="103">
        <v>54169</v>
      </c>
      <c r="AA530" s="116">
        <v>79</v>
      </c>
      <c r="AB530" s="103">
        <v>175.42</v>
      </c>
      <c r="AC530" s="112">
        <v>0.2</v>
      </c>
      <c r="AD530" s="103">
        <v>81.37</v>
      </c>
      <c r="AE530" s="116">
        <v>0.23</v>
      </c>
      <c r="AF530" s="111">
        <v>81.37</v>
      </c>
      <c r="AG530" s="112">
        <v>4.6399999999999997</v>
      </c>
    </row>
    <row r="531" spans="1:33" ht="4.5" customHeight="1">
      <c r="AF531" s="111"/>
      <c r="AG531" s="112"/>
    </row>
    <row r="532" spans="1:33">
      <c r="A532" s="102">
        <f>A529+1</f>
        <v>45741</v>
      </c>
      <c r="B532" s="102" t="s">
        <v>3503</v>
      </c>
      <c r="C532" s="110" t="str">
        <f>A532 &amp; " " &amp;B532</f>
        <v>45741 0000H</v>
      </c>
      <c r="D532" s="111">
        <v>1840.47</v>
      </c>
      <c r="E532" s="116">
        <v>49.69</v>
      </c>
      <c r="F532" s="111">
        <v>1108.67</v>
      </c>
      <c r="G532" s="116">
        <v>6.2</v>
      </c>
      <c r="H532" s="111">
        <v>75182.649999999994</v>
      </c>
      <c r="I532" s="103">
        <v>920.49</v>
      </c>
      <c r="J532" s="103">
        <v>33474.85</v>
      </c>
      <c r="K532" s="116">
        <v>108.38</v>
      </c>
      <c r="L532" s="111">
        <v>6444.33</v>
      </c>
      <c r="M532" s="103">
        <v>19.05</v>
      </c>
      <c r="N532" s="103">
        <v>34048.800000000003</v>
      </c>
      <c r="O532" s="103">
        <v>29.6</v>
      </c>
      <c r="P532" s="103">
        <v>723.38</v>
      </c>
      <c r="Q532" s="103">
        <v>838.7</v>
      </c>
      <c r="R532" s="103">
        <v>10726.49</v>
      </c>
      <c r="S532" s="103">
        <v>9.0399999999999991</v>
      </c>
      <c r="T532" s="103">
        <v>37127</v>
      </c>
      <c r="U532" s="103">
        <v>69</v>
      </c>
      <c r="V532" s="103">
        <v>590.79</v>
      </c>
      <c r="W532" s="103">
        <v>0.17</v>
      </c>
      <c r="X532" s="103">
        <v>7684.05</v>
      </c>
      <c r="Y532" s="103">
        <v>0</v>
      </c>
      <c r="Z532" s="103">
        <v>54169</v>
      </c>
      <c r="AA532" s="116">
        <v>79</v>
      </c>
      <c r="AB532" s="103">
        <v>175.42</v>
      </c>
      <c r="AC532" s="112">
        <v>0.2</v>
      </c>
      <c r="AD532" s="103">
        <v>81.37</v>
      </c>
      <c r="AE532" s="116">
        <v>0.23</v>
      </c>
      <c r="AF532" s="111">
        <v>29.92</v>
      </c>
      <c r="AG532" s="112">
        <v>4.8099999999999996</v>
      </c>
    </row>
    <row r="533" spans="1:33">
      <c r="A533" s="102">
        <f>A530+1</f>
        <v>45741</v>
      </c>
      <c r="B533" s="102" t="s">
        <v>3504</v>
      </c>
      <c r="C533" s="110" t="str">
        <f>A533 &amp; " " &amp;B533</f>
        <v>45741 1200H</v>
      </c>
      <c r="D533" s="345">
        <v>1844.58</v>
      </c>
      <c r="E533" s="346">
        <v>49.69</v>
      </c>
      <c r="F533" s="345">
        <v>1108.67</v>
      </c>
      <c r="G533" s="346">
        <v>6.2</v>
      </c>
      <c r="H533" s="345">
        <v>75185.66</v>
      </c>
      <c r="I533" s="347">
        <v>920.84</v>
      </c>
      <c r="J533" s="347">
        <v>33475.81</v>
      </c>
      <c r="K533" s="346">
        <v>108.42</v>
      </c>
      <c r="L533" s="345">
        <v>6450.11</v>
      </c>
      <c r="M533" s="347">
        <v>19.05</v>
      </c>
      <c r="N533" s="347">
        <v>34055.5</v>
      </c>
      <c r="O533" s="347">
        <v>29.6</v>
      </c>
      <c r="P533" s="347">
        <v>723.52</v>
      </c>
      <c r="Q533" s="347">
        <v>839.49</v>
      </c>
      <c r="R533" s="347">
        <v>10729.51</v>
      </c>
      <c r="S533" s="347">
        <v>9.0399999999999991</v>
      </c>
      <c r="T533" s="347">
        <v>37134</v>
      </c>
      <c r="U533" s="347">
        <v>69</v>
      </c>
      <c r="V533" s="347">
        <v>590.79</v>
      </c>
      <c r="W533" s="347">
        <v>0.17</v>
      </c>
      <c r="X533" s="347">
        <v>7690.15</v>
      </c>
      <c r="Y533" s="347">
        <v>0</v>
      </c>
      <c r="Z533" s="347">
        <v>54169</v>
      </c>
      <c r="AA533" s="346">
        <v>79</v>
      </c>
      <c r="AB533" s="347">
        <v>175.77</v>
      </c>
      <c r="AC533" s="348">
        <v>0.21</v>
      </c>
      <c r="AD533" s="347">
        <v>81.37</v>
      </c>
      <c r="AE533" s="346">
        <v>0.23</v>
      </c>
      <c r="AF533" s="345">
        <v>29.92</v>
      </c>
      <c r="AG533" s="348">
        <v>4.8899999999999997</v>
      </c>
    </row>
    <row r="534" spans="1:33" ht="4.5" customHeight="1">
      <c r="AF534" s="111"/>
      <c r="AG534" s="112"/>
    </row>
    <row r="535" spans="1:33">
      <c r="A535" s="102">
        <f>A532+1</f>
        <v>45742</v>
      </c>
      <c r="B535" s="102" t="s">
        <v>3503</v>
      </c>
      <c r="C535" s="110" t="str">
        <f>A535 &amp; " " &amp;B535</f>
        <v>45742 0000H</v>
      </c>
      <c r="D535" s="111">
        <v>1850.55</v>
      </c>
      <c r="E535" s="116">
        <v>49.69</v>
      </c>
      <c r="F535" s="111">
        <v>1108.67</v>
      </c>
      <c r="G535" s="116">
        <v>6.2</v>
      </c>
      <c r="H535" s="111">
        <v>75195.34</v>
      </c>
      <c r="I535" s="103">
        <v>920.84</v>
      </c>
      <c r="J535" s="103">
        <v>33479.4</v>
      </c>
      <c r="K535" s="116">
        <v>108.44</v>
      </c>
      <c r="L535" s="111">
        <v>6455.77</v>
      </c>
      <c r="M535" s="103">
        <v>19.05</v>
      </c>
      <c r="N535" s="103">
        <v>34062.1</v>
      </c>
      <c r="O535" s="103">
        <v>29.6</v>
      </c>
      <c r="P535" s="103">
        <v>723.6</v>
      </c>
      <c r="Q535" s="103">
        <v>840.77</v>
      </c>
      <c r="R535" s="103">
        <v>10733.04</v>
      </c>
      <c r="S535" s="103">
        <v>9.0399999999999991</v>
      </c>
      <c r="T535" s="103">
        <v>37142</v>
      </c>
      <c r="U535" s="103">
        <v>69</v>
      </c>
      <c r="V535" s="103"/>
      <c r="W535" s="103"/>
      <c r="X535" s="103">
        <v>7695.68</v>
      </c>
      <c r="Y535" s="103">
        <v>0</v>
      </c>
      <c r="Z535" s="103"/>
      <c r="AA535" s="116"/>
      <c r="AB535" s="103">
        <v>176.53</v>
      </c>
      <c r="AC535" s="112">
        <v>0.23</v>
      </c>
      <c r="AD535" s="103"/>
      <c r="AE535" s="116"/>
      <c r="AF535" s="111">
        <v>31.19</v>
      </c>
      <c r="AG535" s="112">
        <v>4.95</v>
      </c>
    </row>
    <row r="536" spans="1:33">
      <c r="A536" s="102">
        <f>A533+1</f>
        <v>45742</v>
      </c>
      <c r="B536" s="102" t="s">
        <v>3504</v>
      </c>
      <c r="C536" s="110" t="str">
        <f>A536 &amp; " " &amp;B536</f>
        <v>45742 1200H</v>
      </c>
      <c r="D536" s="111">
        <v>1854.49</v>
      </c>
      <c r="E536" s="116">
        <v>49.69</v>
      </c>
      <c r="F536" s="111">
        <v>1108.67</v>
      </c>
      <c r="G536" s="116">
        <v>6.2</v>
      </c>
      <c r="H536" s="111">
        <v>75200.479999999996</v>
      </c>
      <c r="I536" s="103">
        <v>921.06</v>
      </c>
      <c r="J536" s="103">
        <v>33480.300000000003</v>
      </c>
      <c r="K536" s="116">
        <v>108.47</v>
      </c>
      <c r="L536" s="111">
        <v>6461.56</v>
      </c>
      <c r="M536" s="103">
        <v>19.05</v>
      </c>
      <c r="N536" s="103">
        <v>34069</v>
      </c>
      <c r="O536" s="103">
        <v>29.6</v>
      </c>
      <c r="P536" s="103">
        <v>723.63</v>
      </c>
      <c r="Q536" s="103">
        <v>841.64</v>
      </c>
      <c r="R536" s="103">
        <v>10736.93</v>
      </c>
      <c r="S536" s="103">
        <v>9.0399999999999991</v>
      </c>
      <c r="T536" s="103">
        <v>37149</v>
      </c>
      <c r="U536" s="103">
        <v>69</v>
      </c>
      <c r="V536" s="103"/>
      <c r="W536" s="103"/>
      <c r="X536" s="103">
        <v>7704</v>
      </c>
      <c r="Y536" s="103">
        <v>0</v>
      </c>
      <c r="Z536" s="103"/>
      <c r="AA536" s="116"/>
      <c r="AB536" s="103">
        <v>177.68</v>
      </c>
      <c r="AC536" s="112">
        <v>0.23</v>
      </c>
      <c r="AD536" s="103"/>
      <c r="AE536" s="116"/>
      <c r="AF536" s="111">
        <v>31.19</v>
      </c>
      <c r="AG536" s="112">
        <v>4.95</v>
      </c>
    </row>
    <row r="537" spans="1:33" ht="4.5" customHeight="1">
      <c r="AF537" s="111"/>
      <c r="AG537" s="112"/>
    </row>
    <row r="538" spans="1:33">
      <c r="A538" s="102">
        <f>A535+1</f>
        <v>45743</v>
      </c>
      <c r="B538" s="102" t="s">
        <v>3503</v>
      </c>
      <c r="C538" s="110" t="str">
        <f>A538 &amp; " " &amp;B538</f>
        <v>45743 0000H</v>
      </c>
      <c r="D538" s="111">
        <v>1860.32</v>
      </c>
      <c r="E538" s="116">
        <v>49.69</v>
      </c>
      <c r="F538" s="111">
        <v>1108.67</v>
      </c>
      <c r="G538" s="116">
        <v>6.2</v>
      </c>
      <c r="H538" s="111">
        <v>75210.33</v>
      </c>
      <c r="I538" s="103">
        <v>921.07</v>
      </c>
      <c r="J538" s="103">
        <v>33483.94</v>
      </c>
      <c r="K538" s="116">
        <v>108.48</v>
      </c>
      <c r="L538" s="111">
        <v>6467.31</v>
      </c>
      <c r="M538" s="103">
        <v>19.05</v>
      </c>
      <c r="N538" s="103">
        <v>34075.599999999999</v>
      </c>
      <c r="O538" s="103">
        <v>29.6</v>
      </c>
      <c r="P538" s="103">
        <v>723.75</v>
      </c>
      <c r="Q538" s="103">
        <v>842.61</v>
      </c>
      <c r="R538" s="103">
        <v>10741.7</v>
      </c>
      <c r="S538" s="103">
        <v>9.0399999999999991</v>
      </c>
      <c r="T538" s="103">
        <v>37157</v>
      </c>
      <c r="U538" s="103">
        <v>69</v>
      </c>
      <c r="V538" s="103"/>
      <c r="W538" s="103"/>
      <c r="X538" s="103">
        <v>7711.63</v>
      </c>
      <c r="Y538" s="103">
        <v>0</v>
      </c>
      <c r="Z538" s="103"/>
      <c r="AA538" s="116"/>
      <c r="AB538" s="103">
        <v>181.1</v>
      </c>
      <c r="AC538" s="112">
        <v>0.23</v>
      </c>
      <c r="AD538" s="103"/>
      <c r="AE538" s="116"/>
      <c r="AF538" s="111">
        <v>32.26</v>
      </c>
      <c r="AG538" s="112">
        <v>5.1100000000000003</v>
      </c>
    </row>
    <row r="539" spans="1:33">
      <c r="A539" s="102">
        <f>A536+1</f>
        <v>45743</v>
      </c>
      <c r="B539" s="102" t="s">
        <v>3504</v>
      </c>
      <c r="C539" s="110" t="str">
        <f>A539 &amp; " " &amp;B539</f>
        <v>45743 1200H</v>
      </c>
      <c r="D539" s="111">
        <v>1864.4</v>
      </c>
      <c r="E539" s="116">
        <v>49.69</v>
      </c>
      <c r="F539" s="111">
        <v>1108.67</v>
      </c>
      <c r="G539" s="116">
        <v>6.2</v>
      </c>
      <c r="H539" s="111">
        <v>75215.8</v>
      </c>
      <c r="I539" s="103">
        <v>921.21</v>
      </c>
      <c r="J539" s="103">
        <v>33484.980000000003</v>
      </c>
      <c r="K539" s="116">
        <v>108.52</v>
      </c>
      <c r="L539" s="111">
        <v>6473.03</v>
      </c>
      <c r="M539" s="103">
        <v>19.05</v>
      </c>
      <c r="N539" s="103">
        <v>34082.300000000003</v>
      </c>
      <c r="O539" s="103">
        <v>29.6</v>
      </c>
      <c r="P539" s="103">
        <v>723.82</v>
      </c>
      <c r="Q539" s="103">
        <v>843.39</v>
      </c>
      <c r="R539" s="103">
        <v>10745.33</v>
      </c>
      <c r="S539" s="103">
        <v>9.0399999999999991</v>
      </c>
      <c r="T539" s="103">
        <v>37164</v>
      </c>
      <c r="U539" s="103">
        <v>69</v>
      </c>
      <c r="V539" s="103"/>
      <c r="W539" s="103"/>
      <c r="X539" s="103">
        <v>7718.47</v>
      </c>
      <c r="Y539" s="103">
        <v>0</v>
      </c>
      <c r="Z539" s="103"/>
      <c r="AA539" s="116"/>
      <c r="AB539" s="235">
        <v>181.67</v>
      </c>
      <c r="AC539" s="252">
        <v>0.26</v>
      </c>
      <c r="AD539" s="103"/>
      <c r="AE539" s="116"/>
      <c r="AF539" s="111">
        <v>32.26</v>
      </c>
      <c r="AG539" s="112">
        <v>5.1100000000000003</v>
      </c>
    </row>
    <row r="540" spans="1:33" ht="4.5" customHeight="1">
      <c r="AF540" s="111"/>
      <c r="AG540" s="112"/>
    </row>
    <row r="541" spans="1:33">
      <c r="A541" s="102">
        <f>A538+1</f>
        <v>45744</v>
      </c>
      <c r="B541" s="102" t="s">
        <v>3503</v>
      </c>
      <c r="C541" s="110" t="str">
        <f>A541 &amp; " " &amp;B541</f>
        <v>45744 0000H</v>
      </c>
      <c r="D541" s="111">
        <v>1870.55</v>
      </c>
      <c r="E541" s="116">
        <v>49.69</v>
      </c>
      <c r="F541" s="111">
        <v>1108.67</v>
      </c>
      <c r="G541" s="116">
        <v>6.2</v>
      </c>
      <c r="H541" s="111">
        <v>75225.789999999994</v>
      </c>
      <c r="I541" s="103">
        <v>921.21</v>
      </c>
      <c r="J541" s="103">
        <v>33488.83</v>
      </c>
      <c r="K541" s="116">
        <v>108.52</v>
      </c>
      <c r="L541" s="111">
        <v>6478.73</v>
      </c>
      <c r="M541" s="103">
        <v>19.05</v>
      </c>
      <c r="N541" s="103">
        <v>34088.9</v>
      </c>
      <c r="O541" s="103">
        <v>29.6</v>
      </c>
      <c r="P541" s="103">
        <v>723.87</v>
      </c>
      <c r="Q541" s="103">
        <v>844.78</v>
      </c>
      <c r="R541" s="103">
        <v>10750.15</v>
      </c>
      <c r="S541" s="103">
        <v>9.0399999999999991</v>
      </c>
      <c r="T541" s="103">
        <v>37173</v>
      </c>
      <c r="U541" s="103">
        <v>69</v>
      </c>
      <c r="V541" s="103"/>
      <c r="W541" s="103"/>
      <c r="X541" s="103">
        <v>7726.47</v>
      </c>
      <c r="Y541" s="103">
        <v>0</v>
      </c>
      <c r="Z541" s="103"/>
      <c r="AA541" s="116"/>
      <c r="AB541" s="103">
        <v>183.56</v>
      </c>
      <c r="AC541" s="112">
        <v>0.27</v>
      </c>
      <c r="AD541" s="103"/>
      <c r="AE541" s="116"/>
      <c r="AF541" s="111">
        <v>32.83</v>
      </c>
      <c r="AG541" s="112">
        <v>5.24</v>
      </c>
    </row>
    <row r="542" spans="1:33">
      <c r="A542" s="102">
        <f>A539+1</f>
        <v>45744</v>
      </c>
      <c r="B542" s="102" t="s">
        <v>3504</v>
      </c>
      <c r="C542" s="110" t="str">
        <f>A542 &amp; " " &amp;B542</f>
        <v>45744 1200H</v>
      </c>
      <c r="D542" s="111">
        <v>1875.79</v>
      </c>
      <c r="E542" s="116">
        <v>49.69</v>
      </c>
      <c r="F542" s="111">
        <v>1108.67</v>
      </c>
      <c r="G542" s="116">
        <v>6.2</v>
      </c>
      <c r="H542" s="111">
        <v>75229.22</v>
      </c>
      <c r="I542" s="103">
        <v>921.57</v>
      </c>
      <c r="J542" s="103">
        <v>33489.9</v>
      </c>
      <c r="K542" s="116">
        <v>108.55</v>
      </c>
      <c r="L542" s="111">
        <v>6484.43</v>
      </c>
      <c r="M542" s="103">
        <v>19.05</v>
      </c>
      <c r="N542" s="103">
        <v>34095.4</v>
      </c>
      <c r="O542" s="103">
        <v>29.6</v>
      </c>
      <c r="P542" s="103">
        <v>724.12</v>
      </c>
      <c r="Q542" s="103">
        <v>845.77</v>
      </c>
      <c r="R542" s="103">
        <v>10754.19</v>
      </c>
      <c r="S542" s="103">
        <v>9.0399999999999991</v>
      </c>
      <c r="T542" s="103">
        <v>37180</v>
      </c>
      <c r="U542" s="103">
        <v>69</v>
      </c>
      <c r="V542" s="103"/>
      <c r="W542" s="103"/>
      <c r="X542" s="103">
        <v>7733.22</v>
      </c>
      <c r="Y542" s="103">
        <v>0</v>
      </c>
      <c r="Z542" s="103"/>
      <c r="AA542" s="116"/>
      <c r="AB542" s="103">
        <v>186.01</v>
      </c>
      <c r="AC542" s="112">
        <v>0.28999999999999998</v>
      </c>
      <c r="AD542" s="103"/>
      <c r="AE542" s="116"/>
      <c r="AF542" s="111">
        <v>33.15</v>
      </c>
      <c r="AG542" s="112">
        <v>5.31</v>
      </c>
    </row>
    <row r="543" spans="1:33" ht="4.5" customHeight="1">
      <c r="AF543" s="111"/>
      <c r="AG543" s="112"/>
    </row>
    <row r="544" spans="1:33">
      <c r="A544" s="102">
        <f>A541+1</f>
        <v>45745</v>
      </c>
      <c r="B544" s="102" t="s">
        <v>3503</v>
      </c>
      <c r="C544" s="110" t="str">
        <f>A544 &amp; " " &amp;B544</f>
        <v>45745 0000H</v>
      </c>
      <c r="D544" s="111">
        <v>1881.97</v>
      </c>
      <c r="E544" s="116">
        <v>49.69</v>
      </c>
      <c r="F544" s="111">
        <v>1108.67</v>
      </c>
      <c r="G544" s="116">
        <v>6.2</v>
      </c>
      <c r="H544" s="111">
        <v>75237.72</v>
      </c>
      <c r="I544" s="103">
        <v>921.65</v>
      </c>
      <c r="J544" s="103">
        <v>33493.699999999997</v>
      </c>
      <c r="K544" s="116">
        <v>108.55</v>
      </c>
      <c r="L544" s="111">
        <v>6490.18</v>
      </c>
      <c r="M544" s="103">
        <v>19.05</v>
      </c>
      <c r="N544" s="103">
        <v>34101.699999999997</v>
      </c>
      <c r="O544" s="103">
        <v>29.6</v>
      </c>
      <c r="P544" s="103">
        <v>724.24</v>
      </c>
      <c r="Q544" s="103">
        <v>847</v>
      </c>
      <c r="R544" s="103">
        <v>10759.04</v>
      </c>
      <c r="S544" s="103">
        <v>9.0399999999999991</v>
      </c>
      <c r="T544" s="103">
        <v>37188</v>
      </c>
      <c r="U544" s="103">
        <v>69</v>
      </c>
      <c r="V544" s="103"/>
      <c r="W544" s="103"/>
      <c r="X544" s="103">
        <v>7741.25</v>
      </c>
      <c r="Y544" s="103">
        <v>0</v>
      </c>
      <c r="Z544" s="103"/>
      <c r="AA544" s="116"/>
      <c r="AB544" s="103">
        <v>189.1</v>
      </c>
      <c r="AC544" s="112">
        <v>0.3</v>
      </c>
      <c r="AD544" s="103"/>
      <c r="AE544" s="116"/>
      <c r="AF544" s="111">
        <v>36.590000000000003</v>
      </c>
      <c r="AG544" s="112">
        <v>5.32</v>
      </c>
    </row>
    <row r="545" spans="1:33">
      <c r="A545" s="102">
        <f>A542+1</f>
        <v>45745</v>
      </c>
      <c r="B545" s="102" t="s">
        <v>3504</v>
      </c>
      <c r="C545" s="110" t="str">
        <f>A545 &amp; " " &amp;B545</f>
        <v>45745 1200H</v>
      </c>
      <c r="D545" s="111">
        <v>1886.88</v>
      </c>
      <c r="E545" s="116">
        <v>49.69</v>
      </c>
      <c r="F545" s="111">
        <v>1108.67</v>
      </c>
      <c r="G545" s="116">
        <v>6.2</v>
      </c>
      <c r="H545" s="111">
        <v>75240.95</v>
      </c>
      <c r="I545" s="103">
        <v>921.94</v>
      </c>
      <c r="J545" s="103">
        <v>33494.620000000003</v>
      </c>
      <c r="K545" s="116">
        <v>108.59</v>
      </c>
      <c r="L545" s="111">
        <v>6495.88</v>
      </c>
      <c r="M545" s="103">
        <v>19.05</v>
      </c>
      <c r="N545" s="103">
        <v>34105.800000000003</v>
      </c>
      <c r="O545" s="103">
        <v>29.6</v>
      </c>
      <c r="P545" s="103">
        <v>724.6</v>
      </c>
      <c r="Q545" s="103">
        <v>847.88</v>
      </c>
      <c r="R545" s="103">
        <v>10763.07</v>
      </c>
      <c r="S545" s="103">
        <v>9.0399999999999991</v>
      </c>
      <c r="T545" s="103">
        <v>37195</v>
      </c>
      <c r="U545" s="103">
        <v>69</v>
      </c>
      <c r="V545" s="103"/>
      <c r="W545" s="103"/>
      <c r="X545" s="103">
        <v>7747.18</v>
      </c>
      <c r="Y545" s="103">
        <v>0</v>
      </c>
      <c r="Z545" s="103"/>
      <c r="AA545" s="116"/>
      <c r="AB545" s="103">
        <v>192.88</v>
      </c>
      <c r="AC545" s="112">
        <v>0.31</v>
      </c>
      <c r="AD545" s="103"/>
      <c r="AE545" s="116"/>
      <c r="AF545" s="111">
        <v>36.979999999999997</v>
      </c>
      <c r="AG545" s="112">
        <v>5.36</v>
      </c>
    </row>
    <row r="546" spans="1:33" ht="4.5" customHeight="1">
      <c r="AF546" s="111"/>
      <c r="AG546" s="112"/>
    </row>
    <row r="547" spans="1:33">
      <c r="A547" s="102">
        <f>A544+1</f>
        <v>45746</v>
      </c>
      <c r="B547" s="102" t="s">
        <v>3503</v>
      </c>
      <c r="C547" s="110" t="str">
        <f>A547 &amp; " " &amp;B547</f>
        <v>45746 0000H</v>
      </c>
      <c r="D547" s="111">
        <v>1892.72</v>
      </c>
      <c r="E547" s="116">
        <v>49.69</v>
      </c>
      <c r="F547" s="111">
        <v>1108.67</v>
      </c>
      <c r="G547" s="116">
        <v>6.2</v>
      </c>
      <c r="H547" s="111">
        <v>75250.25</v>
      </c>
      <c r="I547" s="103">
        <v>921.96</v>
      </c>
      <c r="J547" s="103">
        <v>33495.51</v>
      </c>
      <c r="K547" s="116">
        <v>109.63</v>
      </c>
      <c r="L547" s="111">
        <v>6501.69</v>
      </c>
      <c r="M547" s="103">
        <v>19.05</v>
      </c>
      <c r="N547" s="103">
        <v>34109.5</v>
      </c>
      <c r="O547" s="103">
        <v>29.6</v>
      </c>
      <c r="P547" s="103">
        <v>724.2</v>
      </c>
      <c r="Q547" s="103">
        <v>848.83</v>
      </c>
      <c r="R547" s="103">
        <v>10767.7</v>
      </c>
      <c r="S547" s="103">
        <v>9.0399999999999991</v>
      </c>
      <c r="T547" s="103">
        <v>37203</v>
      </c>
      <c r="U547" s="103">
        <v>69</v>
      </c>
      <c r="V547" s="103"/>
      <c r="W547" s="103"/>
      <c r="X547" s="103">
        <v>7754.16</v>
      </c>
      <c r="Y547" s="103">
        <v>0</v>
      </c>
      <c r="Z547" s="103"/>
      <c r="AA547" s="116"/>
      <c r="AB547" s="103">
        <v>197.44</v>
      </c>
      <c r="AC547" s="112">
        <v>0.32</v>
      </c>
      <c r="AD547" s="103"/>
      <c r="AE547" s="116"/>
      <c r="AF547" s="111">
        <v>37.29</v>
      </c>
      <c r="AG547" s="112">
        <v>5.42</v>
      </c>
    </row>
    <row r="548" spans="1:33">
      <c r="A548" s="102">
        <f>A545+1</f>
        <v>45746</v>
      </c>
      <c r="B548" s="102" t="s">
        <v>3504</v>
      </c>
      <c r="C548" s="110" t="str">
        <f>A548 &amp; " " &amp;B548</f>
        <v>45746 1200H</v>
      </c>
      <c r="D548" s="111">
        <v>1896.63</v>
      </c>
      <c r="E548" s="116">
        <v>49.69</v>
      </c>
      <c r="F548" s="111">
        <v>1108.67</v>
      </c>
      <c r="G548" s="116">
        <v>6.2</v>
      </c>
      <c r="H548" s="111">
        <v>75252.42</v>
      </c>
      <c r="I548" s="103">
        <v>922.3</v>
      </c>
      <c r="J548" s="103">
        <v>33495.64</v>
      </c>
      <c r="K548" s="116">
        <v>108.68</v>
      </c>
      <c r="L548" s="111">
        <v>6507.37</v>
      </c>
      <c r="M548" s="103">
        <v>19.05</v>
      </c>
      <c r="N548" s="103">
        <v>34113.300000000003</v>
      </c>
      <c r="O548" s="103">
        <v>29.6</v>
      </c>
      <c r="P548" s="103">
        <v>725.02</v>
      </c>
      <c r="Q548" s="103">
        <v>849.04</v>
      </c>
      <c r="R548" s="103">
        <v>10771.12</v>
      </c>
      <c r="S548" s="103">
        <v>9.0399999999999991</v>
      </c>
      <c r="T548" s="103">
        <v>37209</v>
      </c>
      <c r="U548" s="103">
        <v>69</v>
      </c>
      <c r="V548" s="103"/>
      <c r="W548" s="103"/>
      <c r="X548" s="103">
        <v>7760.96</v>
      </c>
      <c r="Y548" s="103">
        <v>0</v>
      </c>
      <c r="Z548" s="103"/>
      <c r="AA548" s="116"/>
      <c r="AB548" s="103">
        <v>205.71</v>
      </c>
      <c r="AC548" s="112">
        <v>0.32</v>
      </c>
      <c r="AD548" s="103"/>
      <c r="AE548" s="116"/>
      <c r="AF548" s="111">
        <v>37.29</v>
      </c>
      <c r="AG548" s="112">
        <v>5.42</v>
      </c>
    </row>
    <row r="549" spans="1:33" ht="4.5" customHeight="1">
      <c r="AF549" s="111"/>
      <c r="AG549" s="112"/>
    </row>
    <row r="550" spans="1:33">
      <c r="A550" s="102">
        <f>A547+1</f>
        <v>45747</v>
      </c>
      <c r="B550" s="102" t="s">
        <v>3503</v>
      </c>
      <c r="C550" s="110" t="str">
        <f>A550 &amp; " " &amp;B550</f>
        <v>45747 0000H</v>
      </c>
      <c r="D550" s="111">
        <v>1901.55</v>
      </c>
      <c r="E550" s="116">
        <v>49.69</v>
      </c>
      <c r="F550" s="111">
        <v>1108.67</v>
      </c>
      <c r="G550" s="116">
        <v>6.2</v>
      </c>
      <c r="H550" s="111">
        <v>75262.100000000006</v>
      </c>
      <c r="I550" s="103">
        <v>922.31</v>
      </c>
      <c r="J550" s="103">
        <v>33498.839999999997</v>
      </c>
      <c r="K550" s="116">
        <v>108.69</v>
      </c>
      <c r="L550" s="111">
        <v>6513.14</v>
      </c>
      <c r="M550" s="103">
        <v>19.05</v>
      </c>
      <c r="N550" s="103">
        <v>34116.9</v>
      </c>
      <c r="O550" s="103">
        <v>29.6</v>
      </c>
      <c r="P550" s="103">
        <v>725.28</v>
      </c>
      <c r="Q550" s="103">
        <v>849.94</v>
      </c>
      <c r="R550" s="103">
        <v>10776.1</v>
      </c>
      <c r="S550" s="103">
        <v>9.0399999999999991</v>
      </c>
      <c r="T550" s="103">
        <v>37217</v>
      </c>
      <c r="U550" s="103">
        <v>69</v>
      </c>
      <c r="V550" s="103"/>
      <c r="W550" s="103"/>
      <c r="X550" s="103">
        <v>7768.22</v>
      </c>
      <c r="Y550" s="103">
        <v>0</v>
      </c>
      <c r="Z550" s="103"/>
      <c r="AA550" s="116"/>
      <c r="AB550" s="103">
        <v>210.45</v>
      </c>
      <c r="AC550" s="112">
        <v>0.33</v>
      </c>
      <c r="AD550" s="103"/>
      <c r="AE550" s="116"/>
      <c r="AF550" s="111">
        <v>37.29</v>
      </c>
      <c r="AG550" s="112">
        <v>5.54</v>
      </c>
    </row>
    <row r="551" spans="1:33">
      <c r="A551" s="102">
        <f>A548+1</f>
        <v>45747</v>
      </c>
      <c r="B551" s="102" t="s">
        <v>3504</v>
      </c>
      <c r="C551" s="110" t="str">
        <f>A551 &amp; " " &amp;B551</f>
        <v>45747 1200H</v>
      </c>
      <c r="D551" s="111">
        <v>1905.45</v>
      </c>
      <c r="E551" s="116">
        <v>49.69</v>
      </c>
      <c r="F551" s="111">
        <v>1108.67</v>
      </c>
      <c r="G551" s="116">
        <v>6.2</v>
      </c>
      <c r="H551" s="111">
        <v>75265.23</v>
      </c>
      <c r="I551" s="103">
        <v>922.63</v>
      </c>
      <c r="J551" s="103">
        <v>33499.800000000003</v>
      </c>
      <c r="K551" s="116">
        <v>108.73</v>
      </c>
      <c r="L551" s="111">
        <v>6518.8</v>
      </c>
      <c r="M551" s="103">
        <v>19.05</v>
      </c>
      <c r="N551" s="103">
        <v>34120.6</v>
      </c>
      <c r="O551" s="103">
        <v>29.6</v>
      </c>
      <c r="P551" s="103">
        <v>726.16</v>
      </c>
      <c r="Q551" s="103">
        <v>850.14</v>
      </c>
      <c r="R551" s="103">
        <v>10779.93</v>
      </c>
      <c r="S551" s="103">
        <v>9.0399999999999991</v>
      </c>
      <c r="T551" s="103">
        <v>37223</v>
      </c>
      <c r="U551" s="103">
        <v>69</v>
      </c>
      <c r="V551" s="103"/>
      <c r="W551" s="103"/>
      <c r="X551" s="103">
        <v>7774.94</v>
      </c>
      <c r="Y551" s="103">
        <v>0</v>
      </c>
      <c r="Z551" s="103"/>
      <c r="AA551" s="116"/>
      <c r="AB551" s="103">
        <v>219.04</v>
      </c>
      <c r="AC551" s="112">
        <v>0.33</v>
      </c>
      <c r="AD551" s="103"/>
      <c r="AE551" s="116"/>
      <c r="AF551" s="111">
        <v>37.29</v>
      </c>
      <c r="AG551" s="112">
        <v>5.63</v>
      </c>
    </row>
    <row r="552" spans="1:33" ht="4.5" customHeight="1">
      <c r="AF552" s="111"/>
      <c r="AG552" s="112"/>
    </row>
    <row r="553" spans="1:33">
      <c r="A553" s="102">
        <f>A550+1</f>
        <v>45748</v>
      </c>
      <c r="B553" s="102" t="s">
        <v>3503</v>
      </c>
      <c r="C553" s="110" t="str">
        <f>A553 &amp; " " &amp;B553</f>
        <v>45748 0000H</v>
      </c>
      <c r="D553" s="111">
        <v>1911.58</v>
      </c>
      <c r="E553" s="116">
        <v>49.69</v>
      </c>
      <c r="F553" s="111">
        <v>1108.67</v>
      </c>
      <c r="G553" s="116">
        <v>6.2</v>
      </c>
      <c r="H553" s="111">
        <v>75274.13</v>
      </c>
      <c r="I553" s="103">
        <v>922.65</v>
      </c>
      <c r="J553" s="103">
        <v>33503.33</v>
      </c>
      <c r="K553" s="116">
        <v>108.73</v>
      </c>
      <c r="L553" s="111">
        <v>6524.57</v>
      </c>
      <c r="M553" s="103">
        <v>19.05</v>
      </c>
      <c r="N553" s="103">
        <v>34124</v>
      </c>
      <c r="O553" s="103">
        <v>29.6</v>
      </c>
      <c r="P553" s="103">
        <v>726.32</v>
      </c>
      <c r="Q553" s="103">
        <v>850.62</v>
      </c>
      <c r="R553" s="103">
        <v>10784.48</v>
      </c>
      <c r="S553" s="103">
        <v>9.0399999999999991</v>
      </c>
      <c r="T553" s="103">
        <v>37231</v>
      </c>
      <c r="U553" s="103">
        <v>69</v>
      </c>
      <c r="V553" s="103"/>
      <c r="W553" s="103"/>
      <c r="X553" s="103">
        <v>7782.34</v>
      </c>
      <c r="Y553" s="103">
        <v>0</v>
      </c>
      <c r="Z553" s="103"/>
      <c r="AA553" s="116"/>
      <c r="AB553" s="103">
        <v>225.71</v>
      </c>
      <c r="AC553" s="112">
        <v>0.33</v>
      </c>
      <c r="AD553" s="103"/>
      <c r="AE553" s="116"/>
      <c r="AF553" s="111">
        <v>37.909999999999997</v>
      </c>
      <c r="AG553" s="112">
        <v>5.68</v>
      </c>
    </row>
    <row r="554" spans="1:33">
      <c r="A554" s="102">
        <f>A551+1</f>
        <v>45748</v>
      </c>
      <c r="B554" s="102" t="s">
        <v>3504</v>
      </c>
      <c r="C554" s="110" t="str">
        <f>A554 &amp; " " &amp;B554</f>
        <v>45748 1200H</v>
      </c>
      <c r="D554" s="111">
        <v>1915.42</v>
      </c>
      <c r="E554" s="116">
        <v>49.69</v>
      </c>
      <c r="F554" s="111">
        <v>1108.67</v>
      </c>
      <c r="G554" s="116">
        <v>6.2</v>
      </c>
      <c r="H554" s="111">
        <v>75278.649999999994</v>
      </c>
      <c r="I554" s="103">
        <v>922.91</v>
      </c>
      <c r="J554" s="103">
        <v>33504.31</v>
      </c>
      <c r="K554" s="116">
        <v>108.77</v>
      </c>
      <c r="L554" s="111">
        <v>6530.31</v>
      </c>
      <c r="M554" s="103">
        <v>19.05</v>
      </c>
      <c r="N554" s="103">
        <v>34127.800000000003</v>
      </c>
      <c r="O554" s="103">
        <v>29.6</v>
      </c>
      <c r="P554" s="103">
        <v>726.41</v>
      </c>
      <c r="Q554" s="103">
        <v>851.27</v>
      </c>
      <c r="R554" s="103">
        <v>10788.21</v>
      </c>
      <c r="S554" s="103">
        <v>9.0399999999999991</v>
      </c>
      <c r="T554" s="103">
        <v>37237</v>
      </c>
      <c r="U554" s="103">
        <v>69</v>
      </c>
      <c r="V554" s="103"/>
      <c r="W554" s="103"/>
      <c r="X554" s="103">
        <v>7788.58</v>
      </c>
      <c r="Y554" s="103">
        <v>0</v>
      </c>
      <c r="Z554" s="103"/>
      <c r="AA554" s="116"/>
      <c r="AB554" s="103">
        <v>225.71</v>
      </c>
      <c r="AC554" s="112">
        <v>0.33</v>
      </c>
      <c r="AD554" s="103"/>
      <c r="AE554" s="116"/>
      <c r="AF554" s="111">
        <v>37.909999999999997</v>
      </c>
      <c r="AG554" s="112">
        <v>5.68</v>
      </c>
    </row>
    <row r="555" spans="1:33" ht="4.5" customHeight="1">
      <c r="AF555" s="111"/>
      <c r="AG555" s="112"/>
    </row>
    <row r="556" spans="1:33">
      <c r="A556" s="102">
        <f>A553+1</f>
        <v>45749</v>
      </c>
      <c r="B556" s="102" t="s">
        <v>3503</v>
      </c>
      <c r="C556" s="110" t="str">
        <f>A556 &amp; " " &amp;B556</f>
        <v>45749 0000H</v>
      </c>
      <c r="D556" s="111">
        <v>1921.4</v>
      </c>
      <c r="E556" s="116">
        <v>49.69</v>
      </c>
      <c r="F556" s="111">
        <v>1108.67</v>
      </c>
      <c r="G556" s="116">
        <v>6.2</v>
      </c>
      <c r="H556" s="111">
        <v>75291.38</v>
      </c>
      <c r="I556" s="103">
        <v>922.91</v>
      </c>
      <c r="J556" s="103">
        <v>33508.18</v>
      </c>
      <c r="K556" s="116">
        <v>108.77</v>
      </c>
      <c r="L556" s="111">
        <v>6535.95</v>
      </c>
      <c r="M556" s="103">
        <v>19.05</v>
      </c>
      <c r="N556" s="103">
        <v>34131.199999999997</v>
      </c>
      <c r="O556" s="103">
        <v>29.6</v>
      </c>
      <c r="P556" s="103">
        <v>726.41</v>
      </c>
      <c r="Q556" s="103">
        <v>853.05</v>
      </c>
      <c r="R556" s="103">
        <v>10793.02</v>
      </c>
      <c r="S556" s="103">
        <v>9.0399999999999991</v>
      </c>
      <c r="T556" s="103">
        <v>37245</v>
      </c>
      <c r="U556" s="103">
        <v>69</v>
      </c>
      <c r="V556" s="103"/>
      <c r="W556" s="103"/>
      <c r="X556" s="103">
        <v>7796.37</v>
      </c>
      <c r="Y556" s="103">
        <v>0</v>
      </c>
      <c r="Z556" s="103"/>
      <c r="AA556" s="116"/>
      <c r="AB556" s="103">
        <v>225.71</v>
      </c>
      <c r="AC556" s="112">
        <v>0.33</v>
      </c>
      <c r="AD556" s="103"/>
      <c r="AE556" s="116"/>
      <c r="AF556" s="111">
        <v>37.93</v>
      </c>
      <c r="AG556" s="112">
        <v>5.84</v>
      </c>
    </row>
    <row r="557" spans="1:33">
      <c r="A557" s="102">
        <f>A554+1</f>
        <v>45749</v>
      </c>
      <c r="B557" s="102" t="s">
        <v>3504</v>
      </c>
      <c r="C557" s="110" t="str">
        <f>A557 &amp; " " &amp;B557</f>
        <v>45749 1200H</v>
      </c>
      <c r="D557" s="111">
        <v>1926.06</v>
      </c>
      <c r="E557" s="116">
        <v>49.69</v>
      </c>
      <c r="F557" s="111">
        <v>1108.67</v>
      </c>
      <c r="G557" s="116">
        <v>6.2</v>
      </c>
      <c r="H557" s="111">
        <v>75296.72</v>
      </c>
      <c r="I557" s="103">
        <v>923.19</v>
      </c>
      <c r="J557" s="103">
        <v>33510.85</v>
      </c>
      <c r="K557" s="116">
        <v>108.79</v>
      </c>
      <c r="L557" s="111">
        <v>6541.57</v>
      </c>
      <c r="M557" s="103">
        <v>19.05</v>
      </c>
      <c r="N557" s="103">
        <v>34134.5</v>
      </c>
      <c r="O557" s="103">
        <v>29.6</v>
      </c>
      <c r="P557" s="103">
        <v>726.42</v>
      </c>
      <c r="Q557" s="103">
        <v>854.44</v>
      </c>
      <c r="R557" s="103">
        <v>10796.84</v>
      </c>
      <c r="S557" s="103">
        <v>9.0399999999999991</v>
      </c>
      <c r="T557" s="103">
        <v>37252</v>
      </c>
      <c r="U557" s="103">
        <v>69</v>
      </c>
      <c r="V557" s="103"/>
      <c r="W557" s="103"/>
      <c r="X557" s="103">
        <v>7802.94</v>
      </c>
      <c r="Y557" s="103">
        <v>0</v>
      </c>
      <c r="Z557" s="103"/>
      <c r="AA557" s="116"/>
      <c r="AB557" s="103">
        <v>225.71</v>
      </c>
      <c r="AC557" s="112">
        <v>0.33</v>
      </c>
      <c r="AD557" s="103"/>
      <c r="AE557" s="116"/>
      <c r="AF557" s="111">
        <v>37.93</v>
      </c>
      <c r="AG557" s="112">
        <v>5.9</v>
      </c>
    </row>
    <row r="558" spans="1:33" ht="4.5" customHeight="1">
      <c r="AF558" s="111"/>
      <c r="AG558" s="112"/>
    </row>
    <row r="559" spans="1:33">
      <c r="A559" s="102">
        <f>A556+1</f>
        <v>45750</v>
      </c>
      <c r="B559" s="102" t="s">
        <v>3503</v>
      </c>
      <c r="C559" s="110" t="str">
        <f>A559 &amp; " " &amp;B559</f>
        <v>45750 0000H</v>
      </c>
      <c r="D559" s="111">
        <v>1932.27</v>
      </c>
      <c r="E559" s="116">
        <v>49.69</v>
      </c>
      <c r="F559" s="111">
        <v>1108.67</v>
      </c>
      <c r="G559" s="116">
        <v>6.2</v>
      </c>
      <c r="H559" s="111">
        <v>75312.259999999995</v>
      </c>
      <c r="I559" s="103">
        <v>923.19</v>
      </c>
      <c r="J559" s="103">
        <v>33514.699999999997</v>
      </c>
      <c r="K559" s="116">
        <v>108.79</v>
      </c>
      <c r="L559" s="111">
        <v>6547.29</v>
      </c>
      <c r="M559" s="103">
        <v>19.05</v>
      </c>
      <c r="N559" s="103">
        <v>34138</v>
      </c>
      <c r="O559" s="103">
        <v>29.6</v>
      </c>
      <c r="P559" s="103">
        <v>726.42</v>
      </c>
      <c r="Q559" s="103">
        <v>856.18</v>
      </c>
      <c r="R559" s="103">
        <v>10801.69</v>
      </c>
      <c r="S559" s="103">
        <v>9.0399999999999991</v>
      </c>
      <c r="T559" s="103">
        <v>37260</v>
      </c>
      <c r="U559" s="103">
        <v>69</v>
      </c>
      <c r="V559" s="103"/>
      <c r="W559" s="103"/>
      <c r="X559" s="103">
        <v>7810.01</v>
      </c>
      <c r="Y559" s="103">
        <v>0</v>
      </c>
      <c r="Z559" s="103"/>
      <c r="AA559" s="116"/>
      <c r="AB559" s="103">
        <v>225.71</v>
      </c>
      <c r="AC559" s="112">
        <v>0.33</v>
      </c>
      <c r="AD559" s="103"/>
      <c r="AE559" s="116"/>
      <c r="AF559" s="111">
        <v>40.700000000000003</v>
      </c>
      <c r="AG559" s="112">
        <v>5.92</v>
      </c>
    </row>
    <row r="560" spans="1:33">
      <c r="A560" s="102">
        <f>A557+1</f>
        <v>45750</v>
      </c>
      <c r="B560" s="102" t="s">
        <v>3504</v>
      </c>
      <c r="C560" s="110" t="str">
        <f>A560 &amp; " " &amp;B560</f>
        <v>45750 1200H</v>
      </c>
      <c r="D560" s="111">
        <v>1937.48</v>
      </c>
      <c r="E560" s="116">
        <v>49.69</v>
      </c>
      <c r="F560" s="111">
        <v>1108.67</v>
      </c>
      <c r="G560" s="116">
        <v>6.2</v>
      </c>
      <c r="H560" s="111">
        <v>75318.41</v>
      </c>
      <c r="I560" s="103">
        <v>923.44</v>
      </c>
      <c r="J560" s="103">
        <v>33516.65</v>
      </c>
      <c r="K560" s="116">
        <v>108.82</v>
      </c>
      <c r="L560" s="111">
        <v>6552.9</v>
      </c>
      <c r="M560" s="103">
        <v>19.05</v>
      </c>
      <c r="N560" s="103">
        <v>34141.4</v>
      </c>
      <c r="O560" s="103">
        <v>29.6</v>
      </c>
      <c r="P560" s="103">
        <v>726.48</v>
      </c>
      <c r="Q560" s="103">
        <v>857.33</v>
      </c>
      <c r="R560" s="103">
        <v>10805.64</v>
      </c>
      <c r="S560" s="103">
        <v>9.0399999999999991</v>
      </c>
      <c r="T560" s="103">
        <v>37267</v>
      </c>
      <c r="U560" s="103">
        <v>69</v>
      </c>
      <c r="V560" s="103"/>
      <c r="W560" s="103"/>
      <c r="X560" s="103">
        <v>7816.18</v>
      </c>
      <c r="Y560" s="103">
        <v>0</v>
      </c>
      <c r="Z560" s="103"/>
      <c r="AA560" s="116"/>
      <c r="AB560" s="103">
        <v>225.71</v>
      </c>
      <c r="AC560" s="112">
        <v>0.33</v>
      </c>
      <c r="AD560" s="103"/>
      <c r="AE560" s="116"/>
      <c r="AF560" s="111">
        <v>40.700000000000003</v>
      </c>
      <c r="AG560" s="112">
        <v>5.92</v>
      </c>
    </row>
    <row r="561" spans="1:33" ht="4.5" customHeight="1">
      <c r="AF561" s="111"/>
      <c r="AG561" s="112"/>
    </row>
    <row r="562" spans="1:33">
      <c r="A562" s="102">
        <f>A559+1</f>
        <v>45751</v>
      </c>
      <c r="B562" s="102" t="s">
        <v>3503</v>
      </c>
      <c r="C562" s="110" t="str">
        <f>A562 &amp; " " &amp;B562</f>
        <v>45751 0000H</v>
      </c>
      <c r="D562" s="111">
        <v>1943.39</v>
      </c>
      <c r="E562" s="116">
        <v>49.69</v>
      </c>
      <c r="F562" s="111">
        <v>1108.67</v>
      </c>
      <c r="G562" s="116">
        <v>6.2</v>
      </c>
      <c r="H562" s="111">
        <v>75332.62</v>
      </c>
      <c r="I562" s="103">
        <v>923.44</v>
      </c>
      <c r="J562" s="103">
        <v>33520.32</v>
      </c>
      <c r="K562" s="116">
        <v>108.82</v>
      </c>
      <c r="L562" s="111">
        <v>6558.69</v>
      </c>
      <c r="M562" s="103">
        <v>19.05</v>
      </c>
      <c r="N562" s="103">
        <v>34145.4</v>
      </c>
      <c r="O562" s="103">
        <v>29.6</v>
      </c>
      <c r="P562" s="103">
        <v>728.08</v>
      </c>
      <c r="Q562" s="103">
        <v>857.6</v>
      </c>
      <c r="R562" s="103">
        <v>10810.57</v>
      </c>
      <c r="S562" s="103">
        <v>9.0399999999999991</v>
      </c>
      <c r="T562" s="103">
        <v>37276</v>
      </c>
      <c r="U562" s="103">
        <v>69</v>
      </c>
      <c r="V562" s="103"/>
      <c r="W562" s="103"/>
      <c r="X562" s="103">
        <v>7823.24</v>
      </c>
      <c r="Y562" s="103">
        <v>0</v>
      </c>
      <c r="Z562" s="103"/>
      <c r="AA562" s="116"/>
      <c r="AB562" s="103">
        <v>225.71</v>
      </c>
      <c r="AC562" s="112">
        <v>0.33</v>
      </c>
      <c r="AD562" s="103"/>
      <c r="AE562" s="116"/>
      <c r="AF562" s="111">
        <v>41.08</v>
      </c>
      <c r="AG562" s="112">
        <v>6.05</v>
      </c>
    </row>
    <row r="563" spans="1:33">
      <c r="A563" s="102">
        <f>A560+1</f>
        <v>45751</v>
      </c>
      <c r="B563" s="102" t="s">
        <v>3504</v>
      </c>
      <c r="C563" s="110" t="str">
        <f>A563 &amp; " " &amp;B563</f>
        <v>45751 1200H</v>
      </c>
      <c r="D563" s="111">
        <v>1948.36</v>
      </c>
      <c r="E563" s="116">
        <v>49.69</v>
      </c>
      <c r="F563" s="111">
        <v>1108.67</v>
      </c>
      <c r="G563" s="116">
        <v>6.2</v>
      </c>
      <c r="H563" s="111">
        <v>75338.509999999995</v>
      </c>
      <c r="I563" s="103">
        <v>923.7</v>
      </c>
      <c r="J563" s="103">
        <v>33522.19</v>
      </c>
      <c r="K563" s="116">
        <v>108.85</v>
      </c>
      <c r="L563" s="111">
        <v>6564.46</v>
      </c>
      <c r="M563" s="103">
        <v>19.05</v>
      </c>
      <c r="N563" s="103">
        <v>34150</v>
      </c>
      <c r="O563" s="103">
        <v>29.6</v>
      </c>
      <c r="P563" s="103">
        <v>729.06</v>
      </c>
      <c r="Q563" s="103">
        <v>858.32</v>
      </c>
      <c r="R563" s="103">
        <v>10814.81</v>
      </c>
      <c r="S563" s="103">
        <v>9.0399999999999991</v>
      </c>
      <c r="T563" s="103">
        <v>37283</v>
      </c>
      <c r="U563" s="103">
        <v>69</v>
      </c>
      <c r="V563" s="103"/>
      <c r="W563" s="103"/>
      <c r="X563" s="103">
        <v>7829.56</v>
      </c>
      <c r="Y563" s="103">
        <v>0</v>
      </c>
      <c r="Z563" s="103"/>
      <c r="AA563" s="116"/>
      <c r="AB563" s="103">
        <v>226.8</v>
      </c>
      <c r="AC563" s="112">
        <v>0.36</v>
      </c>
      <c r="AD563" s="103"/>
      <c r="AE563" s="116"/>
      <c r="AF563" s="111">
        <v>41.25</v>
      </c>
      <c r="AG563" s="112">
        <v>6.1</v>
      </c>
    </row>
    <row r="564" spans="1:33" ht="4.5" customHeight="1">
      <c r="AF564" s="111"/>
      <c r="AG564" s="112"/>
    </row>
    <row r="565" spans="1:33">
      <c r="A565" s="102">
        <f>A562+1</f>
        <v>45752</v>
      </c>
      <c r="B565" s="102" t="s">
        <v>3503</v>
      </c>
      <c r="C565" s="110" t="str">
        <f>A565 &amp; " " &amp;B565</f>
        <v>45752 0000H</v>
      </c>
      <c r="D565" s="111">
        <v>1953.45</v>
      </c>
      <c r="E565" s="116">
        <v>49.69</v>
      </c>
      <c r="F565" s="111">
        <v>1108.67</v>
      </c>
      <c r="G565" s="116">
        <v>6.2</v>
      </c>
      <c r="H565" s="111">
        <v>75354.86</v>
      </c>
      <c r="I565" s="103">
        <v>923.7</v>
      </c>
      <c r="J565" s="103">
        <v>33526.14</v>
      </c>
      <c r="K565" s="116">
        <v>108.85</v>
      </c>
      <c r="L565" s="111">
        <v>6570.19</v>
      </c>
      <c r="M565" s="103">
        <v>19.05</v>
      </c>
      <c r="N565" s="103">
        <v>34154.1</v>
      </c>
      <c r="O565" s="103">
        <v>29.6</v>
      </c>
      <c r="P565" s="103">
        <v>730.51</v>
      </c>
      <c r="Q565" s="103">
        <v>858.99</v>
      </c>
      <c r="R565" s="103">
        <v>10819.61</v>
      </c>
      <c r="S565" s="103">
        <v>9.0399999999999991</v>
      </c>
      <c r="T565" s="103">
        <v>37291</v>
      </c>
      <c r="U565" s="103">
        <v>69</v>
      </c>
      <c r="V565" s="103"/>
      <c r="W565" s="103"/>
      <c r="X565" s="103">
        <v>7836.93</v>
      </c>
      <c r="Y565" s="103">
        <v>0</v>
      </c>
      <c r="Z565" s="103"/>
      <c r="AA565" s="116"/>
      <c r="AB565" s="103">
        <v>227.63</v>
      </c>
      <c r="AC565" s="112">
        <v>0.36</v>
      </c>
      <c r="AD565" s="103"/>
      <c r="AE565" s="116"/>
      <c r="AF565" s="111">
        <v>42.52</v>
      </c>
      <c r="AG565" s="112">
        <v>6.18</v>
      </c>
    </row>
    <row r="566" spans="1:33">
      <c r="A566" s="102">
        <f>A563+1</f>
        <v>45752</v>
      </c>
      <c r="B566" s="102" t="s">
        <v>3504</v>
      </c>
      <c r="C566" s="110" t="str">
        <f>A566 &amp; " " &amp;B566</f>
        <v>45752 1200H</v>
      </c>
      <c r="D566" s="111">
        <v>1958.78</v>
      </c>
      <c r="E566" s="116">
        <v>49.69</v>
      </c>
      <c r="F566" s="111">
        <v>1108.67</v>
      </c>
      <c r="G566" s="116">
        <v>6.2</v>
      </c>
      <c r="H566" s="111">
        <v>75361.16</v>
      </c>
      <c r="I566" s="103">
        <v>923.95</v>
      </c>
      <c r="J566" s="103">
        <v>33527.26</v>
      </c>
      <c r="K566" s="116">
        <v>108.89</v>
      </c>
      <c r="L566" s="111">
        <v>6575.82</v>
      </c>
      <c r="M566" s="103">
        <v>19.05</v>
      </c>
      <c r="N566" s="103">
        <v>34157.599999999999</v>
      </c>
      <c r="O566" s="103">
        <v>29.6</v>
      </c>
      <c r="P566" s="103">
        <v>730.55</v>
      </c>
      <c r="Q566" s="103">
        <v>860.37</v>
      </c>
      <c r="R566" s="103">
        <v>10823.74</v>
      </c>
      <c r="S566" s="103">
        <v>9.0399999999999991</v>
      </c>
      <c r="T566" s="103">
        <v>37297</v>
      </c>
      <c r="U566" s="103">
        <v>69</v>
      </c>
      <c r="V566" s="103"/>
      <c r="W566" s="103"/>
      <c r="X566" s="103">
        <v>7843.04</v>
      </c>
      <c r="Y566" s="103">
        <v>0</v>
      </c>
      <c r="Z566" s="103"/>
      <c r="AA566" s="116"/>
      <c r="AB566" s="103">
        <v>227.63</v>
      </c>
      <c r="AC566" s="112">
        <v>0.36</v>
      </c>
      <c r="AD566" s="103"/>
      <c r="AE566" s="116"/>
      <c r="AF566" s="111">
        <v>42.52</v>
      </c>
      <c r="AG566" s="112">
        <v>6.18</v>
      </c>
    </row>
    <row r="567" spans="1:33" ht="4.5" customHeight="1">
      <c r="AF567" s="111"/>
      <c r="AG567" s="112"/>
    </row>
    <row r="568" spans="1:33">
      <c r="A568" s="102">
        <f>A565+1</f>
        <v>45753</v>
      </c>
      <c r="B568" s="102" t="s">
        <v>3503</v>
      </c>
      <c r="C568" s="110" t="str">
        <f>A568 &amp; " " &amp;B568</f>
        <v>45753 0000H</v>
      </c>
      <c r="D568" s="111">
        <v>1964.58</v>
      </c>
      <c r="E568" s="116">
        <v>49.69</v>
      </c>
      <c r="F568" s="111">
        <v>1108.67</v>
      </c>
      <c r="G568" s="116">
        <v>6.2</v>
      </c>
      <c r="H568" s="111">
        <v>75378.320000000007</v>
      </c>
      <c r="I568" s="103">
        <v>923.95</v>
      </c>
      <c r="J568" s="103">
        <v>33531.199999999997</v>
      </c>
      <c r="K568" s="116">
        <v>108.89</v>
      </c>
      <c r="L568" s="111">
        <v>6581.54</v>
      </c>
      <c r="M568" s="103">
        <v>19.05</v>
      </c>
      <c r="N568" s="103">
        <v>34161.300000000003</v>
      </c>
      <c r="O568" s="103">
        <v>29.6</v>
      </c>
      <c r="P568" s="103">
        <v>730.55</v>
      </c>
      <c r="Q568" s="103">
        <v>861.99</v>
      </c>
      <c r="R568" s="103">
        <v>10828.85</v>
      </c>
      <c r="S568" s="103">
        <v>9.0399999999999991</v>
      </c>
      <c r="T568" s="103">
        <v>37305</v>
      </c>
      <c r="U568" s="103">
        <v>69</v>
      </c>
      <c r="V568" s="103"/>
      <c r="W568" s="103"/>
      <c r="X568" s="103">
        <v>7850.23</v>
      </c>
      <c r="Y568" s="103">
        <v>0</v>
      </c>
      <c r="Z568" s="103"/>
      <c r="AA568" s="116"/>
      <c r="AB568" s="103">
        <v>227.63</v>
      </c>
      <c r="AC568" s="112">
        <v>0.36</v>
      </c>
      <c r="AD568" s="103"/>
      <c r="AE568" s="116"/>
      <c r="AF568" s="459">
        <v>42.52</v>
      </c>
      <c r="AG568" s="460">
        <v>6.18</v>
      </c>
    </row>
    <row r="569" spans="1:33">
      <c r="A569" s="102">
        <f>A566+1</f>
        <v>45753</v>
      </c>
      <c r="B569" s="102" t="s">
        <v>3504</v>
      </c>
      <c r="C569" s="110" t="str">
        <f>A569 &amp; " " &amp;B569</f>
        <v>45753 1200H</v>
      </c>
      <c r="D569" s="111">
        <v>1968.65</v>
      </c>
      <c r="E569" s="116">
        <v>49.69</v>
      </c>
      <c r="F569" s="111">
        <v>1108.67</v>
      </c>
      <c r="G569" s="116">
        <v>6.2</v>
      </c>
      <c r="H569" s="111">
        <v>75391.03</v>
      </c>
      <c r="I569" s="103">
        <v>924.05</v>
      </c>
      <c r="J569" s="103">
        <v>33532.26</v>
      </c>
      <c r="K569" s="116">
        <v>108.93</v>
      </c>
      <c r="L569" s="111">
        <v>6587.44</v>
      </c>
      <c r="M569" s="103">
        <v>19.05</v>
      </c>
      <c r="N569" s="103">
        <v>34164.9</v>
      </c>
      <c r="O569" s="103">
        <v>29.6</v>
      </c>
      <c r="P569" s="103">
        <v>730.55</v>
      </c>
      <c r="Q569" s="103">
        <v>863.37</v>
      </c>
      <c r="R569" s="103">
        <v>10833.16</v>
      </c>
      <c r="S569" s="103">
        <v>9.0399999999999991</v>
      </c>
      <c r="T569" s="103">
        <v>37312</v>
      </c>
      <c r="U569" s="103">
        <v>69</v>
      </c>
      <c r="V569" s="103"/>
      <c r="W569" s="103"/>
      <c r="X569" s="103">
        <v>7856.33</v>
      </c>
      <c r="Y569" s="103">
        <v>0</v>
      </c>
      <c r="Z569" s="103"/>
      <c r="AA569" s="116"/>
      <c r="AB569" s="103">
        <v>227.63</v>
      </c>
      <c r="AC569" s="112">
        <v>0.36</v>
      </c>
      <c r="AD569" s="103"/>
      <c r="AE569" s="116"/>
      <c r="AF569" s="111">
        <v>42.72</v>
      </c>
      <c r="AG569" s="112">
        <v>6.41</v>
      </c>
    </row>
    <row r="570" spans="1:33" ht="4.5" customHeight="1">
      <c r="AF570" s="111"/>
      <c r="AG570" s="112"/>
    </row>
    <row r="571" spans="1:33">
      <c r="A571" s="102">
        <f>A568+1</f>
        <v>45754</v>
      </c>
      <c r="B571" s="102" t="s">
        <v>3503</v>
      </c>
      <c r="C571" s="110" t="str">
        <f>A571 &amp; " " &amp;B571</f>
        <v>45754 0000H</v>
      </c>
      <c r="D571" s="111">
        <v>1973.57</v>
      </c>
      <c r="E571" s="116">
        <v>49.69</v>
      </c>
      <c r="F571" s="111">
        <v>1108.67</v>
      </c>
      <c r="G571" s="116">
        <v>6.2</v>
      </c>
      <c r="H571" s="111">
        <v>75408.23</v>
      </c>
      <c r="I571" s="103">
        <v>924.05</v>
      </c>
      <c r="J571" s="103">
        <v>33536.22</v>
      </c>
      <c r="K571" s="116">
        <v>108.93</v>
      </c>
      <c r="L571" s="111">
        <v>6593.23</v>
      </c>
      <c r="M571" s="103">
        <v>19.05</v>
      </c>
      <c r="N571" s="103">
        <v>34168.5</v>
      </c>
      <c r="O571" s="103">
        <v>29.6</v>
      </c>
      <c r="P571" s="103">
        <v>730.55</v>
      </c>
      <c r="Q571" s="103">
        <v>865.23</v>
      </c>
      <c r="R571" s="103">
        <v>10838.44</v>
      </c>
      <c r="S571" s="103">
        <v>9.0399999999999991</v>
      </c>
      <c r="T571" s="103">
        <v>37320</v>
      </c>
      <c r="U571" s="103">
        <v>69</v>
      </c>
      <c r="V571" s="103"/>
      <c r="W571" s="103"/>
      <c r="X571" s="103">
        <v>7863.13</v>
      </c>
      <c r="Y571" s="103">
        <v>0</v>
      </c>
      <c r="Z571" s="103"/>
      <c r="AA571" s="116"/>
      <c r="AB571" s="103">
        <v>227.63</v>
      </c>
      <c r="AC571" s="112">
        <v>0.36</v>
      </c>
      <c r="AD571" s="103"/>
      <c r="AE571" s="116"/>
      <c r="AF571" s="111">
        <v>46.75</v>
      </c>
      <c r="AG571" s="112">
        <v>6.43</v>
      </c>
    </row>
    <row r="572" spans="1:33">
      <c r="A572" s="102">
        <f>A569+1</f>
        <v>45754</v>
      </c>
      <c r="B572" s="102" t="s">
        <v>3504</v>
      </c>
      <c r="C572" s="110" t="str">
        <f>A572 &amp; " " &amp;B572</f>
        <v>45754 1200H</v>
      </c>
      <c r="D572" s="111">
        <v>1978.6</v>
      </c>
      <c r="E572" s="116">
        <v>49.69</v>
      </c>
      <c r="F572" s="111">
        <v>1108.67</v>
      </c>
      <c r="G572" s="116">
        <v>6.2</v>
      </c>
      <c r="H572" s="111">
        <v>75417.214000000007</v>
      </c>
      <c r="I572" s="103">
        <v>924.16</v>
      </c>
      <c r="J572" s="103">
        <v>33537.550000000003</v>
      </c>
      <c r="K572" s="116">
        <v>108.97</v>
      </c>
      <c r="L572" s="111">
        <v>6598.98</v>
      </c>
      <c r="M572" s="103">
        <v>19.05</v>
      </c>
      <c r="N572" s="103">
        <v>34172.1</v>
      </c>
      <c r="O572" s="103">
        <v>29.6</v>
      </c>
      <c r="P572" s="103">
        <v>730.55</v>
      </c>
      <c r="Q572" s="103">
        <v>866.81</v>
      </c>
      <c r="R572" s="103">
        <v>10842.95</v>
      </c>
      <c r="S572" s="103">
        <v>9.0399999999999991</v>
      </c>
      <c r="T572" s="103">
        <v>37326</v>
      </c>
      <c r="U572" s="103">
        <v>69</v>
      </c>
      <c r="V572" s="103"/>
      <c r="W572" s="103"/>
      <c r="X572" s="103">
        <v>7866.01</v>
      </c>
      <c r="Y572" s="103">
        <v>0</v>
      </c>
      <c r="Z572" s="103"/>
      <c r="AA572" s="116"/>
      <c r="AB572" s="103">
        <v>227.63</v>
      </c>
      <c r="AC572" s="112">
        <v>0.36</v>
      </c>
      <c r="AD572" s="103"/>
      <c r="AE572" s="116"/>
      <c r="AF572" s="111">
        <v>48.29</v>
      </c>
      <c r="AG572" s="112">
        <v>6.5</v>
      </c>
    </row>
    <row r="573" spans="1:33" ht="4.5" customHeight="1">
      <c r="AF573" s="111"/>
      <c r="AG573" s="112"/>
    </row>
    <row r="574" spans="1:33">
      <c r="A574" s="102">
        <f>A571+1</f>
        <v>45755</v>
      </c>
      <c r="B574" s="102" t="s">
        <v>3503</v>
      </c>
      <c r="C574" s="110" t="str">
        <f>A574 &amp; " " &amp;B574</f>
        <v>45755 0000H</v>
      </c>
      <c r="D574" s="111">
        <v>1985.02</v>
      </c>
      <c r="E574" s="116">
        <v>49.69</v>
      </c>
      <c r="F574" s="111">
        <v>1108.67</v>
      </c>
      <c r="G574" s="116">
        <v>6.2</v>
      </c>
      <c r="H574" s="111">
        <v>75431.94</v>
      </c>
      <c r="I574" s="103">
        <v>924.16</v>
      </c>
      <c r="J574" s="103">
        <v>33541.24</v>
      </c>
      <c r="K574" s="116">
        <v>108.97</v>
      </c>
      <c r="L574" s="111">
        <v>6604.72</v>
      </c>
      <c r="M574" s="103">
        <v>19.05</v>
      </c>
      <c r="N574" s="103">
        <v>34175.5</v>
      </c>
      <c r="O574" s="103">
        <v>29.6</v>
      </c>
      <c r="P574" s="103">
        <v>730.55</v>
      </c>
      <c r="Q574" s="103">
        <v>868.7</v>
      </c>
      <c r="R574" s="103">
        <v>10847.95</v>
      </c>
      <c r="S574" s="103">
        <v>9.0399999999999991</v>
      </c>
      <c r="T574" s="103">
        <v>37334</v>
      </c>
      <c r="U574" s="103">
        <v>69</v>
      </c>
      <c r="V574" s="103"/>
      <c r="W574" s="103"/>
      <c r="X574" s="103">
        <v>7875</v>
      </c>
      <c r="Y574" s="103">
        <v>0</v>
      </c>
      <c r="Z574" s="103"/>
      <c r="AA574" s="116"/>
      <c r="AB574" s="103">
        <v>227.63</v>
      </c>
      <c r="AC574" s="112">
        <v>0.36</v>
      </c>
      <c r="AD574" s="103"/>
      <c r="AE574" s="116"/>
      <c r="AF574" s="111">
        <v>50.43</v>
      </c>
      <c r="AG574" s="112">
        <v>6.53</v>
      </c>
    </row>
    <row r="575" spans="1:33">
      <c r="A575" s="102">
        <f>A572+1</f>
        <v>45755</v>
      </c>
      <c r="B575" s="102" t="s">
        <v>3504</v>
      </c>
      <c r="C575" s="110" t="str">
        <f>A575 &amp; " " &amp;B575</f>
        <v>45755 1200H</v>
      </c>
      <c r="D575" s="111">
        <v>1989.78</v>
      </c>
      <c r="E575" s="116">
        <v>49.69</v>
      </c>
      <c r="F575" s="111">
        <v>1108.67</v>
      </c>
      <c r="G575" s="116">
        <v>6.2</v>
      </c>
      <c r="H575" s="111">
        <v>75439.23</v>
      </c>
      <c r="I575" s="103">
        <v>924.4</v>
      </c>
      <c r="J575" s="103">
        <v>33542.49</v>
      </c>
      <c r="K575" s="116">
        <v>109.01</v>
      </c>
      <c r="L575" s="111">
        <v>6610.4</v>
      </c>
      <c r="M575" s="103">
        <v>19.05</v>
      </c>
      <c r="N575" s="103">
        <v>34178.9</v>
      </c>
      <c r="O575" s="103">
        <v>29.6</v>
      </c>
      <c r="P575" s="103">
        <v>730.56</v>
      </c>
      <c r="Q575" s="103">
        <v>870.18</v>
      </c>
      <c r="R575" s="103">
        <v>10852.15</v>
      </c>
      <c r="S575" s="103">
        <v>9.0399999999999991</v>
      </c>
      <c r="T575" s="103">
        <v>37341</v>
      </c>
      <c r="U575" s="103">
        <v>69</v>
      </c>
      <c r="V575" s="103"/>
      <c r="W575" s="103"/>
      <c r="X575" s="103">
        <v>7881.5</v>
      </c>
      <c r="Y575" s="103">
        <v>0</v>
      </c>
      <c r="Z575" s="103"/>
      <c r="AA575" s="116"/>
      <c r="AB575" s="103">
        <v>227.63</v>
      </c>
      <c r="AC575" s="112">
        <v>0.36</v>
      </c>
      <c r="AD575" s="103"/>
      <c r="AE575" s="116"/>
      <c r="AF575" s="111">
        <v>51.86</v>
      </c>
      <c r="AG575" s="112">
        <v>6.6</v>
      </c>
    </row>
    <row r="576" spans="1:33" ht="4.5" customHeight="1">
      <c r="AF576" s="111"/>
      <c r="AG576" s="112"/>
    </row>
    <row r="577" spans="1:33">
      <c r="A577" s="102">
        <f>A574+1</f>
        <v>45756</v>
      </c>
      <c r="B577" s="102" t="s">
        <v>3503</v>
      </c>
      <c r="C577" s="110" t="str">
        <f>A577 &amp; " " &amp;B577</f>
        <v>45756 0000H</v>
      </c>
      <c r="D577" s="111">
        <v>1995.74</v>
      </c>
      <c r="E577" s="116">
        <v>49.69</v>
      </c>
      <c r="F577" s="111">
        <v>1108.67</v>
      </c>
      <c r="G577" s="116">
        <v>6.2</v>
      </c>
      <c r="H577" s="111">
        <v>75450.28</v>
      </c>
      <c r="I577" s="103">
        <v>924.4</v>
      </c>
      <c r="J577" s="103">
        <v>33546.370000000003</v>
      </c>
      <c r="K577" s="116">
        <v>109.01</v>
      </c>
      <c r="L577" s="111">
        <v>6616.16</v>
      </c>
      <c r="M577" s="103">
        <v>19.05</v>
      </c>
      <c r="N577" s="103">
        <v>34182.9</v>
      </c>
      <c r="O577" s="103">
        <v>29.6</v>
      </c>
      <c r="P577" s="103">
        <v>730.66</v>
      </c>
      <c r="Q577" s="103">
        <v>871.6</v>
      </c>
      <c r="R577" s="103">
        <v>10857.38</v>
      </c>
      <c r="S577" s="103">
        <v>9.0399999999999991</v>
      </c>
      <c r="T577" s="103">
        <v>37348</v>
      </c>
      <c r="U577" s="103">
        <v>69</v>
      </c>
      <c r="V577" s="103"/>
      <c r="W577" s="103"/>
      <c r="X577" s="103">
        <v>7888.52</v>
      </c>
      <c r="Y577" s="103">
        <v>0</v>
      </c>
      <c r="Z577" s="103"/>
      <c r="AA577" s="116"/>
      <c r="AB577" s="103">
        <v>227.63</v>
      </c>
      <c r="AC577" s="112">
        <v>0.36</v>
      </c>
      <c r="AD577" s="103"/>
      <c r="AE577" s="116"/>
      <c r="AF577" s="111">
        <v>58.15</v>
      </c>
      <c r="AG577" s="112">
        <v>6.6</v>
      </c>
    </row>
    <row r="578" spans="1:33">
      <c r="A578" s="102">
        <f>A575+1</f>
        <v>45756</v>
      </c>
      <c r="B578" s="102" t="s">
        <v>3504</v>
      </c>
      <c r="C578" s="110" t="str">
        <f>A578 &amp; " " &amp;B578</f>
        <v>45756 1200H</v>
      </c>
      <c r="D578" s="111">
        <v>1999.8</v>
      </c>
      <c r="E578" s="116">
        <v>49.69</v>
      </c>
      <c r="F578" s="111">
        <v>1108.67</v>
      </c>
      <c r="G578" s="116">
        <v>6.2</v>
      </c>
      <c r="H578" s="111">
        <v>75459.92</v>
      </c>
      <c r="I578" s="103">
        <v>924.4</v>
      </c>
      <c r="J578" s="103">
        <v>33549.040000000001</v>
      </c>
      <c r="K578" s="116">
        <v>109.03</v>
      </c>
      <c r="L578" s="111">
        <v>6621.98</v>
      </c>
      <c r="M578" s="103">
        <v>19.05</v>
      </c>
      <c r="N578" s="103">
        <v>34185</v>
      </c>
      <c r="O578" s="103">
        <v>29.6</v>
      </c>
      <c r="P578" s="103">
        <v>730.79</v>
      </c>
      <c r="Q578" s="103">
        <v>872.71</v>
      </c>
      <c r="R578" s="103">
        <v>10861.74</v>
      </c>
      <c r="S578" s="103">
        <v>9.0399999999999991</v>
      </c>
      <c r="T578" s="103">
        <v>37355</v>
      </c>
      <c r="U578" s="103">
        <v>69</v>
      </c>
      <c r="V578" s="103"/>
      <c r="W578" s="103"/>
      <c r="X578" s="103">
        <v>7894.46</v>
      </c>
      <c r="Y578" s="103">
        <v>0</v>
      </c>
      <c r="Z578" s="103"/>
      <c r="AA578" s="116"/>
      <c r="AB578" s="103">
        <v>227.63</v>
      </c>
      <c r="AC578" s="112">
        <v>0.36</v>
      </c>
      <c r="AD578" s="103"/>
      <c r="AE578" s="116"/>
      <c r="AF578" s="111">
        <v>60.54</v>
      </c>
      <c r="AG578" s="112">
        <v>6.66</v>
      </c>
    </row>
    <row r="579" spans="1:33" ht="4.5" customHeight="1">
      <c r="AF579" s="111"/>
      <c r="AG579" s="112"/>
    </row>
    <row r="580" spans="1:33">
      <c r="A580" s="102">
        <f>A577+1</f>
        <v>45757</v>
      </c>
      <c r="B580" s="102" t="s">
        <v>3503</v>
      </c>
      <c r="C580" s="110" t="str">
        <f>A580 &amp; " " &amp;B580</f>
        <v>45757 0000H</v>
      </c>
      <c r="D580" s="111">
        <v>2004.98</v>
      </c>
      <c r="E580" s="116">
        <v>49.69</v>
      </c>
      <c r="F580" s="111">
        <v>1108.67</v>
      </c>
      <c r="G580" s="116">
        <v>6.2</v>
      </c>
      <c r="H580" s="111">
        <v>75474.09</v>
      </c>
      <c r="I580" s="103">
        <v>924.4</v>
      </c>
      <c r="J580" s="103">
        <v>33553.040000000001</v>
      </c>
      <c r="K580" s="116">
        <v>109.03</v>
      </c>
      <c r="L580" s="111">
        <v>6627.79</v>
      </c>
      <c r="M580" s="103">
        <v>19.05</v>
      </c>
      <c r="N580" s="103">
        <v>34188.699999999997</v>
      </c>
      <c r="O580" s="103">
        <v>29.6</v>
      </c>
      <c r="P580" s="103">
        <v>730.8</v>
      </c>
      <c r="Q580" s="103">
        <v>874.48</v>
      </c>
      <c r="R580" s="103">
        <v>10867.13</v>
      </c>
      <c r="S580" s="103">
        <v>9.0399999999999991</v>
      </c>
      <c r="T580" s="103">
        <v>37363</v>
      </c>
      <c r="U580" s="103">
        <v>69</v>
      </c>
      <c r="V580" s="103"/>
      <c r="W580" s="103"/>
      <c r="X580" s="103">
        <v>7901.4</v>
      </c>
      <c r="Y580" s="103">
        <v>0</v>
      </c>
      <c r="Z580" s="103"/>
      <c r="AA580" s="116"/>
      <c r="AB580" s="103">
        <v>227.63</v>
      </c>
      <c r="AC580" s="112">
        <v>0.36</v>
      </c>
      <c r="AD580" s="103"/>
      <c r="AE580" s="116"/>
      <c r="AF580" s="111">
        <v>65.36</v>
      </c>
      <c r="AG580" s="112">
        <v>6.66</v>
      </c>
    </row>
    <row r="581" spans="1:33">
      <c r="A581" s="102">
        <f>A578+1</f>
        <v>45757</v>
      </c>
      <c r="B581" s="102" t="s">
        <v>3504</v>
      </c>
      <c r="C581" s="110" t="str">
        <f>A581 &amp; " " &amp;B581</f>
        <v>45757 1200H</v>
      </c>
      <c r="D581" s="111">
        <v>2010.11</v>
      </c>
      <c r="E581" s="116">
        <v>49.69</v>
      </c>
      <c r="F581" s="111">
        <v>1108.67</v>
      </c>
      <c r="G581" s="116">
        <v>6.2</v>
      </c>
      <c r="H581" s="111">
        <v>75482.070000000007</v>
      </c>
      <c r="I581" s="103">
        <v>924.63</v>
      </c>
      <c r="J581" s="103">
        <v>33554.620000000003</v>
      </c>
      <c r="K581" s="116">
        <v>109.07</v>
      </c>
      <c r="L581" s="111">
        <v>6633.63</v>
      </c>
      <c r="M581" s="103">
        <v>19.05</v>
      </c>
      <c r="N581" s="103">
        <v>34192.699999999997</v>
      </c>
      <c r="O581" s="103">
        <v>29.6</v>
      </c>
      <c r="P581" s="103">
        <v>730.8</v>
      </c>
      <c r="Q581" s="103">
        <v>875.98</v>
      </c>
      <c r="R581" s="103">
        <v>10871.69</v>
      </c>
      <c r="S581" s="103">
        <v>9.0399999999999991</v>
      </c>
      <c r="T581" s="103">
        <v>37370</v>
      </c>
      <c r="U581" s="103">
        <v>69</v>
      </c>
      <c r="V581" s="103"/>
      <c r="W581" s="103"/>
      <c r="X581" s="103">
        <v>7907.42</v>
      </c>
      <c r="Y581" s="103">
        <v>0</v>
      </c>
      <c r="Z581" s="103"/>
      <c r="AA581" s="116"/>
      <c r="AB581" s="103">
        <v>227.63</v>
      </c>
      <c r="AC581" s="112">
        <v>0.36</v>
      </c>
      <c r="AD581" s="103"/>
      <c r="AE581" s="116"/>
      <c r="AF581" s="111">
        <v>67.010000000000005</v>
      </c>
      <c r="AG581" s="112">
        <v>6.72</v>
      </c>
    </row>
    <row r="582" spans="1:33" ht="4.5" customHeight="1">
      <c r="AF582" s="111"/>
      <c r="AG582" s="112"/>
    </row>
    <row r="583" spans="1:33">
      <c r="A583" s="102">
        <f>A580+1</f>
        <v>45758</v>
      </c>
      <c r="B583" s="102" t="s">
        <v>3503</v>
      </c>
      <c r="C583" s="110" t="str">
        <f>A583 &amp; " " &amp;B583</f>
        <v>45758 0000H</v>
      </c>
      <c r="D583" s="111">
        <v>2016.16</v>
      </c>
      <c r="E583" s="116">
        <v>49.69</v>
      </c>
      <c r="F583" s="111">
        <v>1108.67</v>
      </c>
      <c r="G583" s="116">
        <v>6.2</v>
      </c>
      <c r="H583" s="111">
        <v>75489.7</v>
      </c>
      <c r="I583" s="103">
        <v>924.65</v>
      </c>
      <c r="J583" s="103">
        <v>33558.51</v>
      </c>
      <c r="K583" s="116">
        <v>109.07</v>
      </c>
      <c r="L583" s="111">
        <v>6639.47</v>
      </c>
      <c r="M583" s="103">
        <v>19.05</v>
      </c>
      <c r="N583" s="103">
        <v>34196.6</v>
      </c>
      <c r="O583" s="103">
        <v>29.6</v>
      </c>
      <c r="P583" s="103">
        <v>731.29</v>
      </c>
      <c r="Q583" s="103">
        <v>876.46</v>
      </c>
      <c r="R583" s="103">
        <v>10877.18</v>
      </c>
      <c r="S583" s="103">
        <v>9.0399999999999991</v>
      </c>
      <c r="T583" s="103">
        <v>37377</v>
      </c>
      <c r="U583" s="103">
        <v>69</v>
      </c>
      <c r="V583" s="103"/>
      <c r="W583" s="103"/>
      <c r="X583" s="103">
        <v>7914.53</v>
      </c>
      <c r="Y583" s="103">
        <v>0</v>
      </c>
      <c r="Z583" s="103"/>
      <c r="AA583" s="116"/>
      <c r="AB583" s="103">
        <v>234.53</v>
      </c>
      <c r="AC583" s="112">
        <v>0.37</v>
      </c>
      <c r="AD583" s="103"/>
      <c r="AE583" s="116"/>
      <c r="AF583" s="111">
        <v>72.44</v>
      </c>
      <c r="AG583" s="112">
        <v>6.73</v>
      </c>
    </row>
    <row r="584" spans="1:33">
      <c r="A584" s="102">
        <f>A581+1</f>
        <v>45758</v>
      </c>
      <c r="B584" s="102" t="s">
        <v>3504</v>
      </c>
      <c r="C584" s="110" t="str">
        <f>A584 &amp; " " &amp;B584</f>
        <v>45758 1200H</v>
      </c>
      <c r="D584" s="111">
        <v>2021.26</v>
      </c>
      <c r="E584" s="116">
        <v>49.69</v>
      </c>
      <c r="F584" s="111">
        <v>1108.67</v>
      </c>
      <c r="G584" s="116">
        <v>6.2</v>
      </c>
      <c r="H584" s="111">
        <v>75495.710000000006</v>
      </c>
      <c r="I584" s="103">
        <v>924.93</v>
      </c>
      <c r="J584" s="103">
        <v>33560</v>
      </c>
      <c r="K584" s="116">
        <v>109.1</v>
      </c>
      <c r="L584" s="111">
        <v>6645.16</v>
      </c>
      <c r="M584" s="103">
        <v>19.05</v>
      </c>
      <c r="N584" s="103">
        <v>34200.6</v>
      </c>
      <c r="O584" s="103">
        <v>29.6</v>
      </c>
      <c r="P584" s="103">
        <v>731.35</v>
      </c>
      <c r="Q584" s="103">
        <v>877.16</v>
      </c>
      <c r="R584" s="103">
        <v>10881.8</v>
      </c>
      <c r="S584" s="103">
        <v>9.0399999999999991</v>
      </c>
      <c r="T584" s="103">
        <v>37384</v>
      </c>
      <c r="U584" s="103">
        <v>69</v>
      </c>
      <c r="V584" s="103"/>
      <c r="W584" s="103"/>
      <c r="X584" s="103">
        <v>7920.43</v>
      </c>
      <c r="Y584" s="103">
        <v>0</v>
      </c>
      <c r="Z584" s="103"/>
      <c r="AA584" s="116"/>
      <c r="AB584" s="103">
        <v>239.07</v>
      </c>
      <c r="AC584" s="112">
        <v>0.37</v>
      </c>
      <c r="AD584" s="103"/>
      <c r="AE584" s="116"/>
      <c r="AF584" s="111">
        <v>73.78</v>
      </c>
      <c r="AG584" s="112">
        <v>6.78</v>
      </c>
    </row>
    <row r="585" spans="1:33" ht="4.5" customHeight="1">
      <c r="AF585" s="111"/>
      <c r="AG585" s="112"/>
    </row>
    <row r="586" spans="1:33">
      <c r="A586" s="102">
        <f>A583+1</f>
        <v>45759</v>
      </c>
      <c r="B586" s="102" t="s">
        <v>3503</v>
      </c>
      <c r="C586" s="110" t="str">
        <f>A586 &amp; " " &amp;B586</f>
        <v>45759 0000H</v>
      </c>
      <c r="D586" s="111">
        <v>2026.84</v>
      </c>
      <c r="E586" s="116">
        <v>49.69</v>
      </c>
      <c r="F586" s="111">
        <v>1108.67</v>
      </c>
      <c r="G586" s="116">
        <v>6.2</v>
      </c>
      <c r="H586" s="111">
        <v>75511.990000000005</v>
      </c>
      <c r="I586" s="103">
        <v>924.93</v>
      </c>
      <c r="J586" s="103">
        <v>33563.870000000003</v>
      </c>
      <c r="K586" s="116">
        <v>109.11</v>
      </c>
      <c r="L586" s="111">
        <v>6650.96</v>
      </c>
      <c r="M586" s="103">
        <v>19.05</v>
      </c>
      <c r="N586" s="103">
        <v>34205.800000000003</v>
      </c>
      <c r="O586" s="103">
        <v>29.6</v>
      </c>
      <c r="P586" s="103">
        <v>731.49</v>
      </c>
      <c r="Q586" s="103">
        <v>878.19</v>
      </c>
      <c r="R586" s="103">
        <v>10887.39</v>
      </c>
      <c r="S586" s="103">
        <v>9.0399999999999991</v>
      </c>
      <c r="T586" s="103">
        <v>37388</v>
      </c>
      <c r="U586" s="103">
        <v>69</v>
      </c>
      <c r="V586" s="103"/>
      <c r="W586" s="103"/>
      <c r="X586" s="103">
        <v>7928.16</v>
      </c>
      <c r="Y586" s="103">
        <v>0</v>
      </c>
      <c r="Z586" s="103"/>
      <c r="AA586" s="116"/>
      <c r="AB586" s="103">
        <v>242.71</v>
      </c>
      <c r="AC586" s="112">
        <v>0.38</v>
      </c>
      <c r="AD586" s="103"/>
      <c r="AE586" s="116"/>
      <c r="AF586" s="111">
        <v>77.22</v>
      </c>
      <c r="AG586" s="112">
        <v>6.84</v>
      </c>
    </row>
    <row r="587" spans="1:33">
      <c r="A587" s="102">
        <f>A584+1</f>
        <v>45759</v>
      </c>
      <c r="B587" s="102" t="s">
        <v>3504</v>
      </c>
      <c r="C587" s="110" t="str">
        <f>A587 &amp; " " &amp;B587</f>
        <v>45759 1200H</v>
      </c>
      <c r="D587" s="111">
        <v>2031.33</v>
      </c>
      <c r="E587" s="116">
        <v>49.69</v>
      </c>
      <c r="F587" s="111">
        <v>1108.67</v>
      </c>
      <c r="G587" s="116">
        <v>6.2</v>
      </c>
      <c r="H587" s="111">
        <v>75519.12</v>
      </c>
      <c r="I587" s="103">
        <v>925.15</v>
      </c>
      <c r="J587" s="103">
        <v>33565.269999999997</v>
      </c>
      <c r="K587" s="116">
        <v>109.14</v>
      </c>
      <c r="L587" s="111">
        <v>6656.7</v>
      </c>
      <c r="M587" s="103">
        <v>19.05</v>
      </c>
      <c r="N587" s="103">
        <v>34212.699999999997</v>
      </c>
      <c r="O587" s="103">
        <v>29.6</v>
      </c>
      <c r="P587" s="103">
        <v>731.49</v>
      </c>
      <c r="Q587" s="103">
        <v>879.42</v>
      </c>
      <c r="R587" s="103">
        <v>10892.2</v>
      </c>
      <c r="S587" s="103">
        <v>9.0399999999999991</v>
      </c>
      <c r="T587" s="103">
        <v>37395</v>
      </c>
      <c r="U587" s="103">
        <v>69</v>
      </c>
      <c r="V587" s="103"/>
      <c r="W587" s="103"/>
      <c r="X587" s="103">
        <v>7934.73</v>
      </c>
      <c r="Y587" s="103">
        <v>0</v>
      </c>
      <c r="Z587" s="103"/>
      <c r="AA587" s="116"/>
      <c r="AB587" s="103">
        <v>243.21</v>
      </c>
      <c r="AC587" s="112">
        <v>0.38</v>
      </c>
      <c r="AD587" s="103"/>
      <c r="AE587" s="116"/>
      <c r="AF587" s="111">
        <v>78.459999999999994</v>
      </c>
      <c r="AG587" s="112">
        <v>6.86</v>
      </c>
    </row>
    <row r="588" spans="1:33" ht="4.5" customHeight="1">
      <c r="AF588" s="111"/>
      <c r="AG588" s="112"/>
    </row>
    <row r="589" spans="1:33">
      <c r="A589" s="102">
        <f>A586+1</f>
        <v>45760</v>
      </c>
      <c r="B589" s="102" t="s">
        <v>3503</v>
      </c>
      <c r="C589" s="110" t="str">
        <f>A589 &amp; " " &amp;B589</f>
        <v>45760 0000H</v>
      </c>
      <c r="D589" s="111">
        <v>2035.87</v>
      </c>
      <c r="E589" s="116">
        <v>49.69</v>
      </c>
      <c r="F589" s="111">
        <v>1108.67</v>
      </c>
      <c r="G589" s="116">
        <v>6.2</v>
      </c>
      <c r="H589" s="111">
        <v>75536.11</v>
      </c>
      <c r="I589" s="103">
        <v>925.15</v>
      </c>
      <c r="J589" s="103">
        <v>33569.29</v>
      </c>
      <c r="K589" s="116">
        <v>109.14</v>
      </c>
      <c r="L589" s="111">
        <v>6662.55</v>
      </c>
      <c r="M589" s="103">
        <v>19.05</v>
      </c>
      <c r="N589" s="103">
        <v>34216.6</v>
      </c>
      <c r="O589" s="103">
        <v>29.6</v>
      </c>
      <c r="P589" s="103">
        <v>731.55</v>
      </c>
      <c r="Q589" s="103">
        <v>880.28</v>
      </c>
      <c r="R589" s="103">
        <v>10898.05</v>
      </c>
      <c r="S589" s="103">
        <v>9.0399999999999991</v>
      </c>
      <c r="T589" s="103">
        <v>37402</v>
      </c>
      <c r="U589" s="103">
        <v>69</v>
      </c>
      <c r="V589" s="103"/>
      <c r="W589" s="103"/>
      <c r="X589" s="103">
        <v>7942.07</v>
      </c>
      <c r="Y589" s="103">
        <v>0</v>
      </c>
      <c r="Z589" s="103"/>
      <c r="AA589" s="116"/>
      <c r="AB589" s="103">
        <v>247.17</v>
      </c>
      <c r="AC589" s="112">
        <v>0.38</v>
      </c>
      <c r="AD589" s="103"/>
      <c r="AE589" s="116"/>
      <c r="AF589" s="111">
        <v>83.91</v>
      </c>
      <c r="AG589" s="112">
        <v>6.89</v>
      </c>
    </row>
    <row r="590" spans="1:33">
      <c r="A590" s="102">
        <f>A587+1</f>
        <v>45760</v>
      </c>
      <c r="B590" s="102" t="s">
        <v>3504</v>
      </c>
      <c r="C590" s="110" t="str">
        <f>A590 &amp; " " &amp;B590</f>
        <v>45760 1200H</v>
      </c>
      <c r="D590" s="111">
        <v>2040.72</v>
      </c>
      <c r="E590" s="116">
        <v>49.69</v>
      </c>
      <c r="F590" s="111">
        <v>1108.67</v>
      </c>
      <c r="G590" s="116">
        <v>6.2</v>
      </c>
      <c r="H590" s="111">
        <v>75553.58</v>
      </c>
      <c r="I590" s="103">
        <v>925.39</v>
      </c>
      <c r="J590" s="103">
        <v>33571</v>
      </c>
      <c r="K590" s="116">
        <v>109.18</v>
      </c>
      <c r="L590" s="111">
        <v>6668.33</v>
      </c>
      <c r="M590" s="103">
        <v>19.05</v>
      </c>
      <c r="N590" s="103">
        <v>34220.400000000001</v>
      </c>
      <c r="O590" s="103">
        <v>29.6</v>
      </c>
      <c r="P590" s="103">
        <v>731.59</v>
      </c>
      <c r="Q590" s="103">
        <v>881.17</v>
      </c>
      <c r="R590" s="103">
        <v>10902.78</v>
      </c>
      <c r="S590" s="103">
        <v>9.0399999999999991</v>
      </c>
      <c r="T590" s="103">
        <v>37408</v>
      </c>
      <c r="U590" s="103">
        <v>69</v>
      </c>
      <c r="V590" s="103"/>
      <c r="W590" s="103"/>
      <c r="X590" s="103">
        <v>7948.28</v>
      </c>
      <c r="Y590" s="103">
        <v>0</v>
      </c>
      <c r="Z590" s="103"/>
      <c r="AA590" s="116"/>
      <c r="AB590" s="103">
        <v>251.15</v>
      </c>
      <c r="AC590" s="112">
        <v>0.57999999999999996</v>
      </c>
      <c r="AD590" s="103"/>
      <c r="AE590" s="116"/>
      <c r="AF590" s="111">
        <v>84.64</v>
      </c>
      <c r="AG590" s="112">
        <v>6.89</v>
      </c>
    </row>
    <row r="591" spans="1:33" ht="4.5" customHeight="1">
      <c r="AF591" s="111"/>
      <c r="AG591" s="112"/>
    </row>
    <row r="592" spans="1:33">
      <c r="A592" s="102">
        <f>A589+1</f>
        <v>45761</v>
      </c>
      <c r="B592" s="102" t="s">
        <v>3503</v>
      </c>
      <c r="C592" s="110" t="str">
        <f>A592 &amp; " " &amp;B592</f>
        <v>45761 0000H</v>
      </c>
      <c r="D592" s="111">
        <v>2045.72</v>
      </c>
      <c r="E592" s="116">
        <v>49.69</v>
      </c>
      <c r="F592" s="111">
        <v>1108.67</v>
      </c>
      <c r="G592" s="116">
        <v>6.2</v>
      </c>
      <c r="H592" s="111">
        <v>75555.679999999993</v>
      </c>
      <c r="I592" s="103">
        <v>925.39</v>
      </c>
      <c r="J592" s="103">
        <v>33574.81</v>
      </c>
      <c r="K592" s="116">
        <v>109.18</v>
      </c>
      <c r="L592" s="111">
        <v>6674.15</v>
      </c>
      <c r="M592" s="103">
        <v>19.05</v>
      </c>
      <c r="N592" s="103">
        <v>34223.5</v>
      </c>
      <c r="O592" s="103">
        <v>29.7</v>
      </c>
      <c r="P592" s="103">
        <v>731.6</v>
      </c>
      <c r="Q592" s="103">
        <v>882.62</v>
      </c>
      <c r="R592" s="103">
        <v>10908.41</v>
      </c>
      <c r="S592" s="103">
        <v>9.0399999999999991</v>
      </c>
      <c r="T592" s="103">
        <v>37416</v>
      </c>
      <c r="U592" s="103">
        <v>69</v>
      </c>
      <c r="V592" s="103"/>
      <c r="W592" s="103"/>
      <c r="X592" s="103">
        <v>7955.16</v>
      </c>
      <c r="Y592" s="103">
        <v>0</v>
      </c>
      <c r="Z592" s="103"/>
      <c r="AA592" s="116"/>
      <c r="AB592" s="103">
        <v>253.14</v>
      </c>
      <c r="AC592" s="112">
        <v>0.57999999999999996</v>
      </c>
      <c r="AD592" s="103"/>
      <c r="AE592" s="116"/>
      <c r="AF592" s="111">
        <v>90.04</v>
      </c>
      <c r="AG592" s="112">
        <v>6.94</v>
      </c>
    </row>
    <row r="593" spans="1:33">
      <c r="A593" s="102">
        <f>A590+1</f>
        <v>45761</v>
      </c>
      <c r="B593" s="102" t="s">
        <v>3504</v>
      </c>
      <c r="C593" s="110" t="str">
        <f>A593 &amp; " " &amp;B593</f>
        <v>45761 1200H</v>
      </c>
      <c r="D593" s="111">
        <v>2049.6</v>
      </c>
      <c r="E593" s="116">
        <v>49.69</v>
      </c>
      <c r="F593" s="111">
        <v>1108.67</v>
      </c>
      <c r="G593" s="116">
        <v>6.2</v>
      </c>
      <c r="H593" s="111">
        <v>75567.97</v>
      </c>
      <c r="I593" s="103">
        <v>925.5</v>
      </c>
      <c r="J593" s="103">
        <v>33578.839999999997</v>
      </c>
      <c r="K593" s="116">
        <v>109.18</v>
      </c>
      <c r="L593" s="111">
        <v>6679.96</v>
      </c>
      <c r="M593" s="103">
        <v>19.05</v>
      </c>
      <c r="N593" s="103">
        <v>34226.400000000001</v>
      </c>
      <c r="O593" s="103">
        <v>29.7</v>
      </c>
      <c r="P593" s="103">
        <v>731.68</v>
      </c>
      <c r="Q593" s="103">
        <v>883.89</v>
      </c>
      <c r="R593" s="103">
        <v>10913.12</v>
      </c>
      <c r="S593" s="103">
        <v>9.0399999999999991</v>
      </c>
      <c r="T593" s="103">
        <v>37423</v>
      </c>
      <c r="U593" s="103">
        <v>69</v>
      </c>
      <c r="V593" s="103"/>
      <c r="W593" s="103"/>
      <c r="X593" s="103">
        <v>7961.33</v>
      </c>
      <c r="Y593" s="103">
        <v>0</v>
      </c>
      <c r="Z593" s="103"/>
      <c r="AA593" s="116"/>
      <c r="AB593" s="103">
        <v>254.24</v>
      </c>
      <c r="AC593" s="112">
        <v>0.4</v>
      </c>
      <c r="AD593" s="103"/>
      <c r="AE593" s="116"/>
      <c r="AF593" s="111">
        <v>93.56</v>
      </c>
      <c r="AG593" s="112">
        <v>6.97</v>
      </c>
    </row>
    <row r="594" spans="1:33" ht="4.5" customHeight="1">
      <c r="AF594" s="111"/>
      <c r="AG594" s="112"/>
    </row>
    <row r="595" spans="1:33">
      <c r="A595" s="102">
        <f>A592+1</f>
        <v>45762</v>
      </c>
      <c r="B595" s="102" t="s">
        <v>3503</v>
      </c>
      <c r="C595" s="110" t="str">
        <f>A595 &amp; " " &amp;B595</f>
        <v>45762 0000H</v>
      </c>
      <c r="D595" s="111">
        <v>2055.64</v>
      </c>
      <c r="E595" s="116">
        <v>49.69</v>
      </c>
      <c r="F595" s="111">
        <v>1108.67</v>
      </c>
      <c r="G595" s="116">
        <v>6.2</v>
      </c>
      <c r="H595" s="111">
        <v>75584.710000000006</v>
      </c>
      <c r="I595" s="103">
        <v>925.5</v>
      </c>
      <c r="J595" s="103">
        <v>33582.370000000003</v>
      </c>
      <c r="K595" s="116">
        <v>109.18</v>
      </c>
      <c r="L595" s="111">
        <v>6685.78</v>
      </c>
      <c r="M595" s="103">
        <v>19.05</v>
      </c>
      <c r="N595" s="103">
        <v>34230.9</v>
      </c>
      <c r="O595" s="103">
        <v>29.7</v>
      </c>
      <c r="P595" s="103">
        <v>731.69</v>
      </c>
      <c r="Q595" s="103">
        <v>885.19</v>
      </c>
      <c r="R595" s="103">
        <v>10918.62</v>
      </c>
      <c r="S595" s="103">
        <v>9.0399999999999991</v>
      </c>
      <c r="T595" s="103">
        <v>37432</v>
      </c>
      <c r="U595" s="103">
        <v>69</v>
      </c>
      <c r="V595" s="103"/>
      <c r="W595" s="103"/>
      <c r="X595" s="103">
        <v>7968.74</v>
      </c>
      <c r="Y595" s="103">
        <v>0</v>
      </c>
      <c r="Z595" s="103"/>
      <c r="AA595" s="116"/>
      <c r="AB595" s="103">
        <v>255.9</v>
      </c>
      <c r="AC595" s="112">
        <v>0.4</v>
      </c>
      <c r="AD595" s="103"/>
      <c r="AE595" s="116"/>
      <c r="AF595" s="111">
        <v>98.49</v>
      </c>
      <c r="AG595" s="112">
        <v>6.98</v>
      </c>
    </row>
    <row r="596" spans="1:33">
      <c r="A596" s="102">
        <f>A593+1</f>
        <v>45762</v>
      </c>
      <c r="B596" s="102" t="s">
        <v>3504</v>
      </c>
      <c r="C596" s="110" t="str">
        <f>A596 &amp; " " &amp;B596</f>
        <v>45762 1200H</v>
      </c>
      <c r="D596" s="111">
        <v>2059.9</v>
      </c>
      <c r="E596" s="116">
        <v>49.69</v>
      </c>
      <c r="F596" s="111">
        <v>1108.67</v>
      </c>
      <c r="G596" s="116">
        <v>6.2</v>
      </c>
      <c r="H596" s="111">
        <v>75592.67</v>
      </c>
      <c r="I596" s="103">
        <v>925.6</v>
      </c>
      <c r="J596" s="103">
        <v>33583.449999999997</v>
      </c>
      <c r="K596" s="116">
        <v>109.23</v>
      </c>
      <c r="L596" s="111">
        <v>6691.48</v>
      </c>
      <c r="M596" s="103">
        <v>19.05</v>
      </c>
      <c r="N596" s="103">
        <v>34238.5</v>
      </c>
      <c r="O596" s="103">
        <v>29.7</v>
      </c>
      <c r="P596" s="103">
        <v>731.7</v>
      </c>
      <c r="Q596" s="103">
        <v>886.49</v>
      </c>
      <c r="R596" s="103">
        <v>10923.2</v>
      </c>
      <c r="S596" s="103">
        <v>9.0399999999999991</v>
      </c>
      <c r="T596" s="103">
        <v>37436</v>
      </c>
      <c r="U596" s="103">
        <v>69</v>
      </c>
      <c r="V596" s="103"/>
      <c r="W596" s="103"/>
      <c r="X596" s="103">
        <v>7975.23</v>
      </c>
      <c r="Y596" s="103">
        <v>0</v>
      </c>
      <c r="Z596" s="103"/>
      <c r="AA596" s="116"/>
      <c r="AB596" s="103">
        <v>255.9</v>
      </c>
      <c r="AC596" s="112">
        <v>0.4</v>
      </c>
      <c r="AD596" s="103"/>
      <c r="AE596" s="116"/>
      <c r="AF596" s="111">
        <v>99.29</v>
      </c>
      <c r="AG596" s="112">
        <v>7.03</v>
      </c>
    </row>
    <row r="597" spans="1:33" ht="4.5" customHeight="1">
      <c r="AF597" s="111"/>
      <c r="AG597" s="112"/>
    </row>
    <row r="598" spans="1:33">
      <c r="A598" s="102">
        <f>A595+1</f>
        <v>45763</v>
      </c>
      <c r="B598" s="102" t="s">
        <v>3503</v>
      </c>
      <c r="C598" s="110" t="str">
        <f>A598 &amp; " " &amp;B598</f>
        <v>45763 0000H</v>
      </c>
      <c r="D598" s="111">
        <v>2064.96</v>
      </c>
      <c r="E598" s="116">
        <v>49.69</v>
      </c>
      <c r="F598" s="111">
        <v>1108.67</v>
      </c>
      <c r="G598" s="116">
        <v>6.2</v>
      </c>
      <c r="H598" s="111">
        <v>75610.12</v>
      </c>
      <c r="I598" s="103">
        <v>925.6</v>
      </c>
      <c r="J598" s="103">
        <v>33586.949999999997</v>
      </c>
      <c r="K598" s="116">
        <v>109.24</v>
      </c>
      <c r="L598" s="111">
        <v>6697.3</v>
      </c>
      <c r="M598" s="103">
        <v>19.05</v>
      </c>
      <c r="N598" s="103">
        <v>34246.5</v>
      </c>
      <c r="O598" s="103">
        <v>29.7</v>
      </c>
      <c r="P598" s="103">
        <v>731.73</v>
      </c>
      <c r="Q598" s="103">
        <v>887.89</v>
      </c>
      <c r="R598" s="103">
        <v>10928.68</v>
      </c>
      <c r="S598" s="103">
        <v>9.0399999999999991</v>
      </c>
      <c r="T598" s="103">
        <v>37442</v>
      </c>
      <c r="U598" s="103">
        <v>69</v>
      </c>
      <c r="V598" s="103"/>
      <c r="W598" s="103"/>
      <c r="X598" s="103">
        <v>7982.54</v>
      </c>
      <c r="Y598" s="103">
        <v>0</v>
      </c>
      <c r="Z598" s="103"/>
      <c r="AA598" s="116"/>
      <c r="AB598" s="103">
        <v>225.9</v>
      </c>
      <c r="AC598" s="112">
        <v>0.4</v>
      </c>
      <c r="AD598" s="103"/>
      <c r="AE598" s="116"/>
      <c r="AF598" s="111">
        <v>103.95</v>
      </c>
      <c r="AG598" s="112">
        <v>7.04</v>
      </c>
    </row>
    <row r="599" spans="1:33">
      <c r="A599" s="102">
        <f>A596+1</f>
        <v>45763</v>
      </c>
      <c r="B599" s="102" t="s">
        <v>3504</v>
      </c>
      <c r="C599" s="110" t="str">
        <f>A599 &amp; " " &amp;B599</f>
        <v>45763 1200H</v>
      </c>
      <c r="D599" s="111">
        <v>2068.96</v>
      </c>
      <c r="E599" s="116">
        <v>49.69</v>
      </c>
      <c r="F599" s="111">
        <v>1108.67</v>
      </c>
      <c r="G599" s="116">
        <v>6.2</v>
      </c>
      <c r="H599" s="111">
        <v>75616.58</v>
      </c>
      <c r="I599" s="103">
        <v>925.73</v>
      </c>
      <c r="J599" s="103">
        <v>33588.269999999997</v>
      </c>
      <c r="K599" s="116">
        <v>109.28</v>
      </c>
      <c r="L599" s="111">
        <v>6703</v>
      </c>
      <c r="M599" s="103">
        <v>19.05</v>
      </c>
      <c r="N599" s="103">
        <v>34253.9</v>
      </c>
      <c r="O599" s="103">
        <v>29.7</v>
      </c>
      <c r="P599" s="235">
        <v>731.73</v>
      </c>
      <c r="Q599" s="103">
        <v>889.29</v>
      </c>
      <c r="R599" s="103">
        <v>10933.23</v>
      </c>
      <c r="S599" s="103">
        <v>9.0399999999999991</v>
      </c>
      <c r="T599" s="103">
        <v>37450</v>
      </c>
      <c r="U599" s="103">
        <v>69</v>
      </c>
      <c r="V599" s="103"/>
      <c r="W599" s="103"/>
      <c r="X599" s="103">
        <v>7988.79</v>
      </c>
      <c r="Y599" s="103">
        <v>0</v>
      </c>
      <c r="Z599" s="103"/>
      <c r="AA599" s="116"/>
      <c r="AB599" s="103">
        <v>225.9</v>
      </c>
      <c r="AC599" s="112">
        <v>0.4</v>
      </c>
      <c r="AD599" s="103"/>
      <c r="AE599" s="116"/>
      <c r="AF599" s="111">
        <v>104.72</v>
      </c>
      <c r="AG599" s="112">
        <v>7.09</v>
      </c>
    </row>
    <row r="600" spans="1:33" ht="4.5" customHeight="1">
      <c r="AF600" s="111"/>
      <c r="AG600" s="112"/>
    </row>
    <row r="601" spans="1:33">
      <c r="A601" s="102">
        <f>A598+1</f>
        <v>45764</v>
      </c>
      <c r="B601" s="102" t="s">
        <v>3503</v>
      </c>
      <c r="C601" s="110" t="str">
        <f>A601 &amp; " " &amp;B601</f>
        <v>45764 0000H</v>
      </c>
      <c r="D601" s="111">
        <v>2073.85</v>
      </c>
      <c r="E601" s="116">
        <v>49.69</v>
      </c>
      <c r="F601" s="111">
        <v>1108.67</v>
      </c>
      <c r="G601" s="116">
        <v>6.2</v>
      </c>
      <c r="H601" s="111">
        <v>75633.97</v>
      </c>
      <c r="I601" s="103">
        <v>925.73</v>
      </c>
      <c r="J601" s="103">
        <v>33591.65</v>
      </c>
      <c r="K601" s="116">
        <v>109.29</v>
      </c>
      <c r="L601" s="111">
        <v>6708.79</v>
      </c>
      <c r="M601" s="103">
        <v>19.05</v>
      </c>
      <c r="N601" s="103">
        <v>34261.199999999997</v>
      </c>
      <c r="O601" s="103">
        <v>29.7</v>
      </c>
      <c r="P601" s="103">
        <v>731.73</v>
      </c>
      <c r="Q601" s="103">
        <v>891.1</v>
      </c>
      <c r="R601" s="103">
        <v>10938.96</v>
      </c>
      <c r="S601" s="103">
        <v>9.0399999999999991</v>
      </c>
      <c r="T601" s="103">
        <v>37458</v>
      </c>
      <c r="U601" s="103">
        <v>69</v>
      </c>
      <c r="V601" s="103"/>
      <c r="W601" s="103"/>
      <c r="X601" s="103">
        <v>7995.37</v>
      </c>
      <c r="Y601" s="103">
        <v>0</v>
      </c>
      <c r="Z601" s="103"/>
      <c r="AA601" s="116"/>
      <c r="AB601" s="103">
        <v>225.9</v>
      </c>
      <c r="AC601" s="112">
        <v>0.4</v>
      </c>
      <c r="AD601" s="103"/>
      <c r="AE601" s="116"/>
      <c r="AF601" s="111">
        <v>108.69</v>
      </c>
      <c r="AG601" s="112">
        <v>7.11</v>
      </c>
    </row>
    <row r="602" spans="1:33">
      <c r="A602" s="102">
        <f>A599+1</f>
        <v>45764</v>
      </c>
      <c r="B602" s="102" t="s">
        <v>3504</v>
      </c>
      <c r="C602" s="110" t="str">
        <f>A602 &amp; " " &amp;B602</f>
        <v>45764 1200H</v>
      </c>
      <c r="D602" s="111">
        <v>2078</v>
      </c>
      <c r="E602" s="116">
        <v>49.69</v>
      </c>
      <c r="F602" s="111">
        <v>1108.67</v>
      </c>
      <c r="G602" s="116">
        <v>6.2</v>
      </c>
      <c r="H602" s="111">
        <v>75640.86</v>
      </c>
      <c r="I602" s="103">
        <v>925.87</v>
      </c>
      <c r="J602" s="103">
        <v>33591.65</v>
      </c>
      <c r="K602" s="116">
        <v>109.32</v>
      </c>
      <c r="L602" s="111">
        <v>6714.42</v>
      </c>
      <c r="M602" s="103">
        <v>19.05</v>
      </c>
      <c r="N602" s="103">
        <v>34268.400000000001</v>
      </c>
      <c r="O602" s="103">
        <v>29.7</v>
      </c>
      <c r="P602" s="103">
        <v>731.73</v>
      </c>
      <c r="Q602" s="103">
        <v>892.6</v>
      </c>
      <c r="R602" s="103">
        <v>10943.52</v>
      </c>
      <c r="S602" s="103">
        <v>9.0399999999999991</v>
      </c>
      <c r="T602" s="103">
        <v>37465</v>
      </c>
      <c r="U602" s="103">
        <v>69</v>
      </c>
      <c r="V602" s="103"/>
      <c r="W602" s="103"/>
      <c r="X602" s="103">
        <v>8001.57</v>
      </c>
      <c r="Y602" s="103">
        <v>0</v>
      </c>
      <c r="Z602" s="103"/>
      <c r="AA602" s="116"/>
      <c r="AB602" s="103">
        <v>225.9</v>
      </c>
      <c r="AC602" s="112">
        <v>0.4</v>
      </c>
      <c r="AD602" s="103"/>
      <c r="AE602" s="116"/>
      <c r="AF602" s="111">
        <v>108.69</v>
      </c>
      <c r="AG602" s="112">
        <v>7.18</v>
      </c>
    </row>
    <row r="603" spans="1:33" ht="4.5" customHeight="1">
      <c r="AF603" s="111"/>
      <c r="AG603" s="112"/>
    </row>
    <row r="604" spans="1:33">
      <c r="A604" s="102">
        <f>A601+1</f>
        <v>45765</v>
      </c>
      <c r="B604" s="102" t="s">
        <v>3503</v>
      </c>
      <c r="C604" s="110" t="str">
        <f>A604 &amp; " " &amp;B604</f>
        <v>45765 0000H</v>
      </c>
      <c r="D604" s="111">
        <v>2082.7600000000002</v>
      </c>
      <c r="E604" s="116">
        <v>49.69</v>
      </c>
      <c r="F604" s="111">
        <v>1108.67</v>
      </c>
      <c r="G604" s="116">
        <v>6.2</v>
      </c>
      <c r="H604" s="111">
        <v>75655.14</v>
      </c>
      <c r="I604" s="103">
        <v>925.87</v>
      </c>
      <c r="J604" s="103">
        <v>33594.980000000003</v>
      </c>
      <c r="K604" s="116">
        <v>109.36</v>
      </c>
      <c r="L604" s="111">
        <v>6720.27</v>
      </c>
      <c r="M604" s="103">
        <v>19.05</v>
      </c>
      <c r="N604" s="103">
        <v>34275.699999999997</v>
      </c>
      <c r="O604" s="103">
        <v>29.7</v>
      </c>
      <c r="P604" s="103">
        <v>731.73</v>
      </c>
      <c r="Q604" s="103">
        <v>894.47</v>
      </c>
      <c r="R604" s="103">
        <v>10949.08</v>
      </c>
      <c r="S604" s="103">
        <v>9.0399999999999991</v>
      </c>
      <c r="T604" s="103">
        <v>37472</v>
      </c>
      <c r="U604" s="103">
        <v>69</v>
      </c>
      <c r="V604" s="103"/>
      <c r="W604" s="103"/>
      <c r="X604" s="103">
        <v>8008.82</v>
      </c>
      <c r="Y604" s="103">
        <v>0</v>
      </c>
      <c r="Z604" s="103"/>
      <c r="AA604" s="116"/>
      <c r="AB604" s="103">
        <v>225.95</v>
      </c>
      <c r="AC604" s="112">
        <v>0.4</v>
      </c>
      <c r="AD604" s="103"/>
      <c r="AE604" s="116"/>
      <c r="AF604" s="111">
        <v>108.69</v>
      </c>
      <c r="AG604" s="112">
        <v>7.26</v>
      </c>
    </row>
    <row r="605" spans="1:33">
      <c r="A605" s="102">
        <f>A602+1</f>
        <v>45765</v>
      </c>
      <c r="B605" s="102" t="s">
        <v>3504</v>
      </c>
      <c r="C605" s="110" t="str">
        <f>A605 &amp; " " &amp;B605</f>
        <v>45765 1200H</v>
      </c>
      <c r="D605" s="111">
        <v>2086.3200000000002</v>
      </c>
      <c r="E605" s="116">
        <v>49.69</v>
      </c>
      <c r="F605" s="111">
        <v>1108.67</v>
      </c>
      <c r="G605" s="116">
        <v>6.2</v>
      </c>
      <c r="H605" s="111">
        <v>75658.13</v>
      </c>
      <c r="I605" s="103">
        <v>926.5</v>
      </c>
      <c r="J605" s="103">
        <v>33594.980000000003</v>
      </c>
      <c r="K605" s="116">
        <v>109.41</v>
      </c>
      <c r="L605" s="111">
        <v>6726</v>
      </c>
      <c r="M605" s="103">
        <v>19.05</v>
      </c>
      <c r="N605" s="103">
        <v>34283.300000000003</v>
      </c>
      <c r="O605" s="103">
        <v>29.7</v>
      </c>
      <c r="P605" s="103">
        <v>731.73</v>
      </c>
      <c r="Q605" s="103">
        <v>895.91</v>
      </c>
      <c r="R605" s="103">
        <v>10953.58</v>
      </c>
      <c r="S605" s="103">
        <v>9.0399999999999991</v>
      </c>
      <c r="T605" s="103">
        <v>37478</v>
      </c>
      <c r="U605" s="103">
        <v>69</v>
      </c>
      <c r="V605" s="103"/>
      <c r="W605" s="103"/>
      <c r="X605" s="103">
        <v>8014.89</v>
      </c>
      <c r="Y605" s="103">
        <v>0</v>
      </c>
      <c r="Z605" s="103"/>
      <c r="AA605" s="116"/>
      <c r="AB605" s="103">
        <v>225.95</v>
      </c>
      <c r="AC605" s="112">
        <v>0.4</v>
      </c>
      <c r="AD605" s="103"/>
      <c r="AE605" s="116"/>
      <c r="AF605" s="111">
        <v>108.69</v>
      </c>
      <c r="AG605" s="112">
        <v>7.3</v>
      </c>
    </row>
    <row r="606" spans="1:33" ht="4.5" customHeight="1">
      <c r="AF606" s="111"/>
      <c r="AG606" s="112"/>
    </row>
    <row r="607" spans="1:33">
      <c r="A607" s="102">
        <f>A604+1</f>
        <v>45766</v>
      </c>
      <c r="B607" s="102" t="s">
        <v>3503</v>
      </c>
      <c r="C607" s="110" t="str">
        <f>A607 &amp; " " &amp;B607</f>
        <v>45766 0000H</v>
      </c>
      <c r="D607" s="111">
        <v>2090.27</v>
      </c>
      <c r="E607" s="116">
        <v>49.69</v>
      </c>
      <c r="F607" s="111">
        <v>1108.67</v>
      </c>
      <c r="G607" s="116">
        <v>6.2</v>
      </c>
      <c r="H607" s="111">
        <v>75666.77</v>
      </c>
      <c r="I607" s="103">
        <v>926.2</v>
      </c>
      <c r="J607" s="103">
        <v>33597.96</v>
      </c>
      <c r="K607" s="116">
        <v>109.43</v>
      </c>
      <c r="L607" s="111">
        <v>6731.79</v>
      </c>
      <c r="M607" s="103">
        <v>19.05</v>
      </c>
      <c r="N607" s="103">
        <v>34291.300000000003</v>
      </c>
      <c r="O607" s="103">
        <v>29.7</v>
      </c>
      <c r="P607" s="103">
        <v>731.73</v>
      </c>
      <c r="Q607" s="103">
        <v>897.2</v>
      </c>
      <c r="R607" s="103">
        <v>10958.99</v>
      </c>
      <c r="S607" s="103">
        <v>9.0399999999999991</v>
      </c>
      <c r="T607" s="103">
        <v>37486</v>
      </c>
      <c r="U607" s="103">
        <v>69</v>
      </c>
      <c r="V607" s="103"/>
      <c r="W607" s="103"/>
      <c r="X607" s="103">
        <v>8021.02</v>
      </c>
      <c r="Y607" s="103">
        <v>0</v>
      </c>
      <c r="Z607" s="103"/>
      <c r="AA607" s="116"/>
      <c r="AB607" s="103">
        <v>225.95</v>
      </c>
      <c r="AC607" s="112">
        <v>0.4</v>
      </c>
      <c r="AD607" s="103"/>
      <c r="AE607" s="116"/>
      <c r="AF607" s="111">
        <v>108.69</v>
      </c>
      <c r="AG607" s="112">
        <v>7.38</v>
      </c>
    </row>
    <row r="608" spans="1:33">
      <c r="A608" s="102">
        <f>A605+1</f>
        <v>45766</v>
      </c>
      <c r="B608" s="102" t="s">
        <v>3504</v>
      </c>
      <c r="C608" s="110" t="str">
        <f>A608 &amp; " " &amp;B608</f>
        <v>45766 1200H</v>
      </c>
      <c r="D608" s="111">
        <v>2094.16</v>
      </c>
      <c r="E608" s="116">
        <v>49.69</v>
      </c>
      <c r="F608" s="111">
        <v>1108.67</v>
      </c>
      <c r="G608" s="116">
        <v>6.2</v>
      </c>
      <c r="H608" s="111">
        <v>75671.820000000007</v>
      </c>
      <c r="I608" s="103">
        <v>926.33</v>
      </c>
      <c r="J608" s="103">
        <v>33598.65</v>
      </c>
      <c r="K608" s="116">
        <v>109.47</v>
      </c>
      <c r="L608" s="111">
        <v>6737.55</v>
      </c>
      <c r="M608" s="103">
        <v>19.05</v>
      </c>
      <c r="N608" s="103">
        <v>34298.5</v>
      </c>
      <c r="O608" s="103">
        <v>29.7</v>
      </c>
      <c r="P608" s="103">
        <v>731.73</v>
      </c>
      <c r="Q608" s="103">
        <v>898.58</v>
      </c>
      <c r="R608" s="103">
        <v>10963.89</v>
      </c>
      <c r="S608" s="103">
        <v>9.0399999999999991</v>
      </c>
      <c r="T608" s="103">
        <v>37492</v>
      </c>
      <c r="U608" s="103">
        <v>69</v>
      </c>
      <c r="V608" s="103"/>
      <c r="W608" s="103"/>
      <c r="X608" s="103">
        <v>8027.86</v>
      </c>
      <c r="Y608" s="103">
        <v>0</v>
      </c>
      <c r="Z608" s="103"/>
      <c r="AA608" s="116"/>
      <c r="AB608" s="103">
        <v>225.95</v>
      </c>
      <c r="AC608" s="112">
        <v>0.4</v>
      </c>
      <c r="AD608" s="103"/>
      <c r="AE608" s="116"/>
      <c r="AF608" s="111">
        <v>108.69</v>
      </c>
      <c r="AG608" s="112">
        <v>7.43</v>
      </c>
    </row>
    <row r="609" spans="1:33" ht="4.5" customHeight="1">
      <c r="AF609" s="111"/>
      <c r="AG609" s="112"/>
    </row>
    <row r="610" spans="1:33">
      <c r="A610" s="102">
        <f>A607+1</f>
        <v>45767</v>
      </c>
      <c r="B610" s="102" t="s">
        <v>3503</v>
      </c>
      <c r="C610" s="110" t="str">
        <f>A610 &amp; " " &amp;B610</f>
        <v>45767 0000H</v>
      </c>
      <c r="D610" s="111">
        <v>2099.08</v>
      </c>
      <c r="E610" s="116">
        <v>49.69</v>
      </c>
      <c r="F610" s="111">
        <v>1108.67</v>
      </c>
      <c r="G610" s="116">
        <v>6.2</v>
      </c>
      <c r="H610" s="111">
        <v>75687.960000000006</v>
      </c>
      <c r="I610" s="103">
        <v>926.33</v>
      </c>
      <c r="J610" s="103">
        <v>33602.15</v>
      </c>
      <c r="K610" s="116">
        <v>109.48</v>
      </c>
      <c r="L610" s="111">
        <v>6743.34</v>
      </c>
      <c r="M610" s="103">
        <v>19.05</v>
      </c>
      <c r="N610" s="103">
        <v>34306.5</v>
      </c>
      <c r="O610" s="103">
        <v>29.7</v>
      </c>
      <c r="P610" s="103">
        <v>731.73</v>
      </c>
      <c r="Q610" s="103">
        <v>900.18</v>
      </c>
      <c r="R610" s="103">
        <v>10969.6</v>
      </c>
      <c r="S610" s="103">
        <v>9.0399999999999991</v>
      </c>
      <c r="T610" s="103">
        <v>37500</v>
      </c>
      <c r="U610" s="103">
        <v>69</v>
      </c>
      <c r="V610" s="103"/>
      <c r="W610" s="103"/>
      <c r="X610" s="103">
        <v>8035</v>
      </c>
      <c r="Y610" s="103">
        <v>0</v>
      </c>
      <c r="Z610" s="103"/>
      <c r="AA610" s="116"/>
      <c r="AB610" s="103">
        <v>225.95</v>
      </c>
      <c r="AC610" s="112">
        <v>0.4</v>
      </c>
      <c r="AD610" s="103"/>
      <c r="AE610" s="116"/>
      <c r="AF610" s="111">
        <v>109.35</v>
      </c>
      <c r="AG610" s="112">
        <v>7.46</v>
      </c>
    </row>
    <row r="611" spans="1:33">
      <c r="A611" s="102">
        <f>A608+1</f>
        <v>45767</v>
      </c>
      <c r="B611" s="102" t="s">
        <v>3504</v>
      </c>
      <c r="C611" s="110" t="str">
        <f>A611 &amp; " " &amp;B611</f>
        <v>45767 1200H</v>
      </c>
      <c r="D611" s="111">
        <v>2104.13</v>
      </c>
      <c r="E611" s="116">
        <v>49.69</v>
      </c>
      <c r="F611" s="111">
        <v>1108.67</v>
      </c>
      <c r="G611" s="116">
        <v>6.2</v>
      </c>
      <c r="H611" s="111">
        <v>75690.899999999994</v>
      </c>
      <c r="I611" s="103">
        <v>926.62</v>
      </c>
      <c r="J611" s="103">
        <v>33602.92</v>
      </c>
      <c r="K611" s="116">
        <v>109.53</v>
      </c>
      <c r="L611" s="111">
        <v>6748.96</v>
      </c>
      <c r="M611" s="103">
        <v>19.05</v>
      </c>
      <c r="N611" s="103">
        <v>34313.599999999999</v>
      </c>
      <c r="O611" s="103">
        <v>29.7</v>
      </c>
      <c r="P611" s="103">
        <v>731.73</v>
      </c>
      <c r="Q611" s="103">
        <v>902.01</v>
      </c>
      <c r="R611" s="103">
        <v>10974.47</v>
      </c>
      <c r="S611" s="103">
        <v>9.0399999999999991</v>
      </c>
      <c r="T611" s="103">
        <v>37507</v>
      </c>
      <c r="U611" s="103">
        <v>69</v>
      </c>
      <c r="V611" s="103"/>
      <c r="W611" s="103"/>
      <c r="X611" s="103">
        <v>8039.58</v>
      </c>
      <c r="Y611" s="103">
        <v>0</v>
      </c>
      <c r="Z611" s="103"/>
      <c r="AA611" s="116"/>
      <c r="AB611" s="103">
        <v>225.95</v>
      </c>
      <c r="AC611" s="112">
        <v>0.4</v>
      </c>
      <c r="AD611" s="103"/>
      <c r="AE611" s="116"/>
      <c r="AF611" s="111">
        <v>109.35</v>
      </c>
      <c r="AG611" s="112">
        <v>7.53</v>
      </c>
    </row>
    <row r="612" spans="1:33" ht="4.5" customHeight="1">
      <c r="AF612" s="111"/>
      <c r="AG612" s="112"/>
    </row>
    <row r="613" spans="1:33">
      <c r="A613" s="102">
        <f>A610+1</f>
        <v>45768</v>
      </c>
      <c r="B613" s="102" t="s">
        <v>3503</v>
      </c>
      <c r="C613" s="110" t="str">
        <f>A613 &amp; " " &amp;B613</f>
        <v>45768 0000H</v>
      </c>
      <c r="D613" s="111">
        <v>2108.56</v>
      </c>
      <c r="E613" s="116">
        <v>49.69</v>
      </c>
      <c r="F613" s="111">
        <v>1108.67</v>
      </c>
      <c r="G613" s="116">
        <v>6.2</v>
      </c>
      <c r="H613" s="111">
        <v>75708.600000000006</v>
      </c>
      <c r="I613" s="103">
        <v>926.62</v>
      </c>
      <c r="J613" s="103">
        <v>33606.629999999997</v>
      </c>
      <c r="K613" s="116">
        <v>109.53</v>
      </c>
      <c r="L613" s="111">
        <v>6754.77</v>
      </c>
      <c r="M613" s="103">
        <v>19.05</v>
      </c>
      <c r="N613" s="103">
        <v>34321.599999999999</v>
      </c>
      <c r="O613" s="103">
        <v>29.7</v>
      </c>
      <c r="P613" s="103">
        <v>731.73</v>
      </c>
      <c r="Q613" s="103">
        <v>903.9</v>
      </c>
      <c r="R613" s="103">
        <v>10980.16</v>
      </c>
      <c r="S613" s="103">
        <v>9.0399999999999991</v>
      </c>
      <c r="T613" s="103">
        <v>37514</v>
      </c>
      <c r="U613" s="103">
        <v>69</v>
      </c>
      <c r="V613" s="103"/>
      <c r="W613" s="103"/>
      <c r="X613" s="103">
        <v>8047.12</v>
      </c>
      <c r="Y613" s="103">
        <v>0</v>
      </c>
      <c r="Z613" s="103"/>
      <c r="AA613" s="116"/>
      <c r="AB613" s="103">
        <v>225.95</v>
      </c>
      <c r="AC613" s="112">
        <v>0.4</v>
      </c>
      <c r="AD613" s="103"/>
      <c r="AE613" s="116"/>
      <c r="AF613" s="111">
        <v>111.37</v>
      </c>
      <c r="AG613" s="112">
        <v>7.56</v>
      </c>
    </row>
    <row r="614" spans="1:33">
      <c r="A614" s="102">
        <f>A611+1</f>
        <v>45768</v>
      </c>
      <c r="B614" s="102" t="s">
        <v>3504</v>
      </c>
      <c r="C614" s="110" t="str">
        <f>A614 &amp; " " &amp;B614</f>
        <v>45768 1200H</v>
      </c>
      <c r="D614" s="111">
        <v>2112.09</v>
      </c>
      <c r="E614" s="116">
        <v>49.7</v>
      </c>
      <c r="F614" s="111">
        <v>1108.67</v>
      </c>
      <c r="G614" s="116">
        <v>6.2</v>
      </c>
      <c r="H614" s="111">
        <v>75721.31</v>
      </c>
      <c r="I614" s="103">
        <v>926.62</v>
      </c>
      <c r="J614" s="103">
        <v>33609.19</v>
      </c>
      <c r="K614" s="116">
        <v>109.56</v>
      </c>
      <c r="L614" s="111">
        <v>6760.5</v>
      </c>
      <c r="M614" s="103">
        <v>19.05</v>
      </c>
      <c r="N614" s="103">
        <v>34329.5</v>
      </c>
      <c r="O614" s="103">
        <v>29.7</v>
      </c>
      <c r="P614" s="103">
        <v>731.74</v>
      </c>
      <c r="Q614" s="103">
        <v>905.4</v>
      </c>
      <c r="R614" s="103">
        <v>10989.9</v>
      </c>
      <c r="S614" s="103">
        <v>9.0399999999999991</v>
      </c>
      <c r="T614" s="103">
        <v>37521</v>
      </c>
      <c r="U614" s="103">
        <v>69</v>
      </c>
      <c r="V614" s="103"/>
      <c r="W614" s="103"/>
      <c r="X614" s="103">
        <v>8053.19</v>
      </c>
      <c r="Y614" s="103">
        <v>0</v>
      </c>
      <c r="Z614" s="103"/>
      <c r="AA614" s="116"/>
      <c r="AB614" s="103">
        <v>225.95</v>
      </c>
      <c r="AC614" s="112">
        <v>0.4</v>
      </c>
      <c r="AD614" s="103"/>
      <c r="AE614" s="116"/>
      <c r="AF614" s="111">
        <v>113.33</v>
      </c>
      <c r="AG614" s="112">
        <v>7.61</v>
      </c>
    </row>
    <row r="615" spans="1:33" ht="4.5" customHeight="1">
      <c r="AF615" s="111"/>
      <c r="AG615" s="112"/>
    </row>
    <row r="616" spans="1:33">
      <c r="A616" s="102">
        <f>A613+1</f>
        <v>45769</v>
      </c>
      <c r="B616" s="102" t="s">
        <v>3503</v>
      </c>
      <c r="C616" s="110" t="str">
        <f>A616 &amp; " " &amp;B616</f>
        <v>45769 0000H</v>
      </c>
      <c r="D616" s="111">
        <v>2118.4299999999998</v>
      </c>
      <c r="E616" s="116">
        <v>49.7</v>
      </c>
      <c r="F616" s="111">
        <v>1108.67</v>
      </c>
      <c r="G616" s="116">
        <v>6.2</v>
      </c>
      <c r="H616" s="111">
        <v>75738.37</v>
      </c>
      <c r="I616" s="103">
        <v>926.62</v>
      </c>
      <c r="J616" s="103">
        <v>33612.800000000003</v>
      </c>
      <c r="K616" s="116">
        <v>109.56</v>
      </c>
      <c r="L616" s="111">
        <v>6766.26</v>
      </c>
      <c r="M616" s="103">
        <v>19.05</v>
      </c>
      <c r="N616" s="103">
        <v>34337.1</v>
      </c>
      <c r="O616" s="103">
        <v>29.7</v>
      </c>
      <c r="P616" s="103">
        <v>732</v>
      </c>
      <c r="Q616" s="103">
        <v>906.32</v>
      </c>
      <c r="R616" s="103">
        <v>10991.03</v>
      </c>
      <c r="S616" s="103">
        <v>9.0399999999999991</v>
      </c>
      <c r="T616" s="103">
        <v>37529</v>
      </c>
      <c r="U616" s="103">
        <v>69</v>
      </c>
      <c r="V616" s="103"/>
      <c r="W616" s="103"/>
      <c r="X616" s="103">
        <v>8061.82</v>
      </c>
      <c r="Y616" s="103">
        <v>0</v>
      </c>
      <c r="Z616" s="103"/>
      <c r="AA616" s="116"/>
      <c r="AB616" s="103">
        <v>258.67</v>
      </c>
      <c r="AC616" s="112">
        <v>0.4</v>
      </c>
      <c r="AD616" s="103"/>
      <c r="AE616" s="116"/>
      <c r="AF616" s="111">
        <v>114.69</v>
      </c>
      <c r="AG616" s="112">
        <v>7.69</v>
      </c>
    </row>
    <row r="617" spans="1:33">
      <c r="A617" s="102">
        <f>A614+1</f>
        <v>45769</v>
      </c>
      <c r="B617" s="102" t="s">
        <v>3504</v>
      </c>
      <c r="C617" s="110" t="str">
        <f>A617 &amp; " " &amp;B617</f>
        <v>45769 1200H</v>
      </c>
      <c r="D617" s="111">
        <v>2123.5</v>
      </c>
      <c r="E617" s="116">
        <v>49.7</v>
      </c>
      <c r="F617" s="111">
        <v>1108.67</v>
      </c>
      <c r="G617" s="116">
        <v>6.2</v>
      </c>
      <c r="H617" s="111">
        <v>75743.81</v>
      </c>
      <c r="I617" s="103">
        <v>926.98</v>
      </c>
      <c r="J617" s="103">
        <v>33614.269999999997</v>
      </c>
      <c r="K617" s="116">
        <v>109.6</v>
      </c>
      <c r="L617" s="111">
        <v>6772.07</v>
      </c>
      <c r="M617" s="103">
        <v>19.05</v>
      </c>
      <c r="N617" s="103">
        <v>34344.800000000003</v>
      </c>
      <c r="O617" s="103">
        <v>29.7</v>
      </c>
      <c r="P617" s="103">
        <v>732</v>
      </c>
      <c r="Q617" s="103">
        <v>907.85</v>
      </c>
      <c r="R617" s="103">
        <v>10996.05</v>
      </c>
      <c r="S617" s="103">
        <v>9.0399999999999991</v>
      </c>
      <c r="T617" s="103">
        <v>37537</v>
      </c>
      <c r="U617" s="103">
        <v>69</v>
      </c>
      <c r="V617" s="103"/>
      <c r="W617" s="103"/>
      <c r="X617" s="103">
        <v>8068.55</v>
      </c>
      <c r="Y617" s="103">
        <v>0</v>
      </c>
      <c r="Z617" s="103"/>
      <c r="AA617" s="116"/>
      <c r="AB617" s="103">
        <v>258.67</v>
      </c>
      <c r="AC617" s="112">
        <v>0.4</v>
      </c>
      <c r="AD617" s="103"/>
      <c r="AE617" s="116"/>
      <c r="AF617" s="111">
        <v>115.92</v>
      </c>
      <c r="AG617" s="112">
        <v>7.76</v>
      </c>
    </row>
    <row r="618" spans="1:33" ht="4.5" customHeight="1">
      <c r="AF618" s="111"/>
      <c r="AG618" s="112"/>
    </row>
    <row r="619" spans="1:33">
      <c r="A619" s="102">
        <f>A616+1</f>
        <v>45770</v>
      </c>
      <c r="B619" s="102" t="s">
        <v>3503</v>
      </c>
      <c r="C619" s="110" t="str">
        <f>A619 &amp; " " &amp;B619</f>
        <v>45770 0000H</v>
      </c>
      <c r="D619" s="111">
        <v>2129.87</v>
      </c>
      <c r="E619" s="116">
        <v>49.7</v>
      </c>
      <c r="F619" s="111">
        <v>1108.67</v>
      </c>
      <c r="G619" s="116">
        <v>6.2</v>
      </c>
      <c r="H619" s="111">
        <v>75759.98</v>
      </c>
      <c r="I619" s="103">
        <v>926.98</v>
      </c>
      <c r="J619" s="103">
        <v>33617.93</v>
      </c>
      <c r="K619" s="116">
        <v>109.6</v>
      </c>
      <c r="L619" s="111">
        <v>6777.82</v>
      </c>
      <c r="M619" s="103">
        <v>19.05</v>
      </c>
      <c r="N619" s="103">
        <v>34352.1</v>
      </c>
      <c r="O619" s="103">
        <v>29.7</v>
      </c>
      <c r="P619" s="103">
        <v>732.01</v>
      </c>
      <c r="Q619" s="103">
        <v>909.26</v>
      </c>
      <c r="R619" s="103">
        <v>11002.9</v>
      </c>
      <c r="S619" s="103">
        <v>9.0399999999999991</v>
      </c>
      <c r="T619" s="103">
        <v>37545</v>
      </c>
      <c r="U619" s="103">
        <v>69</v>
      </c>
      <c r="V619" s="103"/>
      <c r="W619" s="103"/>
      <c r="X619" s="103">
        <v>8076.09</v>
      </c>
      <c r="Y619" s="103">
        <v>0</v>
      </c>
      <c r="Z619" s="103"/>
      <c r="AA619" s="116"/>
      <c r="AB619" s="103">
        <v>259.82</v>
      </c>
      <c r="AC619" s="112">
        <v>0.41</v>
      </c>
      <c r="AD619" s="103"/>
      <c r="AE619" s="116"/>
      <c r="AF619" s="111">
        <v>119.22</v>
      </c>
      <c r="AG619" s="112">
        <v>7.78</v>
      </c>
    </row>
    <row r="620" spans="1:33">
      <c r="A620" s="102">
        <f>A617+1</f>
        <v>45770</v>
      </c>
      <c r="B620" s="102" t="s">
        <v>3504</v>
      </c>
      <c r="C620" s="110" t="str">
        <f>A620 &amp; " " &amp;B620</f>
        <v>45770 1200H</v>
      </c>
      <c r="D620" s="111">
        <v>2134.81</v>
      </c>
      <c r="E620" s="116">
        <v>49.7</v>
      </c>
      <c r="F620" s="111">
        <v>1108.67</v>
      </c>
      <c r="G620" s="116">
        <v>6.2</v>
      </c>
      <c r="H620" s="111">
        <v>75768.23</v>
      </c>
      <c r="I620" s="103">
        <v>927.18</v>
      </c>
      <c r="J620" s="103">
        <v>33619.269999999997</v>
      </c>
      <c r="K620" s="116">
        <v>109.64</v>
      </c>
      <c r="L620" s="111">
        <v>6783.59</v>
      </c>
      <c r="M620" s="103">
        <v>19.05</v>
      </c>
      <c r="N620" s="103">
        <v>34359.199999999997</v>
      </c>
      <c r="O620" s="103">
        <v>29.7</v>
      </c>
      <c r="P620" s="103">
        <v>732.02</v>
      </c>
      <c r="Q620" s="103">
        <v>910.69</v>
      </c>
      <c r="R620" s="103">
        <v>11006.84</v>
      </c>
      <c r="S620" s="103">
        <v>9.0399999999999991</v>
      </c>
      <c r="T620" s="103">
        <v>37552</v>
      </c>
      <c r="U620" s="103">
        <v>69</v>
      </c>
      <c r="V620" s="103"/>
      <c r="W620" s="103"/>
      <c r="X620" s="103">
        <v>8082.54</v>
      </c>
      <c r="Y620" s="103">
        <v>0</v>
      </c>
      <c r="Z620" s="103"/>
      <c r="AA620" s="116"/>
      <c r="AB620" s="103">
        <v>259.82</v>
      </c>
      <c r="AC620" s="112">
        <v>0.41</v>
      </c>
      <c r="AD620" s="103"/>
      <c r="AE620" s="116"/>
      <c r="AF620" s="111">
        <v>120.28</v>
      </c>
      <c r="AG620" s="112">
        <v>7.86</v>
      </c>
    </row>
    <row r="621" spans="1:33" ht="4.5" customHeight="1">
      <c r="AF621" s="111"/>
      <c r="AG621" s="112"/>
    </row>
    <row r="622" spans="1:33">
      <c r="A622" s="102">
        <f>A619+1</f>
        <v>45771</v>
      </c>
      <c r="B622" s="102" t="s">
        <v>3503</v>
      </c>
      <c r="C622" s="110" t="str">
        <f>A622 &amp; " " &amp;B622</f>
        <v>45771 0000H</v>
      </c>
      <c r="D622" s="111">
        <v>2141.13</v>
      </c>
      <c r="E622" s="116">
        <v>49.7</v>
      </c>
      <c r="F622" s="111">
        <v>1108.67</v>
      </c>
      <c r="G622" s="116">
        <v>6.2</v>
      </c>
      <c r="H622" s="111">
        <v>75785.39</v>
      </c>
      <c r="I622" s="103">
        <v>927.18</v>
      </c>
      <c r="J622" s="103">
        <v>33622.980000000003</v>
      </c>
      <c r="K622" s="116">
        <v>109.64</v>
      </c>
      <c r="L622" s="111">
        <v>6789.33</v>
      </c>
      <c r="M622" s="103">
        <v>19.05</v>
      </c>
      <c r="N622" s="103">
        <v>34366.199999999997</v>
      </c>
      <c r="O622" s="103">
        <v>29.7</v>
      </c>
      <c r="P622" s="103">
        <v>732.04</v>
      </c>
      <c r="Q622" s="103">
        <v>911.83</v>
      </c>
      <c r="R622" s="103">
        <v>11012.41</v>
      </c>
      <c r="S622" s="103">
        <v>9.0399999999999991</v>
      </c>
      <c r="T622" s="103">
        <v>37557</v>
      </c>
      <c r="U622" s="103">
        <v>69</v>
      </c>
      <c r="V622" s="103"/>
      <c r="W622" s="103"/>
      <c r="X622" s="103">
        <v>8089.8</v>
      </c>
      <c r="Y622" s="103">
        <v>0</v>
      </c>
      <c r="Z622" s="103"/>
      <c r="AA622" s="116"/>
      <c r="AB622" s="103">
        <v>261.27</v>
      </c>
      <c r="AC622" s="112">
        <v>0.41</v>
      </c>
      <c r="AD622" s="103"/>
      <c r="AE622" s="116"/>
      <c r="AF622" s="111">
        <v>122.41</v>
      </c>
      <c r="AG622" s="112">
        <v>7.88</v>
      </c>
    </row>
    <row r="623" spans="1:33">
      <c r="A623" s="102">
        <f>A620+1</f>
        <v>45771</v>
      </c>
      <c r="B623" s="102" t="s">
        <v>3504</v>
      </c>
      <c r="C623" s="110" t="str">
        <f>A623 &amp; " " &amp;B623</f>
        <v>45771 1200H</v>
      </c>
      <c r="D623" s="111">
        <v>2146.4299999999998</v>
      </c>
      <c r="E623" s="116">
        <v>49.7</v>
      </c>
      <c r="F623" s="111">
        <v>1108.67</v>
      </c>
      <c r="G623" s="116">
        <v>6.2</v>
      </c>
      <c r="H623" s="111">
        <v>75788.27</v>
      </c>
      <c r="I623" s="103">
        <v>927.5</v>
      </c>
      <c r="J623" s="103">
        <v>33626.65</v>
      </c>
      <c r="K623" s="116">
        <v>109.64</v>
      </c>
      <c r="L623" s="111">
        <v>6794.88</v>
      </c>
      <c r="M623" s="103">
        <v>19.05</v>
      </c>
      <c r="N623" s="103">
        <v>34371</v>
      </c>
      <c r="O623" s="103">
        <v>29.7</v>
      </c>
      <c r="P623" s="103">
        <v>732.17</v>
      </c>
      <c r="Q623" s="103">
        <v>912.97</v>
      </c>
      <c r="R623" s="103">
        <v>11017.27</v>
      </c>
      <c r="S623" s="103">
        <v>9.0399999999999991</v>
      </c>
      <c r="T623" s="103">
        <v>37565</v>
      </c>
      <c r="U623" s="103">
        <v>69</v>
      </c>
      <c r="V623" s="103"/>
      <c r="W623" s="103"/>
      <c r="X623" s="103">
        <v>8096.03</v>
      </c>
      <c r="Y623" s="103">
        <v>0</v>
      </c>
      <c r="Z623" s="103"/>
      <c r="AA623" s="116"/>
      <c r="AB623" s="103">
        <v>263</v>
      </c>
      <c r="AC623" s="112">
        <v>0.42</v>
      </c>
      <c r="AD623" s="103"/>
      <c r="AE623" s="116"/>
      <c r="AF623" s="111">
        <v>124</v>
      </c>
      <c r="AG623" s="112">
        <v>7.94</v>
      </c>
    </row>
    <row r="624" spans="1:33" ht="4.5" customHeight="1">
      <c r="AF624" s="111"/>
      <c r="AG624" s="112"/>
    </row>
    <row r="625" spans="1:33">
      <c r="A625" s="102">
        <f>A622+1</f>
        <v>45772</v>
      </c>
      <c r="B625" s="102" t="s">
        <v>3503</v>
      </c>
      <c r="C625" s="110" t="str">
        <f>A625 &amp; " " &amp;B625</f>
        <v>45772 0000H</v>
      </c>
      <c r="D625" s="111">
        <v>2152.7399999999998</v>
      </c>
      <c r="E625" s="116">
        <v>49.7</v>
      </c>
      <c r="F625" s="111">
        <v>1108.67</v>
      </c>
      <c r="G625" s="116">
        <v>6.2</v>
      </c>
      <c r="H625" s="111">
        <v>75805.289999999994</v>
      </c>
      <c r="I625" s="103">
        <v>927.5</v>
      </c>
      <c r="J625" s="103">
        <v>33629.29</v>
      </c>
      <c r="K625" s="116">
        <v>109.66</v>
      </c>
      <c r="L625" s="111">
        <v>6800.62</v>
      </c>
      <c r="M625" s="103">
        <v>19.05</v>
      </c>
      <c r="N625" s="103">
        <v>34377.699999999997</v>
      </c>
      <c r="O625" s="103">
        <v>29.7</v>
      </c>
      <c r="P625" s="103">
        <v>732.42</v>
      </c>
      <c r="Q625" s="103">
        <v>914.16</v>
      </c>
      <c r="R625" s="103">
        <v>11023.35</v>
      </c>
      <c r="S625" s="103">
        <v>9.0399999999999991</v>
      </c>
      <c r="T625" s="103">
        <v>37570</v>
      </c>
      <c r="U625" s="103">
        <v>69</v>
      </c>
      <c r="V625" s="103"/>
      <c r="W625" s="103"/>
      <c r="X625" s="103">
        <v>8103.58</v>
      </c>
      <c r="Y625" s="103">
        <v>0</v>
      </c>
      <c r="Z625" s="103"/>
      <c r="AA625" s="116"/>
      <c r="AB625" s="103">
        <v>266.64999999999998</v>
      </c>
      <c r="AC625" s="112">
        <v>0.42</v>
      </c>
      <c r="AD625" s="103"/>
      <c r="AE625" s="116"/>
      <c r="AF625" s="111">
        <v>127.27</v>
      </c>
      <c r="AG625" s="112">
        <v>7.96</v>
      </c>
    </row>
    <row r="626" spans="1:33">
      <c r="A626" s="102">
        <f>A623+1</f>
        <v>45772</v>
      </c>
      <c r="B626" s="102" t="s">
        <v>3504</v>
      </c>
      <c r="C626" s="110" t="str">
        <f>A626 &amp; " " &amp;B626</f>
        <v>45772 1200H</v>
      </c>
      <c r="D626" s="345">
        <v>2157.6799999999998</v>
      </c>
      <c r="E626" s="346">
        <v>49.7</v>
      </c>
      <c r="F626" s="345">
        <v>1108.67</v>
      </c>
      <c r="G626" s="346">
        <v>6.2</v>
      </c>
      <c r="H626" s="345">
        <v>75812.899999999994</v>
      </c>
      <c r="I626" s="347">
        <v>927.27</v>
      </c>
      <c r="J626" s="347">
        <v>33630.57</v>
      </c>
      <c r="K626" s="346">
        <v>109.7</v>
      </c>
      <c r="L626" s="345">
        <v>6806.46</v>
      </c>
      <c r="M626" s="347">
        <v>19.05</v>
      </c>
      <c r="N626" s="347">
        <v>34385.1</v>
      </c>
      <c r="O626" s="347">
        <v>29.7</v>
      </c>
      <c r="P626" s="347">
        <v>732.43</v>
      </c>
      <c r="Q626" s="347">
        <v>915.77</v>
      </c>
      <c r="R626" s="347">
        <v>11028.63</v>
      </c>
      <c r="S626" s="347">
        <v>9.0399999999999991</v>
      </c>
      <c r="T626" s="347">
        <v>37580</v>
      </c>
      <c r="U626" s="347">
        <v>69</v>
      </c>
      <c r="V626" s="347"/>
      <c r="W626" s="347"/>
      <c r="X626" s="347">
        <v>8109.98</v>
      </c>
      <c r="Y626" s="347">
        <v>0</v>
      </c>
      <c r="Z626" s="347"/>
      <c r="AA626" s="346"/>
      <c r="AB626" s="347">
        <v>266.77999999999997</v>
      </c>
      <c r="AC626" s="348">
        <v>0.42</v>
      </c>
      <c r="AD626" s="347"/>
      <c r="AE626" s="346"/>
      <c r="AF626" s="345">
        <v>129.21</v>
      </c>
      <c r="AG626" s="348">
        <v>8</v>
      </c>
    </row>
    <row r="627" spans="1:33" ht="4.5" customHeight="1">
      <c r="AF627" s="111"/>
      <c r="AG627" s="112"/>
    </row>
    <row r="628" spans="1:33">
      <c r="A628" s="102">
        <f>A625+1</f>
        <v>45773</v>
      </c>
      <c r="B628" s="102" t="s">
        <v>3503</v>
      </c>
      <c r="C628" s="110" t="str">
        <f>A628 &amp; " " &amp;B628</f>
        <v>45773 0000H</v>
      </c>
      <c r="D628" s="111">
        <v>2163.6999999999998</v>
      </c>
      <c r="E628" s="116">
        <v>49.7</v>
      </c>
      <c r="F628" s="111">
        <v>1108.67</v>
      </c>
      <c r="G628" s="116">
        <v>6.2</v>
      </c>
      <c r="H628" s="111">
        <v>75829.33</v>
      </c>
      <c r="I628" s="103">
        <v>927.72</v>
      </c>
      <c r="J628" s="103">
        <v>33634.080000000002</v>
      </c>
      <c r="K628" s="116">
        <v>109.7</v>
      </c>
      <c r="L628" s="111">
        <v>6812.2</v>
      </c>
      <c r="M628" s="103">
        <v>19.05</v>
      </c>
      <c r="N628" s="103">
        <v>34392.6</v>
      </c>
      <c r="O628" s="103">
        <v>29.7</v>
      </c>
      <c r="P628" s="103">
        <v>732.43</v>
      </c>
      <c r="Q628" s="103">
        <v>917.75</v>
      </c>
      <c r="R628" s="103">
        <v>11034.41</v>
      </c>
      <c r="S628" s="103">
        <v>9.0399999999999991</v>
      </c>
      <c r="T628" s="103">
        <v>37589</v>
      </c>
      <c r="U628" s="103">
        <v>69</v>
      </c>
      <c r="V628" s="103"/>
      <c r="W628" s="103"/>
      <c r="X628" s="103">
        <v>8117.67</v>
      </c>
      <c r="Y628" s="103">
        <v>0</v>
      </c>
      <c r="Z628" s="103"/>
      <c r="AA628" s="116"/>
      <c r="AB628" s="103">
        <v>266.77999999999997</v>
      </c>
      <c r="AC628" s="112">
        <v>0.42</v>
      </c>
      <c r="AD628" s="103"/>
      <c r="AE628" s="116"/>
      <c r="AF628" s="111">
        <v>131.49</v>
      </c>
      <c r="AG628" s="112">
        <v>8.0299999999999994</v>
      </c>
    </row>
    <row r="629" spans="1:33">
      <c r="A629" s="102">
        <f>A626+1</f>
        <v>45773</v>
      </c>
      <c r="B629" s="102" t="s">
        <v>3504</v>
      </c>
      <c r="C629" s="110" t="str">
        <f>A629 &amp; " " &amp;B629</f>
        <v>45773 1200H</v>
      </c>
      <c r="D629" s="111">
        <v>2169</v>
      </c>
      <c r="E629" s="116">
        <v>49.7</v>
      </c>
      <c r="F629" s="111">
        <v>1108.67</v>
      </c>
      <c r="G629" s="116">
        <v>6.2</v>
      </c>
      <c r="H629" s="111">
        <v>75834.259999999995</v>
      </c>
      <c r="I629" s="103">
        <v>927.89</v>
      </c>
      <c r="J629" s="103">
        <v>33635.1</v>
      </c>
      <c r="K629" s="116">
        <v>109.75</v>
      </c>
      <c r="L629" s="111">
        <v>6817.82</v>
      </c>
      <c r="M629" s="103">
        <v>19.05</v>
      </c>
      <c r="N629" s="103">
        <v>34399.5</v>
      </c>
      <c r="O629" s="103">
        <v>29.7</v>
      </c>
      <c r="P629" s="103">
        <v>732.43</v>
      </c>
      <c r="Q629" s="103">
        <v>919.67</v>
      </c>
      <c r="R629" s="103">
        <v>11039.38</v>
      </c>
      <c r="S629" s="103">
        <v>9.0399999999999991</v>
      </c>
      <c r="T629" s="103">
        <v>37596</v>
      </c>
      <c r="U629" s="103">
        <v>69</v>
      </c>
      <c r="V629" s="103"/>
      <c r="W629" s="103"/>
      <c r="X629" s="103">
        <v>8124.22</v>
      </c>
      <c r="Y629" s="103">
        <v>0</v>
      </c>
      <c r="Z629" s="103"/>
      <c r="AA629" s="116"/>
      <c r="AB629" s="103">
        <v>266.77999999999997</v>
      </c>
      <c r="AC629" s="112">
        <v>0.42</v>
      </c>
      <c r="AD629" s="103"/>
      <c r="AE629" s="116"/>
      <c r="AF629" s="111">
        <v>131.49</v>
      </c>
      <c r="AG629" s="112">
        <v>8.08</v>
      </c>
    </row>
    <row r="630" spans="1:33" ht="4.5" customHeight="1">
      <c r="AF630" s="111"/>
      <c r="AG630" s="112"/>
    </row>
    <row r="631" spans="1:33">
      <c r="A631" s="102">
        <f>A628+1</f>
        <v>45774</v>
      </c>
      <c r="B631" s="102" t="s">
        <v>3503</v>
      </c>
      <c r="C631" s="110" t="str">
        <f>A631 &amp; " " &amp;B631</f>
        <v>45774 0000H</v>
      </c>
      <c r="D631" s="111">
        <v>2174.79</v>
      </c>
      <c r="E631" s="116">
        <v>49.7</v>
      </c>
      <c r="F631" s="111">
        <v>1108.67</v>
      </c>
      <c r="G631" s="116">
        <v>6.2</v>
      </c>
      <c r="H631" s="111">
        <v>75844.31</v>
      </c>
      <c r="I631" s="103">
        <v>927.89</v>
      </c>
      <c r="J631" s="103">
        <v>33638.519999999997</v>
      </c>
      <c r="K631" s="116">
        <v>109.7</v>
      </c>
      <c r="L631" s="111">
        <v>6823.61</v>
      </c>
      <c r="M631" s="103">
        <v>19.05</v>
      </c>
      <c r="N631" s="103">
        <v>34406.9</v>
      </c>
      <c r="O631" s="103">
        <v>29.7</v>
      </c>
      <c r="P631" s="103">
        <v>732.43</v>
      </c>
      <c r="Q631" s="103">
        <v>921.47</v>
      </c>
      <c r="R631" s="103">
        <v>11044.98</v>
      </c>
      <c r="S631" s="103">
        <v>9.0399999999999991</v>
      </c>
      <c r="T631" s="103">
        <v>37604</v>
      </c>
      <c r="U631" s="103">
        <v>69</v>
      </c>
      <c r="V631" s="103"/>
      <c r="W631" s="103"/>
      <c r="X631" s="103">
        <v>8131.66</v>
      </c>
      <c r="Y631" s="103">
        <v>0</v>
      </c>
      <c r="Z631" s="103"/>
      <c r="AA631" s="116"/>
      <c r="AB631" s="103">
        <v>266.77999999999997</v>
      </c>
      <c r="AC631" s="112">
        <v>0.42</v>
      </c>
      <c r="AD631" s="103"/>
      <c r="AE631" s="116"/>
      <c r="AF631" s="111">
        <v>131.49</v>
      </c>
      <c r="AG631" s="112">
        <v>8.19</v>
      </c>
    </row>
    <row r="632" spans="1:33">
      <c r="A632" s="102">
        <f>A629+1</f>
        <v>45774</v>
      </c>
      <c r="B632" s="102" t="s">
        <v>3504</v>
      </c>
      <c r="C632" s="110" t="str">
        <f>A632 &amp; " " &amp;B632</f>
        <v>45774 1200H</v>
      </c>
      <c r="D632" s="111">
        <v>2177.6799999999998</v>
      </c>
      <c r="E632" s="116">
        <v>49.7</v>
      </c>
      <c r="F632" s="111">
        <v>1108.67</v>
      </c>
      <c r="G632" s="116">
        <v>6.2</v>
      </c>
      <c r="H632" s="111">
        <v>75854.62</v>
      </c>
      <c r="I632" s="103">
        <v>927.9</v>
      </c>
      <c r="J632" s="103">
        <v>33638.720000000001</v>
      </c>
      <c r="K632" s="116">
        <v>109.8</v>
      </c>
      <c r="L632" s="111">
        <v>6829.09</v>
      </c>
      <c r="M632" s="103">
        <v>19.05</v>
      </c>
      <c r="N632" s="103">
        <v>34414</v>
      </c>
      <c r="O632" s="103">
        <v>29.7</v>
      </c>
      <c r="P632" s="103">
        <v>732.45</v>
      </c>
      <c r="Q632" s="103">
        <v>923.04</v>
      </c>
      <c r="R632" s="103">
        <v>11049.49</v>
      </c>
      <c r="S632" s="103">
        <v>9.0399999999999991</v>
      </c>
      <c r="T632" s="103">
        <v>37610</v>
      </c>
      <c r="U632" s="103">
        <v>69</v>
      </c>
      <c r="V632" s="103"/>
      <c r="W632" s="103"/>
      <c r="X632" s="103">
        <v>8138.1</v>
      </c>
      <c r="Y632" s="103">
        <v>0</v>
      </c>
      <c r="Z632" s="103"/>
      <c r="AA632" s="116"/>
      <c r="AB632" s="103">
        <v>266.77999999999997</v>
      </c>
      <c r="AC632" s="112">
        <v>0.42</v>
      </c>
      <c r="AD632" s="103"/>
      <c r="AE632" s="116"/>
      <c r="AF632" s="111">
        <v>131.49</v>
      </c>
      <c r="AG632" s="112">
        <v>8.3000000000000007</v>
      </c>
    </row>
    <row r="633" spans="1:33" ht="4.5" customHeight="1">
      <c r="AF633" s="111"/>
      <c r="AG633" s="112"/>
    </row>
    <row r="634" spans="1:33">
      <c r="A634" s="102">
        <f>A631+1</f>
        <v>45775</v>
      </c>
      <c r="B634" s="102" t="s">
        <v>3503</v>
      </c>
      <c r="C634" s="110" t="str">
        <f>A634 &amp; " " &amp;B634</f>
        <v>45775 0000H</v>
      </c>
      <c r="D634" s="111">
        <v>2182.52</v>
      </c>
      <c r="E634" s="116">
        <v>49.71</v>
      </c>
      <c r="F634" s="111">
        <v>1108.67</v>
      </c>
      <c r="G634" s="116">
        <v>6.2</v>
      </c>
      <c r="H634" s="111">
        <v>75867.31</v>
      </c>
      <c r="I634" s="103">
        <v>927.91</v>
      </c>
      <c r="J634" s="103">
        <v>33638.720000000001</v>
      </c>
      <c r="K634" s="116">
        <v>109.84</v>
      </c>
      <c r="L634" s="111">
        <v>6834.89</v>
      </c>
      <c r="M634" s="103">
        <v>19.05</v>
      </c>
      <c r="N634" s="103">
        <v>34421.5</v>
      </c>
      <c r="O634" s="103">
        <v>29.7</v>
      </c>
      <c r="P634" s="103">
        <v>732.45</v>
      </c>
      <c r="Q634" s="103">
        <v>924.59</v>
      </c>
      <c r="R634" s="103">
        <v>11054.47</v>
      </c>
      <c r="S634" s="103">
        <v>9.0399999999999991</v>
      </c>
      <c r="T634" s="103">
        <v>37617</v>
      </c>
      <c r="U634" s="103">
        <v>69</v>
      </c>
      <c r="V634" s="103"/>
      <c r="W634" s="103"/>
      <c r="X634" s="103">
        <v>8145.24</v>
      </c>
      <c r="Y634" s="103">
        <v>0</v>
      </c>
      <c r="Z634" s="103"/>
      <c r="AA634" s="116"/>
      <c r="AB634" s="103">
        <v>266.77999999999997</v>
      </c>
      <c r="AC634" s="112">
        <v>0.42</v>
      </c>
      <c r="AD634" s="103"/>
      <c r="AE634" s="116"/>
      <c r="AF634" s="111">
        <v>132.99</v>
      </c>
      <c r="AG634" s="112">
        <v>8.33</v>
      </c>
    </row>
    <row r="635" spans="1:33">
      <c r="A635" s="102">
        <f>A632+1</f>
        <v>45775</v>
      </c>
      <c r="B635" s="102" t="s">
        <v>3504</v>
      </c>
      <c r="C635" s="110" t="str">
        <f>A635 &amp; " " &amp;B635</f>
        <v>45775 1200H</v>
      </c>
      <c r="D635" s="111">
        <v>2186.38</v>
      </c>
      <c r="E635" s="116">
        <v>49.71</v>
      </c>
      <c r="F635" s="111">
        <v>1108.67</v>
      </c>
      <c r="G635" s="116">
        <v>6.2</v>
      </c>
      <c r="H635" s="111">
        <v>75872.72</v>
      </c>
      <c r="I635" s="103">
        <v>928.16</v>
      </c>
      <c r="J635" s="103">
        <v>33638.720000000001</v>
      </c>
      <c r="K635" s="116">
        <v>109.94</v>
      </c>
      <c r="L635" s="111">
        <v>6840.55</v>
      </c>
      <c r="M635" s="103">
        <v>19.05</v>
      </c>
      <c r="N635" s="103">
        <v>34428.6</v>
      </c>
      <c r="O635" s="103">
        <v>29.7</v>
      </c>
      <c r="P635" s="103">
        <v>732.45</v>
      </c>
      <c r="Q635" s="103">
        <v>926.09</v>
      </c>
      <c r="R635" s="103">
        <v>11058.81</v>
      </c>
      <c r="S635" s="103">
        <v>9.0399999999999991</v>
      </c>
      <c r="T635" s="103">
        <v>37624</v>
      </c>
      <c r="U635" s="103">
        <v>69</v>
      </c>
      <c r="V635" s="103"/>
      <c r="W635" s="103"/>
      <c r="X635" s="103">
        <v>8151.5</v>
      </c>
      <c r="Y635" s="103">
        <v>0</v>
      </c>
      <c r="Z635" s="103"/>
      <c r="AA635" s="116"/>
      <c r="AB635" s="103">
        <v>266.77999999999997</v>
      </c>
      <c r="AC635" s="112">
        <v>0.42</v>
      </c>
      <c r="AD635" s="103"/>
      <c r="AE635" s="116"/>
      <c r="AF635" s="111">
        <v>134.4</v>
      </c>
      <c r="AG635" s="112">
        <v>8.39</v>
      </c>
    </row>
    <row r="636" spans="1:33" ht="4.5" customHeight="1">
      <c r="AF636" s="111"/>
      <c r="AG636" s="112"/>
    </row>
    <row r="637" spans="1:33">
      <c r="A637" s="102">
        <f>A634+1</f>
        <v>45776</v>
      </c>
      <c r="B637" s="102" t="s">
        <v>3503</v>
      </c>
      <c r="C637" s="110" t="str">
        <f>A637 &amp; " " &amp;B637</f>
        <v>45776 0000H</v>
      </c>
      <c r="D637" s="111">
        <v>2191.98</v>
      </c>
      <c r="E637" s="116">
        <v>49.71</v>
      </c>
      <c r="F637" s="111">
        <v>1108.67</v>
      </c>
      <c r="G637" s="116">
        <v>6.2</v>
      </c>
      <c r="H637" s="111">
        <v>75887.28</v>
      </c>
      <c r="I637" s="103">
        <v>928.16</v>
      </c>
      <c r="J637" s="103">
        <v>33641.61</v>
      </c>
      <c r="K637" s="116">
        <v>109.96</v>
      </c>
      <c r="L637" s="111">
        <v>6846.28</v>
      </c>
      <c r="M637" s="103">
        <v>19.05</v>
      </c>
      <c r="N637" s="103">
        <v>34435.9</v>
      </c>
      <c r="O637" s="103">
        <v>29.7</v>
      </c>
      <c r="P637" s="103">
        <v>732.45</v>
      </c>
      <c r="Q637" s="103">
        <v>928.19</v>
      </c>
      <c r="R637" s="103">
        <v>11064.14</v>
      </c>
      <c r="S637" s="103">
        <v>9.0399999999999991</v>
      </c>
      <c r="T637" s="103">
        <v>37632</v>
      </c>
      <c r="U637" s="103">
        <v>69</v>
      </c>
      <c r="V637" s="103"/>
      <c r="W637" s="103"/>
      <c r="X637" s="103">
        <v>8158.95</v>
      </c>
      <c r="Y637" s="103">
        <v>0</v>
      </c>
      <c r="Z637" s="103"/>
      <c r="AA637" s="116"/>
      <c r="AB637" s="103">
        <v>266.77999999999997</v>
      </c>
      <c r="AC637" s="112">
        <v>0.42</v>
      </c>
      <c r="AD637" s="103"/>
      <c r="AE637" s="116"/>
      <c r="AF637" s="111">
        <v>135.33000000000001</v>
      </c>
      <c r="AG637" s="112">
        <v>8.43</v>
      </c>
    </row>
    <row r="638" spans="1:33">
      <c r="A638" s="102">
        <f>A635+1</f>
        <v>45776</v>
      </c>
      <c r="B638" s="102" t="s">
        <v>3504</v>
      </c>
      <c r="C638" s="110" t="str">
        <f>A638 &amp; " " &amp;B638</f>
        <v>45776 1200H</v>
      </c>
      <c r="D638" s="111">
        <v>2196.15</v>
      </c>
      <c r="E638" s="116">
        <v>49.71</v>
      </c>
      <c r="F638" s="111">
        <v>1108.67</v>
      </c>
      <c r="G638" s="116">
        <v>6.2</v>
      </c>
      <c r="H638" s="111">
        <v>75893.62</v>
      </c>
      <c r="I638" s="103">
        <v>928.38</v>
      </c>
      <c r="J638" s="103">
        <v>33642.47</v>
      </c>
      <c r="K638" s="116">
        <v>110</v>
      </c>
      <c r="L638" s="111">
        <v>6851.88</v>
      </c>
      <c r="M638" s="103">
        <v>19.05</v>
      </c>
      <c r="N638" s="103">
        <v>34443.300000000003</v>
      </c>
      <c r="O638" s="103">
        <v>29.7</v>
      </c>
      <c r="P638" s="103">
        <v>732.45</v>
      </c>
      <c r="Q638" s="103">
        <v>929.7</v>
      </c>
      <c r="R638" s="103">
        <v>11068.7</v>
      </c>
      <c r="S638" s="103">
        <v>9.0399999999999991</v>
      </c>
      <c r="T638" s="103">
        <v>37639</v>
      </c>
      <c r="U638" s="103">
        <v>69</v>
      </c>
      <c r="V638" s="103"/>
      <c r="W638" s="103"/>
      <c r="X638" s="103">
        <v>8165.41</v>
      </c>
      <c r="Y638" s="103">
        <v>0</v>
      </c>
      <c r="Z638" s="103"/>
      <c r="AA638" s="116"/>
      <c r="AB638" s="103">
        <v>266.77999999999997</v>
      </c>
      <c r="AC638" s="112">
        <v>0.42</v>
      </c>
      <c r="AD638" s="103"/>
      <c r="AE638" s="116"/>
      <c r="AF638" s="111">
        <v>135.66999999999999</v>
      </c>
      <c r="AG638" s="112">
        <v>8.51</v>
      </c>
    </row>
    <row r="639" spans="1:33" ht="4.5" customHeight="1">
      <c r="AF639" s="111"/>
      <c r="AG639" s="112"/>
    </row>
    <row r="640" spans="1:33">
      <c r="A640" s="102">
        <f>A637+1</f>
        <v>45777</v>
      </c>
      <c r="B640" s="102" t="s">
        <v>3503</v>
      </c>
      <c r="C640" s="110" t="str">
        <f>A640 &amp; " " &amp;B640</f>
        <v>45777 0000H</v>
      </c>
      <c r="D640" s="111">
        <v>2202.36</v>
      </c>
      <c r="E640" s="116">
        <v>49.71</v>
      </c>
      <c r="F640" s="111">
        <v>1108.67</v>
      </c>
      <c r="G640" s="116">
        <v>6.2</v>
      </c>
      <c r="H640" s="111">
        <v>75906.539999999994</v>
      </c>
      <c r="I640" s="103">
        <v>928.38</v>
      </c>
      <c r="J640" s="103">
        <v>33645.75</v>
      </c>
      <c r="K640" s="116">
        <v>110.02</v>
      </c>
      <c r="L640" s="111">
        <v>6857.43</v>
      </c>
      <c r="M640" s="103">
        <v>19.05</v>
      </c>
      <c r="N640" s="103">
        <v>34450</v>
      </c>
      <c r="O640" s="103">
        <v>29.7</v>
      </c>
      <c r="P640" s="103">
        <v>732.45</v>
      </c>
      <c r="Q640" s="103">
        <v>931.64</v>
      </c>
      <c r="R640" s="103">
        <v>11073.82</v>
      </c>
      <c r="S640" s="103">
        <v>9.0399999999999991</v>
      </c>
      <c r="T640" s="103">
        <v>37647</v>
      </c>
      <c r="U640" s="103">
        <v>69</v>
      </c>
      <c r="V640" s="103"/>
      <c r="W640" s="103"/>
      <c r="X640" s="103">
        <v>8173.14</v>
      </c>
      <c r="Y640" s="103">
        <v>0</v>
      </c>
      <c r="Z640" s="103"/>
      <c r="AA640" s="116"/>
      <c r="AB640" s="103">
        <v>266.77999999999997</v>
      </c>
      <c r="AC640" s="112">
        <v>0.42</v>
      </c>
      <c r="AD640" s="103"/>
      <c r="AE640" s="116"/>
      <c r="AF640" s="111">
        <v>135.66999999999999</v>
      </c>
      <c r="AG640" s="112">
        <v>8.58</v>
      </c>
    </row>
    <row r="641" spans="1:33">
      <c r="A641" s="102">
        <f>A638+1</f>
        <v>45777</v>
      </c>
      <c r="B641" s="102" t="s">
        <v>3504</v>
      </c>
      <c r="C641" s="110" t="str">
        <f>A641 &amp; " " &amp;B641</f>
        <v>45777 1200H</v>
      </c>
      <c r="D641" s="111">
        <v>2206.4899999999998</v>
      </c>
      <c r="E641" s="116">
        <v>49.71</v>
      </c>
      <c r="F641" s="111">
        <v>1108.67</v>
      </c>
      <c r="G641" s="116">
        <v>6.2</v>
      </c>
      <c r="H641" s="111">
        <v>75913.06</v>
      </c>
      <c r="I641" s="103">
        <v>928.54</v>
      </c>
      <c r="J641" s="103">
        <v>33646.58</v>
      </c>
      <c r="K641" s="116">
        <v>110.06</v>
      </c>
      <c r="L641" s="111">
        <v>6863.11</v>
      </c>
      <c r="M641" s="103">
        <v>19.05</v>
      </c>
      <c r="N641" s="103">
        <v>34458.1</v>
      </c>
      <c r="O641" s="103">
        <v>29.7</v>
      </c>
      <c r="P641" s="103">
        <v>732.45</v>
      </c>
      <c r="Q641" s="103">
        <v>933.06</v>
      </c>
      <c r="R641" s="103">
        <v>11078.29</v>
      </c>
      <c r="S641" s="103">
        <v>9.0399999999999991</v>
      </c>
      <c r="T641" s="103">
        <v>37653</v>
      </c>
      <c r="U641" s="103">
        <v>69</v>
      </c>
      <c r="V641" s="103"/>
      <c r="W641" s="103"/>
      <c r="X641" s="103">
        <v>8179.66</v>
      </c>
      <c r="Y641" s="103">
        <v>0</v>
      </c>
      <c r="Z641" s="103"/>
      <c r="AA641" s="116"/>
      <c r="AB641" s="103">
        <v>266.77999999999997</v>
      </c>
      <c r="AC641" s="112">
        <v>0.42</v>
      </c>
      <c r="AD641" s="103"/>
      <c r="AE641" s="116"/>
      <c r="AF641" s="111">
        <v>135.72999999999999</v>
      </c>
      <c r="AG641" s="112">
        <v>8.64</v>
      </c>
    </row>
  </sheetData>
  <mergeCells count="19">
    <mergeCell ref="L2:M2"/>
    <mergeCell ref="N2:O2"/>
    <mergeCell ref="L1:AG1"/>
    <mergeCell ref="AF2:AG2"/>
    <mergeCell ref="Z2:AA2"/>
    <mergeCell ref="P2:Q2"/>
    <mergeCell ref="T2:U2"/>
    <mergeCell ref="AD2:AE2"/>
    <mergeCell ref="V2:W2"/>
    <mergeCell ref="X2:Y2"/>
    <mergeCell ref="R2:S2"/>
    <mergeCell ref="AB2:AC2"/>
    <mergeCell ref="A1:A3"/>
    <mergeCell ref="B1:B3"/>
    <mergeCell ref="H2:I2"/>
    <mergeCell ref="J2:K2"/>
    <mergeCell ref="H1:K1"/>
    <mergeCell ref="D1:E2"/>
    <mergeCell ref="F1:G2"/>
  </mergeCells>
  <pageMargins left="0.7" right="0.7" top="0.75" bottom="0.75" header="0.3" footer="0.3"/>
  <legacy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C6FF3-B381-430D-8D9A-FA4FAA5CCE31}">
  <sheetPr codeName="Sheet15"/>
  <dimension ref="A1:AM67"/>
  <sheetViews>
    <sheetView zoomScale="80" zoomScaleNormal="80" workbookViewId="0">
      <selection activeCell="W47" sqref="W47"/>
    </sheetView>
  </sheetViews>
  <sheetFormatPr defaultRowHeight="14.45"/>
  <cols>
    <col min="1" max="1" width="3" bestFit="1" customWidth="1"/>
    <col min="2" max="2" width="1.140625" customWidth="1"/>
    <col min="3" max="3" width="23.7109375" bestFit="1" customWidth="1"/>
    <col min="4" max="4" width="12.42578125" style="79" customWidth="1"/>
    <col min="5" max="5" width="15.28515625" customWidth="1"/>
    <col min="6" max="6" width="14" style="79" customWidth="1"/>
    <col min="7" max="7" width="10.28515625" style="79" customWidth="1"/>
    <col min="8" max="8" width="8.28515625" style="79" customWidth="1"/>
    <col min="9" max="9" width="12.140625" style="79" customWidth="1"/>
    <col min="10" max="17" width="11.42578125" style="79" hidden="1" customWidth="1"/>
    <col min="18" max="18" width="11.7109375" style="79" bestFit="1" customWidth="1"/>
    <col min="19" max="19" width="8.7109375" style="79" bestFit="1" customWidth="1"/>
    <col min="20" max="20" width="12.28515625" style="79" customWidth="1"/>
    <col min="21" max="21" width="8.85546875" style="79" customWidth="1"/>
    <col min="22" max="22" width="15.28515625" customWidth="1"/>
    <col min="23" max="23" width="11.7109375" customWidth="1"/>
    <col min="24" max="24" width="16.7109375" customWidth="1"/>
    <col min="25" max="26" width="15.7109375" customWidth="1"/>
    <col min="27" max="27" width="14.85546875" hidden="1" customWidth="1"/>
    <col min="28" max="28" width="17" customWidth="1"/>
    <col min="29" max="29" width="17.42578125" customWidth="1"/>
    <col min="30" max="30" width="1.140625" customWidth="1"/>
    <col min="31" max="31" width="11.140625" customWidth="1"/>
    <col min="32" max="32" width="8.85546875" bestFit="1" customWidth="1"/>
    <col min="33" max="34" width="9.140625" bestFit="1" customWidth="1"/>
    <col min="35" max="35" width="14.5703125" bestFit="1" customWidth="1"/>
    <col min="36" max="36" width="2.7109375" customWidth="1"/>
    <col min="37" max="37" width="1.140625" customWidth="1"/>
    <col min="38" max="38" width="8.85546875" bestFit="1" customWidth="1"/>
    <col min="39" max="39" width="21.85546875" customWidth="1"/>
    <col min="40" max="40" width="6.5703125" customWidth="1"/>
    <col min="41" max="43" width="8.85546875" bestFit="1" customWidth="1"/>
  </cols>
  <sheetData>
    <row r="1" spans="1:39">
      <c r="D1"/>
      <c r="F1"/>
      <c r="G1"/>
      <c r="H1"/>
      <c r="I1"/>
      <c r="J1"/>
      <c r="K1"/>
      <c r="L1"/>
      <c r="M1"/>
      <c r="N1"/>
      <c r="O1"/>
      <c r="P1"/>
      <c r="Q1"/>
      <c r="R1"/>
      <c r="S1"/>
      <c r="T1"/>
    </row>
    <row r="2" spans="1:39" ht="8.1" customHeight="1">
      <c r="B2" s="130"/>
      <c r="C2" s="130"/>
      <c r="D2" s="131"/>
      <c r="E2" s="130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1"/>
      <c r="V2" s="130"/>
      <c r="W2" s="130"/>
      <c r="X2" s="130"/>
      <c r="Y2" s="130"/>
      <c r="Z2" s="130"/>
      <c r="AA2" s="130"/>
      <c r="AB2" s="130"/>
      <c r="AC2" s="130"/>
      <c r="AD2" s="130"/>
      <c r="AE2" s="130"/>
      <c r="AF2" s="130"/>
      <c r="AG2" s="130"/>
      <c r="AH2" s="130"/>
      <c r="AI2" s="130"/>
      <c r="AJ2" s="130"/>
      <c r="AK2" s="130"/>
    </row>
    <row r="3" spans="1:39" ht="15" customHeight="1">
      <c r="B3" s="130"/>
      <c r="C3" s="578" t="s">
        <v>3507</v>
      </c>
      <c r="D3" s="578" t="s">
        <v>3508</v>
      </c>
      <c r="E3" s="577" t="s">
        <v>3509</v>
      </c>
      <c r="F3" s="612" t="s">
        <v>3510</v>
      </c>
      <c r="G3" s="612" t="s">
        <v>3511</v>
      </c>
      <c r="H3" s="612" t="s">
        <v>3512</v>
      </c>
      <c r="I3" s="589" t="s">
        <v>3513</v>
      </c>
      <c r="J3" s="589" t="s">
        <v>3514</v>
      </c>
      <c r="K3" s="592"/>
      <c r="L3" s="589" t="s">
        <v>3515</v>
      </c>
      <c r="M3" s="592"/>
      <c r="N3" s="578" t="s">
        <v>3516</v>
      </c>
      <c r="O3" s="578"/>
      <c r="P3" s="578" t="s">
        <v>3517</v>
      </c>
      <c r="Q3" s="578"/>
      <c r="R3" s="595" t="s">
        <v>3518</v>
      </c>
      <c r="S3" s="596"/>
      <c r="T3" s="601" t="s">
        <v>3519</v>
      </c>
      <c r="U3" s="596"/>
      <c r="V3" s="604" t="s">
        <v>3520</v>
      </c>
      <c r="W3" s="607" t="s">
        <v>3521</v>
      </c>
      <c r="X3" s="610" t="s">
        <v>3522</v>
      </c>
      <c r="Y3" s="607" t="s">
        <v>3523</v>
      </c>
      <c r="Z3" s="604" t="s">
        <v>3524</v>
      </c>
      <c r="AA3" s="577" t="s">
        <v>3525</v>
      </c>
      <c r="AB3" s="577" t="s">
        <v>3526</v>
      </c>
      <c r="AC3" s="577" t="s">
        <v>3527</v>
      </c>
      <c r="AD3" s="130"/>
      <c r="AE3" s="130"/>
      <c r="AF3" s="130"/>
      <c r="AG3" s="155"/>
      <c r="AH3" s="579" t="s">
        <v>105</v>
      </c>
      <c r="AI3" s="581">
        <f ca="1">TODAY()</f>
        <v>45977</v>
      </c>
      <c r="AJ3" s="582"/>
      <c r="AK3" s="130"/>
    </row>
    <row r="4" spans="1:39" ht="15" customHeight="1">
      <c r="B4" s="130"/>
      <c r="C4" s="578"/>
      <c r="D4" s="578"/>
      <c r="E4" s="578"/>
      <c r="F4" s="605"/>
      <c r="G4" s="605"/>
      <c r="H4" s="605"/>
      <c r="I4" s="590"/>
      <c r="J4" s="590"/>
      <c r="K4" s="593"/>
      <c r="L4" s="590"/>
      <c r="M4" s="593"/>
      <c r="N4" s="578"/>
      <c r="O4" s="578"/>
      <c r="P4" s="578"/>
      <c r="Q4" s="578"/>
      <c r="R4" s="597"/>
      <c r="S4" s="598"/>
      <c r="T4" s="602"/>
      <c r="U4" s="598"/>
      <c r="V4" s="605"/>
      <c r="W4" s="608"/>
      <c r="X4" s="611"/>
      <c r="Y4" s="608"/>
      <c r="Z4" s="605"/>
      <c r="AA4" s="578"/>
      <c r="AB4" s="578"/>
      <c r="AC4" s="578"/>
      <c r="AD4" s="130"/>
      <c r="AE4" s="130"/>
      <c r="AF4" s="130"/>
      <c r="AG4" s="164" t="s">
        <v>3528</v>
      </c>
      <c r="AH4" s="580"/>
      <c r="AI4" s="583"/>
      <c r="AJ4" s="584"/>
      <c r="AK4" s="130"/>
    </row>
    <row r="5" spans="1:39" ht="15" customHeight="1">
      <c r="B5" s="130"/>
      <c r="C5" s="578"/>
      <c r="D5" s="578"/>
      <c r="E5" s="578"/>
      <c r="F5" s="605"/>
      <c r="G5" s="605"/>
      <c r="H5" s="605"/>
      <c r="I5" s="590"/>
      <c r="J5" s="591"/>
      <c r="K5" s="594"/>
      <c r="L5" s="591"/>
      <c r="M5" s="594"/>
      <c r="N5" s="578"/>
      <c r="O5" s="578"/>
      <c r="P5" s="578"/>
      <c r="Q5" s="578"/>
      <c r="R5" s="599"/>
      <c r="S5" s="600"/>
      <c r="T5" s="603"/>
      <c r="U5" s="600"/>
      <c r="V5" s="605"/>
      <c r="W5" s="608"/>
      <c r="X5" s="611"/>
      <c r="Y5" s="608"/>
      <c r="Z5" s="605"/>
      <c r="AA5" s="578"/>
      <c r="AB5" s="578"/>
      <c r="AC5" s="578"/>
      <c r="AD5" s="130"/>
      <c r="AE5" s="130"/>
      <c r="AF5" s="130"/>
      <c r="AG5" s="155"/>
      <c r="AH5" s="579" t="s">
        <v>3529</v>
      </c>
      <c r="AI5" s="585" t="str">
        <f ca="1">IF(_xlfn.NUMBERVALUE(TEXT(NOW(), "H")) &lt; 12,"0000h","1200h")</f>
        <v>0000h</v>
      </c>
      <c r="AJ5" s="586"/>
      <c r="AK5" s="130"/>
      <c r="AL5" s="75"/>
    </row>
    <row r="6" spans="1:39">
      <c r="B6" s="130"/>
      <c r="C6" s="578"/>
      <c r="D6" s="578"/>
      <c r="E6" s="578"/>
      <c r="F6" s="606"/>
      <c r="G6" s="606"/>
      <c r="H6" s="606"/>
      <c r="I6" s="591"/>
      <c r="J6" s="153" t="s">
        <v>3530</v>
      </c>
      <c r="K6" s="153" t="s">
        <v>3531</v>
      </c>
      <c r="L6" s="153" t="s">
        <v>3530</v>
      </c>
      <c r="M6" s="153" t="s">
        <v>3531</v>
      </c>
      <c r="N6" s="153"/>
      <c r="O6" s="153"/>
      <c r="P6" s="153" t="s">
        <v>3530</v>
      </c>
      <c r="Q6" s="153" t="s">
        <v>3531</v>
      </c>
      <c r="R6" s="174" t="s">
        <v>3530</v>
      </c>
      <c r="S6" s="153" t="s">
        <v>3531</v>
      </c>
      <c r="T6" s="153" t="s">
        <v>3530</v>
      </c>
      <c r="U6" s="153" t="s">
        <v>3531</v>
      </c>
      <c r="V6" s="606"/>
      <c r="W6" s="609"/>
      <c r="X6" s="611"/>
      <c r="Y6" s="609"/>
      <c r="Z6" s="606"/>
      <c r="AA6" s="578"/>
      <c r="AB6" s="578"/>
      <c r="AC6" s="578"/>
      <c r="AD6" s="130"/>
      <c r="AE6" s="130"/>
      <c r="AF6" s="130"/>
      <c r="AG6" s="130"/>
      <c r="AH6" s="580"/>
      <c r="AI6" s="587"/>
      <c r="AJ6" s="588"/>
      <c r="AK6" s="130"/>
      <c r="AM6" s="171"/>
    </row>
    <row r="7" spans="1:39" ht="8.1" customHeight="1">
      <c r="A7" s="118"/>
      <c r="B7" s="132"/>
      <c r="C7" s="132"/>
      <c r="D7" s="132"/>
      <c r="E7" s="132"/>
      <c r="F7" s="132"/>
      <c r="G7" s="132"/>
      <c r="H7" s="132"/>
      <c r="I7" s="132"/>
      <c r="J7" s="132"/>
      <c r="K7" s="132"/>
      <c r="L7" s="132"/>
      <c r="M7" s="132"/>
      <c r="N7" s="132"/>
      <c r="O7" s="132"/>
      <c r="P7" s="132"/>
      <c r="Q7" s="132"/>
      <c r="R7" s="132"/>
      <c r="S7" s="132"/>
      <c r="T7" s="132"/>
      <c r="U7" s="132"/>
      <c r="V7" s="132"/>
      <c r="W7" s="132"/>
      <c r="X7" s="132"/>
      <c r="Y7" s="132"/>
      <c r="Z7" s="132"/>
      <c r="AA7" s="132"/>
      <c r="AB7" s="132"/>
      <c r="AC7" s="132"/>
      <c r="AD7" s="130"/>
      <c r="AE7" s="130"/>
      <c r="AF7" s="130"/>
      <c r="AG7" s="130"/>
      <c r="AH7" s="130"/>
      <c r="AI7" s="130"/>
      <c r="AJ7" s="130"/>
      <c r="AK7" s="130"/>
    </row>
    <row r="8" spans="1:39" ht="15" thickBot="1">
      <c r="A8" s="119"/>
      <c r="B8" s="132"/>
      <c r="C8" s="133"/>
      <c r="D8" s="134"/>
      <c r="E8" s="134"/>
      <c r="F8" s="134"/>
      <c r="G8" s="134"/>
      <c r="H8" s="134"/>
      <c r="I8" s="134"/>
      <c r="J8" s="134"/>
      <c r="K8" s="134"/>
      <c r="L8" s="134"/>
      <c r="M8" s="134"/>
      <c r="N8" s="134"/>
      <c r="O8" s="134"/>
      <c r="P8" s="134"/>
      <c r="Q8" s="134"/>
      <c r="R8" s="134"/>
      <c r="S8" s="134"/>
      <c r="T8" s="134"/>
      <c r="U8" s="134"/>
      <c r="V8" s="134"/>
      <c r="W8" s="134"/>
      <c r="X8" s="134"/>
      <c r="Y8" s="134"/>
      <c r="Z8" s="134"/>
      <c r="AA8" s="134"/>
      <c r="AB8" s="134"/>
      <c r="AC8" s="135"/>
      <c r="AD8" s="130"/>
      <c r="AE8" s="126"/>
      <c r="AF8" s="127"/>
      <c r="AG8" s="127"/>
      <c r="AH8" s="127"/>
      <c r="AI8" s="127"/>
      <c r="AJ8" s="128"/>
      <c r="AK8" s="130"/>
    </row>
    <row r="9" spans="1:39" ht="19.899999999999999" customHeight="1">
      <c r="A9" s="119"/>
      <c r="B9" s="130"/>
      <c r="C9" s="149" t="s">
        <v>3532</v>
      </c>
      <c r="D9" s="183">
        <f>11896.56</f>
        <v>11896.56</v>
      </c>
      <c r="E9" s="406">
        <f>D9*11+(20*24*24)</f>
        <v>142382.15999999997</v>
      </c>
      <c r="F9" s="146">
        <v>45772</v>
      </c>
      <c r="G9" s="147" t="s">
        <v>3504</v>
      </c>
      <c r="H9" s="184">
        <f ca="1" xml:space="preserve"> NOW() - (F9 + TIME(LEFT($G$9, 2), MID($G$9, 3, 2), 0))</f>
        <v>204.50046064814524</v>
      </c>
      <c r="I9" s="185">
        <f ca="1">((DATE(YEAR(F9),MONTH(F9)+1,25)) + TIME(LEFT("1200H", 2), MID("1200H", 3, 2), 0)) - ($AI$3 + TIME(LEFT(NOW(), 2), MID(NOW(), 3, 2), 0))</f>
        <v>-175.4423611111124</v>
      </c>
      <c r="J9" s="191">
        <v>1066.04</v>
      </c>
      <c r="K9" s="191">
        <v>49.67</v>
      </c>
      <c r="L9" s="191">
        <v>1108.67</v>
      </c>
      <c r="M9" s="191">
        <v>6.2</v>
      </c>
      <c r="N9" s="136"/>
      <c r="O9" s="136"/>
      <c r="P9" s="183"/>
      <c r="Q9" s="183"/>
      <c r="R9" s="192">
        <f>INDEX(BILLING!$D:$D,MATCH($F9&amp;" "&amp;$G9,BILLING!$C:$C,0))</f>
        <v>2157.6799999999998</v>
      </c>
      <c r="S9" s="192">
        <f>INDEX(BILLING!$E:$E,MATCH($F9&amp;" "&amp;$G9,BILLING!$C:$C,0))</f>
        <v>49.7</v>
      </c>
      <c r="T9" s="192">
        <f>INDEX(BILLING!$F:$F,MATCH($F9&amp;" "&amp;$G9,BILLING!$C:$C,0))</f>
        <v>1108.67</v>
      </c>
      <c r="U9" s="192">
        <f>INDEX(BILLING!$G:$G,MATCH($F9&amp;" "&amp;$G9,BILLING!$C:$C,0))</f>
        <v>6.2</v>
      </c>
      <c r="V9" s="186">
        <f>D9/30/24</f>
        <v>16.523</v>
      </c>
      <c r="W9" s="433" cm="1">
        <f t="array" aca="1" ref="W9" ca="1">INDIRECT(TEXT(DAY(TODAY()),"0")&amp;"!AI12")</f>
        <v>441.40000000000003</v>
      </c>
      <c r="X9" s="183" t="e">
        <f ca="1">AC9+W9</f>
        <v>#N/A</v>
      </c>
      <c r="Y9" s="188" t="e">
        <f ca="1">X9/H9/24</f>
        <v>#N/A</v>
      </c>
      <c r="Z9" s="189" t="e">
        <f ca="1">AC9/H9/24</f>
        <v>#N/A</v>
      </c>
      <c r="AA9" s="191"/>
      <c r="AB9" s="376" t="e">
        <f ca="1">(((((INDEX(BILLING!$D:$D,MATCH($AI$3&amp;" "&amp;$AI$5,BILLING!$C:$C,0))-J9)*$D$53)-
((INDEX(BILLING!$E:$E,MATCH($AI$3&amp;" "&amp;$AI$5,BILLING!$C:$C,0))-K9)*$D$53)))+
((((INDEX(BILLING!$F:$F,MATCH($AI$3&amp;" "&amp;$AI$5,BILLING!$C:$C,0))-L9)*$D$52)-
((INDEX(BILLING!$G:$G,MATCH($AI$3&amp;" "&amp;$AI$5,BILLING!$C:$C,0))-M9)*$D$52))))/1000</f>
        <v>#N/A</v>
      </c>
      <c r="AC9" s="407" t="e">
        <f ca="1">(((((INDEX(BILLING!$D:$D,MATCH($AI$3&amp;" "&amp;$AI$5,BILLING!$C:$C,0))-R9)*$D$53)-
((INDEX(BILLING!$E:$E,MATCH($AI$3&amp;" "&amp;$AI$5,BILLING!$C:$C,0))-S9)*$D$53)))+
((((INDEX(BILLING!$F:$F,MATCH($AI$3&amp;" "&amp;$AI$5,BILLING!$C:$C,0))-T9)*$D$52)-
((INDEX(BILLING!$G:$G,MATCH($AI$3&amp;" "&amp;$AI$5,BILLING!$C:$C,0))-U9)*$D$52))))/1000</f>
        <v>#N/A</v>
      </c>
      <c r="AD9" s="130"/>
      <c r="AE9" s="129" t="s">
        <v>3533</v>
      </c>
      <c r="AF9" s="571" t="e">
        <f ca="1">$AB$9/$E$9</f>
        <v>#N/A</v>
      </c>
      <c r="AG9" s="572"/>
      <c r="AH9" s="572"/>
      <c r="AI9" s="573"/>
      <c r="AJ9" s="122"/>
      <c r="AK9" s="130"/>
    </row>
    <row r="10" spans="1:39" ht="15" thickBot="1">
      <c r="B10" s="130"/>
      <c r="C10" s="129"/>
      <c r="D10" s="136"/>
      <c r="E10" s="136"/>
      <c r="F10" s="136"/>
      <c r="G10" s="136"/>
      <c r="H10" s="136"/>
      <c r="I10" s="200"/>
      <c r="J10" s="200"/>
      <c r="K10" s="200"/>
      <c r="L10" s="200"/>
      <c r="M10" s="200"/>
      <c r="N10" s="200"/>
      <c r="O10" s="200"/>
      <c r="P10" s="200"/>
      <c r="Q10" s="200"/>
      <c r="R10" s="183"/>
      <c r="S10" s="183"/>
      <c r="T10" s="183"/>
      <c r="U10" s="183"/>
      <c r="V10" s="190"/>
      <c r="W10" s="136"/>
      <c r="X10" s="401"/>
      <c r="Y10" s="136"/>
      <c r="Z10" s="190"/>
      <c r="AA10" s="136"/>
      <c r="AB10" s="387"/>
      <c r="AC10" s="381"/>
      <c r="AD10" s="130"/>
      <c r="AE10" s="129"/>
      <c r="AF10" s="574"/>
      <c r="AG10" s="575"/>
      <c r="AH10" s="575"/>
      <c r="AI10" s="576"/>
      <c r="AJ10" s="122"/>
      <c r="AK10" s="130"/>
    </row>
    <row r="11" spans="1:39" ht="8.1" customHeight="1" thickBot="1">
      <c r="B11" s="130"/>
      <c r="C11" s="129"/>
      <c r="D11" s="136"/>
      <c r="E11" s="136"/>
      <c r="F11" s="136"/>
      <c r="G11" s="136"/>
      <c r="H11" s="136"/>
      <c r="I11" s="200"/>
      <c r="J11" s="200"/>
      <c r="K11" s="200"/>
      <c r="L11" s="200"/>
      <c r="M11" s="200"/>
      <c r="N11" s="200"/>
      <c r="O11" s="200"/>
      <c r="P11" s="200"/>
      <c r="Q11" s="200"/>
      <c r="R11" s="183"/>
      <c r="S11" s="183"/>
      <c r="T11" s="183"/>
      <c r="U11" s="183"/>
      <c r="V11" s="190"/>
      <c r="W11" s="136"/>
      <c r="X11" s="401"/>
      <c r="Y11" s="136"/>
      <c r="Z11" s="190"/>
      <c r="AA11" s="136"/>
      <c r="AB11" s="387"/>
      <c r="AC11" s="381"/>
      <c r="AD11" s="130"/>
      <c r="AE11" s="129"/>
      <c r="AF11" s="121"/>
      <c r="AG11" s="121"/>
      <c r="AH11" s="121"/>
      <c r="AI11" s="121"/>
      <c r="AJ11" s="122"/>
      <c r="AK11" s="130"/>
    </row>
    <row r="12" spans="1:39">
      <c r="B12" s="130"/>
      <c r="C12" s="129"/>
      <c r="D12" s="136"/>
      <c r="E12" s="136"/>
      <c r="F12" s="136"/>
      <c r="G12" s="136"/>
      <c r="H12" s="136"/>
      <c r="I12" s="136"/>
      <c r="J12" s="136"/>
      <c r="K12" s="136"/>
      <c r="L12" s="136"/>
      <c r="M12" s="136"/>
      <c r="N12" s="136"/>
      <c r="O12" s="136"/>
      <c r="P12" s="136"/>
      <c r="Q12" s="136"/>
      <c r="R12" s="136"/>
      <c r="S12" s="136"/>
      <c r="T12" s="183"/>
      <c r="U12" s="183"/>
      <c r="V12" s="190"/>
      <c r="W12" s="187"/>
      <c r="X12" s="183"/>
      <c r="Y12" s="187"/>
      <c r="Z12" s="190"/>
      <c r="AA12" s="181"/>
      <c r="AB12" s="182"/>
      <c r="AC12" s="381"/>
      <c r="AD12" s="130"/>
      <c r="AE12" s="129" t="s">
        <v>3534</v>
      </c>
      <c r="AF12" s="571" t="e">
        <f ca="1">$AC$9/$D$9</f>
        <v>#N/A</v>
      </c>
      <c r="AG12" s="572"/>
      <c r="AH12" s="572"/>
      <c r="AI12" s="573"/>
      <c r="AJ12" s="122"/>
      <c r="AK12" s="130"/>
    </row>
    <row r="13" spans="1:39" ht="15" thickBot="1">
      <c r="B13" s="130"/>
      <c r="C13" s="129"/>
      <c r="D13" s="136"/>
      <c r="E13" s="136"/>
      <c r="F13" s="136"/>
      <c r="G13" s="136"/>
      <c r="H13" s="136"/>
      <c r="I13" s="194"/>
      <c r="J13" s="194"/>
      <c r="K13" s="194"/>
      <c r="L13" s="194"/>
      <c r="M13" s="194"/>
      <c r="N13" s="194"/>
      <c r="O13" s="194"/>
      <c r="P13" s="194"/>
      <c r="Q13" s="194"/>
      <c r="R13" s="183"/>
      <c r="S13" s="183"/>
      <c r="T13" s="183"/>
      <c r="U13" s="183"/>
      <c r="V13" s="190"/>
      <c r="W13" s="136"/>
      <c r="X13" s="401"/>
      <c r="Y13" s="136"/>
      <c r="Z13" s="190"/>
      <c r="AA13" s="136"/>
      <c r="AB13" s="387"/>
      <c r="AC13" s="381"/>
      <c r="AD13" s="130"/>
      <c r="AE13" s="120"/>
      <c r="AF13" s="574"/>
      <c r="AG13" s="575"/>
      <c r="AH13" s="575"/>
      <c r="AI13" s="576"/>
      <c r="AJ13" s="122"/>
      <c r="AK13" s="130"/>
    </row>
    <row r="14" spans="1:39">
      <c r="B14" s="130"/>
      <c r="C14" s="138"/>
      <c r="D14" s="139"/>
      <c r="E14" s="139"/>
      <c r="F14" s="139"/>
      <c r="G14" s="139"/>
      <c r="H14" s="139"/>
      <c r="I14" s="139"/>
      <c r="J14" s="139"/>
      <c r="K14" s="139"/>
      <c r="L14" s="139"/>
      <c r="M14" s="139"/>
      <c r="N14" s="139"/>
      <c r="O14" s="139"/>
      <c r="P14" s="139"/>
      <c r="Q14" s="139"/>
      <c r="R14" s="165"/>
      <c r="S14" s="165"/>
      <c r="T14" s="165"/>
      <c r="U14" s="165"/>
      <c r="V14" s="160"/>
      <c r="W14" s="139"/>
      <c r="X14" s="402"/>
      <c r="Y14" s="139"/>
      <c r="Z14" s="160"/>
      <c r="AA14" s="139"/>
      <c r="AB14" s="388"/>
      <c r="AC14" s="382"/>
      <c r="AD14" s="130"/>
      <c r="AE14" s="123"/>
      <c r="AF14" s="124"/>
      <c r="AG14" s="124"/>
      <c r="AH14" s="124"/>
      <c r="AI14" s="124"/>
      <c r="AJ14" s="125"/>
      <c r="AK14" s="130"/>
    </row>
    <row r="15" spans="1:39" ht="8.1" customHeight="1">
      <c r="B15" s="130"/>
      <c r="C15" s="131"/>
      <c r="D15" s="131"/>
      <c r="E15" s="131"/>
      <c r="F15" s="131"/>
      <c r="G15" s="131"/>
      <c r="H15" s="131"/>
      <c r="I15" s="131"/>
      <c r="J15" s="131"/>
      <c r="K15" s="131"/>
      <c r="L15" s="131"/>
      <c r="M15" s="131"/>
      <c r="N15" s="131"/>
      <c r="O15" s="131"/>
      <c r="P15" s="131"/>
      <c r="Q15" s="131"/>
      <c r="R15" s="166"/>
      <c r="S15" s="166"/>
      <c r="T15" s="166"/>
      <c r="U15" s="166"/>
      <c r="V15" s="161"/>
      <c r="W15" s="131"/>
      <c r="X15" s="403"/>
      <c r="Y15" s="131"/>
      <c r="Z15" s="161"/>
      <c r="AA15" s="131"/>
      <c r="AB15" s="383"/>
      <c r="AC15" s="383"/>
      <c r="AD15" s="130"/>
      <c r="AE15" s="130"/>
      <c r="AF15" s="130"/>
      <c r="AG15" s="130"/>
      <c r="AH15" s="130"/>
      <c r="AI15" s="130"/>
      <c r="AJ15" s="130"/>
      <c r="AK15" s="130"/>
    </row>
    <row r="16" spans="1:39" ht="15" thickBot="1">
      <c r="B16" s="130"/>
      <c r="C16" s="133"/>
      <c r="D16" s="141"/>
      <c r="E16" s="141"/>
      <c r="F16" s="141"/>
      <c r="G16" s="141"/>
      <c r="H16" s="141"/>
      <c r="I16" s="141"/>
      <c r="J16" s="141"/>
      <c r="K16" s="141"/>
      <c r="L16" s="141"/>
      <c r="M16" s="141"/>
      <c r="N16" s="141"/>
      <c r="O16" s="141"/>
      <c r="P16" s="141"/>
      <c r="Q16" s="141"/>
      <c r="R16" s="167"/>
      <c r="S16" s="167"/>
      <c r="T16" s="167"/>
      <c r="U16" s="167"/>
      <c r="V16" s="162"/>
      <c r="W16" s="141"/>
      <c r="X16" s="404"/>
      <c r="Y16" s="141"/>
      <c r="Z16" s="162"/>
      <c r="AA16" s="197"/>
      <c r="AB16" s="432" t="s">
        <v>3535</v>
      </c>
      <c r="AC16" s="384"/>
      <c r="AD16" s="130"/>
      <c r="AE16" s="126"/>
      <c r="AF16" s="127"/>
      <c r="AG16" s="127"/>
      <c r="AH16" s="127"/>
      <c r="AI16" s="127"/>
      <c r="AJ16" s="128"/>
      <c r="AK16" s="130"/>
    </row>
    <row r="17" spans="2:39" ht="19.899999999999999" customHeight="1">
      <c r="B17" s="130"/>
      <c r="C17" s="149" t="s">
        <v>3536</v>
      </c>
      <c r="D17" s="410">
        <f>56696/365*30</f>
        <v>4659.9452054794519</v>
      </c>
      <c r="E17" s="410">
        <f>56696</f>
        <v>56696</v>
      </c>
      <c r="F17" s="146">
        <v>45772</v>
      </c>
      <c r="G17" s="147" t="s">
        <v>3504</v>
      </c>
      <c r="H17" s="184">
        <f ca="1" xml:space="preserve"> NOW() - (F17 + TIME(LEFT($G$17, 2), MID($G$17, 3, 2), 0))</f>
        <v>204.50046064814524</v>
      </c>
      <c r="I17" s="185">
        <f ca="1">((DATE(YEAR(F17),MONTH(F17)+1,25)) + TIME(LEFT("1200H", 2), MID("1200H", 3, 2), 0)) - ($AI$3 + TIME(LEFT(NOW(), 2), MID(NOW(), 3, 2), 0))</f>
        <v>-175.4423611111124</v>
      </c>
      <c r="J17" s="157"/>
      <c r="K17" s="157"/>
      <c r="L17" s="157"/>
      <c r="M17" s="157"/>
      <c r="N17" s="157"/>
      <c r="O17" s="157"/>
      <c r="P17" s="157"/>
      <c r="Q17" s="157"/>
      <c r="R17" s="136"/>
      <c r="S17" s="136"/>
      <c r="T17" s="136"/>
      <c r="U17" s="136"/>
      <c r="V17" s="186">
        <f>D17/30/24</f>
        <v>6.4721461187214615</v>
      </c>
      <c r="W17" s="187">
        <f ca="1">SUM(W20:W21)</f>
        <v>163.39999999999995</v>
      </c>
      <c r="X17" s="183" t="e">
        <f ca="1">AC17+W17</f>
        <v>#N/A</v>
      </c>
      <c r="Y17" s="188" t="e">
        <f ca="1">X17/H17/24</f>
        <v>#N/A</v>
      </c>
      <c r="Z17" s="189" t="e">
        <f ca="1">AC17/H17/24</f>
        <v>#N/A</v>
      </c>
      <c r="AA17" s="198"/>
      <c r="AB17" s="390" t="e">
        <f ca="1">AB20+AB21</f>
        <v>#N/A</v>
      </c>
      <c r="AC17" s="407" t="e">
        <f ca="1">AC20+AC21</f>
        <v>#N/A</v>
      </c>
      <c r="AD17" s="130"/>
      <c r="AE17" s="129" t="s">
        <v>3533</v>
      </c>
      <c r="AF17" s="571" t="e">
        <f ca="1">$AB$17/$E$17</f>
        <v>#N/A</v>
      </c>
      <c r="AG17" s="572"/>
      <c r="AH17" s="572"/>
      <c r="AI17" s="573"/>
      <c r="AJ17" s="122"/>
      <c r="AK17" s="130"/>
    </row>
    <row r="18" spans="2:39" ht="15.75" customHeight="1" thickBot="1">
      <c r="B18" s="130"/>
      <c r="C18" s="129"/>
      <c r="D18" s="136"/>
      <c r="E18" s="136"/>
      <c r="F18" s="136"/>
      <c r="G18" s="136"/>
      <c r="H18" s="136"/>
      <c r="I18" s="136"/>
      <c r="J18" s="136"/>
      <c r="K18" s="136"/>
      <c r="L18" s="136"/>
      <c r="M18" s="136"/>
      <c r="N18" s="136"/>
      <c r="O18" s="136"/>
      <c r="P18" s="136"/>
      <c r="Q18" s="136" t="s">
        <v>3537</v>
      </c>
      <c r="R18" s="183"/>
      <c r="S18" s="183"/>
      <c r="T18" s="183"/>
      <c r="U18" s="183"/>
      <c r="V18" s="190"/>
      <c r="W18" s="136"/>
      <c r="X18" s="401"/>
      <c r="Y18" s="136"/>
      <c r="Z18" s="190"/>
      <c r="AA18" s="136"/>
      <c r="AB18" s="391"/>
      <c r="AC18" s="385"/>
      <c r="AD18" s="130"/>
      <c r="AE18" s="129"/>
      <c r="AF18" s="574"/>
      <c r="AG18" s="575"/>
      <c r="AH18" s="575"/>
      <c r="AI18" s="576"/>
      <c r="AJ18" s="122"/>
      <c r="AK18" s="130"/>
    </row>
    <row r="19" spans="2:39" ht="8.1" customHeight="1" thickBot="1">
      <c r="B19" s="130"/>
      <c r="C19" s="129"/>
      <c r="D19" s="136"/>
      <c r="E19" s="136"/>
      <c r="F19" s="136"/>
      <c r="G19" s="136"/>
      <c r="H19" s="136"/>
      <c r="I19" s="136"/>
      <c r="J19" s="136"/>
      <c r="K19" s="136"/>
      <c r="L19" s="136"/>
      <c r="M19" s="136"/>
      <c r="N19" s="136"/>
      <c r="O19" s="136"/>
      <c r="P19" s="136"/>
      <c r="Q19" s="136"/>
      <c r="R19" s="183"/>
      <c r="S19" s="183"/>
      <c r="T19" s="183"/>
      <c r="U19" s="183"/>
      <c r="V19" s="190"/>
      <c r="W19" s="136"/>
      <c r="X19" s="401"/>
      <c r="Y19" s="136"/>
      <c r="Z19" s="190"/>
      <c r="AA19" s="136"/>
      <c r="AB19" s="391"/>
      <c r="AC19" s="385"/>
      <c r="AD19" s="130"/>
      <c r="AE19" s="129"/>
      <c r="AF19" s="121"/>
      <c r="AG19" s="121"/>
      <c r="AH19" s="121"/>
      <c r="AI19" s="121"/>
      <c r="AJ19" s="122"/>
      <c r="AK19" s="130"/>
    </row>
    <row r="20" spans="2:39" ht="15" customHeight="1">
      <c r="B20" s="130"/>
      <c r="C20" s="129" t="s">
        <v>124</v>
      </c>
      <c r="D20" s="136"/>
      <c r="E20" s="136"/>
      <c r="F20" s="194"/>
      <c r="G20" s="195"/>
      <c r="H20" s="196"/>
      <c r="I20" s="196"/>
      <c r="J20" s="136"/>
      <c r="K20" s="136"/>
      <c r="L20" s="376">
        <v>73997.59</v>
      </c>
      <c r="M20" s="376">
        <v>901.18</v>
      </c>
      <c r="N20" s="136"/>
      <c r="O20" s="136"/>
      <c r="P20" s="180">
        <v>74762.399999999994</v>
      </c>
      <c r="Q20" s="180">
        <v>911.77</v>
      </c>
      <c r="R20" s="183"/>
      <c r="S20" s="183"/>
      <c r="T20" s="192">
        <f>INDEX(BILLING!$H:$H,MATCH($F17&amp;" "&amp;$G17,BILLING!$C:$C,0))</f>
        <v>75812.899999999994</v>
      </c>
      <c r="U20" s="192">
        <f>INDEX(BILLING!$I:$I,MATCH($F17&amp;" "&amp;$G17,BILLING!$C:$C,0))</f>
        <v>927.27</v>
      </c>
      <c r="V20" s="190"/>
      <c r="W20" s="433" cm="1">
        <f t="array" aca="1" ref="W20" ca="1">INDIRECT(TEXT(DAY(TODAY()),"0")&amp;"!AI18")</f>
        <v>107.49999999999996</v>
      </c>
      <c r="X20" s="183"/>
      <c r="Y20" s="187"/>
      <c r="Z20" s="190"/>
      <c r="AA20" s="181"/>
      <c r="AB20" s="392" t="e">
        <f ca="1">(((((INDEX(BILLING!$H:$H,MATCH($AI$3&amp;" "&amp;$AI$5,BILLING!$C:$C,0))-P20)*$D$60)-
((INDEX(BILLING!$I:$I,MATCH($AI$3&amp;" "&amp;$AI$5,BILLING!$C:$C,0))-Q20)*$D$60))))/1000</f>
        <v>#N/A</v>
      </c>
      <c r="AC20" s="380" t="e">
        <f ca="1">(((((INDEX(BILLING!$H:$H,MATCH($AI$3&amp;" "&amp;$AI$5,BILLING!$C:$C,0))-T20)*$D$60)-
((INDEX(BILLING!$I:$I,MATCH($AI$3&amp;" "&amp;$AI$5,BILLING!$C:$C,0))-U20)*$D$60))))/1000</f>
        <v>#N/A</v>
      </c>
      <c r="AD20" s="130"/>
      <c r="AE20" s="129" t="s">
        <v>3534</v>
      </c>
      <c r="AF20" s="571" t="e">
        <f ca="1">$AC$17/$D$17</f>
        <v>#N/A</v>
      </c>
      <c r="AG20" s="572"/>
      <c r="AH20" s="572"/>
      <c r="AI20" s="573"/>
      <c r="AJ20" s="122"/>
      <c r="AK20" s="130"/>
    </row>
    <row r="21" spans="2:39" ht="15.75" customHeight="1" thickBot="1">
      <c r="B21" s="130"/>
      <c r="C21" s="129" t="s">
        <v>125</v>
      </c>
      <c r="D21" s="136"/>
      <c r="E21" s="136"/>
      <c r="F21" s="194"/>
      <c r="G21" s="195"/>
      <c r="H21" s="196"/>
      <c r="I21" s="196"/>
      <c r="J21" s="136"/>
      <c r="K21" s="136"/>
      <c r="L21" s="376">
        <v>33090.730000000003</v>
      </c>
      <c r="M21" s="376">
        <v>104.01</v>
      </c>
      <c r="N21" s="136"/>
      <c r="O21" s="136"/>
      <c r="P21" s="180">
        <v>33383.839999999997</v>
      </c>
      <c r="Q21" s="180">
        <v>106.44</v>
      </c>
      <c r="R21" s="183"/>
      <c r="S21" s="183"/>
      <c r="T21" s="192">
        <f>INDEX(BILLING!$J:$J,MATCH($F17&amp;" "&amp;$G17,BILLING!$C:$C,0))</f>
        <v>33630.57</v>
      </c>
      <c r="U21" s="192">
        <f>INDEX(BILLING!$K:$K,MATCH($F17&amp;" "&amp;$G17,BILLING!$C:$C,0))</f>
        <v>109.7</v>
      </c>
      <c r="V21" s="190"/>
      <c r="W21" s="433" cm="1">
        <f t="array" aca="1" ref="W21" ca="1">INDIRECT(TEXT(DAY(TODAY()),"0")&amp;"!AI23")</f>
        <v>55.899999999999984</v>
      </c>
      <c r="X21" s="183"/>
      <c r="Y21" s="187"/>
      <c r="Z21" s="190"/>
      <c r="AA21" s="181"/>
      <c r="AB21" s="392" t="e">
        <f ca="1">(((((INDEX(BILLING!$J:$J,MATCH($AI$3&amp;" "&amp;$AI$5,BILLING!$C:$C,0))-P21)*$D$61)-
((INDEX(BILLING!$K:$K,MATCH($AI$3&amp;" "&amp;$AI$5,BILLING!$C:$C,0))-Q21)*$D$61))))/1000</f>
        <v>#N/A</v>
      </c>
      <c r="AC21" s="380" t="e">
        <f ca="1">(((((INDEX(BILLING!$J:$J,MATCH($AI$3&amp;" "&amp;$AI$5,BILLING!$C:$C,0))-T21)*$D$61)-
((INDEX(BILLING!$K:$K,MATCH($AI$3&amp;" "&amp;$AI$5,BILLING!$C:$C,0))-U21)*$D$61))))/1000</f>
        <v>#N/A</v>
      </c>
      <c r="AD21" s="130"/>
      <c r="AE21" s="129"/>
      <c r="AF21" s="574"/>
      <c r="AG21" s="575"/>
      <c r="AH21" s="575"/>
      <c r="AI21" s="576"/>
      <c r="AJ21" s="122"/>
      <c r="AK21" s="130"/>
    </row>
    <row r="22" spans="2:39">
      <c r="B22" s="130"/>
      <c r="C22" s="138"/>
      <c r="D22" s="139"/>
      <c r="E22" s="139"/>
      <c r="F22" s="139"/>
      <c r="G22" s="139"/>
      <c r="H22" s="139"/>
      <c r="I22" s="139"/>
      <c r="J22" s="139"/>
      <c r="K22" s="139"/>
      <c r="L22" s="139"/>
      <c r="M22" s="139"/>
      <c r="N22" s="139"/>
      <c r="O22" s="139"/>
      <c r="P22" s="139"/>
      <c r="Q22" s="139"/>
      <c r="R22" s="165"/>
      <c r="S22" s="165"/>
      <c r="T22" s="165"/>
      <c r="U22" s="165"/>
      <c r="V22" s="160"/>
      <c r="W22" s="139"/>
      <c r="X22" s="402"/>
      <c r="Y22" s="139"/>
      <c r="Z22" s="160"/>
      <c r="AA22" s="139"/>
      <c r="AB22" s="388"/>
      <c r="AC22" s="382"/>
      <c r="AD22" s="130"/>
      <c r="AE22" s="123"/>
      <c r="AF22" s="124"/>
      <c r="AG22" s="124"/>
      <c r="AH22" s="124"/>
      <c r="AI22" s="124"/>
      <c r="AJ22" s="125"/>
      <c r="AK22" s="130"/>
    </row>
    <row r="23" spans="2:39" ht="8.1" customHeight="1">
      <c r="B23" s="130"/>
      <c r="C23" s="143"/>
      <c r="D23" s="143"/>
      <c r="E23" s="143"/>
      <c r="F23" s="143"/>
      <c r="G23" s="143"/>
      <c r="H23" s="143"/>
      <c r="I23" s="143"/>
      <c r="J23" s="143"/>
      <c r="K23" s="143"/>
      <c r="L23" s="143"/>
      <c r="M23" s="143"/>
      <c r="N23" s="143"/>
      <c r="O23" s="143"/>
      <c r="P23" s="143"/>
      <c r="Q23" s="143"/>
      <c r="R23" s="168"/>
      <c r="S23" s="168"/>
      <c r="T23" s="168"/>
      <c r="U23" s="168"/>
      <c r="V23" s="163"/>
      <c r="W23" s="143"/>
      <c r="X23" s="405"/>
      <c r="Y23" s="143"/>
      <c r="Z23" s="163"/>
      <c r="AA23" s="143"/>
      <c r="AB23" s="386"/>
      <c r="AC23" s="386"/>
      <c r="AD23" s="130"/>
      <c r="AE23" s="130"/>
      <c r="AF23" s="130"/>
      <c r="AG23" s="130"/>
      <c r="AH23" s="130"/>
      <c r="AI23" s="130"/>
      <c r="AJ23" s="130"/>
      <c r="AK23" s="130"/>
    </row>
    <row r="24" spans="2:39" ht="15" thickBot="1">
      <c r="B24" s="130"/>
      <c r="C24" s="133"/>
      <c r="D24" s="141"/>
      <c r="E24" s="141"/>
      <c r="F24" s="141"/>
      <c r="G24" s="141"/>
      <c r="H24" s="141"/>
      <c r="I24" s="141"/>
      <c r="J24" s="141"/>
      <c r="K24" s="141"/>
      <c r="L24" s="141"/>
      <c r="M24" s="141"/>
      <c r="N24" s="141"/>
      <c r="O24" s="141"/>
      <c r="P24" s="141"/>
      <c r="Q24" s="141"/>
      <c r="R24" s="167"/>
      <c r="S24" s="167"/>
      <c r="T24" s="167"/>
      <c r="U24" s="167"/>
      <c r="V24" s="162"/>
      <c r="W24" s="141"/>
      <c r="X24" s="404"/>
      <c r="Y24" s="141"/>
      <c r="Z24" s="162"/>
      <c r="AA24" s="141"/>
      <c r="AB24" s="389"/>
      <c r="AC24" s="384"/>
      <c r="AD24" s="130"/>
      <c r="AE24" s="126"/>
      <c r="AF24" s="127"/>
      <c r="AG24" s="127"/>
      <c r="AH24" s="127"/>
      <c r="AI24" s="127"/>
      <c r="AJ24" s="128"/>
      <c r="AK24" s="130"/>
    </row>
    <row r="25" spans="2:39" ht="19.899999999999999" customHeight="1">
      <c r="B25" s="130"/>
      <c r="C25" s="149" t="s">
        <v>3538</v>
      </c>
      <c r="D25" s="193">
        <f>E25/12</f>
        <v>15000</v>
      </c>
      <c r="E25" s="183">
        <v>180000</v>
      </c>
      <c r="F25" s="146">
        <v>45772</v>
      </c>
      <c r="G25" s="147" t="s">
        <v>3504</v>
      </c>
      <c r="H25" s="184">
        <f ca="1" xml:space="preserve"> NOW() - (F25 + TIME(LEFT($G$25, 2), MID($G$25, 3, 2), 0))</f>
        <v>204.50046064814524</v>
      </c>
      <c r="I25" s="185">
        <f ca="1">((DATE(YEAR(F25),MONTH(F25)+1,25)) + TIME(LEFT("1200H", 2), MID("1200H", 3, 2), 0)) - ($AI$3 + TIME(LEFT(NOW(), 2), MID(NOW(), 3, 2), 0))</f>
        <v>-175.4423611111124</v>
      </c>
      <c r="J25" s="183"/>
      <c r="K25" s="183"/>
      <c r="L25" s="183"/>
      <c r="M25" s="183"/>
      <c r="N25" s="183"/>
      <c r="O25" s="183"/>
      <c r="P25" s="183"/>
      <c r="Q25" s="183"/>
      <c r="R25" s="183"/>
      <c r="S25" s="183"/>
      <c r="T25" s="183"/>
      <c r="U25" s="183"/>
      <c r="V25" s="186">
        <f>D25/30/24</f>
        <v>20.833333333333332</v>
      </c>
      <c r="W25" s="187">
        <f ca="1">SUM(W28:W31)</f>
        <v>528.10000000000014</v>
      </c>
      <c r="X25" s="183" t="e">
        <f ca="1">AC25+W25</f>
        <v>#N/A</v>
      </c>
      <c r="Y25" s="188" t="e">
        <f ca="1">X25/H25/24</f>
        <v>#N/A</v>
      </c>
      <c r="Z25" s="189" t="e">
        <f ca="1">AC25/H25/24</f>
        <v>#N/A</v>
      </c>
      <c r="AA25" s="198" t="e">
        <f ca="1">SUM(AA28:AA29)</f>
        <v>#N/A</v>
      </c>
      <c r="AB25" s="390" t="e">
        <f ca="1">SUM(AB28:AB31)</f>
        <v>#N/A</v>
      </c>
      <c r="AC25" s="407" t="e">
        <f ca="1">SUM(AC28:AC31)</f>
        <v>#N/A</v>
      </c>
      <c r="AD25" s="130"/>
      <c r="AE25" s="129" t="s">
        <v>3533</v>
      </c>
      <c r="AF25" s="571" t="e">
        <f ca="1">AB25/$E$25</f>
        <v>#N/A</v>
      </c>
      <c r="AG25" s="572"/>
      <c r="AH25" s="572"/>
      <c r="AI25" s="573"/>
      <c r="AJ25" s="122"/>
      <c r="AK25" s="130"/>
      <c r="AM25" s="203" t="e">
        <f ca="1">(E25-AB25)/67/24</f>
        <v>#N/A</v>
      </c>
    </row>
    <row r="26" spans="2:39" ht="15.75" customHeight="1" thickBot="1">
      <c r="B26" s="130"/>
      <c r="C26" s="129" t="s">
        <v>3539</v>
      </c>
      <c r="D26" s="136"/>
      <c r="E26" s="136"/>
      <c r="F26" s="136"/>
      <c r="G26" s="136"/>
      <c r="H26" s="136"/>
      <c r="I26" s="136"/>
      <c r="J26" s="136"/>
      <c r="K26" s="136"/>
      <c r="L26" s="136"/>
      <c r="M26" s="136"/>
      <c r="N26" s="136"/>
      <c r="O26" s="136"/>
      <c r="P26" s="136"/>
      <c r="Q26" s="136"/>
      <c r="R26" s="183"/>
      <c r="S26" s="183"/>
      <c r="T26" s="183"/>
      <c r="U26" s="183"/>
      <c r="V26" s="190"/>
      <c r="W26" s="187"/>
      <c r="X26" s="401"/>
      <c r="Y26" s="136"/>
      <c r="Z26" s="190"/>
      <c r="AA26" s="136"/>
      <c r="AB26" s="391"/>
      <c r="AC26" s="385"/>
      <c r="AD26" s="130"/>
      <c r="AE26" s="129"/>
      <c r="AF26" s="574"/>
      <c r="AG26" s="575"/>
      <c r="AH26" s="575"/>
      <c r="AI26" s="576"/>
      <c r="AJ26" s="122"/>
      <c r="AK26" s="130"/>
    </row>
    <row r="27" spans="2:39" ht="8.1" customHeight="1" thickBot="1">
      <c r="B27" s="130"/>
      <c r="C27" s="129"/>
      <c r="D27" s="136"/>
      <c r="E27" s="136"/>
      <c r="F27" s="136"/>
      <c r="G27" s="136"/>
      <c r="H27" s="136"/>
      <c r="I27" s="136"/>
      <c r="J27" s="136"/>
      <c r="K27" s="136"/>
      <c r="L27" s="136"/>
      <c r="M27" s="136"/>
      <c r="N27" s="136"/>
      <c r="O27" s="136"/>
      <c r="P27" s="136"/>
      <c r="Q27" s="136"/>
      <c r="R27" s="183"/>
      <c r="S27" s="183"/>
      <c r="T27" s="183"/>
      <c r="U27" s="183"/>
      <c r="V27" s="190"/>
      <c r="W27" s="187"/>
      <c r="X27" s="401"/>
      <c r="Y27" s="136"/>
      <c r="Z27" s="190"/>
      <c r="AA27" s="136"/>
      <c r="AB27" s="391"/>
      <c r="AC27" s="385"/>
      <c r="AD27" s="130"/>
      <c r="AE27" s="129"/>
      <c r="AF27" s="121"/>
      <c r="AG27" s="121"/>
      <c r="AH27" s="121"/>
      <c r="AI27" s="121"/>
      <c r="AJ27" s="122"/>
      <c r="AK27" s="130"/>
    </row>
    <row r="28" spans="2:39" ht="15" customHeight="1">
      <c r="B28" s="130"/>
      <c r="C28" s="129" t="s">
        <v>108</v>
      </c>
      <c r="D28" s="136"/>
      <c r="E28" s="136"/>
      <c r="F28" s="194"/>
      <c r="G28" s="195"/>
      <c r="H28" s="196"/>
      <c r="I28" s="196"/>
      <c r="J28" s="376">
        <v>33080.6</v>
      </c>
      <c r="K28" s="376">
        <v>28.9</v>
      </c>
      <c r="L28" s="183"/>
      <c r="M28" s="183"/>
      <c r="N28" s="183"/>
      <c r="O28" s="183"/>
      <c r="P28" s="183"/>
      <c r="Q28" s="183"/>
      <c r="R28" s="192">
        <f>INDEX(BILLING!$N:$N,MATCH($F25&amp;" "&amp;$G25,BILLING!$C:$C,0))</f>
        <v>34385.1</v>
      </c>
      <c r="S28" s="192">
        <f>INDEX(BILLING!$O:$O,MATCH($F25&amp;" "&amp;$G25,BILLING!$C:$C,0))</f>
        <v>29.7</v>
      </c>
      <c r="T28" s="183"/>
      <c r="U28" s="183"/>
      <c r="V28" s="190"/>
      <c r="W28" s="433" cm="1">
        <f t="array" aca="1" ref="W28" ca="1">INDIRECT(TEXT(DAY(TODAY()),"0")&amp;"!AI26")</f>
        <v>187.70000000000005</v>
      </c>
      <c r="X28" s="183"/>
      <c r="Y28" s="187"/>
      <c r="Z28" s="190"/>
      <c r="AA28" s="181" t="e">
        <f ca="1">(((((INDEX(BILLING!$N:$N,MATCH($AI$3&amp;" "&amp;$AI$5,BILLING!$C:$C,0))-P28)*$D$59)-
((INDEX(BILLING!$O:$O,MATCH($AI$3&amp;" "&amp;$AI$5,BILLING!$C:$C,0))-Q28)*$D$59))))/1000</f>
        <v>#N/A</v>
      </c>
      <c r="AB28" s="392" t="e">
        <f ca="1">(((((INDEX(BILLING!$N:$N,MATCH($AI$3&amp;" "&amp;$AI$5,BILLING!$C:$C,0))-J28)*$D$59)-
((INDEX(BILLING!$O:$O,MATCH($AI$3&amp;" "&amp;$AI$5,BILLING!$C:$C,0))-K28)*$D$59))))/1000</f>
        <v>#N/A</v>
      </c>
      <c r="AC28" s="380" t="e">
        <f ca="1">(((((INDEX(BILLING!$N:$N,MATCH($AI$3&amp;" "&amp;$AI$5,BILLING!$C:$C,0))-R28)*$D$59)-
((INDEX(BILLING!$O:$O,MATCH($AI$3&amp;" "&amp;$AI$5,BILLING!$C:$C,0))-S28)*$D$59))))/1000</f>
        <v>#N/A</v>
      </c>
      <c r="AD28" s="130"/>
      <c r="AE28" s="129" t="s">
        <v>3534</v>
      </c>
      <c r="AF28" s="571" t="e">
        <f ca="1">$AC$25/$D$25</f>
        <v>#N/A</v>
      </c>
      <c r="AG28" s="572"/>
      <c r="AH28" s="572"/>
      <c r="AI28" s="573"/>
      <c r="AJ28" s="122"/>
      <c r="AK28" s="130"/>
    </row>
    <row r="29" spans="2:39" ht="15.75" customHeight="1" thickBot="1">
      <c r="B29" s="130"/>
      <c r="C29" s="129" t="s">
        <v>109</v>
      </c>
      <c r="D29" s="136"/>
      <c r="E29" s="136"/>
      <c r="F29" s="194"/>
      <c r="G29" s="195"/>
      <c r="H29" s="196"/>
      <c r="I29" s="196"/>
      <c r="J29" s="376">
        <v>5715.03</v>
      </c>
      <c r="K29" s="376">
        <v>15.78</v>
      </c>
      <c r="L29" s="183"/>
      <c r="M29" s="183"/>
      <c r="N29" s="183"/>
      <c r="O29" s="183"/>
      <c r="P29" s="183"/>
      <c r="Q29" s="183"/>
      <c r="R29" s="192">
        <f>INDEX(BILLING!$L:$L,MATCH($F25&amp;" "&amp;$G25,BILLING!$C:$C,0))</f>
        <v>6806.46</v>
      </c>
      <c r="S29" s="192">
        <f>INDEX(BILLING!$M:$M,MATCH($F25&amp;" "&amp;$G25,BILLING!$C:$C,0))</f>
        <v>19.05</v>
      </c>
      <c r="T29" s="183"/>
      <c r="U29" s="183"/>
      <c r="V29" s="190"/>
      <c r="W29" s="433" cm="1">
        <f t="array" aca="1" ref="W29" ca="1">INDIRECT(TEXT(DAY(TODAY()),"0")&amp;"!AI32")</f>
        <v>340.40000000000003</v>
      </c>
      <c r="X29" s="183"/>
      <c r="Y29" s="187"/>
      <c r="Z29" s="190"/>
      <c r="AA29" s="181" t="e">
        <f ca="1">(((((INDEX(BILLING!$L:$L,MATCH($AI$3&amp;" "&amp;$AI$5,BILLING!$C:$C,0))-P29)*$D$58)-
((INDEX(BILLING!$M:$M,MATCH($AI$3&amp;" "&amp;$AI$5,BILLING!$C:$C,0))-Q29)*$D$58))))/1000</f>
        <v>#N/A</v>
      </c>
      <c r="AB29" s="392" t="e">
        <f ca="1">(((((INDEX(BILLING!$L:$L,MATCH($AI$3&amp;" "&amp;$AI$5,BILLING!$C:$C,0))-J29)*$D$58)-
((INDEX(BILLING!$M:$M,MATCH($AI$3&amp;" "&amp;$AI$5,BILLING!$C:$C,0))-K29)*$D$58))))/1000</f>
        <v>#N/A</v>
      </c>
      <c r="AC29" s="380" t="e">
        <f ca="1">(((((INDEX(BILLING!$L:$L,MATCH($AI$3&amp;" "&amp;$AI$5,BILLING!$C:$C,0))-R29)*$D$58)-
((INDEX(BILLING!$M:$M,MATCH($AI$3&amp;" "&amp;$AI$5,BILLING!$C:$C,0))-S29)*$D$58))))/1000</f>
        <v>#N/A</v>
      </c>
      <c r="AD29" s="130"/>
      <c r="AE29" s="129"/>
      <c r="AF29" s="574"/>
      <c r="AG29" s="575"/>
      <c r="AH29" s="575"/>
      <c r="AI29" s="576"/>
      <c r="AJ29" s="122"/>
      <c r="AK29" s="130"/>
    </row>
    <row r="30" spans="2:39" ht="15.75" customHeight="1">
      <c r="B30" s="130"/>
      <c r="C30" s="129" t="s">
        <v>3540</v>
      </c>
      <c r="D30" s="136"/>
      <c r="E30" s="136"/>
      <c r="F30" s="194"/>
      <c r="G30" s="195"/>
      <c r="H30" s="196"/>
      <c r="I30" s="196"/>
      <c r="J30" s="183"/>
      <c r="K30" s="183"/>
      <c r="L30" s="376">
        <v>54159</v>
      </c>
      <c r="M30" s="376">
        <v>79</v>
      </c>
      <c r="N30" s="183"/>
      <c r="O30" s="183"/>
      <c r="P30" s="183"/>
      <c r="Q30" s="183"/>
      <c r="R30" s="183"/>
      <c r="S30" s="183"/>
      <c r="T30" s="377">
        <v>54169</v>
      </c>
      <c r="U30" s="377">
        <v>79</v>
      </c>
      <c r="V30" s="190"/>
      <c r="W30" s="433"/>
      <c r="X30" s="183"/>
      <c r="Y30" s="187"/>
      <c r="Z30" s="190"/>
      <c r="AA30" s="181"/>
      <c r="AB30" s="392">
        <f>(((((T30-L30)*$D$64)-
((U30-M30)*$D$64))))/1000</f>
        <v>42</v>
      </c>
      <c r="AC30" s="379"/>
      <c r="AD30" s="130"/>
      <c r="AE30" s="129"/>
      <c r="AF30" s="394"/>
      <c r="AG30" s="394"/>
      <c r="AH30" s="394"/>
      <c r="AI30" s="394"/>
      <c r="AJ30" s="122"/>
      <c r="AK30" s="130"/>
    </row>
    <row r="31" spans="2:39" ht="15.75" customHeight="1">
      <c r="B31" s="130"/>
      <c r="C31" s="129" t="s">
        <v>35</v>
      </c>
      <c r="D31" s="136"/>
      <c r="E31" s="136"/>
      <c r="F31" s="136"/>
      <c r="G31" s="136"/>
      <c r="H31" s="136"/>
      <c r="I31" s="136"/>
      <c r="J31" s="183"/>
      <c r="K31" s="183"/>
      <c r="L31" s="376">
        <v>0</v>
      </c>
      <c r="M31" s="376">
        <v>0</v>
      </c>
      <c r="N31" s="183"/>
      <c r="O31" s="183"/>
      <c r="P31" s="136"/>
      <c r="Q31" s="136"/>
      <c r="R31" s="183"/>
      <c r="S31" s="183"/>
      <c r="T31" s="377">
        <f>INDEX(BILLING!$AB:$AB,MATCH($F25&amp;" "&amp;$G25,BILLING!$C:$C,0))</f>
        <v>266.77999999999997</v>
      </c>
      <c r="U31" s="377">
        <f>INDEX(BILLING!$AC:$AC,MATCH($F25&amp;" "&amp;$G25,BILLING!$C:$C,0))</f>
        <v>0.42</v>
      </c>
      <c r="V31" s="190"/>
      <c r="W31" s="433" cm="1">
        <f t="array" aca="1" ref="W31" ca="1">INDIRECT(TEXT(DAY(TODAY()),"0")&amp;"!AI35")</f>
        <v>0</v>
      </c>
      <c r="X31" s="183"/>
      <c r="Y31" s="187"/>
      <c r="Z31" s="190"/>
      <c r="AA31" s="181"/>
      <c r="AB31" s="392" t="e">
        <f ca="1">(((((INDEX(BILLING!$AB:$AB,MATCH($AI$3&amp;" "&amp;$AI$5,BILLING!$C:$C,0))-L31)*$D$63)-
((INDEX(BILLING!$AC:$AC,MATCH($AI$3&amp;" "&amp;$AI$5,BILLING!$C:$C,0))-M31)*$D$63))))/1000</f>
        <v>#N/A</v>
      </c>
      <c r="AC31" s="380" t="e">
        <f ca="1">(((((INDEX(BILLING!$AB:$AB,MATCH($AI$3&amp;" "&amp;$AI$5,BILLING!$C:$C,0))-T31)*$D$63)-
((INDEX(BILLING!$AC:$AC,MATCH($AI$3&amp;" "&amp;$AI$5,BILLING!$C:$C,0))-U31)*$D$63))))/1000</f>
        <v>#N/A</v>
      </c>
      <c r="AD31" s="130"/>
      <c r="AE31" s="129"/>
      <c r="AF31" s="158"/>
      <c r="AG31" s="158"/>
      <c r="AH31" s="158"/>
      <c r="AI31" s="158"/>
      <c r="AJ31" s="122"/>
      <c r="AK31" s="130"/>
    </row>
    <row r="32" spans="2:39">
      <c r="B32" s="130"/>
      <c r="C32" s="138"/>
      <c r="D32" s="139"/>
      <c r="E32" s="139"/>
      <c r="F32" s="139"/>
      <c r="G32" s="139"/>
      <c r="H32" s="139"/>
      <c r="I32" s="139"/>
      <c r="J32" s="139"/>
      <c r="K32" s="139"/>
      <c r="L32" s="139"/>
      <c r="M32" s="139"/>
      <c r="N32" s="139"/>
      <c r="O32" s="139"/>
      <c r="P32" s="139"/>
      <c r="Q32" s="139"/>
      <c r="R32" s="165"/>
      <c r="S32" s="165"/>
      <c r="T32" s="165"/>
      <c r="U32" s="165"/>
      <c r="V32" s="160"/>
      <c r="W32" s="139"/>
      <c r="X32" s="402"/>
      <c r="Y32" s="139"/>
      <c r="Z32" s="160"/>
      <c r="AA32" s="139"/>
      <c r="AB32" s="388"/>
      <c r="AC32" s="382"/>
      <c r="AD32" s="130"/>
      <c r="AE32" s="123"/>
      <c r="AF32" s="124"/>
      <c r="AG32" s="124"/>
      <c r="AH32" s="124"/>
      <c r="AI32" s="124"/>
      <c r="AJ32" s="125"/>
      <c r="AK32" s="130"/>
    </row>
    <row r="33" spans="2:39" ht="8.1" customHeight="1">
      <c r="B33" s="130"/>
      <c r="C33" s="143"/>
      <c r="D33" s="143"/>
      <c r="E33" s="143"/>
      <c r="F33" s="143"/>
      <c r="G33" s="143"/>
      <c r="H33" s="143"/>
      <c r="I33" s="143"/>
      <c r="J33" s="143"/>
      <c r="K33" s="143"/>
      <c r="L33" s="143"/>
      <c r="M33" s="143"/>
      <c r="N33" s="143"/>
      <c r="O33" s="143"/>
      <c r="P33" s="143"/>
      <c r="Q33" s="143"/>
      <c r="R33" s="168"/>
      <c r="S33" s="168"/>
      <c r="T33" s="168"/>
      <c r="U33" s="168"/>
      <c r="V33" s="163"/>
      <c r="W33" s="143"/>
      <c r="X33" s="405"/>
      <c r="Y33" s="143"/>
      <c r="Z33" s="163"/>
      <c r="AA33" s="143"/>
      <c r="AB33" s="386"/>
      <c r="AC33" s="386"/>
      <c r="AD33" s="130"/>
      <c r="AE33" s="130"/>
      <c r="AF33" s="130"/>
      <c r="AG33" s="130"/>
      <c r="AH33" s="130"/>
      <c r="AI33" s="130"/>
      <c r="AJ33" s="130"/>
      <c r="AK33" s="130"/>
    </row>
    <row r="34" spans="2:39" ht="15" thickBot="1">
      <c r="B34" s="130"/>
      <c r="C34" s="133"/>
      <c r="D34" s="141"/>
      <c r="E34" s="141"/>
      <c r="F34" s="141"/>
      <c r="G34" s="141"/>
      <c r="H34" s="141"/>
      <c r="I34" s="141"/>
      <c r="J34" s="141"/>
      <c r="K34" s="141"/>
      <c r="L34" s="141"/>
      <c r="M34" s="141"/>
      <c r="N34" s="141"/>
      <c r="O34" s="141"/>
      <c r="P34" s="141"/>
      <c r="Q34" s="141"/>
      <c r="R34" s="167"/>
      <c r="S34" s="167"/>
      <c r="T34" s="167"/>
      <c r="U34" s="167"/>
      <c r="V34" s="162"/>
      <c r="W34" s="141"/>
      <c r="X34" s="404"/>
      <c r="Y34" s="141"/>
      <c r="Z34" s="162"/>
      <c r="AA34" s="141"/>
      <c r="AB34" s="432" t="s">
        <v>3535</v>
      </c>
      <c r="AC34" s="384"/>
      <c r="AD34" s="130"/>
      <c r="AE34" s="126"/>
      <c r="AF34" s="127"/>
      <c r="AG34" s="127"/>
      <c r="AH34" s="127"/>
      <c r="AI34" s="127"/>
      <c r="AJ34" s="128"/>
      <c r="AK34" s="130"/>
    </row>
    <row r="35" spans="2:39" ht="19.899999999999999" customHeight="1">
      <c r="B35" s="130"/>
      <c r="C35" s="149" t="s">
        <v>3541</v>
      </c>
      <c r="D35" s="183">
        <f>4686</f>
        <v>4686</v>
      </c>
      <c r="E35" s="183">
        <f>D35*12</f>
        <v>56232</v>
      </c>
      <c r="F35" s="146">
        <v>45772</v>
      </c>
      <c r="G35" s="147" t="s">
        <v>3504</v>
      </c>
      <c r="H35" s="184">
        <f ca="1" xml:space="preserve"> NOW() - (F35 + TIME(LEFT($G$35, 2), MID($G$35, 3, 2), 0))</f>
        <v>204.50046064814524</v>
      </c>
      <c r="I35" s="185">
        <f ca="1">((DATE(YEAR(F35),MONTH(F35)+1,25)) + TIME(LEFT("1200H", 2), MID("1200H", 3, 2), 0)) - ($AI$3 + TIME(LEFT(NOW(), 2), MID(NOW(), 3, 2), 0))</f>
        <v>-175.4423611111124</v>
      </c>
      <c r="J35" s="157"/>
      <c r="K35" s="157"/>
      <c r="L35" s="157"/>
      <c r="M35" s="157"/>
      <c r="N35" s="157"/>
      <c r="O35" s="157"/>
      <c r="P35" s="157"/>
      <c r="Q35" s="157"/>
      <c r="R35" s="183"/>
      <c r="S35" s="183"/>
      <c r="T35" s="183"/>
      <c r="U35" s="183"/>
      <c r="V35" s="186">
        <f>D35/30/24</f>
        <v>6.5083333333333329</v>
      </c>
      <c r="W35" s="187">
        <f ca="1">SUM(W38:W41)</f>
        <v>128.57000000000002</v>
      </c>
      <c r="X35" s="183" t="e">
        <f ca="1">AC35+W35</f>
        <v>#N/A</v>
      </c>
      <c r="Y35" s="188" t="e">
        <f ca="1">X35/H35/24</f>
        <v>#N/A</v>
      </c>
      <c r="Z35" s="189" t="e">
        <f ca="1">AC35/H35/24</f>
        <v>#N/A</v>
      </c>
      <c r="AA35" s="198"/>
      <c r="AB35" s="390" t="e">
        <f ca="1">SUM(AB38:AB40)</f>
        <v>#N/A</v>
      </c>
      <c r="AC35" s="407" t="e">
        <f ca="1">SUM(AC38:AC40)</f>
        <v>#N/A</v>
      </c>
      <c r="AD35" s="130"/>
      <c r="AE35" s="129" t="s">
        <v>3533</v>
      </c>
      <c r="AF35" s="571" t="e">
        <f ca="1">AB35/$E$35</f>
        <v>#N/A</v>
      </c>
      <c r="AG35" s="572"/>
      <c r="AH35" s="572"/>
      <c r="AI35" s="573"/>
      <c r="AJ35" s="122"/>
      <c r="AK35" s="130"/>
      <c r="AM35" s="203" t="e">
        <f ca="1">(E35-AB35)/67/24</f>
        <v>#N/A</v>
      </c>
    </row>
    <row r="36" spans="2:39" ht="15.75" customHeight="1" thickBot="1">
      <c r="B36" s="130"/>
      <c r="C36" s="129"/>
      <c r="D36" s="136"/>
      <c r="E36" s="136"/>
      <c r="F36" s="136"/>
      <c r="G36" s="136"/>
      <c r="H36" s="136"/>
      <c r="I36" s="136"/>
      <c r="J36" s="136"/>
      <c r="K36" s="136"/>
      <c r="L36" s="136"/>
      <c r="M36" s="136"/>
      <c r="N36" s="136"/>
      <c r="O36" s="136"/>
      <c r="P36" s="136"/>
      <c r="Q36" s="136"/>
      <c r="R36" s="183"/>
      <c r="S36" s="183"/>
      <c r="T36" s="183"/>
      <c r="U36" s="183"/>
      <c r="V36" s="190"/>
      <c r="W36" s="136"/>
      <c r="X36" s="136"/>
      <c r="Y36" s="136"/>
      <c r="Z36" s="190"/>
      <c r="AA36" s="136"/>
      <c r="AB36" s="391"/>
      <c r="AC36" s="385"/>
      <c r="AD36" s="130"/>
      <c r="AE36" s="129"/>
      <c r="AF36" s="574"/>
      <c r="AG36" s="575"/>
      <c r="AH36" s="575"/>
      <c r="AI36" s="576"/>
      <c r="AJ36" s="122"/>
      <c r="AK36" s="130"/>
    </row>
    <row r="37" spans="2:39" ht="8.1" customHeight="1" thickBot="1">
      <c r="B37" s="130"/>
      <c r="C37" s="129"/>
      <c r="D37" s="136"/>
      <c r="E37" s="136"/>
      <c r="F37" s="136"/>
      <c r="G37" s="136"/>
      <c r="H37" s="136"/>
      <c r="I37" s="136"/>
      <c r="J37" s="136"/>
      <c r="K37" s="136"/>
      <c r="L37" s="136"/>
      <c r="M37" s="136"/>
      <c r="N37" s="136"/>
      <c r="O37" s="136"/>
      <c r="P37" s="136"/>
      <c r="Q37" s="136"/>
      <c r="R37" s="136"/>
      <c r="S37" s="136"/>
      <c r="T37" s="136"/>
      <c r="U37" s="136"/>
      <c r="V37" s="190"/>
      <c r="W37" s="136"/>
      <c r="X37" s="136"/>
      <c r="Y37" s="136"/>
      <c r="Z37" s="190"/>
      <c r="AA37" s="136"/>
      <c r="AB37" s="391"/>
      <c r="AC37" s="385"/>
      <c r="AD37" s="130"/>
      <c r="AE37" s="129"/>
      <c r="AF37" s="121"/>
      <c r="AG37" s="121"/>
      <c r="AH37" s="121"/>
      <c r="AI37" s="121"/>
      <c r="AJ37" s="122"/>
      <c r="AK37" s="130"/>
    </row>
    <row r="38" spans="2:39" ht="15" customHeight="1">
      <c r="B38" s="130"/>
      <c r="C38" s="129" t="s">
        <v>110</v>
      </c>
      <c r="D38" s="136"/>
      <c r="E38" s="136"/>
      <c r="F38" s="136"/>
      <c r="G38" s="136"/>
      <c r="H38" s="136"/>
      <c r="I38" s="136"/>
      <c r="J38" s="376">
        <v>618.5</v>
      </c>
      <c r="K38" s="376">
        <v>690.33</v>
      </c>
      <c r="L38" s="376">
        <v>10051.18</v>
      </c>
      <c r="M38" s="376">
        <v>9.0399999999999991</v>
      </c>
      <c r="N38" s="376">
        <v>710.67</v>
      </c>
      <c r="O38" s="376">
        <v>777.87</v>
      </c>
      <c r="P38" s="376">
        <v>10490.23</v>
      </c>
      <c r="Q38" s="376">
        <v>9.0399999999999991</v>
      </c>
      <c r="R38" s="192">
        <f>INDEX(BILLING!$P:$P,MATCH($F35&amp;" "&amp;$G35,BILLING!$C:$C,0))</f>
        <v>732.43</v>
      </c>
      <c r="S38" s="192">
        <f>INDEX(BILLING!$Q:$Q,MATCH($F35&amp;" "&amp;$G35,BILLING!$C:$C,0))</f>
        <v>915.77</v>
      </c>
      <c r="T38" s="192">
        <f>INDEX(BILLING!$R:$R,MATCH($F35&amp;" "&amp;$G35,BILLING!$C:$C,0))</f>
        <v>11028.63</v>
      </c>
      <c r="U38" s="192">
        <f>INDEX(BILLING!$S:$S,MATCH($F35&amp;" "&amp;$G35,BILLING!$C:$C,0))</f>
        <v>9.0399999999999991</v>
      </c>
      <c r="V38" s="190"/>
      <c r="W38" s="433" cm="1">
        <f t="array" aca="1" ref="W38" ca="1">INDIRECT(TEXT(DAY(TODAY()),"0")&amp;"!AI36")</f>
        <v>20.500000000000007</v>
      </c>
      <c r="X38" s="187"/>
      <c r="Y38" s="187"/>
      <c r="Z38" s="190"/>
      <c r="AA38" s="181"/>
      <c r="AB38" s="392" t="e">
        <f ca="1">(((((INDEX(BILLING!$P:$P,MATCH($AI$3&amp;" "&amp;$AI$5,BILLING!$C:$C,0))-N38)*$D$55)-
((INDEX(BILLING!$Q:$Q,MATCH($AI$3&amp;" "&amp;$AI$5,BILLING!$C:$C,0))-O38)*$D$55)))+
((((INDEX(BILLING!$R:$R,MATCH($AI$3&amp;" "&amp;$AI$5,BILLING!$C:$C,0))-P38)*$D$54)-
((INDEX(BILLING!$S:$S,MATCH($AI$3&amp;" "&amp;$AI$5,BILLING!$C:$C,0))-Q38)*$D$54))))/1000</f>
        <v>#N/A</v>
      </c>
      <c r="AC38" s="380" t="e">
        <f ca="1">(((((INDEX(BILLING!$P:$P,MATCH($AI$3&amp;" "&amp;$AI$5,BILLING!$C:$C,0))-R38)*$D$55)-
((INDEX(BILLING!$Q:$Q,MATCH($AI$3&amp;" "&amp;$AI$5,BILLING!$C:$C,0))-S38)*$D$55)))+
((((INDEX(BILLING!$R:$R,MATCH($AI$3&amp;" "&amp;$AI$5,BILLING!$C:$C,0))-T38)*$D$54)-
((INDEX(BILLING!$S:$S,MATCH($AI$3&amp;" "&amp;$AI$5,BILLING!$C:$C,0))-U38)*$D$54))))/1000</f>
        <v>#N/A</v>
      </c>
      <c r="AD38" s="130"/>
      <c r="AE38" s="129" t="s">
        <v>3534</v>
      </c>
      <c r="AF38" s="571" t="e">
        <f ca="1">$AC$35/$D$35</f>
        <v>#N/A</v>
      </c>
      <c r="AG38" s="572"/>
      <c r="AH38" s="572"/>
      <c r="AI38" s="573"/>
      <c r="AJ38" s="122"/>
      <c r="AK38" s="130"/>
    </row>
    <row r="39" spans="2:39" ht="15.75" customHeight="1" thickBot="1">
      <c r="B39" s="130"/>
      <c r="C39" s="129" t="s">
        <v>112</v>
      </c>
      <c r="D39" s="136"/>
      <c r="E39" s="136"/>
      <c r="F39" s="136"/>
      <c r="G39" s="136"/>
      <c r="H39" s="136"/>
      <c r="I39" s="136"/>
      <c r="J39" s="136"/>
      <c r="K39" s="136"/>
      <c r="L39" s="376">
        <v>6636.53</v>
      </c>
      <c r="M39" s="376">
        <v>0</v>
      </c>
      <c r="N39" s="157"/>
      <c r="O39" s="157"/>
      <c r="P39" s="376">
        <v>7324.66</v>
      </c>
      <c r="Q39" s="376">
        <v>0</v>
      </c>
      <c r="R39" s="157"/>
      <c r="S39" s="157"/>
      <c r="T39" s="192">
        <f>INDEX(BILLING!$X:$X,MATCH($F35&amp;" "&amp;$G35,BILLING!$C:$C,0))</f>
        <v>8109.98</v>
      </c>
      <c r="U39" s="192">
        <f>INDEX(BILLING!$Y:$Y,MATCH($F35&amp;" "&amp;$G35,BILLING!$C:$C,0))</f>
        <v>0</v>
      </c>
      <c r="V39" s="190"/>
      <c r="W39" s="433" cm="1">
        <f t="array" aca="1" ref="W39" ca="1">INDIRECT(TEXT(DAY(TODAY()),"0")&amp;"!AI77")</f>
        <v>18.390000000000004</v>
      </c>
      <c r="X39" s="187"/>
      <c r="Y39" s="187"/>
      <c r="Z39" s="190"/>
      <c r="AA39" s="182"/>
      <c r="AB39" s="392" t="e">
        <f ca="1">(((((INDEX(BILLING!$X:$X,MATCH($AI$3&amp;" "&amp;$AI$5,BILLING!$C:$C,0))-P39)*$D$57)-
((INDEX(BILLING!$Y:$Y,MATCH($AI$3&amp;" "&amp;$AI$5,BILLING!$C:$C,0))-Q39)*$D$57))))/1000</f>
        <v>#N/A</v>
      </c>
      <c r="AC39" s="380" t="e">
        <f ca="1">(((((INDEX(BILLING!$X:$X,MATCH($AI$3&amp;" "&amp;$AI$5,BILLING!$C:$C,0))-T39)*$D$57)-
((INDEX(BILLING!$Y:$Y,MATCH($AI$3&amp;" "&amp;$AI$5,BILLING!$C:$C,0))-U39)*$D$57))))/1000</f>
        <v>#N/A</v>
      </c>
      <c r="AD39" s="130"/>
      <c r="AE39" s="129"/>
      <c r="AF39" s="574"/>
      <c r="AG39" s="575"/>
      <c r="AH39" s="575"/>
      <c r="AI39" s="576"/>
      <c r="AJ39" s="122"/>
      <c r="AK39" s="130"/>
    </row>
    <row r="40" spans="2:39" ht="15.75" customHeight="1" thickBot="1">
      <c r="B40" s="130"/>
      <c r="C40" s="442" t="s">
        <v>111</v>
      </c>
      <c r="D40" s="443"/>
      <c r="E40" s="443"/>
      <c r="F40" s="443"/>
      <c r="G40" s="443"/>
      <c r="H40" s="443"/>
      <c r="I40" s="443"/>
      <c r="J40" s="443"/>
      <c r="K40" s="443"/>
      <c r="L40" s="444">
        <v>36029.69</v>
      </c>
      <c r="M40" s="444">
        <v>69</v>
      </c>
      <c r="N40" s="445"/>
      <c r="O40" s="445"/>
      <c r="P40" s="446">
        <v>36745</v>
      </c>
      <c r="Q40" s="446">
        <v>69</v>
      </c>
      <c r="R40" s="445"/>
      <c r="S40" s="445"/>
      <c r="T40" s="447">
        <f>INDEX(BILLING!$T:$T,MATCH($F35&amp;" "&amp;$G35,BILLING!$C:$C,0))</f>
        <v>37580</v>
      </c>
      <c r="U40" s="447">
        <f>INDEX(BILLING!$U:$U,MATCH($F35&amp;" "&amp;$G35,BILLING!$C:$C,0))</f>
        <v>69</v>
      </c>
      <c r="V40" s="448"/>
      <c r="W40" s="449" cm="1">
        <f t="array" aca="1" ref="W40" ca="1">INDIRECT(TEXT(DAY(TODAY()),"0")&amp;"!AI61")</f>
        <v>31.009999999999998</v>
      </c>
      <c r="X40" s="445"/>
      <c r="Y40" s="450"/>
      <c r="Z40" s="448"/>
      <c r="AA40" s="451" t="e">
        <f ca="1">(((((INDEX(BILLING!$T:$T,MATCH($AI$3&amp;" "&amp;$AI$5,BILLING!$C:$C,0))-P40)*$D$56)-
((INDEX(BILLING!$U:$U,MATCH($AI$3&amp;" "&amp;$AI$5,BILLING!$C:$C,0))-Q40)*$D$56))))/1000</f>
        <v>#N/A</v>
      </c>
      <c r="AB40" s="452" t="e">
        <f ca="1">(((((INDEX(BILLING!$T:$T,MATCH($AI$3&amp;" "&amp;$AI$5,BILLING!$C:$C,0))-P40)*$D$56)-
((INDEX(BILLING!$U:$U,MATCH($AI$3&amp;" "&amp;$AI$5,BILLING!$C:$C,0))-Q40)*$D$56))))/1000</f>
        <v>#N/A</v>
      </c>
      <c r="AC40" s="453" t="e">
        <f ca="1">(((((INDEX(BILLING!$T:$T,MATCH($AI$3&amp;" "&amp;$AI$5,BILLING!$C:$C,0))-T40)*$D$56)-
((INDEX(BILLING!$U:$U,MATCH($AI$3&amp;" "&amp;$AI$5,BILLING!$C:$C,0))-U40)*$D$56))))/1000</f>
        <v>#N/A</v>
      </c>
      <c r="AD40" s="130"/>
      <c r="AE40" s="129"/>
      <c r="AF40" s="394"/>
      <c r="AG40" s="394"/>
      <c r="AH40" s="394"/>
      <c r="AI40" s="394"/>
      <c r="AJ40" s="122"/>
      <c r="AK40" s="130"/>
    </row>
    <row r="41" spans="2:39" ht="15.75" customHeight="1" thickTop="1">
      <c r="B41" s="130"/>
      <c r="C41" s="129" t="s">
        <v>3499</v>
      </c>
      <c r="D41" s="136"/>
      <c r="E41" s="136"/>
      <c r="F41" s="136"/>
      <c r="G41" s="136"/>
      <c r="H41" s="136"/>
      <c r="I41" s="136"/>
      <c r="J41" s="136"/>
      <c r="K41" s="136"/>
      <c r="L41" s="136"/>
      <c r="M41" s="136"/>
      <c r="N41" s="376">
        <v>0</v>
      </c>
      <c r="O41" s="376">
        <v>0</v>
      </c>
      <c r="P41" s="157"/>
      <c r="Q41" s="157"/>
      <c r="R41" s="192">
        <f>INDEX(BILLING!$AF:$AF,MATCH($F35&amp;" "&amp;$G35,BILLING!$C:$C,0))</f>
        <v>129.21</v>
      </c>
      <c r="S41" s="192">
        <f>INDEX(BILLING!$AG:$AG,MATCH($F35&amp;" "&amp;$G35,BILLING!$C:$C,0))</f>
        <v>8</v>
      </c>
      <c r="T41" s="157"/>
      <c r="U41" s="157"/>
      <c r="V41" s="190"/>
      <c r="W41" s="433" cm="1">
        <f t="array" aca="1" ref="W41" ca="1">INDIRECT(TEXT(DAY(TODAY()),"0")&amp;"!AI28")</f>
        <v>58.670000000000009</v>
      </c>
      <c r="X41" s="187"/>
      <c r="Y41" s="187"/>
      <c r="Z41" s="190"/>
      <c r="AA41" s="182"/>
      <c r="AB41" s="392" t="e">
        <f ca="1">(((((INDEX(BILLING!$AF:$AF,MATCH($AI$3&amp;" "&amp;$AI$5,BILLING!$C:$C,0))-N41)*$D$65)-
((INDEX(BILLING!$AG:$AG,MATCH($AI$3&amp;" "&amp;$AI$5,BILLING!$C:$C,0))-O41)*$D$65))))/1000</f>
        <v>#N/A</v>
      </c>
      <c r="AC41" s="380" t="e">
        <f ca="1">(((((INDEX(BILLING!$AF:$AF,MATCH($AI$3&amp;" "&amp;$AI$5,BILLING!$C:$C,0))-R41)*$D$65)-
((INDEX(BILLING!$AG:$AG,MATCH($AI$3&amp;" "&amp;$AI$5,BILLING!$C:$C,0))-S41)*$D$65))))/1000</f>
        <v>#N/A</v>
      </c>
      <c r="AD41" s="130"/>
      <c r="AE41" s="129"/>
      <c r="AF41" s="394"/>
      <c r="AG41" s="394"/>
      <c r="AH41" s="394"/>
      <c r="AI41" s="394"/>
      <c r="AJ41" s="122"/>
      <c r="AK41" s="130"/>
    </row>
    <row r="42" spans="2:39" ht="15.75" hidden="1" customHeight="1">
      <c r="B42" s="130"/>
      <c r="C42" s="431" t="s">
        <v>3542</v>
      </c>
      <c r="D42" s="136"/>
      <c r="E42" s="136"/>
      <c r="F42" s="136"/>
      <c r="G42" s="136"/>
      <c r="H42" s="136"/>
      <c r="I42" s="136"/>
      <c r="J42" s="136"/>
      <c r="K42" s="136"/>
      <c r="L42" s="376"/>
      <c r="M42" s="376"/>
      <c r="N42" s="376"/>
      <c r="O42" s="376"/>
      <c r="P42" s="191"/>
      <c r="Q42" s="191"/>
      <c r="R42" s="192"/>
      <c r="S42" s="192"/>
      <c r="T42" s="192"/>
      <c r="U42" s="192"/>
      <c r="V42" s="190"/>
      <c r="W42" s="187"/>
      <c r="X42" s="187"/>
      <c r="Y42" s="187"/>
      <c r="Z42" s="190"/>
      <c r="AA42" s="182"/>
      <c r="AB42" s="393"/>
      <c r="AC42" s="379"/>
      <c r="AD42" s="130"/>
      <c r="AE42" s="129"/>
      <c r="AF42" s="394"/>
      <c r="AG42" s="394"/>
      <c r="AH42" s="394"/>
      <c r="AI42" s="394"/>
      <c r="AJ42" s="122"/>
      <c r="AK42" s="130"/>
    </row>
    <row r="43" spans="2:39">
      <c r="B43" s="130"/>
      <c r="C43" s="138"/>
      <c r="D43" s="139"/>
      <c r="E43" s="139"/>
      <c r="F43" s="139"/>
      <c r="G43" s="139"/>
      <c r="H43" s="139"/>
      <c r="I43" s="139"/>
      <c r="J43" s="139"/>
      <c r="K43" s="139"/>
      <c r="L43" s="139"/>
      <c r="M43" s="139"/>
      <c r="N43" s="139"/>
      <c r="O43" s="139"/>
      <c r="P43" s="139"/>
      <c r="Q43" s="139"/>
      <c r="R43" s="139"/>
      <c r="S43" s="139"/>
      <c r="T43" s="139"/>
      <c r="U43" s="139"/>
      <c r="V43" s="160"/>
      <c r="W43" s="139"/>
      <c r="X43" s="139"/>
      <c r="Y43" s="139"/>
      <c r="Z43" s="160"/>
      <c r="AA43" s="139"/>
      <c r="AB43" s="139"/>
      <c r="AC43" s="140"/>
      <c r="AD43" s="130"/>
      <c r="AE43" s="123"/>
      <c r="AF43" s="124"/>
      <c r="AG43" s="124"/>
      <c r="AH43" s="124"/>
      <c r="AI43" s="124"/>
      <c r="AJ43" s="125"/>
      <c r="AK43" s="130"/>
    </row>
    <row r="44" spans="2:39" ht="8.1" customHeight="1">
      <c r="B44" s="130"/>
      <c r="C44" s="130"/>
      <c r="D44" s="131"/>
      <c r="E44" s="130"/>
      <c r="F44" s="131"/>
      <c r="G44" s="131"/>
      <c r="H44" s="131"/>
      <c r="I44" s="131"/>
      <c r="J44" s="131"/>
      <c r="K44" s="131"/>
      <c r="L44" s="131"/>
      <c r="M44" s="131"/>
      <c r="N44" s="131"/>
      <c r="O44" s="131"/>
      <c r="P44" s="131"/>
      <c r="Q44" s="131"/>
      <c r="R44" s="131"/>
      <c r="S44" s="131"/>
      <c r="T44" s="131"/>
      <c r="U44" s="131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</row>
    <row r="45" spans="2:39">
      <c r="V45" s="79"/>
      <c r="W45" s="79"/>
      <c r="X45" s="79"/>
      <c r="Y45" s="79"/>
      <c r="Z45" s="79"/>
      <c r="AA45" s="79"/>
      <c r="AB45" s="79"/>
    </row>
    <row r="46" spans="2:39">
      <c r="R46"/>
      <c r="S46"/>
      <c r="T46"/>
      <c r="U46"/>
    </row>
    <row r="47" spans="2:39">
      <c r="R47"/>
      <c r="S47"/>
      <c r="T47"/>
      <c r="U47"/>
    </row>
    <row r="48" spans="2:39">
      <c r="C48" t="s">
        <v>3543</v>
      </c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</row>
    <row r="49" spans="3:21"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</row>
    <row r="50" spans="3:21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</row>
    <row r="51" spans="3:21">
      <c r="C51" s="71" t="s">
        <v>3544</v>
      </c>
      <c r="D51" s="396">
        <v>42000</v>
      </c>
      <c r="F51" s="67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</row>
    <row r="52" spans="3:21">
      <c r="C52" s="71" t="s">
        <v>3545</v>
      </c>
      <c r="D52" s="396">
        <v>36000</v>
      </c>
      <c r="F52" s="67">
        <v>11200</v>
      </c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</row>
    <row r="53" spans="3:21">
      <c r="C53" s="71" t="s">
        <v>3546</v>
      </c>
      <c r="D53" s="396">
        <v>48000</v>
      </c>
      <c r="F53" s="67">
        <v>8400</v>
      </c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</row>
    <row r="54" spans="3:21">
      <c r="C54" s="71" t="s">
        <v>3547</v>
      </c>
      <c r="D54" s="396">
        <v>8400</v>
      </c>
      <c r="F54" s="152">
        <v>8400</v>
      </c>
      <c r="G54" s="106"/>
      <c r="H54" s="106"/>
      <c r="I54"/>
      <c r="J54"/>
      <c r="K54"/>
      <c r="L54"/>
      <c r="M54"/>
      <c r="N54"/>
      <c r="O54"/>
      <c r="P54"/>
      <c r="Q54"/>
      <c r="R54"/>
      <c r="S54"/>
      <c r="T54"/>
      <c r="U54"/>
    </row>
    <row r="55" spans="3:21">
      <c r="C55" s="71" t="s">
        <v>3548</v>
      </c>
      <c r="D55" s="396">
        <v>21000</v>
      </c>
      <c r="F55" s="67">
        <v>21000</v>
      </c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</row>
    <row r="56" spans="3:21">
      <c r="C56" s="71" t="s">
        <v>55</v>
      </c>
      <c r="D56" s="397">
        <v>2100</v>
      </c>
      <c r="F56" s="67">
        <v>1400</v>
      </c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</row>
    <row r="57" spans="3:21">
      <c r="C57" s="71" t="s">
        <v>3549</v>
      </c>
      <c r="D57" s="396">
        <v>1400</v>
      </c>
      <c r="F57" s="67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</row>
    <row r="58" spans="3:21">
      <c r="C58" s="107" t="s">
        <v>32</v>
      </c>
      <c r="D58" s="396">
        <v>30000</v>
      </c>
      <c r="F58" s="152">
        <v>30000</v>
      </c>
      <c r="G58" s="106"/>
      <c r="H58" s="106"/>
      <c r="I58"/>
      <c r="J58"/>
      <c r="K58"/>
      <c r="L58"/>
      <c r="M58"/>
      <c r="N58"/>
      <c r="O58"/>
      <c r="P58"/>
      <c r="Q58"/>
      <c r="R58"/>
      <c r="S58"/>
      <c r="T58"/>
      <c r="U58"/>
    </row>
    <row r="59" spans="3:21">
      <c r="C59" s="107" t="s">
        <v>3550</v>
      </c>
      <c r="D59" s="396">
        <v>12000</v>
      </c>
      <c r="F59" s="67">
        <v>12000</v>
      </c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</row>
    <row r="60" spans="3:21">
      <c r="C60" s="107" t="s">
        <v>3551</v>
      </c>
      <c r="D60" s="398">
        <v>4200</v>
      </c>
      <c r="F60" s="150">
        <v>4200</v>
      </c>
      <c r="G60" s="145"/>
      <c r="H60" s="145"/>
      <c r="I60"/>
      <c r="J60"/>
      <c r="K60"/>
      <c r="L60"/>
      <c r="M60"/>
      <c r="N60"/>
      <c r="O60"/>
      <c r="P60"/>
      <c r="Q60"/>
      <c r="R60"/>
      <c r="S60"/>
      <c r="T60"/>
      <c r="U60"/>
    </row>
    <row r="61" spans="3:21">
      <c r="C61" s="107" t="s">
        <v>3552</v>
      </c>
      <c r="D61" s="398">
        <v>11200</v>
      </c>
      <c r="F61" s="150">
        <v>11200</v>
      </c>
      <c r="G61" s="145"/>
      <c r="H61" s="145"/>
      <c r="I61"/>
      <c r="J61"/>
      <c r="K61"/>
      <c r="L61"/>
      <c r="M61"/>
      <c r="N61"/>
      <c r="O61"/>
      <c r="P61"/>
      <c r="Q61"/>
      <c r="R61"/>
      <c r="S61"/>
      <c r="T61"/>
      <c r="U61"/>
    </row>
    <row r="62" spans="3:21">
      <c r="C62" s="400" t="s">
        <v>3553</v>
      </c>
      <c r="D62" s="399">
        <v>7000</v>
      </c>
      <c r="F62" s="150">
        <v>3500</v>
      </c>
      <c r="I62"/>
      <c r="J62"/>
      <c r="K62"/>
      <c r="L62"/>
      <c r="M62"/>
      <c r="N62"/>
      <c r="O62"/>
      <c r="P62"/>
      <c r="Q62"/>
      <c r="R62"/>
      <c r="S62"/>
      <c r="T62"/>
      <c r="U62"/>
    </row>
    <row r="63" spans="3:21" ht="28.9">
      <c r="C63" s="378" t="s">
        <v>3554</v>
      </c>
      <c r="D63" s="399">
        <v>4200</v>
      </c>
      <c r="F63" s="150"/>
      <c r="I63"/>
      <c r="J63"/>
      <c r="K63"/>
      <c r="L63"/>
      <c r="M63"/>
      <c r="N63"/>
      <c r="O63"/>
      <c r="P63"/>
      <c r="Q63"/>
      <c r="R63"/>
      <c r="S63"/>
      <c r="T63"/>
      <c r="U63"/>
    </row>
    <row r="64" spans="3:21" ht="28.9">
      <c r="C64" s="378" t="s">
        <v>3555</v>
      </c>
      <c r="D64" s="399">
        <v>4200</v>
      </c>
      <c r="F64"/>
      <c r="I64"/>
      <c r="J64"/>
      <c r="K64"/>
      <c r="L64"/>
      <c r="M64"/>
      <c r="N64"/>
      <c r="O64"/>
      <c r="P64"/>
      <c r="Q64"/>
      <c r="R64"/>
      <c r="S64"/>
      <c r="T64"/>
      <c r="U64"/>
    </row>
    <row r="65" spans="3:21">
      <c r="C65" t="s">
        <v>3556</v>
      </c>
      <c r="D65" s="399">
        <v>12000</v>
      </c>
      <c r="F65"/>
      <c r="H65" s="156"/>
      <c r="I65"/>
      <c r="J65"/>
      <c r="K65"/>
      <c r="L65"/>
      <c r="M65"/>
      <c r="N65"/>
      <c r="O65"/>
      <c r="P65"/>
      <c r="Q65"/>
      <c r="R65"/>
      <c r="S65"/>
      <c r="T65"/>
      <c r="U65"/>
    </row>
    <row r="66" spans="3:21">
      <c r="D66"/>
      <c r="F66"/>
      <c r="I66"/>
      <c r="J66"/>
      <c r="K66"/>
      <c r="L66"/>
      <c r="M66"/>
      <c r="N66"/>
      <c r="O66"/>
      <c r="P66"/>
      <c r="Q66"/>
      <c r="R66"/>
      <c r="S66"/>
      <c r="T66"/>
      <c r="U66"/>
    </row>
    <row r="67" spans="3:21">
      <c r="D67"/>
      <c r="F67"/>
    </row>
  </sheetData>
  <mergeCells count="33">
    <mergeCell ref="H3:H6"/>
    <mergeCell ref="N3:O5"/>
    <mergeCell ref="C3:C6"/>
    <mergeCell ref="D3:D6"/>
    <mergeCell ref="E3:E6"/>
    <mergeCell ref="F3:F6"/>
    <mergeCell ref="G3:G6"/>
    <mergeCell ref="AA3:AA6"/>
    <mergeCell ref="I3:I6"/>
    <mergeCell ref="J3:K5"/>
    <mergeCell ref="L3:M5"/>
    <mergeCell ref="P3:Q5"/>
    <mergeCell ref="R3:S5"/>
    <mergeCell ref="T3:U5"/>
    <mergeCell ref="V3:V6"/>
    <mergeCell ref="W3:W6"/>
    <mergeCell ref="X3:X6"/>
    <mergeCell ref="Y3:Y6"/>
    <mergeCell ref="Z3:Z6"/>
    <mergeCell ref="AB3:AB6"/>
    <mergeCell ref="AC3:AC6"/>
    <mergeCell ref="AH3:AH4"/>
    <mergeCell ref="AI3:AJ4"/>
    <mergeCell ref="AH5:AH6"/>
    <mergeCell ref="AI5:AJ6"/>
    <mergeCell ref="AF35:AI36"/>
    <mergeCell ref="AF38:AI39"/>
    <mergeCell ref="AF9:AI10"/>
    <mergeCell ref="AF12:AI13"/>
    <mergeCell ref="AF17:AI18"/>
    <mergeCell ref="AF20:AI21"/>
    <mergeCell ref="AF25:AI26"/>
    <mergeCell ref="AF28:AI29"/>
  </mergeCells>
  <conditionalFormatting sqref="AF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{DD105452-AFF1-473F-BB39-747EC38D2BDD}</x14:id>
        </ext>
      </extLst>
    </cfRule>
  </conditionalFormatting>
  <conditionalFormatting sqref="AF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{56121F85-3564-4F71-A3E3-E96423D296EB}</x14:id>
        </ext>
      </extLst>
    </cfRule>
  </conditionalFormatting>
  <conditionalFormatting sqref="AF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{C21AD1A8-586B-402F-9717-52CAF593F235}</x14:id>
        </ext>
      </extLst>
    </cfRule>
  </conditionalFormatting>
  <conditionalFormatting sqref="AF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{61528136-7071-4570-8D79-41C22788DBE9}</x14:id>
        </ext>
      </extLst>
    </cfRule>
  </conditionalFormatting>
  <conditionalFormatting sqref="AF35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{16C6CB23-4274-4D8A-81D3-88508E3FDCBC}</x14:id>
        </ext>
      </extLst>
    </cfRule>
  </conditionalFormatting>
  <conditionalFormatting sqref="AF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{ECFE1966-94B4-45CD-922F-CAE8AB285F0B}</x14:id>
        </ext>
      </extLst>
    </cfRule>
  </conditionalFormatting>
  <conditionalFormatting sqref="AF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{2B279488-A611-46CA-BFA7-E782F6A0878D}</x14:id>
        </ext>
      </extLst>
    </cfRule>
  </conditionalFormatting>
  <conditionalFormatting sqref="AF38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{0F54FA34-A164-4E42-AF9E-F46EBEFD53DC}</x14:id>
        </ext>
      </extLst>
    </cfRule>
  </conditionalFormatting>
  <pageMargins left="0.7" right="0.7" top="0.75" bottom="0.75" header="0.3" footer="0.3"/>
  <colBreaks count="1" manualBreakCount="1">
    <brk id="38" max="64" man="1"/>
  </colBreaks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D105452-AFF1-473F-BB39-747EC38D2BD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AF9</xm:sqref>
        </x14:conditionalFormatting>
        <x14:conditionalFormatting xmlns:xm="http://schemas.microsoft.com/office/excel/2006/main">
          <x14:cfRule type="dataBar" id="{56121F85-3564-4F71-A3E3-E96423D296E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AF12</xm:sqref>
        </x14:conditionalFormatting>
        <x14:conditionalFormatting xmlns:xm="http://schemas.microsoft.com/office/excel/2006/main">
          <x14:cfRule type="dataBar" id="{C21AD1A8-586B-402F-9717-52CAF593F23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AF17</xm:sqref>
        </x14:conditionalFormatting>
        <x14:conditionalFormatting xmlns:xm="http://schemas.microsoft.com/office/excel/2006/main">
          <x14:cfRule type="dataBar" id="{61528136-7071-4570-8D79-41C22788DBE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AF25</xm:sqref>
        </x14:conditionalFormatting>
        <x14:conditionalFormatting xmlns:xm="http://schemas.microsoft.com/office/excel/2006/main">
          <x14:cfRule type="dataBar" id="{16C6CB23-4274-4D8A-81D3-88508E3FDCB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AF35</xm:sqref>
        </x14:conditionalFormatting>
        <x14:conditionalFormatting xmlns:xm="http://schemas.microsoft.com/office/excel/2006/main">
          <x14:cfRule type="dataBar" id="{ECFE1966-94B4-45CD-922F-CAE8AB285F0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AF20</xm:sqref>
        </x14:conditionalFormatting>
        <x14:conditionalFormatting xmlns:xm="http://schemas.microsoft.com/office/excel/2006/main">
          <x14:cfRule type="dataBar" id="{2B279488-A611-46CA-BFA7-E782F6A0878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AF28</xm:sqref>
        </x14:conditionalFormatting>
        <x14:conditionalFormatting xmlns:xm="http://schemas.microsoft.com/office/excel/2006/main">
          <x14:cfRule type="dataBar" id="{0F54FA34-A164-4E42-AF9E-F46EBEFD53D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AF38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C9E175-BA2E-49AF-99B4-6FBACA08BAA4}">
  <sheetPr codeName="Sheet16"/>
  <dimension ref="A1:H33"/>
  <sheetViews>
    <sheetView workbookViewId="0">
      <selection activeCell="H25" sqref="H25"/>
    </sheetView>
  </sheetViews>
  <sheetFormatPr defaultRowHeight="14.45"/>
  <cols>
    <col min="2" max="2" width="13.28515625" style="231" bestFit="1" customWidth="1"/>
    <col min="3" max="3" width="13.28515625" customWidth="1"/>
    <col min="4" max="4" width="10.7109375" bestFit="1" customWidth="1"/>
    <col min="5" max="5" width="13.28515625" style="231" bestFit="1" customWidth="1"/>
    <col min="6" max="6" width="13.5703125" style="463" bestFit="1" customWidth="1"/>
    <col min="7" max="7" width="11.28515625" customWidth="1"/>
    <col min="8" max="8" width="82.28515625" customWidth="1"/>
  </cols>
  <sheetData>
    <row r="1" spans="1:8">
      <c r="A1" s="95" t="s">
        <v>3557</v>
      </c>
      <c r="B1" s="234" t="s">
        <v>155</v>
      </c>
      <c r="C1" s="95" t="s">
        <v>156</v>
      </c>
      <c r="D1" s="95" t="s">
        <v>3557</v>
      </c>
      <c r="E1" s="234" t="s">
        <v>157</v>
      </c>
      <c r="F1" s="462" t="s">
        <v>158</v>
      </c>
      <c r="G1" s="99" t="s">
        <v>159</v>
      </c>
      <c r="H1" s="90" t="s">
        <v>161</v>
      </c>
    </row>
    <row r="2" spans="1:8">
      <c r="A2" s="481" t="s">
        <v>3558</v>
      </c>
      <c r="B2" s="482">
        <v>45741</v>
      </c>
      <c r="C2" s="483" t="s">
        <v>3504</v>
      </c>
      <c r="D2" s="481" t="s">
        <v>3558</v>
      </c>
      <c r="E2" s="482">
        <v>45741</v>
      </c>
      <c r="F2" s="481" t="s">
        <v>672</v>
      </c>
      <c r="G2" s="473">
        <f>(E2 + TIME(LEFT(F2, 2), MID(F2, 3, 2), 0)) - (B2 + TIME(LEFT(C2, 2), MID(C2, 3, 2), 0))</f>
        <v>0.41041666666569654</v>
      </c>
      <c r="H2" s="318"/>
    </row>
    <row r="3" spans="1:8" s="400" customFormat="1">
      <c r="A3" s="481" t="s">
        <v>3559</v>
      </c>
      <c r="B3" s="482">
        <v>45742</v>
      </c>
      <c r="C3" s="483" t="s">
        <v>3560</v>
      </c>
      <c r="D3" s="475" t="s">
        <v>3559</v>
      </c>
      <c r="E3" s="474">
        <v>45742</v>
      </c>
      <c r="F3" s="475" t="s">
        <v>522</v>
      </c>
      <c r="G3" s="473">
        <f>(E3 + TIME(LEFT(F3, 2), MID(F3, 3, 2), 0)) - (B3 + TIME(LEFT(C3, 2), MID(C3, 3, 2), 0))</f>
        <v>0.17916666666133096</v>
      </c>
      <c r="H3" s="318" t="s">
        <v>3561</v>
      </c>
    </row>
    <row r="4" spans="1:8" s="400" customFormat="1">
      <c r="A4" s="481" t="s">
        <v>3559</v>
      </c>
      <c r="B4" s="482">
        <v>45742</v>
      </c>
      <c r="C4" s="483" t="s">
        <v>3562</v>
      </c>
      <c r="D4" s="481" t="s">
        <v>3563</v>
      </c>
      <c r="E4" s="482">
        <v>45742</v>
      </c>
      <c r="F4" s="481" t="s">
        <v>1070</v>
      </c>
      <c r="G4" s="473">
        <f>(E4 + TIME(LEFT(F4, 2), MID(F4, 3, 2), 0)) - (B4 + TIME(LEFT(C4, 2), MID(C4, 3, 2), 0))</f>
        <v>0.15902777777228039</v>
      </c>
      <c r="H4" s="318"/>
    </row>
    <row r="5" spans="1:8" s="400" customFormat="1">
      <c r="A5" s="481" t="s">
        <v>3559</v>
      </c>
      <c r="B5" s="482">
        <v>45743</v>
      </c>
      <c r="C5" s="483" t="s">
        <v>1229</v>
      </c>
      <c r="D5" s="481" t="s">
        <v>3558</v>
      </c>
      <c r="E5" s="482">
        <v>45743</v>
      </c>
      <c r="F5" s="481" t="s">
        <v>771</v>
      </c>
      <c r="G5" s="473">
        <f>(E5 + TIME(LEFT(F5, 2), MID(F5, 3, 2), 0)) - (B5 + TIME(LEFT(C5, 2), MID(C5, 3, 2), 0))</f>
        <v>0.42916666666133096</v>
      </c>
      <c r="H5" s="318"/>
    </row>
    <row r="6" spans="1:8">
      <c r="A6" s="321" t="s">
        <v>3564</v>
      </c>
      <c r="B6" s="482">
        <v>45744</v>
      </c>
      <c r="C6" s="321" t="s">
        <v>688</v>
      </c>
      <c r="D6" s="321" t="s">
        <v>3564</v>
      </c>
      <c r="E6" s="482">
        <v>45744</v>
      </c>
      <c r="F6" s="423" t="s">
        <v>250</v>
      </c>
      <c r="G6" s="420">
        <f>(E6 + TIME(LEFT(F6, 2), MID(F6, 3, 2), 0)) - (B6 + TIME(LEFT(C6, 2), MID(C6, 3, 2), 0))</f>
        <v>0.55000000000291038</v>
      </c>
      <c r="H6" s="318"/>
    </row>
    <row r="7" spans="1:8">
      <c r="A7" s="321" t="s">
        <v>3558</v>
      </c>
      <c r="B7" s="482">
        <v>45745</v>
      </c>
      <c r="C7" s="321" t="s">
        <v>696</v>
      </c>
      <c r="D7" s="321" t="s">
        <v>3564</v>
      </c>
      <c r="E7" s="335">
        <v>45745</v>
      </c>
      <c r="F7" s="423" t="s">
        <v>664</v>
      </c>
      <c r="G7" s="420">
        <f t="shared" ref="G7:G11" si="0">(E7 + TIME(LEFT(F7, 2), MID(F7, 3, 2), 0)) - (B7 + TIME(LEFT(C7, 2), MID(C7, 3, 2), 0))</f>
        <v>0.34097222222044365</v>
      </c>
      <c r="H7" s="318"/>
    </row>
    <row r="8" spans="1:8">
      <c r="A8" s="335" t="s">
        <v>3564</v>
      </c>
      <c r="B8" s="482">
        <v>45747</v>
      </c>
      <c r="C8" s="23" t="s">
        <v>1082</v>
      </c>
      <c r="D8" s="321" t="s">
        <v>3558</v>
      </c>
      <c r="E8" s="482">
        <v>45747</v>
      </c>
      <c r="F8" s="423" t="s">
        <v>317</v>
      </c>
      <c r="G8" s="420">
        <f t="shared" si="0"/>
        <v>0.43263888889487134</v>
      </c>
      <c r="H8" s="318"/>
    </row>
    <row r="9" spans="1:8">
      <c r="A9" s="321" t="s">
        <v>3558</v>
      </c>
      <c r="B9" s="484">
        <v>45748</v>
      </c>
      <c r="C9" s="421" t="s">
        <v>833</v>
      </c>
      <c r="D9" s="321" t="s">
        <v>3564</v>
      </c>
      <c r="E9" s="487">
        <v>45748</v>
      </c>
      <c r="F9" s="421" t="s">
        <v>250</v>
      </c>
      <c r="G9" s="420">
        <f>(E9 + TIME(LEFT(F9, 2), MID(F9, 3, 2), 0)) - (B9 + TIME(LEFT(C9, 2), MID(C9, 3, 2), 0))</f>
        <v>0.37083333333430346</v>
      </c>
      <c r="H9" s="318"/>
    </row>
    <row r="10" spans="1:8">
      <c r="A10" s="321" t="s">
        <v>3558</v>
      </c>
      <c r="B10" s="485">
        <v>45749</v>
      </c>
      <c r="C10" s="486" t="s">
        <v>324</v>
      </c>
      <c r="D10" s="488" t="s">
        <v>3564</v>
      </c>
      <c r="E10" s="485">
        <v>45749</v>
      </c>
      <c r="F10" s="423" t="s">
        <v>315</v>
      </c>
      <c r="G10" s="420">
        <f t="shared" si="0"/>
        <v>0.5194444444423425</v>
      </c>
      <c r="H10" s="318" t="s">
        <v>3565</v>
      </c>
    </row>
    <row r="11" spans="1:8">
      <c r="A11" s="335" t="s">
        <v>3564</v>
      </c>
      <c r="B11" s="335">
        <v>45750</v>
      </c>
      <c r="C11" s="421" t="s">
        <v>374</v>
      </c>
      <c r="D11" s="335" t="s">
        <v>3558</v>
      </c>
      <c r="E11" s="335">
        <v>45750</v>
      </c>
      <c r="F11" s="423" t="s">
        <v>325</v>
      </c>
      <c r="G11" s="420">
        <f t="shared" si="0"/>
        <v>0.42638888888905058</v>
      </c>
      <c r="H11" s="318" t="s">
        <v>3566</v>
      </c>
    </row>
    <row r="12" spans="1:8">
      <c r="A12" s="321" t="s">
        <v>3558</v>
      </c>
      <c r="B12" s="335">
        <v>45751</v>
      </c>
      <c r="C12" s="421" t="s">
        <v>490</v>
      </c>
      <c r="D12" s="335" t="s">
        <v>3564</v>
      </c>
      <c r="E12" s="335">
        <v>45751</v>
      </c>
      <c r="F12" s="335" t="s">
        <v>375</v>
      </c>
      <c r="G12" s="420">
        <f>(E12 + TIME(LEFT(F12, 2), MID(F12, 3, 2), 0)) - (B12 + TIME(LEFT(C12, 2), MID(C12, 3, 2), 0))</f>
        <v>0.38680555555038154</v>
      </c>
      <c r="H12" s="318"/>
    </row>
    <row r="13" spans="1:8">
      <c r="A13" s="476" t="s">
        <v>3558</v>
      </c>
      <c r="B13" s="477">
        <v>45752</v>
      </c>
      <c r="C13" s="478" t="s">
        <v>559</v>
      </c>
      <c r="D13" s="321" t="s">
        <v>3563</v>
      </c>
      <c r="E13" s="485">
        <v>45752</v>
      </c>
      <c r="F13" s="423" t="s">
        <v>182</v>
      </c>
      <c r="G13" s="420">
        <f>(E13 + TIME(LEFT(F13, 2), MID(F13, 3, 2), 0)) - (B13 + TIME(LEFT(C13, 2), MID(C13, 3, 2), 0))</f>
        <v>0.51458333332993789</v>
      </c>
      <c r="H13" s="318" t="s">
        <v>3567</v>
      </c>
    </row>
    <row r="14" spans="1:8">
      <c r="A14" s="335" t="s">
        <v>3559</v>
      </c>
      <c r="B14" s="335">
        <v>45754</v>
      </c>
      <c r="C14" s="419" t="s">
        <v>265</v>
      </c>
      <c r="D14" s="419" t="s">
        <v>3559</v>
      </c>
      <c r="E14" s="335">
        <v>45754</v>
      </c>
      <c r="F14" s="421" t="s">
        <v>664</v>
      </c>
      <c r="G14" s="420">
        <f>(E14 + TIME(LEFT(F14, 2), MID(F14, 3, 2), 0)) - (B14 + TIME(LEFT(C14, 2), MID(C14, 3, 2), 0))</f>
        <v>0.50555555555183673</v>
      </c>
      <c r="H14" s="318"/>
    </row>
    <row r="15" spans="1:8">
      <c r="A15" s="335" t="s">
        <v>3558</v>
      </c>
      <c r="B15" s="461">
        <v>45873</v>
      </c>
      <c r="C15" s="419" t="s">
        <v>692</v>
      </c>
      <c r="D15" s="419" t="s">
        <v>3559</v>
      </c>
      <c r="E15" s="461">
        <v>45873</v>
      </c>
      <c r="F15" s="421" t="s">
        <v>427</v>
      </c>
      <c r="G15" s="420">
        <f t="shared" ref="G15:G19" si="1">(E15 + TIME(LEFT(F15, 2), MID(F15, 3, 2), 0)) - (B15 + TIME(LEFT(C15, 2), MID(C15, 3, 2), 0))</f>
        <v>0.43541666666715173</v>
      </c>
      <c r="H15" s="420" t="s">
        <v>3568</v>
      </c>
    </row>
    <row r="16" spans="1:8">
      <c r="A16" s="335" t="s">
        <v>3558</v>
      </c>
      <c r="B16" s="461">
        <v>45904</v>
      </c>
      <c r="C16" s="419" t="s">
        <v>747</v>
      </c>
      <c r="D16" s="479" t="s">
        <v>3564</v>
      </c>
      <c r="E16" s="480">
        <v>45904</v>
      </c>
      <c r="F16" s="478" t="s">
        <v>731</v>
      </c>
      <c r="G16" s="420">
        <f t="shared" si="1"/>
        <v>0.26388888889050577</v>
      </c>
      <c r="H16" s="420" t="s">
        <v>3569</v>
      </c>
    </row>
    <row r="17" spans="1:8">
      <c r="A17" s="489" t="s">
        <v>3564</v>
      </c>
      <c r="B17" s="437">
        <v>45756</v>
      </c>
      <c r="C17" s="490" t="s">
        <v>757</v>
      </c>
      <c r="D17" s="476" t="s">
        <v>3559</v>
      </c>
      <c r="E17" s="491">
        <v>45756</v>
      </c>
      <c r="F17" s="476" t="s">
        <v>534</v>
      </c>
      <c r="G17" s="420">
        <f t="shared" si="1"/>
        <v>1.1111111110949423E-2</v>
      </c>
      <c r="H17" s="420" t="s">
        <v>3570</v>
      </c>
    </row>
    <row r="18" spans="1:8">
      <c r="A18" s="335" t="s">
        <v>3558</v>
      </c>
      <c r="B18" s="322">
        <v>45757</v>
      </c>
      <c r="C18" s="321" t="s">
        <v>787</v>
      </c>
      <c r="D18" s="335"/>
      <c r="E18" s="461"/>
      <c r="F18" s="421"/>
      <c r="G18" s="420" t="e">
        <f t="shared" si="1"/>
        <v>#VALUE!</v>
      </c>
      <c r="H18" s="420"/>
    </row>
    <row r="19" spans="1:8">
      <c r="A19" s="335" t="s">
        <v>3559</v>
      </c>
      <c r="B19" s="322">
        <v>45758</v>
      </c>
      <c r="C19" s="421" t="s">
        <v>742</v>
      </c>
      <c r="D19" s="335" t="s">
        <v>3558</v>
      </c>
      <c r="E19" s="322">
        <v>45758</v>
      </c>
      <c r="F19" s="421" t="s">
        <v>788</v>
      </c>
      <c r="G19" s="420">
        <f t="shared" si="1"/>
        <v>0.32569444444379769</v>
      </c>
      <c r="H19" s="420"/>
    </row>
    <row r="20" spans="1:8">
      <c r="A20" s="335" t="s">
        <v>3564</v>
      </c>
      <c r="B20" s="322">
        <v>45768</v>
      </c>
      <c r="C20" s="419" t="s">
        <v>270</v>
      </c>
      <c r="D20" s="335"/>
      <c r="E20" s="322"/>
      <c r="F20" s="421"/>
      <c r="G20" s="420"/>
      <c r="H20" s="420"/>
    </row>
    <row r="21" spans="1:8">
      <c r="A21" s="335" t="s">
        <v>3564</v>
      </c>
      <c r="B21" s="322">
        <v>45769</v>
      </c>
      <c r="C21" s="419" t="s">
        <v>998</v>
      </c>
      <c r="D21" s="321"/>
      <c r="E21" s="335"/>
      <c r="F21" s="421"/>
      <c r="G21" s="420"/>
      <c r="H21" s="318"/>
    </row>
    <row r="22" spans="1:8">
      <c r="A22" s="321"/>
      <c r="B22" s="335"/>
      <c r="C22" s="419"/>
      <c r="D22" s="335"/>
      <c r="E22" s="335"/>
      <c r="F22" s="423"/>
      <c r="G22" s="420"/>
      <c r="H22" s="318"/>
    </row>
    <row r="23" spans="1:8">
      <c r="A23" s="321"/>
      <c r="B23" s="335"/>
      <c r="C23" s="419"/>
      <c r="D23" s="335"/>
      <c r="E23" s="335"/>
      <c r="F23" s="423"/>
      <c r="G23" s="420"/>
      <c r="H23" s="318"/>
    </row>
    <row r="24" spans="1:8">
      <c r="A24" s="321"/>
      <c r="B24" s="335"/>
      <c r="C24" s="419"/>
      <c r="D24" s="335"/>
      <c r="E24" s="335"/>
      <c r="F24" s="423"/>
      <c r="G24" s="420"/>
      <c r="H24" s="318"/>
    </row>
    <row r="25" spans="1:8">
      <c r="A25" s="321"/>
      <c r="B25" s="335"/>
      <c r="C25" s="419"/>
      <c r="D25" s="335"/>
      <c r="E25" s="335"/>
      <c r="F25" s="423"/>
      <c r="G25" s="420"/>
      <c r="H25" s="318"/>
    </row>
    <row r="26" spans="1:8">
      <c r="A26" s="321"/>
      <c r="B26" s="335"/>
      <c r="C26" s="419"/>
      <c r="D26" s="335"/>
      <c r="E26" s="335"/>
      <c r="F26" s="423"/>
      <c r="G26" s="420"/>
      <c r="H26" s="318"/>
    </row>
    <row r="27" spans="1:8">
      <c r="G27" s="229" t="e">
        <f>SUM(G2:G26)</f>
        <v>#VALUE!</v>
      </c>
    </row>
    <row r="28" spans="1:8" ht="28.9">
      <c r="F28" s="464" t="s">
        <v>3571</v>
      </c>
      <c r="G28" s="229" t="e">
        <f>H28-G27</f>
        <v>#VALUE!</v>
      </c>
      <c r="H28" s="229">
        <v>2.5</v>
      </c>
    </row>
    <row r="29" spans="1:8">
      <c r="D29" s="233"/>
      <c r="F29" s="464"/>
    </row>
    <row r="33" spans="2:2">
      <c r="B33" s="84"/>
    </row>
  </sheetData>
  <phoneticPr fontId="19" type="noConversion"/>
  <pageMargins left="0.7" right="0.7" top="0.75" bottom="0.75" header="0.3" footer="0.3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DB3BF-77A7-4B12-BD6F-21BB3076991E}">
  <sheetPr codeName="Sheet13"/>
  <dimension ref="A1:H29"/>
  <sheetViews>
    <sheetView workbookViewId="0">
      <selection activeCell="G23" sqref="G23"/>
    </sheetView>
  </sheetViews>
  <sheetFormatPr defaultRowHeight="14.45"/>
  <cols>
    <col min="2" max="2" width="13.28515625" style="231" bestFit="1" customWidth="1"/>
    <col min="3" max="3" width="13.28515625" customWidth="1"/>
    <col min="4" max="4" width="10.7109375" bestFit="1" customWidth="1"/>
    <col min="5" max="5" width="13.28515625" style="231" bestFit="1" customWidth="1"/>
    <col min="6" max="6" width="13.5703125" bestFit="1" customWidth="1"/>
    <col min="7" max="7" width="14.85546875" bestFit="1" customWidth="1"/>
    <col min="8" max="8" width="50.28515625" customWidth="1"/>
  </cols>
  <sheetData>
    <row r="1" spans="1:8">
      <c r="A1" s="95" t="s">
        <v>3557</v>
      </c>
      <c r="B1" s="234" t="s">
        <v>155</v>
      </c>
      <c r="C1" s="95" t="s">
        <v>156</v>
      </c>
      <c r="D1" s="95" t="s">
        <v>3557</v>
      </c>
      <c r="E1" s="234" t="s">
        <v>157</v>
      </c>
      <c r="F1" s="90" t="s">
        <v>158</v>
      </c>
      <c r="G1" s="99" t="s">
        <v>159</v>
      </c>
      <c r="H1" s="90" t="s">
        <v>161</v>
      </c>
    </row>
    <row r="2" spans="1:8">
      <c r="A2" s="321" t="s">
        <v>23</v>
      </c>
      <c r="B2" s="322">
        <v>45715</v>
      </c>
      <c r="C2" s="321" t="s">
        <v>269</v>
      </c>
      <c r="D2" s="321" t="s">
        <v>23</v>
      </c>
      <c r="E2" s="322">
        <v>45715</v>
      </c>
      <c r="F2" s="321" t="s">
        <v>3572</v>
      </c>
      <c r="G2" s="420">
        <f t="shared" ref="G2:G16" si="0">(E2 + TIME(LEFT(F2, 2), MID(F2, 3, 2), 0)) - (B2 + TIME(LEFT(C2, 2), MID(C2, 3, 2), 0))</f>
        <v>0.40625</v>
      </c>
      <c r="H2" s="318"/>
    </row>
    <row r="3" spans="1:8">
      <c r="A3" s="321" t="s">
        <v>24</v>
      </c>
      <c r="B3" s="322">
        <v>45717</v>
      </c>
      <c r="C3" s="321" t="s">
        <v>1252</v>
      </c>
      <c r="D3" s="321" t="s">
        <v>24</v>
      </c>
      <c r="E3" s="322">
        <v>45717</v>
      </c>
      <c r="F3" s="321" t="s">
        <v>3573</v>
      </c>
      <c r="G3" s="420">
        <f t="shared" si="0"/>
        <v>0.42291666667006211</v>
      </c>
      <c r="H3" s="318"/>
    </row>
    <row r="4" spans="1:8">
      <c r="A4" s="335" t="s">
        <v>24</v>
      </c>
      <c r="B4" s="322">
        <v>45719</v>
      </c>
      <c r="C4" s="321" t="s">
        <v>563</v>
      </c>
      <c r="D4" s="321" t="s">
        <v>24</v>
      </c>
      <c r="E4" s="322">
        <v>45719</v>
      </c>
      <c r="F4" s="321" t="s">
        <v>430</v>
      </c>
      <c r="G4" s="420">
        <f t="shared" si="0"/>
        <v>0.37013888889487134</v>
      </c>
      <c r="H4" s="318"/>
    </row>
    <row r="5" spans="1:8">
      <c r="A5" s="335" t="s">
        <v>24</v>
      </c>
      <c r="B5" s="322">
        <v>45720</v>
      </c>
      <c r="C5" s="23" t="s">
        <v>802</v>
      </c>
      <c r="D5" s="321" t="s">
        <v>25</v>
      </c>
      <c r="E5" s="322">
        <v>45720</v>
      </c>
      <c r="F5" s="321" t="s">
        <v>3574</v>
      </c>
      <c r="G5" s="420">
        <f t="shared" si="0"/>
        <v>0.28888888889196096</v>
      </c>
      <c r="H5" s="318"/>
    </row>
    <row r="6" spans="1:8">
      <c r="A6" s="321" t="s">
        <v>23</v>
      </c>
      <c r="B6" s="322">
        <v>45721</v>
      </c>
      <c r="C6" s="422" t="s">
        <v>319</v>
      </c>
      <c r="D6" s="321" t="s">
        <v>25</v>
      </c>
      <c r="E6" s="335">
        <v>45721</v>
      </c>
      <c r="F6" s="419" t="s">
        <v>708</v>
      </c>
      <c r="G6" s="420">
        <f t="shared" si="0"/>
        <v>0.48819444444961846</v>
      </c>
      <c r="H6" s="318" t="s">
        <v>3575</v>
      </c>
    </row>
    <row r="7" spans="1:8">
      <c r="A7" s="321" t="s">
        <v>23</v>
      </c>
      <c r="B7" s="335">
        <v>45722</v>
      </c>
      <c r="C7" s="419" t="s">
        <v>1207</v>
      </c>
      <c r="D7" s="321" t="s">
        <v>24</v>
      </c>
      <c r="E7" s="335">
        <v>45722</v>
      </c>
      <c r="F7" s="321" t="s">
        <v>3576</v>
      </c>
      <c r="G7" s="420">
        <f t="shared" si="0"/>
        <v>0.16597222222480923</v>
      </c>
      <c r="H7" s="318" t="s">
        <v>3577</v>
      </c>
    </row>
    <row r="8" spans="1:8">
      <c r="A8" s="335" t="s">
        <v>24</v>
      </c>
      <c r="B8" s="335">
        <v>45722</v>
      </c>
      <c r="C8" s="419" t="s">
        <v>1024</v>
      </c>
      <c r="D8" s="335" t="s">
        <v>24</v>
      </c>
      <c r="E8" s="335">
        <v>45722</v>
      </c>
      <c r="F8" s="321" t="s">
        <v>1192</v>
      </c>
      <c r="G8" s="420">
        <f t="shared" si="0"/>
        <v>4.7222222223354038E-2</v>
      </c>
      <c r="H8" s="318"/>
    </row>
    <row r="9" spans="1:8">
      <c r="A9" s="335" t="s">
        <v>24</v>
      </c>
      <c r="B9" s="335">
        <v>45722</v>
      </c>
      <c r="C9" s="421" t="s">
        <v>839</v>
      </c>
      <c r="D9" s="335" t="s">
        <v>23</v>
      </c>
      <c r="E9" s="335">
        <v>45722</v>
      </c>
      <c r="F9" s="423" t="s">
        <v>3578</v>
      </c>
      <c r="G9" s="420">
        <f t="shared" si="0"/>
        <v>9.3055555553291924E-2</v>
      </c>
      <c r="H9" s="318" t="s">
        <v>851</v>
      </c>
    </row>
    <row r="10" spans="1:8">
      <c r="A10" s="335" t="s">
        <v>22</v>
      </c>
      <c r="B10" s="322">
        <v>45723</v>
      </c>
      <c r="C10" s="23" t="s">
        <v>320</v>
      </c>
      <c r="D10" s="335" t="s">
        <v>22</v>
      </c>
      <c r="E10" s="335">
        <v>45723</v>
      </c>
      <c r="F10" s="321" t="s">
        <v>832</v>
      </c>
      <c r="G10" s="420">
        <f t="shared" si="0"/>
        <v>0.32361111111094942</v>
      </c>
      <c r="H10" s="318"/>
    </row>
    <row r="11" spans="1:8">
      <c r="A11" s="335" t="s">
        <v>23</v>
      </c>
      <c r="B11" s="322">
        <v>45724</v>
      </c>
      <c r="C11" s="419" t="s">
        <v>820</v>
      </c>
      <c r="D11" s="335" t="s">
        <v>25</v>
      </c>
      <c r="E11" s="335">
        <v>45724</v>
      </c>
      <c r="F11" s="335" t="s">
        <v>3579</v>
      </c>
      <c r="G11" s="420">
        <f t="shared" si="0"/>
        <v>0.21736111110658385</v>
      </c>
      <c r="H11" s="420"/>
    </row>
    <row r="12" spans="1:8">
      <c r="A12" s="335" t="s">
        <v>23</v>
      </c>
      <c r="B12" s="322">
        <v>45725</v>
      </c>
      <c r="C12" s="419" t="s">
        <v>3580</v>
      </c>
      <c r="D12" s="335" t="s">
        <v>22</v>
      </c>
      <c r="E12" s="322">
        <v>45725</v>
      </c>
      <c r="F12" s="335" t="s">
        <v>348</v>
      </c>
      <c r="G12" s="420">
        <f t="shared" si="0"/>
        <v>0.26875000000291038</v>
      </c>
      <c r="H12" s="420"/>
    </row>
    <row r="13" spans="1:8">
      <c r="A13" s="335" t="s">
        <v>24</v>
      </c>
      <c r="B13" s="322">
        <v>45726</v>
      </c>
      <c r="C13" s="419" t="s">
        <v>3581</v>
      </c>
      <c r="D13" s="335" t="s">
        <v>25</v>
      </c>
      <c r="E13" s="322">
        <v>45726</v>
      </c>
      <c r="F13" s="335" t="s">
        <v>533</v>
      </c>
      <c r="G13" s="420">
        <f t="shared" si="0"/>
        <v>0.48611111110949423</v>
      </c>
      <c r="H13" s="420"/>
    </row>
    <row r="14" spans="1:8">
      <c r="A14" s="335" t="s">
        <v>22</v>
      </c>
      <c r="B14" s="322">
        <v>45727</v>
      </c>
      <c r="C14" s="419" t="s">
        <v>554</v>
      </c>
      <c r="D14" s="335" t="s">
        <v>24</v>
      </c>
      <c r="E14" s="322">
        <v>45727</v>
      </c>
      <c r="F14" s="335" t="s">
        <v>3582</v>
      </c>
      <c r="G14" s="420">
        <f t="shared" si="0"/>
        <v>0.56805555555183673</v>
      </c>
      <c r="H14" s="420"/>
    </row>
    <row r="15" spans="1:8">
      <c r="A15" s="335" t="s">
        <v>24</v>
      </c>
      <c r="B15" s="322">
        <v>45728</v>
      </c>
      <c r="C15" s="419" t="s">
        <v>3583</v>
      </c>
      <c r="D15" s="335" t="s">
        <v>24</v>
      </c>
      <c r="E15" s="322">
        <v>45729</v>
      </c>
      <c r="F15" s="335" t="s">
        <v>3584</v>
      </c>
      <c r="G15" s="420">
        <f t="shared" si="0"/>
        <v>0.93194444444816327</v>
      </c>
      <c r="H15" s="420"/>
    </row>
    <row r="16" spans="1:8">
      <c r="A16" s="335" t="s">
        <v>25</v>
      </c>
      <c r="B16" s="322">
        <v>45729</v>
      </c>
      <c r="C16" s="419" t="s">
        <v>472</v>
      </c>
      <c r="D16" s="335" t="s">
        <v>24</v>
      </c>
      <c r="E16" s="322">
        <v>45729</v>
      </c>
      <c r="F16" s="335" t="s">
        <v>3585</v>
      </c>
      <c r="G16" s="420">
        <f t="shared" si="0"/>
        <v>0.5430555555576575</v>
      </c>
      <c r="H16" s="420"/>
    </row>
    <row r="17" spans="1:8">
      <c r="A17" s="321" t="s">
        <v>23</v>
      </c>
      <c r="B17" s="335">
        <v>45736</v>
      </c>
      <c r="C17" s="419" t="s">
        <v>736</v>
      </c>
      <c r="D17" s="321" t="s">
        <v>22</v>
      </c>
      <c r="E17" s="335">
        <v>45736</v>
      </c>
      <c r="F17" s="335" t="s">
        <v>288</v>
      </c>
      <c r="G17" s="420">
        <f t="shared" ref="G17:G21" si="1">(E17 + TIME(LEFT(F17, 2), MID(F17, 3, 2), 0)) - (B17 + TIME(LEFT(C17, 2), MID(C17, 3, 2), 0))</f>
        <v>0.53541666666569654</v>
      </c>
      <c r="H17" s="318" t="s">
        <v>3586</v>
      </c>
    </row>
    <row r="18" spans="1:8">
      <c r="A18" s="321" t="s">
        <v>22</v>
      </c>
      <c r="B18" s="335">
        <v>45737</v>
      </c>
      <c r="C18" s="419" t="s">
        <v>328</v>
      </c>
      <c r="D18" s="321" t="s">
        <v>22</v>
      </c>
      <c r="E18" s="335">
        <v>45737</v>
      </c>
      <c r="F18" s="321" t="s">
        <v>808</v>
      </c>
      <c r="G18" s="420">
        <f t="shared" si="1"/>
        <v>0.44236111111240461</v>
      </c>
      <c r="H18" s="318"/>
    </row>
    <row r="19" spans="1:8">
      <c r="A19" s="321" t="s">
        <v>22</v>
      </c>
      <c r="B19" s="335">
        <v>45739</v>
      </c>
      <c r="C19" s="419" t="s">
        <v>426</v>
      </c>
      <c r="D19" s="335" t="s">
        <v>25</v>
      </c>
      <c r="E19" s="335">
        <v>45739</v>
      </c>
      <c r="F19" s="321" t="s">
        <v>847</v>
      </c>
      <c r="G19" s="420">
        <f t="shared" si="1"/>
        <v>0.13194444444525288</v>
      </c>
      <c r="H19" s="318"/>
    </row>
    <row r="20" spans="1:8">
      <c r="A20" s="321" t="s">
        <v>23</v>
      </c>
      <c r="B20" s="335">
        <v>45741</v>
      </c>
      <c r="C20" s="419" t="s">
        <v>688</v>
      </c>
      <c r="D20" s="321" t="s">
        <v>23</v>
      </c>
      <c r="E20" s="335">
        <v>45741</v>
      </c>
      <c r="F20" s="321" t="s">
        <v>3504</v>
      </c>
      <c r="G20" s="420">
        <f t="shared" si="1"/>
        <v>0.11458333333575865</v>
      </c>
      <c r="H20" s="318"/>
    </row>
    <row r="21" spans="1:8" hidden="1">
      <c r="A21" s="321"/>
      <c r="B21" s="335"/>
      <c r="C21" s="419"/>
      <c r="D21" s="335"/>
      <c r="E21" s="335"/>
      <c r="F21" s="321"/>
      <c r="G21" s="420" t="e">
        <f t="shared" si="1"/>
        <v>#VALUE!</v>
      </c>
      <c r="H21" s="318"/>
    </row>
    <row r="22" spans="1:8" hidden="1">
      <c r="A22" s="321"/>
      <c r="B22" s="335"/>
      <c r="C22" s="419"/>
      <c r="D22" s="335"/>
      <c r="E22" s="335"/>
      <c r="F22" s="321"/>
      <c r="G22" s="420" t="e">
        <f t="shared" ref="G22" si="2">(E22 + TIME(LEFT(F22, 2), MID(F22, 3, 2), 0)) - (B22 + TIME(LEFT(C22, 2), MID(C22, 3, 2), 0))</f>
        <v>#VALUE!</v>
      </c>
      <c r="H22" s="318"/>
    </row>
    <row r="23" spans="1:8">
      <c r="G23" s="229">
        <f>SUM(G2:G17)</f>
        <v>6.15694444446126</v>
      </c>
    </row>
    <row r="24" spans="1:8" ht="28.9">
      <c r="F24" s="232" t="s">
        <v>3571</v>
      </c>
      <c r="G24" s="229">
        <f>H24-G23</f>
        <v>-3.65694444446126</v>
      </c>
      <c r="H24" s="229">
        <v>2.5</v>
      </c>
    </row>
    <row r="25" spans="1:8">
      <c r="D25" s="233"/>
      <c r="F25" s="232"/>
    </row>
    <row r="29" spans="1:8">
      <c r="B29" s="84"/>
    </row>
  </sheetData>
  <phoneticPr fontId="19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83878-7FB5-434E-B6AD-8A854C66A767}">
  <sheetPr codeName="Sheet9"/>
  <dimension ref="A1:AK63"/>
  <sheetViews>
    <sheetView zoomScale="80" zoomScaleNormal="80" workbookViewId="0">
      <selection activeCell="P9" sqref="P9"/>
    </sheetView>
  </sheetViews>
  <sheetFormatPr defaultRowHeight="14.45"/>
  <cols>
    <col min="1" max="1" width="3" bestFit="1" customWidth="1"/>
    <col min="2" max="2" width="1.140625" customWidth="1"/>
    <col min="3" max="3" width="23.7109375" bestFit="1" customWidth="1"/>
    <col min="4" max="4" width="12.42578125" style="79" customWidth="1"/>
    <col min="5" max="5" width="15.28515625" customWidth="1"/>
    <col min="6" max="6" width="14" style="79" customWidth="1"/>
    <col min="7" max="7" width="10.28515625" style="79" customWidth="1"/>
    <col min="8" max="8" width="8.28515625" style="79" customWidth="1"/>
    <col min="9" max="9" width="12.140625" style="79" customWidth="1"/>
    <col min="10" max="15" width="11.42578125" style="79" hidden="1" customWidth="1"/>
    <col min="16" max="16" width="11.7109375" style="79" bestFit="1" customWidth="1"/>
    <col min="17" max="17" width="8.7109375" style="79" bestFit="1" customWidth="1"/>
    <col min="18" max="18" width="12.28515625" style="79" customWidth="1"/>
    <col min="19" max="19" width="8.85546875" style="79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0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>
      <c r="B2" s="130"/>
      <c r="C2" s="130"/>
      <c r="D2" s="131"/>
      <c r="E2" s="130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0"/>
      <c r="U2" s="130"/>
      <c r="V2" s="130"/>
      <c r="W2" s="130"/>
      <c r="X2" s="130"/>
      <c r="Y2" s="130"/>
      <c r="Z2" s="130"/>
      <c r="AA2" s="130"/>
      <c r="AB2" s="130"/>
      <c r="AC2" s="130"/>
      <c r="AD2" s="130"/>
      <c r="AE2" s="130"/>
      <c r="AF2" s="130"/>
      <c r="AG2" s="130"/>
      <c r="AH2" s="130"/>
      <c r="AI2" s="130"/>
    </row>
    <row r="3" spans="1:37" ht="15" customHeight="1">
      <c r="B3" s="130"/>
      <c r="C3" s="578" t="s">
        <v>3507</v>
      </c>
      <c r="D3" s="578" t="s">
        <v>3508</v>
      </c>
      <c r="E3" s="577" t="s">
        <v>3509</v>
      </c>
      <c r="F3" s="612" t="s">
        <v>3510</v>
      </c>
      <c r="G3" s="612" t="s">
        <v>3511</v>
      </c>
      <c r="H3" s="612" t="s">
        <v>3512</v>
      </c>
      <c r="I3" s="589" t="s">
        <v>3513</v>
      </c>
      <c r="J3" s="589" t="s">
        <v>3587</v>
      </c>
      <c r="K3" s="592"/>
      <c r="L3" s="589" t="s">
        <v>3588</v>
      </c>
      <c r="M3" s="592"/>
      <c r="N3" s="578" t="s">
        <v>3589</v>
      </c>
      <c r="O3" s="578"/>
      <c r="P3" s="595" t="s">
        <v>3518</v>
      </c>
      <c r="Q3" s="596"/>
      <c r="R3" s="601" t="s">
        <v>3519</v>
      </c>
      <c r="S3" s="596"/>
      <c r="T3" s="604" t="s">
        <v>3520</v>
      </c>
      <c r="U3" s="607" t="s">
        <v>3521</v>
      </c>
      <c r="V3" s="610" t="s">
        <v>3522</v>
      </c>
      <c r="W3" s="607" t="s">
        <v>3523</v>
      </c>
      <c r="X3" s="604" t="s">
        <v>3524</v>
      </c>
      <c r="Y3" s="577" t="s">
        <v>3525</v>
      </c>
      <c r="Z3" s="577" t="s">
        <v>3526</v>
      </c>
      <c r="AA3" s="577" t="s">
        <v>3527</v>
      </c>
      <c r="AB3" s="130"/>
      <c r="AC3" s="130"/>
      <c r="AD3" s="130"/>
      <c r="AE3" s="155"/>
      <c r="AF3" s="579" t="s">
        <v>105</v>
      </c>
      <c r="AG3" s="581">
        <f ca="1">TODAY()</f>
        <v>45977</v>
      </c>
      <c r="AH3" s="582"/>
      <c r="AI3" s="130"/>
    </row>
    <row r="4" spans="1:37" ht="15" customHeight="1">
      <c r="B4" s="130"/>
      <c r="C4" s="578"/>
      <c r="D4" s="578"/>
      <c r="E4" s="578"/>
      <c r="F4" s="605"/>
      <c r="G4" s="605"/>
      <c r="H4" s="605"/>
      <c r="I4" s="590"/>
      <c r="J4" s="590"/>
      <c r="K4" s="593"/>
      <c r="L4" s="590"/>
      <c r="M4" s="593"/>
      <c r="N4" s="578"/>
      <c r="O4" s="578"/>
      <c r="P4" s="597"/>
      <c r="Q4" s="598"/>
      <c r="R4" s="602"/>
      <c r="S4" s="598"/>
      <c r="T4" s="605"/>
      <c r="U4" s="608"/>
      <c r="V4" s="611"/>
      <c r="W4" s="608"/>
      <c r="X4" s="605"/>
      <c r="Y4" s="578"/>
      <c r="Z4" s="578"/>
      <c r="AA4" s="578"/>
      <c r="AB4" s="130"/>
      <c r="AC4" s="130"/>
      <c r="AD4" s="130"/>
      <c r="AE4" s="164" t="s">
        <v>3528</v>
      </c>
      <c r="AF4" s="580"/>
      <c r="AG4" s="583"/>
      <c r="AH4" s="584"/>
      <c r="AI4" s="130"/>
    </row>
    <row r="5" spans="1:37" ht="15" customHeight="1">
      <c r="B5" s="130"/>
      <c r="C5" s="578"/>
      <c r="D5" s="578"/>
      <c r="E5" s="578"/>
      <c r="F5" s="605"/>
      <c r="G5" s="605"/>
      <c r="H5" s="605"/>
      <c r="I5" s="590"/>
      <c r="J5" s="591"/>
      <c r="K5" s="594"/>
      <c r="L5" s="591"/>
      <c r="M5" s="594"/>
      <c r="N5" s="578"/>
      <c r="O5" s="578"/>
      <c r="P5" s="599"/>
      <c r="Q5" s="600"/>
      <c r="R5" s="603"/>
      <c r="S5" s="600"/>
      <c r="T5" s="605"/>
      <c r="U5" s="608"/>
      <c r="V5" s="611"/>
      <c r="W5" s="608"/>
      <c r="X5" s="605"/>
      <c r="Y5" s="578"/>
      <c r="Z5" s="578"/>
      <c r="AA5" s="578"/>
      <c r="AB5" s="130"/>
      <c r="AC5" s="130"/>
      <c r="AD5" s="130"/>
      <c r="AE5" s="155"/>
      <c r="AF5" s="579" t="s">
        <v>3529</v>
      </c>
      <c r="AG5" s="585" t="str">
        <f ca="1">IF(_xlfn.NUMBERVALUE(TEXT(NOW(), "H")) &lt; 12,"0000h","1200h")</f>
        <v>0000h</v>
      </c>
      <c r="AH5" s="586"/>
      <c r="AI5" s="130"/>
      <c r="AJ5" s="75"/>
    </row>
    <row r="6" spans="1:37">
      <c r="B6" s="130"/>
      <c r="C6" s="578"/>
      <c r="D6" s="578"/>
      <c r="E6" s="578"/>
      <c r="F6" s="606"/>
      <c r="G6" s="606"/>
      <c r="H6" s="606"/>
      <c r="I6" s="591"/>
      <c r="J6" s="153" t="s">
        <v>3530</v>
      </c>
      <c r="K6" s="153" t="s">
        <v>3531</v>
      </c>
      <c r="L6" s="153" t="s">
        <v>3530</v>
      </c>
      <c r="M6" s="153" t="s">
        <v>3531</v>
      </c>
      <c r="N6" s="153" t="s">
        <v>3530</v>
      </c>
      <c r="O6" s="153" t="s">
        <v>3531</v>
      </c>
      <c r="P6" s="174" t="s">
        <v>3530</v>
      </c>
      <c r="Q6" s="153" t="s">
        <v>3531</v>
      </c>
      <c r="R6" s="153" t="s">
        <v>3530</v>
      </c>
      <c r="S6" s="153" t="s">
        <v>3531</v>
      </c>
      <c r="T6" s="606"/>
      <c r="U6" s="609"/>
      <c r="V6" s="611"/>
      <c r="W6" s="609"/>
      <c r="X6" s="606"/>
      <c r="Y6" s="578"/>
      <c r="Z6" s="578"/>
      <c r="AA6" s="578"/>
      <c r="AB6" s="130"/>
      <c r="AC6" s="130"/>
      <c r="AD6" s="130"/>
      <c r="AE6" s="130"/>
      <c r="AF6" s="580"/>
      <c r="AG6" s="587"/>
      <c r="AH6" s="588"/>
      <c r="AI6" s="130"/>
      <c r="AK6" s="171"/>
    </row>
    <row r="7" spans="1:37" ht="8.1" customHeight="1">
      <c r="A7" s="118"/>
      <c r="B7" s="132"/>
      <c r="C7" s="132"/>
      <c r="D7" s="132"/>
      <c r="E7" s="132"/>
      <c r="F7" s="132"/>
      <c r="G7" s="132"/>
      <c r="H7" s="132"/>
      <c r="I7" s="132"/>
      <c r="J7" s="132"/>
      <c r="K7" s="132"/>
      <c r="L7" s="132"/>
      <c r="M7" s="132"/>
      <c r="N7" s="132"/>
      <c r="O7" s="132"/>
      <c r="P7" s="132"/>
      <c r="Q7" s="132"/>
      <c r="R7" s="132"/>
      <c r="S7" s="132"/>
      <c r="T7" s="132"/>
      <c r="U7" s="132"/>
      <c r="V7" s="132"/>
      <c r="W7" s="132"/>
      <c r="X7" s="132"/>
      <c r="Y7" s="132"/>
      <c r="Z7" s="132"/>
      <c r="AA7" s="132"/>
      <c r="AB7" s="130"/>
      <c r="AC7" s="130"/>
      <c r="AD7" s="130"/>
      <c r="AE7" s="130"/>
      <c r="AF7" s="130"/>
      <c r="AG7" s="130"/>
      <c r="AH7" s="130"/>
      <c r="AI7" s="130"/>
    </row>
    <row r="8" spans="1:37" ht="15" thickBot="1">
      <c r="A8" s="119"/>
      <c r="B8" s="132"/>
      <c r="C8" s="133"/>
      <c r="D8" s="134"/>
      <c r="E8" s="134"/>
      <c r="F8" s="134"/>
      <c r="G8" s="134"/>
      <c r="H8" s="134"/>
      <c r="I8" s="134"/>
      <c r="J8" s="134"/>
      <c r="K8" s="134"/>
      <c r="L8" s="134"/>
      <c r="M8" s="134"/>
      <c r="N8" s="134"/>
      <c r="O8" s="134"/>
      <c r="P8" s="134"/>
      <c r="Q8" s="134"/>
      <c r="R8" s="134"/>
      <c r="S8" s="134"/>
      <c r="T8" s="134"/>
      <c r="U8" s="134"/>
      <c r="V8" s="134"/>
      <c r="W8" s="134"/>
      <c r="X8" s="134"/>
      <c r="Y8" s="134"/>
      <c r="Z8" s="134"/>
      <c r="AA8" s="135"/>
      <c r="AB8" s="130"/>
      <c r="AC8" s="126"/>
      <c r="AD8" s="127"/>
      <c r="AE8" s="127"/>
      <c r="AF8" s="127"/>
      <c r="AG8" s="127"/>
      <c r="AH8" s="128"/>
      <c r="AI8" s="130"/>
    </row>
    <row r="9" spans="1:37" ht="19.899999999999999" customHeight="1">
      <c r="A9" s="119"/>
      <c r="B9" s="130"/>
      <c r="C9" s="149" t="s">
        <v>3590</v>
      </c>
      <c r="D9" s="183">
        <f>11896</f>
        <v>11896</v>
      </c>
      <c r="E9" s="183">
        <f>D9*11+(20*24*24)</f>
        <v>142376</v>
      </c>
      <c r="F9" s="146">
        <v>45651</v>
      </c>
      <c r="G9" s="147" t="s">
        <v>3504</v>
      </c>
      <c r="H9" s="184">
        <f ca="1" xml:space="preserve"> NOW() - (F9 + TIME(LEFT($G$9, 2), MID($G$9, 3, 2), 0))</f>
        <v>325.50049733796186</v>
      </c>
      <c r="I9" s="185">
        <f ca="1">((DATE(YEAR(F9),MONTH(F9)+1,25)) + TIME(LEFT("1200H", 2), MID("1200H", 3, 2), 0)) - ($AG$3 + TIME(LEFT(NOW(), 2), MID(NOW(), 3, 2), 0))</f>
        <v>-295.4423611111124</v>
      </c>
      <c r="J9" s="191"/>
      <c r="K9" s="191"/>
      <c r="L9" s="191"/>
      <c r="M9" s="191"/>
      <c r="N9" s="180"/>
      <c r="O9" s="180"/>
      <c r="P9" s="192">
        <f>INDEX(BILLING!$D:$D,MATCH($F9&amp;" "&amp;$G9,BILLING!$C:$C,0))</f>
        <v>1016.42</v>
      </c>
      <c r="Q9" s="192">
        <f>INDEX(BILLING!$E:$E,MATCH($F9&amp;" "&amp;$G9,BILLING!$C:$C,0))</f>
        <v>49.63</v>
      </c>
      <c r="R9" s="192">
        <f>INDEX(BILLING!$F:$F,MATCH($F9&amp;" "&amp;$G9,BILLING!$C:$C,0))</f>
        <v>1108.67</v>
      </c>
      <c r="S9" s="192">
        <f>INDEX(BILLING!$G:$G,MATCH($F9&amp;" "&amp;$G9,BILLING!$C:$C,0))</f>
        <v>6.2</v>
      </c>
      <c r="T9" s="186">
        <f>D9/30/24</f>
        <v>16.522222222222222</v>
      </c>
      <c r="U9" s="187" cm="1">
        <f t="array" aca="1" ref="U9" ca="1">INDIRECT(TEXT(DAY(TODAY()),"0")&amp;"!AI12")</f>
        <v>441.40000000000003</v>
      </c>
      <c r="V9" s="216" t="e">
        <f ca="1">AA9+U9</f>
        <v>#N/A</v>
      </c>
      <c r="W9" s="188" t="e">
        <f ca="1">V9/H9/24</f>
        <v>#N/A</v>
      </c>
      <c r="X9" s="189" t="e">
        <f ca="1">AA9/H9/24</f>
        <v>#N/A</v>
      </c>
      <c r="Y9" s="191"/>
      <c r="Z9" s="191"/>
      <c r="AA9" s="148" t="e">
        <f ca="1">(((((INDEX(BILLING!$D:$D,MATCH($AG$3&amp;" "&amp;$AG$5,BILLING!$C:$C,0))-P9)*$D$51)-
((INDEX(BILLING!$E:$E,MATCH($AG$3&amp;" "&amp;$AG$5,BILLING!$C:$C,0))-Q9)*$D$51)))+
((((INDEX(BILLING!$F:$F,MATCH($AG$3&amp;" "&amp;$AG$5,BILLING!$C:$C,0))-R9)*$D$51)-
((INDEX(BILLING!$G:$G,MATCH($AG$3&amp;" "&amp;$AG$5,BILLING!$C:$C,0))-S9)*$D$51))))/1000</f>
        <v>#N/A</v>
      </c>
      <c r="AB9" s="130"/>
      <c r="AC9" s="129" t="s">
        <v>3533</v>
      </c>
      <c r="AD9" s="571" t="e">
        <f ca="1">$AA$9/$E$9</f>
        <v>#N/A</v>
      </c>
      <c r="AE9" s="572"/>
      <c r="AF9" s="572"/>
      <c r="AG9" s="573"/>
      <c r="AH9" s="122"/>
      <c r="AI9" s="130"/>
    </row>
    <row r="10" spans="1:37" ht="15" thickBot="1">
      <c r="B10" s="130"/>
      <c r="C10" s="129"/>
      <c r="D10" s="136"/>
      <c r="E10" s="136"/>
      <c r="F10" s="136"/>
      <c r="G10" s="136"/>
      <c r="H10" s="136"/>
      <c r="I10" s="200"/>
      <c r="J10" s="200"/>
      <c r="K10" s="200"/>
      <c r="L10" s="200"/>
      <c r="M10" s="200"/>
      <c r="N10" s="200"/>
      <c r="O10" s="200"/>
      <c r="P10" s="183"/>
      <c r="Q10" s="183"/>
      <c r="R10" s="183"/>
      <c r="S10" s="183"/>
      <c r="T10" s="190"/>
      <c r="U10" s="136"/>
      <c r="V10" s="136"/>
      <c r="W10" s="136"/>
      <c r="X10" s="190"/>
      <c r="Y10" s="136"/>
      <c r="Z10" s="136"/>
      <c r="AA10" s="137"/>
      <c r="AB10" s="130"/>
      <c r="AC10" s="129"/>
      <c r="AD10" s="574"/>
      <c r="AE10" s="575"/>
      <c r="AF10" s="575"/>
      <c r="AG10" s="576"/>
      <c r="AH10" s="122"/>
      <c r="AI10" s="130"/>
    </row>
    <row r="11" spans="1:37" ht="8.1" customHeight="1" thickBot="1">
      <c r="B11" s="130"/>
      <c r="C11" s="129"/>
      <c r="D11" s="136"/>
      <c r="E11" s="136"/>
      <c r="F11" s="136"/>
      <c r="G11" s="136"/>
      <c r="H11" s="136"/>
      <c r="I11" s="200"/>
      <c r="J11" s="200"/>
      <c r="K11" s="200"/>
      <c r="L11" s="200"/>
      <c r="M11" s="200"/>
      <c r="N11" s="200"/>
      <c r="O11" s="200"/>
      <c r="P11" s="183"/>
      <c r="Q11" s="183"/>
      <c r="R11" s="183"/>
      <c r="S11" s="183"/>
      <c r="T11" s="190"/>
      <c r="U11" s="136"/>
      <c r="V11" s="136"/>
      <c r="W11" s="136"/>
      <c r="X11" s="190"/>
      <c r="Y11" s="136"/>
      <c r="Z11" s="136"/>
      <c r="AA11" s="137"/>
      <c r="AB11" s="130"/>
      <c r="AC11" s="129"/>
      <c r="AD11" s="121"/>
      <c r="AE11" s="121"/>
      <c r="AF11" s="121"/>
      <c r="AG11" s="121"/>
      <c r="AH11" s="122"/>
      <c r="AI11" s="130"/>
    </row>
    <row r="12" spans="1:37">
      <c r="B12" s="130"/>
      <c r="C12" s="129"/>
      <c r="D12" s="136"/>
      <c r="E12" s="136"/>
      <c r="F12" s="136"/>
      <c r="G12" s="136"/>
      <c r="H12" s="136"/>
      <c r="I12" s="136"/>
      <c r="J12" s="136"/>
      <c r="K12" s="136"/>
      <c r="L12" s="136"/>
      <c r="M12" s="136"/>
      <c r="N12" s="136"/>
      <c r="O12" s="136"/>
      <c r="P12" s="136"/>
      <c r="Q12" s="136"/>
      <c r="R12" s="183"/>
      <c r="S12" s="183"/>
      <c r="T12" s="190"/>
      <c r="U12" s="187"/>
      <c r="V12" s="187"/>
      <c r="W12" s="187"/>
      <c r="X12" s="190"/>
      <c r="Y12" s="181"/>
      <c r="Z12" s="181"/>
      <c r="AA12" s="181"/>
      <c r="AB12" s="130"/>
      <c r="AC12" s="129" t="s">
        <v>3534</v>
      </c>
      <c r="AD12" s="571" t="e">
        <f ca="1">$AA$9/$D$9</f>
        <v>#N/A</v>
      </c>
      <c r="AE12" s="572"/>
      <c r="AF12" s="572"/>
      <c r="AG12" s="573"/>
      <c r="AH12" s="122"/>
      <c r="AI12" s="130"/>
    </row>
    <row r="13" spans="1:37" ht="15" thickBot="1">
      <c r="B13" s="130"/>
      <c r="C13" s="129"/>
      <c r="D13" s="136"/>
      <c r="E13" s="136"/>
      <c r="F13" s="136"/>
      <c r="G13" s="136"/>
      <c r="H13" s="136"/>
      <c r="I13" s="194"/>
      <c r="J13" s="194"/>
      <c r="K13" s="194"/>
      <c r="L13" s="194"/>
      <c r="M13" s="194"/>
      <c r="N13" s="194"/>
      <c r="O13" s="194"/>
      <c r="P13" s="183"/>
      <c r="Q13" s="183"/>
      <c r="R13" s="183"/>
      <c r="S13" s="183"/>
      <c r="T13" s="190"/>
      <c r="U13" s="136"/>
      <c r="V13" s="136"/>
      <c r="W13" s="136"/>
      <c r="X13" s="190"/>
      <c r="Y13" s="136"/>
      <c r="Z13" s="136"/>
      <c r="AA13" s="137"/>
      <c r="AB13" s="130"/>
      <c r="AC13" s="120"/>
      <c r="AD13" s="574"/>
      <c r="AE13" s="575"/>
      <c r="AF13" s="575"/>
      <c r="AG13" s="576"/>
      <c r="AH13" s="122"/>
      <c r="AI13" s="130"/>
    </row>
    <row r="14" spans="1:37">
      <c r="B14" s="130"/>
      <c r="C14" s="138"/>
      <c r="D14" s="139"/>
      <c r="E14" s="139"/>
      <c r="F14" s="139"/>
      <c r="G14" s="139"/>
      <c r="H14" s="139"/>
      <c r="I14" s="139"/>
      <c r="J14" s="139"/>
      <c r="K14" s="139"/>
      <c r="L14" s="139"/>
      <c r="M14" s="139"/>
      <c r="N14" s="139"/>
      <c r="O14" s="139"/>
      <c r="P14" s="165"/>
      <c r="Q14" s="165"/>
      <c r="R14" s="165"/>
      <c r="S14" s="165"/>
      <c r="T14" s="160"/>
      <c r="U14" s="139"/>
      <c r="V14" s="139"/>
      <c r="W14" s="139"/>
      <c r="X14" s="160"/>
      <c r="Y14" s="139"/>
      <c r="Z14" s="139"/>
      <c r="AA14" s="140"/>
      <c r="AB14" s="130"/>
      <c r="AC14" s="123"/>
      <c r="AD14" s="124"/>
      <c r="AE14" s="124"/>
      <c r="AF14" s="124"/>
      <c r="AG14" s="124"/>
      <c r="AH14" s="125"/>
      <c r="AI14" s="130"/>
    </row>
    <row r="15" spans="1:37" ht="8.1" customHeight="1">
      <c r="B15" s="130"/>
      <c r="C15" s="131"/>
      <c r="D15" s="131"/>
      <c r="E15" s="131"/>
      <c r="F15" s="131"/>
      <c r="G15" s="131"/>
      <c r="H15" s="131"/>
      <c r="I15" s="131"/>
      <c r="J15" s="131"/>
      <c r="K15" s="131"/>
      <c r="L15" s="131"/>
      <c r="M15" s="131"/>
      <c r="N15" s="131"/>
      <c r="O15" s="131"/>
      <c r="P15" s="166"/>
      <c r="Q15" s="166"/>
      <c r="R15" s="166"/>
      <c r="S15" s="166"/>
      <c r="T15" s="161"/>
      <c r="U15" s="131"/>
      <c r="V15" s="131"/>
      <c r="W15" s="131"/>
      <c r="X15" s="161"/>
      <c r="Y15" s="131"/>
      <c r="Z15" s="131"/>
      <c r="AA15" s="131"/>
      <c r="AB15" s="130"/>
      <c r="AC15" s="130"/>
      <c r="AD15" s="130"/>
      <c r="AE15" s="130"/>
      <c r="AF15" s="130"/>
      <c r="AG15" s="130"/>
      <c r="AH15" s="130"/>
      <c r="AI15" s="130"/>
    </row>
    <row r="16" spans="1:37" ht="15" thickBot="1">
      <c r="B16" s="130"/>
      <c r="C16" s="133"/>
      <c r="D16" s="141"/>
      <c r="E16" s="141"/>
      <c r="F16" s="141"/>
      <c r="G16" s="141"/>
      <c r="H16" s="141"/>
      <c r="I16" s="141"/>
      <c r="J16" s="141"/>
      <c r="K16" s="141"/>
      <c r="L16" s="141"/>
      <c r="M16" s="141"/>
      <c r="N16" s="141"/>
      <c r="O16" s="141"/>
      <c r="P16" s="167"/>
      <c r="Q16" s="167"/>
      <c r="R16" s="167"/>
      <c r="S16" s="167"/>
      <c r="T16" s="162"/>
      <c r="U16" s="141"/>
      <c r="V16" s="141"/>
      <c r="W16" s="141"/>
      <c r="X16" s="162"/>
      <c r="Y16" s="197"/>
      <c r="Z16" s="197"/>
      <c r="AA16" s="142"/>
      <c r="AB16" s="130"/>
      <c r="AC16" s="126"/>
      <c r="AD16" s="127"/>
      <c r="AE16" s="127"/>
      <c r="AF16" s="127"/>
      <c r="AG16" s="127"/>
      <c r="AH16" s="128"/>
      <c r="AI16" s="130"/>
    </row>
    <row r="17" spans="2:37" ht="19.899999999999999" customHeight="1">
      <c r="B17" s="130"/>
      <c r="C17" s="149" t="s">
        <v>3591</v>
      </c>
      <c r="D17" s="183">
        <f>3666666.67/1000</f>
        <v>3666.6666700000001</v>
      </c>
      <c r="E17" s="183">
        <f>D17*12</f>
        <v>44000.000039999999</v>
      </c>
      <c r="F17" s="146">
        <v>45651</v>
      </c>
      <c r="G17" s="147" t="s">
        <v>3504</v>
      </c>
      <c r="H17" s="184">
        <f ca="1" xml:space="preserve"> NOW() - (F17 + TIME(LEFT($G$17, 2), MID($G$17, 3, 2), 0))</f>
        <v>325.50049733796186</v>
      </c>
      <c r="I17" s="185">
        <f ca="1">((DATE(YEAR(F17),MONTH(F17)+1,25)) + TIME(LEFT("1200H", 2), MID("1200H", 3, 2), 0)) - ($AG$3 + TIME(LEFT(NOW(), 2), MID(NOW(), 3, 2), 0))</f>
        <v>-295.4423611111124</v>
      </c>
      <c r="J17" s="157"/>
      <c r="K17" s="157"/>
      <c r="L17" s="157"/>
      <c r="M17" s="157"/>
      <c r="N17" s="157"/>
      <c r="O17" s="157"/>
      <c r="P17" s="136"/>
      <c r="Q17" s="136"/>
      <c r="R17" s="136"/>
      <c r="S17" s="136"/>
      <c r="T17" s="186">
        <f>D17/30/24</f>
        <v>5.0925925972222226</v>
      </c>
      <c r="U17" s="187">
        <f ca="1">SUM(U20:U21)</f>
        <v>163.39999999999995</v>
      </c>
      <c r="V17" s="187" t="e">
        <f ca="1">AA17+U17</f>
        <v>#N/A</v>
      </c>
      <c r="W17" s="188" t="e">
        <f ca="1">V17/H17/24</f>
        <v>#N/A</v>
      </c>
      <c r="X17" s="189" t="e">
        <f ca="1">AA17/H17/24</f>
        <v>#N/A</v>
      </c>
      <c r="Y17" s="198"/>
      <c r="Z17" s="198" t="e">
        <f ca="1">Z20+Z21</f>
        <v>#N/A</v>
      </c>
      <c r="AA17" s="148" t="e">
        <f ca="1">AA20+AA21</f>
        <v>#N/A</v>
      </c>
      <c r="AB17" s="130"/>
      <c r="AC17" s="129" t="s">
        <v>3533</v>
      </c>
      <c r="AD17" s="571" t="e">
        <f ca="1">$Z$17/$E$17</f>
        <v>#N/A</v>
      </c>
      <c r="AE17" s="572"/>
      <c r="AF17" s="572"/>
      <c r="AG17" s="573"/>
      <c r="AH17" s="122"/>
      <c r="AI17" s="130"/>
    </row>
    <row r="18" spans="2:37" ht="15.75" customHeight="1" thickBot="1">
      <c r="B18" s="130"/>
      <c r="C18" s="129"/>
      <c r="D18" s="136"/>
      <c r="E18" s="136"/>
      <c r="F18" s="136"/>
      <c r="G18" s="136"/>
      <c r="H18" s="136"/>
      <c r="I18" s="136"/>
      <c r="J18" s="136"/>
      <c r="K18" s="136"/>
      <c r="L18" s="136"/>
      <c r="M18" s="136"/>
      <c r="N18" s="136"/>
      <c r="O18" s="136" t="s">
        <v>3537</v>
      </c>
      <c r="P18" s="183"/>
      <c r="Q18" s="183"/>
      <c r="R18" s="183"/>
      <c r="S18" s="183"/>
      <c r="T18" s="190"/>
      <c r="U18" s="136"/>
      <c r="V18" s="136"/>
      <c r="W18" s="136"/>
      <c r="X18" s="190"/>
      <c r="Y18" s="136"/>
      <c r="Z18" s="136"/>
      <c r="AA18" s="137"/>
      <c r="AB18" s="130"/>
      <c r="AC18" s="129"/>
      <c r="AD18" s="574"/>
      <c r="AE18" s="575"/>
      <c r="AF18" s="575"/>
      <c r="AG18" s="576"/>
      <c r="AH18" s="122"/>
      <c r="AI18" s="130"/>
    </row>
    <row r="19" spans="2:37" ht="8.1" customHeight="1" thickBot="1">
      <c r="B19" s="130"/>
      <c r="C19" s="129"/>
      <c r="D19" s="136"/>
      <c r="E19" s="136"/>
      <c r="F19" s="136"/>
      <c r="G19" s="136"/>
      <c r="H19" s="136"/>
      <c r="I19" s="136"/>
      <c r="J19" s="136"/>
      <c r="K19" s="136"/>
      <c r="L19" s="136"/>
      <c r="M19" s="136"/>
      <c r="N19" s="136"/>
      <c r="O19" s="136"/>
      <c r="P19" s="183"/>
      <c r="Q19" s="183"/>
      <c r="R19" s="183"/>
      <c r="S19" s="183"/>
      <c r="T19" s="190"/>
      <c r="U19" s="136"/>
      <c r="V19" s="136"/>
      <c r="W19" s="136"/>
      <c r="X19" s="190"/>
      <c r="Y19" s="136"/>
      <c r="Z19" s="136"/>
      <c r="AA19" s="137"/>
      <c r="AB19" s="130"/>
      <c r="AC19" s="129"/>
      <c r="AD19" s="121"/>
      <c r="AE19" s="121"/>
      <c r="AF19" s="121"/>
      <c r="AG19" s="121"/>
      <c r="AH19" s="122"/>
      <c r="AI19" s="130"/>
    </row>
    <row r="20" spans="2:37" ht="15" customHeight="1">
      <c r="B20" s="130"/>
      <c r="C20" s="129" t="s">
        <v>124</v>
      </c>
      <c r="D20" s="136"/>
      <c r="E20" s="136"/>
      <c r="F20" s="194"/>
      <c r="G20" s="195"/>
      <c r="H20" s="196"/>
      <c r="I20" s="196"/>
      <c r="J20" s="191">
        <v>68569.179999999993</v>
      </c>
      <c r="K20" s="191">
        <v>849.34</v>
      </c>
      <c r="L20" s="191">
        <v>68569.179999999993</v>
      </c>
      <c r="M20" s="191">
        <v>849.34</v>
      </c>
      <c r="N20" s="180"/>
      <c r="O20" s="180"/>
      <c r="P20" s="192"/>
      <c r="Q20" s="192"/>
      <c r="R20" s="192">
        <f>INDEX(BILLING!$H:$H,MATCH($F17&amp;" "&amp;$G17,BILLING!$C:$C,0))</f>
        <v>73885.84</v>
      </c>
      <c r="S20" s="192">
        <f>INDEX(BILLING!$I:$I,MATCH($F17&amp;" "&amp;$G17,BILLING!$C:$C,0))</f>
        <v>899.96</v>
      </c>
      <c r="T20" s="190"/>
      <c r="U20" s="187" cm="1">
        <f t="array" aca="1" ref="U20" ca="1">INDIRECT(TEXT(DAY(TODAY()),"0")&amp;"!AI18")</f>
        <v>107.49999999999996</v>
      </c>
      <c r="V20" s="187"/>
      <c r="W20" s="187"/>
      <c r="X20" s="190"/>
      <c r="Y20" s="181"/>
      <c r="Z20" s="181" t="e">
        <f ca="1">(((((INDEX(BILLING!$H:$H,MATCH($AG$3&amp;" "&amp;$AG$5,BILLING!$C:$C,0))-L20)*$D$58)-
((INDEX(BILLING!$I:$I,MATCH($AG$3&amp;" "&amp;$AG$5,BILLING!$C:$C,0))-M20)*$D$58))))/1000</f>
        <v>#N/A</v>
      </c>
      <c r="AA20" s="148" t="e">
        <f ca="1">(((((INDEX(BILLING!$H:$H,MATCH($AG$3&amp;" "&amp;$AG$5,BILLING!$C:$C,0))-R20)*$D$58)-
((INDEX(BILLING!$I:$I,MATCH($AG$3&amp;" "&amp;$AG$5,BILLING!$C:$C,0))-S20)*$D$58))))/1000</f>
        <v>#N/A</v>
      </c>
      <c r="AB20" s="130"/>
      <c r="AC20" s="129" t="s">
        <v>3534</v>
      </c>
      <c r="AD20" s="571" t="e">
        <f ca="1">$AA$17/$D$17</f>
        <v>#N/A</v>
      </c>
      <c r="AE20" s="572"/>
      <c r="AF20" s="572"/>
      <c r="AG20" s="573"/>
      <c r="AH20" s="122"/>
      <c r="AI20" s="130"/>
    </row>
    <row r="21" spans="2:37" ht="15.75" customHeight="1" thickBot="1">
      <c r="B21" s="130"/>
      <c r="C21" s="129" t="s">
        <v>125</v>
      </c>
      <c r="D21" s="136"/>
      <c r="E21" s="136"/>
      <c r="F21" s="194"/>
      <c r="G21" s="195"/>
      <c r="H21" s="196"/>
      <c r="I21" s="196"/>
      <c r="J21" s="191">
        <v>31088.45</v>
      </c>
      <c r="K21" s="191">
        <v>90.39</v>
      </c>
      <c r="L21" s="191">
        <v>31088.45</v>
      </c>
      <c r="M21" s="191">
        <v>90.39</v>
      </c>
      <c r="N21" s="180"/>
      <c r="O21" s="180"/>
      <c r="P21" s="192"/>
      <c r="Q21" s="192"/>
      <c r="R21" s="192">
        <f>INDEX(BILLING!$J:$J,MATCH($F17&amp;" "&amp;$G17,BILLING!$C:$C,0))</f>
        <v>33067.83</v>
      </c>
      <c r="S21" s="192">
        <f>INDEX(BILLING!$K:$K,MATCH($F17&amp;" "&amp;$G17,BILLING!$C:$C,0))</f>
        <v>103.43</v>
      </c>
      <c r="T21" s="190"/>
      <c r="U21" s="187" cm="1">
        <f t="array" aca="1" ref="U21" ca="1">INDIRECT(TEXT(DAY(TODAY()),"0")&amp;"!AI23")</f>
        <v>55.899999999999984</v>
      </c>
      <c r="V21" s="187"/>
      <c r="W21" s="187"/>
      <c r="X21" s="190"/>
      <c r="Y21" s="181"/>
      <c r="Z21" s="181" t="e">
        <f ca="1">(((((INDEX(BILLING!$J:$J,MATCH($AG$3&amp;" "&amp;$AG$5,BILLING!$C:$C,0))-L21)*$D$59)-
((INDEX(BILLING!$K:$K,MATCH($AG$3&amp;" "&amp;$AG$5,BILLING!$C:$C,0))-M21)*$D$59))))/1000</f>
        <v>#N/A</v>
      </c>
      <c r="AA21" s="148" t="e">
        <f ca="1">(((((INDEX(BILLING!$J:$J,MATCH($AG$3&amp;" "&amp;$AG$5,BILLING!$C:$C,0))-R21)*$D$59)-
((INDEX(BILLING!$K:$K,MATCH($AG$3&amp;" "&amp;$AG$5,BILLING!$C:$C,0))-S21)*$D$59))))/1000</f>
        <v>#N/A</v>
      </c>
      <c r="AB21" s="130"/>
      <c r="AC21" s="129"/>
      <c r="AD21" s="574"/>
      <c r="AE21" s="575"/>
      <c r="AF21" s="575"/>
      <c r="AG21" s="576"/>
      <c r="AH21" s="122"/>
      <c r="AI21" s="130"/>
    </row>
    <row r="22" spans="2:37">
      <c r="B22" s="130"/>
      <c r="C22" s="138"/>
      <c r="D22" s="139"/>
      <c r="E22" s="139"/>
      <c r="F22" s="139"/>
      <c r="G22" s="139"/>
      <c r="H22" s="139"/>
      <c r="I22" s="139"/>
      <c r="J22" s="139"/>
      <c r="K22" s="139"/>
      <c r="L22" s="139"/>
      <c r="M22" s="139"/>
      <c r="N22" s="139"/>
      <c r="O22" s="139"/>
      <c r="P22" s="165"/>
      <c r="Q22" s="165"/>
      <c r="R22" s="165"/>
      <c r="S22" s="165"/>
      <c r="T22" s="160"/>
      <c r="U22" s="139"/>
      <c r="V22" s="139"/>
      <c r="W22" s="139"/>
      <c r="X22" s="160"/>
      <c r="Y22" s="139"/>
      <c r="Z22" s="139"/>
      <c r="AA22" s="140"/>
      <c r="AB22" s="130"/>
      <c r="AC22" s="123"/>
      <c r="AD22" s="124"/>
      <c r="AE22" s="124"/>
      <c r="AF22" s="124"/>
      <c r="AG22" s="124"/>
      <c r="AH22" s="125"/>
      <c r="AI22" s="130"/>
    </row>
    <row r="23" spans="2:37" ht="8.1" customHeight="1">
      <c r="B23" s="130"/>
      <c r="C23" s="143"/>
      <c r="D23" s="143"/>
      <c r="E23" s="143"/>
      <c r="F23" s="143"/>
      <c r="G23" s="143"/>
      <c r="H23" s="143"/>
      <c r="I23" s="143"/>
      <c r="J23" s="143"/>
      <c r="K23" s="143"/>
      <c r="L23" s="143"/>
      <c r="M23" s="143"/>
      <c r="N23" s="143"/>
      <c r="O23" s="143"/>
      <c r="P23" s="168"/>
      <c r="Q23" s="168"/>
      <c r="R23" s="168"/>
      <c r="S23" s="168"/>
      <c r="T23" s="163"/>
      <c r="U23" s="143"/>
      <c r="V23" s="143"/>
      <c r="W23" s="143"/>
      <c r="X23" s="163"/>
      <c r="Y23" s="143"/>
      <c r="Z23" s="143"/>
      <c r="AA23" s="143"/>
      <c r="AB23" s="130"/>
      <c r="AC23" s="130"/>
      <c r="AD23" s="130"/>
      <c r="AE23" s="130"/>
      <c r="AF23" s="130"/>
      <c r="AG23" s="130"/>
      <c r="AH23" s="130"/>
      <c r="AI23" s="130"/>
    </row>
    <row r="24" spans="2:37" ht="15" thickBot="1">
      <c r="B24" s="130"/>
      <c r="C24" s="133"/>
      <c r="D24" s="141"/>
      <c r="E24" s="141"/>
      <c r="F24" s="141"/>
      <c r="G24" s="141"/>
      <c r="H24" s="141"/>
      <c r="I24" s="141"/>
      <c r="J24" s="141"/>
      <c r="K24" s="141"/>
      <c r="L24" s="141"/>
      <c r="M24" s="141"/>
      <c r="N24" s="141"/>
      <c r="O24" s="141"/>
      <c r="P24" s="167"/>
      <c r="Q24" s="167"/>
      <c r="R24" s="167"/>
      <c r="S24" s="167"/>
      <c r="T24" s="162"/>
      <c r="U24" s="141"/>
      <c r="V24" s="141"/>
      <c r="W24" s="141"/>
      <c r="X24" s="162"/>
      <c r="Y24" s="141"/>
      <c r="Z24" s="141"/>
      <c r="AA24" s="144"/>
      <c r="AB24" s="130"/>
      <c r="AC24" s="126"/>
      <c r="AD24" s="127"/>
      <c r="AE24" s="127"/>
      <c r="AF24" s="127"/>
      <c r="AG24" s="127"/>
      <c r="AH24" s="128"/>
      <c r="AI24" s="130"/>
    </row>
    <row r="25" spans="2:37" ht="19.899999999999999" customHeight="1">
      <c r="B25" s="130"/>
      <c r="C25" s="149" t="s">
        <v>3538</v>
      </c>
      <c r="D25" s="193">
        <f>E25/12</f>
        <v>15000</v>
      </c>
      <c r="E25" s="183">
        <v>180000</v>
      </c>
      <c r="F25" s="146">
        <v>45651</v>
      </c>
      <c r="G25" s="147" t="s">
        <v>3504</v>
      </c>
      <c r="H25" s="184">
        <f ca="1" xml:space="preserve"> NOW() - (F25 + TIME(LEFT($G$25, 2), MID($G$25, 3, 2), 0))</f>
        <v>325.50049733796186</v>
      </c>
      <c r="I25" s="185">
        <f ca="1">((DATE(YEAR(F25),MONTH(F25)+1,25)) + TIME(LEFT("1200H", 2), MID("1200H", 3, 2), 0)) - ($AG$3 + TIME(LEFT(NOW(), 2), MID(NOW(), 3, 2), 0))</f>
        <v>-295.4423611111124</v>
      </c>
      <c r="J25" s="183"/>
      <c r="K25" s="183"/>
      <c r="L25" s="183"/>
      <c r="M25" s="183"/>
      <c r="N25" s="183"/>
      <c r="O25" s="183"/>
      <c r="P25" s="183"/>
      <c r="Q25" s="183"/>
      <c r="R25" s="183"/>
      <c r="S25" s="183"/>
      <c r="T25" s="186">
        <f>D25/30/24</f>
        <v>20.833333333333332</v>
      </c>
      <c r="U25" s="187">
        <f ca="1">SUM(U28:U31)</f>
        <v>295.2</v>
      </c>
      <c r="V25" s="187" t="e">
        <f ca="1">AA25+U25</f>
        <v>#N/A</v>
      </c>
      <c r="W25" s="188" t="e">
        <f ca="1">V25/H25/24</f>
        <v>#N/A</v>
      </c>
      <c r="X25" s="189" t="e">
        <f ca="1">AA25/H25/24</f>
        <v>#N/A</v>
      </c>
      <c r="Y25" s="198" t="e">
        <f ca="1">SUM(Y28:Y31)</f>
        <v>#N/A</v>
      </c>
      <c r="Z25" s="198" t="e">
        <f ca="1">SUM(Z28:Z31)</f>
        <v>#N/A</v>
      </c>
      <c r="AA25" s="148" t="e">
        <f ca="1">SUM(AA28:AA31)</f>
        <v>#N/A</v>
      </c>
      <c r="AB25" s="130"/>
      <c r="AC25" s="129" t="s">
        <v>3533</v>
      </c>
      <c r="AD25" s="571" t="e">
        <f ca="1">Z25/$E$25</f>
        <v>#N/A</v>
      </c>
      <c r="AE25" s="572"/>
      <c r="AF25" s="572"/>
      <c r="AG25" s="573"/>
      <c r="AH25" s="122"/>
      <c r="AI25" s="130"/>
      <c r="AK25" s="203" t="e">
        <f ca="1">(E25-Z25)/67/24</f>
        <v>#N/A</v>
      </c>
    </row>
    <row r="26" spans="2:37" ht="15.75" customHeight="1" thickBot="1">
      <c r="B26" s="130"/>
      <c r="C26" s="129" t="s">
        <v>3539</v>
      </c>
      <c r="D26" s="136"/>
      <c r="E26" s="136"/>
      <c r="F26" s="136"/>
      <c r="G26" s="136"/>
      <c r="H26" s="136"/>
      <c r="I26" s="136"/>
      <c r="J26" s="136"/>
      <c r="K26" s="136"/>
      <c r="L26" s="136"/>
      <c r="M26" s="136"/>
      <c r="N26" s="136"/>
      <c r="O26" s="136"/>
      <c r="P26" s="183"/>
      <c r="Q26" s="183"/>
      <c r="R26" s="183"/>
      <c r="S26" s="183"/>
      <c r="T26" s="190"/>
      <c r="U26" s="187"/>
      <c r="V26" s="136"/>
      <c r="W26" s="136"/>
      <c r="X26" s="190"/>
      <c r="Y26" s="136"/>
      <c r="Z26" s="136"/>
      <c r="AA26" s="137"/>
      <c r="AB26" s="130"/>
      <c r="AC26" s="129"/>
      <c r="AD26" s="574"/>
      <c r="AE26" s="575"/>
      <c r="AF26" s="575"/>
      <c r="AG26" s="576"/>
      <c r="AH26" s="122"/>
      <c r="AI26" s="130"/>
    </row>
    <row r="27" spans="2:37" ht="8.1" customHeight="1" thickBot="1">
      <c r="B27" s="130"/>
      <c r="C27" s="129"/>
      <c r="D27" s="136"/>
      <c r="E27" s="136"/>
      <c r="F27" s="136"/>
      <c r="G27" s="136"/>
      <c r="H27" s="136"/>
      <c r="I27" s="136"/>
      <c r="J27" s="136"/>
      <c r="K27" s="136"/>
      <c r="L27" s="136"/>
      <c r="M27" s="136"/>
      <c r="N27" s="136"/>
      <c r="O27" s="136"/>
      <c r="P27" s="183"/>
      <c r="Q27" s="183"/>
      <c r="R27" s="183"/>
      <c r="S27" s="183"/>
      <c r="T27" s="190"/>
      <c r="U27" s="187"/>
      <c r="V27" s="136"/>
      <c r="W27" s="136"/>
      <c r="X27" s="190"/>
      <c r="Y27" s="136"/>
      <c r="Z27" s="136"/>
      <c r="AA27" s="137"/>
      <c r="AB27" s="130"/>
      <c r="AC27" s="129"/>
      <c r="AD27" s="121"/>
      <c r="AE27" s="121"/>
      <c r="AF27" s="121"/>
      <c r="AG27" s="121"/>
      <c r="AH27" s="122"/>
      <c r="AI27" s="130"/>
    </row>
    <row r="28" spans="2:37" ht="15" customHeight="1">
      <c r="B28" s="130"/>
      <c r="C28" s="129" t="s">
        <v>108</v>
      </c>
      <c r="D28" s="136"/>
      <c r="E28" s="136"/>
      <c r="F28" s="194"/>
      <c r="G28" s="195"/>
      <c r="H28" s="196"/>
      <c r="I28" s="196"/>
      <c r="J28" s="191">
        <v>29046.5</v>
      </c>
      <c r="K28" s="191">
        <v>25.1</v>
      </c>
      <c r="L28" s="191"/>
      <c r="M28" s="191"/>
      <c r="N28" s="191">
        <v>29305.9</v>
      </c>
      <c r="O28" s="191">
        <v>25.5</v>
      </c>
      <c r="P28" s="192">
        <f>INDEX(BILLING!$N:$N,MATCH($F25&amp;" "&amp;$G25,BILLING!$C:$C,0))</f>
        <v>33001.4</v>
      </c>
      <c r="Q28" s="192">
        <f>INDEX(BILLING!$O:$O,MATCH($F25&amp;" "&amp;$G25,BILLING!$C:$C,0))</f>
        <v>28.8</v>
      </c>
      <c r="R28" s="192"/>
      <c r="S28" s="192"/>
      <c r="T28" s="190"/>
      <c r="U28" s="187" cm="1">
        <f t="array" aca="1" ref="U28" ca="1">INDIRECT(TEXT(DAY(TODAY()),"0")&amp;"!AI26")</f>
        <v>187.70000000000005</v>
      </c>
      <c r="V28" s="187"/>
      <c r="W28" s="187"/>
      <c r="X28" s="190"/>
      <c r="Y28" s="181" t="e">
        <f ca="1">(((((INDEX(BILLING!$N:$N,MATCH($AG$3&amp;" "&amp;$AG$5,BILLING!$C:$C,0))-N28)*$D$57)-
((INDEX(BILLING!$O:$O,MATCH($AG$3&amp;" "&amp;$AG$5,BILLING!$C:$C,0))-O28)*$D$57))))/1000</f>
        <v>#N/A</v>
      </c>
      <c r="Z28" s="181" t="e">
        <f ca="1">(((((INDEX(BILLING!$N:$N,MATCH($AG$3&amp;" "&amp;$AG$5,BILLING!$C:$C,0))-J28)*$D$57)-
((INDEX(BILLING!$O:$O,MATCH($AG$3&amp;" "&amp;$AG$5,BILLING!$C:$C,0))-K28)*$D$57))))/1000</f>
        <v>#N/A</v>
      </c>
      <c r="AA28" s="148" t="e">
        <f ca="1">(((((INDEX(BILLING!$N:$N,MATCH($AG$3&amp;" "&amp;$AG$5,BILLING!$C:$C,0))-P28)*$D$57)-
((INDEX(BILLING!$O:$O,MATCH($AG$3&amp;" "&amp;$AG$5,BILLING!$C:$C,0))-Q28)*$D$57))))/1000</f>
        <v>#N/A</v>
      </c>
      <c r="AB28" s="130"/>
      <c r="AC28" s="129" t="s">
        <v>3534</v>
      </c>
      <c r="AD28" s="571" t="e">
        <f ca="1">$AA$25/$D$25</f>
        <v>#N/A</v>
      </c>
      <c r="AE28" s="572"/>
      <c r="AF28" s="572"/>
      <c r="AG28" s="573"/>
      <c r="AH28" s="122"/>
      <c r="AI28" s="130"/>
    </row>
    <row r="29" spans="2:37" ht="15.75" customHeight="1" thickBot="1">
      <c r="B29" s="130"/>
      <c r="C29" s="129" t="s">
        <v>109</v>
      </c>
      <c r="D29" s="136"/>
      <c r="E29" s="136"/>
      <c r="F29" s="194"/>
      <c r="G29" s="195"/>
      <c r="H29" s="196"/>
      <c r="I29" s="196"/>
      <c r="J29" s="191">
        <v>1672.56</v>
      </c>
      <c r="K29" s="191">
        <v>14.34</v>
      </c>
      <c r="L29" s="191"/>
      <c r="M29" s="191"/>
      <c r="N29" s="191">
        <v>1943.35</v>
      </c>
      <c r="O29" s="191">
        <v>14.34</v>
      </c>
      <c r="P29" s="192">
        <f>INDEX(BILLING!$L:$L,MATCH($F25&amp;" "&amp;$G25,BILLING!$C:$C,0))</f>
        <v>5638.25</v>
      </c>
      <c r="Q29" s="192">
        <f>INDEX(BILLING!$M:$M,MATCH($F25&amp;" "&amp;$G25,BILLING!$C:$C,0))</f>
        <v>15.78</v>
      </c>
      <c r="R29" s="192"/>
      <c r="S29" s="192"/>
      <c r="T29" s="190"/>
      <c r="U29" s="187" cm="1">
        <f t="array" aca="1" ref="U29" ca="1">INDIRECT(TEXT(DAY(TODAY()),"0")&amp;"!AI30")</f>
        <v>0</v>
      </c>
      <c r="V29" s="187"/>
      <c r="W29" s="187"/>
      <c r="X29" s="190"/>
      <c r="Y29" s="181" t="e">
        <f ca="1">(((((INDEX(BILLING!$L:$L,MATCH($AG$3&amp;" "&amp;$AG$5,BILLING!$C:$C,0))-N29)*$D$56)-
((INDEX(BILLING!$M:$M,MATCH($AG$3&amp;" "&amp;$AG$5,BILLING!$C:$C,0))-O29)*$D$56))))/1000</f>
        <v>#N/A</v>
      </c>
      <c r="Z29" s="181" t="e">
        <f ca="1">(((((INDEX(BILLING!$L:$L,MATCH($AG$3&amp;" "&amp;$AG$5,BILLING!$C:$C,0))-J29)*$D$56)-
((INDEX(BILLING!$M:$M,MATCH($AG$3&amp;" "&amp;$AG$5,BILLING!$C:$C,0))-K29)*$D$56))))/1000</f>
        <v>#N/A</v>
      </c>
      <c r="AA29" s="148" t="e">
        <f ca="1">(((((INDEX(BILLING!$L:$L,MATCH($AG$3&amp;" "&amp;$AG$5,BILLING!$C:$C,0))-P29)*$D$56)-
((INDEX(BILLING!$M:$M,MATCH($AG$3&amp;" "&amp;$AG$5,BILLING!$C:$C,0))-Q29)*$D$56))))/1000</f>
        <v>#N/A</v>
      </c>
      <c r="AB29" s="130"/>
      <c r="AC29" s="129"/>
      <c r="AD29" s="574"/>
      <c r="AE29" s="575"/>
      <c r="AF29" s="575"/>
      <c r="AG29" s="576"/>
      <c r="AH29" s="122"/>
      <c r="AI29" s="130"/>
    </row>
    <row r="30" spans="2:37" ht="15.75" customHeight="1">
      <c r="B30" s="130"/>
      <c r="C30" s="129" t="s">
        <v>3592</v>
      </c>
      <c r="D30" s="136"/>
      <c r="E30" s="136"/>
      <c r="F30" s="136"/>
      <c r="G30" s="136"/>
      <c r="H30" s="136"/>
      <c r="I30" s="136"/>
      <c r="J30" s="191"/>
      <c r="K30" s="191"/>
      <c r="L30" s="191"/>
      <c r="M30" s="191"/>
      <c r="N30" s="191">
        <v>0</v>
      </c>
      <c r="O30" s="191">
        <v>0</v>
      </c>
      <c r="P30" s="192"/>
      <c r="Q30" s="192"/>
      <c r="R30" s="192">
        <f>INDEX(BILLING!$V:$V,MATCH($F25&amp;" "&amp;$G25,BILLING!$C:$C,0))</f>
        <v>256.12</v>
      </c>
      <c r="S30" s="192">
        <f>INDEX(BILLING!$W:$W,MATCH($F25&amp;" "&amp;$G25,BILLING!$C:$C,0))</f>
        <v>0.15</v>
      </c>
      <c r="T30" s="190"/>
      <c r="U30" s="187" cm="1">
        <f t="array" aca="1" ref="U30" ca="1">INDIRECT(TEXT(DAY(TODAY()),"0")&amp;"!AI64")</f>
        <v>0</v>
      </c>
      <c r="V30" s="187"/>
      <c r="W30" s="187"/>
      <c r="X30" s="190"/>
      <c r="Y30" s="181" t="e">
        <f ca="1">(((((INDEX(BILLING!$V:$V,MATCH($AG$3&amp;" "&amp;$AG$5,BILLING!$C:$C,0))-N30)*$D$60)-
((INDEX(BILLING!$W:$W,MATCH($AG$3&amp;" "&amp;$AG$5,BILLING!$C:$C,0))-O30)*$D$60))))/1000</f>
        <v>#N/A</v>
      </c>
      <c r="Z30" s="181" t="e">
        <f ca="1">(((((INDEX(BILLING!$V:$V,MATCH($AG$3&amp;" "&amp;$AG$5,BILLING!$C:$C,0))-N30)*$D$60)-
((INDEX(BILLING!$W:$W,MATCH($AG$3&amp;" "&amp;$AG$5,BILLING!$C:$C,0))-O30)*$D$60))))/1000</f>
        <v>#N/A</v>
      </c>
      <c r="AA30" s="148" t="e">
        <f ca="1">(((((INDEX(BILLING!$V:$V,MATCH($AG$3&amp;" "&amp;$AG$5,BILLING!$C:$C,0))-R30)*$D$60)-
((INDEX(BILLING!$W:$W,MATCH($AG$3&amp;" "&amp;$AG$5,BILLING!$C:$C,0))-S30)*$D$60))))/1000</f>
        <v>#N/A</v>
      </c>
      <c r="AB30" s="130"/>
      <c r="AC30" s="129"/>
      <c r="AD30" s="158"/>
      <c r="AE30" s="158"/>
      <c r="AF30" s="158"/>
      <c r="AG30" s="158"/>
      <c r="AH30" s="122"/>
      <c r="AI30" s="130"/>
    </row>
    <row r="31" spans="2:37" ht="15.75" customHeight="1">
      <c r="B31" s="130"/>
      <c r="C31" s="129" t="s">
        <v>111</v>
      </c>
      <c r="D31" s="136"/>
      <c r="E31" s="136"/>
      <c r="F31" s="136"/>
      <c r="G31" s="136"/>
      <c r="H31" s="136"/>
      <c r="I31" s="136"/>
      <c r="J31" s="191"/>
      <c r="K31" s="191"/>
      <c r="L31" s="191">
        <v>30968</v>
      </c>
      <c r="M31" s="191">
        <v>69</v>
      </c>
      <c r="N31" s="191">
        <v>31295</v>
      </c>
      <c r="O31" s="191">
        <v>69</v>
      </c>
      <c r="P31" s="192"/>
      <c r="Q31" s="192"/>
      <c r="R31" s="192">
        <f>INDEX(BILLING!$T:$T,MATCH($F25&amp;" "&amp;$G25,BILLING!$C:$C,0))</f>
        <v>35939</v>
      </c>
      <c r="S31" s="192">
        <f>INDEX(BILLING!$U:$U,MATCH($F25&amp;" "&amp;$G25,BILLING!$C:$C,0))</f>
        <v>69</v>
      </c>
      <c r="T31" s="190"/>
      <c r="U31" s="187" cm="1">
        <f t="array" aca="1" ref="U31" ca="1">INDIRECT(TEXT(DAY(TODAY()),"0")&amp;"!AI18")</f>
        <v>107.49999999999996</v>
      </c>
      <c r="V31" s="187"/>
      <c r="W31" s="187"/>
      <c r="X31" s="190"/>
      <c r="Y31" s="181" t="e">
        <f ca="1">(((((INDEX(BILLING!$T:$T,MATCH($AG$3&amp;" "&amp;$AG$5,BILLING!$C:$C,0))-N31)*$D$54)-
((INDEX(BILLING!$U:$U,MATCH($AG$3&amp;" "&amp;$AG$5,BILLING!$C:$C,0))-O31)*$D$54))))/1000</f>
        <v>#N/A</v>
      </c>
      <c r="Z31" s="181" t="e">
        <f ca="1">(((((INDEX(BILLING!$T:$T,MATCH($AG$3&amp;" "&amp;$AG$5,BILLING!$C:$C,0))-L31)*$D$54)-
((INDEX(BILLING!$U:$U,MATCH($AG$3&amp;" "&amp;$AG$5,BILLING!$C:$C,0))-M31)*$D$54))))/1000</f>
        <v>#N/A</v>
      </c>
      <c r="AA31" s="148" t="e">
        <f ca="1">(((((INDEX(BILLING!$T:$T,MATCH($AG$3&amp;" "&amp;$AG$5,BILLING!$C:$C,0))-R31)*$D$54)-
((INDEX(BILLING!$U:$U,MATCH($AG$3&amp;" "&amp;$AG$5,BILLING!$C:$C,0))-S31)*$D$54))))/1000</f>
        <v>#N/A</v>
      </c>
      <c r="AB31" s="130"/>
      <c r="AC31" s="129"/>
      <c r="AD31" s="158"/>
      <c r="AE31" s="158"/>
      <c r="AF31" s="158"/>
      <c r="AG31" s="158"/>
      <c r="AH31" s="122"/>
      <c r="AI31" s="130"/>
    </row>
    <row r="32" spans="2:37" ht="15.75" customHeight="1">
      <c r="B32" s="130"/>
      <c r="C32" s="129" t="s">
        <v>35</v>
      </c>
      <c r="D32" s="136"/>
      <c r="E32" s="136"/>
      <c r="F32" s="136"/>
      <c r="G32" s="136"/>
      <c r="H32" s="136"/>
      <c r="I32" s="136"/>
      <c r="J32" s="136"/>
      <c r="K32" s="136"/>
      <c r="L32" s="136"/>
      <c r="M32" s="136"/>
      <c r="N32" s="136"/>
      <c r="O32" s="136"/>
      <c r="P32" s="183"/>
      <c r="Q32" s="183"/>
      <c r="R32" s="192">
        <f>INDEX(BILLING!$Z:$Z,MATCH($F25&amp;" "&amp;$G25,BILLING!$C:$C,0))</f>
        <v>54159</v>
      </c>
      <c r="S32" s="192">
        <f>INDEX(BILLING!$AA:$AA,MATCH($F25&amp;" "&amp;$G25,BILLING!$C:$C,0))</f>
        <v>79</v>
      </c>
      <c r="T32" s="190"/>
      <c r="U32" s="187"/>
      <c r="V32" s="187"/>
      <c r="W32" s="187"/>
      <c r="X32" s="190"/>
      <c r="Y32" s="181"/>
      <c r="Z32" s="181" t="e">
        <f ca="1">(((((INDEX(BILLING!$T:$T,MATCH($AG$3&amp;" "&amp;$AG$5,BILLING!$C:$C,0))-L32)*$D$54)-
((INDEX(BILLING!$U:$U,MATCH($AG$3&amp;" "&amp;$AG$5,BILLING!$C:$C,0))-M32)*$D$54))))/1000</f>
        <v>#N/A</v>
      </c>
      <c r="AA32" s="148" t="e">
        <f ca="1">(((((INDEX(BILLING!$Z:$Z,MATCH($AG$3&amp;" "&amp;$AG$5,BILLING!$C:$C,0))-R32)*$D$52)-
((INDEX(BILLING!$AA:$AA,MATCH($AG$3&amp;" "&amp;$AG$5,BILLING!$C:$C,0))-S32)*$D$52))))/1000</f>
        <v>#N/A</v>
      </c>
      <c r="AB32" s="130"/>
      <c r="AC32" s="129"/>
      <c r="AD32" s="158"/>
      <c r="AE32" s="158"/>
      <c r="AF32" s="158"/>
      <c r="AG32" s="158"/>
      <c r="AH32" s="122"/>
      <c r="AI32" s="130"/>
    </row>
    <row r="33" spans="2:37">
      <c r="B33" s="130"/>
      <c r="C33" s="138"/>
      <c r="D33" s="139"/>
      <c r="E33" s="139"/>
      <c r="F33" s="139"/>
      <c r="G33" s="139"/>
      <c r="H33" s="139"/>
      <c r="I33" s="139"/>
      <c r="J33" s="139"/>
      <c r="K33" s="139"/>
      <c r="L33" s="139"/>
      <c r="M33" s="139"/>
      <c r="N33" s="139"/>
      <c r="O33" s="139"/>
      <c r="P33" s="165"/>
      <c r="Q33" s="165"/>
      <c r="R33" s="165"/>
      <c r="S33" s="165"/>
      <c r="T33" s="160"/>
      <c r="U33" s="139"/>
      <c r="V33" s="139"/>
      <c r="W33" s="139"/>
      <c r="X33" s="160"/>
      <c r="Y33" s="139"/>
      <c r="Z33" s="139"/>
      <c r="AA33" s="140"/>
      <c r="AB33" s="130"/>
      <c r="AC33" s="123"/>
      <c r="AD33" s="124"/>
      <c r="AE33" s="124"/>
      <c r="AF33" s="124"/>
      <c r="AG33" s="124"/>
      <c r="AH33" s="125"/>
      <c r="AI33" s="130"/>
    </row>
    <row r="34" spans="2:37" ht="8.1" customHeight="1">
      <c r="B34" s="130"/>
      <c r="C34" s="143"/>
      <c r="D34" s="143"/>
      <c r="E34" s="143"/>
      <c r="F34" s="143"/>
      <c r="G34" s="143"/>
      <c r="H34" s="143"/>
      <c r="I34" s="143"/>
      <c r="J34" s="143"/>
      <c r="K34" s="143"/>
      <c r="L34" s="143"/>
      <c r="M34" s="143"/>
      <c r="N34" s="143"/>
      <c r="O34" s="143"/>
      <c r="P34" s="168"/>
      <c r="Q34" s="168"/>
      <c r="R34" s="168"/>
      <c r="S34" s="168"/>
      <c r="T34" s="163"/>
      <c r="U34" s="143"/>
      <c r="V34" s="143"/>
      <c r="W34" s="143"/>
      <c r="X34" s="163"/>
      <c r="Y34" s="143"/>
      <c r="Z34" s="143"/>
      <c r="AA34" s="143"/>
      <c r="AB34" s="130"/>
      <c r="AC34" s="130"/>
      <c r="AD34" s="130"/>
      <c r="AE34" s="130"/>
      <c r="AF34" s="130"/>
      <c r="AG34" s="130"/>
      <c r="AH34" s="130"/>
      <c r="AI34" s="130"/>
    </row>
    <row r="35" spans="2:37" ht="15" thickBot="1">
      <c r="B35" s="130"/>
      <c r="C35" s="133"/>
      <c r="D35" s="141"/>
      <c r="E35" s="141"/>
      <c r="F35" s="141"/>
      <c r="G35" s="141"/>
      <c r="H35" s="141"/>
      <c r="I35" s="141"/>
      <c r="J35" s="141"/>
      <c r="K35" s="141"/>
      <c r="L35" s="141"/>
      <c r="M35" s="141"/>
      <c r="N35" s="141"/>
      <c r="O35" s="141"/>
      <c r="P35" s="167"/>
      <c r="Q35" s="167"/>
      <c r="R35" s="167"/>
      <c r="S35" s="167"/>
      <c r="T35" s="162"/>
      <c r="U35" s="141"/>
      <c r="V35" s="141"/>
      <c r="W35" s="141"/>
      <c r="X35" s="162"/>
      <c r="Y35" s="141"/>
      <c r="Z35" s="141"/>
      <c r="AA35" s="144"/>
      <c r="AB35" s="130"/>
      <c r="AC35" s="126"/>
      <c r="AD35" s="127"/>
      <c r="AE35" s="127"/>
      <c r="AF35" s="127"/>
      <c r="AG35" s="127"/>
      <c r="AH35" s="128"/>
      <c r="AI35" s="130"/>
    </row>
    <row r="36" spans="2:37" ht="19.899999999999999" customHeight="1">
      <c r="B36" s="130"/>
      <c r="C36" s="149" t="s">
        <v>3593</v>
      </c>
      <c r="D36" s="183">
        <f>2791666.6666667/1000</f>
        <v>2791.6666666667002</v>
      </c>
      <c r="E36" s="183">
        <f>D36*12</f>
        <v>33500.0000000004</v>
      </c>
      <c r="F36" s="146">
        <v>45651</v>
      </c>
      <c r="G36" s="147" t="s">
        <v>3504</v>
      </c>
      <c r="H36" s="184">
        <f ca="1" xml:space="preserve"> NOW() - (F36 + TIME(LEFT($G$36, 2), MID($G$36, 3, 2), 0))</f>
        <v>325.50049733796186</v>
      </c>
      <c r="I36" s="185">
        <f ca="1">((DATE(YEAR(F36),MONTH(F36)+1,25)) + TIME(LEFT("1200H", 2), MID("1200H", 3, 2), 0)) - ($AG$3 + TIME(LEFT(NOW(), 2), MID(NOW(), 3, 2), 0))</f>
        <v>-295.4423611111124</v>
      </c>
      <c r="J36" s="157"/>
      <c r="K36" s="157"/>
      <c r="L36" s="157"/>
      <c r="M36" s="157"/>
      <c r="N36" s="157"/>
      <c r="O36" s="157"/>
      <c r="P36" s="183"/>
      <c r="Q36" s="183"/>
      <c r="R36" s="183"/>
      <c r="S36" s="183"/>
      <c r="T36" s="186">
        <f>D36/30/24</f>
        <v>3.8773148148148611</v>
      </c>
      <c r="U36" s="187">
        <f ca="1">SUM(U39:U40)</f>
        <v>0</v>
      </c>
      <c r="V36" s="216" t="e">
        <f ca="1">AA36+U36</f>
        <v>#N/A</v>
      </c>
      <c r="W36" s="188" t="e">
        <f ca="1">V36/H36/24</f>
        <v>#N/A</v>
      </c>
      <c r="X36" s="189" t="e">
        <f ca="1">AA36/H36/24</f>
        <v>#N/A</v>
      </c>
      <c r="Y36" s="198"/>
      <c r="Z36" s="198" t="e">
        <f ca="1">SUM(Z39:Z40)</f>
        <v>#N/A</v>
      </c>
      <c r="AA36" s="148" t="e">
        <f ca="1">SUM(AA39:AA40)</f>
        <v>#N/A</v>
      </c>
      <c r="AB36" s="130"/>
      <c r="AC36" s="129" t="s">
        <v>3533</v>
      </c>
      <c r="AD36" s="571" t="e">
        <f ca="1">Z36/$E$36</f>
        <v>#N/A</v>
      </c>
      <c r="AE36" s="572"/>
      <c r="AF36" s="572"/>
      <c r="AG36" s="573"/>
      <c r="AH36" s="122"/>
      <c r="AI36" s="130"/>
      <c r="AK36" s="203" t="e">
        <f ca="1">(E36-Z36)/67/24</f>
        <v>#N/A</v>
      </c>
    </row>
    <row r="37" spans="2:37" ht="15.75" customHeight="1" thickBot="1">
      <c r="B37" s="130"/>
      <c r="C37" s="129"/>
      <c r="D37" s="136"/>
      <c r="E37" s="136"/>
      <c r="F37" s="136"/>
      <c r="G37" s="136"/>
      <c r="H37" s="136"/>
      <c r="I37" s="136"/>
      <c r="J37" s="136"/>
      <c r="K37" s="136"/>
      <c r="L37" s="136"/>
      <c r="M37" s="136"/>
      <c r="N37" s="136"/>
      <c r="O37" s="136"/>
      <c r="P37" s="183"/>
      <c r="Q37" s="183"/>
      <c r="R37" s="183"/>
      <c r="S37" s="183"/>
      <c r="T37" s="190"/>
      <c r="U37" s="136"/>
      <c r="V37" s="136"/>
      <c r="W37" s="136"/>
      <c r="X37" s="190"/>
      <c r="Y37" s="136"/>
      <c r="Z37" s="136"/>
      <c r="AA37" s="137"/>
      <c r="AB37" s="130"/>
      <c r="AC37" s="129"/>
      <c r="AD37" s="574"/>
      <c r="AE37" s="575"/>
      <c r="AF37" s="575"/>
      <c r="AG37" s="576"/>
      <c r="AH37" s="122"/>
      <c r="AI37" s="130"/>
    </row>
    <row r="38" spans="2:37" ht="8.1" customHeight="1" thickBot="1">
      <c r="B38" s="130"/>
      <c r="C38" s="129"/>
      <c r="D38" s="136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92"/>
      <c r="Q38" s="192"/>
      <c r="R38" s="192"/>
      <c r="S38" s="192"/>
      <c r="T38" s="190"/>
      <c r="U38" s="136"/>
      <c r="V38" s="136"/>
      <c r="W38" s="136"/>
      <c r="X38" s="190"/>
      <c r="Y38" s="136"/>
      <c r="Z38" s="136"/>
      <c r="AA38" s="137"/>
      <c r="AB38" s="130"/>
      <c r="AC38" s="129"/>
      <c r="AD38" s="121"/>
      <c r="AE38" s="121"/>
      <c r="AF38" s="121"/>
      <c r="AG38" s="121"/>
      <c r="AH38" s="122"/>
      <c r="AI38" s="130"/>
    </row>
    <row r="39" spans="2:37" ht="15" customHeight="1">
      <c r="B39" s="130"/>
      <c r="C39" s="129" t="s">
        <v>110</v>
      </c>
      <c r="D39" s="136"/>
      <c r="E39" s="136"/>
      <c r="F39" s="136"/>
      <c r="G39" s="136"/>
      <c r="H39" s="136"/>
      <c r="I39" s="136"/>
      <c r="J39" s="191">
        <v>30.31</v>
      </c>
      <c r="K39" s="191">
        <v>87.38</v>
      </c>
      <c r="L39" s="191">
        <v>6873.69</v>
      </c>
      <c r="M39" s="191">
        <v>9.0399999999999991</v>
      </c>
      <c r="N39" s="191"/>
      <c r="O39" s="191"/>
      <c r="P39" s="192">
        <f>INDEX(BILLING!$P:$P,MATCH($F36&amp;" "&amp;$G36,BILLING!$C:$C,0))</f>
        <v>615.78</v>
      </c>
      <c r="Q39" s="192">
        <f>INDEX(BILLING!$Q:$Q,MATCH($F36&amp;" "&amp;$G36,BILLING!$C:$C,0))</f>
        <v>677.7</v>
      </c>
      <c r="R39" s="192">
        <f>INDEX(BILLING!$R:$R,MATCH($F36&amp;" "&amp;$G36,BILLING!$C:$C,0))</f>
        <v>9997.1</v>
      </c>
      <c r="S39" s="192">
        <f>INDEX(BILLING!$S:$S,MATCH($F36&amp;" "&amp;$G36,BILLING!$C:$C,0))</f>
        <v>9.0399999999999991</v>
      </c>
      <c r="T39" s="190"/>
      <c r="U39" s="187" cm="1">
        <f t="array" aca="1" ref="U39" ca="1">INDIRECT(TEXT(DAY(TODAY()),"0")&amp;"!AI33")</f>
        <v>0</v>
      </c>
      <c r="V39" s="187"/>
      <c r="W39" s="187"/>
      <c r="X39" s="190"/>
      <c r="Y39" s="181"/>
      <c r="Z39" s="181" t="e">
        <f ca="1">(((((INDEX(BILLING!$P:$P,MATCH($AG$3&amp;" "&amp;$AG$5,BILLING!$C:$C,0))-J39)*$D$53)-
((INDEX(BILLING!$Q:$Q,MATCH($AG$3&amp;" "&amp;$AG$5,BILLING!$C:$C,0))-K39)*$D$53)))+
((((INDEX(BILLING!$R:$R,MATCH($AG$3&amp;" "&amp;$AG$5,BILLING!$C:$C,0))-L39)*$D$52)-
((INDEX(BILLING!$S:$S,MATCH($AG$3&amp;" "&amp;$AG$5,BILLING!$C:$C,0))-M39)*$D$52))))/1000</f>
        <v>#N/A</v>
      </c>
      <c r="AA39" s="148" t="e">
        <f ca="1">(((((INDEX(BILLING!$P:$P,MATCH($AG$3&amp;" "&amp;$AG$5,BILLING!$C:$C,0))-P39)*$D$53)-
((INDEX(BILLING!$Q:$Q,MATCH($AG$3&amp;" "&amp;$AG$5,BILLING!$C:$C,0))-Q39)*$D$53)))+
((((INDEX(BILLING!$R:$R,MATCH($AG$3&amp;" "&amp;$AG$5,BILLING!$C:$C,0))-R39)*$D$52)-
((INDEX(BILLING!$S:$S,MATCH($AG$3&amp;" "&amp;$AG$5,BILLING!$C:$C,0))-S39)*$D$52))))/1000</f>
        <v>#N/A</v>
      </c>
      <c r="AB39" s="130"/>
      <c r="AC39" s="129" t="s">
        <v>3534</v>
      </c>
      <c r="AD39" s="571" t="e">
        <f ca="1">$AA$36/$D$36</f>
        <v>#N/A</v>
      </c>
      <c r="AE39" s="572"/>
      <c r="AF39" s="572"/>
      <c r="AG39" s="573"/>
      <c r="AH39" s="122"/>
      <c r="AI39" s="130"/>
    </row>
    <row r="40" spans="2:37" ht="15.75" customHeight="1" thickBot="1">
      <c r="B40" s="130"/>
      <c r="C40" s="129" t="s">
        <v>112</v>
      </c>
      <c r="D40" s="136"/>
      <c r="E40" s="136"/>
      <c r="F40" s="136"/>
      <c r="G40" s="136"/>
      <c r="H40" s="136"/>
      <c r="I40" s="136"/>
      <c r="J40" s="191"/>
      <c r="K40" s="191"/>
      <c r="L40" s="191">
        <v>2260.46</v>
      </c>
      <c r="M40" s="191">
        <v>0</v>
      </c>
      <c r="N40" s="191"/>
      <c r="O40" s="191"/>
      <c r="P40" s="192"/>
      <c r="Q40" s="192"/>
      <c r="R40" s="192">
        <f>INDEX(BILLING!$X:$X,MATCH($F36&amp;" "&amp;$G36,BILLING!$C:$C,0))</f>
        <v>6548.4</v>
      </c>
      <c r="S40" s="192">
        <f>INDEX(BILLING!$Y:$Y,MATCH($F36&amp;" "&amp;$G36,BILLING!$C:$C,0))</f>
        <v>0</v>
      </c>
      <c r="T40" s="190"/>
      <c r="U40" s="187" cm="1">
        <f t="array" aca="1" ref="U40" ca="1">INDIRECT(TEXT(DAY(TODAY()),"0")&amp;"!AI75")</f>
        <v>0</v>
      </c>
      <c r="V40" s="187"/>
      <c r="W40" s="187"/>
      <c r="X40" s="190"/>
      <c r="Y40" s="182"/>
      <c r="Z40" s="236" t="e">
        <f ca="1">(((((INDEX(BILLING!$X:$X,MATCH($AG$3&amp;" "&amp;$AG$5,BILLING!$C:$C,0))-L40)*$D$55)-
((INDEX(BILLING!$Y:$Y,MATCH($AG$3&amp;" "&amp;$AG$5,BILLING!$C:$C,0))-M40)*$D$55))))/1000</f>
        <v>#N/A</v>
      </c>
      <c r="AA40" s="172" t="e">
        <f ca="1">(((((INDEX(BILLING!$X:$X,MATCH($AG$3&amp;" "&amp;$AG$5,BILLING!$C:$C,0))-R40)*$D$55)-
((INDEX(BILLING!$Y:$Y,MATCH($AG$3&amp;" "&amp;$AG$5,BILLING!$C:$C,0))-S40)*$D$55))))/1000</f>
        <v>#N/A</v>
      </c>
      <c r="AB40" s="130"/>
      <c r="AC40" s="129"/>
      <c r="AD40" s="574"/>
      <c r="AE40" s="575"/>
      <c r="AF40" s="575"/>
      <c r="AG40" s="576"/>
      <c r="AH40" s="122"/>
      <c r="AI40" s="130"/>
    </row>
    <row r="41" spans="2:37">
      <c r="B41" s="130"/>
      <c r="C41" s="138"/>
      <c r="D41" s="139"/>
      <c r="E41" s="139"/>
      <c r="F41" s="139"/>
      <c r="G41" s="139"/>
      <c r="H41" s="139"/>
      <c r="I41" s="139"/>
      <c r="J41" s="139"/>
      <c r="K41" s="139"/>
      <c r="L41" s="139"/>
      <c r="M41" s="139"/>
      <c r="N41" s="139"/>
      <c r="O41" s="139"/>
      <c r="P41" s="139"/>
      <c r="Q41" s="139"/>
      <c r="R41" s="139"/>
      <c r="S41" s="139"/>
      <c r="T41" s="160"/>
      <c r="U41" s="139"/>
      <c r="V41" s="139"/>
      <c r="W41" s="139"/>
      <c r="X41" s="160"/>
      <c r="Y41" s="139"/>
      <c r="Z41" s="139"/>
      <c r="AA41" s="140"/>
      <c r="AB41" s="130"/>
      <c r="AC41" s="123"/>
      <c r="AD41" s="124"/>
      <c r="AE41" s="124"/>
      <c r="AF41" s="124"/>
      <c r="AG41" s="124"/>
      <c r="AH41" s="125"/>
      <c r="AI41" s="130"/>
    </row>
    <row r="42" spans="2:37" ht="8.1" customHeight="1">
      <c r="B42" s="130"/>
      <c r="C42" s="130"/>
      <c r="D42" s="131"/>
      <c r="E42" s="130"/>
      <c r="F42" s="131"/>
      <c r="G42" s="131"/>
      <c r="H42" s="131"/>
      <c r="I42" s="131"/>
      <c r="J42" s="131"/>
      <c r="K42" s="131"/>
      <c r="L42" s="131"/>
      <c r="M42" s="131"/>
      <c r="N42" s="131"/>
      <c r="O42" s="131"/>
      <c r="P42" s="131"/>
      <c r="Q42" s="131"/>
      <c r="R42" s="131"/>
      <c r="S42" s="131"/>
      <c r="T42" s="130"/>
      <c r="U42" s="130"/>
      <c r="V42" s="130"/>
      <c r="W42" s="130"/>
      <c r="X42" s="130"/>
      <c r="Y42" s="130"/>
      <c r="Z42" s="130"/>
      <c r="AA42" s="130"/>
      <c r="AB42" s="130"/>
      <c r="AC42" s="130"/>
      <c r="AD42" s="130"/>
      <c r="AE42" s="130"/>
      <c r="AF42" s="130"/>
      <c r="AG42" s="130"/>
      <c r="AH42" s="130"/>
      <c r="AI42" s="130"/>
    </row>
    <row r="43" spans="2:37">
      <c r="T43" s="79"/>
      <c r="U43" s="79"/>
      <c r="V43" s="79"/>
      <c r="W43" s="79"/>
      <c r="X43" s="79"/>
      <c r="Y43" s="79"/>
      <c r="Z43" s="79"/>
    </row>
    <row r="44" spans="2:37">
      <c r="P44"/>
      <c r="Q44"/>
      <c r="R44"/>
      <c r="S44"/>
    </row>
    <row r="45" spans="2:37">
      <c r="P45"/>
      <c r="Q45"/>
      <c r="R45"/>
      <c r="S45"/>
    </row>
    <row r="46" spans="2:37">
      <c r="C46" t="s">
        <v>3543</v>
      </c>
      <c r="D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2:37">
      <c r="D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2:37"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>
      <c r="C49" s="71" t="s">
        <v>3544</v>
      </c>
      <c r="D49">
        <v>42000</v>
      </c>
      <c r="F49" s="67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>
      <c r="C50" s="71" t="s">
        <v>3545</v>
      </c>
      <c r="D50">
        <v>36000</v>
      </c>
      <c r="F50" s="67">
        <v>11200</v>
      </c>
      <c r="G50"/>
      <c r="H50"/>
      <c r="I50"/>
      <c r="J50">
        <v>69</v>
      </c>
      <c r="K50">
        <v>13</v>
      </c>
      <c r="L50">
        <v>69</v>
      </c>
      <c r="M50">
        <v>13</v>
      </c>
      <c r="N50"/>
      <c r="O50"/>
      <c r="P50"/>
      <c r="Q50"/>
      <c r="R50"/>
      <c r="S50"/>
    </row>
    <row r="51" spans="3:19">
      <c r="C51" s="71" t="s">
        <v>3546</v>
      </c>
      <c r="D51">
        <v>48000</v>
      </c>
      <c r="F51" s="67">
        <v>8400</v>
      </c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>
      <c r="C52" s="71" t="s">
        <v>3547</v>
      </c>
      <c r="D52" s="106">
        <v>8400</v>
      </c>
      <c r="F52" s="152">
        <v>8400</v>
      </c>
      <c r="G52" s="106"/>
      <c r="H52" s="106"/>
      <c r="I52" s="106"/>
      <c r="J52" s="106"/>
      <c r="K52" s="106"/>
      <c r="L52" s="106"/>
      <c r="M52" s="106"/>
      <c r="N52" s="106"/>
      <c r="O52" s="106"/>
    </row>
    <row r="53" spans="3:19">
      <c r="C53" s="71" t="s">
        <v>3548</v>
      </c>
      <c r="D53">
        <v>21000</v>
      </c>
      <c r="F53" s="67">
        <v>21000</v>
      </c>
      <c r="G53"/>
      <c r="H53"/>
      <c r="I53"/>
      <c r="J53"/>
      <c r="K53"/>
      <c r="L53"/>
      <c r="M53"/>
      <c r="N53"/>
      <c r="O53"/>
    </row>
    <row r="54" spans="3:19">
      <c r="C54" s="71" t="s">
        <v>55</v>
      </c>
      <c r="D54" s="151">
        <v>2100</v>
      </c>
      <c r="F54" s="67">
        <v>1400</v>
      </c>
      <c r="G54"/>
      <c r="H54"/>
      <c r="I54"/>
      <c r="J54"/>
      <c r="K54"/>
      <c r="L54"/>
      <c r="M54"/>
      <c r="N54"/>
      <c r="O54"/>
    </row>
    <row r="55" spans="3:19">
      <c r="C55" s="71" t="s">
        <v>3549</v>
      </c>
      <c r="D55">
        <v>1400</v>
      </c>
      <c r="F55" s="67">
        <v>1400</v>
      </c>
      <c r="G55"/>
      <c r="H55"/>
      <c r="I55"/>
      <c r="J55"/>
      <c r="K55"/>
      <c r="L55"/>
      <c r="M55"/>
      <c r="N55"/>
      <c r="O55"/>
    </row>
    <row r="56" spans="3:19">
      <c r="C56" s="107" t="s">
        <v>32</v>
      </c>
      <c r="D56" s="106">
        <v>30000</v>
      </c>
      <c r="F56" s="152">
        <v>30000</v>
      </c>
      <c r="G56" s="106"/>
      <c r="H56" s="106"/>
      <c r="I56" s="106"/>
      <c r="J56" s="106"/>
      <c r="K56" s="106"/>
      <c r="L56" s="106"/>
      <c r="M56" s="106"/>
      <c r="N56" s="106"/>
      <c r="O56" s="106"/>
    </row>
    <row r="57" spans="3:19">
      <c r="C57" s="107" t="s">
        <v>3550</v>
      </c>
      <c r="D57">
        <v>12000</v>
      </c>
      <c r="F57" s="67">
        <v>12000</v>
      </c>
      <c r="G57"/>
      <c r="H57"/>
      <c r="I57"/>
      <c r="J57"/>
      <c r="K57"/>
      <c r="L57"/>
      <c r="M57"/>
      <c r="N57"/>
      <c r="O57"/>
    </row>
    <row r="58" spans="3:19">
      <c r="C58" s="107" t="s">
        <v>3551</v>
      </c>
      <c r="D58" s="145">
        <v>4200</v>
      </c>
      <c r="F58" s="150">
        <v>4200</v>
      </c>
      <c r="G58" s="145"/>
      <c r="H58" s="145"/>
      <c r="I58" s="145"/>
      <c r="J58" s="145"/>
      <c r="K58" s="145"/>
      <c r="L58" s="145"/>
      <c r="M58" s="145"/>
      <c r="N58" s="145"/>
      <c r="O58" s="145"/>
    </row>
    <row r="59" spans="3:19">
      <c r="C59" s="107" t="s">
        <v>3552</v>
      </c>
      <c r="D59" s="145">
        <v>11200</v>
      </c>
      <c r="F59" s="150">
        <v>11200</v>
      </c>
      <c r="G59" s="145"/>
      <c r="H59" s="145"/>
      <c r="I59" s="145"/>
      <c r="J59" s="145"/>
      <c r="K59" s="145"/>
      <c r="L59" s="145"/>
      <c r="M59" s="145"/>
      <c r="N59" s="145"/>
      <c r="O59" s="145"/>
    </row>
    <row r="60" spans="3:19">
      <c r="C60" s="67" t="s">
        <v>3553</v>
      </c>
      <c r="D60" s="150">
        <v>3500</v>
      </c>
      <c r="F60" s="150">
        <v>3500</v>
      </c>
      <c r="I60" s="199">
        <v>45568</v>
      </c>
      <c r="J60" s="200"/>
      <c r="K60" s="200"/>
      <c r="L60" s="200"/>
      <c r="M60" s="200"/>
      <c r="N60" s="200"/>
      <c r="O60" s="200"/>
      <c r="P60" s="192">
        <v>293.08999999999997</v>
      </c>
      <c r="Q60" s="192">
        <v>49.65</v>
      </c>
      <c r="R60" s="192">
        <v>1102.8</v>
      </c>
      <c r="S60" s="192">
        <v>6.2</v>
      </c>
    </row>
    <row r="62" spans="3:19">
      <c r="C62" s="107" t="s">
        <v>3594</v>
      </c>
      <c r="D62" s="146">
        <v>45560</v>
      </c>
      <c r="F62" s="147" t="s">
        <v>3504</v>
      </c>
      <c r="H62" s="156"/>
    </row>
    <row r="63" spans="3:19">
      <c r="C63" s="107" t="s">
        <v>3595</v>
      </c>
      <c r="D63" s="156">
        <f>D62+30</f>
        <v>45590</v>
      </c>
    </row>
  </sheetData>
  <mergeCells count="32">
    <mergeCell ref="I3:I6"/>
    <mergeCell ref="AD36:AG37"/>
    <mergeCell ref="AD39:AG40"/>
    <mergeCell ref="AD9:AG10"/>
    <mergeCell ref="AD12:AG13"/>
    <mergeCell ref="AD17:AG18"/>
    <mergeCell ref="AD20:AG21"/>
    <mergeCell ref="AD25:AG26"/>
    <mergeCell ref="AD28:AG29"/>
    <mergeCell ref="L3:M5"/>
    <mergeCell ref="Z3:Z6"/>
    <mergeCell ref="N3:O5"/>
    <mergeCell ref="Y3:Y6"/>
    <mergeCell ref="J3:K5"/>
    <mergeCell ref="X3:X6"/>
    <mergeCell ref="P3:Q5"/>
    <mergeCell ref="R3:S5"/>
    <mergeCell ref="U3:U6"/>
    <mergeCell ref="V3:V6"/>
    <mergeCell ref="W3:W6"/>
    <mergeCell ref="T3:T6"/>
    <mergeCell ref="AA3:AA6"/>
    <mergeCell ref="AF3:AF4"/>
    <mergeCell ref="AG3:AH4"/>
    <mergeCell ref="AF5:AF6"/>
    <mergeCell ref="AG5:AH6"/>
    <mergeCell ref="C3:C6"/>
    <mergeCell ref="D3:D6"/>
    <mergeCell ref="F3:F6"/>
    <mergeCell ref="G3:G6"/>
    <mergeCell ref="H3:H6"/>
    <mergeCell ref="E3:E6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{57DFC514-1A6C-4C5F-8951-B565C01F5591}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{1F3182E2-4539-4833-AC02-59CF37F7855E}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{694621E4-72DD-4D7D-B340-E50038701CF3}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{D28211B5-B861-4A27-9C25-F0F85F2687A2}</x14:id>
        </ext>
      </extLst>
    </cfRule>
  </conditionalFormatting>
  <conditionalFormatting sqref="AD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{B588A534-5EBE-4BD2-B49C-1201EF277899}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{4DA3449F-1F6E-4E76-9841-8A03D7333267}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{09C31A7A-CB0C-404F-9E95-1C240236D726}</x14:id>
        </ext>
      </extLst>
    </cfRule>
  </conditionalFormatting>
  <conditionalFormatting sqref="AD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{3BB0C19D-5EE4-491B-BF8A-F5A26BD97573}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7DFC514-1A6C-4C5F-8951-B565C01F559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1F3182E2-4539-4833-AC02-59CF37F785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94621E4-72DD-4D7D-B340-E50038701CF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D28211B5-B861-4A27-9C25-F0F85F2687A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B588A534-5EBE-4BD2-B49C-1201EF2778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AD36</xm:sqref>
        </x14:conditionalFormatting>
        <x14:conditionalFormatting xmlns:xm="http://schemas.microsoft.com/office/excel/2006/main">
          <x14:cfRule type="dataBar" id="{4DA3449F-1F6E-4E76-9841-8A03D733326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09C31A7A-CB0C-404F-9E95-1C240236D72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3BB0C19D-5EE4-491B-BF8A-F5A26BD975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20DFE-D7F9-4EAA-A486-C8797ACEB68D}">
  <sheetPr codeName="Sheet5">
    <pageSetUpPr fitToPage="1"/>
  </sheetPr>
  <dimension ref="A1:E16"/>
  <sheetViews>
    <sheetView zoomScaleNormal="100" workbookViewId="0">
      <selection activeCell="I10" sqref="I10"/>
    </sheetView>
  </sheetViews>
  <sheetFormatPr defaultColWidth="9.140625" defaultRowHeight="32.450000000000003"/>
  <cols>
    <col min="1" max="1" width="25.28515625" style="215" bestFit="1" customWidth="1"/>
    <col min="2" max="2" width="17.140625" style="212" customWidth="1"/>
    <col min="3" max="3" width="2.5703125" style="212" customWidth="1"/>
    <col min="4" max="4" width="24.42578125" style="212" bestFit="1" customWidth="1"/>
    <col min="5" max="5" width="17.140625" style="212" customWidth="1"/>
    <col min="6" max="16384" width="9.140625" style="206"/>
  </cols>
  <sheetData>
    <row r="1" spans="1:5">
      <c r="A1" s="207" t="s">
        <v>105</v>
      </c>
      <c r="B1" s="208" t="s">
        <v>3596</v>
      </c>
      <c r="C1" s="209"/>
      <c r="D1" s="208" t="s">
        <v>105</v>
      </c>
      <c r="E1" s="208" t="s">
        <v>3596</v>
      </c>
    </row>
    <row r="2" spans="1:5">
      <c r="A2" s="210">
        <v>45561</v>
      </c>
      <c r="B2" s="211">
        <v>63.67</v>
      </c>
      <c r="D2" s="210">
        <v>45576</v>
      </c>
      <c r="E2" s="211" t="e">
        <f>MAX(#REF!)</f>
        <v>#REF!</v>
      </c>
    </row>
    <row r="3" spans="1:5">
      <c r="A3" s="213">
        <f t="shared" ref="A3:A16" si="0">A2+1</f>
        <v>45562</v>
      </c>
      <c r="B3" s="214">
        <v>63.769999999999996</v>
      </c>
      <c r="D3" s="213">
        <f t="shared" ref="D3:D16" si="1">D2+1</f>
        <v>45577</v>
      </c>
      <c r="E3" s="214" t="e">
        <f>MAX(#REF!)</f>
        <v>#REF!</v>
      </c>
    </row>
    <row r="4" spans="1:5">
      <c r="A4" s="210">
        <f t="shared" si="0"/>
        <v>45563</v>
      </c>
      <c r="B4" s="211">
        <v>60.34</v>
      </c>
      <c r="D4" s="210">
        <f t="shared" si="1"/>
        <v>45578</v>
      </c>
      <c r="E4" s="211" t="e">
        <f>MAX(#REF!)</f>
        <v>#REF!</v>
      </c>
    </row>
    <row r="5" spans="1:5">
      <c r="A5" s="213">
        <f t="shared" si="0"/>
        <v>45564</v>
      </c>
      <c r="B5" s="214">
        <v>57.95</v>
      </c>
      <c r="D5" s="213">
        <f t="shared" si="1"/>
        <v>45579</v>
      </c>
      <c r="E5" s="214" t="e">
        <f>MAX(#REF!)</f>
        <v>#REF!</v>
      </c>
    </row>
    <row r="6" spans="1:5">
      <c r="A6" s="210">
        <f t="shared" si="0"/>
        <v>45565</v>
      </c>
      <c r="B6" s="211">
        <v>67.750000000000014</v>
      </c>
      <c r="D6" s="210">
        <f t="shared" si="1"/>
        <v>45580</v>
      </c>
      <c r="E6" s="211" t="e">
        <f>MAX(#REF!)</f>
        <v>#REF!</v>
      </c>
    </row>
    <row r="7" spans="1:5">
      <c r="A7" s="213">
        <f t="shared" si="0"/>
        <v>45566</v>
      </c>
      <c r="B7" s="214">
        <v>62.4</v>
      </c>
      <c r="D7" s="213">
        <f t="shared" si="1"/>
        <v>45581</v>
      </c>
      <c r="E7" s="214" t="e">
        <f>MAX(#REF!)</f>
        <v>#REF!</v>
      </c>
    </row>
    <row r="8" spans="1:5">
      <c r="A8" s="210">
        <f t="shared" si="0"/>
        <v>45567</v>
      </c>
      <c r="B8" s="211">
        <v>66.099999999999994</v>
      </c>
      <c r="D8" s="210">
        <f t="shared" si="1"/>
        <v>45582</v>
      </c>
      <c r="E8" s="211" t="e">
        <f>MAX(#REF!)</f>
        <v>#REF!</v>
      </c>
    </row>
    <row r="9" spans="1:5">
      <c r="A9" s="213">
        <f t="shared" si="0"/>
        <v>45568</v>
      </c>
      <c r="B9" s="214">
        <v>66.099999999999994</v>
      </c>
      <c r="D9" s="213">
        <f t="shared" si="1"/>
        <v>45583</v>
      </c>
      <c r="E9" s="214" t="e">
        <f>MAX(#REF!)</f>
        <v>#REF!</v>
      </c>
    </row>
    <row r="10" spans="1:5">
      <c r="A10" s="210">
        <f t="shared" si="0"/>
        <v>45569</v>
      </c>
      <c r="B10" s="211" t="e">
        <f>MAX(#REF!)</f>
        <v>#REF!</v>
      </c>
      <c r="D10" s="210">
        <f t="shared" si="1"/>
        <v>45584</v>
      </c>
      <c r="E10" s="211" t="e">
        <f>MAX(#REF!)</f>
        <v>#REF!</v>
      </c>
    </row>
    <row r="11" spans="1:5">
      <c r="A11" s="213">
        <f t="shared" si="0"/>
        <v>45570</v>
      </c>
      <c r="B11" s="214" t="e">
        <f>MAX(#REF!)</f>
        <v>#REF!</v>
      </c>
      <c r="D11" s="213">
        <f t="shared" si="1"/>
        <v>45585</v>
      </c>
      <c r="E11" s="214" t="e">
        <f>MAX(#REF!)</f>
        <v>#REF!</v>
      </c>
    </row>
    <row r="12" spans="1:5">
      <c r="A12" s="210">
        <f t="shared" si="0"/>
        <v>45571</v>
      </c>
      <c r="B12" s="211" t="e">
        <f>MAX(#REF!)</f>
        <v>#REF!</v>
      </c>
      <c r="D12" s="210">
        <f t="shared" si="1"/>
        <v>45586</v>
      </c>
      <c r="E12" s="211" t="e">
        <f>MAX(#REF!)</f>
        <v>#REF!</v>
      </c>
    </row>
    <row r="13" spans="1:5">
      <c r="A13" s="213">
        <f t="shared" si="0"/>
        <v>45572</v>
      </c>
      <c r="B13" s="214" t="e">
        <f>MAX(#REF!)</f>
        <v>#REF!</v>
      </c>
      <c r="D13" s="213">
        <f t="shared" si="1"/>
        <v>45587</v>
      </c>
      <c r="E13" s="214" t="e">
        <f>MAX(#REF!)</f>
        <v>#REF!</v>
      </c>
    </row>
    <row r="14" spans="1:5">
      <c r="A14" s="210">
        <f t="shared" si="0"/>
        <v>45573</v>
      </c>
      <c r="B14" s="211" t="e">
        <f>MAX(#REF!)</f>
        <v>#REF!</v>
      </c>
      <c r="D14" s="210">
        <f t="shared" si="1"/>
        <v>45588</v>
      </c>
      <c r="E14" s="211" t="e">
        <f>MAX(#REF!)</f>
        <v>#REF!</v>
      </c>
    </row>
    <row r="15" spans="1:5">
      <c r="A15" s="213">
        <f t="shared" si="0"/>
        <v>45574</v>
      </c>
      <c r="B15" s="214" t="e">
        <f>MAX(#REF!)</f>
        <v>#REF!</v>
      </c>
      <c r="D15" s="213">
        <f t="shared" si="1"/>
        <v>45589</v>
      </c>
      <c r="E15" s="214" t="e">
        <f>MAX(#REF!)</f>
        <v>#REF!</v>
      </c>
    </row>
    <row r="16" spans="1:5">
      <c r="A16" s="210">
        <f t="shared" si="0"/>
        <v>45575</v>
      </c>
      <c r="B16" s="211" t="e">
        <f>MAX(#REF!)</f>
        <v>#REF!</v>
      </c>
      <c r="D16" s="210">
        <f t="shared" si="1"/>
        <v>45590</v>
      </c>
      <c r="E16" s="211" t="e">
        <f>MAX(#REF!)</f>
        <v>#REF!</v>
      </c>
    </row>
  </sheetData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AFE44-0640-4A79-96D5-0A5DCF50D3AF}">
  <sheetPr codeName="Sheet6"/>
  <dimension ref="A1:Z28"/>
  <sheetViews>
    <sheetView topLeftCell="A27" workbookViewId="0">
      <selection activeCell="A13" sqref="A13:X13"/>
    </sheetView>
  </sheetViews>
  <sheetFormatPr defaultRowHeight="14.45"/>
  <cols>
    <col min="1" max="1" width="8.85546875" customWidth="1"/>
    <col min="26" max="26" width="12.140625" customWidth="1"/>
  </cols>
  <sheetData>
    <row r="1" spans="1:24">
      <c r="A1" t="e" cm="1" vm="1">
        <v>#VALUE!</v>
      </c>
    </row>
    <row r="3" spans="1:24" ht="15.6">
      <c r="A3" s="43">
        <v>0</v>
      </c>
      <c r="B3" s="43">
        <v>4.1666666666666664E-2</v>
      </c>
      <c r="C3" s="43">
        <v>8.3333333333333329E-2</v>
      </c>
      <c r="D3" s="43">
        <v>0.125</v>
      </c>
      <c r="E3" s="43">
        <v>0.16666666666666699</v>
      </c>
      <c r="F3" s="43">
        <v>0.20833333333333301</v>
      </c>
      <c r="G3" s="43">
        <v>0.25</v>
      </c>
      <c r="H3" s="43">
        <v>0.29166666666666702</v>
      </c>
      <c r="I3" s="43">
        <v>0.33333333333333398</v>
      </c>
      <c r="J3" s="43">
        <v>0.375</v>
      </c>
      <c r="K3" s="43">
        <v>0.41666666666666702</v>
      </c>
      <c r="L3" s="43">
        <v>0.45833333333333398</v>
      </c>
      <c r="M3" s="43">
        <v>0.5</v>
      </c>
      <c r="N3" s="43">
        <v>0.54166666666666696</v>
      </c>
      <c r="O3" s="43">
        <v>0.58333333333333404</v>
      </c>
      <c r="P3" s="43">
        <v>0.625</v>
      </c>
      <c r="Q3" s="105">
        <v>0.66666666666666663</v>
      </c>
      <c r="R3" s="43">
        <v>0.70833333333333404</v>
      </c>
      <c r="S3" s="43">
        <v>0.750000000000001</v>
      </c>
      <c r="T3" s="43">
        <v>0.79166666666666696</v>
      </c>
      <c r="U3" s="43">
        <v>0.83333333333333337</v>
      </c>
      <c r="V3" s="43">
        <v>0.875000000000001</v>
      </c>
      <c r="W3" s="43">
        <v>0.91666666666666696</v>
      </c>
      <c r="X3" s="43">
        <v>0.95833333333333404</v>
      </c>
    </row>
    <row r="4" spans="1:24">
      <c r="A4">
        <v>44.01</v>
      </c>
      <c r="B4">
        <v>37.909999999999997</v>
      </c>
      <c r="C4">
        <v>37.840000000000003</v>
      </c>
      <c r="D4">
        <v>37.090000000000003</v>
      </c>
      <c r="E4">
        <v>36.24</v>
      </c>
      <c r="F4">
        <v>38.4</v>
      </c>
      <c r="G4">
        <v>40.950000000000003</v>
      </c>
      <c r="H4">
        <v>39.200000000000003</v>
      </c>
      <c r="I4">
        <v>45.07</v>
      </c>
      <c r="J4">
        <v>54.27</v>
      </c>
      <c r="K4">
        <v>59.060000000000009</v>
      </c>
      <c r="L4">
        <v>62.02</v>
      </c>
      <c r="M4">
        <v>62.51</v>
      </c>
      <c r="N4">
        <v>63.04</v>
      </c>
      <c r="O4">
        <v>64.84</v>
      </c>
      <c r="P4">
        <v>64.13000000000001</v>
      </c>
      <c r="Q4">
        <v>63.420000000000009</v>
      </c>
      <c r="R4">
        <v>59.34</v>
      </c>
      <c r="S4">
        <v>60.70000000000001</v>
      </c>
      <c r="T4">
        <v>61.29</v>
      </c>
      <c r="U4">
        <v>58.059999999999995</v>
      </c>
      <c r="V4">
        <v>55.94</v>
      </c>
      <c r="W4">
        <v>50.980000000000004</v>
      </c>
      <c r="X4">
        <v>47.1</v>
      </c>
    </row>
    <row r="5" spans="1:24">
      <c r="A5">
        <v>42.42</v>
      </c>
      <c r="B5">
        <v>39.85</v>
      </c>
      <c r="C5">
        <v>38.11</v>
      </c>
      <c r="D5">
        <v>37.01</v>
      </c>
      <c r="E5">
        <v>36.244999999999997</v>
      </c>
      <c r="F5">
        <v>35.784999999999997</v>
      </c>
      <c r="G5">
        <v>38.35</v>
      </c>
      <c r="H5">
        <v>37.64</v>
      </c>
      <c r="I5">
        <v>41.3</v>
      </c>
      <c r="J5">
        <v>50.09</v>
      </c>
      <c r="K5">
        <v>54.13</v>
      </c>
      <c r="L5">
        <v>56.32</v>
      </c>
      <c r="M5">
        <v>57.160000000000004</v>
      </c>
      <c r="N5">
        <v>58.0523076923077</v>
      </c>
      <c r="O5">
        <v>59.46</v>
      </c>
      <c r="P5">
        <v>54.019999999999996</v>
      </c>
      <c r="Q5">
        <v>54.525000000000006</v>
      </c>
      <c r="R5">
        <v>53.360000000000007</v>
      </c>
      <c r="S5">
        <v>50.570000000000007</v>
      </c>
      <c r="T5">
        <v>55.29</v>
      </c>
      <c r="U5">
        <v>55.019999999999996</v>
      </c>
      <c r="V5">
        <v>52.20000000000001</v>
      </c>
      <c r="W5">
        <v>47.660000000000004</v>
      </c>
      <c r="X5">
        <v>44.91</v>
      </c>
    </row>
    <row r="6" spans="1:24">
      <c r="A6">
        <v>41.35</v>
      </c>
      <c r="B6">
        <v>38.729999999999997</v>
      </c>
      <c r="C6">
        <v>35.729999999999997</v>
      </c>
      <c r="D6">
        <v>35.250000000000007</v>
      </c>
      <c r="E6">
        <v>34.46</v>
      </c>
      <c r="F6">
        <v>35.11999999999999</v>
      </c>
      <c r="G6">
        <v>36.659999999999997</v>
      </c>
      <c r="H6">
        <v>36.499999999999993</v>
      </c>
      <c r="I6">
        <v>39.47</v>
      </c>
      <c r="J6">
        <v>44.169999999999987</v>
      </c>
      <c r="K6">
        <v>48.040000000000006</v>
      </c>
      <c r="L6">
        <v>49.449999999999989</v>
      </c>
      <c r="M6">
        <v>48.129999999999995</v>
      </c>
      <c r="N6">
        <v>46.92</v>
      </c>
      <c r="O6">
        <v>46.300000000000011</v>
      </c>
      <c r="P6">
        <v>46.180000000000007</v>
      </c>
      <c r="Q6">
        <v>45.67</v>
      </c>
      <c r="R6">
        <v>47.620000000000005</v>
      </c>
      <c r="S6">
        <v>51.919999999999995</v>
      </c>
      <c r="T6">
        <v>53.23</v>
      </c>
      <c r="U6">
        <v>51.249999999999993</v>
      </c>
      <c r="V6">
        <v>48.169999999999995</v>
      </c>
      <c r="W6">
        <v>43.949999999999996</v>
      </c>
      <c r="X6">
        <v>40.47</v>
      </c>
    </row>
    <row r="7" spans="1:24">
      <c r="A7">
        <v>38.01</v>
      </c>
      <c r="B7">
        <v>34.72</v>
      </c>
      <c r="C7">
        <v>33.18</v>
      </c>
      <c r="D7">
        <v>32.089999999999996</v>
      </c>
      <c r="E7">
        <v>32.46</v>
      </c>
      <c r="F7">
        <v>34.58</v>
      </c>
      <c r="G7">
        <v>40.06</v>
      </c>
      <c r="H7">
        <v>37.269999999999996</v>
      </c>
      <c r="I7">
        <v>41.53</v>
      </c>
      <c r="J7">
        <v>51.72</v>
      </c>
      <c r="K7">
        <v>55.53</v>
      </c>
      <c r="L7">
        <v>58.34</v>
      </c>
      <c r="M7">
        <v>60.12</v>
      </c>
      <c r="N7">
        <v>58.330000000000005</v>
      </c>
      <c r="O7">
        <v>59.149999999999991</v>
      </c>
      <c r="P7">
        <v>57.379999999999995</v>
      </c>
      <c r="Q7">
        <v>56.889999999999993</v>
      </c>
      <c r="R7">
        <v>54.660000000000004</v>
      </c>
      <c r="S7">
        <v>56.190000000000005</v>
      </c>
      <c r="T7">
        <v>57.22</v>
      </c>
      <c r="U7">
        <v>51.41</v>
      </c>
      <c r="V7">
        <v>49.07</v>
      </c>
      <c r="W7">
        <v>43.81</v>
      </c>
      <c r="X7">
        <v>40.04</v>
      </c>
    </row>
    <row r="8" spans="1:24">
      <c r="A8">
        <v>37.200000000000003</v>
      </c>
      <c r="B8">
        <v>35.910000000000004</v>
      </c>
      <c r="C8">
        <v>33.82</v>
      </c>
      <c r="D8">
        <v>32.660000000000004</v>
      </c>
      <c r="E8">
        <v>32.449999999999996</v>
      </c>
      <c r="F8">
        <v>34.42</v>
      </c>
      <c r="G8">
        <v>39.349999999999994</v>
      </c>
      <c r="H8">
        <v>37.629999999999995</v>
      </c>
      <c r="I8">
        <v>43.76</v>
      </c>
      <c r="J8">
        <v>52.12</v>
      </c>
      <c r="K8">
        <v>57.67</v>
      </c>
      <c r="L8">
        <v>59.78</v>
      </c>
      <c r="M8">
        <v>58.11</v>
      </c>
      <c r="N8">
        <v>59.879999999999995</v>
      </c>
      <c r="O8">
        <v>59.819999999999993</v>
      </c>
      <c r="P8">
        <v>57.07</v>
      </c>
      <c r="Q8">
        <v>56.52</v>
      </c>
      <c r="R8">
        <v>53.320000000000007</v>
      </c>
      <c r="S8">
        <v>53.95</v>
      </c>
      <c r="T8">
        <v>56.870000000000005</v>
      </c>
      <c r="U8">
        <v>52.349999999999994</v>
      </c>
      <c r="V8">
        <v>49.52000000000001</v>
      </c>
      <c r="W8">
        <v>46.29</v>
      </c>
      <c r="X8">
        <v>42.01</v>
      </c>
    </row>
    <row r="9" spans="1:24">
      <c r="A9">
        <v>37.950000000000003</v>
      </c>
      <c r="B9">
        <v>35.729999999999997</v>
      </c>
      <c r="C9">
        <v>34.299999999999997</v>
      </c>
      <c r="D9">
        <v>32.959999999999994</v>
      </c>
      <c r="E9">
        <v>32.630000000000003</v>
      </c>
      <c r="F9">
        <v>35.699999999999996</v>
      </c>
      <c r="G9">
        <v>40.83</v>
      </c>
      <c r="H9">
        <v>38.33</v>
      </c>
      <c r="I9">
        <v>44.370000000000005</v>
      </c>
      <c r="J9">
        <v>55.72999999999999</v>
      </c>
      <c r="K9">
        <v>60.870000000000005</v>
      </c>
      <c r="L9">
        <v>60.133333333333326</v>
      </c>
      <c r="M9">
        <v>59.929999999999993</v>
      </c>
      <c r="N9">
        <v>61.53</v>
      </c>
      <c r="O9">
        <v>61.45</v>
      </c>
      <c r="P9">
        <v>60.769999999999996</v>
      </c>
      <c r="Q9">
        <v>59.67</v>
      </c>
      <c r="R9">
        <v>56.11</v>
      </c>
      <c r="S9">
        <v>56.38000000000001</v>
      </c>
      <c r="T9">
        <v>59.990000000000009</v>
      </c>
      <c r="U9">
        <v>56.860000000000007</v>
      </c>
      <c r="V9">
        <v>53.33</v>
      </c>
      <c r="W9">
        <v>47.889999999999993</v>
      </c>
      <c r="X9">
        <v>44.699999999999996</v>
      </c>
    </row>
    <row r="10" spans="1:24">
      <c r="A10">
        <v>40.83</v>
      </c>
      <c r="B10">
        <v>38.370000000000005</v>
      </c>
      <c r="C10">
        <v>36.75</v>
      </c>
      <c r="D10">
        <v>34.76</v>
      </c>
      <c r="E10">
        <v>34.240000000000009</v>
      </c>
      <c r="F10">
        <v>37.49</v>
      </c>
      <c r="G10">
        <v>41.57</v>
      </c>
      <c r="H10">
        <v>39.75</v>
      </c>
      <c r="I10">
        <v>44.18</v>
      </c>
      <c r="J10">
        <v>54.75</v>
      </c>
      <c r="K10">
        <v>58.970000000000006</v>
      </c>
      <c r="L10">
        <v>58.089999999999996</v>
      </c>
      <c r="M10">
        <v>59.829999999999991</v>
      </c>
      <c r="N10">
        <v>61.459999999999994</v>
      </c>
      <c r="O10">
        <v>63.819999999999986</v>
      </c>
      <c r="P10">
        <v>63.269999999999996</v>
      </c>
      <c r="Q10">
        <v>60.72</v>
      </c>
      <c r="R10">
        <v>56.539999999999992</v>
      </c>
      <c r="S10">
        <v>59.059999999999995</v>
      </c>
      <c r="T10">
        <v>59.879999999999995</v>
      </c>
      <c r="U10">
        <v>56.58</v>
      </c>
      <c r="V10">
        <v>53.83</v>
      </c>
      <c r="W10">
        <v>49.019999999999996</v>
      </c>
      <c r="X10">
        <v>45.949999999999996</v>
      </c>
    </row>
    <row r="11" spans="1:24">
      <c r="A11">
        <v>42.180000000000007</v>
      </c>
      <c r="B11">
        <v>36.959999999999994</v>
      </c>
      <c r="C11">
        <v>36.799999999999997</v>
      </c>
      <c r="D11">
        <v>35.88000000000001</v>
      </c>
      <c r="E11">
        <v>35.400000000000006</v>
      </c>
      <c r="F11">
        <v>37.339999999999996</v>
      </c>
      <c r="G11">
        <v>40.92</v>
      </c>
      <c r="H11">
        <v>39.370000000000005</v>
      </c>
      <c r="I11">
        <v>45.85</v>
      </c>
      <c r="J11">
        <v>54.08</v>
      </c>
      <c r="K11">
        <v>57.29999999999999</v>
      </c>
      <c r="L11">
        <v>59.14</v>
      </c>
      <c r="M11">
        <v>61.230000000000004</v>
      </c>
      <c r="N11">
        <v>62.53</v>
      </c>
      <c r="O11">
        <v>65.110000000000014</v>
      </c>
      <c r="P11">
        <v>64.054999999999993</v>
      </c>
      <c r="Q11">
        <v>61.64</v>
      </c>
      <c r="R11">
        <v>58</v>
      </c>
      <c r="S11">
        <v>59.544999999999995</v>
      </c>
      <c r="T11">
        <v>59.94</v>
      </c>
      <c r="U11">
        <v>57.1</v>
      </c>
      <c r="V11">
        <v>54.16</v>
      </c>
      <c r="W11">
        <v>49.49</v>
      </c>
      <c r="X11">
        <v>46.45</v>
      </c>
    </row>
    <row r="12" spans="1:24">
      <c r="A12">
        <v>42.33</v>
      </c>
      <c r="B12">
        <v>40.029999999999994</v>
      </c>
      <c r="C12">
        <v>38.179999999999993</v>
      </c>
      <c r="D12">
        <v>36.75</v>
      </c>
      <c r="E12">
        <v>36.58</v>
      </c>
      <c r="F12">
        <v>37.32</v>
      </c>
      <c r="G12">
        <v>39.57</v>
      </c>
      <c r="H12">
        <v>38.590000000000011</v>
      </c>
      <c r="I12">
        <v>42.89</v>
      </c>
      <c r="J12">
        <v>47.19</v>
      </c>
      <c r="K12">
        <v>51.209999999999994</v>
      </c>
      <c r="L12">
        <v>52.17</v>
      </c>
      <c r="M12">
        <v>53.689999999999991</v>
      </c>
      <c r="N12">
        <v>53.040000000000006</v>
      </c>
      <c r="O12">
        <v>54.5</v>
      </c>
      <c r="P12">
        <v>57.76</v>
      </c>
      <c r="Q12">
        <v>57.892307692307689</v>
      </c>
      <c r="R12">
        <v>54.389999999999993</v>
      </c>
      <c r="S12">
        <v>56.339999999999996</v>
      </c>
      <c r="T12">
        <v>57.959999999999994</v>
      </c>
      <c r="U12">
        <v>55</v>
      </c>
      <c r="V12">
        <v>53.1</v>
      </c>
      <c r="W12">
        <v>47.69</v>
      </c>
      <c r="X12">
        <v>45.96</v>
      </c>
    </row>
    <row r="13" spans="1:24">
      <c r="A13">
        <v>41.03</v>
      </c>
      <c r="B13">
        <v>36.5</v>
      </c>
      <c r="C13">
        <v>36.950000000000003</v>
      </c>
      <c r="D13">
        <v>34.659999999999997</v>
      </c>
      <c r="E13">
        <v>35.86999999999999</v>
      </c>
      <c r="F13">
        <v>35.749999999999993</v>
      </c>
      <c r="G13">
        <v>37.11</v>
      </c>
      <c r="H13">
        <v>37.28</v>
      </c>
      <c r="I13">
        <v>41.26</v>
      </c>
      <c r="J13">
        <v>47.040000000000006</v>
      </c>
      <c r="K13">
        <v>51.9</v>
      </c>
      <c r="L13">
        <v>53.040000000000006</v>
      </c>
      <c r="M13">
        <v>52.409999999999989</v>
      </c>
      <c r="N13">
        <v>53.599999999999994</v>
      </c>
      <c r="O13">
        <v>55.829999999999991</v>
      </c>
      <c r="P13">
        <v>55.21</v>
      </c>
      <c r="Q13">
        <v>53.265000000000001</v>
      </c>
      <c r="R13">
        <v>52.56</v>
      </c>
      <c r="S13">
        <v>56.62</v>
      </c>
      <c r="T13">
        <v>59.44</v>
      </c>
      <c r="U13">
        <v>54.73</v>
      </c>
      <c r="V13">
        <v>53.87</v>
      </c>
      <c r="W13">
        <v>50.1</v>
      </c>
      <c r="X13">
        <v>46.91</v>
      </c>
    </row>
    <row r="14" spans="1:24">
      <c r="A14">
        <v>42.3</v>
      </c>
      <c r="B14">
        <v>39.779999999999994</v>
      </c>
      <c r="C14">
        <v>37.729999999999997</v>
      </c>
      <c r="D14">
        <v>36.339999999999996</v>
      </c>
      <c r="E14">
        <v>36.119999999999997</v>
      </c>
      <c r="F14">
        <v>38.290000000000006</v>
      </c>
      <c r="G14">
        <v>43.7</v>
      </c>
      <c r="H14">
        <v>40.089999999999996</v>
      </c>
      <c r="I14">
        <v>46.68</v>
      </c>
      <c r="J14">
        <v>56.18</v>
      </c>
      <c r="K14">
        <v>60.24</v>
      </c>
      <c r="L14">
        <v>61.970000000000006</v>
      </c>
      <c r="M14">
        <v>60.36</v>
      </c>
      <c r="N14">
        <v>63.72999999999999</v>
      </c>
      <c r="O14">
        <v>65.290000000000006</v>
      </c>
      <c r="P14">
        <v>64.55</v>
      </c>
      <c r="Q14">
        <v>61.67</v>
      </c>
      <c r="R14">
        <v>58.55</v>
      </c>
      <c r="S14">
        <v>60.85</v>
      </c>
      <c r="T14">
        <v>61.379999999999988</v>
      </c>
      <c r="U14">
        <v>56.92</v>
      </c>
      <c r="V14">
        <v>54.88</v>
      </c>
      <c r="W14">
        <v>49.06</v>
      </c>
      <c r="X14">
        <v>45.440000000000005</v>
      </c>
    </row>
    <row r="15" spans="1:24">
      <c r="A15">
        <v>42.15</v>
      </c>
      <c r="B15">
        <v>40.42</v>
      </c>
      <c r="C15">
        <v>38.379999999999995</v>
      </c>
      <c r="D15">
        <v>36.35</v>
      </c>
      <c r="E15">
        <v>36.1</v>
      </c>
      <c r="F15">
        <v>37.92</v>
      </c>
      <c r="G15">
        <v>43.150000000000006</v>
      </c>
      <c r="H15">
        <v>40.649999999999991</v>
      </c>
      <c r="I15">
        <v>45.32</v>
      </c>
      <c r="J15">
        <v>55.489999999999995</v>
      </c>
      <c r="K15">
        <v>57.45</v>
      </c>
      <c r="L15">
        <v>57.980000000000004</v>
      </c>
      <c r="M15">
        <v>58.589999999999989</v>
      </c>
      <c r="N15">
        <v>60.889999999999993</v>
      </c>
      <c r="O15">
        <v>63.41333333333332</v>
      </c>
      <c r="P15">
        <v>63.41</v>
      </c>
      <c r="Q15">
        <v>62.100000000000009</v>
      </c>
      <c r="R15">
        <v>58.830000000000005</v>
      </c>
      <c r="S15">
        <v>57.924285714285716</v>
      </c>
      <c r="T15">
        <v>57.88</v>
      </c>
      <c r="U15">
        <v>54.204999999999998</v>
      </c>
      <c r="V15">
        <v>52.47</v>
      </c>
      <c r="W15">
        <v>47.169999999999995</v>
      </c>
      <c r="X15">
        <v>44.419999999999995</v>
      </c>
    </row>
    <row r="16" spans="1:24">
      <c r="A16">
        <v>40.090000000000003</v>
      </c>
      <c r="B16">
        <v>38.419999999999995</v>
      </c>
      <c r="C16">
        <v>36.93</v>
      </c>
      <c r="D16">
        <v>35.519999999999996</v>
      </c>
      <c r="E16">
        <v>35.660000000000004</v>
      </c>
      <c r="F16">
        <v>37.78</v>
      </c>
      <c r="G16">
        <v>41.91</v>
      </c>
      <c r="H16">
        <v>40.840000000000003</v>
      </c>
      <c r="I16">
        <v>45.919999999999995</v>
      </c>
      <c r="J16">
        <v>52.564999999999998</v>
      </c>
      <c r="K16">
        <v>57.81</v>
      </c>
      <c r="L16">
        <v>60.026666666666664</v>
      </c>
      <c r="M16">
        <v>59.206666666666663</v>
      </c>
      <c r="N16">
        <v>59.5</v>
      </c>
      <c r="O16">
        <v>60.79</v>
      </c>
      <c r="P16">
        <v>61.15</v>
      </c>
      <c r="Q16">
        <v>58.55</v>
      </c>
      <c r="R16">
        <v>55.73</v>
      </c>
      <c r="S16">
        <v>57.250000000000007</v>
      </c>
      <c r="T16">
        <v>57.85</v>
      </c>
      <c r="U16">
        <v>54.339999999999996</v>
      </c>
      <c r="V16">
        <v>51.91</v>
      </c>
      <c r="W16">
        <v>46.39</v>
      </c>
      <c r="X16">
        <v>43.1</v>
      </c>
    </row>
    <row r="20" spans="1:26">
      <c r="A20" s="170">
        <f t="shared" ref="A20:X20" si="0">AVERAGE(A5:X6,A12:X13)</f>
        <v>46.638381410256414</v>
      </c>
      <c r="B20" s="170">
        <f t="shared" si="0"/>
        <v>46.849506688963217</v>
      </c>
      <c r="C20" s="170">
        <f t="shared" si="0"/>
        <v>47.216416083916094</v>
      </c>
      <c r="D20" s="170">
        <f t="shared" si="0"/>
        <v>47.691364468864478</v>
      </c>
      <c r="E20" s="170">
        <f t="shared" si="0"/>
        <v>48.280057692307693</v>
      </c>
      <c r="F20" s="170">
        <f t="shared" si="0"/>
        <v>48.937494939271261</v>
      </c>
      <c r="G20" s="170">
        <f t="shared" si="0"/>
        <v>49.656591880341885</v>
      </c>
      <c r="H20" s="170">
        <f t="shared" si="0"/>
        <v>50.346832579185531</v>
      </c>
      <c r="I20" s="170">
        <f t="shared" si="0"/>
        <v>51.149603365384614</v>
      </c>
      <c r="J20" s="170">
        <f t="shared" si="0"/>
        <v>51.810910256410246</v>
      </c>
      <c r="K20" s="170">
        <f t="shared" si="0"/>
        <v>52.145796703296696</v>
      </c>
      <c r="L20" s="170">
        <f t="shared" si="0"/>
        <v>52.209319526627205</v>
      </c>
      <c r="M20" s="170">
        <f t="shared" si="0"/>
        <v>52.164679487179477</v>
      </c>
      <c r="N20" s="170">
        <f t="shared" si="0"/>
        <v>52.102604895104882</v>
      </c>
      <c r="O20" s="170">
        <f t="shared" si="0"/>
        <v>52.022557692307693</v>
      </c>
      <c r="P20" s="170">
        <f t="shared" si="0"/>
        <v>51.800341880341882</v>
      </c>
      <c r="Q20" s="170">
        <f t="shared" si="0"/>
        <v>51.613822115384622</v>
      </c>
      <c r="R20" s="170">
        <f t="shared" si="0"/>
        <v>51.438928571428569</v>
      </c>
      <c r="S20" s="170">
        <f t="shared" si="0"/>
        <v>51.348333333333336</v>
      </c>
      <c r="T20" s="170">
        <f t="shared" si="0"/>
        <v>50.845500000000008</v>
      </c>
      <c r="U20" s="170">
        <f t="shared" si="0"/>
        <v>49.436875000000008</v>
      </c>
      <c r="V20" s="170">
        <f t="shared" si="0"/>
        <v>47.915833333333332</v>
      </c>
      <c r="W20" s="170">
        <f t="shared" si="0"/>
        <v>45.956249999999997</v>
      </c>
      <c r="X20" s="170">
        <f t="shared" si="0"/>
        <v>44.5625</v>
      </c>
      <c r="Z20" t="s">
        <v>3597</v>
      </c>
    </row>
    <row r="21" spans="1:26">
      <c r="A21">
        <v>3.8</v>
      </c>
      <c r="B21">
        <v>3.8</v>
      </c>
      <c r="C21">
        <v>3.8</v>
      </c>
      <c r="D21">
        <v>3.8</v>
      </c>
      <c r="E21">
        <v>3.8</v>
      </c>
      <c r="F21">
        <v>3.8</v>
      </c>
      <c r="G21">
        <v>3.8</v>
      </c>
      <c r="H21">
        <v>3.8</v>
      </c>
      <c r="I21">
        <v>3.8</v>
      </c>
      <c r="J21">
        <v>3.8</v>
      </c>
      <c r="K21">
        <v>3.8</v>
      </c>
      <c r="L21">
        <v>3.8</v>
      </c>
      <c r="M21">
        <v>3.8</v>
      </c>
      <c r="N21">
        <v>3.8</v>
      </c>
      <c r="O21">
        <v>3.8</v>
      </c>
      <c r="P21">
        <v>3.8</v>
      </c>
      <c r="Q21">
        <v>3.8</v>
      </c>
      <c r="R21">
        <v>3.8</v>
      </c>
      <c r="S21">
        <v>3.8</v>
      </c>
      <c r="T21">
        <v>3.8</v>
      </c>
      <c r="U21">
        <v>3.8</v>
      </c>
      <c r="V21">
        <v>3.8</v>
      </c>
      <c r="W21">
        <v>3.8</v>
      </c>
      <c r="X21">
        <v>3.8</v>
      </c>
      <c r="Z21" t="s">
        <v>3551</v>
      </c>
    </row>
    <row r="22" spans="1:26">
      <c r="A22">
        <v>4.5</v>
      </c>
      <c r="B22">
        <v>4.5</v>
      </c>
      <c r="C22">
        <v>4.5</v>
      </c>
      <c r="D22">
        <v>4.5</v>
      </c>
      <c r="E22">
        <v>4.5</v>
      </c>
      <c r="F22">
        <v>4.5</v>
      </c>
      <c r="G22">
        <v>4.5</v>
      </c>
      <c r="H22">
        <v>4.5</v>
      </c>
      <c r="I22">
        <v>4.5</v>
      </c>
      <c r="J22">
        <v>4.5</v>
      </c>
      <c r="K22">
        <v>4.5</v>
      </c>
      <c r="L22">
        <v>4.5</v>
      </c>
      <c r="M22">
        <v>4.5</v>
      </c>
      <c r="N22">
        <v>4.5</v>
      </c>
      <c r="O22">
        <v>4.5</v>
      </c>
      <c r="P22">
        <v>4.5</v>
      </c>
      <c r="Q22">
        <v>4.5</v>
      </c>
      <c r="R22">
        <v>4.5</v>
      </c>
      <c r="S22">
        <v>4.5</v>
      </c>
      <c r="T22">
        <v>4.5</v>
      </c>
      <c r="U22">
        <v>4.5</v>
      </c>
      <c r="V22">
        <v>4.5</v>
      </c>
      <c r="W22">
        <v>4.5</v>
      </c>
      <c r="X22">
        <v>4.5</v>
      </c>
      <c r="Z22" t="s">
        <v>3598</v>
      </c>
    </row>
    <row r="23" spans="1:26">
      <c r="A23">
        <v>4.5</v>
      </c>
      <c r="B23">
        <v>4.5</v>
      </c>
      <c r="C23">
        <v>4.5</v>
      </c>
      <c r="D23">
        <v>4.5</v>
      </c>
      <c r="E23">
        <v>4.5</v>
      </c>
      <c r="F23">
        <v>4.5</v>
      </c>
      <c r="G23">
        <v>4.5</v>
      </c>
      <c r="H23">
        <v>4.5</v>
      </c>
      <c r="I23">
        <v>4.5</v>
      </c>
      <c r="J23">
        <v>4.5</v>
      </c>
      <c r="K23">
        <v>4.5</v>
      </c>
      <c r="L23">
        <v>4.5</v>
      </c>
      <c r="M23">
        <v>4.5</v>
      </c>
      <c r="N23">
        <v>4.5</v>
      </c>
      <c r="O23">
        <v>4.5</v>
      </c>
      <c r="P23">
        <v>4.5</v>
      </c>
      <c r="Q23">
        <v>4.5</v>
      </c>
      <c r="R23">
        <v>4.5</v>
      </c>
      <c r="S23">
        <v>4.5</v>
      </c>
      <c r="T23">
        <v>4.5</v>
      </c>
      <c r="U23">
        <v>4.5</v>
      </c>
      <c r="V23">
        <v>4.5</v>
      </c>
      <c r="W23">
        <v>4.5</v>
      </c>
      <c r="X23">
        <v>4.5</v>
      </c>
      <c r="Z23" t="s">
        <v>3599</v>
      </c>
    </row>
    <row r="24" spans="1:26">
      <c r="A24">
        <v>3.8</v>
      </c>
      <c r="B24">
        <v>3.8</v>
      </c>
      <c r="C24">
        <v>3.8</v>
      </c>
      <c r="D24">
        <v>3.8</v>
      </c>
      <c r="E24">
        <v>3.8</v>
      </c>
      <c r="F24">
        <v>3.8</v>
      </c>
      <c r="G24">
        <v>3.8</v>
      </c>
      <c r="H24">
        <v>3.8</v>
      </c>
      <c r="I24">
        <v>3.8</v>
      </c>
      <c r="J24">
        <v>3.8</v>
      </c>
      <c r="K24">
        <v>3.8</v>
      </c>
      <c r="L24">
        <v>3.8</v>
      </c>
      <c r="M24">
        <v>3.8</v>
      </c>
      <c r="N24">
        <v>3.8</v>
      </c>
      <c r="O24">
        <v>3.8</v>
      </c>
      <c r="P24">
        <v>3.8</v>
      </c>
      <c r="Q24">
        <v>3.8</v>
      </c>
      <c r="R24">
        <v>3.8</v>
      </c>
      <c r="S24">
        <v>3.8</v>
      </c>
      <c r="T24">
        <v>3.8</v>
      </c>
      <c r="U24">
        <v>3.8</v>
      </c>
      <c r="V24">
        <v>3.8</v>
      </c>
      <c r="W24">
        <v>3.8</v>
      </c>
      <c r="X24">
        <v>3.8</v>
      </c>
      <c r="Z24" t="s">
        <v>3552</v>
      </c>
    </row>
    <row r="25" spans="1:26">
      <c r="A25">
        <v>13.68</v>
      </c>
      <c r="B25">
        <v>14.18</v>
      </c>
      <c r="C25">
        <v>13.7</v>
      </c>
      <c r="D25">
        <v>13.67</v>
      </c>
      <c r="E25">
        <v>13.5</v>
      </c>
      <c r="F25">
        <v>14.08</v>
      </c>
      <c r="G25">
        <v>14.04</v>
      </c>
      <c r="H25">
        <v>14.07</v>
      </c>
      <c r="I25">
        <v>14.02</v>
      </c>
      <c r="J25">
        <v>14.06</v>
      </c>
      <c r="K25">
        <v>14.07</v>
      </c>
      <c r="L25">
        <v>13.97</v>
      </c>
      <c r="M25">
        <v>14.17</v>
      </c>
      <c r="N25">
        <v>14.18</v>
      </c>
      <c r="O25">
        <v>14.16</v>
      </c>
      <c r="P25">
        <v>14.13</v>
      </c>
      <c r="Q25">
        <v>14.03</v>
      </c>
      <c r="R25">
        <v>13.94</v>
      </c>
      <c r="S25">
        <v>14.02</v>
      </c>
      <c r="T25">
        <v>14.03</v>
      </c>
      <c r="U25">
        <v>14.05</v>
      </c>
      <c r="V25">
        <v>14.11</v>
      </c>
      <c r="W25">
        <v>14.21</v>
      </c>
      <c r="X25">
        <v>14</v>
      </c>
      <c r="Z25" t="s">
        <v>32</v>
      </c>
    </row>
    <row r="26" spans="1:26">
      <c r="A26">
        <v>12.65</v>
      </c>
      <c r="B26">
        <v>12.65</v>
      </c>
      <c r="C26">
        <v>12.65</v>
      </c>
      <c r="D26">
        <v>12.65</v>
      </c>
      <c r="E26">
        <v>12.65</v>
      </c>
      <c r="F26">
        <v>12.65</v>
      </c>
      <c r="G26">
        <v>12.65</v>
      </c>
      <c r="H26">
        <v>12.65</v>
      </c>
      <c r="I26">
        <v>12.65</v>
      </c>
      <c r="J26">
        <v>12.65</v>
      </c>
      <c r="K26">
        <v>12.65</v>
      </c>
      <c r="L26">
        <v>12.65</v>
      </c>
      <c r="M26">
        <v>12.65</v>
      </c>
      <c r="N26">
        <v>12.65</v>
      </c>
      <c r="O26">
        <v>12.65</v>
      </c>
      <c r="P26">
        <v>12.65</v>
      </c>
      <c r="Q26">
        <v>12.65</v>
      </c>
      <c r="R26">
        <v>12.65</v>
      </c>
      <c r="S26">
        <v>12.65</v>
      </c>
      <c r="T26">
        <v>12.65</v>
      </c>
      <c r="U26">
        <v>12.65</v>
      </c>
      <c r="V26">
        <v>12.65</v>
      </c>
      <c r="W26">
        <v>12.65</v>
      </c>
      <c r="X26">
        <v>12.65</v>
      </c>
      <c r="Z26" t="s">
        <v>33</v>
      </c>
    </row>
    <row r="27" spans="1:26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Z27" t="s">
        <v>3496</v>
      </c>
    </row>
    <row r="28" spans="1:26">
      <c r="A28" s="170">
        <f>SUM(A21:A27)</f>
        <v>42.93</v>
      </c>
      <c r="B28" s="170">
        <f t="shared" ref="B28:X28" si="1">SUM(B21:B27)</f>
        <v>43.43</v>
      </c>
      <c r="C28" s="170">
        <f t="shared" si="1"/>
        <v>42.95</v>
      </c>
      <c r="D28" s="170">
        <f t="shared" si="1"/>
        <v>42.92</v>
      </c>
      <c r="E28" s="170">
        <f t="shared" si="1"/>
        <v>42.75</v>
      </c>
      <c r="F28" s="170">
        <f t="shared" si="1"/>
        <v>43.33</v>
      </c>
      <c r="G28" s="170">
        <f t="shared" si="1"/>
        <v>43.29</v>
      </c>
      <c r="H28" s="170">
        <f t="shared" si="1"/>
        <v>43.32</v>
      </c>
      <c r="I28" s="170">
        <f t="shared" si="1"/>
        <v>43.27</v>
      </c>
      <c r="J28" s="170">
        <f t="shared" si="1"/>
        <v>43.31</v>
      </c>
      <c r="K28" s="170">
        <f t="shared" si="1"/>
        <v>43.32</v>
      </c>
      <c r="L28" s="170">
        <f t="shared" si="1"/>
        <v>43.22</v>
      </c>
      <c r="M28" s="170">
        <f t="shared" si="1"/>
        <v>43.42</v>
      </c>
      <c r="N28" s="170">
        <f t="shared" si="1"/>
        <v>43.43</v>
      </c>
      <c r="O28" s="170">
        <f t="shared" si="1"/>
        <v>43.410000000000004</v>
      </c>
      <c r="P28" s="170">
        <f t="shared" si="1"/>
        <v>43.38</v>
      </c>
      <c r="Q28" s="170">
        <f t="shared" si="1"/>
        <v>43.28</v>
      </c>
      <c r="R28" s="170">
        <f t="shared" si="1"/>
        <v>43.19</v>
      </c>
      <c r="S28" s="170">
        <f t="shared" si="1"/>
        <v>43.27</v>
      </c>
      <c r="T28" s="170">
        <f t="shared" si="1"/>
        <v>43.28</v>
      </c>
      <c r="U28" s="170">
        <f t="shared" si="1"/>
        <v>43.300000000000004</v>
      </c>
      <c r="V28" s="170">
        <f t="shared" si="1"/>
        <v>43.36</v>
      </c>
      <c r="W28" s="170">
        <f t="shared" si="1"/>
        <v>43.46</v>
      </c>
      <c r="X28" s="170">
        <f t="shared" si="1"/>
        <v>43.25</v>
      </c>
      <c r="Z28" t="s">
        <v>3600</v>
      </c>
    </row>
  </sheetData>
  <pageMargins left="0.7" right="0.7" top="0.75" bottom="0.75" header="0.3" footer="0.3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A7F2C-DD22-4342-8C68-388A1E98A7C5}">
  <sheetPr codeName="Sheet10"/>
  <dimension ref="A1:Q32"/>
  <sheetViews>
    <sheetView workbookViewId="0">
      <selection activeCell="P9" sqref="P9"/>
    </sheetView>
  </sheetViews>
  <sheetFormatPr defaultRowHeight="14.45"/>
  <cols>
    <col min="2" max="2" width="13.28515625" style="231" bestFit="1" customWidth="1"/>
    <col min="3" max="3" width="13.28515625" customWidth="1"/>
    <col min="4" max="4" width="10.7109375" bestFit="1" customWidth="1"/>
    <col min="5" max="5" width="13.28515625" style="231" bestFit="1" customWidth="1"/>
    <col min="6" max="6" width="13.5703125" bestFit="1" customWidth="1"/>
    <col min="7" max="7" width="14.85546875" bestFit="1" customWidth="1"/>
    <col min="8" max="8" width="50.28515625" customWidth="1"/>
    <col min="11" max="11" width="13.28515625" style="231" bestFit="1" customWidth="1"/>
    <col min="12" max="12" width="13.28515625" customWidth="1"/>
    <col min="13" max="13" width="10.7109375" bestFit="1" customWidth="1"/>
    <col min="14" max="14" width="13.28515625" style="231" bestFit="1" customWidth="1"/>
    <col min="15" max="15" width="13.5703125" bestFit="1" customWidth="1"/>
    <col min="16" max="16" width="14.85546875" bestFit="1" customWidth="1"/>
    <col min="17" max="17" width="81.42578125" customWidth="1"/>
  </cols>
  <sheetData>
    <row r="1" spans="1:17" ht="15" thickBot="1">
      <c r="A1" s="218" t="s">
        <v>3557</v>
      </c>
      <c r="B1" s="230" t="s">
        <v>155</v>
      </c>
      <c r="C1" s="219" t="s">
        <v>156</v>
      </c>
      <c r="D1" s="219" t="s">
        <v>3557</v>
      </c>
      <c r="E1" s="230" t="s">
        <v>157</v>
      </c>
      <c r="F1" s="220" t="s">
        <v>158</v>
      </c>
      <c r="G1" s="221" t="s">
        <v>159</v>
      </c>
      <c r="H1" s="222" t="s">
        <v>161</v>
      </c>
      <c r="J1" s="218" t="s">
        <v>3557</v>
      </c>
      <c r="K1" s="230" t="s">
        <v>155</v>
      </c>
      <c r="L1" s="219" t="s">
        <v>156</v>
      </c>
      <c r="M1" s="219" t="s">
        <v>3557</v>
      </c>
      <c r="N1" s="230" t="s">
        <v>157</v>
      </c>
      <c r="O1" s="220" t="s">
        <v>158</v>
      </c>
      <c r="P1" s="221" t="s">
        <v>159</v>
      </c>
      <c r="Q1" s="222" t="s">
        <v>161</v>
      </c>
    </row>
    <row r="2" spans="1:17">
      <c r="A2" s="323" t="s">
        <v>23</v>
      </c>
      <c r="B2" s="324">
        <v>45663</v>
      </c>
      <c r="C2" s="325" t="s">
        <v>563</v>
      </c>
      <c r="D2" s="323" t="s">
        <v>22</v>
      </c>
      <c r="E2" s="324">
        <v>45663</v>
      </c>
      <c r="F2" s="336" t="s">
        <v>663</v>
      </c>
      <c r="G2" s="337">
        <f>(E2 + TIME(LEFT(F2, 2), MID(F2, 3, 2), 0)) - (B2 + TIME(LEFT(C2, 2), MID(C2, 3, 2), 0))</f>
        <v>0.30416666666860692</v>
      </c>
      <c r="H2" s="338" t="s">
        <v>3601</v>
      </c>
      <c r="J2" s="223" t="s">
        <v>23</v>
      </c>
      <c r="K2" s="224">
        <v>45682</v>
      </c>
      <c r="L2" s="225" t="s">
        <v>3504</v>
      </c>
      <c r="M2" s="223" t="s">
        <v>23</v>
      </c>
      <c r="N2" s="224">
        <v>45682</v>
      </c>
      <c r="O2" s="225" t="s">
        <v>947</v>
      </c>
      <c r="P2" s="226">
        <f t="shared" ref="P2:P7" si="0">(N2 + TIME(LEFT(O2, 2), MID(O2, 3, 2), 0)) - (K2 + TIME(LEFT(L2, 2), MID(L2, 3, 2), 0))</f>
        <v>0.46597222222044365</v>
      </c>
      <c r="Q2" s="338"/>
    </row>
    <row r="3" spans="1:17">
      <c r="A3" s="319" t="s">
        <v>22</v>
      </c>
      <c r="B3" s="320">
        <v>45663</v>
      </c>
      <c r="C3" s="326" t="s">
        <v>1138</v>
      </c>
      <c r="D3" s="223" t="s">
        <v>22</v>
      </c>
      <c r="E3" s="320">
        <v>45663</v>
      </c>
      <c r="F3" s="334" t="s">
        <v>843</v>
      </c>
      <c r="G3" s="226">
        <f t="shared" ref="G3:G9" si="1">(E3 + TIME(LEFT(F3, 2), MID(F3, 3, 2), 0)) - (B3 + TIME(LEFT(C3, 2), MID(C3, 3, 2), 0))</f>
        <v>6.5972222226264421E-2</v>
      </c>
      <c r="H3" s="227" t="s">
        <v>3601</v>
      </c>
      <c r="J3" s="223" t="s">
        <v>23</v>
      </c>
      <c r="K3" s="224">
        <v>45683</v>
      </c>
      <c r="L3" s="329" t="s">
        <v>3602</v>
      </c>
      <c r="M3" s="223" t="s">
        <v>25</v>
      </c>
      <c r="N3" s="224">
        <v>45683</v>
      </c>
      <c r="O3" s="225" t="s">
        <v>3603</v>
      </c>
      <c r="P3" s="226">
        <f t="shared" si="0"/>
        <v>0.48263888888322981</v>
      </c>
      <c r="Q3" s="227"/>
    </row>
    <row r="4" spans="1:17">
      <c r="A4" s="327" t="s">
        <v>23</v>
      </c>
      <c r="B4" s="322">
        <v>45664</v>
      </c>
      <c r="C4" s="328" t="s">
        <v>864</v>
      </c>
      <c r="D4" s="339" t="s">
        <v>25</v>
      </c>
      <c r="E4" s="322">
        <v>45664</v>
      </c>
      <c r="F4" s="321" t="s">
        <v>3604</v>
      </c>
      <c r="G4" s="333">
        <f t="shared" si="1"/>
        <v>0.46250000000145519</v>
      </c>
      <c r="H4" s="228"/>
      <c r="J4" s="223" t="s">
        <v>23</v>
      </c>
      <c r="K4" s="224">
        <v>45684</v>
      </c>
      <c r="L4" s="329" t="s">
        <v>369</v>
      </c>
      <c r="M4" s="223" t="s">
        <v>23</v>
      </c>
      <c r="N4" s="224">
        <v>45684</v>
      </c>
      <c r="O4" s="356" t="s">
        <v>710</v>
      </c>
      <c r="P4" s="226">
        <f t="shared" si="0"/>
        <v>0.47499999999854481</v>
      </c>
      <c r="Q4" s="228"/>
    </row>
    <row r="5" spans="1:17">
      <c r="A5" s="223" t="s">
        <v>22</v>
      </c>
      <c r="B5" s="224">
        <v>45670</v>
      </c>
      <c r="C5" s="329" t="s">
        <v>3605</v>
      </c>
      <c r="D5" s="339" t="s">
        <v>22</v>
      </c>
      <c r="E5" s="335">
        <v>45670</v>
      </c>
      <c r="F5" s="321" t="s">
        <v>1103</v>
      </c>
      <c r="G5" s="333">
        <f t="shared" si="1"/>
        <v>0.25347222222626442</v>
      </c>
      <c r="H5" s="228"/>
      <c r="J5" s="223" t="s">
        <v>23</v>
      </c>
      <c r="K5" s="224">
        <v>45685</v>
      </c>
      <c r="L5" s="329" t="s">
        <v>1207</v>
      </c>
      <c r="M5" s="223" t="s">
        <v>23</v>
      </c>
      <c r="N5" s="224">
        <v>45685</v>
      </c>
      <c r="O5" s="225" t="s">
        <v>847</v>
      </c>
      <c r="P5" s="226">
        <f t="shared" si="0"/>
        <v>0.49791666666715173</v>
      </c>
      <c r="Q5" s="228"/>
    </row>
    <row r="6" spans="1:17">
      <c r="A6" s="223" t="s">
        <v>23</v>
      </c>
      <c r="B6" s="224">
        <v>45673</v>
      </c>
      <c r="C6" s="329" t="s">
        <v>256</v>
      </c>
      <c r="D6" s="223" t="s">
        <v>23</v>
      </c>
      <c r="E6" s="224">
        <v>45673</v>
      </c>
      <c r="F6" s="225" t="s">
        <v>3562</v>
      </c>
      <c r="G6" s="333">
        <f t="shared" si="1"/>
        <v>0.34305555556056788</v>
      </c>
      <c r="H6" s="228"/>
      <c r="J6" s="223" t="s">
        <v>24</v>
      </c>
      <c r="K6" s="224">
        <v>45686</v>
      </c>
      <c r="L6" s="329" t="s">
        <v>1082</v>
      </c>
      <c r="M6" s="223" t="s">
        <v>23</v>
      </c>
      <c r="N6" s="224">
        <v>45686</v>
      </c>
      <c r="O6" s="225" t="s">
        <v>1048</v>
      </c>
      <c r="P6" s="226">
        <f t="shared" si="0"/>
        <v>0.47916666667151731</v>
      </c>
      <c r="Q6" s="228"/>
    </row>
    <row r="7" spans="1:17">
      <c r="A7" s="223" t="s">
        <v>24</v>
      </c>
      <c r="B7" s="224">
        <v>45674</v>
      </c>
      <c r="C7" s="329" t="s">
        <v>557</v>
      </c>
      <c r="D7" s="223" t="s">
        <v>23</v>
      </c>
      <c r="E7" s="224">
        <v>45674</v>
      </c>
      <c r="F7" s="225" t="s">
        <v>1000</v>
      </c>
      <c r="G7" s="333">
        <f t="shared" si="1"/>
        <v>0.28611111111240461</v>
      </c>
      <c r="H7" s="228"/>
      <c r="J7" s="223" t="s">
        <v>23</v>
      </c>
      <c r="K7" s="224">
        <v>45687</v>
      </c>
      <c r="L7" s="329" t="s">
        <v>690</v>
      </c>
      <c r="M7" s="223" t="s">
        <v>23</v>
      </c>
      <c r="N7" s="224">
        <v>45688</v>
      </c>
      <c r="O7" s="225" t="s">
        <v>856</v>
      </c>
      <c r="P7" s="226">
        <f t="shared" si="0"/>
        <v>0.65416666666715173</v>
      </c>
      <c r="Q7" s="228"/>
    </row>
    <row r="8" spans="1:17">
      <c r="A8" s="223" t="s">
        <v>23</v>
      </c>
      <c r="B8" s="224">
        <v>45677</v>
      </c>
      <c r="C8" s="329" t="s">
        <v>660</v>
      </c>
      <c r="D8" s="223" t="s">
        <v>24</v>
      </c>
      <c r="E8" s="224">
        <v>45677</v>
      </c>
      <c r="F8" s="225" t="s">
        <v>978</v>
      </c>
      <c r="G8" s="333">
        <f t="shared" si="1"/>
        <v>0.46250000000145519</v>
      </c>
      <c r="H8" s="228"/>
      <c r="J8" s="223" t="s">
        <v>23</v>
      </c>
      <c r="K8" s="224">
        <v>45688</v>
      </c>
      <c r="L8" s="329" t="s">
        <v>994</v>
      </c>
      <c r="M8" s="223" t="s">
        <v>25</v>
      </c>
      <c r="N8" s="224">
        <v>45691</v>
      </c>
      <c r="O8" s="225" t="s">
        <v>3606</v>
      </c>
      <c r="P8" s="333">
        <f>(N8 + TIME(LEFT(O8, 2), MID(O8, 3, 2), 0)) - (K8 + TIME(LEFT(L8, 2), MID(L8, 3, 2), 0))</f>
        <v>2.8041666666686069</v>
      </c>
      <c r="Q8" s="228"/>
    </row>
    <row r="9" spans="1:17">
      <c r="A9" s="223" t="s">
        <v>25</v>
      </c>
      <c r="B9" s="224">
        <v>45682</v>
      </c>
      <c r="C9" s="343" t="s">
        <v>369</v>
      </c>
      <c r="D9" s="223" t="s">
        <v>23</v>
      </c>
      <c r="E9" s="224">
        <v>45682</v>
      </c>
      <c r="F9" s="225" t="s">
        <v>3504</v>
      </c>
      <c r="G9" s="226">
        <f t="shared" si="1"/>
        <v>0.10069444444525288</v>
      </c>
      <c r="H9" s="228"/>
      <c r="J9" s="223"/>
      <c r="K9" s="224"/>
      <c r="L9" s="343"/>
      <c r="M9" s="223"/>
      <c r="N9" s="224"/>
      <c r="O9" s="225"/>
      <c r="P9" s="226"/>
      <c r="Q9" s="228"/>
    </row>
    <row r="10" spans="1:17">
      <c r="A10" s="223"/>
      <c r="B10" s="224"/>
      <c r="C10" s="343"/>
      <c r="D10" s="223"/>
      <c r="E10" s="224"/>
      <c r="F10" s="225"/>
      <c r="G10" s="226"/>
      <c r="H10" s="228"/>
      <c r="J10" s="223"/>
      <c r="K10" s="224"/>
      <c r="L10" s="343"/>
      <c r="M10" s="223"/>
      <c r="N10" s="224"/>
      <c r="O10" s="225"/>
      <c r="P10" s="226"/>
      <c r="Q10" s="228"/>
    </row>
    <row r="11" spans="1:17">
      <c r="B11" s="223"/>
      <c r="C11" s="224"/>
      <c r="D11" s="329"/>
      <c r="E11" s="223"/>
      <c r="F11" s="224"/>
      <c r="G11" s="225"/>
      <c r="H11" s="226"/>
      <c r="I11" s="228"/>
      <c r="K11"/>
      <c r="N11"/>
    </row>
    <row r="12" spans="1:17">
      <c r="B12" s="223"/>
      <c r="C12" s="224"/>
      <c r="D12" s="329"/>
      <c r="E12" s="223"/>
      <c r="F12" s="224"/>
      <c r="G12" s="356"/>
      <c r="H12" s="226"/>
      <c r="I12" s="228"/>
      <c r="K12"/>
      <c r="N12"/>
    </row>
    <row r="13" spans="1:17">
      <c r="B13" s="223"/>
      <c r="C13" s="224"/>
      <c r="D13" s="329"/>
      <c r="E13" s="223"/>
      <c r="F13" s="224"/>
      <c r="G13" s="225"/>
      <c r="H13" s="226"/>
      <c r="I13" s="228"/>
      <c r="K13"/>
      <c r="N13"/>
    </row>
    <row r="14" spans="1:17">
      <c r="B14" s="223"/>
      <c r="C14" s="224"/>
      <c r="D14" s="329"/>
      <c r="E14" s="223"/>
      <c r="F14" s="224"/>
      <c r="G14" s="225"/>
      <c r="H14" s="226"/>
      <c r="I14" s="228"/>
      <c r="K14"/>
      <c r="N14"/>
    </row>
    <row r="15" spans="1:17">
      <c r="B15" s="223"/>
      <c r="C15" s="224"/>
      <c r="D15" s="329"/>
      <c r="E15" s="223"/>
      <c r="F15" s="224"/>
      <c r="G15" s="225"/>
      <c r="H15" s="226"/>
      <c r="I15" s="228"/>
      <c r="K15"/>
      <c r="N15"/>
    </row>
    <row r="16" spans="1:17" ht="15" thickBot="1">
      <c r="B16" s="330"/>
      <c r="C16" s="331"/>
      <c r="D16" s="332"/>
      <c r="E16" s="330"/>
      <c r="F16" s="331"/>
      <c r="G16" s="340"/>
      <c r="H16" s="341"/>
      <c r="I16" s="342"/>
      <c r="K16"/>
      <c r="N16"/>
    </row>
    <row r="17" spans="2:17">
      <c r="G17" s="229">
        <f>SUM(G1:G10)</f>
        <v>2.2784722222422715</v>
      </c>
      <c r="P17" s="229">
        <f>SUM(P1:P16)</f>
        <v>5.859027777776646</v>
      </c>
    </row>
    <row r="18" spans="2:17" ht="28.9">
      <c r="F18" s="232" t="s">
        <v>3571</v>
      </c>
      <c r="G18" s="229">
        <f>H18-G17</f>
        <v>0.22152777775772847</v>
      </c>
      <c r="H18" s="229">
        <v>2.5</v>
      </c>
      <c r="O18" s="232" t="s">
        <v>3571</v>
      </c>
      <c r="P18" s="229">
        <f>Q18-P17</f>
        <v>-3.359027777776646</v>
      </c>
      <c r="Q18" s="229">
        <v>2.5</v>
      </c>
    </row>
    <row r="19" spans="2:17" ht="28.9">
      <c r="E19"/>
      <c r="F19" s="232" t="s">
        <v>3607</v>
      </c>
      <c r="G19" s="229">
        <f>G18/3</f>
        <v>7.3842592585909486E-2</v>
      </c>
      <c r="N19"/>
      <c r="O19" s="232" t="s">
        <v>3607</v>
      </c>
      <c r="P19" s="229">
        <f>P18/3</f>
        <v>-1.1196759259255487</v>
      </c>
    </row>
    <row r="20" spans="2:17">
      <c r="D20" s="233"/>
      <c r="F20" s="232"/>
      <c r="M20" s="233"/>
      <c r="O20" s="232"/>
    </row>
    <row r="24" spans="2:17">
      <c r="B24" s="84">
        <v>45664</v>
      </c>
      <c r="K24" s="84">
        <v>45664</v>
      </c>
    </row>
    <row r="31" spans="2:17">
      <c r="H31">
        <f>6.5+7.2+6</f>
        <v>19.7</v>
      </c>
      <c r="Q31">
        <f>6.5+7.2+6</f>
        <v>19.7</v>
      </c>
    </row>
    <row r="32" spans="2:17">
      <c r="H32">
        <f>6.7*3</f>
        <v>20.100000000000001</v>
      </c>
      <c r="Q32">
        <f>6.7*3</f>
        <v>20.100000000000001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38695-7282-44B2-BFAE-1F538126923D}">
  <sheetPr codeName="Sheet14"/>
  <dimension ref="A1:AK67"/>
  <sheetViews>
    <sheetView zoomScale="80" zoomScaleNormal="80" workbookViewId="0">
      <selection activeCell="Z31" sqref="Z31"/>
    </sheetView>
  </sheetViews>
  <sheetFormatPr defaultRowHeight="14.45"/>
  <cols>
    <col min="1" max="1" width="3" bestFit="1" customWidth="1"/>
    <col min="2" max="2" width="1.140625" customWidth="1"/>
    <col min="3" max="3" width="23.7109375" bestFit="1" customWidth="1"/>
    <col min="4" max="4" width="12.42578125" style="79" customWidth="1"/>
    <col min="5" max="5" width="15.28515625" customWidth="1"/>
    <col min="6" max="6" width="14" style="79" customWidth="1"/>
    <col min="7" max="7" width="10.28515625" style="79" customWidth="1"/>
    <col min="8" max="8" width="8.28515625" style="79" customWidth="1"/>
    <col min="9" max="9" width="12.140625" style="79" customWidth="1"/>
    <col min="10" max="15" width="11.42578125" style="79" customWidth="1"/>
    <col min="16" max="16" width="11.7109375" style="79" bestFit="1" customWidth="1"/>
    <col min="17" max="17" width="8.7109375" style="79" bestFit="1" customWidth="1"/>
    <col min="18" max="18" width="12.28515625" style="79" customWidth="1"/>
    <col min="19" max="19" width="8.85546875" style="79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1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>
      <c r="B2" s="130"/>
      <c r="C2" s="130"/>
      <c r="D2" s="131"/>
      <c r="E2" s="130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0"/>
      <c r="U2" s="130"/>
      <c r="V2" s="130"/>
      <c r="W2" s="130"/>
      <c r="X2" s="130"/>
      <c r="Y2" s="130"/>
      <c r="Z2" s="130"/>
      <c r="AA2" s="130"/>
      <c r="AB2" s="130"/>
      <c r="AC2" s="130"/>
      <c r="AD2" s="130"/>
      <c r="AE2" s="130"/>
      <c r="AF2" s="130"/>
      <c r="AG2" s="130"/>
      <c r="AH2" s="130"/>
      <c r="AI2" s="130"/>
    </row>
    <row r="3" spans="1:37" ht="15" customHeight="1">
      <c r="B3" s="130"/>
      <c r="C3" s="578" t="s">
        <v>3507</v>
      </c>
      <c r="D3" s="578" t="s">
        <v>3508</v>
      </c>
      <c r="E3" s="577" t="s">
        <v>3509</v>
      </c>
      <c r="F3" s="612" t="s">
        <v>3510</v>
      </c>
      <c r="G3" s="612" t="s">
        <v>3511</v>
      </c>
      <c r="H3" s="612" t="s">
        <v>3512</v>
      </c>
      <c r="I3" s="589" t="s">
        <v>3513</v>
      </c>
      <c r="J3" s="589" t="s">
        <v>3514</v>
      </c>
      <c r="K3" s="592"/>
      <c r="L3" s="589" t="s">
        <v>3515</v>
      </c>
      <c r="M3" s="592"/>
      <c r="N3" s="578" t="s">
        <v>3589</v>
      </c>
      <c r="O3" s="578"/>
      <c r="P3" s="595" t="s">
        <v>3518</v>
      </c>
      <c r="Q3" s="596"/>
      <c r="R3" s="601" t="s">
        <v>3519</v>
      </c>
      <c r="S3" s="596"/>
      <c r="T3" s="604" t="s">
        <v>3520</v>
      </c>
      <c r="U3" s="607" t="s">
        <v>3521</v>
      </c>
      <c r="V3" s="610" t="s">
        <v>3522</v>
      </c>
      <c r="W3" s="607" t="s">
        <v>3523</v>
      </c>
      <c r="X3" s="604" t="s">
        <v>3524</v>
      </c>
      <c r="Y3" s="577" t="s">
        <v>3525</v>
      </c>
      <c r="Z3" s="577" t="s">
        <v>3526</v>
      </c>
      <c r="AA3" s="577" t="s">
        <v>3527</v>
      </c>
      <c r="AB3" s="130"/>
      <c r="AC3" s="130"/>
      <c r="AD3" s="130"/>
      <c r="AE3" s="155"/>
      <c r="AF3" s="579" t="s">
        <v>105</v>
      </c>
      <c r="AG3" s="581">
        <f ca="1">TODAY()</f>
        <v>45977</v>
      </c>
      <c r="AH3" s="582"/>
      <c r="AI3" s="130"/>
    </row>
    <row r="4" spans="1:37" ht="15" customHeight="1">
      <c r="B4" s="130"/>
      <c r="C4" s="578"/>
      <c r="D4" s="578"/>
      <c r="E4" s="578"/>
      <c r="F4" s="605"/>
      <c r="G4" s="605"/>
      <c r="H4" s="605"/>
      <c r="I4" s="590"/>
      <c r="J4" s="590"/>
      <c r="K4" s="593"/>
      <c r="L4" s="590"/>
      <c r="M4" s="593"/>
      <c r="N4" s="578"/>
      <c r="O4" s="578"/>
      <c r="P4" s="597"/>
      <c r="Q4" s="598"/>
      <c r="R4" s="602"/>
      <c r="S4" s="598"/>
      <c r="T4" s="605"/>
      <c r="U4" s="608"/>
      <c r="V4" s="611"/>
      <c r="W4" s="608"/>
      <c r="X4" s="605"/>
      <c r="Y4" s="578"/>
      <c r="Z4" s="578"/>
      <c r="AA4" s="578"/>
      <c r="AB4" s="130"/>
      <c r="AC4" s="130"/>
      <c r="AD4" s="130"/>
      <c r="AE4" s="164" t="s">
        <v>3528</v>
      </c>
      <c r="AF4" s="580"/>
      <c r="AG4" s="583"/>
      <c r="AH4" s="584"/>
      <c r="AI4" s="130"/>
    </row>
    <row r="5" spans="1:37" ht="15" customHeight="1">
      <c r="B5" s="130"/>
      <c r="C5" s="578"/>
      <c r="D5" s="578"/>
      <c r="E5" s="578"/>
      <c r="F5" s="605"/>
      <c r="G5" s="605"/>
      <c r="H5" s="605"/>
      <c r="I5" s="590"/>
      <c r="J5" s="591"/>
      <c r="K5" s="594"/>
      <c r="L5" s="591"/>
      <c r="M5" s="594"/>
      <c r="N5" s="578"/>
      <c r="O5" s="578"/>
      <c r="P5" s="599"/>
      <c r="Q5" s="600"/>
      <c r="R5" s="603"/>
      <c r="S5" s="600"/>
      <c r="T5" s="605"/>
      <c r="U5" s="608"/>
      <c r="V5" s="611"/>
      <c r="W5" s="608"/>
      <c r="X5" s="605"/>
      <c r="Y5" s="578"/>
      <c r="Z5" s="578"/>
      <c r="AA5" s="578"/>
      <c r="AB5" s="130"/>
      <c r="AC5" s="130"/>
      <c r="AD5" s="130"/>
      <c r="AE5" s="155"/>
      <c r="AF5" s="579" t="s">
        <v>3529</v>
      </c>
      <c r="AG5" s="585" t="str">
        <f ca="1">IF(_xlfn.NUMBERVALUE(TEXT(NOW(), "H")) &lt; 12,"0000h","1200h")</f>
        <v>0000h</v>
      </c>
      <c r="AH5" s="586"/>
      <c r="AI5" s="130"/>
      <c r="AJ5" s="75"/>
    </row>
    <row r="6" spans="1:37">
      <c r="B6" s="130"/>
      <c r="C6" s="578"/>
      <c r="D6" s="578"/>
      <c r="E6" s="578"/>
      <c r="F6" s="606"/>
      <c r="G6" s="606"/>
      <c r="H6" s="606"/>
      <c r="I6" s="591"/>
      <c r="J6" s="153" t="s">
        <v>3530</v>
      </c>
      <c r="K6" s="153" t="s">
        <v>3531</v>
      </c>
      <c r="L6" s="153" t="s">
        <v>3530</v>
      </c>
      <c r="M6" s="153" t="s">
        <v>3531</v>
      </c>
      <c r="N6" s="153" t="s">
        <v>3530</v>
      </c>
      <c r="O6" s="153" t="s">
        <v>3531</v>
      </c>
      <c r="P6" s="174" t="s">
        <v>3530</v>
      </c>
      <c r="Q6" s="153" t="s">
        <v>3531</v>
      </c>
      <c r="R6" s="153" t="s">
        <v>3530</v>
      </c>
      <c r="S6" s="153" t="s">
        <v>3531</v>
      </c>
      <c r="T6" s="606"/>
      <c r="U6" s="609"/>
      <c r="V6" s="611"/>
      <c r="W6" s="609"/>
      <c r="X6" s="606"/>
      <c r="Y6" s="578"/>
      <c r="Z6" s="578"/>
      <c r="AA6" s="578"/>
      <c r="AB6" s="130"/>
      <c r="AC6" s="130"/>
      <c r="AD6" s="130"/>
      <c r="AE6" s="130"/>
      <c r="AF6" s="580"/>
      <c r="AG6" s="587"/>
      <c r="AH6" s="588"/>
      <c r="AI6" s="130"/>
      <c r="AK6" s="171"/>
    </row>
    <row r="7" spans="1:37" ht="8.1" customHeight="1">
      <c r="A7" s="118"/>
      <c r="B7" s="132"/>
      <c r="C7" s="132"/>
      <c r="D7" s="132"/>
      <c r="E7" s="132"/>
      <c r="F7" s="132"/>
      <c r="G7" s="132"/>
      <c r="H7" s="132"/>
      <c r="I7" s="132"/>
      <c r="J7" s="132"/>
      <c r="K7" s="132"/>
      <c r="L7" s="132"/>
      <c r="M7" s="132"/>
      <c r="N7" s="132"/>
      <c r="O7" s="132"/>
      <c r="P7" s="132"/>
      <c r="Q7" s="132"/>
      <c r="R7" s="132"/>
      <c r="S7" s="132"/>
      <c r="T7" s="132"/>
      <c r="U7" s="132"/>
      <c r="V7" s="132"/>
      <c r="W7" s="132"/>
      <c r="X7" s="132"/>
      <c r="Y7" s="132"/>
      <c r="Z7" s="132"/>
      <c r="AA7" s="132"/>
      <c r="AB7" s="130"/>
      <c r="AC7" s="130"/>
      <c r="AD7" s="130"/>
      <c r="AE7" s="130"/>
      <c r="AF7" s="130"/>
      <c r="AG7" s="130"/>
      <c r="AH7" s="130"/>
      <c r="AI7" s="130"/>
    </row>
    <row r="8" spans="1:37" ht="15" thickBot="1">
      <c r="A8" s="119"/>
      <c r="B8" s="132"/>
      <c r="C8" s="133"/>
      <c r="D8" s="134"/>
      <c r="E8" s="134"/>
      <c r="F8" s="134"/>
      <c r="G8" s="134"/>
      <c r="H8" s="134"/>
      <c r="I8" s="134"/>
      <c r="J8" s="134"/>
      <c r="K8" s="134"/>
      <c r="L8" s="134"/>
      <c r="M8" s="134"/>
      <c r="N8" s="134"/>
      <c r="O8" s="134"/>
      <c r="P8" s="134"/>
      <c r="Q8" s="134"/>
      <c r="R8" s="134"/>
      <c r="S8" s="134"/>
      <c r="T8" s="134"/>
      <c r="U8" s="134"/>
      <c r="V8" s="134"/>
      <c r="W8" s="134"/>
      <c r="X8" s="134"/>
      <c r="Y8" s="134"/>
      <c r="Z8" s="134"/>
      <c r="AA8" s="135"/>
      <c r="AB8" s="130"/>
      <c r="AC8" s="126"/>
      <c r="AD8" s="127"/>
      <c r="AE8" s="127"/>
      <c r="AF8" s="127"/>
      <c r="AG8" s="127"/>
      <c r="AH8" s="128"/>
      <c r="AI8" s="130"/>
    </row>
    <row r="9" spans="1:37" ht="19.899999999999999" customHeight="1">
      <c r="A9" s="119"/>
      <c r="B9" s="130"/>
      <c r="C9" s="149" t="s">
        <v>3532</v>
      </c>
      <c r="D9" s="183">
        <f>11896</f>
        <v>11896</v>
      </c>
      <c r="E9" s="406">
        <f>D9*11+(20*24*24)</f>
        <v>142376</v>
      </c>
      <c r="F9" s="146">
        <v>45713</v>
      </c>
      <c r="G9" s="147" t="s">
        <v>3504</v>
      </c>
      <c r="H9" s="184">
        <f ca="1" xml:space="preserve"> NOW() - (F9 + TIME(LEFT($G$9, 2), MID($G$9, 3, 2), 0))</f>
        <v>263.50046064814524</v>
      </c>
      <c r="I9" s="185">
        <f ca="1">((DATE(YEAR(F9),MONTH(F9)+1,25)) + TIME(LEFT("1200H", 2), MID("1200H", 3, 2), 0)) - ($AG$3 + TIME(LEFT(NOW(), 2), MID(NOW(), 3, 2), 0))</f>
        <v>-236.4423611111124</v>
      </c>
      <c r="J9" s="191">
        <v>1066.04</v>
      </c>
      <c r="K9" s="191">
        <v>49.67</v>
      </c>
      <c r="L9" s="191">
        <v>1108.67</v>
      </c>
      <c r="M9" s="191">
        <v>6.2</v>
      </c>
      <c r="N9" s="180"/>
      <c r="O9" s="180"/>
      <c r="P9" s="192">
        <f>INDEX(BILLING!$D:$D,MATCH($F9&amp;" "&amp;$G9,BILLING!$C:$C,0))</f>
        <v>1567.26</v>
      </c>
      <c r="Q9" s="192">
        <f>INDEX(BILLING!$E:$E,MATCH($F9&amp;" "&amp;$G9,BILLING!$C:$C,0))</f>
        <v>49.67</v>
      </c>
      <c r="R9" s="192">
        <f>INDEX(BILLING!$F:$F,MATCH($F9&amp;" "&amp;$G9,BILLING!$C:$C,0))</f>
        <v>1108.67</v>
      </c>
      <c r="S9" s="192">
        <f>INDEX(BILLING!$G:$G,MATCH($F9&amp;" "&amp;$G9,BILLING!$C:$C,0))</f>
        <v>6.2</v>
      </c>
      <c r="T9" s="186">
        <f>D9/30/24</f>
        <v>16.522222222222222</v>
      </c>
      <c r="U9" s="187" cm="1">
        <f t="array" aca="1" ref="U9" ca="1">INDIRECT(TEXT(DAY(TODAY()),"0")&amp;"!AI12")</f>
        <v>441.40000000000003</v>
      </c>
      <c r="V9" s="183" t="e">
        <f ca="1">AA9+U9</f>
        <v>#N/A</v>
      </c>
      <c r="W9" s="188" t="e">
        <f ca="1">V9/H9/24</f>
        <v>#N/A</v>
      </c>
      <c r="X9" s="189" t="e">
        <f ca="1">AA9/H9/24</f>
        <v>#N/A</v>
      </c>
      <c r="Y9" s="191"/>
      <c r="Z9" s="376" t="e">
        <f ca="1">(((((INDEX(BILLING!$D:$D,MATCH($AG$3&amp;" "&amp;$AG$5,BILLING!$C:$C,0))-J9)*$D$53)-
((INDEX(BILLING!$E:$E,MATCH($AG$3&amp;" "&amp;$AG$5,BILLING!$C:$C,0))-K9)*$D$53)))+
((((INDEX(BILLING!$F:$F,MATCH($AG$3&amp;" "&amp;$AG$5,BILLING!$C:$C,0))-L9)*$D$52)-
((INDEX(BILLING!$G:$G,MATCH($AG$3&amp;" "&amp;$AG$5,BILLING!$C:$C,0))-M9)*$D$52))))/1000</f>
        <v>#N/A</v>
      </c>
      <c r="AA9" s="407" t="e">
        <f ca="1">(((((INDEX(BILLING!$D:$D,MATCH($AG$3&amp;" "&amp;$AG$5,BILLING!$C:$C,0))-P9)*$D$53)-
((INDEX(BILLING!$E:$E,MATCH($AG$3&amp;" "&amp;$AG$5,BILLING!$C:$C,0))-Q9)*$D$53)))+
((((INDEX(BILLING!$F:$F,MATCH($AG$3&amp;" "&amp;$AG$5,BILLING!$C:$C,0))-R9)*$D$52)-
((INDEX(BILLING!$G:$G,MATCH($AG$3&amp;" "&amp;$AG$5,BILLING!$C:$C,0))-S9)*$D$52))))/1000</f>
        <v>#N/A</v>
      </c>
      <c r="AB9" s="130"/>
      <c r="AC9" s="129" t="s">
        <v>3533</v>
      </c>
      <c r="AD9" s="571" t="e">
        <f ca="1">$Z$9/$E$9</f>
        <v>#N/A</v>
      </c>
      <c r="AE9" s="572"/>
      <c r="AF9" s="572"/>
      <c r="AG9" s="573"/>
      <c r="AH9" s="122"/>
      <c r="AI9" s="130"/>
    </row>
    <row r="10" spans="1:37" ht="15" thickBot="1">
      <c r="B10" s="130"/>
      <c r="C10" s="129"/>
      <c r="D10" s="136"/>
      <c r="E10" s="136"/>
      <c r="F10" s="136"/>
      <c r="G10" s="136"/>
      <c r="H10" s="136"/>
      <c r="I10" s="200"/>
      <c r="J10" s="200"/>
      <c r="K10" s="200"/>
      <c r="L10" s="200"/>
      <c r="M10" s="200"/>
      <c r="N10" s="200"/>
      <c r="O10" s="200"/>
      <c r="P10" s="183"/>
      <c r="Q10" s="183"/>
      <c r="R10" s="183"/>
      <c r="S10" s="183"/>
      <c r="T10" s="190"/>
      <c r="U10" s="136"/>
      <c r="V10" s="401"/>
      <c r="W10" s="136"/>
      <c r="X10" s="190"/>
      <c r="Y10" s="136"/>
      <c r="Z10" s="387"/>
      <c r="AA10" s="381"/>
      <c r="AB10" s="130"/>
      <c r="AC10" s="129"/>
      <c r="AD10" s="574"/>
      <c r="AE10" s="575"/>
      <c r="AF10" s="575"/>
      <c r="AG10" s="576"/>
      <c r="AH10" s="122"/>
      <c r="AI10" s="130"/>
    </row>
    <row r="11" spans="1:37" ht="8.1" customHeight="1" thickBot="1">
      <c r="B11" s="130"/>
      <c r="C11" s="129"/>
      <c r="D11" s="136"/>
      <c r="E11" s="136"/>
      <c r="F11" s="136"/>
      <c r="G11" s="136"/>
      <c r="H11" s="136"/>
      <c r="I11" s="200"/>
      <c r="J11" s="200"/>
      <c r="K11" s="200"/>
      <c r="L11" s="200"/>
      <c r="M11" s="200"/>
      <c r="N11" s="200"/>
      <c r="O11" s="200"/>
      <c r="P11" s="183"/>
      <c r="Q11" s="183"/>
      <c r="R11" s="183"/>
      <c r="S11" s="183"/>
      <c r="T11" s="190"/>
      <c r="U11" s="136"/>
      <c r="V11" s="401"/>
      <c r="W11" s="136"/>
      <c r="X11" s="190"/>
      <c r="Y11" s="136"/>
      <c r="Z11" s="387"/>
      <c r="AA11" s="381"/>
      <c r="AB11" s="130"/>
      <c r="AC11" s="129"/>
      <c r="AD11" s="121"/>
      <c r="AE11" s="121"/>
      <c r="AF11" s="121"/>
      <c r="AG11" s="121"/>
      <c r="AH11" s="122"/>
      <c r="AI11" s="130"/>
    </row>
    <row r="12" spans="1:37">
      <c r="B12" s="130"/>
      <c r="C12" s="129"/>
      <c r="D12" s="136"/>
      <c r="E12" s="136"/>
      <c r="F12" s="136"/>
      <c r="G12" s="136"/>
      <c r="H12" s="136"/>
      <c r="I12" s="136"/>
      <c r="J12" s="136"/>
      <c r="K12" s="136"/>
      <c r="L12" s="136"/>
      <c r="M12" s="136"/>
      <c r="N12" s="136"/>
      <c r="O12" s="136"/>
      <c r="P12" s="136"/>
      <c r="Q12" s="136"/>
      <c r="R12" s="183"/>
      <c r="S12" s="183"/>
      <c r="T12" s="190"/>
      <c r="U12" s="187"/>
      <c r="V12" s="183"/>
      <c r="W12" s="187"/>
      <c r="X12" s="190"/>
      <c r="Y12" s="181"/>
      <c r="Z12" s="182"/>
      <c r="AA12" s="381"/>
      <c r="AB12" s="130"/>
      <c r="AC12" s="129" t="s">
        <v>3534</v>
      </c>
      <c r="AD12" s="571" t="e">
        <f ca="1">$AA$9/$D$9</f>
        <v>#N/A</v>
      </c>
      <c r="AE12" s="572"/>
      <c r="AF12" s="572"/>
      <c r="AG12" s="573"/>
      <c r="AH12" s="122"/>
      <c r="AI12" s="130"/>
    </row>
    <row r="13" spans="1:37" ht="15" thickBot="1">
      <c r="B13" s="130"/>
      <c r="C13" s="129"/>
      <c r="D13" s="136"/>
      <c r="E13" s="136"/>
      <c r="F13" s="136"/>
      <c r="G13" s="136"/>
      <c r="H13" s="136"/>
      <c r="I13" s="194"/>
      <c r="J13" s="194"/>
      <c r="K13" s="194"/>
      <c r="L13" s="194"/>
      <c r="M13" s="194"/>
      <c r="N13" s="194"/>
      <c r="O13" s="194"/>
      <c r="P13" s="183"/>
      <c r="Q13" s="183"/>
      <c r="R13" s="183"/>
      <c r="S13" s="183"/>
      <c r="T13" s="190"/>
      <c r="U13" s="136"/>
      <c r="V13" s="401"/>
      <c r="W13" s="136"/>
      <c r="X13" s="190"/>
      <c r="Y13" s="136"/>
      <c r="Z13" s="387"/>
      <c r="AA13" s="381"/>
      <c r="AB13" s="130"/>
      <c r="AC13" s="120"/>
      <c r="AD13" s="574"/>
      <c r="AE13" s="575"/>
      <c r="AF13" s="575"/>
      <c r="AG13" s="576"/>
      <c r="AH13" s="122"/>
      <c r="AI13" s="130"/>
    </row>
    <row r="14" spans="1:37">
      <c r="B14" s="130"/>
      <c r="C14" s="138"/>
      <c r="D14" s="139"/>
      <c r="E14" s="139"/>
      <c r="F14" s="139"/>
      <c r="G14" s="139"/>
      <c r="H14" s="139"/>
      <c r="I14" s="139"/>
      <c r="J14" s="139"/>
      <c r="K14" s="139"/>
      <c r="L14" s="139"/>
      <c r="M14" s="139"/>
      <c r="N14" s="139"/>
      <c r="O14" s="139"/>
      <c r="P14" s="165"/>
      <c r="Q14" s="165"/>
      <c r="R14" s="165"/>
      <c r="S14" s="165"/>
      <c r="T14" s="160"/>
      <c r="U14" s="139"/>
      <c r="V14" s="402"/>
      <c r="W14" s="139"/>
      <c r="X14" s="160"/>
      <c r="Y14" s="139"/>
      <c r="Z14" s="388"/>
      <c r="AA14" s="382"/>
      <c r="AB14" s="130"/>
      <c r="AC14" s="123"/>
      <c r="AD14" s="124"/>
      <c r="AE14" s="124"/>
      <c r="AF14" s="124"/>
      <c r="AG14" s="124"/>
      <c r="AH14" s="125"/>
      <c r="AI14" s="130"/>
    </row>
    <row r="15" spans="1:37" ht="8.1" customHeight="1">
      <c r="B15" s="130"/>
      <c r="C15" s="131"/>
      <c r="D15" s="131"/>
      <c r="E15" s="131"/>
      <c r="F15" s="131"/>
      <c r="G15" s="131"/>
      <c r="H15" s="131"/>
      <c r="I15" s="131"/>
      <c r="J15" s="131"/>
      <c r="K15" s="131"/>
      <c r="L15" s="131"/>
      <c r="M15" s="131"/>
      <c r="N15" s="131"/>
      <c r="O15" s="131"/>
      <c r="P15" s="166"/>
      <c r="Q15" s="166"/>
      <c r="R15" s="166"/>
      <c r="S15" s="166"/>
      <c r="T15" s="161"/>
      <c r="U15" s="131"/>
      <c r="V15" s="403"/>
      <c r="W15" s="131"/>
      <c r="X15" s="161"/>
      <c r="Y15" s="131"/>
      <c r="Z15" s="383"/>
      <c r="AA15" s="383"/>
      <c r="AB15" s="130"/>
      <c r="AC15" s="130"/>
      <c r="AD15" s="130"/>
      <c r="AE15" s="130"/>
      <c r="AF15" s="130"/>
      <c r="AG15" s="130"/>
      <c r="AH15" s="130"/>
      <c r="AI15" s="130"/>
    </row>
    <row r="16" spans="1:37" ht="15" thickBot="1">
      <c r="B16" s="130"/>
      <c r="C16" s="133"/>
      <c r="D16" s="141"/>
      <c r="E16" s="141"/>
      <c r="F16" s="141"/>
      <c r="G16" s="141"/>
      <c r="H16" s="141"/>
      <c r="I16" s="141"/>
      <c r="J16" s="141"/>
      <c r="K16" s="141"/>
      <c r="L16" s="141"/>
      <c r="M16" s="141"/>
      <c r="N16" s="141"/>
      <c r="O16" s="141"/>
      <c r="P16" s="167"/>
      <c r="Q16" s="167"/>
      <c r="R16" s="167"/>
      <c r="S16" s="167"/>
      <c r="T16" s="162"/>
      <c r="U16" s="141"/>
      <c r="V16" s="404"/>
      <c r="W16" s="141"/>
      <c r="X16" s="162"/>
      <c r="Y16" s="197"/>
      <c r="Z16" s="389"/>
      <c r="AA16" s="384"/>
      <c r="AB16" s="130"/>
      <c r="AC16" s="126"/>
      <c r="AD16" s="127"/>
      <c r="AE16" s="127"/>
      <c r="AF16" s="127"/>
      <c r="AG16" s="127"/>
      <c r="AH16" s="128"/>
      <c r="AI16" s="130"/>
    </row>
    <row r="17" spans="2:37" ht="19.899999999999999" customHeight="1">
      <c r="B17" s="130"/>
      <c r="C17" s="149" t="s">
        <v>3536</v>
      </c>
      <c r="D17" s="410">
        <f>56696/365*30</f>
        <v>4659.9452054794519</v>
      </c>
      <c r="E17" s="410">
        <f>56696</f>
        <v>56696</v>
      </c>
      <c r="F17" s="146">
        <v>45713</v>
      </c>
      <c r="G17" s="147" t="s">
        <v>3504</v>
      </c>
      <c r="H17" s="184">
        <f ca="1" xml:space="preserve"> NOW() - (F17 + TIME(LEFT($G$17, 2), MID($G$17, 3, 2), 0))</f>
        <v>263.50046064814524</v>
      </c>
      <c r="I17" s="185">
        <f ca="1">((DATE(YEAR(F17),MONTH(F17)+1,25)) + TIME(LEFT("1200H", 2), MID("1200H", 3, 2), 0)) - ($AG$3 + TIME(LEFT(NOW(), 2), MID(NOW(), 3, 2), 0))</f>
        <v>-236.4423611111124</v>
      </c>
      <c r="J17" s="157"/>
      <c r="K17" s="157"/>
      <c r="L17" s="157"/>
      <c r="M17" s="157"/>
      <c r="N17" s="157"/>
      <c r="O17" s="157"/>
      <c r="P17" s="136"/>
      <c r="Q17" s="136"/>
      <c r="R17" s="136"/>
      <c r="S17" s="136"/>
      <c r="T17" s="186">
        <f>D17/30/24</f>
        <v>6.4721461187214615</v>
      </c>
      <c r="U17" s="187">
        <f ca="1">SUM(U20:U21)</f>
        <v>163.39999999999995</v>
      </c>
      <c r="V17" s="183" t="e">
        <f ca="1">AA17+U17</f>
        <v>#N/A</v>
      </c>
      <c r="W17" s="188" t="e">
        <f ca="1">V17/H17/24</f>
        <v>#N/A</v>
      </c>
      <c r="X17" s="189" t="e">
        <f ca="1">AA17/H17/24</f>
        <v>#N/A</v>
      </c>
      <c r="Y17" s="198"/>
      <c r="Z17" s="390" t="e">
        <f ca="1">Z20+Z21</f>
        <v>#N/A</v>
      </c>
      <c r="AA17" s="407" t="e">
        <f ca="1">AA20+AA21</f>
        <v>#N/A</v>
      </c>
      <c r="AB17" s="130"/>
      <c r="AC17" s="129" t="s">
        <v>3533</v>
      </c>
      <c r="AD17" s="571" t="e">
        <f ca="1">$Z$17/$E$17</f>
        <v>#N/A</v>
      </c>
      <c r="AE17" s="572"/>
      <c r="AF17" s="572"/>
      <c r="AG17" s="573"/>
      <c r="AH17" s="122"/>
      <c r="AI17" s="130"/>
    </row>
    <row r="18" spans="2:37" ht="15.75" customHeight="1" thickBot="1">
      <c r="B18" s="130"/>
      <c r="C18" s="129"/>
      <c r="D18" s="136"/>
      <c r="E18" s="136"/>
      <c r="F18" s="136"/>
      <c r="G18" s="136"/>
      <c r="H18" s="136"/>
      <c r="I18" s="136"/>
      <c r="J18" s="136"/>
      <c r="K18" s="136"/>
      <c r="L18" s="136"/>
      <c r="M18" s="136"/>
      <c r="N18" s="136"/>
      <c r="O18" s="136" t="s">
        <v>3537</v>
      </c>
      <c r="P18" s="183"/>
      <c r="Q18" s="183"/>
      <c r="R18" s="183"/>
      <c r="S18" s="183"/>
      <c r="T18" s="190"/>
      <c r="U18" s="136"/>
      <c r="V18" s="401"/>
      <c r="W18" s="136"/>
      <c r="X18" s="190"/>
      <c r="Y18" s="136"/>
      <c r="Z18" s="391"/>
      <c r="AA18" s="385"/>
      <c r="AB18" s="130"/>
      <c r="AC18" s="129"/>
      <c r="AD18" s="574"/>
      <c r="AE18" s="575"/>
      <c r="AF18" s="575"/>
      <c r="AG18" s="576"/>
      <c r="AH18" s="122"/>
      <c r="AI18" s="130"/>
    </row>
    <row r="19" spans="2:37" ht="8.1" customHeight="1" thickBot="1">
      <c r="B19" s="130"/>
      <c r="C19" s="129"/>
      <c r="D19" s="136"/>
      <c r="E19" s="136"/>
      <c r="F19" s="136"/>
      <c r="G19" s="136"/>
      <c r="H19" s="136"/>
      <c r="I19" s="136"/>
      <c r="J19" s="136"/>
      <c r="K19" s="136"/>
      <c r="L19" s="136"/>
      <c r="M19" s="136"/>
      <c r="N19" s="136"/>
      <c r="O19" s="136"/>
      <c r="P19" s="183"/>
      <c r="Q19" s="183"/>
      <c r="R19" s="183"/>
      <c r="S19" s="183"/>
      <c r="T19" s="190"/>
      <c r="U19" s="136"/>
      <c r="V19" s="401"/>
      <c r="W19" s="136"/>
      <c r="X19" s="190"/>
      <c r="Y19" s="136"/>
      <c r="Z19" s="391"/>
      <c r="AA19" s="385"/>
      <c r="AB19" s="130"/>
      <c r="AC19" s="129"/>
      <c r="AD19" s="121"/>
      <c r="AE19" s="121"/>
      <c r="AF19" s="121"/>
      <c r="AG19" s="121"/>
      <c r="AH19" s="122"/>
      <c r="AI19" s="130"/>
    </row>
    <row r="20" spans="2:37" ht="15" customHeight="1">
      <c r="B20" s="130"/>
      <c r="C20" s="129" t="s">
        <v>124</v>
      </c>
      <c r="D20" s="136"/>
      <c r="E20" s="136"/>
      <c r="F20" s="194"/>
      <c r="G20" s="195"/>
      <c r="H20" s="196"/>
      <c r="I20" s="196"/>
      <c r="J20" s="376">
        <v>73997.59</v>
      </c>
      <c r="K20" s="376">
        <v>901.18</v>
      </c>
      <c r="L20" s="376">
        <v>73997.59</v>
      </c>
      <c r="M20" s="376">
        <v>901.18</v>
      </c>
      <c r="N20" s="180"/>
      <c r="O20" s="180"/>
      <c r="P20" s="183"/>
      <c r="Q20" s="183"/>
      <c r="R20" s="192">
        <f>INDEX(BILLING!$H:$H,MATCH($F17&amp;" "&amp;$G17,BILLING!$C:$C,0))</f>
        <v>74762.399999999994</v>
      </c>
      <c r="S20" s="192">
        <f>INDEX(BILLING!$I:$I,MATCH($F17&amp;" "&amp;$G17,BILLING!$C:$C,0))</f>
        <v>911.77</v>
      </c>
      <c r="T20" s="190"/>
      <c r="U20" s="187" cm="1">
        <f t="array" aca="1" ref="U20" ca="1">INDIRECT(TEXT(DAY(TODAY()),"0")&amp;"!AI18")</f>
        <v>107.49999999999996</v>
      </c>
      <c r="V20" s="183"/>
      <c r="W20" s="187"/>
      <c r="X20" s="190"/>
      <c r="Y20" s="181"/>
      <c r="Z20" s="392" t="e">
        <f ca="1">(((((INDEX(BILLING!$H:$H,MATCH($AG$3&amp;" "&amp;$AG$5,BILLING!$C:$C,0))-L20)*$D$60)-
((INDEX(BILLING!$I:$I,MATCH($AG$3&amp;" "&amp;$AG$5,BILLING!$C:$C,0))-M20)*$D$60))))/1000</f>
        <v>#N/A</v>
      </c>
      <c r="AA20" s="380" t="e">
        <f ca="1">(((((INDEX(BILLING!$H:$H,MATCH($AG$3&amp;" "&amp;$AG$5,BILLING!$C:$C,0))-R20)*$D$60)-
((INDEX(BILLING!$I:$I,MATCH($AG$3&amp;" "&amp;$AG$5,BILLING!$C:$C,0))-S20)*$D$60))))/1000</f>
        <v>#N/A</v>
      </c>
      <c r="AB20" s="130"/>
      <c r="AC20" s="129" t="s">
        <v>3534</v>
      </c>
      <c r="AD20" s="571" t="e">
        <f ca="1">$AA$17/$D$17</f>
        <v>#N/A</v>
      </c>
      <c r="AE20" s="572"/>
      <c r="AF20" s="572"/>
      <c r="AG20" s="573"/>
      <c r="AH20" s="122"/>
      <c r="AI20" s="130"/>
    </row>
    <row r="21" spans="2:37" ht="15.75" customHeight="1" thickBot="1">
      <c r="B21" s="130"/>
      <c r="C21" s="129" t="s">
        <v>125</v>
      </c>
      <c r="D21" s="136"/>
      <c r="E21" s="136"/>
      <c r="F21" s="194"/>
      <c r="G21" s="195"/>
      <c r="H21" s="196"/>
      <c r="I21" s="196"/>
      <c r="J21" s="376">
        <v>33090.730000000003</v>
      </c>
      <c r="K21" s="376">
        <v>104.01</v>
      </c>
      <c r="L21" s="376">
        <v>33090.730000000003</v>
      </c>
      <c r="M21" s="376">
        <v>104.01</v>
      </c>
      <c r="N21" s="180"/>
      <c r="O21" s="180"/>
      <c r="P21" s="183"/>
      <c r="Q21" s="183"/>
      <c r="R21" s="192">
        <f>INDEX(BILLING!$J:$J,MATCH($F17&amp;" "&amp;$G17,BILLING!$C:$C,0))</f>
        <v>33383.839999999997</v>
      </c>
      <c r="S21" s="192">
        <f>INDEX(BILLING!$K:$K,MATCH($F17&amp;" "&amp;$G17,BILLING!$C:$C,0))</f>
        <v>106.44</v>
      </c>
      <c r="T21" s="190"/>
      <c r="U21" s="187" cm="1">
        <f t="array" aca="1" ref="U21" ca="1">INDIRECT(TEXT(DAY(TODAY()),"0")&amp;"!AI23")</f>
        <v>55.899999999999984</v>
      </c>
      <c r="V21" s="183"/>
      <c r="W21" s="187"/>
      <c r="X21" s="190"/>
      <c r="Y21" s="181"/>
      <c r="Z21" s="392" t="e">
        <f ca="1">(((((INDEX(BILLING!$J:$J,MATCH($AG$3&amp;" "&amp;$AG$5,BILLING!$C:$C,0))-L21)*$D$61)-
((INDEX(BILLING!$K:$K,MATCH($AG$3&amp;" "&amp;$AG$5,BILLING!$C:$C,0))-M21)*$D$61))))/1000</f>
        <v>#N/A</v>
      </c>
      <c r="AA21" s="380" t="e">
        <f ca="1">(((((INDEX(BILLING!$J:$J,MATCH($AG$3&amp;" "&amp;$AG$5,BILLING!$C:$C,0))-R21)*$D$61)-
((INDEX(BILLING!$K:$K,MATCH($AG$3&amp;" "&amp;$AG$5,BILLING!$C:$C,0))-S21)*$D$61))))/1000</f>
        <v>#N/A</v>
      </c>
      <c r="AB21" s="130"/>
      <c r="AC21" s="129"/>
      <c r="AD21" s="574"/>
      <c r="AE21" s="575"/>
      <c r="AF21" s="575"/>
      <c r="AG21" s="576"/>
      <c r="AH21" s="122"/>
      <c r="AI21" s="130"/>
    </row>
    <row r="22" spans="2:37">
      <c r="B22" s="130"/>
      <c r="C22" s="138"/>
      <c r="D22" s="139"/>
      <c r="E22" s="139"/>
      <c r="F22" s="139"/>
      <c r="G22" s="139"/>
      <c r="H22" s="139"/>
      <c r="I22" s="139"/>
      <c r="J22" s="139"/>
      <c r="K22" s="139"/>
      <c r="L22" s="139"/>
      <c r="M22" s="139"/>
      <c r="N22" s="139"/>
      <c r="O22" s="139"/>
      <c r="P22" s="165"/>
      <c r="Q22" s="165"/>
      <c r="R22" s="165"/>
      <c r="S22" s="165"/>
      <c r="T22" s="160"/>
      <c r="U22" s="139"/>
      <c r="V22" s="402"/>
      <c r="W22" s="139"/>
      <c r="X22" s="160"/>
      <c r="Y22" s="139"/>
      <c r="Z22" s="388"/>
      <c r="AA22" s="382"/>
      <c r="AB22" s="130"/>
      <c r="AC22" s="123"/>
      <c r="AD22" s="124"/>
      <c r="AE22" s="124"/>
      <c r="AF22" s="124"/>
      <c r="AG22" s="124"/>
      <c r="AH22" s="125"/>
      <c r="AI22" s="130"/>
    </row>
    <row r="23" spans="2:37" ht="8.1" customHeight="1">
      <c r="B23" s="130"/>
      <c r="C23" s="143"/>
      <c r="D23" s="143"/>
      <c r="E23" s="143"/>
      <c r="F23" s="143"/>
      <c r="G23" s="143"/>
      <c r="H23" s="143"/>
      <c r="I23" s="143"/>
      <c r="J23" s="143"/>
      <c r="K23" s="143"/>
      <c r="L23" s="143"/>
      <c r="M23" s="143"/>
      <c r="N23" s="143"/>
      <c r="O23" s="143"/>
      <c r="P23" s="168"/>
      <c r="Q23" s="168"/>
      <c r="R23" s="168"/>
      <c r="S23" s="168"/>
      <c r="T23" s="163"/>
      <c r="U23" s="143"/>
      <c r="V23" s="405"/>
      <c r="W23" s="143"/>
      <c r="X23" s="163"/>
      <c r="Y23" s="143"/>
      <c r="Z23" s="386"/>
      <c r="AA23" s="386"/>
      <c r="AB23" s="130"/>
      <c r="AC23" s="130"/>
      <c r="AD23" s="130"/>
      <c r="AE23" s="130"/>
      <c r="AF23" s="130"/>
      <c r="AG23" s="130"/>
      <c r="AH23" s="130"/>
      <c r="AI23" s="130"/>
    </row>
    <row r="24" spans="2:37" ht="15" thickBot="1">
      <c r="B24" s="130"/>
      <c r="C24" s="133"/>
      <c r="D24" s="141"/>
      <c r="E24" s="141"/>
      <c r="F24" s="141"/>
      <c r="G24" s="141"/>
      <c r="H24" s="141"/>
      <c r="I24" s="141"/>
      <c r="J24" s="141"/>
      <c r="K24" s="141"/>
      <c r="L24" s="141"/>
      <c r="M24" s="141"/>
      <c r="N24" s="141"/>
      <c r="O24" s="141"/>
      <c r="P24" s="167"/>
      <c r="Q24" s="167"/>
      <c r="R24" s="167"/>
      <c r="S24" s="167"/>
      <c r="T24" s="162"/>
      <c r="U24" s="141"/>
      <c r="V24" s="404"/>
      <c r="W24" s="141"/>
      <c r="X24" s="162"/>
      <c r="Y24" s="141"/>
      <c r="Z24" s="389"/>
      <c r="AA24" s="384"/>
      <c r="AB24" s="130"/>
      <c r="AC24" s="126"/>
      <c r="AD24" s="127"/>
      <c r="AE24" s="127"/>
      <c r="AF24" s="127"/>
      <c r="AG24" s="127"/>
      <c r="AH24" s="128"/>
      <c r="AI24" s="130"/>
    </row>
    <row r="25" spans="2:37" ht="19.899999999999999" customHeight="1">
      <c r="B25" s="130"/>
      <c r="C25" s="149" t="s">
        <v>3538</v>
      </c>
      <c r="D25" s="193">
        <f>E25/12</f>
        <v>15000</v>
      </c>
      <c r="E25" s="183">
        <v>180000</v>
      </c>
      <c r="F25" s="146">
        <v>45713</v>
      </c>
      <c r="G25" s="147" t="s">
        <v>3504</v>
      </c>
      <c r="H25" s="184">
        <f ca="1" xml:space="preserve"> NOW() - (F25 + TIME(LEFT($G$25, 2), MID($G$25, 3, 2), 0))</f>
        <v>263.50046064814524</v>
      </c>
      <c r="I25" s="185">
        <f ca="1">((DATE(YEAR(F25),MONTH(F25)+1,25)) + TIME(LEFT("1200H", 2), MID("1200H", 3, 2), 0)) - ($AG$3 + TIME(LEFT(NOW(), 2), MID(NOW(), 3, 2), 0))</f>
        <v>-236.4423611111124</v>
      </c>
      <c r="J25" s="183"/>
      <c r="K25" s="183"/>
      <c r="L25" s="183"/>
      <c r="M25" s="183"/>
      <c r="N25" s="183"/>
      <c r="O25" s="183"/>
      <c r="P25" s="183"/>
      <c r="Q25" s="183"/>
      <c r="R25" s="183"/>
      <c r="S25" s="183"/>
      <c r="T25" s="186">
        <f>D25/30/24</f>
        <v>20.833333333333332</v>
      </c>
      <c r="U25" s="187">
        <f ca="1">SUM(U28:U31)</f>
        <v>295.2</v>
      </c>
      <c r="V25" s="183" t="e">
        <f ca="1">AA25+U25</f>
        <v>#N/A</v>
      </c>
      <c r="W25" s="188" t="e">
        <f ca="1">V25/H25/24</f>
        <v>#N/A</v>
      </c>
      <c r="X25" s="189" t="e">
        <f ca="1">AA25/H25/24</f>
        <v>#N/A</v>
      </c>
      <c r="Y25" s="198" t="e">
        <f ca="1">SUM(Y28:Y31)</f>
        <v>#N/A</v>
      </c>
      <c r="Z25" s="390" t="e">
        <f ca="1">SUM(Z28:Z33)</f>
        <v>#N/A</v>
      </c>
      <c r="AA25" s="407" t="e">
        <f ca="1">SUM(AA28:AA33)</f>
        <v>#N/A</v>
      </c>
      <c r="AB25" s="130"/>
      <c r="AC25" s="129" t="s">
        <v>3533</v>
      </c>
      <c r="AD25" s="571" t="e">
        <f ca="1">Z25/$E$25</f>
        <v>#N/A</v>
      </c>
      <c r="AE25" s="572"/>
      <c r="AF25" s="572"/>
      <c r="AG25" s="573"/>
      <c r="AH25" s="122"/>
      <c r="AI25" s="130"/>
      <c r="AK25" s="203" t="e">
        <f ca="1">(E25-Z25)/67/24</f>
        <v>#N/A</v>
      </c>
    </row>
    <row r="26" spans="2:37" ht="15.75" customHeight="1" thickBot="1">
      <c r="B26" s="130"/>
      <c r="C26" s="129" t="s">
        <v>3539</v>
      </c>
      <c r="D26" s="136"/>
      <c r="E26" s="136"/>
      <c r="F26" s="136"/>
      <c r="G26" s="136"/>
      <c r="H26" s="136"/>
      <c r="I26" s="136"/>
      <c r="J26" s="136"/>
      <c r="K26" s="136"/>
      <c r="L26" s="136"/>
      <c r="M26" s="136"/>
      <c r="N26" s="136"/>
      <c r="O26" s="136"/>
      <c r="P26" s="183"/>
      <c r="Q26" s="183"/>
      <c r="R26" s="183"/>
      <c r="S26" s="183"/>
      <c r="T26" s="190"/>
      <c r="U26" s="187"/>
      <c r="V26" s="401"/>
      <c r="W26" s="136"/>
      <c r="X26" s="190"/>
      <c r="Y26" s="136"/>
      <c r="Z26" s="391"/>
      <c r="AA26" s="385"/>
      <c r="AB26" s="130"/>
      <c r="AC26" s="129"/>
      <c r="AD26" s="574"/>
      <c r="AE26" s="575"/>
      <c r="AF26" s="575"/>
      <c r="AG26" s="576"/>
      <c r="AH26" s="122"/>
      <c r="AI26" s="130"/>
    </row>
    <row r="27" spans="2:37" ht="8.1" customHeight="1" thickBot="1">
      <c r="B27" s="130"/>
      <c r="C27" s="129"/>
      <c r="D27" s="136"/>
      <c r="E27" s="136"/>
      <c r="F27" s="136"/>
      <c r="G27" s="136"/>
      <c r="H27" s="136"/>
      <c r="I27" s="136"/>
      <c r="J27" s="136"/>
      <c r="K27" s="136"/>
      <c r="L27" s="136"/>
      <c r="M27" s="136"/>
      <c r="N27" s="136"/>
      <c r="O27" s="136"/>
      <c r="P27" s="183"/>
      <c r="Q27" s="183"/>
      <c r="R27" s="183"/>
      <c r="S27" s="183"/>
      <c r="T27" s="190"/>
      <c r="U27" s="187"/>
      <c r="V27" s="401"/>
      <c r="W27" s="136"/>
      <c r="X27" s="190"/>
      <c r="Y27" s="136"/>
      <c r="Z27" s="391"/>
      <c r="AA27" s="385"/>
      <c r="AB27" s="130"/>
      <c r="AC27" s="129"/>
      <c r="AD27" s="121"/>
      <c r="AE27" s="121"/>
      <c r="AF27" s="121"/>
      <c r="AG27" s="121"/>
      <c r="AH27" s="122"/>
      <c r="AI27" s="130"/>
    </row>
    <row r="28" spans="2:37" ht="15" customHeight="1">
      <c r="B28" s="130"/>
      <c r="C28" s="129" t="s">
        <v>108</v>
      </c>
      <c r="D28" s="136"/>
      <c r="E28" s="136"/>
      <c r="F28" s="194"/>
      <c r="G28" s="195"/>
      <c r="H28" s="196"/>
      <c r="I28" s="196"/>
      <c r="J28" s="376">
        <v>33080.6</v>
      </c>
      <c r="K28" s="376">
        <v>28.9</v>
      </c>
      <c r="L28" s="183"/>
      <c r="M28" s="183"/>
      <c r="N28" s="375">
        <v>29305.9</v>
      </c>
      <c r="O28" s="375">
        <v>25.5</v>
      </c>
      <c r="P28" s="192">
        <f>INDEX(BILLING!$N:$N,MATCH($F25&amp;" "&amp;$G25,BILLING!$C:$C,0))</f>
        <v>33694.699999999997</v>
      </c>
      <c r="Q28" s="192">
        <f>INDEX(BILLING!$O:$O,MATCH($F25&amp;" "&amp;$G25,BILLING!$C:$C,0))</f>
        <v>29.5</v>
      </c>
      <c r="R28" s="183"/>
      <c r="S28" s="183"/>
      <c r="T28" s="190"/>
      <c r="U28" s="187" cm="1">
        <f t="array" aca="1" ref="U28" ca="1">INDIRECT(TEXT(DAY(TODAY()),"0")&amp;"!AI26")</f>
        <v>187.70000000000005</v>
      </c>
      <c r="V28" s="183"/>
      <c r="W28" s="187"/>
      <c r="X28" s="190"/>
      <c r="Y28" s="181" t="e">
        <f ca="1">(((((INDEX(BILLING!$N:$N,MATCH($AG$3&amp;" "&amp;$AG$5,BILLING!$C:$C,0))-N28)*$D$59)-
((INDEX(BILLING!$O:$O,MATCH($AG$3&amp;" "&amp;$AG$5,BILLING!$C:$C,0))-O28)*$D$59))))/1000</f>
        <v>#N/A</v>
      </c>
      <c r="Z28" s="392" t="e">
        <f ca="1">(((((INDEX(BILLING!$N:$N,MATCH($AG$3&amp;" "&amp;$AG$5,BILLING!$C:$C,0))-J28)*$D$59)-
((INDEX(BILLING!$O:$O,MATCH($AG$3&amp;" "&amp;$AG$5,BILLING!$C:$C,0))-K28)*$D$59))))/1000</f>
        <v>#N/A</v>
      </c>
      <c r="AA28" s="380" t="e">
        <f ca="1">(((((INDEX(BILLING!$N:$N,MATCH($AG$3&amp;" "&amp;$AG$5,BILLING!$C:$C,0))-P28)*$D$59)-
((INDEX(BILLING!$O:$O,MATCH($AG$3&amp;" "&amp;$AG$5,BILLING!$C:$C,0))-Q28)*$D$59))))/1000</f>
        <v>#N/A</v>
      </c>
      <c r="AB28" s="130"/>
      <c r="AC28" s="129" t="s">
        <v>3534</v>
      </c>
      <c r="AD28" s="571" t="e">
        <f ca="1">$AA$25/$D$25</f>
        <v>#N/A</v>
      </c>
      <c r="AE28" s="572"/>
      <c r="AF28" s="572"/>
      <c r="AG28" s="573"/>
      <c r="AH28" s="122"/>
      <c r="AI28" s="130"/>
    </row>
    <row r="29" spans="2:37" ht="15.75" customHeight="1" thickBot="1">
      <c r="B29" s="130"/>
      <c r="C29" s="129" t="s">
        <v>109</v>
      </c>
      <c r="D29" s="136"/>
      <c r="E29" s="136"/>
      <c r="F29" s="194"/>
      <c r="G29" s="195"/>
      <c r="H29" s="196"/>
      <c r="I29" s="196"/>
      <c r="J29" s="376">
        <v>5715.03</v>
      </c>
      <c r="K29" s="376">
        <v>15.78</v>
      </c>
      <c r="L29" s="183"/>
      <c r="M29" s="183"/>
      <c r="N29" s="375">
        <v>1943.35</v>
      </c>
      <c r="O29" s="375">
        <v>14.34</v>
      </c>
      <c r="P29" s="192">
        <f>INDEX(BILLING!$L:$L,MATCH($F25&amp;" "&amp;$G25,BILLING!$C:$C,0))</f>
        <v>6141.67</v>
      </c>
      <c r="Q29" s="192">
        <f>INDEX(BILLING!$M:$M,MATCH($F25&amp;" "&amp;$G25,BILLING!$C:$C,0))</f>
        <v>19.05</v>
      </c>
      <c r="R29" s="183"/>
      <c r="S29" s="183"/>
      <c r="T29" s="190"/>
      <c r="U29" s="187" cm="1">
        <f t="array" aca="1" ref="U29" ca="1">INDIRECT(TEXT(DAY(TODAY()),"0")&amp;"!AI31")</f>
        <v>0</v>
      </c>
      <c r="V29" s="183"/>
      <c r="W29" s="187"/>
      <c r="X29" s="190"/>
      <c r="Y29" s="181" t="e">
        <f ca="1">(((((INDEX(BILLING!$L:$L,MATCH($AG$3&amp;" "&amp;$AG$5,BILLING!$C:$C,0))-N29)*$D$58)-
((INDEX(BILLING!$M:$M,MATCH($AG$3&amp;" "&amp;$AG$5,BILLING!$C:$C,0))-O29)*$D$58))))/1000</f>
        <v>#N/A</v>
      </c>
      <c r="Z29" s="392" t="e">
        <f ca="1">(((((INDEX(BILLING!$L:$L,MATCH($AG$3&amp;" "&amp;$AG$5,BILLING!$C:$C,0))-J29)*$D$58)-
((INDEX(BILLING!$M:$M,MATCH($AG$3&amp;" "&amp;$AG$5,BILLING!$C:$C,0))-K29)*$D$58))))/1000</f>
        <v>#N/A</v>
      </c>
      <c r="AA29" s="380" t="e">
        <f ca="1">(((((INDEX(BILLING!$L:$L,MATCH($AG$3&amp;" "&amp;$AG$5,BILLING!$C:$C,0))-P29)*$D$58)-
((INDEX(BILLING!$M:$M,MATCH($AG$3&amp;" "&amp;$AG$5,BILLING!$C:$C,0))-Q29)*$D$58))))/1000</f>
        <v>#N/A</v>
      </c>
      <c r="AB29" s="130"/>
      <c r="AC29" s="129"/>
      <c r="AD29" s="574"/>
      <c r="AE29" s="575"/>
      <c r="AF29" s="575"/>
      <c r="AG29" s="576"/>
      <c r="AH29" s="122"/>
      <c r="AI29" s="130"/>
    </row>
    <row r="30" spans="2:37" ht="15.75" customHeight="1">
      <c r="B30" s="130"/>
      <c r="C30" s="129" t="s">
        <v>3592</v>
      </c>
      <c r="D30" s="136"/>
      <c r="E30" s="136"/>
      <c r="F30" s="136"/>
      <c r="G30" s="136"/>
      <c r="H30" s="136"/>
      <c r="I30" s="136"/>
      <c r="J30" s="183"/>
      <c r="K30" s="183"/>
      <c r="L30" s="376">
        <v>256.12</v>
      </c>
      <c r="M30" s="376">
        <v>0.15</v>
      </c>
      <c r="N30" s="375">
        <v>0</v>
      </c>
      <c r="O30" s="375">
        <v>0</v>
      </c>
      <c r="P30" s="183"/>
      <c r="Q30" s="183"/>
      <c r="R30" s="192">
        <f>INDEX(BILLING!$V:$V,MATCH($F25&amp;" "&amp;$G25,BILLING!$C:$C,0))</f>
        <v>574.97</v>
      </c>
      <c r="S30" s="192">
        <f>INDEX(BILLING!$W:$W,MATCH($F25&amp;" "&amp;$G25,BILLING!$C:$C,0))</f>
        <v>0.17</v>
      </c>
      <c r="T30" s="190"/>
      <c r="U30" s="187" cm="1">
        <f t="array" aca="1" ref="U30" ca="1">INDIRECT(TEXT(DAY(TODAY()),"0")&amp;"!AI65")</f>
        <v>0</v>
      </c>
      <c r="V30" s="183"/>
      <c r="W30" s="187"/>
      <c r="X30" s="190"/>
      <c r="Y30" s="181" t="e">
        <f ca="1">(((((INDEX(BILLING!$V:$V,MATCH($AG$3&amp;" "&amp;$AG$5,BILLING!$C:$C,0))-N30)*$D$62)-
((INDEX(BILLING!$W:$W,MATCH($AG$3&amp;" "&amp;$AG$5,BILLING!$C:$C,0))-O30)*$D$62))))/1000</f>
        <v>#N/A</v>
      </c>
      <c r="Z30" s="182" t="e">
        <f ca="1">(((((INDEX(BILLING!$V:$V,MATCH($AG$3&amp;" "&amp;$AG$5,BILLING!$C:$C,0))-L30)*$D$62)-
((INDEX(BILLING!$W:$W,MATCH($AG$3&amp;" "&amp;$AG$5,BILLING!$C:$C,0))-M30)*$D$62))))/1000</f>
        <v>#N/A</v>
      </c>
      <c r="AA30" s="172" t="e">
        <f ca="1">(((((INDEX(BILLING!$V:$V,MATCH($AG$3&amp;" "&amp;$AG$5,BILLING!$C:$C,0))-R30)*$D$62)-
((INDEX(BILLING!$W:$W,MATCH($AG$3&amp;" "&amp;$AG$5,BILLING!$C:$C,0))-S30)*$D$62))))/1000</f>
        <v>#N/A</v>
      </c>
      <c r="AB30" s="130"/>
      <c r="AC30" s="129"/>
      <c r="AD30" s="158"/>
      <c r="AE30" s="158"/>
      <c r="AF30" s="158"/>
      <c r="AG30" s="158"/>
      <c r="AH30" s="122"/>
      <c r="AI30" s="130"/>
    </row>
    <row r="31" spans="2:37" ht="15.75" customHeight="1">
      <c r="B31" s="130"/>
      <c r="C31" s="129" t="s">
        <v>111</v>
      </c>
      <c r="D31" s="136"/>
      <c r="E31" s="136"/>
      <c r="F31" s="136"/>
      <c r="G31" s="136"/>
      <c r="H31" s="136"/>
      <c r="I31" s="136"/>
      <c r="J31" s="183"/>
      <c r="K31" s="183"/>
      <c r="L31" s="376">
        <v>36029.69</v>
      </c>
      <c r="M31" s="376">
        <v>69</v>
      </c>
      <c r="N31" s="375">
        <v>31295</v>
      </c>
      <c r="O31" s="375">
        <v>69</v>
      </c>
      <c r="P31" s="183"/>
      <c r="Q31" s="183"/>
      <c r="R31" s="192">
        <f>INDEX(BILLING!$T:$T,MATCH($F25&amp;" "&amp;$G25,BILLING!$C:$C,0))</f>
        <v>36745</v>
      </c>
      <c r="S31" s="192">
        <f>INDEX(BILLING!$U:$U,MATCH($F25&amp;" "&amp;$G25,BILLING!$C:$C,0))</f>
        <v>69</v>
      </c>
      <c r="T31" s="190"/>
      <c r="U31" s="187" cm="1">
        <f t="array" aca="1" ref="U31" ca="1">INDIRECT(TEXT(DAY(TODAY()),"0")&amp;"!AI18")</f>
        <v>107.49999999999996</v>
      </c>
      <c r="V31" s="183"/>
      <c r="W31" s="187"/>
      <c r="X31" s="190"/>
      <c r="Y31" s="181" t="e">
        <f ca="1">(((((INDEX(BILLING!$T:$T,MATCH($AG$3&amp;" "&amp;$AG$5,BILLING!$C:$C,0))-N31)*$D$56)-
((INDEX(BILLING!$U:$U,MATCH($AG$3&amp;" "&amp;$AG$5,BILLING!$C:$C,0))-O31)*$D$56))))/1000</f>
        <v>#N/A</v>
      </c>
      <c r="Z31" s="392" t="e">
        <f ca="1">(((((INDEX(BILLING!$T:$T,MATCH($AG$3&amp;" "&amp;$AG$5,BILLING!$C:$C,0))-L31)*$D$56)-
((INDEX(BILLING!$U:$U,MATCH($AG$3&amp;" "&amp;$AG$5,BILLING!$C:$C,0))-M31)*$D$56))))/1000</f>
        <v>#N/A</v>
      </c>
      <c r="AA31" s="380" t="e">
        <f ca="1">(((((INDEX(BILLING!$T:$T,MATCH($AG$3&amp;" "&amp;$AG$5,BILLING!$C:$C,0))-R31)*$D$56)-
((INDEX(BILLING!$U:$U,MATCH($AG$3&amp;" "&amp;$AG$5,BILLING!$C:$C,0))-S31)*$D$56))))/1000</f>
        <v>#N/A</v>
      </c>
      <c r="AB31" s="130"/>
      <c r="AC31" s="129"/>
      <c r="AD31" s="158"/>
      <c r="AE31" s="158"/>
      <c r="AF31" s="158"/>
      <c r="AG31" s="158"/>
      <c r="AH31" s="122"/>
      <c r="AI31" s="130"/>
    </row>
    <row r="32" spans="2:37" ht="15.75" customHeight="1">
      <c r="B32" s="130"/>
      <c r="C32" s="129" t="s">
        <v>35</v>
      </c>
      <c r="D32" s="136"/>
      <c r="E32" s="136"/>
      <c r="F32" s="136"/>
      <c r="G32" s="136"/>
      <c r="H32" s="136"/>
      <c r="I32" s="136"/>
      <c r="J32" s="183"/>
      <c r="K32" s="183"/>
      <c r="L32" s="376">
        <v>54159</v>
      </c>
      <c r="M32" s="376">
        <v>79</v>
      </c>
      <c r="N32" s="136"/>
      <c r="O32" s="136"/>
      <c r="P32" s="183"/>
      <c r="Q32" s="183"/>
      <c r="R32" s="377">
        <f>INDEX(BILLING!$Z:$Z,MATCH($F25&amp;" "&amp;$G25,BILLING!$C:$C,0))</f>
        <v>54169</v>
      </c>
      <c r="S32" s="377">
        <f>INDEX(BILLING!$AA:$AA,MATCH($F25&amp;" "&amp;$G25,BILLING!$C:$C,0))</f>
        <v>79</v>
      </c>
      <c r="T32" s="190"/>
      <c r="U32" s="187"/>
      <c r="V32" s="183"/>
      <c r="W32" s="187"/>
      <c r="X32" s="190"/>
      <c r="Y32" s="181"/>
      <c r="Z32" s="392" t="e">
        <f ca="1">(((((INDEX(BILLING!$Z:$Z,MATCH($AG$3&amp;" "&amp;$AG$5,BILLING!$C:$C,0))-L32)*$D$64)-
((INDEX(BILLING!$AA:$AA,MATCH($AG$3&amp;" "&amp;$AG$5,BILLING!$C:$C,0))-M32)*$D$64))))/1000</f>
        <v>#N/A</v>
      </c>
      <c r="AA32" s="380" t="e">
        <f ca="1">(((((INDEX(BILLING!$Z:$Z,MATCH($AG$3&amp;" "&amp;$AG$5,BILLING!$C:$C,0))-R32)*$D$64)-
((INDEX(BILLING!$AA:$AA,MATCH($AG$3&amp;" "&amp;$AG$5,BILLING!$C:$C,0))-S32)*$D$64))))/1000</f>
        <v>#N/A</v>
      </c>
      <c r="AB32" s="130"/>
      <c r="AC32" s="129"/>
      <c r="AD32" s="158"/>
      <c r="AE32" s="158"/>
      <c r="AF32" s="158"/>
      <c r="AG32" s="158"/>
      <c r="AH32" s="122"/>
      <c r="AI32" s="130"/>
    </row>
    <row r="33" spans="2:37" ht="15.75" customHeight="1">
      <c r="B33" s="130"/>
      <c r="C33" s="129" t="s">
        <v>3608</v>
      </c>
      <c r="D33" s="136"/>
      <c r="E33" s="136"/>
      <c r="F33" s="136"/>
      <c r="G33" s="136"/>
      <c r="H33" s="136"/>
      <c r="I33" s="136"/>
      <c r="J33" s="183"/>
      <c r="K33" s="183"/>
      <c r="L33" s="376">
        <v>0</v>
      </c>
      <c r="M33" s="376">
        <v>0</v>
      </c>
      <c r="N33" s="136"/>
      <c r="O33" s="136"/>
      <c r="P33" s="183"/>
      <c r="Q33" s="183"/>
      <c r="R33" s="377">
        <f>INDEX(BILLING!$AB:$AB,MATCH($F25&amp;" "&amp;$G25,BILLING!$C:$C,0))</f>
        <v>153.58000000000001</v>
      </c>
      <c r="S33" s="377">
        <f>INDEX(BILLING!$AC:$AC,MATCH($F25&amp;" "&amp;$G25,BILLING!$C:$C,0))</f>
        <v>0.17</v>
      </c>
      <c r="T33" s="190"/>
      <c r="U33" s="187"/>
      <c r="V33" s="183"/>
      <c r="W33" s="187"/>
      <c r="X33" s="190"/>
      <c r="Y33" s="181"/>
      <c r="Z33" s="392" t="e">
        <f ca="1">(((((INDEX(BILLING!$AB:$AB,MATCH($AG$3&amp;" "&amp;$AG$5,BILLING!$C:$C,0))-L33)*$D$63)-
((INDEX(BILLING!$AC:$AC,MATCH($AG$3&amp;" "&amp;$AG$5,BILLING!$C:$C,0))-M33)*$D$63))))/1000</f>
        <v>#N/A</v>
      </c>
      <c r="AA33" s="380" t="e">
        <f ca="1">(((((INDEX(BILLING!$AB:$AB,MATCH($AG$3&amp;" "&amp;$AG$5,BILLING!$C:$C,0))-R33)*$D$63)-
((INDEX(BILLING!$AC:$AC,MATCH($AG$3&amp;" "&amp;$AG$5,BILLING!$C:$C,0))-S33)*$D$63))))/1000</f>
        <v>#N/A</v>
      </c>
      <c r="AB33" s="130"/>
      <c r="AC33" s="129"/>
      <c r="AD33" s="158"/>
      <c r="AE33" s="158"/>
      <c r="AF33" s="158"/>
      <c r="AG33" s="158"/>
      <c r="AH33" s="122"/>
      <c r="AI33" s="130"/>
    </row>
    <row r="34" spans="2:37">
      <c r="B34" s="130"/>
      <c r="C34" s="138"/>
      <c r="D34" s="139"/>
      <c r="E34" s="139"/>
      <c r="F34" s="139"/>
      <c r="G34" s="139"/>
      <c r="H34" s="139"/>
      <c r="I34" s="139"/>
      <c r="J34" s="139"/>
      <c r="K34" s="139"/>
      <c r="L34" s="139"/>
      <c r="M34" s="139"/>
      <c r="N34" s="139"/>
      <c r="O34" s="139"/>
      <c r="P34" s="165"/>
      <c r="Q34" s="165"/>
      <c r="R34" s="165"/>
      <c r="S34" s="165"/>
      <c r="T34" s="160"/>
      <c r="U34" s="139"/>
      <c r="V34" s="402"/>
      <c r="W34" s="139"/>
      <c r="X34" s="160"/>
      <c r="Y34" s="139"/>
      <c r="Z34" s="388"/>
      <c r="AA34" s="382"/>
      <c r="AB34" s="130"/>
      <c r="AC34" s="123"/>
      <c r="AD34" s="124"/>
      <c r="AE34" s="124"/>
      <c r="AF34" s="124"/>
      <c r="AG34" s="124"/>
      <c r="AH34" s="125"/>
      <c r="AI34" s="130"/>
    </row>
    <row r="35" spans="2:37" ht="8.1" customHeight="1">
      <c r="B35" s="130"/>
      <c r="C35" s="143"/>
      <c r="D35" s="143"/>
      <c r="E35" s="143"/>
      <c r="F35" s="143"/>
      <c r="G35" s="143"/>
      <c r="H35" s="143"/>
      <c r="I35" s="143"/>
      <c r="J35" s="143"/>
      <c r="K35" s="143"/>
      <c r="L35" s="143"/>
      <c r="M35" s="143"/>
      <c r="N35" s="143"/>
      <c r="O35" s="143"/>
      <c r="P35" s="168"/>
      <c r="Q35" s="168"/>
      <c r="R35" s="168"/>
      <c r="S35" s="168"/>
      <c r="T35" s="163"/>
      <c r="U35" s="143"/>
      <c r="V35" s="405"/>
      <c r="W35" s="143"/>
      <c r="X35" s="163"/>
      <c r="Y35" s="143"/>
      <c r="Z35" s="386"/>
      <c r="AA35" s="386"/>
      <c r="AB35" s="130"/>
      <c r="AC35" s="130"/>
      <c r="AD35" s="130"/>
      <c r="AE35" s="130"/>
      <c r="AF35" s="130"/>
      <c r="AG35" s="130"/>
      <c r="AH35" s="130"/>
      <c r="AI35" s="130"/>
    </row>
    <row r="36" spans="2:37" ht="15" thickBot="1">
      <c r="B36" s="130"/>
      <c r="C36" s="133"/>
      <c r="D36" s="141"/>
      <c r="E36" s="141"/>
      <c r="F36" s="141"/>
      <c r="G36" s="141"/>
      <c r="H36" s="141"/>
      <c r="I36" s="141"/>
      <c r="J36" s="141"/>
      <c r="K36" s="141"/>
      <c r="L36" s="141"/>
      <c r="M36" s="141"/>
      <c r="N36" s="141"/>
      <c r="O36" s="141"/>
      <c r="P36" s="167"/>
      <c r="Q36" s="167"/>
      <c r="R36" s="167"/>
      <c r="S36" s="167"/>
      <c r="T36" s="162"/>
      <c r="U36" s="141"/>
      <c r="V36" s="404"/>
      <c r="W36" s="141"/>
      <c r="X36" s="162"/>
      <c r="Y36" s="141"/>
      <c r="Z36" s="389"/>
      <c r="AA36" s="384"/>
      <c r="AB36" s="130"/>
      <c r="AC36" s="126"/>
      <c r="AD36" s="127"/>
      <c r="AE36" s="127"/>
      <c r="AF36" s="127"/>
      <c r="AG36" s="127"/>
      <c r="AH36" s="128"/>
      <c r="AI36" s="130"/>
    </row>
    <row r="37" spans="2:37" ht="19.899999999999999" customHeight="1">
      <c r="B37" s="130"/>
      <c r="C37" s="149" t="s">
        <v>3541</v>
      </c>
      <c r="D37" s="183">
        <f>4686</f>
        <v>4686</v>
      </c>
      <c r="E37" s="183">
        <f>D37*12</f>
        <v>56232</v>
      </c>
      <c r="F37" s="146">
        <v>45713</v>
      </c>
      <c r="G37" s="147" t="s">
        <v>3504</v>
      </c>
      <c r="H37" s="184">
        <f ca="1" xml:space="preserve"> NOW() - (F37 + TIME(LEFT($G$37, 2), MID($G$37, 3, 2), 0))</f>
        <v>263.50046064814524</v>
      </c>
      <c r="I37" s="185">
        <f ca="1">((DATE(YEAR(F37),MONTH(F37)+1,25)) + TIME(LEFT("1200H", 2), MID("1200H", 3, 2), 0)) - ($AG$3 + TIME(LEFT(NOW(), 2), MID(NOW(), 3, 2), 0))</f>
        <v>-236.4423611111124</v>
      </c>
      <c r="J37" s="157"/>
      <c r="K37" s="157"/>
      <c r="L37" s="157"/>
      <c r="M37" s="157"/>
      <c r="N37" s="157"/>
      <c r="O37" s="157"/>
      <c r="P37" s="183"/>
      <c r="Q37" s="183"/>
      <c r="R37" s="183"/>
      <c r="S37" s="183"/>
      <c r="T37" s="186">
        <f>D37/30/24</f>
        <v>6.5083333333333329</v>
      </c>
      <c r="U37" s="187">
        <f ca="1">SUM(U40:U41)</f>
        <v>0</v>
      </c>
      <c r="V37" s="183" t="e">
        <f ca="1">AA37+U37</f>
        <v>#N/A</v>
      </c>
      <c r="W37" s="188" t="e">
        <f ca="1">V37/H37/24</f>
        <v>#N/A</v>
      </c>
      <c r="X37" s="189" t="e">
        <f ca="1">AA37/H37/24</f>
        <v>#N/A</v>
      </c>
      <c r="Y37" s="198"/>
      <c r="Z37" s="390" t="e">
        <f ca="1">SUM(Z40:Z42)</f>
        <v>#N/A</v>
      </c>
      <c r="AA37" s="407" t="e">
        <f ca="1">SUM(AA40:AA42)</f>
        <v>#N/A</v>
      </c>
      <c r="AB37" s="130"/>
      <c r="AC37" s="129" t="s">
        <v>3533</v>
      </c>
      <c r="AD37" s="571" t="e">
        <f ca="1">Z37/$E$37</f>
        <v>#N/A</v>
      </c>
      <c r="AE37" s="572"/>
      <c r="AF37" s="572"/>
      <c r="AG37" s="573"/>
      <c r="AH37" s="122"/>
      <c r="AI37" s="130"/>
      <c r="AK37" s="203" t="e">
        <f ca="1">(E37-Z37)/67/24</f>
        <v>#N/A</v>
      </c>
    </row>
    <row r="38" spans="2:37" ht="15.75" customHeight="1" thickBot="1">
      <c r="B38" s="130"/>
      <c r="C38" s="129"/>
      <c r="D38" s="136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83"/>
      <c r="Q38" s="183"/>
      <c r="R38" s="183"/>
      <c r="S38" s="183"/>
      <c r="T38" s="190"/>
      <c r="U38" s="136"/>
      <c r="V38" s="136"/>
      <c r="W38" s="136"/>
      <c r="X38" s="190"/>
      <c r="Y38" s="136"/>
      <c r="Z38" s="391"/>
      <c r="AA38" s="385"/>
      <c r="AB38" s="130"/>
      <c r="AC38" s="129"/>
      <c r="AD38" s="574"/>
      <c r="AE38" s="575"/>
      <c r="AF38" s="575"/>
      <c r="AG38" s="576"/>
      <c r="AH38" s="122"/>
      <c r="AI38" s="130"/>
    </row>
    <row r="39" spans="2:37" ht="8.1" customHeight="1" thickBot="1">
      <c r="B39" s="130"/>
      <c r="C39" s="129"/>
      <c r="D39" s="136"/>
      <c r="E39" s="136"/>
      <c r="F39" s="136"/>
      <c r="G39" s="136"/>
      <c r="H39" s="136"/>
      <c r="I39" s="136"/>
      <c r="J39" s="136"/>
      <c r="K39" s="136"/>
      <c r="L39" s="136"/>
      <c r="M39" s="136"/>
      <c r="N39" s="136"/>
      <c r="O39" s="136"/>
      <c r="P39" s="136"/>
      <c r="Q39" s="136"/>
      <c r="R39" s="136"/>
      <c r="S39" s="136"/>
      <c r="T39" s="190"/>
      <c r="U39" s="136"/>
      <c r="V39" s="136"/>
      <c r="W39" s="136"/>
      <c r="X39" s="190"/>
      <c r="Y39" s="136"/>
      <c r="Z39" s="391"/>
      <c r="AA39" s="385"/>
      <c r="AB39" s="130"/>
      <c r="AC39" s="129"/>
      <c r="AD39" s="121"/>
      <c r="AE39" s="121"/>
      <c r="AF39" s="121"/>
      <c r="AG39" s="121"/>
      <c r="AH39" s="122"/>
      <c r="AI39" s="130"/>
    </row>
    <row r="40" spans="2:37" ht="15" customHeight="1">
      <c r="B40" s="130"/>
      <c r="C40" s="129" t="s">
        <v>110</v>
      </c>
      <c r="D40" s="136"/>
      <c r="E40" s="136"/>
      <c r="F40" s="136"/>
      <c r="G40" s="136"/>
      <c r="H40" s="136"/>
      <c r="I40" s="136"/>
      <c r="J40" s="376">
        <v>618.5</v>
      </c>
      <c r="K40" s="376">
        <v>690.33</v>
      </c>
      <c r="L40" s="376">
        <v>10051.18</v>
      </c>
      <c r="M40" s="376">
        <v>9.0399999999999991</v>
      </c>
      <c r="N40" s="191"/>
      <c r="O40" s="191"/>
      <c r="P40" s="192">
        <f>INDEX(BILLING!$P:$P,MATCH($F37&amp;" "&amp;$G37,BILLING!$C:$C,0))</f>
        <v>710.67</v>
      </c>
      <c r="Q40" s="192">
        <f>INDEX(BILLING!$Q:$Q,MATCH($F37&amp;" "&amp;$G37,BILLING!$C:$C,0))</f>
        <v>777.87</v>
      </c>
      <c r="R40" s="192">
        <f>INDEX(BILLING!$R:$R,MATCH($F37&amp;" "&amp;$G37,BILLING!$C:$C,0))</f>
        <v>10490.23</v>
      </c>
      <c r="S40" s="192">
        <f>INDEX(BILLING!$S:$S,MATCH($F37&amp;" "&amp;$G37,BILLING!$C:$C,0))</f>
        <v>9.0399999999999991</v>
      </c>
      <c r="T40" s="190"/>
      <c r="U40" s="187" cm="1">
        <f t="array" aca="1" ref="U40" ca="1">INDIRECT(TEXT(DAY(TODAY()),"0")&amp;"!AI34")</f>
        <v>0</v>
      </c>
      <c r="V40" s="187"/>
      <c r="W40" s="187"/>
      <c r="X40" s="190"/>
      <c r="Y40" s="181"/>
      <c r="Z40" s="392" t="e">
        <f ca="1">(((((INDEX(BILLING!$P:$P,MATCH($AG$3&amp;" "&amp;$AG$5,BILLING!$C:$C,0))-J40)*$D$55)-
((INDEX(BILLING!$Q:$Q,MATCH($AG$3&amp;" "&amp;$AG$5,BILLING!$C:$C,0))-K40)*$D$55)))+
((((INDEX(BILLING!$R:$R,MATCH($AG$3&amp;" "&amp;$AG$5,BILLING!$C:$C,0))-L40)*$D$54)-
((INDEX(BILLING!$S:$S,MATCH($AG$3&amp;" "&amp;$AG$5,BILLING!$C:$C,0))-M40)*$D$54))))/1000</f>
        <v>#N/A</v>
      </c>
      <c r="AA40" s="380" t="e">
        <f ca="1">(((((INDEX(BILLING!$P:$P,MATCH($AG$3&amp;" "&amp;$AG$5,BILLING!$C:$C,0))-P40)*$D$55)-
((INDEX(BILLING!$Q:$Q,MATCH($AG$3&amp;" "&amp;$AG$5,BILLING!$C:$C,0))-Q40)*$D$55)))+
((((INDEX(BILLING!$R:$R,MATCH($AG$3&amp;" "&amp;$AG$5,BILLING!$C:$C,0))-R40)*$D$54)-
((INDEX(BILLING!$S:$S,MATCH($AG$3&amp;" "&amp;$AG$5,BILLING!$C:$C,0))-S40)*$D$54))))/1000</f>
        <v>#N/A</v>
      </c>
      <c r="AB40" s="130"/>
      <c r="AC40" s="129" t="s">
        <v>3534</v>
      </c>
      <c r="AD40" s="571" t="e">
        <f ca="1">$AA$37/$D$37</f>
        <v>#N/A</v>
      </c>
      <c r="AE40" s="572"/>
      <c r="AF40" s="572"/>
      <c r="AG40" s="573"/>
      <c r="AH40" s="122"/>
      <c r="AI40" s="130"/>
    </row>
    <row r="41" spans="2:37" ht="15.75" customHeight="1" thickBot="1">
      <c r="B41" s="130"/>
      <c r="C41" s="129" t="s">
        <v>112</v>
      </c>
      <c r="D41" s="136"/>
      <c r="E41" s="136"/>
      <c r="F41" s="136"/>
      <c r="G41" s="136"/>
      <c r="H41" s="136"/>
      <c r="I41" s="136"/>
      <c r="J41" s="375"/>
      <c r="K41" s="375"/>
      <c r="L41" s="376">
        <v>6636.53</v>
      </c>
      <c r="M41" s="376">
        <v>0</v>
      </c>
      <c r="N41" s="191"/>
      <c r="O41" s="191"/>
      <c r="P41" s="192"/>
      <c r="Q41" s="192"/>
      <c r="R41" s="192">
        <f>INDEX(BILLING!$X:$X,MATCH($F37&amp;" "&amp;$G37,BILLING!$C:$C,0))</f>
        <v>7324.66</v>
      </c>
      <c r="S41" s="192">
        <f>INDEX(BILLING!$Y:$Y,MATCH($F37&amp;" "&amp;$G37,BILLING!$C:$C,0))</f>
        <v>0</v>
      </c>
      <c r="T41" s="190"/>
      <c r="U41" s="187" cm="1">
        <f t="array" aca="1" ref="U41" ca="1">INDIRECT(TEXT(DAY(TODAY()),"0")&amp;"!AI76")</f>
        <v>0</v>
      </c>
      <c r="V41" s="187"/>
      <c r="W41" s="187"/>
      <c r="X41" s="190"/>
      <c r="Y41" s="182"/>
      <c r="Z41" s="392" t="e">
        <f ca="1">(((((INDEX(BILLING!$X:$X,MATCH($AG$3&amp;" "&amp;$AG$5,BILLING!$C:$C,0))-L41)*$D$57)-
((INDEX(BILLING!$Y:$Y,MATCH($AG$3&amp;" "&amp;$AG$5,BILLING!$C:$C,0))-M41)*$D$57))))/1000</f>
        <v>#N/A</v>
      </c>
      <c r="AA41" s="380" t="e">
        <f ca="1">(((((INDEX(BILLING!$X:$X,MATCH($AG$3&amp;" "&amp;$AG$5,BILLING!$C:$C,0))-R41)*$D$57)-
((INDEX(BILLING!$Y:$Y,MATCH($AG$3&amp;" "&amp;$AG$5,BILLING!$C:$C,0))-S41)*$D$57))))/1000</f>
        <v>#N/A</v>
      </c>
      <c r="AB41" s="130"/>
      <c r="AC41" s="129"/>
      <c r="AD41" s="574"/>
      <c r="AE41" s="575"/>
      <c r="AF41" s="575"/>
      <c r="AG41" s="576"/>
      <c r="AH41" s="122"/>
      <c r="AI41" s="130"/>
    </row>
    <row r="42" spans="2:37" ht="15.75" hidden="1" customHeight="1">
      <c r="B42" s="130"/>
      <c r="C42" s="395" t="s">
        <v>3542</v>
      </c>
      <c r="D42" s="136"/>
      <c r="E42" s="136"/>
      <c r="F42" s="136"/>
      <c r="G42" s="136"/>
      <c r="H42" s="136"/>
      <c r="I42" s="136"/>
      <c r="J42" s="375"/>
      <c r="K42" s="375"/>
      <c r="L42" s="376"/>
      <c r="M42" s="376"/>
      <c r="N42" s="191"/>
      <c r="O42" s="191"/>
      <c r="P42" s="192"/>
      <c r="Q42" s="192"/>
      <c r="R42" s="192"/>
      <c r="S42" s="192"/>
      <c r="T42" s="190"/>
      <c r="U42" s="187"/>
      <c r="V42" s="187"/>
      <c r="W42" s="187"/>
      <c r="X42" s="190"/>
      <c r="Y42" s="182"/>
      <c r="Z42" s="393"/>
      <c r="AA42" s="379"/>
      <c r="AB42" s="130"/>
      <c r="AC42" s="129"/>
      <c r="AD42" s="394"/>
      <c r="AE42" s="394"/>
      <c r="AF42" s="394"/>
      <c r="AG42" s="394"/>
      <c r="AH42" s="122"/>
      <c r="AI42" s="130"/>
    </row>
    <row r="43" spans="2:37">
      <c r="B43" s="130"/>
      <c r="C43" s="138"/>
      <c r="D43" s="139"/>
      <c r="E43" s="139"/>
      <c r="F43" s="139"/>
      <c r="G43" s="139"/>
      <c r="H43" s="139"/>
      <c r="I43" s="139"/>
      <c r="J43" s="139"/>
      <c r="K43" s="139"/>
      <c r="L43" s="139"/>
      <c r="M43" s="139"/>
      <c r="N43" s="139"/>
      <c r="O43" s="139"/>
      <c r="P43" s="139"/>
      <c r="Q43" s="139"/>
      <c r="R43" s="139"/>
      <c r="S43" s="139"/>
      <c r="T43" s="160"/>
      <c r="U43" s="139"/>
      <c r="V43" s="139"/>
      <c r="W43" s="139"/>
      <c r="X43" s="160"/>
      <c r="Y43" s="139"/>
      <c r="Z43" s="139"/>
      <c r="AA43" s="140"/>
      <c r="AB43" s="130"/>
      <c r="AC43" s="123"/>
      <c r="AD43" s="124"/>
      <c r="AE43" s="124"/>
      <c r="AF43" s="124"/>
      <c r="AG43" s="124"/>
      <c r="AH43" s="125"/>
      <c r="AI43" s="130"/>
    </row>
    <row r="44" spans="2:37" ht="8.1" customHeight="1">
      <c r="B44" s="130"/>
      <c r="C44" s="130"/>
      <c r="D44" s="131"/>
      <c r="E44" s="130"/>
      <c r="F44" s="131"/>
      <c r="G44" s="131"/>
      <c r="H44" s="131"/>
      <c r="I44" s="131"/>
      <c r="J44" s="131"/>
      <c r="K44" s="131"/>
      <c r="L44" s="131"/>
      <c r="M44" s="131"/>
      <c r="N44" s="131"/>
      <c r="O44" s="131"/>
      <c r="P44" s="131"/>
      <c r="Q44" s="131"/>
      <c r="R44" s="131"/>
      <c r="S44" s="131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</row>
    <row r="45" spans="2:37">
      <c r="T45" s="79"/>
      <c r="U45" s="79"/>
      <c r="V45" s="79"/>
      <c r="W45" s="79"/>
      <c r="X45" s="79"/>
      <c r="Y45" s="79"/>
      <c r="Z45" s="79"/>
    </row>
    <row r="46" spans="2:37">
      <c r="P46"/>
      <c r="Q46"/>
      <c r="R46"/>
      <c r="S46"/>
    </row>
    <row r="47" spans="2:37">
      <c r="P47"/>
      <c r="Q47"/>
      <c r="R47"/>
      <c r="S47"/>
    </row>
    <row r="48" spans="2:37">
      <c r="C48" t="s">
        <v>3543</v>
      </c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</row>
    <row r="51" spans="3:19">
      <c r="C51" s="71" t="s">
        <v>3544</v>
      </c>
      <c r="D51" s="396">
        <v>42000</v>
      </c>
      <c r="F51" s="67"/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>
      <c r="C52" s="71" t="s">
        <v>3545</v>
      </c>
      <c r="D52" s="396">
        <v>36000</v>
      </c>
      <c r="F52" s="67">
        <v>11200</v>
      </c>
      <c r="G52"/>
      <c r="H52"/>
      <c r="I52"/>
      <c r="J52"/>
      <c r="K52"/>
      <c r="L52"/>
      <c r="M52"/>
      <c r="N52"/>
      <c r="O52"/>
      <c r="P52"/>
      <c r="Q52"/>
      <c r="R52"/>
      <c r="S52"/>
    </row>
    <row r="53" spans="3:19">
      <c r="C53" s="71" t="s">
        <v>3546</v>
      </c>
      <c r="D53" s="396">
        <v>48000</v>
      </c>
      <c r="F53" s="67">
        <v>8400</v>
      </c>
      <c r="G53"/>
      <c r="H53"/>
      <c r="I53"/>
      <c r="J53"/>
      <c r="K53"/>
      <c r="L53"/>
      <c r="M53"/>
      <c r="N53"/>
      <c r="O53"/>
      <c r="P53"/>
      <c r="Q53"/>
      <c r="R53"/>
      <c r="S53"/>
    </row>
    <row r="54" spans="3:19">
      <c r="C54" s="71" t="s">
        <v>3547</v>
      </c>
      <c r="D54" s="396">
        <v>8400</v>
      </c>
      <c r="F54" s="152">
        <v>8400</v>
      </c>
      <c r="G54" s="106"/>
      <c r="H54" s="106"/>
      <c r="I54"/>
      <c r="J54"/>
      <c r="K54"/>
      <c r="L54"/>
      <c r="M54"/>
      <c r="N54"/>
      <c r="O54"/>
      <c r="P54"/>
      <c r="Q54"/>
      <c r="R54"/>
      <c r="S54"/>
    </row>
    <row r="55" spans="3:19">
      <c r="C55" s="71" t="s">
        <v>3548</v>
      </c>
      <c r="D55" s="396">
        <v>21000</v>
      </c>
      <c r="F55" s="67">
        <v>21000</v>
      </c>
      <c r="G55"/>
      <c r="H55"/>
      <c r="I55"/>
      <c r="J55"/>
      <c r="K55"/>
      <c r="L55"/>
      <c r="M55"/>
      <c r="N55"/>
      <c r="O55"/>
      <c r="P55"/>
      <c r="Q55"/>
      <c r="R55"/>
      <c r="S55"/>
    </row>
    <row r="56" spans="3:19">
      <c r="C56" s="71" t="s">
        <v>55</v>
      </c>
      <c r="D56" s="397">
        <v>2100</v>
      </c>
      <c r="F56" s="67">
        <v>1400</v>
      </c>
      <c r="G56"/>
      <c r="H56"/>
      <c r="I56"/>
      <c r="J56"/>
      <c r="K56"/>
      <c r="L56"/>
      <c r="M56"/>
      <c r="N56"/>
      <c r="O56"/>
      <c r="P56"/>
      <c r="Q56"/>
      <c r="R56"/>
      <c r="S56"/>
    </row>
    <row r="57" spans="3:19">
      <c r="C57" s="71" t="s">
        <v>3549</v>
      </c>
      <c r="D57" s="396">
        <v>1400</v>
      </c>
      <c r="F57" s="67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</row>
    <row r="58" spans="3:19">
      <c r="C58" s="107" t="s">
        <v>32</v>
      </c>
      <c r="D58" s="396">
        <v>30000</v>
      </c>
      <c r="F58" s="152">
        <v>30000</v>
      </c>
      <c r="G58" s="106"/>
      <c r="H58" s="106"/>
      <c r="I58"/>
      <c r="J58"/>
      <c r="K58"/>
      <c r="L58"/>
      <c r="M58"/>
      <c r="N58"/>
      <c r="O58"/>
      <c r="P58"/>
      <c r="Q58"/>
      <c r="R58"/>
      <c r="S58"/>
    </row>
    <row r="59" spans="3:19">
      <c r="C59" s="107" t="s">
        <v>3550</v>
      </c>
      <c r="D59" s="396">
        <v>12000</v>
      </c>
      <c r="F59" s="67">
        <v>12000</v>
      </c>
      <c r="G59"/>
      <c r="H59"/>
      <c r="I59"/>
      <c r="J59"/>
      <c r="K59"/>
      <c r="L59"/>
      <c r="M59"/>
      <c r="N59"/>
      <c r="O59"/>
      <c r="P59"/>
      <c r="Q59"/>
      <c r="R59"/>
      <c r="S59"/>
    </row>
    <row r="60" spans="3:19">
      <c r="C60" s="107" t="s">
        <v>3551</v>
      </c>
      <c r="D60" s="398">
        <v>4200</v>
      </c>
      <c r="F60" s="150">
        <v>4200</v>
      </c>
      <c r="G60" s="145"/>
      <c r="H60" s="145"/>
      <c r="I60"/>
      <c r="J60"/>
      <c r="K60"/>
      <c r="L60"/>
      <c r="M60"/>
      <c r="N60"/>
      <c r="O60"/>
      <c r="P60"/>
      <c r="Q60"/>
      <c r="R60"/>
      <c r="S60"/>
    </row>
    <row r="61" spans="3:19">
      <c r="C61" s="107" t="s">
        <v>3552</v>
      </c>
      <c r="D61" s="398">
        <v>11200</v>
      </c>
      <c r="F61" s="150">
        <v>11200</v>
      </c>
      <c r="G61" s="145"/>
      <c r="H61" s="145"/>
      <c r="I61"/>
      <c r="J61"/>
      <c r="K61"/>
      <c r="L61"/>
      <c r="M61"/>
      <c r="N61"/>
      <c r="O61"/>
      <c r="P61"/>
      <c r="Q61"/>
      <c r="R61"/>
      <c r="S61"/>
    </row>
    <row r="62" spans="3:19">
      <c r="C62" s="400" t="s">
        <v>3553</v>
      </c>
      <c r="D62" s="399">
        <v>7000</v>
      </c>
      <c r="F62" s="150">
        <v>3500</v>
      </c>
      <c r="I62"/>
      <c r="J62"/>
      <c r="K62"/>
      <c r="L62"/>
      <c r="M62"/>
      <c r="N62"/>
      <c r="O62"/>
      <c r="P62"/>
      <c r="Q62"/>
      <c r="R62"/>
      <c r="S62"/>
    </row>
    <row r="63" spans="3:19" ht="28.9">
      <c r="C63" s="378" t="s">
        <v>3554</v>
      </c>
      <c r="D63" s="399">
        <v>4200</v>
      </c>
      <c r="F63" s="150"/>
      <c r="I63"/>
      <c r="J63"/>
      <c r="K63"/>
      <c r="L63"/>
      <c r="M63"/>
      <c r="N63"/>
      <c r="O63"/>
      <c r="P63"/>
      <c r="Q63"/>
      <c r="R63"/>
      <c r="S63"/>
    </row>
    <row r="64" spans="3:19" ht="28.9">
      <c r="C64" s="378" t="s">
        <v>3555</v>
      </c>
      <c r="D64" s="399">
        <v>4200</v>
      </c>
      <c r="F64"/>
      <c r="I64"/>
      <c r="J64"/>
      <c r="K64"/>
      <c r="L64"/>
      <c r="M64"/>
      <c r="N64"/>
      <c r="O64"/>
      <c r="P64"/>
      <c r="Q64"/>
      <c r="R64"/>
      <c r="S64"/>
    </row>
    <row r="65" spans="4:19">
      <c r="D65"/>
      <c r="F65"/>
      <c r="H65" s="156"/>
      <c r="I65"/>
      <c r="J65"/>
      <c r="K65"/>
      <c r="L65"/>
      <c r="M65"/>
      <c r="N65"/>
      <c r="O65"/>
      <c r="P65"/>
      <c r="Q65"/>
      <c r="R65"/>
      <c r="S65"/>
    </row>
    <row r="66" spans="4:19">
      <c r="D66"/>
      <c r="F66"/>
      <c r="I66"/>
      <c r="J66"/>
      <c r="K66"/>
      <c r="L66"/>
      <c r="M66"/>
      <c r="N66"/>
      <c r="O66"/>
      <c r="P66"/>
      <c r="Q66"/>
      <c r="R66"/>
      <c r="S66"/>
    </row>
    <row r="67" spans="4:19">
      <c r="D67"/>
      <c r="F67"/>
    </row>
  </sheetData>
  <mergeCells count="32">
    <mergeCell ref="H3:H6"/>
    <mergeCell ref="C3:C6"/>
    <mergeCell ref="D3:D6"/>
    <mergeCell ref="E3:E6"/>
    <mergeCell ref="F3:F6"/>
    <mergeCell ref="G3:G6"/>
    <mergeCell ref="Y3:Y6"/>
    <mergeCell ref="I3:I6"/>
    <mergeCell ref="J3:K5"/>
    <mergeCell ref="L3:M5"/>
    <mergeCell ref="N3:O5"/>
    <mergeCell ref="P3:Q5"/>
    <mergeCell ref="R3:S5"/>
    <mergeCell ref="T3:T6"/>
    <mergeCell ref="U3:U6"/>
    <mergeCell ref="V3:V6"/>
    <mergeCell ref="W3:W6"/>
    <mergeCell ref="X3:X6"/>
    <mergeCell ref="Z3:Z6"/>
    <mergeCell ref="AA3:AA6"/>
    <mergeCell ref="AF3:AF4"/>
    <mergeCell ref="AG3:AH4"/>
    <mergeCell ref="AF5:AF6"/>
    <mergeCell ref="AG5:AH6"/>
    <mergeCell ref="AD37:AG38"/>
    <mergeCell ref="AD40:AG41"/>
    <mergeCell ref="AD9:AG10"/>
    <mergeCell ref="AD12:AG13"/>
    <mergeCell ref="AD17:AG18"/>
    <mergeCell ref="AD20:AG21"/>
    <mergeCell ref="AD25:AG26"/>
    <mergeCell ref="AD28:AG29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{15D4100D-D89F-44CC-BEFB-7F1FD76EB5D7}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{75E85D75-AF40-4A12-AF14-40A44AAA3795}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{638492F5-87AC-43CE-A372-988FDBF35C58}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{5BF87FC5-AE50-4D1C-A2DC-DA41DD77009F}</x14:id>
        </ext>
      </extLst>
    </cfRule>
  </conditionalFormatting>
  <conditionalFormatting sqref="AD37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{6049788B-11E4-44E4-9480-288EBB1D521F}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{5D65D648-13BA-4640-94E0-69C06B93B9E4}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{5133479A-D6CA-4285-A11D-2B42F661647C}</x14:id>
        </ext>
      </extLst>
    </cfRule>
  </conditionalFormatting>
  <conditionalFormatting sqref="AD40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{EBCF9BD1-1332-4149-9C53-7ECA0C0A56BE}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5D4100D-D89F-44CC-BEFB-7F1FD76EB5D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75E85D75-AF40-4A12-AF14-40A44AAA379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38492F5-87AC-43CE-A372-988FDBF35C5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5BF87FC5-AE50-4D1C-A2DC-DA41DD77009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6049788B-11E4-44E4-9480-288EBB1D521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AD37</xm:sqref>
        </x14:conditionalFormatting>
        <x14:conditionalFormatting xmlns:xm="http://schemas.microsoft.com/office/excel/2006/main">
          <x14:cfRule type="dataBar" id="{5D65D648-13BA-4640-94E0-69C06B93B9E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5133479A-D6CA-4285-A11D-2B42F661647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EBCF9BD1-1332-4149-9C53-7ECA0C0A56B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AD40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B4F86-B745-45F7-9FE3-6E55334769A4}">
  <sheetPr codeName="Sheet3"/>
  <dimension ref="A1:H50"/>
  <sheetViews>
    <sheetView zoomScaleNormal="100" workbookViewId="0">
      <pane ySplit="1" topLeftCell="A23" activePane="bottomLeft" state="frozen"/>
      <selection pane="bottomLeft" activeCell="B9" sqref="B9"/>
    </sheetView>
  </sheetViews>
  <sheetFormatPr defaultRowHeight="14.45"/>
  <cols>
    <col min="1" max="1" width="24.7109375" bestFit="1" customWidth="1"/>
    <col min="2" max="2" width="16.5703125" bestFit="1" customWidth="1"/>
    <col min="3" max="3" width="19.140625" customWidth="1"/>
    <col min="4" max="5" width="26.42578125" style="79" customWidth="1"/>
    <col min="6" max="6" width="14.85546875" bestFit="1" customWidth="1"/>
    <col min="7" max="7" width="12" bestFit="1" customWidth="1"/>
  </cols>
  <sheetData>
    <row r="1" spans="1:8" ht="27.6">
      <c r="A1" s="411" t="s">
        <v>154</v>
      </c>
      <c r="B1" s="169" t="s">
        <v>3609</v>
      </c>
      <c r="C1" s="169" t="s">
        <v>3610</v>
      </c>
      <c r="D1" s="417" t="s">
        <v>3611</v>
      </c>
      <c r="E1" s="417" t="s">
        <v>3612</v>
      </c>
      <c r="F1" s="415" t="s">
        <v>3613</v>
      </c>
      <c r="G1" s="415" t="s">
        <v>3614</v>
      </c>
      <c r="H1" s="416"/>
    </row>
    <row r="2" spans="1:8">
      <c r="A2" s="37" t="s">
        <v>248</v>
      </c>
      <c r="B2" s="100">
        <f>SUMIFS('GEN SWITCHING LOGS'!$F:$F,'GEN SWITCHING LOGS'!$A:$A,$A2,'GEN SWITCHING LOGS'!$G:$G,"")</f>
        <v>22.254861111090577</v>
      </c>
      <c r="C2" s="100">
        <f>SUMIFS('GEN SWITCHING LOGS'!$F:$F,'GEN SWITCHING LOGS'!$A:$A,$A2,'GEN SWITCHING LOGS'!$G:$G,"CMS")+SUMIFS('GEN SWITCHING LOGS'!$F:$F,'GEN SWITCHING LOGS'!$A:$A,$A2,'GEN SWITCHING LOGS'!$G:$G,"PMS")</f>
        <v>0.37708333333284827</v>
      </c>
      <c r="D2" s="414">
        <f>SUMIFS('GEN SWITCHING LOGS'!$F:$F,
        'GEN SWITCHING LOGS'!$A:$A, $A2,
        'GEN SWITCHING LOGS'!$G:$G, "CMS",
        'GEN SWITCHING LOGS'!$B:$B, "&gt;=" &amp; $F$2,
        'GEN SWITCHING LOGS'!$B:$B, "&lt;=" &amp; $G$2)</f>
        <v>0</v>
      </c>
      <c r="E2" s="425" cm="1">
        <f t="array" aca="1" ref="E2" ca="1">SUMPRODUCT((NOW() - ($F$2 + IFERROR(TIME(VALUE(LEFT('GEN SWITCHING LOGS'!$C$2:$C$98491, 2)),VALUE(MID('GEN SWITCHING LOGS'!$C$2:$C$98491, 3, 2)), 0), 0))),
            ('GEN SWITCHING LOGS'!$A$2:$A$98491=$A2) *
            ('GEN SWITCHING LOGS'!$G$2:$G$98491="CMS") *
            ('GEN SWITCHING LOGS'!$B$2:$B$98491 &lt; $F$2) *
            ('GEN SWITCHING LOGS'!$E$2:$E$98491=""))</f>
        <v>0</v>
      </c>
      <c r="F2" s="84">
        <v>45717</v>
      </c>
      <c r="G2" s="84">
        <v>45741</v>
      </c>
    </row>
    <row r="3" spans="1:8">
      <c r="A3" s="37" t="s">
        <v>177</v>
      </c>
      <c r="B3" s="100">
        <f>SUMIFS('GEN SWITCHING LOGS'!$F:$F,'GEN SWITCHING LOGS'!$A:$A,$A3,'GEN SWITCHING LOGS'!$G:$G,"")</f>
        <v>23.491666666661331</v>
      </c>
      <c r="C3" s="100">
        <f>SUMIFS('GEN SWITCHING LOGS'!$F:$F,'GEN SWITCHING LOGS'!$A:$A,$A3,'GEN SWITCHING LOGS'!$G:$G,"CMS")+SUMIFS('GEN SWITCHING LOGS'!$F:$F,'GEN SWITCHING LOGS'!$A:$A,$A3,'GEN SWITCHING LOGS'!$G:$G,"PMS")</f>
        <v>0.97152777777955635</v>
      </c>
      <c r="D3" s="414">
        <f>SUMIFS('GEN SWITCHING LOGS'!$F:$F,
        'GEN SWITCHING LOGS'!$A:$A, $A3,
        'GEN SWITCHING LOGS'!$G:$G, "CMS",
        'GEN SWITCHING LOGS'!$B:$B, "&gt;=" &amp; $F$2,
        'GEN SWITCHING LOGS'!$B:$B, "&lt;=" &amp; $G$2)</f>
        <v>0</v>
      </c>
      <c r="E3" s="425" cm="1">
        <f t="array" aca="1" ref="E3" ca="1">SUMPRODUCT((NOW() - ($F$2 + IFERROR(TIME(VALUE(LEFT('GEN SWITCHING LOGS'!$C$2:$C$98491, 2)),VALUE(MID('GEN SWITCHING LOGS'!$C$2:$C$98491, 3, 2)), 0), 0))),
            ('GEN SWITCHING LOGS'!$A$2:$A$98491=$A3) *
            ('GEN SWITCHING LOGS'!$G$2:$G$98491="CMS") *
            ('GEN SWITCHING LOGS'!$B$2:$B$98491 &lt; $F$2) *
            ('GEN SWITCHING LOGS'!$E$2:$E$98491=""))</f>
        <v>0</v>
      </c>
      <c r="F3" s="412"/>
      <c r="G3" s="412"/>
    </row>
    <row r="4" spans="1:8">
      <c r="A4" s="37" t="s">
        <v>174</v>
      </c>
      <c r="B4" s="100">
        <f>SUMIFS('GEN SWITCHING LOGS'!$F:$F,'GEN SWITCHING LOGS'!$A:$A,$A4,'GEN SWITCHING LOGS'!$G:$G,"")</f>
        <v>25.572222222202981</v>
      </c>
      <c r="C4" s="100">
        <f>SUMIFS('GEN SWITCHING LOGS'!$F:$F,'GEN SWITCHING LOGS'!$A:$A,$A4,'GEN SWITCHING LOGS'!$G:$G,"CMS")+SUMIFS('GEN SWITCHING LOGS'!$F:$F,'GEN SWITCHING LOGS'!$A:$A,$A4,'GEN SWITCHING LOGS'!$G:$G,"PMS")</f>
        <v>0.32013888889196096</v>
      </c>
      <c r="D4" s="414">
        <f>SUMIFS('GEN SWITCHING LOGS'!$F:$F,
        'GEN SWITCHING LOGS'!$A:$A, $A4,
        'GEN SWITCHING LOGS'!$G:$G, "CMS",
        'GEN SWITCHING LOGS'!$B:$B, "&gt;=" &amp; $F$2,
        'GEN SWITCHING LOGS'!$B:$B, "&lt;=" &amp; $G$2)</f>
        <v>0</v>
      </c>
      <c r="E4" s="425" cm="1">
        <f t="array" aca="1" ref="E4" ca="1">SUMPRODUCT((NOW() - ($F$2 + IFERROR(TIME(VALUE(LEFT('GEN SWITCHING LOGS'!$C$2:$C$98491, 2)),VALUE(MID('GEN SWITCHING LOGS'!$C$2:$C$98491, 3, 2)), 0), 0))),
            ('GEN SWITCHING LOGS'!$A$2:$A$98491=$A4) *
            ('GEN SWITCHING LOGS'!$G$2:$G$98491="CMS") *
            ('GEN SWITCHING LOGS'!$B$2:$B$98491 &lt; $F$2) *
            ('GEN SWITCHING LOGS'!$E$2:$E$98491=""))</f>
        <v>0</v>
      </c>
      <c r="F4" s="413"/>
      <c r="G4" s="412"/>
    </row>
    <row r="5" spans="1:8">
      <c r="A5" s="37" t="s">
        <v>180</v>
      </c>
      <c r="B5" s="100">
        <f>SUMIFS('GEN SWITCHING LOGS'!$F:$F,'GEN SWITCHING LOGS'!$A:$A,$A5,'GEN SWITCHING LOGS'!$G:$G,"")</f>
        <v>24.784722222218988</v>
      </c>
      <c r="C5" s="100">
        <f>SUMIFS('GEN SWITCHING LOGS'!$F:$F,'GEN SWITCHING LOGS'!$A:$A,$A5,'GEN SWITCHING LOGS'!$G:$G,"CMS")+SUMIFS('GEN SWITCHING LOGS'!$F:$F,'GEN SWITCHING LOGS'!$A:$A,$A5,'GEN SWITCHING LOGS'!$G:$G,"PMS")</f>
        <v>8.3333333386690356E-3</v>
      </c>
      <c r="D5" s="414">
        <f>SUMIFS('GEN SWITCHING LOGS'!$F:$F,
        'GEN SWITCHING LOGS'!$A:$A, $A5,
        'GEN SWITCHING LOGS'!$G:$G, "CMS",
        'GEN SWITCHING LOGS'!$B:$B, "&gt;=" &amp; $F$2,
        'GEN SWITCHING LOGS'!$B:$B, "&lt;=" &amp; $G$2)</f>
        <v>0</v>
      </c>
      <c r="E5" s="425" cm="1">
        <f t="array" aca="1" ref="E5" ca="1">SUMPRODUCT((NOW() - ($F$2 + IFERROR(TIME(VALUE(LEFT('GEN SWITCHING LOGS'!$C$2:$C$98491, 2)),VALUE(MID('GEN SWITCHING LOGS'!$C$2:$C$98491, 3, 2)), 0), 0))),
            ('GEN SWITCHING LOGS'!$A$2:$A$98491=$A5) *
            ('GEN SWITCHING LOGS'!$G$2:$G$98491="CMS") *
            ('GEN SWITCHING LOGS'!$B$2:$B$98491 &lt; $F$2) *
            ('GEN SWITCHING LOGS'!$E$2:$E$98491=""))</f>
        <v>0</v>
      </c>
      <c r="F5" s="412"/>
      <c r="G5" s="412"/>
    </row>
    <row r="6" spans="1:8">
      <c r="A6" s="37" t="s">
        <v>183</v>
      </c>
      <c r="B6" s="100">
        <f>SUMIFS('GEN SWITCHING LOGS'!$F:$F,'GEN SWITCHING LOGS'!$A:$A,$A6,'GEN SWITCHING LOGS'!$G:$G,"")</f>
        <v>17.197916666635138</v>
      </c>
      <c r="C6" s="100">
        <f>SUMIFS('GEN SWITCHING LOGS'!$F:$F,'GEN SWITCHING LOGS'!$A:$A,$A6,'GEN SWITCHING LOGS'!$G:$G,"CMS")+SUMIFS('GEN SWITCHING LOGS'!$F:$F,'GEN SWITCHING LOGS'!$A:$A,$A6,'GEN SWITCHING LOGS'!$G:$G,"PMS")</f>
        <v>2.0166666666700621</v>
      </c>
      <c r="D6" s="414">
        <f>SUMIFS('GEN SWITCHING LOGS'!$F:$F,
        'GEN SWITCHING LOGS'!$A:$A, $A6,
        'GEN SWITCHING LOGS'!$G:$G, "CMS",
        'GEN SWITCHING LOGS'!$B:$B, "&gt;=" &amp; $F$2,
        'GEN SWITCHING LOGS'!$B:$B, "&lt;=" &amp; $G$2)</f>
        <v>0</v>
      </c>
      <c r="E6" s="425" cm="1">
        <f t="array" aca="1" ref="E6" ca="1">SUMPRODUCT((NOW() - ($F$2 + IFERROR(TIME(VALUE(LEFT('GEN SWITCHING LOGS'!$C$2:$C$98491, 2)),VALUE(MID('GEN SWITCHING LOGS'!$C$2:$C$98491, 3, 2)), 0), 0))),
            ('GEN SWITCHING LOGS'!$A$2:$A$98491=$A6) *
            ('GEN SWITCHING LOGS'!$G$2:$G$98491="CMS") *
            ('GEN SWITCHING LOGS'!$B$2:$B$98491 &lt; $F$2) *
            ('GEN SWITCHING LOGS'!$E$2:$E$98491=""))</f>
        <v>0</v>
      </c>
      <c r="F6" s="412"/>
      <c r="G6" s="412"/>
    </row>
    <row r="7" spans="1:8">
      <c r="A7" s="37" t="s">
        <v>3615</v>
      </c>
      <c r="B7" s="100">
        <f>SUMIFS('GEN SWITCHING LOGS'!$F:$F,'GEN SWITCHING LOGS'!$A:$A,$A7,'GEN SWITCHING LOGS'!$G:$G,"")</f>
        <v>0</v>
      </c>
      <c r="C7" s="100">
        <f>SUMIFS('GEN SWITCHING LOGS'!$F:$F,'GEN SWITCHING LOGS'!$A:$A,$A7,'GEN SWITCHING LOGS'!$G:$G,"CMS")+SUMIFS('GEN SWITCHING LOGS'!$F:$F,'GEN SWITCHING LOGS'!$A:$A,$A7,'GEN SWITCHING LOGS'!$G:$G,"PMS")</f>
        <v>0</v>
      </c>
      <c r="D7" s="414">
        <f>SUMIFS('GEN SWITCHING LOGS'!$F:$F,
        'GEN SWITCHING LOGS'!$A:$A, $A7,
        'GEN SWITCHING LOGS'!$G:$G, "CMS",
        'GEN SWITCHING LOGS'!$B:$B, "&gt;=" &amp; $F$2,
        'GEN SWITCHING LOGS'!$B:$B, "&lt;=" &amp; $G$2)</f>
        <v>0</v>
      </c>
      <c r="E7" s="425" cm="1">
        <f t="array" aca="1" ref="E7" ca="1">SUMPRODUCT((NOW() - ($F$2 + IFERROR(TIME(VALUE(LEFT('GEN SWITCHING LOGS'!$C$2:$C$98491, 2)),VALUE(MID('GEN SWITCHING LOGS'!$C$2:$C$98491, 3, 2)), 0), 0))),
            ('GEN SWITCHING LOGS'!$A$2:$A$98491=$A7) *
            ('GEN SWITCHING LOGS'!$G$2:$G$98491="CMS") *
            ('GEN SWITCHING LOGS'!$B$2:$B$98491 &lt; $F$2) *
            ('GEN SWITCHING LOGS'!$E$2:$E$98491=""))</f>
        <v>0</v>
      </c>
      <c r="F7" s="412"/>
      <c r="G7" s="412"/>
    </row>
    <row r="8" spans="1:8">
      <c r="A8" s="37" t="s">
        <v>242</v>
      </c>
      <c r="B8" s="100" t="e">
        <f>SUMIFS('GEN SWITCHING LOGS'!$F:$F,'GEN SWITCHING LOGS'!$A:$A,$A8,'GEN SWITCHING LOGS'!$G:$G,"")</f>
        <v>#VALUE!</v>
      </c>
      <c r="C8" s="100">
        <f>SUMIFS('GEN SWITCHING LOGS'!$F:$F,'GEN SWITCHING LOGS'!$A:$A,$A8,'GEN SWITCHING LOGS'!$G:$G,"CMS")+SUMIFS('GEN SWITCHING LOGS'!$F:$F,'GEN SWITCHING LOGS'!$A:$A,$A8,'GEN SWITCHING LOGS'!$G:$G,"PMS")</f>
        <v>1.7055555555562023</v>
      </c>
      <c r="D8" s="414">
        <f>SUMIFS('GEN SWITCHING LOGS'!$F:$F,
        'GEN SWITCHING LOGS'!$A:$A, $A8,
        'GEN SWITCHING LOGS'!$G:$G, "CMS",
        'GEN SWITCHING LOGS'!$B:$B, "&gt;=" &amp; $F$2,
        'GEN SWITCHING LOGS'!$B:$B, "&lt;=" &amp; $G$2)</f>
        <v>0</v>
      </c>
      <c r="E8" s="425" cm="1">
        <f t="array" aca="1" ref="E8" ca="1">SUMPRODUCT((NOW() - ($F$2 + IFERROR(TIME(VALUE(LEFT('GEN SWITCHING LOGS'!$C$2:$C$98491, 2)),VALUE(MID('GEN SWITCHING LOGS'!$C$2:$C$98491, 3, 2)), 0), 0))),
            ('GEN SWITCHING LOGS'!$A$2:$A$98491=$A8) *
            ('GEN SWITCHING LOGS'!$G$2:$G$98491="CMS") *
            ('GEN SWITCHING LOGS'!$B$2:$B$98491 &lt; $F$2) *
            ('GEN SWITCHING LOGS'!$E$2:$E$98491=""))</f>
        <v>0</v>
      </c>
      <c r="F8" s="412"/>
      <c r="G8" s="412"/>
    </row>
    <row r="9" spans="1:8">
      <c r="A9" s="37" t="s">
        <v>186</v>
      </c>
      <c r="B9" s="100">
        <f>SUMIFS('GEN SWITCHING LOGS'!$F:$F,'GEN SWITCHING LOGS'!$A:$A,$A9,'GEN SWITCHING LOGS'!$G:$G,"")</f>
        <v>21.411805555537285</v>
      </c>
      <c r="C9" s="100">
        <f>SUMIFS('GEN SWITCHING LOGS'!$F:$F,'GEN SWITCHING LOGS'!$A:$A,$A9,'GEN SWITCHING LOGS'!$G:$G,"CMS")+SUMIFS('GEN SWITCHING LOGS'!$F:$F,'GEN SWITCHING LOGS'!$A:$A,$A9,'GEN SWITCHING LOGS'!$G:$G,"PMS")</f>
        <v>4.7222222223354038E-2</v>
      </c>
      <c r="D9" s="414">
        <f>SUMIFS('GEN SWITCHING LOGS'!$F:$F,
        'GEN SWITCHING LOGS'!$A:$A, $A9,
        'GEN SWITCHING LOGS'!$G:$G, "CMS",
        'GEN SWITCHING LOGS'!$B:$B, "&gt;=" &amp; $F$2,
        'GEN SWITCHING LOGS'!$B:$B, "&lt;=" &amp; $G$2)</f>
        <v>0</v>
      </c>
      <c r="E9" s="425" cm="1">
        <f t="array" aca="1" ref="E9" ca="1">SUMPRODUCT((NOW() - ($F$2 + IFERROR(TIME(VALUE(LEFT('GEN SWITCHING LOGS'!$C$2:$C$98491, 2)),VALUE(MID('GEN SWITCHING LOGS'!$C$2:$C$98491, 3, 2)), 0), 0))),
            ('GEN SWITCHING LOGS'!$A$2:$A$98491=$A9) *
            ('GEN SWITCHING LOGS'!$G$2:$G$98491="CMS") *
            ('GEN SWITCHING LOGS'!$B$2:$B$98491 &lt; $F$2) *
            ('GEN SWITCHING LOGS'!$E$2:$E$98491=""))</f>
        <v>0</v>
      </c>
      <c r="F9" s="412"/>
      <c r="G9" s="412"/>
    </row>
    <row r="10" spans="1:8">
      <c r="A10" s="37" t="s">
        <v>189</v>
      </c>
      <c r="B10" s="100" t="e">
        <f>SUMIFS('GEN SWITCHING LOGS'!$F:$F,'GEN SWITCHING LOGS'!$A:$A,$A10,'GEN SWITCHING LOGS'!$G:$G,"")</f>
        <v>#VALUE!</v>
      </c>
      <c r="C10" s="100">
        <f>SUMIFS('GEN SWITCHING LOGS'!$F:$F,'GEN SWITCHING LOGS'!$A:$A,$A10,'GEN SWITCHING LOGS'!$G:$G,"CMS")+SUMIFS('GEN SWITCHING LOGS'!$F:$F,'GEN SWITCHING LOGS'!$A:$A,$A10,'GEN SWITCHING LOGS'!$G:$G,"PMS")</f>
        <v>8.0479166666700621</v>
      </c>
      <c r="D10" s="414">
        <f>SUMIFS('GEN SWITCHING LOGS'!$F:$F,
        'GEN SWITCHING LOGS'!$A:$A, $A10,
        'GEN SWITCHING LOGS'!$G:$G, "CMS",
        'GEN SWITCHING LOGS'!$B:$B, "&gt;=" &amp; $F$2,
        'GEN SWITCHING LOGS'!$B:$B, "&lt;=" &amp; $G$2)</f>
        <v>0</v>
      </c>
      <c r="E10" s="425" cm="1">
        <f t="array" aca="1" ref="E10" ca="1">SUMPRODUCT((NOW() - ($F$2 + IFERROR(TIME(VALUE(LEFT('GEN SWITCHING LOGS'!$C$2:$C$98491, 2)),VALUE(MID('GEN SWITCHING LOGS'!$C$2:$C$98491, 3, 2)), 0), 0))),
            ('GEN SWITCHING LOGS'!$A$2:$A$98491=$A10) *
            ('GEN SWITCHING LOGS'!$G$2:$G$98491="CMS") *
            ('GEN SWITCHING LOGS'!$B$2:$B$98491 &lt; $F$2) *
            ('GEN SWITCHING LOGS'!$E$2:$E$98491=""))</f>
        <v>0</v>
      </c>
      <c r="F10" s="412"/>
      <c r="G10" s="412"/>
    </row>
    <row r="11" spans="1:8">
      <c r="A11" s="37" t="s">
        <v>192</v>
      </c>
      <c r="B11" s="100">
        <f>SUMIFS('GEN SWITCHING LOGS'!$F:$F,'GEN SWITCHING LOGS'!$A:$A,$A11,'GEN SWITCHING LOGS'!$G:$G,"")</f>
        <v>17.759722222224809</v>
      </c>
      <c r="C11" s="100">
        <f>SUMIFS('GEN SWITCHING LOGS'!$F:$F,'GEN SWITCHING LOGS'!$A:$A,$A11,'GEN SWITCHING LOGS'!$G:$G,"CMS")+SUMIFS('GEN SWITCHING LOGS'!$F:$F,'GEN SWITCHING LOGS'!$A:$A,$A11,'GEN SWITCHING LOGS'!$G:$G,"PMS")</f>
        <v>8.7388888888817746</v>
      </c>
      <c r="D11" s="414">
        <f>SUMIFS('GEN SWITCHING LOGS'!$F:$F,
        'GEN SWITCHING LOGS'!$A:$A, $A11,
        'GEN SWITCHING LOGS'!$G:$G, "CMS",
        'GEN SWITCHING LOGS'!$B:$B, "&gt;=" &amp; $F$2,
        'GEN SWITCHING LOGS'!$B:$B, "&lt;=" &amp; $G$2)</f>
        <v>0</v>
      </c>
      <c r="E11" s="425" cm="1">
        <f t="array" aca="1" ref="E11" ca="1">SUMPRODUCT((NOW() - ($F$2 + IFERROR(TIME(VALUE(LEFT('GEN SWITCHING LOGS'!$C$2:$C$98491, 2)),VALUE(MID('GEN SWITCHING LOGS'!$C$2:$C$98491, 3, 2)), 0), 0))),
            ('GEN SWITCHING LOGS'!$A$2:$A$98491=$A11) *
            ('GEN SWITCHING LOGS'!$G$2:$G$98491="CMS") *
            ('GEN SWITCHING LOGS'!$B$2:$B$98491 &lt; $F$2) *
            ('GEN SWITCHING LOGS'!$E$2:$E$98491=""))</f>
        <v>0</v>
      </c>
      <c r="F11" s="412"/>
      <c r="G11" s="412"/>
    </row>
    <row r="12" spans="1:8">
      <c r="A12" s="37" t="s">
        <v>209</v>
      </c>
      <c r="B12" s="100">
        <f>SUMIFS('GEN SWITCHING LOGS'!$F:$F,'GEN SWITCHING LOGS'!$A:$A,$A12,'GEN SWITCHING LOGS'!$G:$G,"")</f>
        <v>0</v>
      </c>
      <c r="C12" s="100">
        <f>SUMIFS('GEN SWITCHING LOGS'!$F:$F,'GEN SWITCHING LOGS'!$A:$A,$A12,'GEN SWITCHING LOGS'!$G:$G,"CMS")+SUMIFS('GEN SWITCHING LOGS'!$F:$F,'GEN SWITCHING LOGS'!$A:$A,$A12,'GEN SWITCHING LOGS'!$G:$G,"PMS")</f>
        <v>0</v>
      </c>
      <c r="D12" s="414">
        <f>SUMIFS('GEN SWITCHING LOGS'!$F:$F,
        'GEN SWITCHING LOGS'!$A:$A, $A12,
        'GEN SWITCHING LOGS'!$G:$G, "CMS",
        'GEN SWITCHING LOGS'!$B:$B, "&gt;=" &amp; $F$2,
        'GEN SWITCHING LOGS'!$B:$B, "&lt;=" &amp; $G$2)</f>
        <v>0</v>
      </c>
      <c r="E12" s="425" cm="1">
        <f t="array" aca="1" ref="E12" ca="1">SUMPRODUCT((NOW() - ($F$2 + IFERROR(TIME(VALUE(LEFT('GEN SWITCHING LOGS'!$C$2:$C$98491, 2)),VALUE(MID('GEN SWITCHING LOGS'!$C$2:$C$98491, 3, 2)), 0), 0))),
            ('GEN SWITCHING LOGS'!$A$2:$A$98491=$A12) *
            ('GEN SWITCHING LOGS'!$G$2:$G$98491="CMS") *
            ('GEN SWITCHING LOGS'!$B$2:$B$98491 &lt; $F$2) *
            ('GEN SWITCHING LOGS'!$E$2:$E$98491=""))</f>
        <v>0</v>
      </c>
      <c r="F12" s="412"/>
      <c r="G12" s="412"/>
    </row>
    <row r="13" spans="1:8">
      <c r="A13" s="37" t="s">
        <v>162</v>
      </c>
      <c r="B13" s="100">
        <f>SUMIFS('GEN SWITCHING LOGS'!$F:$F,'GEN SWITCHING LOGS'!$A:$A,$A13,'GEN SWITCHING LOGS'!$G:$G,"")</f>
        <v>0</v>
      </c>
      <c r="C13" s="100">
        <f>SUMIFS('GEN SWITCHING LOGS'!$F:$F,'GEN SWITCHING LOGS'!$A:$A,$A13,'GEN SWITCHING LOGS'!$G:$G,"CMS")+SUMIFS('GEN SWITCHING LOGS'!$F:$F,'GEN SWITCHING LOGS'!$A:$A,$A13,'GEN SWITCHING LOGS'!$G:$G,"PMS")</f>
        <v>0</v>
      </c>
      <c r="D13" s="414">
        <f>SUMIFS('GEN SWITCHING LOGS'!$F:$F,
        'GEN SWITCHING LOGS'!$A:$A, $A13,
        'GEN SWITCHING LOGS'!$G:$G, "CMS",
        'GEN SWITCHING LOGS'!$B:$B, "&gt;=" &amp; $F$2,
        'GEN SWITCHING LOGS'!$B:$B, "&lt;=" &amp; $G$2)</f>
        <v>0</v>
      </c>
      <c r="E13" s="425" cm="1">
        <f t="array" aca="1" ref="E13" ca="1">SUMPRODUCT((NOW() - ($F$2 + IFERROR(TIME(VALUE(LEFT('GEN SWITCHING LOGS'!$C$2:$C$98491, 2)),VALUE(MID('GEN SWITCHING LOGS'!$C$2:$C$98491, 3, 2)), 0), 0))),
            ('GEN SWITCHING LOGS'!$A$2:$A$98491=$A13) *
            ('GEN SWITCHING LOGS'!$G$2:$G$98491="CMS") *
            ('GEN SWITCHING LOGS'!$B$2:$B$98491 &lt; $F$2) *
            ('GEN SWITCHING LOGS'!$E$2:$E$98491=""))</f>
        <v>259.39630625000427</v>
      </c>
      <c r="F13" s="412"/>
      <c r="G13" s="412"/>
    </row>
    <row r="14" spans="1:8">
      <c r="A14" s="37" t="s">
        <v>169</v>
      </c>
      <c r="B14" s="100">
        <f>SUMIFS('GEN SWITCHING LOGS'!$F:$F,'GEN SWITCHING LOGS'!$A:$A,$A14,'GEN SWITCHING LOGS'!$G:$G,"")</f>
        <v>0</v>
      </c>
      <c r="C14" s="100">
        <f>SUMIFS('GEN SWITCHING LOGS'!$F:$F,'GEN SWITCHING LOGS'!$A:$A,$A14,'GEN SWITCHING LOGS'!$G:$G,"CMS")+SUMIFS('GEN SWITCHING LOGS'!$F:$F,'GEN SWITCHING LOGS'!$A:$A,$A14,'GEN SWITCHING LOGS'!$G:$G,"PMS")</f>
        <v>0</v>
      </c>
      <c r="D14" s="414">
        <f>SUMIFS('GEN SWITCHING LOGS'!$F:$F,
        'GEN SWITCHING LOGS'!$A:$A, $A14,
        'GEN SWITCHING LOGS'!$G:$G, "CMS",
        'GEN SWITCHING LOGS'!$B:$B, "&gt;=" &amp; $F$2,
        'GEN SWITCHING LOGS'!$B:$B, "&lt;=" &amp; $G$2)</f>
        <v>0</v>
      </c>
      <c r="E14" s="425" cm="1">
        <f t="array" aca="1" ref="E14" ca="1">SUMPRODUCT((NOW() - ($F$2 + IFERROR(TIME(VALUE(LEFT('GEN SWITCHING LOGS'!$C$2:$C$98491, 2)),VALUE(MID('GEN SWITCHING LOGS'!$C$2:$C$98491, 3, 2)), 0), 0))),
            ('GEN SWITCHING LOGS'!$A$2:$A$98491=$A14) *
            ('GEN SWITCHING LOGS'!$G$2:$G$98491="CMS") *
            ('GEN SWITCHING LOGS'!$B$2:$B$98491 &lt; $F$2) *
            ('GEN SWITCHING LOGS'!$E$2:$E$98491=""))</f>
        <v>259.45672430555715</v>
      </c>
      <c r="F14" s="412"/>
      <c r="G14" s="412"/>
    </row>
    <row r="15" spans="1:8">
      <c r="A15" s="37" t="s">
        <v>171</v>
      </c>
      <c r="B15" s="100">
        <f>SUMIFS('GEN SWITCHING LOGS'!$F:$F,'GEN SWITCHING LOGS'!$A:$A,$A15,'GEN SWITCHING LOGS'!$G:$G,"")</f>
        <v>0</v>
      </c>
      <c r="C15" s="100">
        <f>SUMIFS('GEN SWITCHING LOGS'!$F:$F,'GEN SWITCHING LOGS'!$A:$A,$A15,'GEN SWITCHING LOGS'!$G:$G,"CMS")+SUMIFS('GEN SWITCHING LOGS'!$F:$F,'GEN SWITCHING LOGS'!$A:$A,$A15,'GEN SWITCHING LOGS'!$G:$G,"PMS")</f>
        <v>0</v>
      </c>
      <c r="D15" s="414">
        <f>SUMIFS('GEN SWITCHING LOGS'!$F:$F,
        'GEN SWITCHING LOGS'!$A:$A, $A15,
        'GEN SWITCHING LOGS'!$G:$G, "CMS",
        'GEN SWITCHING LOGS'!$B:$B, "&gt;=" &amp; $F$2,
        'GEN SWITCHING LOGS'!$B:$B, "&lt;=" &amp; $G$2)</f>
        <v>0</v>
      </c>
      <c r="E15" s="425" cm="1">
        <f t="array" aca="1" ref="E15" ca="1">SUMPRODUCT((NOW() - ($F$2 + IFERROR(TIME(VALUE(LEFT('GEN SWITCHING LOGS'!$C$2:$C$98491, 2)),VALUE(MID('GEN SWITCHING LOGS'!$C$2:$C$98491, 3, 2)), 0), 0))),
            ('GEN SWITCHING LOGS'!$A$2:$A$98491=$A15) *
            ('GEN SWITCHING LOGS'!$G$2:$G$98491="CMS") *
            ('GEN SWITCHING LOGS'!$B$2:$B$98491 &lt; $F$2) *
            ('GEN SWITCHING LOGS'!$E$2:$E$98491=""))</f>
        <v>259.45602986111044</v>
      </c>
      <c r="F15" s="412"/>
      <c r="G15" s="412"/>
    </row>
    <row r="16" spans="1:8">
      <c r="A16" s="101" t="s">
        <v>196</v>
      </c>
      <c r="B16" s="100">
        <f>SUMIFS('GEN SWITCHING LOGS'!$F:$F,'GEN SWITCHING LOGS'!$A:$A,$A16,'GEN SWITCHING LOGS'!$G:$G,"")</f>
        <v>1.1243055555605679</v>
      </c>
      <c r="C16" s="100">
        <f>SUMIFS('GEN SWITCHING LOGS'!$F:$F,'GEN SWITCHING LOGS'!$A:$A,$A16,'GEN SWITCHING LOGS'!$G:$G,"CMS")+SUMIFS('GEN SWITCHING LOGS'!$F:$F,'GEN SWITCHING LOGS'!$A:$A,$A16,'GEN SWITCHING LOGS'!$G:$G,"PMS")</f>
        <v>16.543055555550382</v>
      </c>
      <c r="D16" s="414">
        <f>SUMIFS('GEN SWITCHING LOGS'!$F:$F,
        'GEN SWITCHING LOGS'!$A:$A, $A16,
        'GEN SWITCHING LOGS'!$G:$G, "CMS",
        'GEN SWITCHING LOGS'!$B:$B, "&gt;=" &amp; $F$2,
        'GEN SWITCHING LOGS'!$B:$B, "&lt;=" &amp; $G$2)</f>
        <v>0</v>
      </c>
      <c r="E16" s="425" cm="1">
        <f t="array" aca="1" ref="E16" ca="1">SUMPRODUCT((NOW() - ($F$2 + IFERROR(TIME(VALUE(LEFT('GEN SWITCHING LOGS'!$C$2:$C$98491, 2)),VALUE(MID('GEN SWITCHING LOGS'!$C$2:$C$98491, 3, 2)), 0), 0))),
            ('GEN SWITCHING LOGS'!$A$2:$A$98491=$A16) *
            ('GEN SWITCHING LOGS'!$G$2:$G$98491="CMS") *
            ('GEN SWITCHING LOGS'!$B$2:$B$98491 &lt; $F$2) *
            ('GEN SWITCHING LOGS'!$E$2:$E$98491=""))</f>
        <v>0</v>
      </c>
      <c r="F16" s="412"/>
      <c r="G16" s="412"/>
    </row>
    <row r="17" spans="1:7">
      <c r="A17" s="101" t="s">
        <v>398</v>
      </c>
      <c r="B17" s="100">
        <f>SUMIFS('GEN SWITCHING LOGS'!$F:$F,'GEN SWITCHING LOGS'!$A:$A,$A17,'GEN SWITCHING LOGS'!$G:$G,"")</f>
        <v>0.47430555554456078</v>
      </c>
      <c r="C17" s="100">
        <f>SUMIFS('GEN SWITCHING LOGS'!$F:$F,'GEN SWITCHING LOGS'!$A:$A,$A17,'GEN SWITCHING LOGS'!$G:$G,"CMS")+SUMIFS('GEN SWITCHING LOGS'!$F:$F,'GEN SWITCHING LOGS'!$A:$A,$A17,'GEN SWITCHING LOGS'!$G:$G,"PMS")</f>
        <v>0</v>
      </c>
      <c r="D17" s="414">
        <f>SUMIFS('GEN SWITCHING LOGS'!$F:$F,
        'GEN SWITCHING LOGS'!$A:$A, $A17,
        'GEN SWITCHING LOGS'!$G:$G, "CMS",
        'GEN SWITCHING LOGS'!$B:$B, "&gt;=" &amp; $F$2,
        'GEN SWITCHING LOGS'!$B:$B, "&lt;=" &amp; $G$2)</f>
        <v>0</v>
      </c>
      <c r="E17" s="425" cm="1">
        <f t="array" aca="1" ref="E17" ca="1">SUMPRODUCT((NOW() - ($F$2 + IFERROR(TIME(VALUE(LEFT('GEN SWITCHING LOGS'!$C$2:$C$98491, 2)),VALUE(MID('GEN SWITCHING LOGS'!$C$2:$C$98491, 3, 2)), 0), 0))),
            ('GEN SWITCHING LOGS'!$A$2:$A$98491=$A17) *
            ('GEN SWITCHING LOGS'!$G$2:$G$98491="CMS") *
            ('GEN SWITCHING LOGS'!$B$2:$B$98491 &lt; $F$2) *
            ('GEN SWITCHING LOGS'!$E$2:$E$98491=""))</f>
        <v>0</v>
      </c>
      <c r="F17" s="412"/>
      <c r="G17" s="412"/>
    </row>
    <row r="18" spans="1:7">
      <c r="A18" s="101" t="s">
        <v>199</v>
      </c>
      <c r="B18" s="100">
        <f>SUMIFS('GEN SWITCHING LOGS'!$F:$F,'GEN SWITCHING LOGS'!$A:$A,$A18,'GEN SWITCHING LOGS'!$G:$G,"")</f>
        <v>3.9402777777722804</v>
      </c>
      <c r="C18" s="100">
        <f>SUMIFS('GEN SWITCHING LOGS'!$F:$F,'GEN SWITCHING LOGS'!$A:$A,$A18,'GEN SWITCHING LOGS'!$G:$G,"CMS")+SUMIFS('GEN SWITCHING LOGS'!$F:$F,'GEN SWITCHING LOGS'!$A:$A,$A18,'GEN SWITCHING LOGS'!$G:$G,"PMS")</f>
        <v>0</v>
      </c>
      <c r="D18" s="414">
        <f>SUMIFS('GEN SWITCHING LOGS'!$F:$F,
        'GEN SWITCHING LOGS'!$A:$A, $A18,
        'GEN SWITCHING LOGS'!$G:$G, "CMS",
        'GEN SWITCHING LOGS'!$B:$B, "&gt;=" &amp; $F$2,
        'GEN SWITCHING LOGS'!$B:$B, "&lt;=" &amp; $G$2)</f>
        <v>0</v>
      </c>
      <c r="E18" s="425" cm="1">
        <f t="array" aca="1" ref="E18" ca="1">SUMPRODUCT((NOW() - ($F$2 + IFERROR(TIME(VALUE(LEFT('GEN SWITCHING LOGS'!$C$2:$C$98491, 2)),VALUE(MID('GEN SWITCHING LOGS'!$C$2:$C$98491, 3, 2)), 0), 0))),
            ('GEN SWITCHING LOGS'!$A$2:$A$98491=$A18) *
            ('GEN SWITCHING LOGS'!$G$2:$G$98491="CMS") *
            ('GEN SWITCHING LOGS'!$B$2:$B$98491 &lt; $F$2) *
            ('GEN SWITCHING LOGS'!$E$2:$E$98491=""))</f>
        <v>0</v>
      </c>
      <c r="F18" s="412"/>
      <c r="G18" s="412"/>
    </row>
    <row r="19" spans="1:7">
      <c r="A19" s="101" t="s">
        <v>202</v>
      </c>
      <c r="B19" s="100">
        <f>SUMIFS('GEN SWITCHING LOGS'!$F:$F,'GEN SWITCHING LOGS'!$A:$A,$A19,'GEN SWITCHING LOGS'!$G:$G,"")</f>
        <v>3.2548611111124046</v>
      </c>
      <c r="C19" s="100">
        <f>SUMIFS('GEN SWITCHING LOGS'!$F:$F,'GEN SWITCHING LOGS'!$A:$A,$A19,'GEN SWITCHING LOGS'!$G:$G,"CMS")+SUMIFS('GEN SWITCHING LOGS'!$F:$F,'GEN SWITCHING LOGS'!$A:$A,$A19,'GEN SWITCHING LOGS'!$G:$G,"PMS")</f>
        <v>10.790277777778101</v>
      </c>
      <c r="D19" s="414">
        <f>SUMIFS('GEN SWITCHING LOGS'!$F:$F,
        'GEN SWITCHING LOGS'!$A:$A, $A19,
        'GEN SWITCHING LOGS'!$G:$G, "CMS",
        'GEN SWITCHING LOGS'!$B:$B, "&gt;=" &amp; $F$2,
        'GEN SWITCHING LOGS'!$B:$B, "&lt;=" &amp; $G$2)</f>
        <v>0</v>
      </c>
      <c r="E19" s="425" cm="1">
        <f t="array" aca="1" ref="E19" ca="1">SUMPRODUCT((NOW() - ($F$2 + IFERROR(TIME(VALUE(LEFT('GEN SWITCHING LOGS'!$C$2:$C$98491, 2)),VALUE(MID('GEN SWITCHING LOGS'!$C$2:$C$98491, 3, 2)), 0), 0))),
            ('GEN SWITCHING LOGS'!$A$2:$A$98491=$A19) *
            ('GEN SWITCHING LOGS'!$G$2:$G$98491="CMS") *
            ('GEN SWITCHING LOGS'!$B$2:$B$98491 &lt; $F$2) *
            ('GEN SWITCHING LOGS'!$E$2:$E$98491=""))</f>
        <v>0</v>
      </c>
      <c r="F19" s="412"/>
      <c r="G19" s="412"/>
    </row>
    <row r="20" spans="1:7">
      <c r="A20" s="101" t="s">
        <v>167</v>
      </c>
      <c r="B20" s="100">
        <f>SUMIFS('GEN SWITCHING LOGS'!$F:$F,'GEN SWITCHING LOGS'!$A:$A,$A20,'GEN SWITCHING LOGS'!$G:$G,"")</f>
        <v>0</v>
      </c>
      <c r="C20" s="100">
        <f>SUMIFS('GEN SWITCHING LOGS'!$F:$F,'GEN SWITCHING LOGS'!$A:$A,$A20,'GEN SWITCHING LOGS'!$G:$G,"CMS")+SUMIFS('GEN SWITCHING LOGS'!$F:$F,'GEN SWITCHING LOGS'!$A:$A,$A20,'GEN SWITCHING LOGS'!$G:$G,"PMS")</f>
        <v>0</v>
      </c>
      <c r="D20" s="414">
        <f>SUMIFS('GEN SWITCHING LOGS'!$F:$F,
        'GEN SWITCHING LOGS'!$A:$A, $A20,
        'GEN SWITCHING LOGS'!$G:$G, "CMS",
        'GEN SWITCHING LOGS'!$B:$B, "&gt;=" &amp; $F$2,
        'GEN SWITCHING LOGS'!$B:$B, "&lt;=" &amp; $G$2)</f>
        <v>0</v>
      </c>
      <c r="E20" s="425" cm="1">
        <f t="array" aca="1" ref="E20" ca="1">SUMPRODUCT((NOW() - ($F$2 + IFERROR(TIME(VALUE(LEFT('GEN SWITCHING LOGS'!$C$2:$C$98491, 2)),VALUE(MID('GEN SWITCHING LOGS'!$C$2:$C$98491, 3, 2)), 0), 0))),
            ('GEN SWITCHING LOGS'!$A$2:$A$98491=$A20) *
            ('GEN SWITCHING LOGS'!$G$2:$G$98491="CMS") *
            ('GEN SWITCHING LOGS'!$B$2:$B$98491 &lt; $F$2) *
            ('GEN SWITCHING LOGS'!$E$2:$E$98491=""))</f>
        <v>259.75047766203352</v>
      </c>
      <c r="F20" s="412"/>
      <c r="G20" s="412"/>
    </row>
    <row r="21" spans="1:7">
      <c r="A21" s="101" t="s">
        <v>205</v>
      </c>
      <c r="B21" s="100">
        <f>SUMIFS('GEN SWITCHING LOGS'!$F:$F,'GEN SWITCHING LOGS'!$A:$A,$A21,'GEN SWITCHING LOGS'!$G:$G,"")</f>
        <v>2.3402777777810115</v>
      </c>
      <c r="C21" s="100">
        <f>SUMIFS('GEN SWITCHING LOGS'!$F:$F,'GEN SWITCHING LOGS'!$A:$A,$A21,'GEN SWITCHING LOGS'!$G:$G,"CMS")+SUMIFS('GEN SWITCHING LOGS'!$F:$F,'GEN SWITCHING LOGS'!$A:$A,$A21,'GEN SWITCHING LOGS'!$G:$G,"PMS")</f>
        <v>15.071527777778101</v>
      </c>
      <c r="D21" s="414">
        <f>SUMIFS('GEN SWITCHING LOGS'!$F:$F,
        'GEN SWITCHING LOGS'!$A:$A, $A21,
        'GEN SWITCHING LOGS'!$G:$G, "CMS",
        'GEN SWITCHING LOGS'!$B:$B, "&gt;=" &amp; $F$2,
        'GEN SWITCHING LOGS'!$B:$B, "&lt;=" &amp; $G$2)</f>
        <v>0</v>
      </c>
      <c r="E21" s="425" cm="1">
        <f t="array" aca="1" ref="E21" ca="1">SUMPRODUCT((NOW() - ($F$2 + IFERROR(TIME(VALUE(LEFT('GEN SWITCHING LOGS'!$C$2:$C$98491, 2)),VALUE(MID('GEN SWITCHING LOGS'!$C$2:$C$98491, 3, 2)), 0), 0))),
            ('GEN SWITCHING LOGS'!$A$2:$A$98491=$A21) *
            ('GEN SWITCHING LOGS'!$G$2:$G$98491="CMS") *
            ('GEN SWITCHING LOGS'!$B$2:$B$98491 &lt; $F$2) *
            ('GEN SWITCHING LOGS'!$E$2:$E$98491=""))</f>
        <v>0</v>
      </c>
      <c r="F21" s="412"/>
      <c r="G21" s="412"/>
    </row>
    <row r="22" spans="1:7">
      <c r="A22" s="37" t="s">
        <v>401</v>
      </c>
      <c r="B22" s="100">
        <f>SUMIFS('GEN SWITCHING LOGS'!$F:$F,'GEN SWITCHING LOGS'!$A:$A,$A22,'GEN SWITCHING LOGS'!$G:$G,"")</f>
        <v>0.55277777778974269</v>
      </c>
      <c r="C22" s="100">
        <f>SUMIFS('GEN SWITCHING LOGS'!$F:$F,'GEN SWITCHING LOGS'!$A:$A,$A22,'GEN SWITCHING LOGS'!$G:$G,"CMS")+SUMIFS('GEN SWITCHING LOGS'!$F:$F,'GEN SWITCHING LOGS'!$A:$A,$A22,'GEN SWITCHING LOGS'!$G:$G,"PMS")</f>
        <v>3.0444444444365217</v>
      </c>
      <c r="D22" s="414">
        <f>SUMIFS('GEN SWITCHING LOGS'!$F:$F,
        'GEN SWITCHING LOGS'!$A:$A, $A22,
        'GEN SWITCHING LOGS'!$G:$G, "CMS",
        'GEN SWITCHING LOGS'!$B:$B, "&gt;=" &amp; $F$2,
        'GEN SWITCHING LOGS'!$B:$B, "&lt;=" &amp; $G$2)</f>
        <v>0</v>
      </c>
      <c r="E22" s="425" cm="1">
        <f t="array" aca="1" ref="E22" ca="1">SUMPRODUCT((NOW() - ($F$2 + IFERROR(TIME(VALUE(LEFT('GEN SWITCHING LOGS'!$C$2:$C$98491, 2)),VALUE(MID('GEN SWITCHING LOGS'!$C$2:$C$98491, 3, 2)), 0), 0))),
            ('GEN SWITCHING LOGS'!$A$2:$A$98491=$A22) *
            ('GEN SWITCHING LOGS'!$G$2:$G$98491="CMS") *
            ('GEN SWITCHING LOGS'!$B$2:$B$98491 &lt; $F$2) *
            ('GEN SWITCHING LOGS'!$E$2:$E$98491=""))</f>
        <v>0</v>
      </c>
      <c r="F22" s="412"/>
      <c r="G22" s="412"/>
    </row>
    <row r="23" spans="1:7">
      <c r="A23" s="37" t="s">
        <v>229</v>
      </c>
      <c r="B23" s="100">
        <f>SUMIFS('GEN SWITCHING LOGS'!$F:$F,'GEN SWITCHING LOGS'!$A:$A,$A23,'GEN SWITCHING LOGS'!$G:$G,"")</f>
        <v>2.9833333333444898</v>
      </c>
      <c r="C23" s="100">
        <f>SUMIFS('GEN SWITCHING LOGS'!$F:$F,'GEN SWITCHING LOGS'!$A:$A,$A23,'GEN SWITCHING LOGS'!$G:$G,"CMS")+SUMIFS('GEN SWITCHING LOGS'!$F:$F,'GEN SWITCHING LOGS'!$A:$A,$A23,'GEN SWITCHING LOGS'!$G:$G,"PMS")</f>
        <v>0</v>
      </c>
      <c r="D23" s="414">
        <f>SUMIFS('GEN SWITCHING LOGS'!$F:$F,
        'GEN SWITCHING LOGS'!$A:$A, $A23,
        'GEN SWITCHING LOGS'!$G:$G, "CMS",
        'GEN SWITCHING LOGS'!$B:$B, "&gt;=" &amp; $F$2,
        'GEN SWITCHING LOGS'!$B:$B, "&lt;=" &amp; $G$2)</f>
        <v>0</v>
      </c>
      <c r="E23" s="425" cm="1">
        <f t="array" aca="1" ref="E23" ca="1">SUMPRODUCT((NOW() - ($F$2 + IFERROR(TIME(VALUE(LEFT('GEN SWITCHING LOGS'!$C$2:$C$98491, 2)),VALUE(MID('GEN SWITCHING LOGS'!$C$2:$C$98491, 3, 2)), 0), 0))),
            ('GEN SWITCHING LOGS'!$A$2:$A$98491=$A23) *
            ('GEN SWITCHING LOGS'!$G$2:$G$98491="CMS") *
            ('GEN SWITCHING LOGS'!$B$2:$B$98491 &lt; $F$2) *
            ('GEN SWITCHING LOGS'!$E$2:$E$98491=""))</f>
        <v>0</v>
      </c>
      <c r="F23" s="412"/>
      <c r="G23" s="412"/>
    </row>
    <row r="24" spans="1:7">
      <c r="A24" s="37" t="s">
        <v>232</v>
      </c>
      <c r="B24" s="100">
        <f>SUMIFS('GEN SWITCHING LOGS'!$F:$F,'GEN SWITCHING LOGS'!$A:$A,$A24,'GEN SWITCHING LOGS'!$G:$G,"")</f>
        <v>6.8694444444263354</v>
      </c>
      <c r="C24" s="100">
        <f>SUMIFS('GEN SWITCHING LOGS'!$F:$F,'GEN SWITCHING LOGS'!$A:$A,$A24,'GEN SWITCHING LOGS'!$G:$G,"CMS")+SUMIFS('GEN SWITCHING LOGS'!$F:$F,'GEN SWITCHING LOGS'!$A:$A,$A24,'GEN SWITCHING LOGS'!$G:$G,"PMS")</f>
        <v>0.38541666666424135</v>
      </c>
      <c r="D24" s="414">
        <f>SUMIFS('GEN SWITCHING LOGS'!$F:$F,
        'GEN SWITCHING LOGS'!$A:$A, $A24,
        'GEN SWITCHING LOGS'!$G:$G, "CMS",
        'GEN SWITCHING LOGS'!$B:$B, "&gt;=" &amp; $F$2,
        'GEN SWITCHING LOGS'!$B:$B, "&lt;=" &amp; $G$2)</f>
        <v>0</v>
      </c>
      <c r="E24" s="425" cm="1">
        <f t="array" aca="1" ref="E24" ca="1">SUMPRODUCT((NOW() - ($F$2 + IFERROR(TIME(VALUE(LEFT('GEN SWITCHING LOGS'!$C$2:$C$98491, 2)),VALUE(MID('GEN SWITCHING LOGS'!$C$2:$C$98491, 3, 2)), 0), 0))),
            ('GEN SWITCHING LOGS'!$A$2:$A$98491=$A24) *
            ('GEN SWITCHING LOGS'!$G$2:$G$98491="CMS") *
            ('GEN SWITCHING LOGS'!$B$2:$B$98491 &lt; $F$2) *
            ('GEN SWITCHING LOGS'!$E$2:$E$98491=""))</f>
        <v>0</v>
      </c>
      <c r="F24" s="412"/>
      <c r="G24" s="412"/>
    </row>
    <row r="25" spans="1:7">
      <c r="A25" s="37" t="s">
        <v>239</v>
      </c>
      <c r="B25" s="100">
        <f>SUMIFS('GEN SWITCHING LOGS'!$F:$F,'GEN SWITCHING LOGS'!$A:$A,$A25,'GEN SWITCHING LOGS'!$G:$G,"")</f>
        <v>2.3701388889021473</v>
      </c>
      <c r="C25" s="100">
        <f>SUMIFS('GEN SWITCHING LOGS'!$F:$F,'GEN SWITCHING LOGS'!$A:$A,$A25,'GEN SWITCHING LOGS'!$G:$G,"CMS")+SUMIFS('GEN SWITCHING LOGS'!$F:$F,'GEN SWITCHING LOGS'!$A:$A,$A25,'GEN SWITCHING LOGS'!$G:$G,"PMS")</f>
        <v>0</v>
      </c>
      <c r="D25" s="414">
        <f>SUMIFS('GEN SWITCHING LOGS'!$F:$F,
        'GEN SWITCHING LOGS'!$A:$A, $A25,
        'GEN SWITCHING LOGS'!$G:$G, "CMS",
        'GEN SWITCHING LOGS'!$B:$B, "&gt;=" &amp; $F$2,
        'GEN SWITCHING LOGS'!$B:$B, "&lt;=" &amp; $G$2)</f>
        <v>0</v>
      </c>
      <c r="E25" s="425" cm="1">
        <f t="array" aca="1" ref="E25" ca="1">SUMPRODUCT((NOW() - ($F$2 + IFERROR(TIME(VALUE(LEFT('GEN SWITCHING LOGS'!$C$2:$C$98491, 2)),VALUE(MID('GEN SWITCHING LOGS'!$C$2:$C$98491, 3, 2)), 0), 0))),
            ('GEN SWITCHING LOGS'!$A$2:$A$98491=$A25) *
            ('GEN SWITCHING LOGS'!$G$2:$G$98491="CMS") *
            ('GEN SWITCHING LOGS'!$B$2:$B$98491 &lt; $F$2) *
            ('GEN SWITCHING LOGS'!$E$2:$E$98491=""))</f>
        <v>0</v>
      </c>
      <c r="F25" s="412"/>
      <c r="G25" s="412"/>
    </row>
    <row r="26" spans="1:7">
      <c r="A26" s="37" t="s">
        <v>226</v>
      </c>
      <c r="B26" s="100">
        <f>SUMIFS('GEN SWITCHING LOGS'!$F:$F,'GEN SWITCHING LOGS'!$A:$A,$A26,'GEN SWITCHING LOGS'!$G:$G,"")</f>
        <v>2.5527777777751908</v>
      </c>
      <c r="C26" s="100">
        <f>SUMIFS('GEN SWITCHING LOGS'!$F:$F,'GEN SWITCHING LOGS'!$A:$A,$A26,'GEN SWITCHING LOGS'!$G:$G,"CMS")+SUMIFS('GEN SWITCHING LOGS'!$F:$F,'GEN SWITCHING LOGS'!$A:$A,$A26,'GEN SWITCHING LOGS'!$G:$G,"PMS")</f>
        <v>0</v>
      </c>
      <c r="D26" s="414">
        <f>SUMIFS('GEN SWITCHING LOGS'!$F:$F,
        'GEN SWITCHING LOGS'!$A:$A, $A26,
        'GEN SWITCHING LOGS'!$G:$G, "CMS",
        'GEN SWITCHING LOGS'!$B:$B, "&gt;=" &amp; $F$2,
        'GEN SWITCHING LOGS'!$B:$B, "&lt;=" &amp; $G$2)</f>
        <v>0</v>
      </c>
      <c r="E26" s="425" cm="1">
        <f t="array" aca="1" ref="E26" ca="1">SUMPRODUCT((NOW() - ($F$2 + IFERROR(TIME(VALUE(LEFT('GEN SWITCHING LOGS'!$C$2:$C$98491, 2)),VALUE(MID('GEN SWITCHING LOGS'!$C$2:$C$98491, 3, 2)), 0), 0))),
            ('GEN SWITCHING LOGS'!$A$2:$A$98491=$A26) *
            ('GEN SWITCHING LOGS'!$G$2:$G$98491="CMS") *
            ('GEN SWITCHING LOGS'!$B$2:$B$98491 &lt; $F$2) *
            ('GEN SWITCHING LOGS'!$E$2:$E$98491=""))</f>
        <v>0</v>
      </c>
      <c r="F26" s="412"/>
      <c r="G26" s="412"/>
    </row>
    <row r="27" spans="1:7">
      <c r="A27" s="37" t="s">
        <v>234</v>
      </c>
      <c r="B27" s="100">
        <f>SUMIFS('GEN SWITCHING LOGS'!$F:$F,'GEN SWITCHING LOGS'!$A:$A,$A27,'GEN SWITCHING LOGS'!$G:$G,"")</f>
        <v>6.5034722222553683</v>
      </c>
      <c r="C27" s="100">
        <f>SUMIFS('GEN SWITCHING LOGS'!$F:$F,'GEN SWITCHING LOGS'!$A:$A,$A27,'GEN SWITCHING LOGS'!$G:$G,"CMS")+SUMIFS('GEN SWITCHING LOGS'!$F:$F,'GEN SWITCHING LOGS'!$A:$A,$A27,'GEN SWITCHING LOGS'!$G:$G,"PMS")</f>
        <v>0</v>
      </c>
      <c r="D27" s="414">
        <f>SUMIFS('GEN SWITCHING LOGS'!$F:$F,
        'GEN SWITCHING LOGS'!$A:$A, $A27,
        'GEN SWITCHING LOGS'!$G:$G, "CMS",
        'GEN SWITCHING LOGS'!$B:$B, "&gt;=" &amp; $F$2,
        'GEN SWITCHING LOGS'!$B:$B, "&lt;=" &amp; $G$2)</f>
        <v>0</v>
      </c>
      <c r="E27" s="425" cm="1">
        <f t="array" aca="1" ref="E27" ca="1">SUMPRODUCT((NOW() - ($F$2 + IFERROR(TIME(VALUE(LEFT('GEN SWITCHING LOGS'!$C$2:$C$98491, 2)),VALUE(MID('GEN SWITCHING LOGS'!$C$2:$C$98491, 3, 2)), 0), 0))),
            ('GEN SWITCHING LOGS'!$A$2:$A$98491=$A27) *
            ('GEN SWITCHING LOGS'!$G$2:$G$98491="CMS") *
            ('GEN SWITCHING LOGS'!$B$2:$B$98491 &lt; $F$2) *
            ('GEN SWITCHING LOGS'!$E$2:$E$98491=""))</f>
        <v>0</v>
      </c>
      <c r="F27" s="412"/>
      <c r="G27" s="412"/>
    </row>
    <row r="28" spans="1:7">
      <c r="A28" s="37" t="s">
        <v>164</v>
      </c>
      <c r="B28" s="100">
        <f>SUMIFS('GEN SWITCHING LOGS'!$F:$F,'GEN SWITCHING LOGS'!$A:$A,$A28,'GEN SWITCHING LOGS'!$G:$G,"")</f>
        <v>3.7770833333270275</v>
      </c>
      <c r="C28" s="100">
        <f>SUMIFS('GEN SWITCHING LOGS'!$F:$F,'GEN SWITCHING LOGS'!$A:$A,$A28,'GEN SWITCHING LOGS'!$G:$G,"CMS")+SUMIFS('GEN SWITCHING LOGS'!$F:$F,'GEN SWITCHING LOGS'!$A:$A,$A28,'GEN SWITCHING LOGS'!$G:$G,"PMS")</f>
        <v>60.688194444446708</v>
      </c>
      <c r="D28" s="414">
        <f>SUMIFS('GEN SWITCHING LOGS'!$F:$F,
        'GEN SWITCHING LOGS'!$A:$A, $A28,
        'GEN SWITCHING LOGS'!$G:$G, "CMS",
        'GEN SWITCHING LOGS'!$B:$B, "&gt;=" &amp; $F$2,
        'GEN SWITCHING LOGS'!$B:$B, "&lt;=" &amp; $G$2)</f>
        <v>0</v>
      </c>
      <c r="E28" s="425" cm="1">
        <f t="array" aca="1" ref="E28" ca="1">SUMPRODUCT((NOW() - ($F$2 + IFERROR(TIME(VALUE(LEFT('GEN SWITCHING LOGS'!$C$2:$C$98491, 2)),VALUE(MID('GEN SWITCHING LOGS'!$C$2:$C$98491, 3, 2)), 0), 0))),
            ('GEN SWITCHING LOGS'!$A$2:$A$98491=$A28) *
            ('GEN SWITCHING LOGS'!$G$2:$G$98491="CMS") *
            ('GEN SWITCHING LOGS'!$B$2:$B$98491 &lt; $F$2) *
            ('GEN SWITCHING LOGS'!$E$2:$E$98491=""))</f>
        <v>0</v>
      </c>
      <c r="F28" s="412"/>
      <c r="G28" s="412"/>
    </row>
    <row r="29" spans="1:7">
      <c r="A29" s="37" t="s">
        <v>1279</v>
      </c>
      <c r="B29" s="100">
        <f>SUMIFS('GEN SWITCHING LOGS'!$F:$F,'GEN SWITCHING LOGS'!$A:$A,$A29,'GEN SWITCHING LOGS'!$G:$G,"")</f>
        <v>0</v>
      </c>
      <c r="C29" s="100">
        <f>SUMIFS('GEN SWITCHING LOGS'!$F:$F,'GEN SWITCHING LOGS'!$A:$A,$A29,'GEN SWITCHING LOGS'!$G:$G,"CMS")+SUMIFS('GEN SWITCHING LOGS'!$F:$F,'GEN SWITCHING LOGS'!$A:$A,$A29,'GEN SWITCHING LOGS'!$G:$G,"PMS")</f>
        <v>0</v>
      </c>
      <c r="D29" s="414">
        <f>SUMIFS('GEN SWITCHING LOGS'!$F:$F,
        'GEN SWITCHING LOGS'!$A:$A, $A29,
        'GEN SWITCHING LOGS'!$G:$G, "CMS",
        'GEN SWITCHING LOGS'!$B:$B, "&gt;=" &amp; $F$2,
        'GEN SWITCHING LOGS'!$B:$B, "&lt;=" &amp; $G$2)</f>
        <v>0</v>
      </c>
      <c r="E29" s="425" cm="1">
        <f t="array" aca="1" ref="E29" ca="1">SUMPRODUCT((NOW() - ($F$2 + IFERROR(TIME(VALUE(LEFT('GEN SWITCHING LOGS'!$C$2:$C$98491, 2)),VALUE(MID('GEN SWITCHING LOGS'!$C$2:$C$98491, 3, 2)), 0), 0))),
            ('GEN SWITCHING LOGS'!$A$2:$A$98491=$A29) *
            ('GEN SWITCHING LOGS'!$G$2:$G$98491="CMS") *
            ('GEN SWITCHING LOGS'!$B$2:$B$98491 &lt; $F$2) *
            ('GEN SWITCHING LOGS'!$E$2:$E$98491=""))</f>
        <v>0</v>
      </c>
      <c r="F29" s="412"/>
      <c r="G29" s="412"/>
    </row>
    <row r="30" spans="1:7">
      <c r="A30" s="23" t="s">
        <v>395</v>
      </c>
      <c r="B30" s="100">
        <f>SUMIFS('GEN SWITCHING LOGS'!$F:$F,'GEN SWITCHING LOGS'!$A:$A,$A30,'GEN SWITCHING LOGS'!$G:$G,"")</f>
        <v>0.7840277777868323</v>
      </c>
      <c r="C30" s="100">
        <f>SUMIFS('GEN SWITCHING LOGS'!$F:$F,'GEN SWITCHING LOGS'!$A:$A,$A30,'GEN SWITCHING LOGS'!$G:$G,"CMS")+SUMIFS('GEN SWITCHING LOGS'!$F:$F,'GEN SWITCHING LOGS'!$A:$A,$A30,'GEN SWITCHING LOGS'!$G:$G,"PMS")</f>
        <v>0</v>
      </c>
      <c r="D30" s="414">
        <f>SUMIFS('GEN SWITCHING LOGS'!$F:$F,
        'GEN SWITCHING LOGS'!$A:$A, $A30,
        'GEN SWITCHING LOGS'!$G:$G, "CMS",
        'GEN SWITCHING LOGS'!$B:$B, "&gt;=" &amp; $F$2,
        'GEN SWITCHING LOGS'!$B:$B, "&lt;=" &amp; $G$2)</f>
        <v>0</v>
      </c>
      <c r="E30" s="425" cm="1">
        <f t="array" aca="1" ref="E30" ca="1">SUMPRODUCT((NOW() - ($F$2 + IFERROR(TIME(VALUE(LEFT('GEN SWITCHING LOGS'!$C$2:$C$98491, 2)),VALUE(MID('GEN SWITCHING LOGS'!$C$2:$C$98491, 3, 2)), 0), 0))),
            ('GEN SWITCHING LOGS'!$A$2:$A$98491=$A30) *
            ('GEN SWITCHING LOGS'!$G$2:$G$98491="CMS") *
            ('GEN SWITCHING LOGS'!$B$2:$B$98491 &lt; $F$2) *
            ('GEN SWITCHING LOGS'!$E$2:$E$98491=""))</f>
        <v>0</v>
      </c>
      <c r="F30" s="412"/>
      <c r="G30" s="412"/>
    </row>
    <row r="31" spans="1:7">
      <c r="A31" s="37" t="s">
        <v>391</v>
      </c>
      <c r="B31" s="100">
        <f>SUMIFS('GEN SWITCHING LOGS'!$F:$F,'GEN SWITCHING LOGS'!$A:$A,$A31,'GEN SWITCHING LOGS'!$G:$G,"")</f>
        <v>4.3715277778173913</v>
      </c>
      <c r="C31" s="100">
        <f>SUMIFS('GEN SWITCHING LOGS'!$F:$F,'GEN SWITCHING LOGS'!$A:$A,$A31,'GEN SWITCHING LOGS'!$G:$G,"CMS")+SUMIFS('GEN SWITCHING LOGS'!$F:$F,'GEN SWITCHING LOGS'!$A:$A,$A31,'GEN SWITCHING LOGS'!$G:$G,"PMS")</f>
        <v>0</v>
      </c>
      <c r="D31" s="414">
        <f>SUMIFS('GEN SWITCHING LOGS'!$F:$F,
        'GEN SWITCHING LOGS'!$A:$A, $A31,
        'GEN SWITCHING LOGS'!$G:$G, "CMS",
        'GEN SWITCHING LOGS'!$B:$B, "&gt;=" &amp; $F$2,
        'GEN SWITCHING LOGS'!$B:$B, "&lt;=" &amp; $G$2)</f>
        <v>0</v>
      </c>
      <c r="E31" s="425" cm="1">
        <f t="array" aca="1" ref="E31" ca="1">SUMPRODUCT((NOW() - ($F$2 + IFERROR(TIME(VALUE(LEFT('GEN SWITCHING LOGS'!$C$2:$C$98491, 2)),VALUE(MID('GEN SWITCHING LOGS'!$C$2:$C$98491, 3, 2)), 0), 0))),
            ('GEN SWITCHING LOGS'!$A$2:$A$98491=$A31) *
            ('GEN SWITCHING LOGS'!$G$2:$G$98491="CMS") *
            ('GEN SWITCHING LOGS'!$B$2:$B$98491 &lt; $F$2) *
            ('GEN SWITCHING LOGS'!$E$2:$E$98491=""))</f>
        <v>0</v>
      </c>
      <c r="F31" s="412"/>
      <c r="G31" s="412"/>
    </row>
    <row r="32" spans="1:7">
      <c r="A32" s="37" t="s">
        <v>388</v>
      </c>
      <c r="B32" s="100">
        <f>SUMIFS('GEN SWITCHING LOGS'!$F:$F,'GEN SWITCHING LOGS'!$A:$A,$A32,'GEN SWITCHING LOGS'!$G:$G,"")</f>
        <v>0.61111111110221827</v>
      </c>
      <c r="C32" s="100">
        <f>SUMIFS('GEN SWITCHING LOGS'!$F:$F,'GEN SWITCHING LOGS'!$A:$A,$A32,'GEN SWITCHING LOGS'!$G:$G,"CMS")+SUMIFS('GEN SWITCHING LOGS'!$F:$F,'GEN SWITCHING LOGS'!$A:$A,$A32,'GEN SWITCHING LOGS'!$G:$G,"PMS")</f>
        <v>7.6388888919609599E-3</v>
      </c>
      <c r="D32" s="414">
        <f>SUMIFS('GEN SWITCHING LOGS'!$F:$F,
        'GEN SWITCHING LOGS'!$A:$A, $A32,
        'GEN SWITCHING LOGS'!$G:$G, "CMS",
        'GEN SWITCHING LOGS'!$B:$B, "&gt;=" &amp; $F$2,
        'GEN SWITCHING LOGS'!$B:$B, "&lt;=" &amp; $G$2)</f>
        <v>0</v>
      </c>
      <c r="E32" s="425" cm="1">
        <f t="array" aca="1" ref="E32" ca="1">SUMPRODUCT((NOW() - ($F$2 + IFERROR(TIME(VALUE(LEFT('GEN SWITCHING LOGS'!$C$2:$C$98491, 2)),VALUE(MID('GEN SWITCHING LOGS'!$C$2:$C$98491, 3, 2)), 0), 0))),
            ('GEN SWITCHING LOGS'!$A$2:$A$98491=$A32) *
            ('GEN SWITCHING LOGS'!$G$2:$G$98491="CMS") *
            ('GEN SWITCHING LOGS'!$B$2:$B$98491 &lt; $F$2) *
            ('GEN SWITCHING LOGS'!$E$2:$E$98491=""))</f>
        <v>0</v>
      </c>
      <c r="F32" s="412"/>
      <c r="G32" s="412"/>
    </row>
    <row r="33" spans="1:7">
      <c r="A33" s="37" t="s">
        <v>236</v>
      </c>
      <c r="B33" s="100">
        <f>SUMIFS('GEN SWITCHING LOGS'!$F:$F,'GEN SWITCHING LOGS'!$A:$A,$A33,'GEN SWITCHING LOGS'!$G:$G,"")</f>
        <v>7.1506944444845431</v>
      </c>
      <c r="C33" s="100">
        <f>SUMIFS('GEN SWITCHING LOGS'!$F:$F,'GEN SWITCHING LOGS'!$A:$A,$A33,'GEN SWITCHING LOGS'!$G:$G,"CMS")+SUMIFS('GEN SWITCHING LOGS'!$F:$F,'GEN SWITCHING LOGS'!$A:$A,$A33,'GEN SWITCHING LOGS'!$G:$G,"PMS")</f>
        <v>0</v>
      </c>
      <c r="D33" s="414">
        <f>SUMIFS('GEN SWITCHING LOGS'!$F:$F,
        'GEN SWITCHING LOGS'!$A:$A, $A33,
        'GEN SWITCHING LOGS'!$G:$G, "CMS",
        'GEN SWITCHING LOGS'!$B:$B, "&gt;=" &amp; $F$2,
        'GEN SWITCHING LOGS'!$B:$B, "&lt;=" &amp; $G$2)</f>
        <v>0</v>
      </c>
      <c r="E33" s="425" cm="1">
        <f t="array" aca="1" ref="E33" ca="1">SUMPRODUCT((NOW() - ($F$2 + IFERROR(TIME(VALUE(LEFT('GEN SWITCHING LOGS'!$C$2:$C$98491, 2)),VALUE(MID('GEN SWITCHING LOGS'!$C$2:$C$98491, 3, 2)), 0), 0))),
            ('GEN SWITCHING LOGS'!$A$2:$A$98491=$A33) *
            ('GEN SWITCHING LOGS'!$G$2:$G$98491="CMS") *
            ('GEN SWITCHING LOGS'!$B$2:$B$98491 &lt; $F$2) *
            ('GEN SWITCHING LOGS'!$E$2:$E$98491=""))</f>
        <v>0</v>
      </c>
      <c r="F33" s="412"/>
      <c r="G33" s="412"/>
    </row>
    <row r="34" spans="1:7">
      <c r="A34" s="37" t="s">
        <v>245</v>
      </c>
      <c r="B34" s="100">
        <f>SUMIFS('GEN SWITCHING LOGS'!$F:$F,'GEN SWITCHING LOGS'!$A:$A,$A34,'GEN SWITCHING LOGS'!$G:$G,"")</f>
        <v>3.1812499999505235</v>
      </c>
      <c r="C34" s="100">
        <f>SUMIFS('GEN SWITCHING LOGS'!$F:$F,'GEN SWITCHING LOGS'!$A:$A,$A34,'GEN SWITCHING LOGS'!$G:$G,"CMS")+SUMIFS('GEN SWITCHING LOGS'!$F:$F,'GEN SWITCHING LOGS'!$A:$A,$A34,'GEN SWITCHING LOGS'!$G:$G,"PMS")</f>
        <v>0</v>
      </c>
      <c r="D34" s="414">
        <f>SUMIFS('GEN SWITCHING LOGS'!$F:$F,
        'GEN SWITCHING LOGS'!$A:$A, $A34,
        'GEN SWITCHING LOGS'!$G:$G, "CMS",
        'GEN SWITCHING LOGS'!$B:$B, "&gt;=" &amp; $F$2,
        'GEN SWITCHING LOGS'!$B:$B, "&lt;=" &amp; $G$2)</f>
        <v>0</v>
      </c>
      <c r="E34" s="425" cm="1">
        <f t="array" aca="1" ref="E34" ca="1">SUMPRODUCT((NOW() - ($F$2 + IFERROR(TIME(VALUE(LEFT('GEN SWITCHING LOGS'!$C$2:$C$98491, 2)),VALUE(MID('GEN SWITCHING LOGS'!$C$2:$C$98491, 3, 2)), 0), 0))),
            ('GEN SWITCHING LOGS'!$A$2:$A$98491=$A34) *
            ('GEN SWITCHING LOGS'!$G$2:$G$98491="CMS") *
            ('GEN SWITCHING LOGS'!$B$2:$B$98491 &lt; $F$2) *
            ('GEN SWITCHING LOGS'!$E$2:$E$98491=""))</f>
        <v>0</v>
      </c>
      <c r="F34" s="412"/>
      <c r="G34" s="412"/>
    </row>
    <row r="35" spans="1:7">
      <c r="A35" s="37" t="s">
        <v>403</v>
      </c>
      <c r="B35" s="100">
        <f>SUMIFS('GEN SWITCHING LOGS'!$F:$F,'GEN SWITCHING LOGS'!$A:$A,$A35,'GEN SWITCHING LOGS'!$G:$G,"")</f>
        <v>0.79097222221753327</v>
      </c>
      <c r="C35" s="100">
        <f>SUMIFS('GEN SWITCHING LOGS'!$F:$F,'GEN SWITCHING LOGS'!$A:$A,$A35,'GEN SWITCHING LOGS'!$G:$G,"CMS")+SUMIFS('GEN SWITCHING LOGS'!$F:$F,'GEN SWITCHING LOGS'!$A:$A,$A35,'GEN SWITCHING LOGS'!$G:$G,"PMS")</f>
        <v>0</v>
      </c>
      <c r="D35" s="414">
        <f>SUMIFS('GEN SWITCHING LOGS'!$F:$F,
        'GEN SWITCHING LOGS'!$A:$A, $A35,
        'GEN SWITCHING LOGS'!$G:$G, "CMS",
        'GEN SWITCHING LOGS'!$B:$B, "&gt;=" &amp; $F$2,
        'GEN SWITCHING LOGS'!$B:$B, "&lt;=" &amp; $G$2)</f>
        <v>0</v>
      </c>
      <c r="E35" s="425" cm="1">
        <f t="array" aca="1" ref="E35" ca="1">SUMPRODUCT((NOW() - ($F$2 + IFERROR(TIME(VALUE(LEFT('GEN SWITCHING LOGS'!$C$2:$C$98491, 2)),VALUE(MID('GEN SWITCHING LOGS'!$C$2:$C$98491, 3, 2)), 0), 0))),
            ('GEN SWITCHING LOGS'!$A$2:$A$98491=$A35) *
            ('GEN SWITCHING LOGS'!$G$2:$G$98491="CMS") *
            ('GEN SWITCHING LOGS'!$B$2:$B$98491 &lt; $F$2) *
            ('GEN SWITCHING LOGS'!$E$2:$E$98491=""))</f>
        <v>0</v>
      </c>
      <c r="F35" s="412"/>
      <c r="G35" s="412"/>
    </row>
    <row r="36" spans="1:7">
      <c r="A36" s="37" t="s">
        <v>404</v>
      </c>
      <c r="B36" s="100">
        <f>SUMIFS('GEN SWITCHING LOGS'!$F:$F,'GEN SWITCHING LOGS'!$A:$A,$A36,'GEN SWITCHING LOGS'!$G:$G,"")</f>
        <v>0.72361111111968057</v>
      </c>
      <c r="C36" s="100">
        <f>SUMIFS('GEN SWITCHING LOGS'!$F:$F,'GEN SWITCHING LOGS'!$A:$A,$A36,'GEN SWITCHING LOGS'!$G:$G,"CMS")+SUMIFS('GEN SWITCHING LOGS'!$F:$F,'GEN SWITCHING LOGS'!$A:$A,$A36,'GEN SWITCHING LOGS'!$G:$G,"PMS")</f>
        <v>0</v>
      </c>
      <c r="D36" s="414">
        <f>SUMIFS('GEN SWITCHING LOGS'!$F:$F,
        'GEN SWITCHING LOGS'!$A:$A, $A36,
        'GEN SWITCHING LOGS'!$G:$G, "CMS",
        'GEN SWITCHING LOGS'!$B:$B, "&gt;=" &amp; $F$2,
        'GEN SWITCHING LOGS'!$B:$B, "&lt;=" &amp; $G$2)</f>
        <v>0</v>
      </c>
      <c r="E36" s="425" cm="1">
        <f t="array" aca="1" ref="E36" ca="1">SUMPRODUCT((NOW() - ($F$2 + IFERROR(TIME(VALUE(LEFT('GEN SWITCHING LOGS'!$C$2:$C$98491, 2)),VALUE(MID('GEN SWITCHING LOGS'!$C$2:$C$98491, 3, 2)), 0), 0))),
            ('GEN SWITCHING LOGS'!$A$2:$A$98491=$A36) *
            ('GEN SWITCHING LOGS'!$G$2:$G$98491="CMS") *
            ('GEN SWITCHING LOGS'!$B$2:$B$98491 &lt; $F$2) *
            ('GEN SWITCHING LOGS'!$E$2:$E$98491=""))</f>
        <v>0</v>
      </c>
      <c r="F36" s="412"/>
      <c r="G36" s="412"/>
    </row>
    <row r="37" spans="1:7">
      <c r="A37" s="37" t="s">
        <v>220</v>
      </c>
      <c r="B37" s="100">
        <f>SUMIFS('GEN SWITCHING LOGS'!$F:$F,'GEN SWITCHING LOGS'!$A:$A,$A37,'GEN SWITCHING LOGS'!$G:$G,"")</f>
        <v>22.925694444391411</v>
      </c>
      <c r="C37" s="100">
        <f>SUMIFS('GEN SWITCHING LOGS'!$F:$F,'GEN SWITCHING LOGS'!$A:$A,$A37,'GEN SWITCHING LOGS'!$G:$G,"CMS")+SUMIFS('GEN SWITCHING LOGS'!$F:$F,'GEN SWITCHING LOGS'!$A:$A,$A37,'GEN SWITCHING LOGS'!$G:$G,"PMS")</f>
        <v>1.0111111111109494</v>
      </c>
      <c r="D37" s="414">
        <f>SUMIFS('GEN SWITCHING LOGS'!$F:$F,
        'GEN SWITCHING LOGS'!$A:$A, $A37,
        'GEN SWITCHING LOGS'!$G:$G, "CMS",
        'GEN SWITCHING LOGS'!$B:$B, "&gt;=" &amp; $F$2,
        'GEN SWITCHING LOGS'!$B:$B, "&lt;=" &amp; $G$2)</f>
        <v>0</v>
      </c>
      <c r="E37" s="425" cm="1">
        <f t="array" aca="1" ref="E37" ca="1">SUMPRODUCT((NOW() - ($F$2 + IFERROR(TIME(VALUE(LEFT('GEN SWITCHING LOGS'!$C$2:$C$98491, 2)),VALUE(MID('GEN SWITCHING LOGS'!$C$2:$C$98491, 3, 2)), 0), 0))),
            ('GEN SWITCHING LOGS'!$A$2:$A$98491=$A37) *
            ('GEN SWITCHING LOGS'!$G$2:$G$98491="CMS") *
            ('GEN SWITCHING LOGS'!$B$2:$B$98491 &lt; $F$2) *
            ('GEN SWITCHING LOGS'!$E$2:$E$98491=""))</f>
        <v>0</v>
      </c>
      <c r="F37" s="412"/>
      <c r="G37" s="412"/>
    </row>
    <row r="38" spans="1:7">
      <c r="A38" s="37" t="s">
        <v>3616</v>
      </c>
      <c r="B38" s="100">
        <f>SUMIFS('GEN SWITCHING LOGS'!$F:$F,'GEN SWITCHING LOGS'!$A:$A,$A38,'GEN SWITCHING LOGS'!$G:$G,"")</f>
        <v>0</v>
      </c>
      <c r="C38" s="100">
        <f>SUMIFS('GEN SWITCHING LOGS'!$F:$F,'GEN SWITCHING LOGS'!$A:$A,$A38,'GEN SWITCHING LOGS'!$G:$G,"CMS")+SUMIFS('GEN SWITCHING LOGS'!$F:$F,'GEN SWITCHING LOGS'!$A:$A,$A38,'GEN SWITCHING LOGS'!$G:$G,"PMS")</f>
        <v>0</v>
      </c>
      <c r="D38" s="414">
        <f>SUMIFS('GEN SWITCHING LOGS'!$F:$F,
        'GEN SWITCHING LOGS'!$A:$A, $A38,
        'GEN SWITCHING LOGS'!$G:$G, "CMS",
        'GEN SWITCHING LOGS'!$B:$B, "&gt;=" &amp; $F$2,
        'GEN SWITCHING LOGS'!$B:$B, "&lt;=" &amp; $G$2)</f>
        <v>0</v>
      </c>
      <c r="E38" s="425" cm="1">
        <f t="array" aca="1" ref="E38" ca="1">SUMPRODUCT((NOW() - ($F$2 + IFERROR(TIME(VALUE(LEFT('GEN SWITCHING LOGS'!$C$2:$C$98491, 2)),VALUE(MID('GEN SWITCHING LOGS'!$C$2:$C$98491, 3, 2)), 0), 0))),
            ('GEN SWITCHING LOGS'!$A$2:$A$98491=$A38) *
            ('GEN SWITCHING LOGS'!$G$2:$G$98491="CMS") *
            ('GEN SWITCHING LOGS'!$B$2:$B$98491 &lt; $F$2) *
            ('GEN SWITCHING LOGS'!$E$2:$E$98491=""))</f>
        <v>0</v>
      </c>
      <c r="F38" s="412"/>
      <c r="G38" s="412"/>
    </row>
    <row r="39" spans="1:7">
      <c r="A39" s="37" t="s">
        <v>214</v>
      </c>
      <c r="B39" s="100">
        <f>SUMIFS('GEN SWITCHING LOGS'!$F:$F,'GEN SWITCHING LOGS'!$A:$A,$A39,'GEN SWITCHING LOGS'!$G:$G,"")</f>
        <v>16.835416666610399</v>
      </c>
      <c r="C39" s="100">
        <f>SUMIFS('GEN SWITCHING LOGS'!$F:$F,'GEN SWITCHING LOGS'!$A:$A,$A39,'GEN SWITCHING LOGS'!$G:$G,"CMS")+SUMIFS('GEN SWITCHING LOGS'!$F:$F,'GEN SWITCHING LOGS'!$A:$A,$A39,'GEN SWITCHING LOGS'!$G:$G,"PMS")</f>
        <v>6.5250000000014552</v>
      </c>
      <c r="D39" s="414">
        <f>SUMIFS('GEN SWITCHING LOGS'!$F:$F,
        'GEN SWITCHING LOGS'!$A:$A, $A39,
        'GEN SWITCHING LOGS'!$G:$G, "CMS",
        'GEN SWITCHING LOGS'!$B:$B, "&gt;=" &amp; $F$2,
        'GEN SWITCHING LOGS'!$B:$B, "&lt;=" &amp; $G$2)</f>
        <v>0</v>
      </c>
      <c r="E39" s="425" cm="1">
        <f t="array" aca="1" ref="E39" ca="1">SUMPRODUCT((NOW() - ($F$2 + IFERROR(TIME(VALUE(LEFT('GEN SWITCHING LOGS'!$C$2:$C$98491, 2)),VALUE(MID('GEN SWITCHING LOGS'!$C$2:$C$98491, 3, 2)), 0), 0))),
            ('GEN SWITCHING LOGS'!$A$2:$A$98491=$A39) *
            ('GEN SWITCHING LOGS'!$G$2:$G$98491="CMS") *
            ('GEN SWITCHING LOGS'!$B$2:$B$98491 &lt; $F$2) *
            ('GEN SWITCHING LOGS'!$E$2:$E$98491=""))</f>
        <v>0</v>
      </c>
      <c r="F39" s="412"/>
      <c r="G39" s="412"/>
    </row>
    <row r="40" spans="1:7">
      <c r="A40" s="37" t="s">
        <v>1289</v>
      </c>
      <c r="B40" s="100">
        <f>SUMIFS('GEN SWITCHING LOGS'!$F:$F,'GEN SWITCHING LOGS'!$A:$A,$A40,'GEN SWITCHING LOGS'!$G:$G,"")</f>
        <v>0</v>
      </c>
      <c r="C40" s="100">
        <f>SUMIFS('GEN SWITCHING LOGS'!$F:$F,'GEN SWITCHING LOGS'!$A:$A,$A40,'GEN SWITCHING LOGS'!$G:$G,"CMS")+SUMIFS('GEN SWITCHING LOGS'!$F:$F,'GEN SWITCHING LOGS'!$A:$A,$A40,'GEN SWITCHING LOGS'!$G:$G,"PMS")</f>
        <v>0</v>
      </c>
      <c r="D40" s="414">
        <f>SUMIFS('GEN SWITCHING LOGS'!$F:$F,
        'GEN SWITCHING LOGS'!$A:$A, $A40,
        'GEN SWITCHING LOGS'!$G:$G, "CMS",
        'GEN SWITCHING LOGS'!$B:$B, "&gt;=" &amp; $F$2,
        'GEN SWITCHING LOGS'!$B:$B, "&lt;=" &amp; $G$2)</f>
        <v>0</v>
      </c>
      <c r="E40" s="425" cm="1">
        <f t="array" aca="1" ref="E40" ca="1">SUMPRODUCT((NOW() - ($F$2 + IFERROR(TIME(VALUE(LEFT('GEN SWITCHING LOGS'!$C$2:$C$98491, 2)),VALUE(MID('GEN SWITCHING LOGS'!$C$2:$C$98491, 3, 2)), 0), 0))),
            ('GEN SWITCHING LOGS'!$A$2:$A$98491=$A40) *
            ('GEN SWITCHING LOGS'!$G$2:$G$98491="CMS") *
            ('GEN SWITCHING LOGS'!$B$2:$B$98491 &lt; $F$2) *
            ('GEN SWITCHING LOGS'!$E$2:$E$98491=""))</f>
        <v>0</v>
      </c>
      <c r="F40" s="412"/>
      <c r="G40" s="412"/>
    </row>
    <row r="41" spans="1:7">
      <c r="A41" s="37" t="s">
        <v>1296</v>
      </c>
      <c r="B41" s="100">
        <f>SUMIFS('GEN SWITCHING LOGS'!$F:$F,'GEN SWITCHING LOGS'!$A:$A,$A41,'GEN SWITCHING LOGS'!$G:$G,"")</f>
        <v>0</v>
      </c>
      <c r="C41" s="100">
        <f>SUMIFS('GEN SWITCHING LOGS'!$F:$F,'GEN SWITCHING LOGS'!$A:$A,$A41,'GEN SWITCHING LOGS'!$G:$G,"CMS")+SUMIFS('GEN SWITCHING LOGS'!$F:$F,'GEN SWITCHING LOGS'!$A:$A,$A41,'GEN SWITCHING LOGS'!$G:$G,"PMS")</f>
        <v>0</v>
      </c>
      <c r="D41" s="414">
        <f>SUMIFS('GEN SWITCHING LOGS'!$F:$F,
        'GEN SWITCHING LOGS'!$A:$A, $A41,
        'GEN SWITCHING LOGS'!$G:$G, "CMS",
        'GEN SWITCHING LOGS'!$B:$B, "&gt;=" &amp; $F$2,
        'GEN SWITCHING LOGS'!$B:$B, "&lt;=" &amp; $G$2)</f>
        <v>0</v>
      </c>
      <c r="E41" s="425" cm="1">
        <f t="array" aca="1" ref="E41" ca="1">SUMPRODUCT((NOW() - ($F$2 + IFERROR(TIME(VALUE(LEFT('GEN SWITCHING LOGS'!$C$2:$C$98491, 2)),VALUE(MID('GEN SWITCHING LOGS'!$C$2:$C$98491, 3, 2)), 0), 0))),
            ('GEN SWITCHING LOGS'!$A$2:$A$98491=$A41) *
            ('GEN SWITCHING LOGS'!$G$2:$G$98491="CMS") *
            ('GEN SWITCHING LOGS'!$B$2:$B$98491 &lt; $F$2) *
            ('GEN SWITCHING LOGS'!$E$2:$E$98491=""))</f>
        <v>0</v>
      </c>
      <c r="F41" s="412"/>
      <c r="G41" s="412"/>
    </row>
    <row r="42" spans="1:7">
      <c r="A42" s="37" t="s">
        <v>1298</v>
      </c>
      <c r="B42" s="100">
        <f>SUMIFS('GEN SWITCHING LOGS'!$F:$F,'GEN SWITCHING LOGS'!$A:$A,$A42,'GEN SWITCHING LOGS'!$G:$G,"")</f>
        <v>0</v>
      </c>
      <c r="C42" s="100">
        <f>SUMIFS('GEN SWITCHING LOGS'!$F:$F,'GEN SWITCHING LOGS'!$A:$A,$A42,'GEN SWITCHING LOGS'!$G:$G,"CMS")+SUMIFS('GEN SWITCHING LOGS'!$F:$F,'GEN SWITCHING LOGS'!$A:$A,$A42,'GEN SWITCHING LOGS'!$G:$G,"PMS")</f>
        <v>0</v>
      </c>
      <c r="D42" s="414">
        <f>SUMIFS('GEN SWITCHING LOGS'!$F:$F,
        'GEN SWITCHING LOGS'!$A:$A, $A42,
        'GEN SWITCHING LOGS'!$G:$G, "CMS",
        'GEN SWITCHING LOGS'!$B:$B, "&gt;=" &amp; $F$2,
        'GEN SWITCHING LOGS'!$B:$B, "&lt;=" &amp; $G$2)</f>
        <v>0</v>
      </c>
      <c r="E42" s="425" cm="1">
        <f t="array" aca="1" ref="E42" ca="1">SUMPRODUCT((NOW() - ($F$2 + IFERROR(TIME(VALUE(LEFT('GEN SWITCHING LOGS'!$C$2:$C$98491, 2)),VALUE(MID('GEN SWITCHING LOGS'!$C$2:$C$98491, 3, 2)), 0), 0))),
            ('GEN SWITCHING LOGS'!$A$2:$A$98491=$A42) *
            ('GEN SWITCHING LOGS'!$G$2:$G$98491="CMS") *
            ('GEN SWITCHING LOGS'!$B$2:$B$98491 &lt; $F$2) *
            ('GEN SWITCHING LOGS'!$E$2:$E$98491=""))</f>
        <v>0</v>
      </c>
      <c r="F42" s="412"/>
      <c r="G42" s="412"/>
    </row>
    <row r="43" spans="1:7">
      <c r="A43" s="37" t="s">
        <v>1300</v>
      </c>
      <c r="B43" s="100">
        <f>SUMIFS('GEN SWITCHING LOGS'!$F:$F,'GEN SWITCHING LOGS'!$A:$A,$A43,'GEN SWITCHING LOGS'!$G:$G,"")</f>
        <v>0</v>
      </c>
      <c r="C43" s="100">
        <f>SUMIFS('GEN SWITCHING LOGS'!$F:$F,'GEN SWITCHING LOGS'!$A:$A,$A43,'GEN SWITCHING LOGS'!$G:$G,"CMS")+SUMIFS('GEN SWITCHING LOGS'!$F:$F,'GEN SWITCHING LOGS'!$A:$A,$A43,'GEN SWITCHING LOGS'!$G:$G,"PMS")</f>
        <v>0</v>
      </c>
      <c r="D43" s="414">
        <f>SUMIFS('GEN SWITCHING LOGS'!$F:$F,
        'GEN SWITCHING LOGS'!$A:$A, $A43,
        'GEN SWITCHING LOGS'!$G:$G, "CMS",
        'GEN SWITCHING LOGS'!$B:$B, "&gt;=" &amp; $F$2,
        'GEN SWITCHING LOGS'!$B:$B, "&lt;=" &amp; $G$2)</f>
        <v>0</v>
      </c>
      <c r="E43" s="425" cm="1">
        <f t="array" aca="1" ref="E43" ca="1">SUMPRODUCT((NOW() - ($F$2 + IFERROR(TIME(VALUE(LEFT('GEN SWITCHING LOGS'!$C$2:$C$98491, 2)),VALUE(MID('GEN SWITCHING LOGS'!$C$2:$C$98491, 3, 2)), 0), 0))),
            ('GEN SWITCHING LOGS'!$A$2:$A$98491=$A43) *
            ('GEN SWITCHING LOGS'!$G$2:$G$98491="CMS") *
            ('GEN SWITCHING LOGS'!$B$2:$B$98491 &lt; $F$2) *
            ('GEN SWITCHING LOGS'!$E$2:$E$98491=""))</f>
        <v>0</v>
      </c>
      <c r="F43" s="412"/>
      <c r="G43" s="412"/>
    </row>
    <row r="44" spans="1:7">
      <c r="A44" s="37" t="s">
        <v>1305</v>
      </c>
      <c r="B44" s="100">
        <f>SUMIFS('GEN SWITCHING LOGS'!$F:$F,'GEN SWITCHING LOGS'!$A:$A,$A44,'GEN SWITCHING LOGS'!$G:$G,"")</f>
        <v>0</v>
      </c>
      <c r="C44" s="100">
        <f>SUMIFS('GEN SWITCHING LOGS'!$F:$F,'GEN SWITCHING LOGS'!$A:$A,$A44,'GEN SWITCHING LOGS'!$G:$G,"CMS")+SUMIFS('GEN SWITCHING LOGS'!$F:$F,'GEN SWITCHING LOGS'!$A:$A,$A44,'GEN SWITCHING LOGS'!$G:$G,"PMS")</f>
        <v>0</v>
      </c>
      <c r="D44" s="414">
        <f>SUMIFS('GEN SWITCHING LOGS'!$F:$F,
        'GEN SWITCHING LOGS'!$A:$A, $A44,
        'GEN SWITCHING LOGS'!$G:$G, "CMS",
        'GEN SWITCHING LOGS'!$B:$B, "&gt;=" &amp; $F$2,
        'GEN SWITCHING LOGS'!$B:$B, "&lt;=" &amp; $G$2)</f>
        <v>0</v>
      </c>
      <c r="E44" s="425" cm="1">
        <f t="array" aca="1" ref="E44" ca="1">SUMPRODUCT((NOW() - ($F$2 + IFERROR(TIME(VALUE(LEFT('GEN SWITCHING LOGS'!$C$2:$C$98491, 2)),VALUE(MID('GEN SWITCHING LOGS'!$C$2:$C$98491, 3, 2)), 0), 0))),
            ('GEN SWITCHING LOGS'!$A$2:$A$98491=$A44) *
            ('GEN SWITCHING LOGS'!$G$2:$G$98491="CMS") *
            ('GEN SWITCHING LOGS'!$B$2:$B$98491 &lt; $F$2) *
            ('GEN SWITCHING LOGS'!$E$2:$E$98491=""))</f>
        <v>0</v>
      </c>
      <c r="F44" s="412"/>
      <c r="G44" s="412"/>
    </row>
    <row r="45" spans="1:7">
      <c r="A45" s="37" t="s">
        <v>1308</v>
      </c>
      <c r="B45" s="100">
        <f>SUMIFS('GEN SWITCHING LOGS'!$F:$F,'GEN SWITCHING LOGS'!$A:$A,$A45,'GEN SWITCHING LOGS'!$G:$G,"")</f>
        <v>0</v>
      </c>
      <c r="C45" s="100">
        <f>SUMIFS('GEN SWITCHING LOGS'!$F:$F,'GEN SWITCHING LOGS'!$A:$A,$A45,'GEN SWITCHING LOGS'!$G:$G,"CMS")+SUMIFS('GEN SWITCHING LOGS'!$F:$F,'GEN SWITCHING LOGS'!$A:$A,$A45,'GEN SWITCHING LOGS'!$G:$G,"PMS")</f>
        <v>0</v>
      </c>
      <c r="D45" s="414">
        <f>SUMIFS('GEN SWITCHING LOGS'!$F:$F,
        'GEN SWITCHING LOGS'!$A:$A, $A45,
        'GEN SWITCHING LOGS'!$G:$G, "CMS",
        'GEN SWITCHING LOGS'!$B:$B, "&gt;=" &amp; $F$2,
        'GEN SWITCHING LOGS'!$B:$B, "&lt;=" &amp; $G$2)</f>
        <v>0</v>
      </c>
      <c r="E45" s="425" cm="1">
        <f t="array" aca="1" ref="E45" ca="1">SUMPRODUCT((NOW() - ($F$2 + IFERROR(TIME(VALUE(LEFT('GEN SWITCHING LOGS'!$C$2:$C$98491, 2)),VALUE(MID('GEN SWITCHING LOGS'!$C$2:$C$98491, 3, 2)), 0), 0))),
            ('GEN SWITCHING LOGS'!$A$2:$A$98491=$A45) *
            ('GEN SWITCHING LOGS'!$G$2:$G$98491="CMS") *
            ('GEN SWITCHING LOGS'!$B$2:$B$98491 &lt; $F$2) *
            ('GEN SWITCHING LOGS'!$E$2:$E$98491=""))</f>
        <v>0</v>
      </c>
      <c r="F45" s="412"/>
      <c r="G45" s="412"/>
    </row>
    <row r="46" spans="1:7">
      <c r="A46" s="37" t="s">
        <v>3617</v>
      </c>
      <c r="B46" s="100">
        <f>SUMIFS('GEN SWITCHING LOGS'!$F:$F,'GEN SWITCHING LOGS'!$A:$A,$A46,'GEN SWITCHING LOGS'!$G:$G,"")</f>
        <v>0</v>
      </c>
      <c r="C46" s="100">
        <f>SUMIFS('GEN SWITCHING LOGS'!$F:$F,'GEN SWITCHING LOGS'!$A:$A,$A46,'GEN SWITCHING LOGS'!$G:$G,"CMS")+SUMIFS('GEN SWITCHING LOGS'!$F:$F,'GEN SWITCHING LOGS'!$A:$A,$A46,'GEN SWITCHING LOGS'!$G:$G,"PMS")</f>
        <v>0</v>
      </c>
      <c r="D46" s="414">
        <f>SUMIFS('GEN SWITCHING LOGS'!$F:$F,
        'GEN SWITCHING LOGS'!$A:$A, $A46,
        'GEN SWITCHING LOGS'!$G:$G, "CMS",
        'GEN SWITCHING LOGS'!$B:$B, "&gt;=" &amp; $F$2,
        'GEN SWITCHING LOGS'!$B:$B, "&lt;=" &amp; $G$2)</f>
        <v>0</v>
      </c>
      <c r="E46" s="425" cm="1">
        <f t="array" aca="1" ref="E46" ca="1">SUMPRODUCT((NOW() - ($F$2 + IFERROR(TIME(VALUE(LEFT('GEN SWITCHING LOGS'!$C$2:$C$98491, 2)),VALUE(MID('GEN SWITCHING LOGS'!$C$2:$C$98491, 3, 2)), 0), 0))),
            ('GEN SWITCHING LOGS'!$A$2:$A$98491=$A46) *
            ('GEN SWITCHING LOGS'!$G$2:$G$98491="CMS") *
            ('GEN SWITCHING LOGS'!$B$2:$B$98491 &lt; $F$2) *
            ('GEN SWITCHING LOGS'!$E$2:$E$98491=""))</f>
        <v>0</v>
      </c>
      <c r="F46" s="412"/>
      <c r="G46" s="412"/>
    </row>
    <row r="47" spans="1:7">
      <c r="A47" s="37" t="s">
        <v>3618</v>
      </c>
      <c r="B47" s="100">
        <f>SUMIFS('GEN SWITCHING LOGS'!$F:$F,'GEN SWITCHING LOGS'!$A:$A,$A47,'GEN SWITCHING LOGS'!$G:$G,"")</f>
        <v>0</v>
      </c>
      <c r="C47" s="100">
        <f>SUMIFS('GEN SWITCHING LOGS'!$F:$F,'GEN SWITCHING LOGS'!$A:$A,$A47,'GEN SWITCHING LOGS'!$G:$G,"CMS")+SUMIFS('GEN SWITCHING LOGS'!$F:$F,'GEN SWITCHING LOGS'!$A:$A,$A47,'GEN SWITCHING LOGS'!$G:$G,"PMS")</f>
        <v>0</v>
      </c>
      <c r="D47" s="414">
        <f>SUMIFS('GEN SWITCHING LOGS'!$F:$F,
        'GEN SWITCHING LOGS'!$A:$A, $A47,
        'GEN SWITCHING LOGS'!$G:$G, "CMS",
        'GEN SWITCHING LOGS'!$B:$B, "&gt;=" &amp; $F$2,
        'GEN SWITCHING LOGS'!$B:$B, "&lt;=" &amp; $G$2)</f>
        <v>0</v>
      </c>
      <c r="E47" s="425" cm="1">
        <f t="array" aca="1" ref="E47" ca="1">SUMPRODUCT((NOW() - ($F$2 + IFERROR(TIME(VALUE(LEFT('GEN SWITCHING LOGS'!$C$2:$C$98491, 2)),VALUE(MID('GEN SWITCHING LOGS'!$C$2:$C$98491, 3, 2)), 0), 0))),
            ('GEN SWITCHING LOGS'!$A$2:$A$98491=$A47) *
            ('GEN SWITCHING LOGS'!$G$2:$G$98491="CMS") *
            ('GEN SWITCHING LOGS'!$B$2:$B$98491 &lt; $F$2) *
            ('GEN SWITCHING LOGS'!$E$2:$E$98491=""))</f>
        <v>0</v>
      </c>
      <c r="F47" s="412"/>
      <c r="G47" s="412"/>
    </row>
    <row r="48" spans="1:7">
      <c r="A48" s="37" t="s">
        <v>1302</v>
      </c>
      <c r="B48" s="100">
        <f>SUMIFS('GEN SWITCHING LOGS'!$F:$F,'GEN SWITCHING LOGS'!$A:$A,$A48,'GEN SWITCHING LOGS'!$G:$G,"")</f>
        <v>0</v>
      </c>
      <c r="C48" s="100">
        <f>SUMIFS('GEN SWITCHING LOGS'!$F:$F,'GEN SWITCHING LOGS'!$A:$A,$A48,'GEN SWITCHING LOGS'!$G:$G,"CMS")+SUMIFS('GEN SWITCHING LOGS'!$F:$F,'GEN SWITCHING LOGS'!$A:$A,$A48,'GEN SWITCHING LOGS'!$G:$G,"PMS")</f>
        <v>0</v>
      </c>
      <c r="D48" s="414">
        <f>SUMIFS('GEN SWITCHING LOGS'!$F:$F,
        'GEN SWITCHING LOGS'!$A:$A, $A48,
        'GEN SWITCHING LOGS'!$G:$G, "CMS",
        'GEN SWITCHING LOGS'!$B:$B, "&gt;=" &amp; $F$2,
        'GEN SWITCHING LOGS'!$B:$B, "&lt;=" &amp; $G$2)</f>
        <v>0</v>
      </c>
      <c r="E48" s="425" cm="1">
        <f t="array" aca="1" ref="E48" ca="1">SUMPRODUCT((NOW() - ($F$2 + IFERROR(TIME(VALUE(LEFT('GEN SWITCHING LOGS'!$C$2:$C$98491, 2)),VALUE(MID('GEN SWITCHING LOGS'!$C$2:$C$98491, 3, 2)), 0), 0))),
            ('GEN SWITCHING LOGS'!$A$2:$A$98491=$A48) *
            ('GEN SWITCHING LOGS'!$G$2:$G$98491="CMS") *
            ('GEN SWITCHING LOGS'!$B$2:$B$98491 &lt; $F$2) *
            ('GEN SWITCHING LOGS'!$E$2:$E$98491=""))</f>
        <v>0</v>
      </c>
      <c r="F48" s="412"/>
      <c r="G48" s="412"/>
    </row>
    <row r="49" spans="1:7">
      <c r="A49" s="37" t="s">
        <v>225</v>
      </c>
      <c r="B49" s="100">
        <f>SUMIFS('GEN SWITCHING LOGS'!$F:$F,'GEN SWITCHING LOGS'!$A:$A,$A49,'GEN SWITCHING LOGS'!$G:$G,"")</f>
        <v>15.64027777769661</v>
      </c>
      <c r="C49" s="100">
        <f>SUMIFS('GEN SWITCHING LOGS'!$F:$F,'GEN SWITCHING LOGS'!$A:$A,$A49,'GEN SWITCHING LOGS'!$G:$G,"CMS")+SUMIFS('GEN SWITCHING LOGS'!$F:$F,'GEN SWITCHING LOGS'!$A:$A,$A49,'GEN SWITCHING LOGS'!$G:$G,"PMS")</f>
        <v>0</v>
      </c>
      <c r="D49" s="414">
        <f>SUMIFS('GEN SWITCHING LOGS'!$F:$F,
        'GEN SWITCHING LOGS'!$A:$A, $A49,
        'GEN SWITCHING LOGS'!$G:$G, "CMS",
        'GEN SWITCHING LOGS'!$B:$B, "&gt;=" &amp; $F$2,
        'GEN SWITCHING LOGS'!$B:$B, "&lt;=" &amp; $G$2)</f>
        <v>0</v>
      </c>
      <c r="E49" s="425" cm="1">
        <f t="array" aca="1" ref="E49" ca="1">SUMPRODUCT((NOW() - ($F$2 + IFERROR(TIME(VALUE(LEFT('GEN SWITCHING LOGS'!$C$2:$C$98491, 2)),VALUE(MID('GEN SWITCHING LOGS'!$C$2:$C$98491, 3, 2)), 0), 0))),
            ('GEN SWITCHING LOGS'!$A$2:$A$98491=$A49) *
            ('GEN SWITCHING LOGS'!$G$2:$G$98491="CMS") *
            ('GEN SWITCHING LOGS'!$B$2:$B$98491 &lt; $F$2) *
            ('GEN SWITCHING LOGS'!$E$2:$E$98491=""))</f>
        <v>0</v>
      </c>
      <c r="F49" s="412"/>
      <c r="G49" s="412"/>
    </row>
    <row r="50" spans="1:7">
      <c r="A50" s="37" t="s">
        <v>217</v>
      </c>
      <c r="B50" s="100">
        <f>SUMIFS('GEN SWITCHING LOGS'!$F:$F,'GEN SWITCHING LOGS'!$A:$A,$A50,'GEN SWITCHING LOGS'!$G:$G,"")</f>
        <v>15.790972222137498</v>
      </c>
      <c r="C50" s="100">
        <f>SUMIFS('GEN SWITCHING LOGS'!$F:$F,'GEN SWITCHING LOGS'!$A:$A,$A50,'GEN SWITCHING LOGS'!$G:$G,"CMS")+SUMIFS('GEN SWITCHING LOGS'!$F:$F,'GEN SWITCHING LOGS'!$A:$A,$A50,'GEN SWITCHING LOGS'!$G:$G,"PMS")</f>
        <v>0</v>
      </c>
      <c r="D50" s="414">
        <f>SUMIFS('GEN SWITCHING LOGS'!$F:$F,
        'GEN SWITCHING LOGS'!$A:$A, $A50,
        'GEN SWITCHING LOGS'!$G:$G, "CMS",
        'GEN SWITCHING LOGS'!$B:$B, "&gt;=" &amp; $F$2,
        'GEN SWITCHING LOGS'!$B:$B, "&lt;=" &amp; $G$2)</f>
        <v>0</v>
      </c>
      <c r="E50" s="425" cm="1">
        <f t="array" aca="1" ref="E50" ca="1">SUMPRODUCT((NOW() - ($F$2 + IFERROR(TIME(VALUE(LEFT('GEN SWITCHING LOGS'!$C$2:$C$98491, 2)),VALUE(MID('GEN SWITCHING LOGS'!$C$2:$C$98491, 3, 2)), 0), 0))),
            ('GEN SWITCHING LOGS'!$A$2:$A$98491=$A50) *
            ('GEN SWITCHING LOGS'!$G$2:$G$98491="CMS") *
            ('GEN SWITCHING LOGS'!$B$2:$B$98491 &lt; $F$2) *
            ('GEN SWITCHING LOGS'!$E$2:$E$98491=""))</f>
        <v>0</v>
      </c>
      <c r="F50" s="412"/>
      <c r="G50" s="412"/>
    </row>
  </sheetData>
  <autoFilter ref="A1:H50" xr:uid="{BF4B4F86-B745-45F7-9FE3-6E55334769A4}"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8C8F9-E3DC-4CE5-B15F-5CF43A345672}">
  <sheetPr codeName="Sheet8"/>
  <dimension ref="A1:D13"/>
  <sheetViews>
    <sheetView workbookViewId="0">
      <selection activeCell="A17" sqref="A17"/>
    </sheetView>
  </sheetViews>
  <sheetFormatPr defaultRowHeight="14.45"/>
  <cols>
    <col min="1" max="1" width="16.140625" bestFit="1" customWidth="1"/>
  </cols>
  <sheetData>
    <row r="1" spans="1:4" ht="16.149999999999999" thickBot="1">
      <c r="B1" s="238">
        <v>4.1666666666666664E-2</v>
      </c>
      <c r="C1" s="238">
        <v>8.3333333333333329E-2</v>
      </c>
      <c r="D1" s="238">
        <v>0.125</v>
      </c>
    </row>
    <row r="2" spans="1:4">
      <c r="A2" s="241" t="s">
        <v>108</v>
      </c>
      <c r="B2" s="237">
        <v>8</v>
      </c>
      <c r="C2" s="237">
        <v>8</v>
      </c>
      <c r="D2" s="237">
        <v>8</v>
      </c>
    </row>
    <row r="3" spans="1:4">
      <c r="A3" s="242" t="s">
        <v>3619</v>
      </c>
      <c r="B3" s="237">
        <v>12.5</v>
      </c>
      <c r="C3" s="237">
        <v>12.5</v>
      </c>
      <c r="D3" s="237">
        <v>12.5</v>
      </c>
    </row>
    <row r="4" spans="1:4">
      <c r="A4" s="242" t="s">
        <v>3493</v>
      </c>
      <c r="B4" s="237">
        <v>15</v>
      </c>
      <c r="C4" s="237">
        <v>15</v>
      </c>
      <c r="D4" s="237">
        <v>15</v>
      </c>
    </row>
    <row r="5" spans="1:4" ht="15" thickBot="1">
      <c r="A5" s="243" t="s">
        <v>3620</v>
      </c>
      <c r="B5" s="237">
        <v>3.8</v>
      </c>
      <c r="C5" s="237">
        <v>3.8</v>
      </c>
      <c r="D5" s="237">
        <v>3.8</v>
      </c>
    </row>
    <row r="6" spans="1:4" ht="15" thickBot="1">
      <c r="A6" s="244" t="s">
        <v>3621</v>
      </c>
      <c r="B6" s="237">
        <v>3.8</v>
      </c>
      <c r="C6" s="237">
        <v>3.8</v>
      </c>
      <c r="D6" s="237">
        <v>3.8</v>
      </c>
    </row>
    <row r="7" spans="1:4">
      <c r="A7" s="245"/>
      <c r="B7" s="237"/>
      <c r="C7" s="237"/>
      <c r="D7" s="237"/>
    </row>
    <row r="8" spans="1:4">
      <c r="A8" s="246" t="s">
        <v>99</v>
      </c>
      <c r="B8" s="239">
        <f>SUM(B2:B6)</f>
        <v>43.099999999999994</v>
      </c>
      <c r="C8" s="239">
        <f>SUM(C2:C6)</f>
        <v>43.099999999999994</v>
      </c>
      <c r="D8" s="239">
        <f>SUM(D2:D6)</f>
        <v>43.099999999999994</v>
      </c>
    </row>
    <row r="9" spans="1:4">
      <c r="A9" s="247" t="s">
        <v>3622</v>
      </c>
      <c r="B9" s="240">
        <v>36.03</v>
      </c>
      <c r="C9" s="240">
        <v>34.21</v>
      </c>
      <c r="D9" s="240">
        <v>33.35</v>
      </c>
    </row>
    <row r="10" spans="1:4" ht="15" thickBot="1">
      <c r="A10" s="248" t="s">
        <v>3623</v>
      </c>
      <c r="B10" s="249">
        <f>B8-B9</f>
        <v>7.0699999999999932</v>
      </c>
      <c r="C10" s="249">
        <f>C8-C9</f>
        <v>8.8899999999999935</v>
      </c>
      <c r="D10" s="249">
        <f>D8-D9</f>
        <v>9.7499999999999929</v>
      </c>
    </row>
    <row r="12" spans="1:4">
      <c r="A12" t="s">
        <v>3624</v>
      </c>
      <c r="B12" t="s">
        <v>3625</v>
      </c>
    </row>
    <row r="13" spans="1:4">
      <c r="A13" t="s">
        <v>3626</v>
      </c>
      <c r="B13" t="s">
        <v>3627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2ceeaa0-4d46-4b0c-8879-3b15f92c9283" xsi:nil="true"/>
    <lcf76f155ced4ddcb4097134ff3c332f xmlns="694e58c8-b8ed-4da2-8854-564bd3cfaddb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7F195040148254194FA19EB97B4CE02" ma:contentTypeVersion="13" ma:contentTypeDescription="Create a new document." ma:contentTypeScope="" ma:versionID="359869d84b1163859434ffc23137e696">
  <xsd:schema xmlns:xsd="http://www.w3.org/2001/XMLSchema" xmlns:xs="http://www.w3.org/2001/XMLSchema" xmlns:p="http://schemas.microsoft.com/office/2006/metadata/properties" xmlns:ns2="694e58c8-b8ed-4da2-8854-564bd3cfaddb" xmlns:ns3="52ceeaa0-4d46-4b0c-8879-3b15f92c9283" targetNamespace="http://schemas.microsoft.com/office/2006/metadata/properties" ma:root="true" ma:fieldsID="23c7a4f61d2d1f42f845d0cbe298c354" ns2:_="" ns3:_="">
    <xsd:import namespace="694e58c8-b8ed-4da2-8854-564bd3cfaddb"/>
    <xsd:import namespace="52ceeaa0-4d46-4b0c-8879-3b15f92c928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4e58c8-b8ed-4da2-8854-564bd3cfad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ecd948ef-de4f-4c20-888b-4e3bf331433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ceeaa0-4d46-4b0c-8879-3b15f92c9283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06de545-b9c6-49aa-bdfb-e1f4d6e0f27a}" ma:internalName="TaxCatchAll" ma:showField="CatchAllData" ma:web="52ceeaa0-4d46-4b0c-8879-3b15f92c928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8152286-B276-468B-905E-886A917CC1F1}"/>
</file>

<file path=customXml/itemProps2.xml><?xml version="1.0" encoding="utf-8"?>
<ds:datastoreItem xmlns:ds="http://schemas.openxmlformats.org/officeDocument/2006/customXml" ds:itemID="{8E637272-78BF-4153-88F4-A33A6682A654}"/>
</file>

<file path=customXml/itemProps3.xml><?xml version="1.0" encoding="utf-8"?>
<ds:datastoreItem xmlns:ds="http://schemas.openxmlformats.org/officeDocument/2006/customXml" ds:itemID="{E34D6EAF-4685-4627-8A8E-57DDD63D5215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ORMECO</dc:creator>
  <cp:keywords/>
  <dc:description/>
  <cp:lastModifiedBy>ARQUERO, STEPHANIE JANE</cp:lastModifiedBy>
  <cp:revision/>
  <dcterms:created xsi:type="dcterms:W3CDTF">2023-03-31T14:14:01Z</dcterms:created>
  <dcterms:modified xsi:type="dcterms:W3CDTF">2025-11-15T17:06:14Z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0x01010057F195040148254194FA19EB97B4CE02</vt:lpwstr>
  </property>
  <property fmtid="{D5CDD505-2E9C-101B-9397-08002B2CF9AE}" pid="3" name="MediaServiceImageTags">
    <vt:lpwstr/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</Properties>
</file>